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3.xml" ContentType="application/vnd.openxmlformats-officedocument.drawingml.chartshap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ocumenttasks/documenttask2.xml" ContentType="application/vnd.ms-excel.documenttasks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5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4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Ex1.xml" ContentType="application/vnd.ms-office.chartex+xml"/>
  <Override PartName="/xl/charts/style34.xml" ContentType="application/vnd.ms-office.chartstyle+xml"/>
  <Override PartName="/xl/charts/colors34.xml" ContentType="application/vnd.ms-office.chartcolorstyle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drawings/drawing7.xml" ContentType="application/vnd.openxmlformats-officedocument.drawing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documenttasks/documenttask3.xml" ContentType="application/vnd.ms-excel.documenttasks+xml"/>
  <Override PartName="/xl/charts/chartEx2.xml" ContentType="application/vnd.ms-office.chartex+xml"/>
  <Override PartName="/xl/charts/style40.xml" ContentType="application/vnd.ms-office.chartstyle+xml"/>
  <Override PartName="/xl/charts/colors40.xml" ContentType="application/vnd.ms-office.chartcolorstyle+xml"/>
  <Override PartName="/xl/charts/chart40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1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2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drawings/drawing8.xml" ContentType="application/vnd.openxmlformats-officedocument.drawing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harts/chartEx3.xml" ContentType="application/vnd.ms-office.chartex+xml"/>
  <Override PartName="/xl/charts/style44.xml" ContentType="application/vnd.ms-office.chartstyle+xml"/>
  <Override PartName="/xl/charts/colors44.xml" ContentType="application/vnd.ms-office.chartcolorstyle+xml"/>
  <Override PartName="/xl/charts/chartEx4.xml" ContentType="application/vnd.ms-office.chartex+xml"/>
  <Override PartName="/xl/charts/style45.xml" ContentType="application/vnd.ms-office.chartstyle+xml"/>
  <Override PartName="/xl/charts/colors4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sogen.sharepoint.com/sites/Electrolyzer/Shared Documents/AEMEL R&amp;D/"/>
    </mc:Choice>
  </mc:AlternateContent>
  <xr:revisionPtr revIDLastSave="0" documentId="8_{E242AE18-0D3A-42F4-AF13-371EB2F3ACA2}" xr6:coauthVersionLast="47" xr6:coauthVersionMax="47" xr10:uidLastSave="{00000000-0000-0000-0000-000000000000}"/>
  <bookViews>
    <workbookView xWindow="-110" yWindow="-110" windowWidth="19420" windowHeight="10420" firstSheet="1" activeTab="1" xr2:uid="{CA2A7CBF-79BE-470E-9F48-02B08BE059D9}"/>
  </bookViews>
  <sheets>
    <sheet name="PN Guide" sheetId="1" r:id="rId1"/>
    <sheet name="Anode Record" sheetId="2" r:id="rId2"/>
    <sheet name="5cm2 Anode supply" sheetId="10" r:id="rId3"/>
    <sheet name="Ionomer loading impact" sheetId="11" r:id="rId4"/>
    <sheet name="root cause-BA_FTA" sheetId="12" r:id="rId5"/>
    <sheet name="Sonication cat.loading" sheetId="4" r:id="rId6"/>
    <sheet name="3E test summary" sheetId="5" r:id="rId7"/>
    <sheet name="Python 3-E Test summary" sheetId="7" r:id="rId8"/>
    <sheet name="Box plot" sheetId="9" r:id="rId9"/>
  </sheets>
  <externalReferences>
    <externalReference r:id="rId10"/>
    <externalReference r:id="rId11"/>
    <externalReference r:id="rId12"/>
  </externalReferences>
  <definedNames>
    <definedName name="_xlnm._FilterDatabase" localSheetId="1" hidden="1">'Anode Record'!$A$1:$AH$2141</definedName>
    <definedName name="_xlnm._FilterDatabase" localSheetId="7" hidden="1">'Python 3-E Test summary'!$F$1:$F$39</definedName>
    <definedName name="_xlchart.v1.0" hidden="1">'root cause-BA_FTA'!$BJ$3:$BJ$20</definedName>
    <definedName name="_xlchart.v1.1" hidden="1">'root cause-BA_FTA'!$BK$3:$BK$20</definedName>
    <definedName name="_xlchart.v1.2" hidden="1">'Python 3-E Test summary'!$J$2:$J$36</definedName>
    <definedName name="_xlchart.v1.3" hidden="1">'Python 3-E Test summary'!$K$1</definedName>
    <definedName name="_xlchart.v1.4" hidden="1">'Python 3-E Test summary'!$K$2:$K$36</definedName>
    <definedName name="_xlchart.v1.5" hidden="1">'Box plot'!$C$19:$C$29</definedName>
    <definedName name="_xlchart.v1.6" hidden="1">'Box plot'!$C$4:$C$14</definedName>
    <definedName name="_xlchart.v1.7" hidden="1">'Box plot'!$A$2:$B$29</definedName>
    <definedName name="_xlchart.v1.8" hidden="1">'Box plot'!$D$1</definedName>
    <definedName name="_xlchart.v1.9" hidden="1">'Box plot'!$D$2:$D$27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05" i="2" l="1" a="1"/>
  <c r="W405" i="2" s="1"/>
  <c r="X405" i="2" a="1"/>
  <c r="X405" i="2" s="1"/>
  <c r="Y405" i="2" a="1"/>
  <c r="Y405" i="2" s="1"/>
  <c r="Z405" i="2" a="1"/>
  <c r="Z405" i="2" s="1"/>
  <c r="AA405" i="2" a="1"/>
  <c r="AA405" i="2" s="1"/>
  <c r="AB405" i="2" a="1"/>
  <c r="AB405" i="2" s="1"/>
  <c r="AC405" i="2" a="1"/>
  <c r="AC405" i="2" s="1"/>
  <c r="AD405" i="2" a="1"/>
  <c r="AD405" i="2" s="1"/>
  <c r="AE405" i="2" a="1"/>
  <c r="AE405" i="2" s="1"/>
  <c r="AF405" i="2" a="1"/>
  <c r="AF405" i="2" s="1"/>
  <c r="AG405" i="2" a="1"/>
  <c r="AG405" i="2" s="1"/>
  <c r="AH405" i="2" a="1"/>
  <c r="AH405" i="2" s="1"/>
  <c r="AI405" i="2" a="1"/>
  <c r="AI405" i="2" s="1"/>
  <c r="AJ405" i="2" a="1"/>
  <c r="AJ405" i="2" s="1"/>
  <c r="W554" i="2" a="1"/>
  <c r="W554" i="2" s="1"/>
  <c r="X554" i="2" a="1"/>
  <c r="X554" i="2" s="1"/>
  <c r="Y554" i="2" a="1"/>
  <c r="Y554" i="2" s="1"/>
  <c r="Z554" i="2" a="1"/>
  <c r="Z554" i="2" s="1"/>
  <c r="AA554" i="2" a="1"/>
  <c r="AA554" i="2" s="1"/>
  <c r="AB554" i="2" a="1"/>
  <c r="AB554" i="2" s="1"/>
  <c r="AC554" i="2" a="1"/>
  <c r="AC554" i="2" s="1"/>
  <c r="AD554" i="2" a="1"/>
  <c r="AD554" i="2" s="1"/>
  <c r="AE554" i="2" a="1"/>
  <c r="AE554" i="2" s="1"/>
  <c r="AF554" i="2" a="1"/>
  <c r="AF554" i="2" s="1"/>
  <c r="AG554" i="2" a="1"/>
  <c r="AG554" i="2" s="1"/>
  <c r="AH554" i="2" a="1"/>
  <c r="AH554" i="2" s="1"/>
  <c r="AI554" i="2" a="1"/>
  <c r="AI554" i="2" s="1"/>
  <c r="AJ554" i="2" a="1"/>
  <c r="AJ554" i="2" s="1"/>
  <c r="W555" i="2" a="1"/>
  <c r="W555" i="2" s="1"/>
  <c r="X555" i="2" a="1"/>
  <c r="X555" i="2" s="1"/>
  <c r="Y555" i="2" a="1"/>
  <c r="Y555" i="2" s="1"/>
  <c r="Z555" i="2" a="1"/>
  <c r="Z555" i="2" s="1"/>
  <c r="AA555" i="2" a="1"/>
  <c r="AA555" i="2" s="1"/>
  <c r="AB555" i="2" a="1"/>
  <c r="AB555" i="2" s="1"/>
  <c r="AC555" i="2" a="1"/>
  <c r="AC555" i="2" s="1"/>
  <c r="AD555" i="2" a="1"/>
  <c r="AD555" i="2" s="1"/>
  <c r="AE555" i="2" a="1"/>
  <c r="AE555" i="2" s="1"/>
  <c r="AF555" i="2" a="1"/>
  <c r="AF555" i="2" s="1"/>
  <c r="AG555" i="2" a="1"/>
  <c r="AG555" i="2" s="1"/>
  <c r="AH555" i="2" a="1"/>
  <c r="AH555" i="2" s="1"/>
  <c r="AI555" i="2" a="1"/>
  <c r="AI555" i="2" s="1"/>
  <c r="AJ555" i="2" a="1"/>
  <c r="AJ555" i="2" s="1"/>
  <c r="W563" i="2" a="1"/>
  <c r="W563" i="2" s="1"/>
  <c r="X563" i="2" a="1"/>
  <c r="X563" i="2" s="1"/>
  <c r="Y563" i="2" a="1"/>
  <c r="Y563" i="2" s="1"/>
  <c r="Z563" i="2" a="1"/>
  <c r="Z563" i="2" s="1"/>
  <c r="AA563" i="2" a="1"/>
  <c r="AA563" i="2" s="1"/>
  <c r="AB563" i="2" a="1"/>
  <c r="AB563" i="2" s="1"/>
  <c r="AC563" i="2" a="1"/>
  <c r="AC563" i="2" s="1"/>
  <c r="AD563" i="2" a="1"/>
  <c r="AD563" i="2" s="1"/>
  <c r="AE563" i="2" a="1"/>
  <c r="AE563" i="2" s="1"/>
  <c r="AF563" i="2" a="1"/>
  <c r="AF563" i="2" s="1"/>
  <c r="AG563" i="2" a="1"/>
  <c r="AG563" i="2" s="1"/>
  <c r="AH563" i="2" a="1"/>
  <c r="AH563" i="2" s="1"/>
  <c r="AI563" i="2" a="1"/>
  <c r="AI563" i="2" s="1"/>
  <c r="AJ563" i="2" a="1"/>
  <c r="AJ563" i="2" s="1"/>
  <c r="W546" i="2" l="1" a="1"/>
  <c r="W546" i="2" s="1"/>
  <c r="X546" i="2" a="1"/>
  <c r="X546" i="2" s="1"/>
  <c r="Y546" i="2" a="1"/>
  <c r="Y546" i="2" s="1"/>
  <c r="Z546" i="2" a="1"/>
  <c r="Z546" i="2" s="1"/>
  <c r="AA546" i="2" a="1"/>
  <c r="AA546" i="2" s="1"/>
  <c r="AB546" i="2" a="1"/>
  <c r="AB546" i="2" s="1"/>
  <c r="AC546" i="2" a="1"/>
  <c r="AC546" i="2" s="1"/>
  <c r="AD546" i="2" a="1"/>
  <c r="AD546" i="2" s="1"/>
  <c r="AE546" i="2" a="1"/>
  <c r="AE546" i="2" s="1"/>
  <c r="AF546" i="2" a="1"/>
  <c r="AF546" i="2" s="1"/>
  <c r="AG546" i="2" a="1"/>
  <c r="AG546" i="2" s="1"/>
  <c r="AH546" i="2" a="1"/>
  <c r="AH546" i="2" s="1"/>
  <c r="AI546" i="2" a="1"/>
  <c r="AI546" i="2" s="1"/>
  <c r="AJ546" i="2" a="1"/>
  <c r="AJ546" i="2" s="1"/>
  <c r="W547" i="2" a="1"/>
  <c r="W547" i="2" s="1"/>
  <c r="X547" i="2" a="1"/>
  <c r="X547" i="2" s="1"/>
  <c r="Y547" i="2" a="1"/>
  <c r="Y547" i="2" s="1"/>
  <c r="Z547" i="2" a="1"/>
  <c r="Z547" i="2" s="1"/>
  <c r="AA547" i="2" a="1"/>
  <c r="AA547" i="2" s="1"/>
  <c r="AB547" i="2" a="1"/>
  <c r="AB547" i="2" s="1"/>
  <c r="AC547" i="2" a="1"/>
  <c r="AC547" i="2" s="1"/>
  <c r="AD547" i="2" a="1"/>
  <c r="AD547" i="2" s="1"/>
  <c r="AE547" i="2" a="1"/>
  <c r="AE547" i="2" s="1"/>
  <c r="AF547" i="2" a="1"/>
  <c r="AF547" i="2" s="1"/>
  <c r="AG547" i="2" a="1"/>
  <c r="AG547" i="2" s="1"/>
  <c r="AH547" i="2" a="1"/>
  <c r="AH547" i="2" s="1"/>
  <c r="AI547" i="2" a="1"/>
  <c r="AI547" i="2" s="1"/>
  <c r="AJ547" i="2" a="1"/>
  <c r="AJ547" i="2" s="1"/>
  <c r="W407" i="2" a="1"/>
  <c r="W407" i="2" s="1"/>
  <c r="X407" i="2" a="1"/>
  <c r="X407" i="2" s="1"/>
  <c r="Y407" i="2" a="1"/>
  <c r="Y407" i="2" s="1"/>
  <c r="Z407" i="2" a="1"/>
  <c r="Z407" i="2" s="1"/>
  <c r="AA407" i="2" a="1"/>
  <c r="AA407" i="2" s="1"/>
  <c r="AB407" i="2" a="1"/>
  <c r="AB407" i="2" s="1"/>
  <c r="AC407" i="2" a="1"/>
  <c r="AC407" i="2" s="1"/>
  <c r="AD407" i="2" a="1"/>
  <c r="AD407" i="2" s="1"/>
  <c r="AE407" i="2" a="1"/>
  <c r="AE407" i="2" s="1"/>
  <c r="AF407" i="2" a="1"/>
  <c r="AF407" i="2" s="1"/>
  <c r="AG407" i="2" a="1"/>
  <c r="AG407" i="2" s="1"/>
  <c r="AH407" i="2" a="1"/>
  <c r="AH407" i="2" s="1"/>
  <c r="AI407" i="2" a="1"/>
  <c r="AI407" i="2" s="1"/>
  <c r="AJ407" i="2" a="1"/>
  <c r="AJ407" i="2" s="1"/>
  <c r="M406" i="2"/>
  <c r="W406" i="2" a="1"/>
  <c r="W406" i="2" s="1"/>
  <c r="X406" i="2" a="1"/>
  <c r="X406" i="2" s="1"/>
  <c r="Y406" i="2" a="1"/>
  <c r="Y406" i="2" s="1"/>
  <c r="Z406" i="2" a="1"/>
  <c r="Z406" i="2" s="1"/>
  <c r="AA406" i="2" a="1"/>
  <c r="AA406" i="2" s="1"/>
  <c r="AB406" i="2" a="1"/>
  <c r="AB406" i="2" s="1"/>
  <c r="AC406" i="2" a="1"/>
  <c r="AC406" i="2" s="1"/>
  <c r="AD406" i="2" a="1"/>
  <c r="AD406" i="2" s="1"/>
  <c r="AE406" i="2" a="1"/>
  <c r="AE406" i="2" s="1"/>
  <c r="AF406" i="2" a="1"/>
  <c r="AF406" i="2" s="1"/>
  <c r="AG406" i="2" a="1"/>
  <c r="AG406" i="2" s="1"/>
  <c r="AH406" i="2" a="1"/>
  <c r="AH406" i="2" s="1"/>
  <c r="AI406" i="2" a="1"/>
  <c r="AI406" i="2" s="1"/>
  <c r="AJ406" i="2" a="1"/>
  <c r="AJ406" i="2" s="1"/>
  <c r="M404" i="2" l="1"/>
  <c r="W403" i="2" a="1"/>
  <c r="W403" i="2" s="1"/>
  <c r="X403" i="2" a="1"/>
  <c r="X403" i="2" s="1"/>
  <c r="Y403" i="2" a="1"/>
  <c r="Y403" i="2" s="1"/>
  <c r="Z403" i="2" a="1"/>
  <c r="Z403" i="2" s="1"/>
  <c r="AA403" i="2" a="1"/>
  <c r="AA403" i="2" s="1"/>
  <c r="AB403" i="2" a="1"/>
  <c r="AB403" i="2" s="1"/>
  <c r="AC403" i="2" a="1"/>
  <c r="AC403" i="2" s="1"/>
  <c r="AD403" i="2" a="1"/>
  <c r="AD403" i="2" s="1"/>
  <c r="AE403" i="2" a="1"/>
  <c r="AE403" i="2" s="1"/>
  <c r="AF403" i="2" a="1"/>
  <c r="AF403" i="2" s="1"/>
  <c r="AG403" i="2" a="1"/>
  <c r="AG403" i="2" s="1"/>
  <c r="AH403" i="2" a="1"/>
  <c r="AH403" i="2" s="1"/>
  <c r="AI403" i="2" a="1"/>
  <c r="AI403" i="2" s="1"/>
  <c r="AJ403" i="2" a="1"/>
  <c r="AJ403" i="2" s="1"/>
  <c r="M537" i="2"/>
  <c r="M536" i="2"/>
  <c r="W523" i="2" a="1"/>
  <c r="W523" i="2" s="1"/>
  <c r="X523" i="2" a="1"/>
  <c r="X523" i="2" s="1"/>
  <c r="Y523" i="2" a="1"/>
  <c r="Y523" i="2" s="1"/>
  <c r="Z523" i="2" a="1"/>
  <c r="Z523" i="2" s="1"/>
  <c r="AA523" i="2" a="1"/>
  <c r="AA523" i="2" s="1"/>
  <c r="AB523" i="2" a="1"/>
  <c r="AB523" i="2" s="1"/>
  <c r="AC523" i="2" a="1"/>
  <c r="AC523" i="2" s="1"/>
  <c r="AD523" i="2" a="1"/>
  <c r="AD523" i="2" s="1"/>
  <c r="AE523" i="2" a="1"/>
  <c r="AE523" i="2" s="1"/>
  <c r="AF523" i="2" a="1"/>
  <c r="AF523" i="2" s="1"/>
  <c r="AG523" i="2" a="1"/>
  <c r="AG523" i="2" s="1"/>
  <c r="AH523" i="2" a="1"/>
  <c r="AH523" i="2" s="1"/>
  <c r="AI523" i="2" a="1"/>
  <c r="AI523" i="2" s="1"/>
  <c r="AJ523" i="2" a="1"/>
  <c r="AJ523" i="2" s="1"/>
  <c r="W524" i="2" a="1"/>
  <c r="W524" i="2" s="1"/>
  <c r="X524" i="2" a="1"/>
  <c r="X524" i="2" s="1"/>
  <c r="Y524" i="2" a="1"/>
  <c r="Y524" i="2" s="1"/>
  <c r="Z524" i="2" a="1"/>
  <c r="Z524" i="2" s="1"/>
  <c r="AA524" i="2" a="1"/>
  <c r="AA524" i="2" s="1"/>
  <c r="AB524" i="2" a="1"/>
  <c r="AB524" i="2" s="1"/>
  <c r="AC524" i="2" a="1"/>
  <c r="AC524" i="2" s="1"/>
  <c r="AD524" i="2" a="1"/>
  <c r="AD524" i="2" s="1"/>
  <c r="AE524" i="2" a="1"/>
  <c r="AE524" i="2" s="1"/>
  <c r="AF524" i="2" a="1"/>
  <c r="AF524" i="2" s="1"/>
  <c r="AG524" i="2" a="1"/>
  <c r="AG524" i="2" s="1"/>
  <c r="AH524" i="2" a="1"/>
  <c r="AH524" i="2" s="1"/>
  <c r="AI524" i="2" a="1"/>
  <c r="AI524" i="2" s="1"/>
  <c r="AJ524" i="2" a="1"/>
  <c r="AJ524" i="2" s="1"/>
  <c r="W518" i="2" a="1"/>
  <c r="W518" i="2" s="1"/>
  <c r="X518" i="2" a="1"/>
  <c r="X518" i="2" s="1"/>
  <c r="Y518" i="2" a="1"/>
  <c r="Y518" i="2" s="1"/>
  <c r="Z518" i="2" a="1"/>
  <c r="Z518" i="2" s="1"/>
  <c r="AA518" i="2" a="1"/>
  <c r="AA518" i="2" s="1"/>
  <c r="AB518" i="2" a="1"/>
  <c r="AB518" i="2" s="1"/>
  <c r="AC518" i="2" a="1"/>
  <c r="AC518" i="2" s="1"/>
  <c r="AD518" i="2" a="1"/>
  <c r="AD518" i="2" s="1"/>
  <c r="AE518" i="2" a="1"/>
  <c r="AE518" i="2" s="1"/>
  <c r="AF518" i="2" a="1"/>
  <c r="AF518" i="2" s="1"/>
  <c r="AG518" i="2" a="1"/>
  <c r="AG518" i="2" s="1"/>
  <c r="AH518" i="2" a="1"/>
  <c r="AH518" i="2" s="1"/>
  <c r="AI518" i="2" a="1"/>
  <c r="AI518" i="2" s="1"/>
  <c r="AJ518" i="2" a="1"/>
  <c r="AJ518" i="2" s="1"/>
  <c r="W519" i="2" a="1"/>
  <c r="W519" i="2" s="1"/>
  <c r="X519" i="2" a="1"/>
  <c r="X519" i="2" s="1"/>
  <c r="Y519" i="2" a="1"/>
  <c r="Y519" i="2" s="1"/>
  <c r="Z519" i="2" a="1"/>
  <c r="Z519" i="2" s="1"/>
  <c r="AA519" i="2" a="1"/>
  <c r="AA519" i="2" s="1"/>
  <c r="AB519" i="2" a="1"/>
  <c r="AB519" i="2" s="1"/>
  <c r="AC519" i="2" a="1"/>
  <c r="AC519" i="2" s="1"/>
  <c r="AD519" i="2" a="1"/>
  <c r="AD519" i="2" s="1"/>
  <c r="AE519" i="2" a="1"/>
  <c r="AE519" i="2" s="1"/>
  <c r="AF519" i="2" a="1"/>
  <c r="AF519" i="2" s="1"/>
  <c r="AG519" i="2" a="1"/>
  <c r="AG519" i="2" s="1"/>
  <c r="AH519" i="2" a="1"/>
  <c r="AH519" i="2" s="1"/>
  <c r="AI519" i="2" a="1"/>
  <c r="AI519" i="2" s="1"/>
  <c r="AJ519" i="2" a="1"/>
  <c r="AJ519" i="2" s="1"/>
  <c r="W515" i="2" a="1"/>
  <c r="W515" i="2" s="1"/>
  <c r="X515" i="2" a="1"/>
  <c r="X515" i="2" s="1"/>
  <c r="Y515" i="2" a="1"/>
  <c r="Y515" i="2" s="1"/>
  <c r="Z515" i="2" a="1"/>
  <c r="Z515" i="2" s="1"/>
  <c r="AA515" i="2" a="1"/>
  <c r="AA515" i="2" s="1"/>
  <c r="AB515" i="2" a="1"/>
  <c r="AB515" i="2" s="1"/>
  <c r="AC515" i="2" a="1"/>
  <c r="AC515" i="2" s="1"/>
  <c r="AD515" i="2" a="1"/>
  <c r="AD515" i="2" s="1"/>
  <c r="AE515" i="2" a="1"/>
  <c r="AE515" i="2" s="1"/>
  <c r="AF515" i="2" a="1"/>
  <c r="AF515" i="2" s="1"/>
  <c r="AG515" i="2" a="1"/>
  <c r="AG515" i="2" s="1"/>
  <c r="AH515" i="2" a="1"/>
  <c r="AH515" i="2" s="1"/>
  <c r="AI515" i="2" a="1"/>
  <c r="AI515" i="2" s="1"/>
  <c r="AJ515" i="2" a="1"/>
  <c r="AJ515" i="2" s="1"/>
  <c r="W516" i="2" a="1"/>
  <c r="W516" i="2" s="1"/>
  <c r="X516" i="2" a="1"/>
  <c r="X516" i="2" s="1"/>
  <c r="Y516" i="2" a="1"/>
  <c r="Y516" i="2" s="1"/>
  <c r="Z516" i="2" a="1"/>
  <c r="Z516" i="2" s="1"/>
  <c r="AA516" i="2" a="1"/>
  <c r="AA516" i="2" s="1"/>
  <c r="AB516" i="2" a="1"/>
  <c r="AB516" i="2" s="1"/>
  <c r="AC516" i="2" a="1"/>
  <c r="AC516" i="2" s="1"/>
  <c r="AD516" i="2" a="1"/>
  <c r="AD516" i="2" s="1"/>
  <c r="AE516" i="2" a="1"/>
  <c r="AE516" i="2" s="1"/>
  <c r="AF516" i="2" a="1"/>
  <c r="AF516" i="2" s="1"/>
  <c r="AG516" i="2" a="1"/>
  <c r="AG516" i="2" s="1"/>
  <c r="AH516" i="2" a="1"/>
  <c r="AH516" i="2" s="1"/>
  <c r="AI516" i="2" a="1"/>
  <c r="AI516" i="2" s="1"/>
  <c r="AJ516" i="2" a="1"/>
  <c r="AJ516" i="2" s="1"/>
  <c r="W499" i="2" l="1" a="1"/>
  <c r="W499" i="2" s="1"/>
  <c r="X499" i="2" a="1"/>
  <c r="X499" i="2" s="1"/>
  <c r="Y499" i="2" a="1"/>
  <c r="Y499" i="2" s="1"/>
  <c r="Z499" i="2" a="1"/>
  <c r="Z499" i="2" s="1"/>
  <c r="AA499" i="2" a="1"/>
  <c r="AA499" i="2" s="1"/>
  <c r="AB499" i="2" a="1"/>
  <c r="AB499" i="2" s="1"/>
  <c r="AC499" i="2" a="1"/>
  <c r="AC499" i="2" s="1"/>
  <c r="AD499" i="2" a="1"/>
  <c r="AD499" i="2" s="1"/>
  <c r="AE499" i="2" a="1"/>
  <c r="AE499" i="2" s="1"/>
  <c r="AF499" i="2" a="1"/>
  <c r="AF499" i="2" s="1"/>
  <c r="AG499" i="2" a="1"/>
  <c r="AG499" i="2" s="1"/>
  <c r="AH499" i="2" a="1"/>
  <c r="AH499" i="2" s="1"/>
  <c r="AI499" i="2" a="1"/>
  <c r="AI499" i="2" s="1"/>
  <c r="AJ499" i="2" a="1"/>
  <c r="AJ499" i="2" s="1"/>
  <c r="W500" i="2" a="1"/>
  <c r="W500" i="2" s="1"/>
  <c r="X500" i="2" a="1"/>
  <c r="X500" i="2" s="1"/>
  <c r="Y500" i="2" a="1"/>
  <c r="Y500" i="2" s="1"/>
  <c r="Z500" i="2" a="1"/>
  <c r="Z500" i="2" s="1"/>
  <c r="AA500" i="2" a="1"/>
  <c r="AA500" i="2" s="1"/>
  <c r="AB500" i="2" a="1"/>
  <c r="AB500" i="2" s="1"/>
  <c r="AC500" i="2" a="1"/>
  <c r="AC500" i="2" s="1"/>
  <c r="AD500" i="2" a="1"/>
  <c r="AD500" i="2" s="1"/>
  <c r="AE500" i="2" a="1"/>
  <c r="AE500" i="2" s="1"/>
  <c r="AF500" i="2" a="1"/>
  <c r="AF500" i="2" s="1"/>
  <c r="AG500" i="2" a="1"/>
  <c r="AG500" i="2" s="1"/>
  <c r="AH500" i="2" a="1"/>
  <c r="AH500" i="2" s="1"/>
  <c r="AI500" i="2" a="1"/>
  <c r="AI500" i="2" s="1"/>
  <c r="AJ500" i="2" a="1"/>
  <c r="AJ500" i="2" s="1"/>
  <c r="W503" i="2" a="1"/>
  <c r="W503" i="2" s="1"/>
  <c r="X503" i="2" a="1"/>
  <c r="X503" i="2" s="1"/>
  <c r="Y503" i="2" a="1"/>
  <c r="Y503" i="2" s="1"/>
  <c r="Z503" i="2" a="1"/>
  <c r="Z503" i="2" s="1"/>
  <c r="AA503" i="2" a="1"/>
  <c r="AA503" i="2" s="1"/>
  <c r="AB503" i="2" a="1"/>
  <c r="AB503" i="2" s="1"/>
  <c r="AC503" i="2" a="1"/>
  <c r="AC503" i="2" s="1"/>
  <c r="AD503" i="2" a="1"/>
  <c r="AD503" i="2" s="1"/>
  <c r="AE503" i="2" a="1"/>
  <c r="AE503" i="2" s="1"/>
  <c r="AF503" i="2" a="1"/>
  <c r="AF503" i="2" s="1"/>
  <c r="AG503" i="2" a="1"/>
  <c r="AG503" i="2" s="1"/>
  <c r="AH503" i="2" a="1"/>
  <c r="AH503" i="2" s="1"/>
  <c r="AI503" i="2" a="1"/>
  <c r="AI503" i="2" s="1"/>
  <c r="AJ503" i="2" a="1"/>
  <c r="AJ503" i="2" s="1"/>
  <c r="W504" i="2" a="1"/>
  <c r="W504" i="2" s="1"/>
  <c r="X504" i="2" a="1"/>
  <c r="X504" i="2" s="1"/>
  <c r="Y504" i="2" a="1"/>
  <c r="Y504" i="2" s="1"/>
  <c r="Z504" i="2" a="1"/>
  <c r="Z504" i="2" s="1"/>
  <c r="AA504" i="2" a="1"/>
  <c r="AA504" i="2" s="1"/>
  <c r="AB504" i="2" a="1"/>
  <c r="AB504" i="2" s="1"/>
  <c r="AC504" i="2" a="1"/>
  <c r="AC504" i="2" s="1"/>
  <c r="AD504" i="2" a="1"/>
  <c r="AD504" i="2" s="1"/>
  <c r="AE504" i="2" a="1"/>
  <c r="AE504" i="2" s="1"/>
  <c r="AF504" i="2" a="1"/>
  <c r="AF504" i="2" s="1"/>
  <c r="AG504" i="2" a="1"/>
  <c r="AG504" i="2" s="1"/>
  <c r="AH504" i="2" a="1"/>
  <c r="AH504" i="2" s="1"/>
  <c r="AI504" i="2" a="1"/>
  <c r="AI504" i="2" s="1"/>
  <c r="AJ504" i="2" a="1"/>
  <c r="AJ504" i="2" s="1"/>
  <c r="W512" i="2" a="1"/>
  <c r="W512" i="2" s="1"/>
  <c r="X512" i="2" a="1"/>
  <c r="X512" i="2" s="1"/>
  <c r="Y512" i="2" a="1"/>
  <c r="Y512" i="2" s="1"/>
  <c r="Z512" i="2" a="1"/>
  <c r="Z512" i="2" s="1"/>
  <c r="AA512" i="2" a="1"/>
  <c r="AA512" i="2" s="1"/>
  <c r="AB512" i="2" a="1"/>
  <c r="AB512" i="2" s="1"/>
  <c r="AC512" i="2" a="1"/>
  <c r="AC512" i="2" s="1"/>
  <c r="AD512" i="2" a="1"/>
  <c r="AD512" i="2" s="1"/>
  <c r="AE512" i="2" a="1"/>
  <c r="AE512" i="2" s="1"/>
  <c r="AF512" i="2" a="1"/>
  <c r="AF512" i="2" s="1"/>
  <c r="AG512" i="2" a="1"/>
  <c r="AG512" i="2" s="1"/>
  <c r="AH512" i="2" a="1"/>
  <c r="AH512" i="2" s="1"/>
  <c r="AI512" i="2" a="1"/>
  <c r="AI512" i="2" s="1"/>
  <c r="AJ512" i="2" a="1"/>
  <c r="AJ512" i="2" s="1"/>
  <c r="W513" i="2" a="1"/>
  <c r="W513" i="2" s="1"/>
  <c r="X513" i="2" a="1"/>
  <c r="X513" i="2" s="1"/>
  <c r="Y513" i="2" a="1"/>
  <c r="Y513" i="2" s="1"/>
  <c r="Z513" i="2" a="1"/>
  <c r="Z513" i="2" s="1"/>
  <c r="AA513" i="2" a="1"/>
  <c r="AA513" i="2" s="1"/>
  <c r="AB513" i="2" a="1"/>
  <c r="AB513" i="2" s="1"/>
  <c r="AC513" i="2" a="1"/>
  <c r="AC513" i="2" s="1"/>
  <c r="AD513" i="2" a="1"/>
  <c r="AD513" i="2" s="1"/>
  <c r="AE513" i="2" a="1"/>
  <c r="AE513" i="2" s="1"/>
  <c r="AF513" i="2" a="1"/>
  <c r="AF513" i="2" s="1"/>
  <c r="AG513" i="2" a="1"/>
  <c r="AG513" i="2" s="1"/>
  <c r="AH513" i="2" a="1"/>
  <c r="AH513" i="2" s="1"/>
  <c r="AI513" i="2" a="1"/>
  <c r="AI513" i="2" s="1"/>
  <c r="AJ513" i="2" a="1"/>
  <c r="AJ513" i="2" s="1"/>
  <c r="W509" i="2" a="1"/>
  <c r="W509" i="2" s="1"/>
  <c r="X509" i="2" a="1"/>
  <c r="X509" i="2" s="1"/>
  <c r="Y509" i="2" a="1"/>
  <c r="Y509" i="2" s="1"/>
  <c r="Z509" i="2" a="1"/>
  <c r="Z509" i="2" s="1"/>
  <c r="AA509" i="2" a="1"/>
  <c r="AA509" i="2" s="1"/>
  <c r="AB509" i="2" a="1"/>
  <c r="AB509" i="2" s="1"/>
  <c r="AC509" i="2" a="1"/>
  <c r="AC509" i="2" s="1"/>
  <c r="AD509" i="2" a="1"/>
  <c r="AD509" i="2" s="1"/>
  <c r="AE509" i="2" a="1"/>
  <c r="AE509" i="2" s="1"/>
  <c r="AF509" i="2" a="1"/>
  <c r="AF509" i="2" s="1"/>
  <c r="AG509" i="2" a="1"/>
  <c r="AG509" i="2" s="1"/>
  <c r="AH509" i="2" a="1"/>
  <c r="AH509" i="2" s="1"/>
  <c r="AI509" i="2" a="1"/>
  <c r="AI509" i="2" s="1"/>
  <c r="AJ509" i="2" a="1"/>
  <c r="AJ509" i="2" s="1"/>
  <c r="W510" i="2" a="1"/>
  <c r="W510" i="2" s="1"/>
  <c r="X510" i="2" a="1"/>
  <c r="X510" i="2" s="1"/>
  <c r="Y510" i="2" a="1"/>
  <c r="Y510" i="2" s="1"/>
  <c r="Z510" i="2" a="1"/>
  <c r="Z510" i="2" s="1"/>
  <c r="AA510" i="2" a="1"/>
  <c r="AA510" i="2" s="1"/>
  <c r="AB510" i="2" a="1"/>
  <c r="AB510" i="2" s="1"/>
  <c r="AC510" i="2" a="1"/>
  <c r="AC510" i="2" s="1"/>
  <c r="AD510" i="2" a="1"/>
  <c r="AD510" i="2" s="1"/>
  <c r="AE510" i="2" a="1"/>
  <c r="AE510" i="2" s="1"/>
  <c r="AF510" i="2" a="1"/>
  <c r="AF510" i="2" s="1"/>
  <c r="AG510" i="2" a="1"/>
  <c r="AG510" i="2" s="1"/>
  <c r="AH510" i="2" a="1"/>
  <c r="AH510" i="2" s="1"/>
  <c r="AI510" i="2" a="1"/>
  <c r="AI510" i="2" s="1"/>
  <c r="AJ510" i="2" a="1"/>
  <c r="AJ510" i="2" s="1"/>
  <c r="W506" i="2" a="1"/>
  <c r="W506" i="2" s="1"/>
  <c r="X506" i="2" a="1"/>
  <c r="X506" i="2" s="1"/>
  <c r="Y506" i="2" a="1"/>
  <c r="Y506" i="2" s="1"/>
  <c r="Z506" i="2" a="1"/>
  <c r="Z506" i="2" s="1"/>
  <c r="AA506" i="2" a="1"/>
  <c r="AA506" i="2" s="1"/>
  <c r="AB506" i="2" a="1"/>
  <c r="AB506" i="2" s="1"/>
  <c r="AC506" i="2" a="1"/>
  <c r="AC506" i="2" s="1"/>
  <c r="AD506" i="2" a="1"/>
  <c r="AD506" i="2" s="1"/>
  <c r="AE506" i="2" a="1"/>
  <c r="AE506" i="2" s="1"/>
  <c r="AF506" i="2" a="1"/>
  <c r="AF506" i="2" s="1"/>
  <c r="AG506" i="2" a="1"/>
  <c r="AG506" i="2" s="1"/>
  <c r="AH506" i="2" a="1"/>
  <c r="AH506" i="2" s="1"/>
  <c r="AI506" i="2" a="1"/>
  <c r="AI506" i="2" s="1"/>
  <c r="AJ506" i="2" a="1"/>
  <c r="AJ506" i="2" s="1"/>
  <c r="W507" i="2" a="1"/>
  <c r="W507" i="2" s="1"/>
  <c r="X507" i="2" a="1"/>
  <c r="X507" i="2" s="1"/>
  <c r="Y507" i="2" a="1"/>
  <c r="Y507" i="2" s="1"/>
  <c r="Z507" i="2" a="1"/>
  <c r="Z507" i="2" s="1"/>
  <c r="AA507" i="2" a="1"/>
  <c r="AA507" i="2" s="1"/>
  <c r="AB507" i="2" a="1"/>
  <c r="AB507" i="2" s="1"/>
  <c r="AC507" i="2" a="1"/>
  <c r="AC507" i="2" s="1"/>
  <c r="AD507" i="2" a="1"/>
  <c r="AD507" i="2" s="1"/>
  <c r="AE507" i="2" a="1"/>
  <c r="AE507" i="2" s="1"/>
  <c r="AF507" i="2" a="1"/>
  <c r="AF507" i="2" s="1"/>
  <c r="AG507" i="2" a="1"/>
  <c r="AG507" i="2" s="1"/>
  <c r="AH507" i="2" a="1"/>
  <c r="AH507" i="2" s="1"/>
  <c r="AI507" i="2" a="1"/>
  <c r="AI507" i="2" s="1"/>
  <c r="AJ507" i="2" a="1"/>
  <c r="AJ507" i="2" s="1"/>
  <c r="W464" i="2" a="1"/>
  <c r="W464" i="2" s="1"/>
  <c r="W465" i="2" a="1"/>
  <c r="W465" i="2" s="1"/>
  <c r="W466" i="2" a="1"/>
  <c r="W466" i="2" s="1"/>
  <c r="W467" i="2" a="1"/>
  <c r="W467" i="2" s="1"/>
  <c r="W468" i="2" a="1"/>
  <c r="W468" i="2" s="1"/>
  <c r="W469" i="2" a="1"/>
  <c r="W469" i="2" s="1"/>
  <c r="W470" i="2" a="1"/>
  <c r="W470" i="2" s="1"/>
  <c r="W471" i="2" a="1"/>
  <c r="W471" i="2" s="1"/>
  <c r="W472" i="2" a="1"/>
  <c r="W472" i="2" s="1"/>
  <c r="W473" i="2" a="1"/>
  <c r="W473" i="2" s="1"/>
  <c r="X464" i="2" a="1"/>
  <c r="X464" i="2" s="1"/>
  <c r="X465" i="2" a="1"/>
  <c r="X465" i="2" s="1"/>
  <c r="X466" i="2" a="1"/>
  <c r="X466" i="2" s="1"/>
  <c r="X467" i="2" a="1"/>
  <c r="X467" i="2" s="1"/>
  <c r="X468" i="2" a="1"/>
  <c r="X468" i="2" s="1"/>
  <c r="X469" i="2" a="1"/>
  <c r="X469" i="2" s="1"/>
  <c r="X470" i="2" a="1"/>
  <c r="X470" i="2" s="1"/>
  <c r="X471" i="2" a="1"/>
  <c r="X471" i="2" s="1"/>
  <c r="X472" i="2" a="1"/>
  <c r="X472" i="2" s="1"/>
  <c r="X473" i="2" a="1"/>
  <c r="X473" i="2" s="1"/>
  <c r="Y464" i="2" a="1"/>
  <c r="Y464" i="2" s="1"/>
  <c r="Y465" i="2" a="1"/>
  <c r="Y465" i="2" s="1"/>
  <c r="Y466" i="2" a="1"/>
  <c r="Y466" i="2" s="1"/>
  <c r="Y467" i="2" a="1"/>
  <c r="Y467" i="2" s="1"/>
  <c r="Y468" i="2" a="1"/>
  <c r="Y468" i="2" s="1"/>
  <c r="Y469" i="2" a="1"/>
  <c r="Y469" i="2" s="1"/>
  <c r="Y470" i="2" a="1"/>
  <c r="Y470" i="2" s="1"/>
  <c r="Y471" i="2" a="1"/>
  <c r="Y471" i="2" s="1"/>
  <c r="Y472" i="2" a="1"/>
  <c r="Y472" i="2" s="1"/>
  <c r="Y473" i="2" a="1"/>
  <c r="Y473" i="2" s="1"/>
  <c r="Z464" i="2" a="1"/>
  <c r="Z464" i="2" s="1"/>
  <c r="Z465" i="2" a="1"/>
  <c r="Z465" i="2" s="1"/>
  <c r="Z466" i="2" a="1"/>
  <c r="Z466" i="2" s="1"/>
  <c r="Z467" i="2" a="1"/>
  <c r="Z467" i="2" s="1"/>
  <c r="Z468" i="2" a="1"/>
  <c r="Z468" i="2" s="1"/>
  <c r="Z469" i="2" a="1"/>
  <c r="Z469" i="2" s="1"/>
  <c r="Z470" i="2" a="1"/>
  <c r="Z470" i="2" s="1"/>
  <c r="Z471" i="2" a="1"/>
  <c r="Z471" i="2" s="1"/>
  <c r="Z472" i="2" a="1"/>
  <c r="Z472" i="2" s="1"/>
  <c r="Z473" i="2" a="1"/>
  <c r="Z473" i="2" s="1"/>
  <c r="AA464" i="2" a="1"/>
  <c r="AA464" i="2" s="1"/>
  <c r="AA465" i="2" a="1"/>
  <c r="AA465" i="2" s="1"/>
  <c r="AA466" i="2" a="1"/>
  <c r="AA466" i="2" s="1"/>
  <c r="AA467" i="2" a="1"/>
  <c r="AA467" i="2" s="1"/>
  <c r="AA468" i="2" a="1"/>
  <c r="AA468" i="2" s="1"/>
  <c r="AA469" i="2" a="1"/>
  <c r="AA469" i="2" s="1"/>
  <c r="AA470" i="2" a="1"/>
  <c r="AA470" i="2" s="1"/>
  <c r="AA471" i="2" a="1"/>
  <c r="AA471" i="2" s="1"/>
  <c r="AA472" i="2" a="1"/>
  <c r="AA472" i="2" s="1"/>
  <c r="AA473" i="2" a="1"/>
  <c r="AA473" i="2" s="1"/>
  <c r="AB464" i="2" a="1"/>
  <c r="AB464" i="2" s="1"/>
  <c r="AB465" i="2" a="1"/>
  <c r="AB465" i="2" s="1"/>
  <c r="AB466" i="2" a="1"/>
  <c r="AB466" i="2" s="1"/>
  <c r="AB467" i="2" a="1"/>
  <c r="AB467" i="2" s="1"/>
  <c r="AB468" i="2" a="1"/>
  <c r="AB468" i="2" s="1"/>
  <c r="AB469" i="2" a="1"/>
  <c r="AB469" i="2" s="1"/>
  <c r="AB470" i="2" a="1"/>
  <c r="AB470" i="2" s="1"/>
  <c r="AB471" i="2" a="1"/>
  <c r="AB471" i="2" s="1"/>
  <c r="AB472" i="2" a="1"/>
  <c r="AB472" i="2" s="1"/>
  <c r="AB473" i="2" a="1"/>
  <c r="AB473" i="2" s="1"/>
  <c r="AC464" i="2" a="1"/>
  <c r="AC464" i="2" s="1"/>
  <c r="AC465" i="2" a="1"/>
  <c r="AC465" i="2" s="1"/>
  <c r="AC466" i="2" a="1"/>
  <c r="AC466" i="2" s="1"/>
  <c r="AC467" i="2" a="1"/>
  <c r="AC467" i="2" s="1"/>
  <c r="AC468" i="2" a="1"/>
  <c r="AC468" i="2" s="1"/>
  <c r="AC469" i="2" a="1"/>
  <c r="AC469" i="2" s="1"/>
  <c r="AC470" i="2" a="1"/>
  <c r="AC470" i="2" s="1"/>
  <c r="AC471" i="2" a="1"/>
  <c r="AC471" i="2" s="1"/>
  <c r="AC472" i="2" a="1"/>
  <c r="AC472" i="2" s="1"/>
  <c r="AC473" i="2" a="1"/>
  <c r="AC473" i="2" s="1"/>
  <c r="AD464" i="2" a="1"/>
  <c r="AD464" i="2" s="1"/>
  <c r="AD465" i="2" a="1"/>
  <c r="AD465" i="2" s="1"/>
  <c r="AD466" i="2" a="1"/>
  <c r="AD466" i="2" s="1"/>
  <c r="AD467" i="2" a="1"/>
  <c r="AD467" i="2" s="1"/>
  <c r="AD468" i="2" a="1"/>
  <c r="AD468" i="2" s="1"/>
  <c r="AD469" i="2" a="1"/>
  <c r="AD469" i="2" s="1"/>
  <c r="AD470" i="2" a="1"/>
  <c r="AD470" i="2" s="1"/>
  <c r="AD471" i="2" a="1"/>
  <c r="AD471" i="2" s="1"/>
  <c r="AD472" i="2" a="1"/>
  <c r="AD472" i="2" s="1"/>
  <c r="AD473" i="2" a="1"/>
  <c r="AD473" i="2" s="1"/>
  <c r="AE464" i="2" a="1"/>
  <c r="AE464" i="2" s="1"/>
  <c r="AE465" i="2" a="1"/>
  <c r="AE465" i="2" s="1"/>
  <c r="AE466" i="2" a="1"/>
  <c r="AE466" i="2" s="1"/>
  <c r="AE467" i="2" a="1"/>
  <c r="AE467" i="2" s="1"/>
  <c r="AE468" i="2" a="1"/>
  <c r="AE468" i="2" s="1"/>
  <c r="AE469" i="2" a="1"/>
  <c r="AE469" i="2" s="1"/>
  <c r="AE470" i="2" a="1"/>
  <c r="AE470" i="2" s="1"/>
  <c r="AE471" i="2" a="1"/>
  <c r="AE471" i="2" s="1"/>
  <c r="AE472" i="2" a="1"/>
  <c r="AE472" i="2" s="1"/>
  <c r="AE473" i="2" a="1"/>
  <c r="AE473" i="2" s="1"/>
  <c r="AF464" i="2" a="1"/>
  <c r="AF464" i="2" s="1"/>
  <c r="AF465" i="2" a="1"/>
  <c r="AF465" i="2" s="1"/>
  <c r="AF466" i="2" a="1"/>
  <c r="AF466" i="2" s="1"/>
  <c r="AF467" i="2" a="1"/>
  <c r="AF467" i="2" s="1"/>
  <c r="AF468" i="2" a="1"/>
  <c r="AF468" i="2" s="1"/>
  <c r="AF469" i="2" a="1"/>
  <c r="AF469" i="2" s="1"/>
  <c r="AF470" i="2" a="1"/>
  <c r="AF470" i="2" s="1"/>
  <c r="AF471" i="2" a="1"/>
  <c r="AF471" i="2" s="1"/>
  <c r="AF472" i="2" a="1"/>
  <c r="AF472" i="2" s="1"/>
  <c r="AF473" i="2" a="1"/>
  <c r="AF473" i="2" s="1"/>
  <c r="AG464" i="2" a="1"/>
  <c r="AG464" i="2" s="1"/>
  <c r="AG465" i="2" a="1"/>
  <c r="AG465" i="2" s="1"/>
  <c r="AG466" i="2" a="1"/>
  <c r="AG466" i="2" s="1"/>
  <c r="AG467" i="2" a="1"/>
  <c r="AG467" i="2" s="1"/>
  <c r="AG468" i="2" a="1"/>
  <c r="AG468" i="2" s="1"/>
  <c r="AG469" i="2" a="1"/>
  <c r="AG469" i="2" s="1"/>
  <c r="AG470" i="2" a="1"/>
  <c r="AG470" i="2" s="1"/>
  <c r="AG471" i="2" a="1"/>
  <c r="AG471" i="2" s="1"/>
  <c r="AG472" i="2" a="1"/>
  <c r="AG472" i="2" s="1"/>
  <c r="AG473" i="2" a="1"/>
  <c r="AG473" i="2" s="1"/>
  <c r="AH464" i="2" a="1"/>
  <c r="AH464" i="2" s="1"/>
  <c r="AH465" i="2" a="1"/>
  <c r="AH465" i="2" s="1"/>
  <c r="AH466" i="2" a="1"/>
  <c r="AH466" i="2" s="1"/>
  <c r="AH467" i="2" a="1"/>
  <c r="AH467" i="2" s="1"/>
  <c r="AH468" i="2" a="1"/>
  <c r="AH468" i="2" s="1"/>
  <c r="AH469" i="2" a="1"/>
  <c r="AH469" i="2" s="1"/>
  <c r="AH470" i="2" a="1"/>
  <c r="AH470" i="2" s="1"/>
  <c r="AH471" i="2" a="1"/>
  <c r="AH471" i="2" s="1"/>
  <c r="AH472" i="2" a="1"/>
  <c r="AH472" i="2" s="1"/>
  <c r="AH473" i="2" a="1"/>
  <c r="AH473" i="2" s="1"/>
  <c r="AI464" i="2" a="1"/>
  <c r="AI464" i="2" s="1"/>
  <c r="AI465" i="2" a="1"/>
  <c r="AI465" i="2" s="1"/>
  <c r="AI466" i="2" a="1"/>
  <c r="AI466" i="2" s="1"/>
  <c r="AI467" i="2" a="1"/>
  <c r="AI467" i="2" s="1"/>
  <c r="AI468" i="2" a="1"/>
  <c r="AI468" i="2" s="1"/>
  <c r="AI469" i="2" a="1"/>
  <c r="AI469" i="2" s="1"/>
  <c r="AI470" i="2" a="1"/>
  <c r="AI470" i="2" s="1"/>
  <c r="AI471" i="2" a="1"/>
  <c r="AI471" i="2" s="1"/>
  <c r="AI472" i="2" a="1"/>
  <c r="AI472" i="2" s="1"/>
  <c r="AI473" i="2" a="1"/>
  <c r="AI473" i="2" s="1"/>
  <c r="AJ464" i="2" a="1"/>
  <c r="AJ464" i="2" s="1"/>
  <c r="AJ465" i="2" a="1"/>
  <c r="AJ465" i="2" s="1"/>
  <c r="AJ466" i="2" a="1"/>
  <c r="AJ466" i="2" s="1"/>
  <c r="AJ467" i="2" a="1"/>
  <c r="AJ467" i="2" s="1"/>
  <c r="AJ468" i="2" a="1"/>
  <c r="AJ468" i="2" s="1"/>
  <c r="AJ469" i="2" a="1"/>
  <c r="AJ469" i="2" s="1"/>
  <c r="AJ470" i="2" a="1"/>
  <c r="AJ470" i="2" s="1"/>
  <c r="AJ471" i="2" a="1"/>
  <c r="AJ471" i="2" s="1"/>
  <c r="AJ472" i="2" a="1"/>
  <c r="AJ472" i="2" s="1"/>
  <c r="AJ473" i="2" a="1"/>
  <c r="AJ473" i="2" s="1"/>
  <c r="W462" i="2" a="1"/>
  <c r="W462" i="2" s="1"/>
  <c r="W463" i="2" a="1"/>
  <c r="W463" i="2" s="1"/>
  <c r="W474" i="2" a="1"/>
  <c r="W474" i="2" s="1"/>
  <c r="W475" i="2" a="1"/>
  <c r="W475" i="2" s="1"/>
  <c r="X462" i="2" a="1"/>
  <c r="X462" i="2" s="1"/>
  <c r="X463" i="2" a="1"/>
  <c r="X463" i="2" s="1"/>
  <c r="X474" i="2" a="1"/>
  <c r="X474" i="2" s="1"/>
  <c r="X475" i="2" a="1"/>
  <c r="X475" i="2" s="1"/>
  <c r="Y462" i="2" a="1"/>
  <c r="Y462" i="2" s="1"/>
  <c r="Y463" i="2" a="1"/>
  <c r="Y463" i="2" s="1"/>
  <c r="Y474" i="2" a="1"/>
  <c r="Y474" i="2" s="1"/>
  <c r="Y475" i="2" a="1"/>
  <c r="Y475" i="2" s="1"/>
  <c r="Z462" i="2" a="1"/>
  <c r="Z462" i="2" s="1"/>
  <c r="Z463" i="2" a="1"/>
  <c r="Z463" i="2" s="1"/>
  <c r="Z474" i="2" a="1"/>
  <c r="Z474" i="2" s="1"/>
  <c r="Z475" i="2" a="1"/>
  <c r="Z475" i="2" s="1"/>
  <c r="AA462" i="2" a="1"/>
  <c r="AA462" i="2" s="1"/>
  <c r="AA463" i="2" a="1"/>
  <c r="AA463" i="2" s="1"/>
  <c r="AA474" i="2" a="1"/>
  <c r="AA474" i="2" s="1"/>
  <c r="AA475" i="2" a="1"/>
  <c r="AA475" i="2" s="1"/>
  <c r="AB462" i="2" a="1"/>
  <c r="AB462" i="2" s="1"/>
  <c r="AB463" i="2" a="1"/>
  <c r="AB463" i="2" s="1"/>
  <c r="AB474" i="2" a="1"/>
  <c r="AB474" i="2" s="1"/>
  <c r="AB475" i="2" a="1"/>
  <c r="AB475" i="2" s="1"/>
  <c r="AC462" i="2" a="1"/>
  <c r="AC462" i="2" s="1"/>
  <c r="AC463" i="2" a="1"/>
  <c r="AC463" i="2" s="1"/>
  <c r="AC474" i="2" a="1"/>
  <c r="AC474" i="2" s="1"/>
  <c r="AC475" i="2" a="1"/>
  <c r="AC475" i="2" s="1"/>
  <c r="AD462" i="2" a="1"/>
  <c r="AD462" i="2" s="1"/>
  <c r="AD463" i="2" a="1"/>
  <c r="AD463" i="2" s="1"/>
  <c r="AD474" i="2" a="1"/>
  <c r="AD474" i="2" s="1"/>
  <c r="AD475" i="2" a="1"/>
  <c r="AD475" i="2" s="1"/>
  <c r="AE462" i="2" a="1"/>
  <c r="AE462" i="2" s="1"/>
  <c r="AE463" i="2" a="1"/>
  <c r="AE463" i="2" s="1"/>
  <c r="AE474" i="2" a="1"/>
  <c r="AE474" i="2" s="1"/>
  <c r="AE475" i="2" a="1"/>
  <c r="AE475" i="2" s="1"/>
  <c r="AF462" i="2" a="1"/>
  <c r="AF462" i="2" s="1"/>
  <c r="AF463" i="2" a="1"/>
  <c r="AF463" i="2" s="1"/>
  <c r="AF474" i="2" a="1"/>
  <c r="AF474" i="2" s="1"/>
  <c r="AF475" i="2" a="1"/>
  <c r="AF475" i="2" s="1"/>
  <c r="AG462" i="2" a="1"/>
  <c r="AG462" i="2" s="1"/>
  <c r="AG463" i="2" a="1"/>
  <c r="AG463" i="2" s="1"/>
  <c r="AG474" i="2" a="1"/>
  <c r="AG474" i="2" s="1"/>
  <c r="AG475" i="2" a="1"/>
  <c r="AG475" i="2" s="1"/>
  <c r="AH462" i="2" a="1"/>
  <c r="AH462" i="2" s="1"/>
  <c r="AH463" i="2" a="1"/>
  <c r="AH463" i="2" s="1"/>
  <c r="AH474" i="2" a="1"/>
  <c r="AH474" i="2" s="1"/>
  <c r="AH475" i="2" a="1"/>
  <c r="AH475" i="2" s="1"/>
  <c r="AI462" i="2" a="1"/>
  <c r="AI462" i="2" s="1"/>
  <c r="AI463" i="2" a="1"/>
  <c r="AI463" i="2" s="1"/>
  <c r="AI474" i="2" a="1"/>
  <c r="AI474" i="2" s="1"/>
  <c r="AI475" i="2" a="1"/>
  <c r="AI475" i="2" s="1"/>
  <c r="AJ462" i="2" a="1"/>
  <c r="AJ462" i="2" s="1"/>
  <c r="AJ463" i="2" a="1"/>
  <c r="AJ463" i="2" s="1"/>
  <c r="AJ474" i="2" a="1"/>
  <c r="AJ474" i="2" s="1"/>
  <c r="AJ475" i="2" a="1"/>
  <c r="AJ475" i="2" s="1"/>
  <c r="W476" i="2" a="1"/>
  <c r="W476" i="2" s="1"/>
  <c r="W477" i="2" a="1"/>
  <c r="W477" i="2" s="1"/>
  <c r="W478" i="2" a="1"/>
  <c r="W478" i="2" s="1"/>
  <c r="W479" i="2" a="1"/>
  <c r="W479" i="2" s="1"/>
  <c r="X476" i="2" a="1"/>
  <c r="X476" i="2" s="1"/>
  <c r="X477" i="2" a="1"/>
  <c r="X477" i="2" s="1"/>
  <c r="X478" i="2" a="1"/>
  <c r="X478" i="2" s="1"/>
  <c r="X479" i="2" a="1"/>
  <c r="X479" i="2" s="1"/>
  <c r="Y476" i="2" a="1"/>
  <c r="Y476" i="2" s="1"/>
  <c r="Y477" i="2" a="1"/>
  <c r="Y477" i="2" s="1"/>
  <c r="Y478" i="2" a="1"/>
  <c r="Y478" i="2" s="1"/>
  <c r="Y479" i="2" a="1"/>
  <c r="Y479" i="2" s="1"/>
  <c r="Z476" i="2" a="1"/>
  <c r="Z476" i="2" s="1"/>
  <c r="Z477" i="2" a="1"/>
  <c r="Z477" i="2" s="1"/>
  <c r="Z478" i="2" a="1"/>
  <c r="Z478" i="2" s="1"/>
  <c r="Z479" i="2" a="1"/>
  <c r="Z479" i="2" s="1"/>
  <c r="AA476" i="2" a="1"/>
  <c r="AA476" i="2" s="1"/>
  <c r="AA477" i="2" a="1"/>
  <c r="AA477" i="2" s="1"/>
  <c r="AA478" i="2" a="1"/>
  <c r="AA478" i="2" s="1"/>
  <c r="AA479" i="2" a="1"/>
  <c r="AA479" i="2" s="1"/>
  <c r="AB476" i="2" a="1"/>
  <c r="AB476" i="2" s="1"/>
  <c r="AB477" i="2" a="1"/>
  <c r="AB477" i="2" s="1"/>
  <c r="AB478" i="2" a="1"/>
  <c r="AB478" i="2" s="1"/>
  <c r="AB479" i="2" a="1"/>
  <c r="AB479" i="2" s="1"/>
  <c r="AC476" i="2" a="1"/>
  <c r="AC476" i="2" s="1"/>
  <c r="AC477" i="2" a="1"/>
  <c r="AC477" i="2" s="1"/>
  <c r="AC478" i="2" a="1"/>
  <c r="AC478" i="2" s="1"/>
  <c r="AC479" i="2" a="1"/>
  <c r="AC479" i="2" s="1"/>
  <c r="AD476" i="2" a="1"/>
  <c r="AD476" i="2" s="1"/>
  <c r="AD477" i="2" a="1"/>
  <c r="AD477" i="2" s="1"/>
  <c r="AD478" i="2" a="1"/>
  <c r="AD478" i="2" s="1"/>
  <c r="AD479" i="2" a="1"/>
  <c r="AD479" i="2" s="1"/>
  <c r="AE476" i="2" a="1"/>
  <c r="AE476" i="2" s="1"/>
  <c r="AE477" i="2" a="1"/>
  <c r="AE477" i="2" s="1"/>
  <c r="AE478" i="2" a="1"/>
  <c r="AE478" i="2" s="1"/>
  <c r="AE479" i="2" a="1"/>
  <c r="AE479" i="2" s="1"/>
  <c r="AF476" i="2" a="1"/>
  <c r="AF476" i="2" s="1"/>
  <c r="AF477" i="2" a="1"/>
  <c r="AF477" i="2" s="1"/>
  <c r="AF478" i="2" a="1"/>
  <c r="AF478" i="2" s="1"/>
  <c r="AF479" i="2" a="1"/>
  <c r="AF479" i="2" s="1"/>
  <c r="AG476" i="2" a="1"/>
  <c r="AG476" i="2" s="1"/>
  <c r="AG477" i="2" a="1"/>
  <c r="AG477" i="2" s="1"/>
  <c r="AG478" i="2" a="1"/>
  <c r="AG478" i="2" s="1"/>
  <c r="AG479" i="2" a="1"/>
  <c r="AG479" i="2" s="1"/>
  <c r="AH476" i="2" a="1"/>
  <c r="AH476" i="2" s="1"/>
  <c r="AH477" i="2" a="1"/>
  <c r="AH477" i="2" s="1"/>
  <c r="AH478" i="2" a="1"/>
  <c r="AH478" i="2" s="1"/>
  <c r="AH479" i="2" a="1"/>
  <c r="AH479" i="2" s="1"/>
  <c r="AI476" i="2" a="1"/>
  <c r="AI476" i="2" s="1"/>
  <c r="AI477" i="2" a="1"/>
  <c r="AI477" i="2" s="1"/>
  <c r="AI478" i="2" a="1"/>
  <c r="AI478" i="2" s="1"/>
  <c r="AI479" i="2" a="1"/>
  <c r="AI479" i="2" s="1"/>
  <c r="AJ476" i="2" a="1"/>
  <c r="AJ476" i="2" s="1"/>
  <c r="AJ477" i="2" a="1"/>
  <c r="AJ477" i="2" s="1"/>
  <c r="AJ478" i="2" a="1"/>
  <c r="AJ478" i="2" s="1"/>
  <c r="AJ479" i="2" a="1"/>
  <c r="AJ479" i="2" s="1"/>
  <c r="W480" i="2" a="1"/>
  <c r="W480" i="2" s="1"/>
  <c r="W481" i="2" a="1"/>
  <c r="W481" i="2" s="1"/>
  <c r="X480" i="2" a="1"/>
  <c r="X480" i="2" s="1"/>
  <c r="X481" i="2" a="1"/>
  <c r="X481" i="2" s="1"/>
  <c r="Y480" i="2" a="1"/>
  <c r="Y480" i="2" s="1"/>
  <c r="Y481" i="2" a="1"/>
  <c r="Y481" i="2" s="1"/>
  <c r="Z480" i="2" a="1"/>
  <c r="Z480" i="2" s="1"/>
  <c r="Z481" i="2" a="1"/>
  <c r="Z481" i="2" s="1"/>
  <c r="AA480" i="2" a="1"/>
  <c r="AA480" i="2" s="1"/>
  <c r="AA481" i="2" a="1"/>
  <c r="AA481" i="2" s="1"/>
  <c r="AB480" i="2" a="1"/>
  <c r="AB480" i="2" s="1"/>
  <c r="AB481" i="2" a="1"/>
  <c r="AB481" i="2" s="1"/>
  <c r="AC480" i="2" a="1"/>
  <c r="AC480" i="2" s="1"/>
  <c r="AC481" i="2" a="1"/>
  <c r="AC481" i="2" s="1"/>
  <c r="AD480" i="2" a="1"/>
  <c r="AD480" i="2" s="1"/>
  <c r="AD481" i="2" a="1"/>
  <c r="AD481" i="2" s="1"/>
  <c r="AE480" i="2" a="1"/>
  <c r="AE480" i="2" s="1"/>
  <c r="AE481" i="2" a="1"/>
  <c r="AE481" i="2" s="1"/>
  <c r="AF480" i="2" a="1"/>
  <c r="AF480" i="2" s="1"/>
  <c r="AF481" i="2" a="1"/>
  <c r="AF481" i="2" s="1"/>
  <c r="AG480" i="2" a="1"/>
  <c r="AG480" i="2" s="1"/>
  <c r="AG481" i="2" a="1"/>
  <c r="AG481" i="2" s="1"/>
  <c r="AH480" i="2" a="1"/>
  <c r="AH480" i="2" s="1"/>
  <c r="AH481" i="2" a="1"/>
  <c r="AH481" i="2" s="1"/>
  <c r="AI480" i="2" a="1"/>
  <c r="AI480" i="2" s="1"/>
  <c r="AI481" i="2" a="1"/>
  <c r="AI481" i="2" s="1"/>
  <c r="AJ480" i="2" a="1"/>
  <c r="AJ480" i="2" s="1"/>
  <c r="AJ481" i="2" a="1"/>
  <c r="AJ481" i="2" s="1"/>
  <c r="W482" i="2" a="1"/>
  <c r="W482" i="2" s="1"/>
  <c r="X482" i="2" a="1"/>
  <c r="X482" i="2" s="1"/>
  <c r="Y482" i="2" a="1"/>
  <c r="Y482" i="2" s="1"/>
  <c r="Z482" i="2" a="1"/>
  <c r="Z482" i="2" s="1"/>
  <c r="AA482" i="2" a="1"/>
  <c r="AA482" i="2" s="1"/>
  <c r="AB482" i="2" a="1"/>
  <c r="AB482" i="2" s="1"/>
  <c r="AC482" i="2" a="1"/>
  <c r="AC482" i="2" s="1"/>
  <c r="AD482" i="2" a="1"/>
  <c r="AD482" i="2" s="1"/>
  <c r="AE482" i="2" a="1"/>
  <c r="AE482" i="2" s="1"/>
  <c r="AF482" i="2" a="1"/>
  <c r="AF482" i="2" s="1"/>
  <c r="AG482" i="2" a="1"/>
  <c r="AG482" i="2" s="1"/>
  <c r="AH482" i="2" a="1"/>
  <c r="AH482" i="2" s="1"/>
  <c r="AI482" i="2" a="1"/>
  <c r="AI482" i="2" s="1"/>
  <c r="AJ482" i="2" a="1"/>
  <c r="AJ482" i="2" s="1"/>
  <c r="M525" i="2" l="1"/>
  <c r="M522" i="2"/>
  <c r="M521" i="2"/>
  <c r="M520" i="2"/>
  <c r="M517" i="2"/>
  <c r="M514" i="2"/>
  <c r="M511" i="2"/>
  <c r="M508" i="2"/>
  <c r="M505" i="2"/>
  <c r="M502" i="2"/>
  <c r="W497" i="2" a="1"/>
  <c r="W497" i="2" s="1"/>
  <c r="X497" i="2" a="1"/>
  <c r="X497" i="2" s="1"/>
  <c r="Y497" i="2" a="1"/>
  <c r="Y497" i="2" s="1"/>
  <c r="Z497" i="2" a="1"/>
  <c r="Z497" i="2" s="1"/>
  <c r="AA497" i="2" a="1"/>
  <c r="AA497" i="2" s="1"/>
  <c r="AB497" i="2" a="1"/>
  <c r="AB497" i="2" s="1"/>
  <c r="AC497" i="2" a="1"/>
  <c r="AC497" i="2" s="1"/>
  <c r="AD497" i="2" a="1"/>
  <c r="AD497" i="2" s="1"/>
  <c r="AE497" i="2" a="1"/>
  <c r="AE497" i="2" s="1"/>
  <c r="AF497" i="2" a="1"/>
  <c r="AF497" i="2" s="1"/>
  <c r="AG497" i="2" a="1"/>
  <c r="AG497" i="2" s="1"/>
  <c r="AH497" i="2" a="1"/>
  <c r="AH497" i="2" s="1"/>
  <c r="AI497" i="2" a="1"/>
  <c r="AI497" i="2" s="1"/>
  <c r="AJ497" i="2" a="1"/>
  <c r="AJ497" i="2" s="1"/>
  <c r="W496" i="2" a="1"/>
  <c r="W496" i="2" s="1"/>
  <c r="X496" i="2" a="1"/>
  <c r="X496" i="2" s="1"/>
  <c r="Y496" i="2" a="1"/>
  <c r="Y496" i="2" s="1"/>
  <c r="Z496" i="2" a="1"/>
  <c r="Z496" i="2" s="1"/>
  <c r="AA496" i="2" a="1"/>
  <c r="AA496" i="2" s="1"/>
  <c r="AB496" i="2" a="1"/>
  <c r="AB496" i="2" s="1"/>
  <c r="AC496" i="2" a="1"/>
  <c r="AC496" i="2" s="1"/>
  <c r="AD496" i="2" a="1"/>
  <c r="AD496" i="2" s="1"/>
  <c r="AE496" i="2" a="1"/>
  <c r="AE496" i="2" s="1"/>
  <c r="AF496" i="2" a="1"/>
  <c r="AF496" i="2" s="1"/>
  <c r="AG496" i="2" a="1"/>
  <c r="AG496" i="2" s="1"/>
  <c r="AH496" i="2" a="1"/>
  <c r="AH496" i="2" s="1"/>
  <c r="AI496" i="2" a="1"/>
  <c r="AI496" i="2" s="1"/>
  <c r="AJ496" i="2" a="1"/>
  <c r="AJ496" i="2" s="1"/>
  <c r="W493" i="2" a="1"/>
  <c r="W493" i="2" s="1"/>
  <c r="X493" i="2" a="1"/>
  <c r="X493" i="2" s="1"/>
  <c r="Y493" i="2" a="1"/>
  <c r="Y493" i="2" s="1"/>
  <c r="Z493" i="2" a="1"/>
  <c r="Z493" i="2" s="1"/>
  <c r="AA493" i="2" a="1"/>
  <c r="AA493" i="2" s="1"/>
  <c r="AB493" i="2" a="1"/>
  <c r="AB493" i="2" s="1"/>
  <c r="AC493" i="2" a="1"/>
  <c r="AC493" i="2" s="1"/>
  <c r="AD493" i="2" a="1"/>
  <c r="AD493" i="2" s="1"/>
  <c r="AE493" i="2" a="1"/>
  <c r="AE493" i="2" s="1"/>
  <c r="AF493" i="2" a="1"/>
  <c r="AF493" i="2" s="1"/>
  <c r="AG493" i="2" a="1"/>
  <c r="AG493" i="2" s="1"/>
  <c r="AH493" i="2" a="1"/>
  <c r="AH493" i="2" s="1"/>
  <c r="AI493" i="2" a="1"/>
  <c r="AI493" i="2" s="1"/>
  <c r="AJ493" i="2" a="1"/>
  <c r="AJ493" i="2" s="1"/>
  <c r="W492" i="2" a="1"/>
  <c r="W492" i="2" s="1"/>
  <c r="X492" i="2" a="1"/>
  <c r="X492" i="2" s="1"/>
  <c r="Y492" i="2" a="1"/>
  <c r="Y492" i="2" s="1"/>
  <c r="Z492" i="2" a="1"/>
  <c r="Z492" i="2" s="1"/>
  <c r="AA492" i="2" a="1"/>
  <c r="AA492" i="2" s="1"/>
  <c r="AB492" i="2" a="1"/>
  <c r="AB492" i="2" s="1"/>
  <c r="AC492" i="2" a="1"/>
  <c r="AC492" i="2" s="1"/>
  <c r="AD492" i="2" a="1"/>
  <c r="AD492" i="2" s="1"/>
  <c r="AE492" i="2" a="1"/>
  <c r="AE492" i="2" s="1"/>
  <c r="AF492" i="2" a="1"/>
  <c r="AF492" i="2" s="1"/>
  <c r="AG492" i="2" a="1"/>
  <c r="AG492" i="2" s="1"/>
  <c r="AH492" i="2" a="1"/>
  <c r="AH492" i="2" s="1"/>
  <c r="AI492" i="2" a="1"/>
  <c r="AI492" i="2" s="1"/>
  <c r="AJ492" i="2" a="1"/>
  <c r="AJ492" i="2" s="1"/>
  <c r="W458" i="2" a="1"/>
  <c r="W458" i="2" s="1"/>
  <c r="X458" i="2" a="1"/>
  <c r="X458" i="2" s="1"/>
  <c r="Y458" i="2" a="1"/>
  <c r="Y458" i="2" s="1"/>
  <c r="Z458" i="2" a="1"/>
  <c r="Z458" i="2" s="1"/>
  <c r="AA458" i="2" a="1"/>
  <c r="AA458" i="2" s="1"/>
  <c r="AB458" i="2" a="1"/>
  <c r="AB458" i="2" s="1"/>
  <c r="AC458" i="2" a="1"/>
  <c r="AC458" i="2" s="1"/>
  <c r="AD458" i="2" a="1"/>
  <c r="AD458" i="2" s="1"/>
  <c r="AE458" i="2" a="1"/>
  <c r="AE458" i="2" s="1"/>
  <c r="AF458" i="2" a="1"/>
  <c r="AF458" i="2" s="1"/>
  <c r="AG458" i="2" a="1"/>
  <c r="AG458" i="2" s="1"/>
  <c r="AH458" i="2" a="1"/>
  <c r="AH458" i="2" s="1"/>
  <c r="AI458" i="2" a="1"/>
  <c r="AI458" i="2" s="1"/>
  <c r="AJ458" i="2" a="1"/>
  <c r="AJ458" i="2" s="1"/>
  <c r="W439" i="2" a="1"/>
  <c r="W439" i="2" s="1"/>
  <c r="W440" i="2" a="1"/>
  <c r="W440" i="2" s="1"/>
  <c r="W441" i="2" a="1"/>
  <c r="W441" i="2" s="1"/>
  <c r="W442" i="2" a="1"/>
  <c r="W442" i="2" s="1"/>
  <c r="W443" i="2" a="1"/>
  <c r="W443" i="2" s="1"/>
  <c r="W444" i="2" a="1"/>
  <c r="W444" i="2" s="1"/>
  <c r="W445" i="2" a="1"/>
  <c r="W445" i="2" s="1"/>
  <c r="W446" i="2" a="1"/>
  <c r="W446" i="2" s="1"/>
  <c r="X439" i="2" a="1"/>
  <c r="X439" i="2" s="1"/>
  <c r="X440" i="2" a="1"/>
  <c r="X440" i="2" s="1"/>
  <c r="X441" i="2" a="1"/>
  <c r="X441" i="2" s="1"/>
  <c r="X442" i="2" a="1"/>
  <c r="X442" i="2" s="1"/>
  <c r="X443" i="2" a="1"/>
  <c r="X443" i="2" s="1"/>
  <c r="X444" i="2" a="1"/>
  <c r="X444" i="2" s="1"/>
  <c r="X445" i="2" a="1"/>
  <c r="X445" i="2" s="1"/>
  <c r="X446" i="2" a="1"/>
  <c r="X446" i="2" s="1"/>
  <c r="Y439" i="2" a="1"/>
  <c r="Y439" i="2" s="1"/>
  <c r="Y440" i="2" a="1"/>
  <c r="Y440" i="2" s="1"/>
  <c r="Y441" i="2" a="1"/>
  <c r="Y441" i="2" s="1"/>
  <c r="Y442" i="2" a="1"/>
  <c r="Y442" i="2" s="1"/>
  <c r="Y443" i="2" a="1"/>
  <c r="Y443" i="2" s="1"/>
  <c r="Y444" i="2" a="1"/>
  <c r="Y444" i="2" s="1"/>
  <c r="Y445" i="2" a="1"/>
  <c r="Y445" i="2" s="1"/>
  <c r="Y446" i="2" a="1"/>
  <c r="Y446" i="2" s="1"/>
  <c r="Z439" i="2" a="1"/>
  <c r="Z439" i="2" s="1"/>
  <c r="Z440" i="2" a="1"/>
  <c r="Z440" i="2" s="1"/>
  <c r="Z441" i="2" a="1"/>
  <c r="Z441" i="2" s="1"/>
  <c r="Z442" i="2" a="1"/>
  <c r="Z442" i="2" s="1"/>
  <c r="Z443" i="2" a="1"/>
  <c r="Z443" i="2" s="1"/>
  <c r="Z444" i="2" a="1"/>
  <c r="Z444" i="2" s="1"/>
  <c r="Z445" i="2" a="1"/>
  <c r="Z445" i="2" s="1"/>
  <c r="Z446" i="2" a="1"/>
  <c r="Z446" i="2" s="1"/>
  <c r="AA439" i="2" a="1"/>
  <c r="AA439" i="2" s="1"/>
  <c r="AA440" i="2" a="1"/>
  <c r="AA440" i="2" s="1"/>
  <c r="AA441" i="2" a="1"/>
  <c r="AA441" i="2" s="1"/>
  <c r="AA442" i="2" a="1"/>
  <c r="AA442" i="2" s="1"/>
  <c r="AA443" i="2" a="1"/>
  <c r="AA443" i="2" s="1"/>
  <c r="AA444" i="2" a="1"/>
  <c r="AA444" i="2" s="1"/>
  <c r="AA445" i="2" a="1"/>
  <c r="AA445" i="2" s="1"/>
  <c r="AA446" i="2" a="1"/>
  <c r="AA446" i="2" s="1"/>
  <c r="AB439" i="2" a="1"/>
  <c r="AB439" i="2" s="1"/>
  <c r="AB440" i="2" a="1"/>
  <c r="AB440" i="2" s="1"/>
  <c r="AB441" i="2" a="1"/>
  <c r="AB441" i="2" s="1"/>
  <c r="AB442" i="2" a="1"/>
  <c r="AB442" i="2" s="1"/>
  <c r="AB443" i="2" a="1"/>
  <c r="AB443" i="2" s="1"/>
  <c r="AB444" i="2" a="1"/>
  <c r="AB444" i="2" s="1"/>
  <c r="AB445" i="2" a="1"/>
  <c r="AB445" i="2" s="1"/>
  <c r="AB446" i="2" a="1"/>
  <c r="AB446" i="2" s="1"/>
  <c r="AC439" i="2" a="1"/>
  <c r="AC439" i="2" s="1"/>
  <c r="AC440" i="2" a="1"/>
  <c r="AC440" i="2" s="1"/>
  <c r="AC441" i="2" a="1"/>
  <c r="AC441" i="2" s="1"/>
  <c r="AC442" i="2" a="1"/>
  <c r="AC442" i="2" s="1"/>
  <c r="AC443" i="2" a="1"/>
  <c r="AC443" i="2" s="1"/>
  <c r="AC444" i="2" a="1"/>
  <c r="AC444" i="2" s="1"/>
  <c r="AC445" i="2" a="1"/>
  <c r="AC445" i="2" s="1"/>
  <c r="AC446" i="2" a="1"/>
  <c r="AC446" i="2" s="1"/>
  <c r="AD439" i="2" a="1"/>
  <c r="AD439" i="2" s="1"/>
  <c r="AD440" i="2" a="1"/>
  <c r="AD440" i="2" s="1"/>
  <c r="AD441" i="2" a="1"/>
  <c r="AD441" i="2" s="1"/>
  <c r="AD442" i="2" a="1"/>
  <c r="AD442" i="2" s="1"/>
  <c r="AD443" i="2" a="1"/>
  <c r="AD443" i="2" s="1"/>
  <c r="AD444" i="2" a="1"/>
  <c r="AD444" i="2" s="1"/>
  <c r="AD445" i="2" a="1"/>
  <c r="AD445" i="2" s="1"/>
  <c r="AD446" i="2" a="1"/>
  <c r="AD446" i="2" s="1"/>
  <c r="AE439" i="2" a="1"/>
  <c r="AE439" i="2" s="1"/>
  <c r="AE440" i="2" a="1"/>
  <c r="AE440" i="2" s="1"/>
  <c r="AE441" i="2" a="1"/>
  <c r="AE441" i="2" s="1"/>
  <c r="AE442" i="2" a="1"/>
  <c r="AE442" i="2" s="1"/>
  <c r="AE443" i="2" a="1"/>
  <c r="AE443" i="2" s="1"/>
  <c r="AE444" i="2" a="1"/>
  <c r="AE444" i="2" s="1"/>
  <c r="AE445" i="2" a="1"/>
  <c r="AE445" i="2" s="1"/>
  <c r="AE446" i="2" a="1"/>
  <c r="AE446" i="2" s="1"/>
  <c r="AF439" i="2" a="1"/>
  <c r="AF439" i="2" s="1"/>
  <c r="AF440" i="2" a="1"/>
  <c r="AF440" i="2" s="1"/>
  <c r="AF441" i="2" a="1"/>
  <c r="AF441" i="2" s="1"/>
  <c r="AF442" i="2" a="1"/>
  <c r="AF442" i="2" s="1"/>
  <c r="AF443" i="2" a="1"/>
  <c r="AF443" i="2" s="1"/>
  <c r="AF444" i="2" a="1"/>
  <c r="AF444" i="2" s="1"/>
  <c r="AF445" i="2" a="1"/>
  <c r="AF445" i="2" s="1"/>
  <c r="AF446" i="2" a="1"/>
  <c r="AF446" i="2" s="1"/>
  <c r="AG439" i="2" a="1"/>
  <c r="AG439" i="2" s="1"/>
  <c r="AG440" i="2" a="1"/>
  <c r="AG440" i="2" s="1"/>
  <c r="AG441" i="2" a="1"/>
  <c r="AG441" i="2" s="1"/>
  <c r="AG442" i="2" a="1"/>
  <c r="AG442" i="2" s="1"/>
  <c r="AG443" i="2" a="1"/>
  <c r="AG443" i="2" s="1"/>
  <c r="AG444" i="2" a="1"/>
  <c r="AG444" i="2" s="1"/>
  <c r="AG445" i="2" a="1"/>
  <c r="AG445" i="2" s="1"/>
  <c r="AG446" i="2" a="1"/>
  <c r="AG446" i="2" s="1"/>
  <c r="AH439" i="2" a="1"/>
  <c r="AH439" i="2" s="1"/>
  <c r="AH440" i="2" a="1"/>
  <c r="AH440" i="2" s="1"/>
  <c r="AH441" i="2" a="1"/>
  <c r="AH441" i="2" s="1"/>
  <c r="AH442" i="2" a="1"/>
  <c r="AH442" i="2" s="1"/>
  <c r="AH443" i="2" a="1"/>
  <c r="AH443" i="2" s="1"/>
  <c r="AH444" i="2" a="1"/>
  <c r="AH444" i="2" s="1"/>
  <c r="AH445" i="2" a="1"/>
  <c r="AH445" i="2" s="1"/>
  <c r="AH446" i="2" a="1"/>
  <c r="AH446" i="2" s="1"/>
  <c r="AI439" i="2" a="1"/>
  <c r="AI439" i="2" s="1"/>
  <c r="AI440" i="2" a="1"/>
  <c r="AI440" i="2" s="1"/>
  <c r="AI441" i="2" a="1"/>
  <c r="AI441" i="2" s="1"/>
  <c r="AI442" i="2" a="1"/>
  <c r="AI442" i="2" s="1"/>
  <c r="AI443" i="2" a="1"/>
  <c r="AI443" i="2" s="1"/>
  <c r="AI444" i="2" a="1"/>
  <c r="AI444" i="2" s="1"/>
  <c r="AI445" i="2" a="1"/>
  <c r="AI445" i="2" s="1"/>
  <c r="AI446" i="2" a="1"/>
  <c r="AI446" i="2" s="1"/>
  <c r="AJ439" i="2" a="1"/>
  <c r="AJ439" i="2" s="1"/>
  <c r="AJ440" i="2" a="1"/>
  <c r="AJ440" i="2" s="1"/>
  <c r="AJ441" i="2" a="1"/>
  <c r="AJ441" i="2" s="1"/>
  <c r="AJ442" i="2" a="1"/>
  <c r="AJ442" i="2" s="1"/>
  <c r="AJ443" i="2" a="1"/>
  <c r="AJ443" i="2" s="1"/>
  <c r="AJ444" i="2" a="1"/>
  <c r="AJ444" i="2" s="1"/>
  <c r="AJ445" i="2" a="1"/>
  <c r="AJ445" i="2" s="1"/>
  <c r="AJ446" i="2" a="1"/>
  <c r="AJ446" i="2" s="1"/>
  <c r="W447" i="2" a="1"/>
  <c r="W447" i="2" s="1"/>
  <c r="W448" i="2" a="1"/>
  <c r="W448" i="2" s="1"/>
  <c r="W449" i="2" a="1"/>
  <c r="W449" i="2" s="1"/>
  <c r="W450" i="2" a="1"/>
  <c r="W450" i="2" s="1"/>
  <c r="X447" i="2" a="1"/>
  <c r="X447" i="2" s="1"/>
  <c r="X448" i="2" a="1"/>
  <c r="X448" i="2" s="1"/>
  <c r="X449" i="2" a="1"/>
  <c r="X449" i="2" s="1"/>
  <c r="X450" i="2" a="1"/>
  <c r="X450" i="2" s="1"/>
  <c r="Y447" i="2" a="1"/>
  <c r="Y447" i="2" s="1"/>
  <c r="Y448" i="2" a="1"/>
  <c r="Y448" i="2" s="1"/>
  <c r="Y449" i="2" a="1"/>
  <c r="Y449" i="2" s="1"/>
  <c r="Y450" i="2" a="1"/>
  <c r="Y450" i="2" s="1"/>
  <c r="Z447" i="2" a="1"/>
  <c r="Z447" i="2" s="1"/>
  <c r="Z448" i="2" a="1"/>
  <c r="Z448" i="2" s="1"/>
  <c r="Z449" i="2" a="1"/>
  <c r="Z449" i="2" s="1"/>
  <c r="Z450" i="2" a="1"/>
  <c r="Z450" i="2" s="1"/>
  <c r="AA447" i="2" a="1"/>
  <c r="AA447" i="2" s="1"/>
  <c r="AA448" i="2" a="1"/>
  <c r="AA448" i="2" s="1"/>
  <c r="AA449" i="2" a="1"/>
  <c r="AA449" i="2" s="1"/>
  <c r="AA450" i="2" a="1"/>
  <c r="AA450" i="2" s="1"/>
  <c r="AB447" i="2" a="1"/>
  <c r="AB447" i="2" s="1"/>
  <c r="AB448" i="2" a="1"/>
  <c r="AB448" i="2" s="1"/>
  <c r="AB449" i="2" a="1"/>
  <c r="AB449" i="2" s="1"/>
  <c r="AB450" i="2" a="1"/>
  <c r="AB450" i="2" s="1"/>
  <c r="AC447" i="2" a="1"/>
  <c r="AC447" i="2" s="1"/>
  <c r="AC448" i="2" a="1"/>
  <c r="AC448" i="2" s="1"/>
  <c r="AC449" i="2" a="1"/>
  <c r="AC449" i="2" s="1"/>
  <c r="AC450" i="2" a="1"/>
  <c r="AC450" i="2" s="1"/>
  <c r="AD447" i="2" a="1"/>
  <c r="AD447" i="2" s="1"/>
  <c r="AD448" i="2" a="1"/>
  <c r="AD448" i="2" s="1"/>
  <c r="AD449" i="2" a="1"/>
  <c r="AD449" i="2" s="1"/>
  <c r="AD450" i="2" a="1"/>
  <c r="AD450" i="2" s="1"/>
  <c r="AE447" i="2" a="1"/>
  <c r="AE447" i="2" s="1"/>
  <c r="AE448" i="2" a="1"/>
  <c r="AE448" i="2" s="1"/>
  <c r="AE449" i="2" a="1"/>
  <c r="AE449" i="2" s="1"/>
  <c r="AE450" i="2" a="1"/>
  <c r="AE450" i="2" s="1"/>
  <c r="AF447" i="2" a="1"/>
  <c r="AF447" i="2" s="1"/>
  <c r="AF448" i="2" a="1"/>
  <c r="AF448" i="2" s="1"/>
  <c r="AF449" i="2" a="1"/>
  <c r="AF449" i="2" s="1"/>
  <c r="AF450" i="2" a="1"/>
  <c r="AF450" i="2" s="1"/>
  <c r="AG447" i="2" a="1"/>
  <c r="AG447" i="2" s="1"/>
  <c r="AG448" i="2" a="1"/>
  <c r="AG448" i="2" s="1"/>
  <c r="AG449" i="2" a="1"/>
  <c r="AG449" i="2" s="1"/>
  <c r="AG450" i="2" a="1"/>
  <c r="AG450" i="2" s="1"/>
  <c r="AH447" i="2" a="1"/>
  <c r="AH447" i="2" s="1"/>
  <c r="AH448" i="2" a="1"/>
  <c r="AH448" i="2" s="1"/>
  <c r="AH449" i="2" a="1"/>
  <c r="AH449" i="2" s="1"/>
  <c r="AH450" i="2" a="1"/>
  <c r="AH450" i="2" s="1"/>
  <c r="AI447" i="2" a="1"/>
  <c r="AI447" i="2" s="1"/>
  <c r="AI448" i="2" a="1"/>
  <c r="AI448" i="2" s="1"/>
  <c r="AI449" i="2" a="1"/>
  <c r="AI449" i="2" s="1"/>
  <c r="AI450" i="2" a="1"/>
  <c r="AI450" i="2" s="1"/>
  <c r="AJ447" i="2" a="1"/>
  <c r="AJ447" i="2" s="1"/>
  <c r="AJ448" i="2" a="1"/>
  <c r="AJ448" i="2" s="1"/>
  <c r="AJ449" i="2" a="1"/>
  <c r="AJ449" i="2" s="1"/>
  <c r="AJ450" i="2" a="1"/>
  <c r="AJ450" i="2" s="1"/>
  <c r="W451" i="2" a="1"/>
  <c r="W451" i="2" s="1"/>
  <c r="W452" i="2" a="1"/>
  <c r="W452" i="2" s="1"/>
  <c r="W453" i="2" a="1"/>
  <c r="W453" i="2" s="1"/>
  <c r="W454" i="2" a="1"/>
  <c r="W454" i="2" s="1"/>
  <c r="X451" i="2" a="1"/>
  <c r="X451" i="2" s="1"/>
  <c r="X452" i="2" a="1"/>
  <c r="X452" i="2" s="1"/>
  <c r="X453" i="2" a="1"/>
  <c r="X453" i="2" s="1"/>
  <c r="X454" i="2" a="1"/>
  <c r="X454" i="2" s="1"/>
  <c r="Y451" i="2" a="1"/>
  <c r="Y451" i="2" s="1"/>
  <c r="Y452" i="2" a="1"/>
  <c r="Y452" i="2" s="1"/>
  <c r="Y453" i="2" a="1"/>
  <c r="Y453" i="2" s="1"/>
  <c r="Y454" i="2" a="1"/>
  <c r="Y454" i="2" s="1"/>
  <c r="Z451" i="2" a="1"/>
  <c r="Z451" i="2" s="1"/>
  <c r="Z452" i="2" a="1"/>
  <c r="Z452" i="2" s="1"/>
  <c r="Z453" i="2" a="1"/>
  <c r="Z453" i="2" s="1"/>
  <c r="Z454" i="2" a="1"/>
  <c r="Z454" i="2" s="1"/>
  <c r="AA451" i="2" a="1"/>
  <c r="AA451" i="2" s="1"/>
  <c r="AA452" i="2" a="1"/>
  <c r="AA452" i="2" s="1"/>
  <c r="AA453" i="2" a="1"/>
  <c r="AA453" i="2" s="1"/>
  <c r="AA454" i="2" a="1"/>
  <c r="AA454" i="2" s="1"/>
  <c r="AB451" i="2" a="1"/>
  <c r="AB451" i="2" s="1"/>
  <c r="AB452" i="2" a="1"/>
  <c r="AB452" i="2" s="1"/>
  <c r="AB453" i="2" a="1"/>
  <c r="AB453" i="2" s="1"/>
  <c r="AB454" i="2" a="1"/>
  <c r="AB454" i="2" s="1"/>
  <c r="AC451" i="2" a="1"/>
  <c r="AC451" i="2" s="1"/>
  <c r="AC452" i="2" a="1"/>
  <c r="AC452" i="2" s="1"/>
  <c r="AC453" i="2" a="1"/>
  <c r="AC453" i="2" s="1"/>
  <c r="AC454" i="2" a="1"/>
  <c r="AC454" i="2" s="1"/>
  <c r="AD451" i="2" a="1"/>
  <c r="AD451" i="2" s="1"/>
  <c r="AD452" i="2" a="1"/>
  <c r="AD452" i="2" s="1"/>
  <c r="AD453" i="2" a="1"/>
  <c r="AD453" i="2" s="1"/>
  <c r="AD454" i="2" a="1"/>
  <c r="AD454" i="2" s="1"/>
  <c r="AE451" i="2" a="1"/>
  <c r="AE451" i="2" s="1"/>
  <c r="AE452" i="2" a="1"/>
  <c r="AE452" i="2" s="1"/>
  <c r="AE453" i="2" a="1"/>
  <c r="AE453" i="2" s="1"/>
  <c r="AE454" i="2" a="1"/>
  <c r="AE454" i="2" s="1"/>
  <c r="AF451" i="2" a="1"/>
  <c r="AF451" i="2" s="1"/>
  <c r="AF452" i="2" a="1"/>
  <c r="AF452" i="2" s="1"/>
  <c r="AF453" i="2" a="1"/>
  <c r="AF453" i="2" s="1"/>
  <c r="AF454" i="2" a="1"/>
  <c r="AF454" i="2" s="1"/>
  <c r="AG451" i="2" a="1"/>
  <c r="AG451" i="2" s="1"/>
  <c r="AG452" i="2" a="1"/>
  <c r="AG452" i="2" s="1"/>
  <c r="AG453" i="2" a="1"/>
  <c r="AG453" i="2" s="1"/>
  <c r="AG454" i="2" a="1"/>
  <c r="AG454" i="2" s="1"/>
  <c r="AH451" i="2" a="1"/>
  <c r="AH451" i="2" s="1"/>
  <c r="AH452" i="2" a="1"/>
  <c r="AH452" i="2" s="1"/>
  <c r="AH453" i="2" a="1"/>
  <c r="AH453" i="2" s="1"/>
  <c r="AH454" i="2" a="1"/>
  <c r="AH454" i="2" s="1"/>
  <c r="AI451" i="2" a="1"/>
  <c r="AI451" i="2" s="1"/>
  <c r="AI452" i="2" a="1"/>
  <c r="AI452" i="2" s="1"/>
  <c r="AI453" i="2" a="1"/>
  <c r="AI453" i="2" s="1"/>
  <c r="AI454" i="2" a="1"/>
  <c r="AI454" i="2" s="1"/>
  <c r="AJ451" i="2" a="1"/>
  <c r="AJ451" i="2" s="1"/>
  <c r="AJ452" i="2" a="1"/>
  <c r="AJ452" i="2" s="1"/>
  <c r="AJ453" i="2" a="1"/>
  <c r="AJ453" i="2" s="1"/>
  <c r="AJ454" i="2" a="1"/>
  <c r="AJ454" i="2" s="1"/>
  <c r="W455" i="2" a="1"/>
  <c r="W455" i="2" s="1"/>
  <c r="W456" i="2" a="1"/>
  <c r="W456" i="2" s="1"/>
  <c r="X455" i="2" a="1"/>
  <c r="X455" i="2" s="1"/>
  <c r="X456" i="2" a="1"/>
  <c r="X456" i="2" s="1"/>
  <c r="Y455" i="2" a="1"/>
  <c r="Y455" i="2" s="1"/>
  <c r="Y456" i="2" a="1"/>
  <c r="Y456" i="2" s="1"/>
  <c r="Z455" i="2" a="1"/>
  <c r="Z455" i="2" s="1"/>
  <c r="Z456" i="2" a="1"/>
  <c r="Z456" i="2" s="1"/>
  <c r="AA455" i="2" a="1"/>
  <c r="AA455" i="2" s="1"/>
  <c r="AA456" i="2" a="1"/>
  <c r="AA456" i="2" s="1"/>
  <c r="AB455" i="2" a="1"/>
  <c r="AB455" i="2" s="1"/>
  <c r="AB456" i="2" a="1"/>
  <c r="AB456" i="2" s="1"/>
  <c r="AC455" i="2" a="1"/>
  <c r="AC455" i="2" s="1"/>
  <c r="AC456" i="2" a="1"/>
  <c r="AC456" i="2" s="1"/>
  <c r="AD455" i="2" a="1"/>
  <c r="AD455" i="2" s="1"/>
  <c r="AD456" i="2" a="1"/>
  <c r="AD456" i="2" s="1"/>
  <c r="AE455" i="2" a="1"/>
  <c r="AE455" i="2" s="1"/>
  <c r="AE456" i="2" a="1"/>
  <c r="AE456" i="2" s="1"/>
  <c r="AF455" i="2" a="1"/>
  <c r="AF455" i="2" s="1"/>
  <c r="AF456" i="2" a="1"/>
  <c r="AF456" i="2" s="1"/>
  <c r="AG455" i="2" a="1"/>
  <c r="AG455" i="2" s="1"/>
  <c r="AG456" i="2" a="1"/>
  <c r="AG456" i="2" s="1"/>
  <c r="AH455" i="2" a="1"/>
  <c r="AH455" i="2" s="1"/>
  <c r="AH456" i="2" a="1"/>
  <c r="AH456" i="2" s="1"/>
  <c r="AI455" i="2" a="1"/>
  <c r="AI455" i="2" s="1"/>
  <c r="AI456" i="2" a="1"/>
  <c r="AI456" i="2" s="1"/>
  <c r="AJ455" i="2" a="1"/>
  <c r="AJ455" i="2" s="1"/>
  <c r="AJ456" i="2" a="1"/>
  <c r="AJ456" i="2" s="1"/>
  <c r="W457" i="2" a="1"/>
  <c r="W457" i="2" s="1"/>
  <c r="X457" i="2" a="1"/>
  <c r="X457" i="2" s="1"/>
  <c r="Y457" i="2" a="1"/>
  <c r="Y457" i="2" s="1"/>
  <c r="Z457" i="2" a="1"/>
  <c r="Z457" i="2" s="1"/>
  <c r="AA457" i="2" a="1"/>
  <c r="AA457" i="2" s="1"/>
  <c r="AB457" i="2" a="1"/>
  <c r="AB457" i="2" s="1"/>
  <c r="AC457" i="2" a="1"/>
  <c r="AC457" i="2" s="1"/>
  <c r="AD457" i="2" a="1"/>
  <c r="AD457" i="2" s="1"/>
  <c r="AE457" i="2" a="1"/>
  <c r="AE457" i="2" s="1"/>
  <c r="AF457" i="2" a="1"/>
  <c r="AF457" i="2" s="1"/>
  <c r="AG457" i="2" a="1"/>
  <c r="AG457" i="2" s="1"/>
  <c r="AH457" i="2" a="1"/>
  <c r="AH457" i="2" s="1"/>
  <c r="AI457" i="2" a="1"/>
  <c r="AI457" i="2" s="1"/>
  <c r="AJ457" i="2" a="1"/>
  <c r="AJ457" i="2" s="1"/>
  <c r="M491" i="2" l="1"/>
  <c r="M494" i="2"/>
  <c r="W429" i="2" a="1"/>
  <c r="W429" i="2" s="1"/>
  <c r="W430" i="2" a="1"/>
  <c r="W430" i="2" s="1"/>
  <c r="W431" i="2" a="1"/>
  <c r="W431" i="2" s="1"/>
  <c r="W432" i="2" a="1"/>
  <c r="W432" i="2" s="1"/>
  <c r="X429" i="2" a="1"/>
  <c r="X429" i="2" s="1"/>
  <c r="X430" i="2" a="1"/>
  <c r="X430" i="2" s="1"/>
  <c r="X431" i="2" a="1"/>
  <c r="X431" i="2" s="1"/>
  <c r="X432" i="2" a="1"/>
  <c r="X432" i="2" s="1"/>
  <c r="Y429" i="2" a="1"/>
  <c r="Y429" i="2" s="1"/>
  <c r="Y430" i="2" a="1"/>
  <c r="Y430" i="2" s="1"/>
  <c r="Y431" i="2" a="1"/>
  <c r="Y431" i="2" s="1"/>
  <c r="Y432" i="2" a="1"/>
  <c r="Y432" i="2" s="1"/>
  <c r="Z429" i="2" a="1"/>
  <c r="Z429" i="2" s="1"/>
  <c r="Z430" i="2" a="1"/>
  <c r="Z430" i="2" s="1"/>
  <c r="Z431" i="2" a="1"/>
  <c r="Z431" i="2" s="1"/>
  <c r="Z432" i="2" a="1"/>
  <c r="Z432" i="2" s="1"/>
  <c r="AA429" i="2" a="1"/>
  <c r="AA429" i="2" s="1"/>
  <c r="AA430" i="2" a="1"/>
  <c r="AA430" i="2" s="1"/>
  <c r="AA431" i="2" a="1"/>
  <c r="AA431" i="2" s="1"/>
  <c r="AA432" i="2" a="1"/>
  <c r="AA432" i="2" s="1"/>
  <c r="AB429" i="2" a="1"/>
  <c r="AB429" i="2" s="1"/>
  <c r="AB430" i="2" a="1"/>
  <c r="AB430" i="2" s="1"/>
  <c r="AB431" i="2" a="1"/>
  <c r="AB431" i="2" s="1"/>
  <c r="AB432" i="2" a="1"/>
  <c r="AB432" i="2" s="1"/>
  <c r="AC429" i="2" a="1"/>
  <c r="AC429" i="2" s="1"/>
  <c r="AC430" i="2" a="1"/>
  <c r="AC430" i="2" s="1"/>
  <c r="AC431" i="2" a="1"/>
  <c r="AC431" i="2" s="1"/>
  <c r="AC432" i="2" a="1"/>
  <c r="AC432" i="2" s="1"/>
  <c r="AD429" i="2" a="1"/>
  <c r="AD429" i="2" s="1"/>
  <c r="AD430" i="2" a="1"/>
  <c r="AD430" i="2" s="1"/>
  <c r="AD431" i="2" a="1"/>
  <c r="AD431" i="2" s="1"/>
  <c r="AD432" i="2" a="1"/>
  <c r="AD432" i="2" s="1"/>
  <c r="AE429" i="2" a="1"/>
  <c r="AE429" i="2" s="1"/>
  <c r="AE430" i="2" a="1"/>
  <c r="AE430" i="2" s="1"/>
  <c r="AE431" i="2" a="1"/>
  <c r="AE431" i="2" s="1"/>
  <c r="AE432" i="2" a="1"/>
  <c r="AE432" i="2" s="1"/>
  <c r="AF429" i="2" a="1"/>
  <c r="AF429" i="2" s="1"/>
  <c r="AF430" i="2" a="1"/>
  <c r="AF430" i="2" s="1"/>
  <c r="AF431" i="2" a="1"/>
  <c r="AF431" i="2" s="1"/>
  <c r="AF432" i="2" a="1"/>
  <c r="AF432" i="2" s="1"/>
  <c r="AG429" i="2" a="1"/>
  <c r="AG429" i="2" s="1"/>
  <c r="AG430" i="2" a="1"/>
  <c r="AG430" i="2" s="1"/>
  <c r="AG431" i="2" a="1"/>
  <c r="AG431" i="2" s="1"/>
  <c r="AG432" i="2" a="1"/>
  <c r="AG432" i="2" s="1"/>
  <c r="AH429" i="2" a="1"/>
  <c r="AH429" i="2" s="1"/>
  <c r="AH430" i="2" a="1"/>
  <c r="AH430" i="2" s="1"/>
  <c r="AH431" i="2" a="1"/>
  <c r="AH431" i="2" s="1"/>
  <c r="AH432" i="2" a="1"/>
  <c r="AH432" i="2" s="1"/>
  <c r="AI429" i="2" a="1"/>
  <c r="AI429" i="2" s="1"/>
  <c r="AI430" i="2" a="1"/>
  <c r="AI430" i="2" s="1"/>
  <c r="AI431" i="2" a="1"/>
  <c r="AI431" i="2" s="1"/>
  <c r="AI432" i="2" a="1"/>
  <c r="AI432" i="2" s="1"/>
  <c r="AJ429" i="2" a="1"/>
  <c r="AJ429" i="2" s="1"/>
  <c r="AJ430" i="2" a="1"/>
  <c r="AJ430" i="2" s="1"/>
  <c r="AJ431" i="2" a="1"/>
  <c r="AJ431" i="2" s="1"/>
  <c r="AJ432" i="2" a="1"/>
  <c r="AJ432" i="2" s="1"/>
  <c r="W433" i="2" a="1"/>
  <c r="W433" i="2" s="1"/>
  <c r="W434" i="2" a="1"/>
  <c r="W434" i="2" s="1"/>
  <c r="W435" i="2" a="1"/>
  <c r="W435" i="2" s="1"/>
  <c r="W436" i="2" a="1"/>
  <c r="W436" i="2" s="1"/>
  <c r="X433" i="2" a="1"/>
  <c r="X433" i="2" s="1"/>
  <c r="X434" i="2" a="1"/>
  <c r="X434" i="2" s="1"/>
  <c r="X435" i="2" a="1"/>
  <c r="X435" i="2" s="1"/>
  <c r="X436" i="2" a="1"/>
  <c r="X436" i="2" s="1"/>
  <c r="Y433" i="2" a="1"/>
  <c r="Y433" i="2" s="1"/>
  <c r="Y434" i="2" a="1"/>
  <c r="Y434" i="2" s="1"/>
  <c r="Y435" i="2" a="1"/>
  <c r="Y435" i="2" s="1"/>
  <c r="Y436" i="2" a="1"/>
  <c r="Y436" i="2" s="1"/>
  <c r="Z433" i="2" a="1"/>
  <c r="Z433" i="2" s="1"/>
  <c r="Z434" i="2" a="1"/>
  <c r="Z434" i="2" s="1"/>
  <c r="Z435" i="2" a="1"/>
  <c r="Z435" i="2" s="1"/>
  <c r="Z436" i="2" a="1"/>
  <c r="Z436" i="2" s="1"/>
  <c r="AA433" i="2" a="1"/>
  <c r="AA433" i="2" s="1"/>
  <c r="AA434" i="2" a="1"/>
  <c r="AA434" i="2" s="1"/>
  <c r="AA435" i="2" a="1"/>
  <c r="AA435" i="2" s="1"/>
  <c r="AA436" i="2" a="1"/>
  <c r="AA436" i="2" s="1"/>
  <c r="AB433" i="2" a="1"/>
  <c r="AB433" i="2" s="1"/>
  <c r="AB434" i="2" a="1"/>
  <c r="AB434" i="2" s="1"/>
  <c r="AB435" i="2" a="1"/>
  <c r="AB435" i="2" s="1"/>
  <c r="AB436" i="2" a="1"/>
  <c r="AB436" i="2" s="1"/>
  <c r="AC433" i="2" a="1"/>
  <c r="AC433" i="2" s="1"/>
  <c r="AC434" i="2" a="1"/>
  <c r="AC434" i="2" s="1"/>
  <c r="AC435" i="2" a="1"/>
  <c r="AC435" i="2" s="1"/>
  <c r="AC436" i="2" a="1"/>
  <c r="AC436" i="2" s="1"/>
  <c r="AD433" i="2" a="1"/>
  <c r="AD433" i="2" s="1"/>
  <c r="AD434" i="2" a="1"/>
  <c r="AD434" i="2" s="1"/>
  <c r="AD435" i="2" a="1"/>
  <c r="AD435" i="2" s="1"/>
  <c r="AD436" i="2" a="1"/>
  <c r="AD436" i="2" s="1"/>
  <c r="AE433" i="2" a="1"/>
  <c r="AE433" i="2" s="1"/>
  <c r="AE434" i="2" a="1"/>
  <c r="AE434" i="2" s="1"/>
  <c r="AE435" i="2" a="1"/>
  <c r="AE435" i="2" s="1"/>
  <c r="AE436" i="2" a="1"/>
  <c r="AE436" i="2" s="1"/>
  <c r="AF433" i="2" a="1"/>
  <c r="AF433" i="2" s="1"/>
  <c r="AF434" i="2" a="1"/>
  <c r="AF434" i="2" s="1"/>
  <c r="AF435" i="2" a="1"/>
  <c r="AF435" i="2" s="1"/>
  <c r="AF436" i="2" a="1"/>
  <c r="AF436" i="2" s="1"/>
  <c r="AG433" i="2" a="1"/>
  <c r="AG433" i="2" s="1"/>
  <c r="AG434" i="2" a="1"/>
  <c r="AG434" i="2" s="1"/>
  <c r="AG435" i="2" a="1"/>
  <c r="AG435" i="2" s="1"/>
  <c r="AG436" i="2" a="1"/>
  <c r="AG436" i="2" s="1"/>
  <c r="AH433" i="2" a="1"/>
  <c r="AH433" i="2" s="1"/>
  <c r="AH434" i="2" a="1"/>
  <c r="AH434" i="2" s="1"/>
  <c r="AH435" i="2" a="1"/>
  <c r="AH435" i="2" s="1"/>
  <c r="AH436" i="2" a="1"/>
  <c r="AH436" i="2" s="1"/>
  <c r="AI433" i="2" a="1"/>
  <c r="AI433" i="2" s="1"/>
  <c r="AI434" i="2" a="1"/>
  <c r="AI434" i="2" s="1"/>
  <c r="AI435" i="2" a="1"/>
  <c r="AI435" i="2" s="1"/>
  <c r="AI436" i="2" a="1"/>
  <c r="AI436" i="2" s="1"/>
  <c r="AJ433" i="2" a="1"/>
  <c r="AJ433" i="2" s="1"/>
  <c r="AJ434" i="2" a="1"/>
  <c r="AJ434" i="2" s="1"/>
  <c r="AJ435" i="2" a="1"/>
  <c r="AJ435" i="2" s="1"/>
  <c r="AJ436" i="2" a="1"/>
  <c r="AJ436" i="2" s="1"/>
  <c r="W437" i="2" a="1"/>
  <c r="W437" i="2" s="1"/>
  <c r="W438" i="2" a="1"/>
  <c r="W438" i="2" s="1"/>
  <c r="X437" i="2" a="1"/>
  <c r="X437" i="2" s="1"/>
  <c r="X438" i="2" a="1"/>
  <c r="X438" i="2" s="1"/>
  <c r="Y437" i="2" a="1"/>
  <c r="Y437" i="2" s="1"/>
  <c r="Y438" i="2" a="1"/>
  <c r="Y438" i="2" s="1"/>
  <c r="Z437" i="2" a="1"/>
  <c r="Z437" i="2" s="1"/>
  <c r="Z438" i="2" a="1"/>
  <c r="Z438" i="2" s="1"/>
  <c r="AA437" i="2" a="1"/>
  <c r="AA437" i="2" s="1"/>
  <c r="AA438" i="2" a="1"/>
  <c r="AA438" i="2" s="1"/>
  <c r="AB437" i="2" a="1"/>
  <c r="AB437" i="2" s="1"/>
  <c r="AB438" i="2" a="1"/>
  <c r="AB438" i="2" s="1"/>
  <c r="AC437" i="2" a="1"/>
  <c r="AC437" i="2" s="1"/>
  <c r="AC438" i="2" a="1"/>
  <c r="AC438" i="2" s="1"/>
  <c r="AD437" i="2" a="1"/>
  <c r="AD437" i="2" s="1"/>
  <c r="AD438" i="2" a="1"/>
  <c r="AD438" i="2" s="1"/>
  <c r="AE437" i="2" a="1"/>
  <c r="AE437" i="2" s="1"/>
  <c r="AE438" i="2" a="1"/>
  <c r="AE438" i="2" s="1"/>
  <c r="AF437" i="2" a="1"/>
  <c r="AF437" i="2" s="1"/>
  <c r="AF438" i="2" a="1"/>
  <c r="AF438" i="2" s="1"/>
  <c r="AG437" i="2" a="1"/>
  <c r="AG437" i="2" s="1"/>
  <c r="AG438" i="2" a="1"/>
  <c r="AG438" i="2" s="1"/>
  <c r="AH437" i="2" a="1"/>
  <c r="AH437" i="2" s="1"/>
  <c r="AH438" i="2" a="1"/>
  <c r="AH438" i="2" s="1"/>
  <c r="AI437" i="2" a="1"/>
  <c r="AI437" i="2" s="1"/>
  <c r="AI438" i="2" a="1"/>
  <c r="AI438" i="2" s="1"/>
  <c r="AJ437" i="2" a="1"/>
  <c r="AJ437" i="2" s="1"/>
  <c r="AJ438" i="2" a="1"/>
  <c r="AJ438" i="2" s="1"/>
  <c r="W418" i="2" a="1"/>
  <c r="W418" i="2" s="1"/>
  <c r="W419" i="2" a="1"/>
  <c r="W419" i="2" s="1"/>
  <c r="W420" i="2" a="1"/>
  <c r="W420" i="2" s="1"/>
  <c r="W421" i="2" a="1"/>
  <c r="W421" i="2" s="1"/>
  <c r="W422" i="2" a="1"/>
  <c r="W422" i="2" s="1"/>
  <c r="W423" i="2" a="1"/>
  <c r="W423" i="2" s="1"/>
  <c r="X418" i="2" a="1"/>
  <c r="X418" i="2" s="1"/>
  <c r="X419" i="2" a="1"/>
  <c r="X419" i="2" s="1"/>
  <c r="X420" i="2" a="1"/>
  <c r="X420" i="2" s="1"/>
  <c r="X421" i="2" a="1"/>
  <c r="X421" i="2" s="1"/>
  <c r="X422" i="2" a="1"/>
  <c r="X422" i="2" s="1"/>
  <c r="X423" i="2" a="1"/>
  <c r="X423" i="2" s="1"/>
  <c r="Y418" i="2" a="1"/>
  <c r="Y418" i="2" s="1"/>
  <c r="Y419" i="2" a="1"/>
  <c r="Y419" i="2" s="1"/>
  <c r="Y420" i="2" a="1"/>
  <c r="Y420" i="2" s="1"/>
  <c r="Y421" i="2" a="1"/>
  <c r="Y421" i="2" s="1"/>
  <c r="Y422" i="2" a="1"/>
  <c r="Y422" i="2" s="1"/>
  <c r="Y423" i="2" a="1"/>
  <c r="Y423" i="2" s="1"/>
  <c r="Z418" i="2" a="1"/>
  <c r="Z418" i="2" s="1"/>
  <c r="Z419" i="2" a="1"/>
  <c r="Z419" i="2" s="1"/>
  <c r="Z420" i="2" a="1"/>
  <c r="Z420" i="2" s="1"/>
  <c r="Z421" i="2" a="1"/>
  <c r="Z421" i="2" s="1"/>
  <c r="Z422" i="2" a="1"/>
  <c r="Z422" i="2" s="1"/>
  <c r="Z423" i="2" a="1"/>
  <c r="Z423" i="2" s="1"/>
  <c r="AA418" i="2" a="1"/>
  <c r="AA418" i="2" s="1"/>
  <c r="AA419" i="2" a="1"/>
  <c r="AA419" i="2" s="1"/>
  <c r="AA420" i="2" a="1"/>
  <c r="AA420" i="2" s="1"/>
  <c r="AA421" i="2" a="1"/>
  <c r="AA421" i="2" s="1"/>
  <c r="AA422" i="2" a="1"/>
  <c r="AA422" i="2" s="1"/>
  <c r="AA423" i="2" a="1"/>
  <c r="AA423" i="2" s="1"/>
  <c r="AB418" i="2" a="1"/>
  <c r="AB418" i="2" s="1"/>
  <c r="AB419" i="2" a="1"/>
  <c r="AB419" i="2" s="1"/>
  <c r="AB420" i="2" a="1"/>
  <c r="AB420" i="2" s="1"/>
  <c r="AB421" i="2" a="1"/>
  <c r="AB421" i="2" s="1"/>
  <c r="AB422" i="2" a="1"/>
  <c r="AB422" i="2" s="1"/>
  <c r="AB423" i="2" a="1"/>
  <c r="AB423" i="2" s="1"/>
  <c r="AC418" i="2" a="1"/>
  <c r="AC418" i="2" s="1"/>
  <c r="AC419" i="2" a="1"/>
  <c r="AC419" i="2" s="1"/>
  <c r="AC420" i="2" a="1"/>
  <c r="AC420" i="2" s="1"/>
  <c r="AC421" i="2" a="1"/>
  <c r="AC421" i="2" s="1"/>
  <c r="AC422" i="2" a="1"/>
  <c r="AC422" i="2" s="1"/>
  <c r="AC423" i="2" a="1"/>
  <c r="AC423" i="2" s="1"/>
  <c r="AD418" i="2" a="1"/>
  <c r="AD418" i="2" s="1"/>
  <c r="AD419" i="2" a="1"/>
  <c r="AD419" i="2" s="1"/>
  <c r="AD420" i="2" a="1"/>
  <c r="AD420" i="2" s="1"/>
  <c r="AD421" i="2" a="1"/>
  <c r="AD421" i="2" s="1"/>
  <c r="AD422" i="2" a="1"/>
  <c r="AD422" i="2" s="1"/>
  <c r="AD423" i="2" a="1"/>
  <c r="AD423" i="2" s="1"/>
  <c r="AE418" i="2" a="1"/>
  <c r="AE418" i="2" s="1"/>
  <c r="AE419" i="2" a="1"/>
  <c r="AE419" i="2" s="1"/>
  <c r="AE420" i="2" a="1"/>
  <c r="AE420" i="2" s="1"/>
  <c r="AE421" i="2" a="1"/>
  <c r="AE421" i="2" s="1"/>
  <c r="AE422" i="2" a="1"/>
  <c r="AE422" i="2" s="1"/>
  <c r="AE423" i="2" a="1"/>
  <c r="AE423" i="2" s="1"/>
  <c r="AF418" i="2" a="1"/>
  <c r="AF418" i="2" s="1"/>
  <c r="AF419" i="2" a="1"/>
  <c r="AF419" i="2" s="1"/>
  <c r="AF420" i="2" a="1"/>
  <c r="AF420" i="2" s="1"/>
  <c r="AF421" i="2" a="1"/>
  <c r="AF421" i="2" s="1"/>
  <c r="AF422" i="2" a="1"/>
  <c r="AF422" i="2" s="1"/>
  <c r="AF423" i="2" a="1"/>
  <c r="AF423" i="2" s="1"/>
  <c r="AG418" i="2" a="1"/>
  <c r="AG418" i="2" s="1"/>
  <c r="AG419" i="2" a="1"/>
  <c r="AG419" i="2" s="1"/>
  <c r="AG420" i="2" a="1"/>
  <c r="AG420" i="2" s="1"/>
  <c r="AG421" i="2" a="1"/>
  <c r="AG421" i="2" s="1"/>
  <c r="AG422" i="2" a="1"/>
  <c r="AG422" i="2" s="1"/>
  <c r="AG423" i="2" a="1"/>
  <c r="AG423" i="2" s="1"/>
  <c r="AH418" i="2" a="1"/>
  <c r="AH418" i="2" s="1"/>
  <c r="AH419" i="2" a="1"/>
  <c r="AH419" i="2" s="1"/>
  <c r="AH420" i="2" a="1"/>
  <c r="AH420" i="2" s="1"/>
  <c r="AH421" i="2" a="1"/>
  <c r="AH421" i="2" s="1"/>
  <c r="AH422" i="2" a="1"/>
  <c r="AH422" i="2" s="1"/>
  <c r="AH423" i="2" a="1"/>
  <c r="AH423" i="2" s="1"/>
  <c r="AI418" i="2" a="1"/>
  <c r="AI418" i="2" s="1"/>
  <c r="AI419" i="2" a="1"/>
  <c r="AI419" i="2" s="1"/>
  <c r="AI420" i="2" a="1"/>
  <c r="AI420" i="2" s="1"/>
  <c r="AI421" i="2" a="1"/>
  <c r="AI421" i="2" s="1"/>
  <c r="AI422" i="2" a="1"/>
  <c r="AI422" i="2" s="1"/>
  <c r="AI423" i="2" a="1"/>
  <c r="AI423" i="2" s="1"/>
  <c r="AJ418" i="2" a="1"/>
  <c r="AJ418" i="2" s="1"/>
  <c r="AJ419" i="2" a="1"/>
  <c r="AJ419" i="2" s="1"/>
  <c r="AJ420" i="2" a="1"/>
  <c r="AJ420" i="2" s="1"/>
  <c r="AJ421" i="2" a="1"/>
  <c r="AJ421" i="2" s="1"/>
  <c r="AJ422" i="2" a="1"/>
  <c r="AJ422" i="2" s="1"/>
  <c r="AJ423" i="2" a="1"/>
  <c r="AJ423" i="2" s="1"/>
  <c r="W424" i="2" a="1"/>
  <c r="W424" i="2" s="1"/>
  <c r="W425" i="2" a="1"/>
  <c r="W425" i="2" s="1"/>
  <c r="W426" i="2" a="1"/>
  <c r="W426" i="2" s="1"/>
  <c r="X424" i="2" a="1"/>
  <c r="X424" i="2" s="1"/>
  <c r="X425" i="2" a="1"/>
  <c r="X425" i="2" s="1"/>
  <c r="X426" i="2" a="1"/>
  <c r="X426" i="2" s="1"/>
  <c r="Y424" i="2" a="1"/>
  <c r="Y424" i="2" s="1"/>
  <c r="Y425" i="2" a="1"/>
  <c r="Y425" i="2" s="1"/>
  <c r="Y426" i="2" a="1"/>
  <c r="Y426" i="2" s="1"/>
  <c r="Z424" i="2" a="1"/>
  <c r="Z424" i="2" s="1"/>
  <c r="Z425" i="2" a="1"/>
  <c r="Z425" i="2" s="1"/>
  <c r="Z426" i="2" a="1"/>
  <c r="Z426" i="2" s="1"/>
  <c r="AA424" i="2" a="1"/>
  <c r="AA424" i="2" s="1"/>
  <c r="AA425" i="2" a="1"/>
  <c r="AA425" i="2" s="1"/>
  <c r="AA426" i="2" a="1"/>
  <c r="AA426" i="2" s="1"/>
  <c r="AB424" i="2" a="1"/>
  <c r="AB424" i="2" s="1"/>
  <c r="AB425" i="2" a="1"/>
  <c r="AB425" i="2" s="1"/>
  <c r="AB426" i="2" a="1"/>
  <c r="AB426" i="2" s="1"/>
  <c r="AC424" i="2" a="1"/>
  <c r="AC424" i="2" s="1"/>
  <c r="AC425" i="2" a="1"/>
  <c r="AC425" i="2" s="1"/>
  <c r="AC426" i="2" a="1"/>
  <c r="AC426" i="2" s="1"/>
  <c r="AD424" i="2" a="1"/>
  <c r="AD424" i="2" s="1"/>
  <c r="AD425" i="2" a="1"/>
  <c r="AD425" i="2" s="1"/>
  <c r="AD426" i="2" a="1"/>
  <c r="AD426" i="2" s="1"/>
  <c r="AE424" i="2" a="1"/>
  <c r="AE424" i="2" s="1"/>
  <c r="AE425" i="2" a="1"/>
  <c r="AE425" i="2" s="1"/>
  <c r="AE426" i="2" a="1"/>
  <c r="AE426" i="2" s="1"/>
  <c r="AF424" i="2" a="1"/>
  <c r="AF424" i="2" s="1"/>
  <c r="AF425" i="2" a="1"/>
  <c r="AF425" i="2" s="1"/>
  <c r="AF426" i="2" a="1"/>
  <c r="AF426" i="2" s="1"/>
  <c r="AG424" i="2" a="1"/>
  <c r="AG424" i="2" s="1"/>
  <c r="AG425" i="2" a="1"/>
  <c r="AG425" i="2" s="1"/>
  <c r="AG426" i="2" a="1"/>
  <c r="AG426" i="2" s="1"/>
  <c r="AH424" i="2" a="1"/>
  <c r="AH424" i="2" s="1"/>
  <c r="AH425" i="2" a="1"/>
  <c r="AH425" i="2" s="1"/>
  <c r="AH426" i="2" a="1"/>
  <c r="AH426" i="2" s="1"/>
  <c r="AI424" i="2" a="1"/>
  <c r="AI424" i="2" s="1"/>
  <c r="AI425" i="2" a="1"/>
  <c r="AI425" i="2" s="1"/>
  <c r="AI426" i="2" a="1"/>
  <c r="AI426" i="2" s="1"/>
  <c r="AJ424" i="2" a="1"/>
  <c r="AJ424" i="2" s="1"/>
  <c r="AJ425" i="2" a="1"/>
  <c r="AJ425" i="2" s="1"/>
  <c r="AJ426" i="2" a="1"/>
  <c r="AJ426" i="2" s="1"/>
  <c r="W427" i="2" a="1"/>
  <c r="W427" i="2" s="1"/>
  <c r="W428" i="2" a="1"/>
  <c r="W428" i="2" s="1"/>
  <c r="X427" i="2" a="1"/>
  <c r="X427" i="2" s="1"/>
  <c r="X428" i="2" a="1"/>
  <c r="X428" i="2" s="1"/>
  <c r="Y427" i="2" a="1"/>
  <c r="Y427" i="2" s="1"/>
  <c r="Y428" i="2" a="1"/>
  <c r="Y428" i="2" s="1"/>
  <c r="Z427" i="2" a="1"/>
  <c r="Z427" i="2" s="1"/>
  <c r="Z428" i="2" a="1"/>
  <c r="Z428" i="2" s="1"/>
  <c r="AA427" i="2" a="1"/>
  <c r="AA427" i="2" s="1"/>
  <c r="AA428" i="2" a="1"/>
  <c r="AA428" i="2" s="1"/>
  <c r="AB427" i="2" a="1"/>
  <c r="AB427" i="2" s="1"/>
  <c r="AB428" i="2" a="1"/>
  <c r="AB428" i="2" s="1"/>
  <c r="AC427" i="2" a="1"/>
  <c r="AC427" i="2" s="1"/>
  <c r="AC428" i="2" a="1"/>
  <c r="AC428" i="2" s="1"/>
  <c r="AD427" i="2" a="1"/>
  <c r="AD427" i="2" s="1"/>
  <c r="AD428" i="2" a="1"/>
  <c r="AD428" i="2" s="1"/>
  <c r="AE427" i="2" a="1"/>
  <c r="AE427" i="2" s="1"/>
  <c r="AE428" i="2" a="1"/>
  <c r="AE428" i="2" s="1"/>
  <c r="AF427" i="2" a="1"/>
  <c r="AF427" i="2" s="1"/>
  <c r="AF428" i="2" a="1"/>
  <c r="AF428" i="2" s="1"/>
  <c r="AG427" i="2" a="1"/>
  <c r="AG427" i="2" s="1"/>
  <c r="AG428" i="2" a="1"/>
  <c r="AG428" i="2" s="1"/>
  <c r="AH427" i="2" a="1"/>
  <c r="AH427" i="2" s="1"/>
  <c r="AH428" i="2" a="1"/>
  <c r="AH428" i="2" s="1"/>
  <c r="AI427" i="2" a="1"/>
  <c r="AI427" i="2" s="1"/>
  <c r="AI428" i="2" a="1"/>
  <c r="AI428" i="2" s="1"/>
  <c r="AJ427" i="2" a="1"/>
  <c r="AJ427" i="2" s="1"/>
  <c r="AJ428" i="2" a="1"/>
  <c r="AJ428" i="2" s="1"/>
  <c r="M488" i="2"/>
  <c r="M487" i="2"/>
  <c r="M486" i="2"/>
  <c r="M485" i="2"/>
  <c r="W409" i="2" a="1"/>
  <c r="W409" i="2" s="1"/>
  <c r="W410" i="2" a="1"/>
  <c r="W410" i="2" s="1"/>
  <c r="W411" i="2" a="1"/>
  <c r="W411" i="2" s="1"/>
  <c r="X409" i="2" a="1"/>
  <c r="X409" i="2" s="1"/>
  <c r="X410" i="2" a="1"/>
  <c r="X410" i="2" s="1"/>
  <c r="X411" i="2" a="1"/>
  <c r="X411" i="2" s="1"/>
  <c r="Y409" i="2" a="1"/>
  <c r="Y409" i="2" s="1"/>
  <c r="Y410" i="2" a="1"/>
  <c r="Y410" i="2" s="1"/>
  <c r="Y411" i="2" a="1"/>
  <c r="Y411" i="2" s="1"/>
  <c r="Z409" i="2" a="1"/>
  <c r="Z409" i="2" s="1"/>
  <c r="Z410" i="2" a="1"/>
  <c r="Z410" i="2" s="1"/>
  <c r="Z411" i="2" a="1"/>
  <c r="Z411" i="2" s="1"/>
  <c r="AA409" i="2" a="1"/>
  <c r="AA409" i="2" s="1"/>
  <c r="AA410" i="2" a="1"/>
  <c r="AA410" i="2" s="1"/>
  <c r="AA411" i="2" a="1"/>
  <c r="AA411" i="2" s="1"/>
  <c r="AB409" i="2" a="1"/>
  <c r="AB409" i="2" s="1"/>
  <c r="AB410" i="2" a="1"/>
  <c r="AB410" i="2" s="1"/>
  <c r="AB411" i="2" a="1"/>
  <c r="AB411" i="2" s="1"/>
  <c r="AC409" i="2" a="1"/>
  <c r="AC409" i="2" s="1"/>
  <c r="AC410" i="2" a="1"/>
  <c r="AC410" i="2" s="1"/>
  <c r="AC411" i="2" a="1"/>
  <c r="AC411" i="2" s="1"/>
  <c r="AD409" i="2" a="1"/>
  <c r="AD409" i="2" s="1"/>
  <c r="AD410" i="2" a="1"/>
  <c r="AD410" i="2" s="1"/>
  <c r="AD411" i="2" a="1"/>
  <c r="AD411" i="2" s="1"/>
  <c r="AE409" i="2" a="1"/>
  <c r="AE409" i="2" s="1"/>
  <c r="AE410" i="2" a="1"/>
  <c r="AE410" i="2" s="1"/>
  <c r="AE411" i="2" a="1"/>
  <c r="AE411" i="2" s="1"/>
  <c r="AF409" i="2" a="1"/>
  <c r="AF409" i="2" s="1"/>
  <c r="AF410" i="2" a="1"/>
  <c r="AF410" i="2" s="1"/>
  <c r="AF411" i="2" a="1"/>
  <c r="AF411" i="2" s="1"/>
  <c r="AG409" i="2" a="1"/>
  <c r="AG409" i="2" s="1"/>
  <c r="AG410" i="2" a="1"/>
  <c r="AG410" i="2" s="1"/>
  <c r="AG411" i="2" a="1"/>
  <c r="AG411" i="2" s="1"/>
  <c r="AH409" i="2" a="1"/>
  <c r="AH409" i="2" s="1"/>
  <c r="AH410" i="2" a="1"/>
  <c r="AH410" i="2" s="1"/>
  <c r="AH411" i="2" a="1"/>
  <c r="AH411" i="2" s="1"/>
  <c r="AI409" i="2" a="1"/>
  <c r="AI409" i="2" s="1"/>
  <c r="AI410" i="2" a="1"/>
  <c r="AI410" i="2" s="1"/>
  <c r="AI411" i="2" a="1"/>
  <c r="AI411" i="2" s="1"/>
  <c r="AJ409" i="2" a="1"/>
  <c r="AJ409" i="2" s="1"/>
  <c r="AJ410" i="2" a="1"/>
  <c r="AJ410" i="2" s="1"/>
  <c r="AJ411" i="2" a="1"/>
  <c r="AJ411" i="2" s="1"/>
  <c r="W412" i="2" a="1"/>
  <c r="W412" i="2" s="1"/>
  <c r="W413" i="2" a="1"/>
  <c r="W413" i="2" s="1"/>
  <c r="W414" i="2" a="1"/>
  <c r="W414" i="2" s="1"/>
  <c r="W415" i="2" a="1"/>
  <c r="W415" i="2" s="1"/>
  <c r="X412" i="2" a="1"/>
  <c r="X412" i="2" s="1"/>
  <c r="X413" i="2" a="1"/>
  <c r="X413" i="2" s="1"/>
  <c r="X414" i="2" a="1"/>
  <c r="X414" i="2" s="1"/>
  <c r="X415" i="2" a="1"/>
  <c r="X415" i="2" s="1"/>
  <c r="Y412" i="2" a="1"/>
  <c r="Y412" i="2" s="1"/>
  <c r="Y413" i="2" a="1"/>
  <c r="Y413" i="2" s="1"/>
  <c r="Y414" i="2" a="1"/>
  <c r="Y414" i="2" s="1"/>
  <c r="Y415" i="2" a="1"/>
  <c r="Y415" i="2" s="1"/>
  <c r="Z412" i="2" a="1"/>
  <c r="Z412" i="2" s="1"/>
  <c r="Z413" i="2" a="1"/>
  <c r="Z413" i="2" s="1"/>
  <c r="Z414" i="2" a="1"/>
  <c r="Z414" i="2" s="1"/>
  <c r="Z415" i="2" a="1"/>
  <c r="Z415" i="2" s="1"/>
  <c r="AA412" i="2" a="1"/>
  <c r="AA412" i="2" s="1"/>
  <c r="AA413" i="2" a="1"/>
  <c r="AA413" i="2" s="1"/>
  <c r="AA414" i="2" a="1"/>
  <c r="AA414" i="2" s="1"/>
  <c r="AA415" i="2" a="1"/>
  <c r="AA415" i="2" s="1"/>
  <c r="AB412" i="2" a="1"/>
  <c r="AB412" i="2" s="1"/>
  <c r="AB413" i="2" a="1"/>
  <c r="AB413" i="2" s="1"/>
  <c r="AB414" i="2" a="1"/>
  <c r="AB414" i="2" s="1"/>
  <c r="AB415" i="2" a="1"/>
  <c r="AB415" i="2" s="1"/>
  <c r="AC412" i="2" a="1"/>
  <c r="AC412" i="2" s="1"/>
  <c r="AC413" i="2" a="1"/>
  <c r="AC413" i="2" s="1"/>
  <c r="AC414" i="2" a="1"/>
  <c r="AC414" i="2" s="1"/>
  <c r="AC415" i="2" a="1"/>
  <c r="AC415" i="2" s="1"/>
  <c r="AD412" i="2" a="1"/>
  <c r="AD412" i="2" s="1"/>
  <c r="AD413" i="2" a="1"/>
  <c r="AD413" i="2" s="1"/>
  <c r="AD414" i="2" a="1"/>
  <c r="AD414" i="2" s="1"/>
  <c r="AD415" i="2" a="1"/>
  <c r="AD415" i="2" s="1"/>
  <c r="AE412" i="2" a="1"/>
  <c r="AE412" i="2" s="1"/>
  <c r="AE413" i="2" a="1"/>
  <c r="AE413" i="2" s="1"/>
  <c r="AE414" i="2" a="1"/>
  <c r="AE414" i="2" s="1"/>
  <c r="AE415" i="2" a="1"/>
  <c r="AE415" i="2" s="1"/>
  <c r="AF412" i="2" a="1"/>
  <c r="AF412" i="2" s="1"/>
  <c r="AF413" i="2" a="1"/>
  <c r="AF413" i="2" s="1"/>
  <c r="AF414" i="2" a="1"/>
  <c r="AF414" i="2" s="1"/>
  <c r="AF415" i="2" a="1"/>
  <c r="AF415" i="2" s="1"/>
  <c r="AG412" i="2" a="1"/>
  <c r="AG412" i="2" s="1"/>
  <c r="AG413" i="2" a="1"/>
  <c r="AG413" i="2" s="1"/>
  <c r="AG414" i="2" a="1"/>
  <c r="AG414" i="2" s="1"/>
  <c r="AG415" i="2" a="1"/>
  <c r="AG415" i="2" s="1"/>
  <c r="AH412" i="2" a="1"/>
  <c r="AH412" i="2" s="1"/>
  <c r="AH413" i="2" a="1"/>
  <c r="AH413" i="2" s="1"/>
  <c r="AH414" i="2" a="1"/>
  <c r="AH414" i="2" s="1"/>
  <c r="AH415" i="2" a="1"/>
  <c r="AH415" i="2" s="1"/>
  <c r="AI412" i="2" a="1"/>
  <c r="AI412" i="2" s="1"/>
  <c r="AI413" i="2" a="1"/>
  <c r="AI413" i="2" s="1"/>
  <c r="AI414" i="2" a="1"/>
  <c r="AI414" i="2" s="1"/>
  <c r="AI415" i="2" a="1"/>
  <c r="AI415" i="2" s="1"/>
  <c r="AJ412" i="2" a="1"/>
  <c r="AJ412" i="2" s="1"/>
  <c r="AJ413" i="2" a="1"/>
  <c r="AJ413" i="2" s="1"/>
  <c r="AJ414" i="2" a="1"/>
  <c r="AJ414" i="2" s="1"/>
  <c r="AJ415" i="2" a="1"/>
  <c r="AJ415" i="2" s="1"/>
  <c r="W416" i="2" a="1"/>
  <c r="W416" i="2" s="1"/>
  <c r="W417" i="2" a="1"/>
  <c r="W417" i="2" s="1"/>
  <c r="X416" i="2" a="1"/>
  <c r="X416" i="2" s="1"/>
  <c r="X417" i="2" a="1"/>
  <c r="X417" i="2" s="1"/>
  <c r="Y416" i="2" a="1"/>
  <c r="Y416" i="2" s="1"/>
  <c r="Y417" i="2" a="1"/>
  <c r="Y417" i="2" s="1"/>
  <c r="Z416" i="2" a="1"/>
  <c r="Z416" i="2" s="1"/>
  <c r="Z417" i="2" a="1"/>
  <c r="Z417" i="2" s="1"/>
  <c r="AA416" i="2" a="1"/>
  <c r="AA416" i="2" s="1"/>
  <c r="AA417" i="2" a="1"/>
  <c r="AA417" i="2" s="1"/>
  <c r="AB416" i="2" a="1"/>
  <c r="AB416" i="2" s="1"/>
  <c r="AB417" i="2" a="1"/>
  <c r="AB417" i="2" s="1"/>
  <c r="AC416" i="2" a="1"/>
  <c r="AC416" i="2" s="1"/>
  <c r="AC417" i="2" a="1"/>
  <c r="AC417" i="2" s="1"/>
  <c r="AD416" i="2" a="1"/>
  <c r="AD416" i="2" s="1"/>
  <c r="AD417" i="2" a="1"/>
  <c r="AD417" i="2" s="1"/>
  <c r="AE416" i="2" a="1"/>
  <c r="AE416" i="2" s="1"/>
  <c r="AE417" i="2" a="1"/>
  <c r="AE417" i="2" s="1"/>
  <c r="AF416" i="2" a="1"/>
  <c r="AF416" i="2" s="1"/>
  <c r="AF417" i="2" a="1"/>
  <c r="AF417" i="2" s="1"/>
  <c r="AG416" i="2" a="1"/>
  <c r="AG416" i="2" s="1"/>
  <c r="AG417" i="2" a="1"/>
  <c r="AG417" i="2" s="1"/>
  <c r="AH416" i="2" a="1"/>
  <c r="AH416" i="2" s="1"/>
  <c r="AH417" i="2" a="1"/>
  <c r="AH417" i="2" s="1"/>
  <c r="AI416" i="2" a="1"/>
  <c r="AI416" i="2" s="1"/>
  <c r="AI417" i="2" a="1"/>
  <c r="AI417" i="2" s="1"/>
  <c r="AJ416" i="2" a="1"/>
  <c r="AJ416" i="2" s="1"/>
  <c r="AJ417" i="2" a="1"/>
  <c r="AJ417" i="2" s="1"/>
  <c r="W459" i="2" a="1"/>
  <c r="W459" i="2" s="1"/>
  <c r="X459" i="2" a="1"/>
  <c r="X459" i="2" s="1"/>
  <c r="Y459" i="2" a="1"/>
  <c r="Y459" i="2" s="1"/>
  <c r="Z459" i="2" a="1"/>
  <c r="Z459" i="2" s="1"/>
  <c r="AA459" i="2" a="1"/>
  <c r="AA459" i="2" s="1"/>
  <c r="AB459" i="2" a="1"/>
  <c r="AB459" i="2" s="1"/>
  <c r="AC459" i="2" a="1"/>
  <c r="AC459" i="2" s="1"/>
  <c r="AD459" i="2" a="1"/>
  <c r="AD459" i="2" s="1"/>
  <c r="AE459" i="2" a="1"/>
  <c r="AE459" i="2" s="1"/>
  <c r="AF459" i="2" a="1"/>
  <c r="AF459" i="2" s="1"/>
  <c r="AG459" i="2" a="1"/>
  <c r="AG459" i="2" s="1"/>
  <c r="AH459" i="2" a="1"/>
  <c r="AH459" i="2" s="1"/>
  <c r="AI459" i="2" a="1"/>
  <c r="AI459" i="2" s="1"/>
  <c r="AJ459" i="2" a="1"/>
  <c r="AJ459" i="2" s="1"/>
  <c r="W395" i="2" a="1"/>
  <c r="W395" i="2" s="1"/>
  <c r="X395" i="2" a="1"/>
  <c r="X395" i="2" s="1"/>
  <c r="Y395" i="2" a="1"/>
  <c r="Y395" i="2" s="1"/>
  <c r="Z395" i="2" a="1"/>
  <c r="Z395" i="2" s="1"/>
  <c r="AA395" i="2" a="1"/>
  <c r="AA395" i="2" s="1"/>
  <c r="AB395" i="2" a="1"/>
  <c r="AB395" i="2" s="1"/>
  <c r="AC395" i="2" a="1"/>
  <c r="AC395" i="2" s="1"/>
  <c r="AD395" i="2" a="1"/>
  <c r="AD395" i="2" s="1"/>
  <c r="AE395" i="2" a="1"/>
  <c r="AE395" i="2" s="1"/>
  <c r="AF395" i="2" a="1"/>
  <c r="AF395" i="2" s="1"/>
  <c r="AG395" i="2" a="1"/>
  <c r="AG395" i="2" s="1"/>
  <c r="AH395" i="2" a="1"/>
  <c r="AH395" i="2" s="1"/>
  <c r="AI395" i="2" a="1"/>
  <c r="AI395" i="2" s="1"/>
  <c r="AJ395" i="2" a="1"/>
  <c r="AJ395" i="2" s="1"/>
  <c r="W396" i="2" a="1"/>
  <c r="W396" i="2" s="1"/>
  <c r="X396" i="2" a="1"/>
  <c r="X396" i="2" s="1"/>
  <c r="Y396" i="2" a="1"/>
  <c r="Y396" i="2" s="1"/>
  <c r="Z396" i="2" a="1"/>
  <c r="Z396" i="2" s="1"/>
  <c r="AA396" i="2" a="1"/>
  <c r="AA396" i="2" s="1"/>
  <c r="AB396" i="2" a="1"/>
  <c r="AB396" i="2" s="1"/>
  <c r="AC396" i="2" a="1"/>
  <c r="AC396" i="2" s="1"/>
  <c r="AD396" i="2" a="1"/>
  <c r="AD396" i="2" s="1"/>
  <c r="AE396" i="2" a="1"/>
  <c r="AE396" i="2" s="1"/>
  <c r="AF396" i="2" a="1"/>
  <c r="AF396" i="2" s="1"/>
  <c r="AG396" i="2" a="1"/>
  <c r="AG396" i="2" s="1"/>
  <c r="AH396" i="2" a="1"/>
  <c r="AH396" i="2" s="1"/>
  <c r="AI396" i="2" a="1"/>
  <c r="AI396" i="2" s="1"/>
  <c r="AJ396" i="2" a="1"/>
  <c r="AJ396" i="2" s="1"/>
  <c r="W392" i="2" a="1"/>
  <c r="W392" i="2" s="1"/>
  <c r="X392" i="2" a="1"/>
  <c r="X392" i="2" s="1"/>
  <c r="Y392" i="2" a="1"/>
  <c r="Y392" i="2" s="1"/>
  <c r="Z392" i="2" a="1"/>
  <c r="Z392" i="2" s="1"/>
  <c r="AA392" i="2" a="1"/>
  <c r="AA392" i="2" s="1"/>
  <c r="AB392" i="2" a="1"/>
  <c r="AB392" i="2" s="1"/>
  <c r="AC392" i="2" a="1"/>
  <c r="AC392" i="2" s="1"/>
  <c r="AD392" i="2" a="1"/>
  <c r="AD392" i="2" s="1"/>
  <c r="AE392" i="2" a="1"/>
  <c r="AE392" i="2" s="1"/>
  <c r="AF392" i="2" a="1"/>
  <c r="AF392" i="2" s="1"/>
  <c r="AG392" i="2" a="1"/>
  <c r="AG392" i="2" s="1"/>
  <c r="AH392" i="2" a="1"/>
  <c r="AH392" i="2" s="1"/>
  <c r="AI392" i="2" a="1"/>
  <c r="AI392" i="2" s="1"/>
  <c r="AJ392" i="2" a="1"/>
  <c r="AJ392" i="2" s="1"/>
  <c r="P246" i="2"/>
  <c r="M483" i="2" l="1"/>
  <c r="M461" i="2"/>
  <c r="M460" i="2"/>
  <c r="M408" i="2"/>
  <c r="M402" i="2"/>
  <c r="M401" i="2"/>
  <c r="M400" i="2"/>
  <c r="W342" i="2" a="1"/>
  <c r="W342" i="2" s="1"/>
  <c r="X342" i="2" a="1"/>
  <c r="X342" i="2" s="1"/>
  <c r="Y342" i="2" a="1"/>
  <c r="Y342" i="2" s="1"/>
  <c r="Z342" i="2" a="1"/>
  <c r="Z342" i="2" s="1"/>
  <c r="AA342" i="2" a="1"/>
  <c r="AA342" i="2" s="1"/>
  <c r="AB342" i="2" a="1"/>
  <c r="AB342" i="2" s="1"/>
  <c r="AC342" i="2" a="1"/>
  <c r="AC342" i="2" s="1"/>
  <c r="AD342" i="2" a="1"/>
  <c r="AD342" i="2" s="1"/>
  <c r="AE342" i="2" a="1"/>
  <c r="AE342" i="2" s="1"/>
  <c r="AF342" i="2" a="1"/>
  <c r="AF342" i="2" s="1"/>
  <c r="AG342" i="2" a="1"/>
  <c r="AG342" i="2" s="1"/>
  <c r="AH342" i="2" a="1"/>
  <c r="AH342" i="2" s="1"/>
  <c r="AI342" i="2" a="1"/>
  <c r="AI342" i="2" s="1"/>
  <c r="AJ342" i="2" a="1"/>
  <c r="AJ342" i="2" s="1"/>
  <c r="W343" i="2" a="1"/>
  <c r="W343" i="2" s="1"/>
  <c r="W344" i="2" a="1"/>
  <c r="W344" i="2" s="1"/>
  <c r="W345" i="2" a="1"/>
  <c r="W345" i="2" s="1"/>
  <c r="W346" i="2" a="1"/>
  <c r="W346" i="2" s="1"/>
  <c r="X343" i="2" a="1"/>
  <c r="X343" i="2" s="1"/>
  <c r="X344" i="2" a="1"/>
  <c r="X344" i="2" s="1"/>
  <c r="X345" i="2" a="1"/>
  <c r="X345" i="2" s="1"/>
  <c r="X346" i="2" a="1"/>
  <c r="X346" i="2" s="1"/>
  <c r="Y343" i="2" a="1"/>
  <c r="Y343" i="2" s="1"/>
  <c r="Y344" i="2" a="1"/>
  <c r="Y344" i="2" s="1"/>
  <c r="Y345" i="2" a="1"/>
  <c r="Y345" i="2" s="1"/>
  <c r="Y346" i="2" a="1"/>
  <c r="Y346" i="2" s="1"/>
  <c r="Z343" i="2" a="1"/>
  <c r="Z343" i="2" s="1"/>
  <c r="Z344" i="2" a="1"/>
  <c r="Z344" i="2" s="1"/>
  <c r="Z345" i="2" a="1"/>
  <c r="Z345" i="2" s="1"/>
  <c r="Z346" i="2" a="1"/>
  <c r="Z346" i="2" s="1"/>
  <c r="AA343" i="2" a="1"/>
  <c r="AA343" i="2" s="1"/>
  <c r="AA344" i="2" a="1"/>
  <c r="AA344" i="2" s="1"/>
  <c r="AA345" i="2" a="1"/>
  <c r="AA345" i="2" s="1"/>
  <c r="AA346" i="2" a="1"/>
  <c r="AA346" i="2" s="1"/>
  <c r="AB343" i="2" a="1"/>
  <c r="AB343" i="2" s="1"/>
  <c r="AB344" i="2" a="1"/>
  <c r="AB344" i="2" s="1"/>
  <c r="AB345" i="2" a="1"/>
  <c r="AB345" i="2" s="1"/>
  <c r="AB346" i="2" a="1"/>
  <c r="AB346" i="2" s="1"/>
  <c r="AC343" i="2" a="1"/>
  <c r="AC343" i="2" s="1"/>
  <c r="AC344" i="2" a="1"/>
  <c r="AC344" i="2" s="1"/>
  <c r="AC345" i="2" a="1"/>
  <c r="AC345" i="2" s="1"/>
  <c r="AC346" i="2" a="1"/>
  <c r="AC346" i="2" s="1"/>
  <c r="AD343" i="2" a="1"/>
  <c r="AD343" i="2" s="1"/>
  <c r="AD344" i="2" a="1"/>
  <c r="AD344" i="2" s="1"/>
  <c r="AD345" i="2" a="1"/>
  <c r="AD345" i="2" s="1"/>
  <c r="AD346" i="2" a="1"/>
  <c r="AD346" i="2" s="1"/>
  <c r="AE343" i="2" a="1"/>
  <c r="AE343" i="2" s="1"/>
  <c r="AE344" i="2" a="1"/>
  <c r="AE344" i="2" s="1"/>
  <c r="AE345" i="2" a="1"/>
  <c r="AE345" i="2" s="1"/>
  <c r="AE346" i="2" a="1"/>
  <c r="AE346" i="2" s="1"/>
  <c r="AF343" i="2" a="1"/>
  <c r="AF343" i="2" s="1"/>
  <c r="AF344" i="2" a="1"/>
  <c r="AF344" i="2" s="1"/>
  <c r="AF345" i="2" a="1"/>
  <c r="AF345" i="2" s="1"/>
  <c r="AF346" i="2" a="1"/>
  <c r="AF346" i="2" s="1"/>
  <c r="AG343" i="2" a="1"/>
  <c r="AG343" i="2" s="1"/>
  <c r="AG344" i="2" a="1"/>
  <c r="AG344" i="2" s="1"/>
  <c r="AG345" i="2" a="1"/>
  <c r="AG345" i="2" s="1"/>
  <c r="AG346" i="2" a="1"/>
  <c r="AG346" i="2" s="1"/>
  <c r="AH343" i="2" a="1"/>
  <c r="AH343" i="2" s="1"/>
  <c r="AH344" i="2" a="1"/>
  <c r="AH344" i="2" s="1"/>
  <c r="AH345" i="2" a="1"/>
  <c r="AH345" i="2" s="1"/>
  <c r="AH346" i="2" a="1"/>
  <c r="AH346" i="2" s="1"/>
  <c r="AI343" i="2" a="1"/>
  <c r="AI343" i="2" s="1"/>
  <c r="AI344" i="2" a="1"/>
  <c r="AI344" i="2" s="1"/>
  <c r="AI345" i="2" a="1"/>
  <c r="AI345" i="2" s="1"/>
  <c r="AI346" i="2" a="1"/>
  <c r="AI346" i="2" s="1"/>
  <c r="AJ343" i="2" a="1"/>
  <c r="AJ343" i="2" s="1"/>
  <c r="AJ344" i="2" a="1"/>
  <c r="AJ344" i="2" s="1"/>
  <c r="AJ345" i="2" a="1"/>
  <c r="AJ345" i="2" s="1"/>
  <c r="AJ346" i="2" a="1"/>
  <c r="AJ346" i="2" s="1"/>
  <c r="W347" i="2" a="1"/>
  <c r="W347" i="2" s="1"/>
  <c r="W348" i="2" a="1"/>
  <c r="W348" i="2" s="1"/>
  <c r="W349" i="2" a="1"/>
  <c r="W349" i="2" s="1"/>
  <c r="W350" i="2" a="1"/>
  <c r="W350" i="2" s="1"/>
  <c r="X347" i="2" a="1"/>
  <c r="X347" i="2" s="1"/>
  <c r="X348" i="2" a="1"/>
  <c r="X348" i="2" s="1"/>
  <c r="X349" i="2" a="1"/>
  <c r="X349" i="2" s="1"/>
  <c r="X350" i="2" a="1"/>
  <c r="X350" i="2" s="1"/>
  <c r="Y347" i="2" a="1"/>
  <c r="Y347" i="2" s="1"/>
  <c r="Y348" i="2" a="1"/>
  <c r="Y348" i="2" s="1"/>
  <c r="Y349" i="2" a="1"/>
  <c r="Y349" i="2" s="1"/>
  <c r="Y350" i="2" a="1"/>
  <c r="Y350" i="2" s="1"/>
  <c r="Z347" i="2" a="1"/>
  <c r="Z347" i="2" s="1"/>
  <c r="Z348" i="2" a="1"/>
  <c r="Z348" i="2" s="1"/>
  <c r="Z349" i="2" a="1"/>
  <c r="Z349" i="2" s="1"/>
  <c r="Z350" i="2" a="1"/>
  <c r="Z350" i="2" s="1"/>
  <c r="AA347" i="2" a="1"/>
  <c r="AA347" i="2" s="1"/>
  <c r="AA348" i="2" a="1"/>
  <c r="AA348" i="2" s="1"/>
  <c r="AA349" i="2" a="1"/>
  <c r="AA349" i="2" s="1"/>
  <c r="AA350" i="2" a="1"/>
  <c r="AA350" i="2" s="1"/>
  <c r="AB347" i="2" a="1"/>
  <c r="AB347" i="2" s="1"/>
  <c r="AB348" i="2" a="1"/>
  <c r="AB348" i="2" s="1"/>
  <c r="AB349" i="2" a="1"/>
  <c r="AB349" i="2" s="1"/>
  <c r="AB350" i="2" a="1"/>
  <c r="AB350" i="2" s="1"/>
  <c r="AC347" i="2" a="1"/>
  <c r="AC347" i="2" s="1"/>
  <c r="AC348" i="2" a="1"/>
  <c r="AC348" i="2" s="1"/>
  <c r="AC349" i="2" a="1"/>
  <c r="AC349" i="2" s="1"/>
  <c r="AC350" i="2" a="1"/>
  <c r="AC350" i="2" s="1"/>
  <c r="AD347" i="2" a="1"/>
  <c r="AD347" i="2" s="1"/>
  <c r="AD348" i="2" a="1"/>
  <c r="AD348" i="2" s="1"/>
  <c r="AD349" i="2" a="1"/>
  <c r="AD349" i="2" s="1"/>
  <c r="AD350" i="2" a="1"/>
  <c r="AD350" i="2" s="1"/>
  <c r="AE347" i="2" a="1"/>
  <c r="AE347" i="2" s="1"/>
  <c r="AE348" i="2" a="1"/>
  <c r="AE348" i="2" s="1"/>
  <c r="AE349" i="2" a="1"/>
  <c r="AE349" i="2" s="1"/>
  <c r="AE350" i="2" a="1"/>
  <c r="AE350" i="2" s="1"/>
  <c r="AF347" i="2" a="1"/>
  <c r="AF347" i="2" s="1"/>
  <c r="AF348" i="2" a="1"/>
  <c r="AF348" i="2" s="1"/>
  <c r="AF349" i="2" a="1"/>
  <c r="AF349" i="2" s="1"/>
  <c r="AF350" i="2" a="1"/>
  <c r="AF350" i="2" s="1"/>
  <c r="AG347" i="2" a="1"/>
  <c r="AG347" i="2" s="1"/>
  <c r="AG348" i="2" a="1"/>
  <c r="AG348" i="2" s="1"/>
  <c r="AG349" i="2" a="1"/>
  <c r="AG349" i="2" s="1"/>
  <c r="AG350" i="2" a="1"/>
  <c r="AG350" i="2" s="1"/>
  <c r="AH347" i="2" a="1"/>
  <c r="AH347" i="2" s="1"/>
  <c r="AH348" i="2" a="1"/>
  <c r="AH348" i="2" s="1"/>
  <c r="AH349" i="2" a="1"/>
  <c r="AH349" i="2" s="1"/>
  <c r="AH350" i="2" a="1"/>
  <c r="AH350" i="2" s="1"/>
  <c r="AI347" i="2" a="1"/>
  <c r="AI347" i="2" s="1"/>
  <c r="AI348" i="2" a="1"/>
  <c r="AI348" i="2" s="1"/>
  <c r="AI349" i="2" a="1"/>
  <c r="AI349" i="2" s="1"/>
  <c r="AI350" i="2" a="1"/>
  <c r="AI350" i="2" s="1"/>
  <c r="AJ347" i="2" a="1"/>
  <c r="AJ347" i="2" s="1"/>
  <c r="AJ348" i="2" a="1"/>
  <c r="AJ348" i="2" s="1"/>
  <c r="AJ349" i="2" a="1"/>
  <c r="AJ349" i="2" s="1"/>
  <c r="AJ350" i="2" a="1"/>
  <c r="AJ350" i="2" s="1"/>
  <c r="W351" i="2" a="1"/>
  <c r="W351" i="2" s="1"/>
  <c r="W352" i="2" a="1"/>
  <c r="W352" i="2" s="1"/>
  <c r="W353" i="2" a="1"/>
  <c r="W353" i="2" s="1"/>
  <c r="W354" i="2" a="1"/>
  <c r="W354" i="2" s="1"/>
  <c r="X351" i="2" a="1"/>
  <c r="X351" i="2" s="1"/>
  <c r="X352" i="2" a="1"/>
  <c r="X352" i="2" s="1"/>
  <c r="X353" i="2" a="1"/>
  <c r="X353" i="2" s="1"/>
  <c r="X354" i="2" a="1"/>
  <c r="X354" i="2" s="1"/>
  <c r="Y351" i="2" a="1"/>
  <c r="Y351" i="2" s="1"/>
  <c r="Y352" i="2" a="1"/>
  <c r="Y352" i="2" s="1"/>
  <c r="Y353" i="2" a="1"/>
  <c r="Y353" i="2" s="1"/>
  <c r="Y354" i="2" a="1"/>
  <c r="Y354" i="2" s="1"/>
  <c r="Z351" i="2" a="1"/>
  <c r="Z351" i="2" s="1"/>
  <c r="Z352" i="2" a="1"/>
  <c r="Z352" i="2" s="1"/>
  <c r="Z353" i="2" a="1"/>
  <c r="Z353" i="2" s="1"/>
  <c r="Z354" i="2" a="1"/>
  <c r="Z354" i="2" s="1"/>
  <c r="AA351" i="2" a="1"/>
  <c r="AA351" i="2" s="1"/>
  <c r="AA352" i="2" a="1"/>
  <c r="AA352" i="2" s="1"/>
  <c r="AA353" i="2" a="1"/>
  <c r="AA353" i="2" s="1"/>
  <c r="AA354" i="2" a="1"/>
  <c r="AA354" i="2" s="1"/>
  <c r="AB351" i="2" a="1"/>
  <c r="AB351" i="2" s="1"/>
  <c r="AB352" i="2" a="1"/>
  <c r="AB352" i="2" s="1"/>
  <c r="AB353" i="2" a="1"/>
  <c r="AB353" i="2" s="1"/>
  <c r="AB354" i="2" a="1"/>
  <c r="AB354" i="2" s="1"/>
  <c r="AC351" i="2" a="1"/>
  <c r="AC351" i="2" s="1"/>
  <c r="AC352" i="2" a="1"/>
  <c r="AC352" i="2" s="1"/>
  <c r="AC353" i="2" a="1"/>
  <c r="AC353" i="2" s="1"/>
  <c r="AC354" i="2" a="1"/>
  <c r="AC354" i="2" s="1"/>
  <c r="AD351" i="2" a="1"/>
  <c r="AD351" i="2" s="1"/>
  <c r="AD352" i="2" a="1"/>
  <c r="AD352" i="2" s="1"/>
  <c r="AD353" i="2" a="1"/>
  <c r="AD353" i="2" s="1"/>
  <c r="AD354" i="2" a="1"/>
  <c r="AD354" i="2" s="1"/>
  <c r="AE351" i="2" a="1"/>
  <c r="AE351" i="2" s="1"/>
  <c r="AE352" i="2" a="1"/>
  <c r="AE352" i="2" s="1"/>
  <c r="AE353" i="2" a="1"/>
  <c r="AE353" i="2" s="1"/>
  <c r="AE354" i="2" a="1"/>
  <c r="AE354" i="2" s="1"/>
  <c r="AF351" i="2" a="1"/>
  <c r="AF351" i="2" s="1"/>
  <c r="AF352" i="2" a="1"/>
  <c r="AF352" i="2" s="1"/>
  <c r="AF353" i="2" a="1"/>
  <c r="AF353" i="2" s="1"/>
  <c r="AF354" i="2" a="1"/>
  <c r="AF354" i="2" s="1"/>
  <c r="AG351" i="2" a="1"/>
  <c r="AG351" i="2" s="1"/>
  <c r="AG352" i="2" a="1"/>
  <c r="AG352" i="2" s="1"/>
  <c r="AG353" i="2" a="1"/>
  <c r="AG353" i="2" s="1"/>
  <c r="AG354" i="2" a="1"/>
  <c r="AG354" i="2" s="1"/>
  <c r="AH351" i="2" a="1"/>
  <c r="AH351" i="2" s="1"/>
  <c r="AH352" i="2" a="1"/>
  <c r="AH352" i="2" s="1"/>
  <c r="AH353" i="2" a="1"/>
  <c r="AH353" i="2" s="1"/>
  <c r="AH354" i="2" a="1"/>
  <c r="AH354" i="2" s="1"/>
  <c r="AI351" i="2" a="1"/>
  <c r="AI351" i="2" s="1"/>
  <c r="AI352" i="2" a="1"/>
  <c r="AI352" i="2" s="1"/>
  <c r="AI353" i="2" a="1"/>
  <c r="AI353" i="2" s="1"/>
  <c r="AI354" i="2" a="1"/>
  <c r="AI354" i="2" s="1"/>
  <c r="AJ351" i="2" a="1"/>
  <c r="AJ351" i="2" s="1"/>
  <c r="AJ352" i="2" a="1"/>
  <c r="AJ352" i="2" s="1"/>
  <c r="AJ353" i="2" a="1"/>
  <c r="AJ353" i="2" s="1"/>
  <c r="AJ354" i="2" a="1"/>
  <c r="AJ354" i="2" s="1"/>
  <c r="W355" i="2" a="1"/>
  <c r="W355" i="2" s="1"/>
  <c r="W356" i="2" a="1"/>
  <c r="W356" i="2" s="1"/>
  <c r="X355" i="2" a="1"/>
  <c r="X355" i="2" s="1"/>
  <c r="X356" i="2" a="1"/>
  <c r="X356" i="2" s="1"/>
  <c r="Y355" i="2" a="1"/>
  <c r="Y355" i="2" s="1"/>
  <c r="Y356" i="2" a="1"/>
  <c r="Y356" i="2" s="1"/>
  <c r="Z355" i="2" a="1"/>
  <c r="Z355" i="2" s="1"/>
  <c r="Z356" i="2" a="1"/>
  <c r="Z356" i="2" s="1"/>
  <c r="AA355" i="2" a="1"/>
  <c r="AA355" i="2" s="1"/>
  <c r="AA356" i="2" a="1"/>
  <c r="AA356" i="2" s="1"/>
  <c r="AB355" i="2" a="1"/>
  <c r="AB355" i="2" s="1"/>
  <c r="AB356" i="2" a="1"/>
  <c r="AB356" i="2" s="1"/>
  <c r="AC355" i="2" a="1"/>
  <c r="AC355" i="2" s="1"/>
  <c r="AC356" i="2" a="1"/>
  <c r="AC356" i="2" s="1"/>
  <c r="AD355" i="2" a="1"/>
  <c r="AD355" i="2" s="1"/>
  <c r="AD356" i="2" a="1"/>
  <c r="AD356" i="2" s="1"/>
  <c r="AE355" i="2" a="1"/>
  <c r="AE355" i="2" s="1"/>
  <c r="AE356" i="2" a="1"/>
  <c r="AE356" i="2" s="1"/>
  <c r="AF355" i="2" a="1"/>
  <c r="AF355" i="2" s="1"/>
  <c r="AF356" i="2" a="1"/>
  <c r="AF356" i="2" s="1"/>
  <c r="AG355" i="2" a="1"/>
  <c r="AG355" i="2" s="1"/>
  <c r="AG356" i="2" a="1"/>
  <c r="AG356" i="2" s="1"/>
  <c r="AH355" i="2" a="1"/>
  <c r="AH355" i="2" s="1"/>
  <c r="AH356" i="2" a="1"/>
  <c r="AH356" i="2" s="1"/>
  <c r="AI355" i="2" a="1"/>
  <c r="AI355" i="2" s="1"/>
  <c r="AI356" i="2" a="1"/>
  <c r="AI356" i="2" s="1"/>
  <c r="AJ355" i="2" a="1"/>
  <c r="AJ355" i="2" s="1"/>
  <c r="AJ356" i="2" a="1"/>
  <c r="AJ356" i="2" s="1"/>
  <c r="W357" i="2" a="1"/>
  <c r="W357" i="2" s="1"/>
  <c r="X357" i="2" a="1"/>
  <c r="X357" i="2" s="1"/>
  <c r="Y357" i="2" a="1"/>
  <c r="Y357" i="2" s="1"/>
  <c r="Z357" i="2" a="1"/>
  <c r="Z357" i="2" s="1"/>
  <c r="AA357" i="2" a="1"/>
  <c r="AA357" i="2" s="1"/>
  <c r="AB357" i="2" a="1"/>
  <c r="AB357" i="2" s="1"/>
  <c r="AC357" i="2" a="1"/>
  <c r="AC357" i="2" s="1"/>
  <c r="AD357" i="2" a="1"/>
  <c r="AD357" i="2" s="1"/>
  <c r="AE357" i="2" a="1"/>
  <c r="AE357" i="2" s="1"/>
  <c r="AF357" i="2" a="1"/>
  <c r="AF357" i="2" s="1"/>
  <c r="AG357" i="2" a="1"/>
  <c r="AG357" i="2" s="1"/>
  <c r="AH357" i="2" a="1"/>
  <c r="AH357" i="2" s="1"/>
  <c r="AI357" i="2" a="1"/>
  <c r="AI357" i="2" s="1"/>
  <c r="AJ357" i="2" a="1"/>
  <c r="AJ357" i="2" s="1"/>
  <c r="W358" i="2" a="1"/>
  <c r="W358" i="2" s="1"/>
  <c r="X358" i="2" a="1"/>
  <c r="X358" i="2" s="1"/>
  <c r="Y358" i="2" a="1"/>
  <c r="Y358" i="2" s="1"/>
  <c r="Z358" i="2" a="1"/>
  <c r="Z358" i="2" s="1"/>
  <c r="AA358" i="2" a="1"/>
  <c r="AA358" i="2" s="1"/>
  <c r="AB358" i="2" a="1"/>
  <c r="AB358" i="2" s="1"/>
  <c r="AC358" i="2" a="1"/>
  <c r="AC358" i="2" s="1"/>
  <c r="AD358" i="2" a="1"/>
  <c r="AD358" i="2" s="1"/>
  <c r="AE358" i="2" a="1"/>
  <c r="AE358" i="2" s="1"/>
  <c r="AF358" i="2" a="1"/>
  <c r="AF358" i="2" s="1"/>
  <c r="AG358" i="2" a="1"/>
  <c r="AG358" i="2" s="1"/>
  <c r="AH358" i="2" a="1"/>
  <c r="AH358" i="2" s="1"/>
  <c r="AI358" i="2" a="1"/>
  <c r="AI358" i="2" s="1"/>
  <c r="AJ358" i="2" a="1"/>
  <c r="AJ358" i="2" s="1"/>
  <c r="I138" i="4" l="1"/>
  <c r="H138" i="4"/>
  <c r="G138" i="4"/>
  <c r="F138" i="4"/>
  <c r="E138" i="4"/>
  <c r="D138" i="4"/>
  <c r="I143" i="4"/>
  <c r="H143" i="4"/>
  <c r="G143" i="4"/>
  <c r="F143" i="4"/>
  <c r="E143" i="4"/>
  <c r="I142" i="4"/>
  <c r="H142" i="4"/>
  <c r="F142" i="4"/>
  <c r="E142" i="4"/>
  <c r="D142" i="4"/>
  <c r="O143" i="4" l="1"/>
  <c r="O138" i="4"/>
  <c r="N142" i="4"/>
  <c r="N143" i="4"/>
  <c r="N138" i="4"/>
  <c r="O142" i="4"/>
  <c r="M254" i="2"/>
  <c r="Q253" i="2"/>
  <c r="W261" i="2" l="1" a="1"/>
  <c r="W261" i="2" s="1"/>
  <c r="W262" i="2" a="1"/>
  <c r="W262" i="2" s="1"/>
  <c r="W263" i="2" a="1"/>
  <c r="W263" i="2" s="1"/>
  <c r="X261" i="2" a="1"/>
  <c r="X261" i="2" s="1"/>
  <c r="X262" i="2" a="1"/>
  <c r="X262" i="2" s="1"/>
  <c r="X263" i="2" a="1"/>
  <c r="X263" i="2" s="1"/>
  <c r="Y261" i="2" a="1"/>
  <c r="Y261" i="2" s="1"/>
  <c r="Y262" i="2" a="1"/>
  <c r="Y262" i="2" s="1"/>
  <c r="Y263" i="2" a="1"/>
  <c r="Y263" i="2" s="1"/>
  <c r="Z261" i="2" a="1"/>
  <c r="Z261" i="2" s="1"/>
  <c r="Z262" i="2" a="1"/>
  <c r="Z262" i="2" s="1"/>
  <c r="Z263" i="2" a="1"/>
  <c r="Z263" i="2" s="1"/>
  <c r="AA261" i="2" a="1"/>
  <c r="AA261" i="2" s="1"/>
  <c r="AA262" i="2" a="1"/>
  <c r="AA262" i="2" s="1"/>
  <c r="AA263" i="2" a="1"/>
  <c r="AA263" i="2" s="1"/>
  <c r="AB261" i="2" a="1"/>
  <c r="AB261" i="2" s="1"/>
  <c r="AB262" i="2" a="1"/>
  <c r="AB262" i="2" s="1"/>
  <c r="AB263" i="2" a="1"/>
  <c r="AB263" i="2" s="1"/>
  <c r="AC261" i="2" a="1"/>
  <c r="AC261" i="2" s="1"/>
  <c r="AC262" i="2" a="1"/>
  <c r="AC262" i="2" s="1"/>
  <c r="AC263" i="2" a="1"/>
  <c r="AC263" i="2" s="1"/>
  <c r="AD261" i="2" a="1"/>
  <c r="AD261" i="2" s="1"/>
  <c r="AD262" i="2" a="1"/>
  <c r="AD262" i="2" s="1"/>
  <c r="AD263" i="2" a="1"/>
  <c r="AD263" i="2" s="1"/>
  <c r="AE261" i="2" a="1"/>
  <c r="AE261" i="2" s="1"/>
  <c r="AE262" i="2" a="1"/>
  <c r="AE262" i="2" s="1"/>
  <c r="AE263" i="2" a="1"/>
  <c r="AE263" i="2" s="1"/>
  <c r="AF261" i="2" a="1"/>
  <c r="AF261" i="2" s="1"/>
  <c r="AF262" i="2" a="1"/>
  <c r="AF262" i="2" s="1"/>
  <c r="AF263" i="2" a="1"/>
  <c r="AF263" i="2" s="1"/>
  <c r="AG261" i="2" a="1"/>
  <c r="AG261" i="2" s="1"/>
  <c r="AG262" i="2" a="1"/>
  <c r="AG262" i="2" s="1"/>
  <c r="AG263" i="2" a="1"/>
  <c r="AG263" i="2" s="1"/>
  <c r="AH261" i="2" a="1"/>
  <c r="AH261" i="2" s="1"/>
  <c r="AH262" i="2" a="1"/>
  <c r="AH262" i="2" s="1"/>
  <c r="AH263" i="2" a="1"/>
  <c r="AH263" i="2" s="1"/>
  <c r="AI261" i="2" a="1"/>
  <c r="AI261" i="2" s="1"/>
  <c r="AI262" i="2" a="1"/>
  <c r="AI262" i="2" s="1"/>
  <c r="AI263" i="2" a="1"/>
  <c r="AI263" i="2" s="1"/>
  <c r="AJ261" i="2" a="1"/>
  <c r="AJ261" i="2" s="1"/>
  <c r="AJ262" i="2" a="1"/>
  <c r="AJ262" i="2" s="1"/>
  <c r="AJ263" i="2" a="1"/>
  <c r="AJ263" i="2" s="1"/>
  <c r="W264" i="2" a="1"/>
  <c r="W264" i="2" s="1"/>
  <c r="W265" i="2" a="1"/>
  <c r="W265" i="2" s="1"/>
  <c r="W266" i="2" a="1"/>
  <c r="W266" i="2" s="1"/>
  <c r="X264" i="2" a="1"/>
  <c r="X264" i="2" s="1"/>
  <c r="X265" i="2" a="1"/>
  <c r="X265" i="2" s="1"/>
  <c r="X266" i="2" a="1"/>
  <c r="X266" i="2" s="1"/>
  <c r="Y264" i="2" a="1"/>
  <c r="Y264" i="2" s="1"/>
  <c r="Y265" i="2" a="1"/>
  <c r="Y265" i="2" s="1"/>
  <c r="Y266" i="2" a="1"/>
  <c r="Y266" i="2" s="1"/>
  <c r="Z264" i="2" a="1"/>
  <c r="Z264" i="2" s="1"/>
  <c r="Z265" i="2" a="1"/>
  <c r="Z265" i="2" s="1"/>
  <c r="Z266" i="2" a="1"/>
  <c r="Z266" i="2" s="1"/>
  <c r="AA264" i="2" a="1"/>
  <c r="AA264" i="2" s="1"/>
  <c r="AA265" i="2" a="1"/>
  <c r="AA265" i="2" s="1"/>
  <c r="AA266" i="2" a="1"/>
  <c r="AA266" i="2" s="1"/>
  <c r="AB264" i="2" a="1"/>
  <c r="AB264" i="2" s="1"/>
  <c r="AB265" i="2" a="1"/>
  <c r="AB265" i="2" s="1"/>
  <c r="AB266" i="2" a="1"/>
  <c r="AB266" i="2" s="1"/>
  <c r="AC264" i="2" a="1"/>
  <c r="AC264" i="2" s="1"/>
  <c r="AC265" i="2" a="1"/>
  <c r="AC265" i="2" s="1"/>
  <c r="AC266" i="2" a="1"/>
  <c r="AC266" i="2" s="1"/>
  <c r="AD264" i="2" a="1"/>
  <c r="AD264" i="2" s="1"/>
  <c r="AD265" i="2" a="1"/>
  <c r="AD265" i="2" s="1"/>
  <c r="AD266" i="2" a="1"/>
  <c r="AD266" i="2" s="1"/>
  <c r="AE264" i="2" a="1"/>
  <c r="AE264" i="2" s="1"/>
  <c r="AE265" i="2" a="1"/>
  <c r="AE265" i="2" s="1"/>
  <c r="AE266" i="2" a="1"/>
  <c r="AE266" i="2" s="1"/>
  <c r="AF264" i="2" a="1"/>
  <c r="AF264" i="2" s="1"/>
  <c r="AF265" i="2" a="1"/>
  <c r="AF265" i="2" s="1"/>
  <c r="AF266" i="2" a="1"/>
  <c r="AF266" i="2" s="1"/>
  <c r="AG264" i="2" a="1"/>
  <c r="AG264" i="2" s="1"/>
  <c r="AG265" i="2" a="1"/>
  <c r="AG265" i="2" s="1"/>
  <c r="AG266" i="2" a="1"/>
  <c r="AG266" i="2" s="1"/>
  <c r="AH264" i="2" a="1"/>
  <c r="AH264" i="2" s="1"/>
  <c r="AH265" i="2" a="1"/>
  <c r="AH265" i="2" s="1"/>
  <c r="AH266" i="2" a="1"/>
  <c r="AH266" i="2" s="1"/>
  <c r="AI264" i="2" a="1"/>
  <c r="AI264" i="2" s="1"/>
  <c r="AI265" i="2" a="1"/>
  <c r="AI265" i="2" s="1"/>
  <c r="AI266" i="2" a="1"/>
  <c r="AI266" i="2" s="1"/>
  <c r="AJ264" i="2" a="1"/>
  <c r="AJ264" i="2" s="1"/>
  <c r="AJ265" i="2" a="1"/>
  <c r="AJ265" i="2" s="1"/>
  <c r="AJ266" i="2" a="1"/>
  <c r="AJ266" i="2" s="1"/>
  <c r="W254" i="2" a="1"/>
  <c r="W254" i="2" s="1"/>
  <c r="X254" i="2" a="1"/>
  <c r="X254" i="2" s="1"/>
  <c r="Y254" i="2" a="1"/>
  <c r="Y254" i="2" s="1"/>
  <c r="Z254" i="2" a="1"/>
  <c r="Z254" i="2" s="1"/>
  <c r="AA254" i="2" a="1"/>
  <c r="AA254" i="2" s="1"/>
  <c r="AB254" i="2" a="1"/>
  <c r="AB254" i="2" s="1"/>
  <c r="AC254" i="2" a="1"/>
  <c r="AC254" i="2" s="1"/>
  <c r="AD254" i="2" a="1"/>
  <c r="AD254" i="2" s="1"/>
  <c r="AE254" i="2" a="1"/>
  <c r="AE254" i="2" s="1"/>
  <c r="AF254" i="2" a="1"/>
  <c r="AF254" i="2" s="1"/>
  <c r="AG254" i="2" a="1"/>
  <c r="AG254" i="2" s="1"/>
  <c r="AH254" i="2" a="1"/>
  <c r="AH254" i="2" s="1"/>
  <c r="AI254" i="2" a="1"/>
  <c r="AI254" i="2" s="1"/>
  <c r="AJ254" i="2" a="1"/>
  <c r="AJ254" i="2" s="1"/>
  <c r="W255" i="2" a="1"/>
  <c r="W255" i="2" s="1"/>
  <c r="X255" i="2" a="1"/>
  <c r="X255" i="2" s="1"/>
  <c r="Y255" i="2" a="1"/>
  <c r="Y255" i="2" s="1"/>
  <c r="Z255" i="2" a="1"/>
  <c r="Z255" i="2" s="1"/>
  <c r="AA255" i="2" a="1"/>
  <c r="AA255" i="2" s="1"/>
  <c r="AB255" i="2" a="1"/>
  <c r="AB255" i="2" s="1"/>
  <c r="AC255" i="2" a="1"/>
  <c r="AC255" i="2" s="1"/>
  <c r="AD255" i="2" a="1"/>
  <c r="AD255" i="2" s="1"/>
  <c r="AE255" i="2" a="1"/>
  <c r="AE255" i="2" s="1"/>
  <c r="AF255" i="2" a="1"/>
  <c r="AF255" i="2" s="1"/>
  <c r="AG255" i="2" a="1"/>
  <c r="AG255" i="2" s="1"/>
  <c r="AH255" i="2" a="1"/>
  <c r="AH255" i="2" s="1"/>
  <c r="AI255" i="2" a="1"/>
  <c r="AI255" i="2" s="1"/>
  <c r="AJ255" i="2" a="1"/>
  <c r="AJ255" i="2" s="1"/>
  <c r="W256" i="2" a="1"/>
  <c r="W256" i="2" s="1"/>
  <c r="X256" i="2" a="1"/>
  <c r="X256" i="2" s="1"/>
  <c r="Y256" i="2" a="1"/>
  <c r="Y256" i="2" s="1"/>
  <c r="Z256" i="2" a="1"/>
  <c r="Z256" i="2" s="1"/>
  <c r="AA256" i="2" a="1"/>
  <c r="AA256" i="2" s="1"/>
  <c r="AB256" i="2" a="1"/>
  <c r="AB256" i="2" s="1"/>
  <c r="AC256" i="2" a="1"/>
  <c r="AC256" i="2" s="1"/>
  <c r="AD256" i="2" a="1"/>
  <c r="AD256" i="2" s="1"/>
  <c r="AE256" i="2" a="1"/>
  <c r="AE256" i="2" s="1"/>
  <c r="AF256" i="2" a="1"/>
  <c r="AF256" i="2" s="1"/>
  <c r="AG256" i="2" a="1"/>
  <c r="AG256" i="2" s="1"/>
  <c r="AH256" i="2" a="1"/>
  <c r="AH256" i="2" s="1"/>
  <c r="AI256" i="2" a="1"/>
  <c r="AI256" i="2" s="1"/>
  <c r="AJ256" i="2" a="1"/>
  <c r="AJ256" i="2" s="1"/>
  <c r="W257" i="2" a="1"/>
  <c r="W257" i="2" s="1"/>
  <c r="X257" i="2" a="1"/>
  <c r="X257" i="2" s="1"/>
  <c r="Y257" i="2" a="1"/>
  <c r="Y257" i="2" s="1"/>
  <c r="Z257" i="2" a="1"/>
  <c r="Z257" i="2" s="1"/>
  <c r="AA257" i="2" a="1"/>
  <c r="AA257" i="2" s="1"/>
  <c r="AB257" i="2" a="1"/>
  <c r="AB257" i="2" s="1"/>
  <c r="AC257" i="2" a="1"/>
  <c r="AC257" i="2" s="1"/>
  <c r="AD257" i="2" a="1"/>
  <c r="AD257" i="2" s="1"/>
  <c r="AE257" i="2" a="1"/>
  <c r="AE257" i="2" s="1"/>
  <c r="AF257" i="2" a="1"/>
  <c r="AF257" i="2" s="1"/>
  <c r="AG257" i="2" a="1"/>
  <c r="AG257" i="2" s="1"/>
  <c r="AH257" i="2" a="1"/>
  <c r="AH257" i="2" s="1"/>
  <c r="AI257" i="2" a="1"/>
  <c r="AI257" i="2" s="1"/>
  <c r="AJ257" i="2" a="1"/>
  <c r="AJ257" i="2" s="1"/>
  <c r="W258" i="2" a="1"/>
  <c r="W258" i="2" s="1"/>
  <c r="X258" i="2" a="1"/>
  <c r="X258" i="2" s="1"/>
  <c r="Y258" i="2" a="1"/>
  <c r="Y258" i="2" s="1"/>
  <c r="Z258" i="2" a="1"/>
  <c r="Z258" i="2" s="1"/>
  <c r="AA258" i="2" a="1"/>
  <c r="AA258" i="2" s="1"/>
  <c r="AB258" i="2" a="1"/>
  <c r="AB258" i="2" s="1"/>
  <c r="AC258" i="2" a="1"/>
  <c r="AC258" i="2" s="1"/>
  <c r="AD258" i="2" a="1"/>
  <c r="AD258" i="2" s="1"/>
  <c r="AE258" i="2" a="1"/>
  <c r="AE258" i="2" s="1"/>
  <c r="AF258" i="2" a="1"/>
  <c r="AF258" i="2" s="1"/>
  <c r="AG258" i="2" a="1"/>
  <c r="AG258" i="2" s="1"/>
  <c r="AH258" i="2" a="1"/>
  <c r="AH258" i="2" s="1"/>
  <c r="AI258" i="2" a="1"/>
  <c r="AI258" i="2" s="1"/>
  <c r="AJ258" i="2" a="1"/>
  <c r="AJ258" i="2" s="1"/>
  <c r="W259" i="2" a="1"/>
  <c r="W259" i="2" s="1"/>
  <c r="X259" i="2" a="1"/>
  <c r="X259" i="2" s="1"/>
  <c r="Y259" i="2" a="1"/>
  <c r="Y259" i="2" s="1"/>
  <c r="Z259" i="2" a="1"/>
  <c r="Z259" i="2" s="1"/>
  <c r="AA259" i="2" a="1"/>
  <c r="AA259" i="2" s="1"/>
  <c r="AB259" i="2" a="1"/>
  <c r="AB259" i="2" s="1"/>
  <c r="AC259" i="2" a="1"/>
  <c r="AC259" i="2" s="1"/>
  <c r="AD259" i="2" a="1"/>
  <c r="AD259" i="2" s="1"/>
  <c r="AE259" i="2" a="1"/>
  <c r="AE259" i="2" s="1"/>
  <c r="AF259" i="2" a="1"/>
  <c r="AF259" i="2" s="1"/>
  <c r="AG259" i="2" a="1"/>
  <c r="AG259" i="2" s="1"/>
  <c r="AH259" i="2" a="1"/>
  <c r="AH259" i="2" s="1"/>
  <c r="AI259" i="2" a="1"/>
  <c r="AI259" i="2" s="1"/>
  <c r="AJ259" i="2" a="1"/>
  <c r="AJ259" i="2" s="1"/>
  <c r="W260" i="2" a="1"/>
  <c r="W260" i="2" s="1"/>
  <c r="X260" i="2" a="1"/>
  <c r="X260" i="2" s="1"/>
  <c r="Y260" i="2" a="1"/>
  <c r="Y260" i="2" s="1"/>
  <c r="Z260" i="2" a="1"/>
  <c r="Z260" i="2" s="1"/>
  <c r="AA260" i="2" a="1"/>
  <c r="AA260" i="2" s="1"/>
  <c r="AB260" i="2" a="1"/>
  <c r="AB260" i="2" s="1"/>
  <c r="AC260" i="2" a="1"/>
  <c r="AC260" i="2" s="1"/>
  <c r="AD260" i="2" a="1"/>
  <c r="AD260" i="2" s="1"/>
  <c r="AE260" i="2" a="1"/>
  <c r="AE260" i="2" s="1"/>
  <c r="AF260" i="2" a="1"/>
  <c r="AF260" i="2" s="1"/>
  <c r="AG260" i="2" a="1"/>
  <c r="AG260" i="2" s="1"/>
  <c r="AH260" i="2" a="1"/>
  <c r="AH260" i="2" s="1"/>
  <c r="AI260" i="2" a="1"/>
  <c r="AI260" i="2" s="1"/>
  <c r="AJ260" i="2" a="1"/>
  <c r="AJ260" i="2" s="1"/>
  <c r="W267" i="2" a="1"/>
  <c r="W267" i="2" s="1"/>
  <c r="X267" i="2" a="1"/>
  <c r="X267" i="2" s="1"/>
  <c r="Y267" i="2" a="1"/>
  <c r="Y267" i="2" s="1"/>
  <c r="Z267" i="2" a="1"/>
  <c r="Z267" i="2" s="1"/>
  <c r="AA267" i="2" a="1"/>
  <c r="AA267" i="2" s="1"/>
  <c r="AB267" i="2" a="1"/>
  <c r="AB267" i="2" s="1"/>
  <c r="AC267" i="2" a="1"/>
  <c r="AC267" i="2" s="1"/>
  <c r="AD267" i="2" a="1"/>
  <c r="AD267" i="2" s="1"/>
  <c r="AE267" i="2" a="1"/>
  <c r="AE267" i="2" s="1"/>
  <c r="AF267" i="2" a="1"/>
  <c r="AF267" i="2" s="1"/>
  <c r="AG267" i="2" a="1"/>
  <c r="AG267" i="2" s="1"/>
  <c r="AH267" i="2" a="1"/>
  <c r="AH267" i="2" s="1"/>
  <c r="AI267" i="2" a="1"/>
  <c r="AI267" i="2" s="1"/>
  <c r="AJ267" i="2" a="1"/>
  <c r="AJ267" i="2" s="1"/>
  <c r="M398" i="2" l="1"/>
  <c r="M397" i="2"/>
  <c r="H137" i="4"/>
  <c r="F137" i="4"/>
  <c r="G137" i="4"/>
  <c r="E137" i="4"/>
  <c r="D137" i="4"/>
  <c r="I136" i="4"/>
  <c r="H136" i="4"/>
  <c r="G136" i="4"/>
  <c r="F136" i="4"/>
  <c r="E136" i="4"/>
  <c r="D136" i="4"/>
  <c r="H135" i="4"/>
  <c r="G135" i="4"/>
  <c r="E135" i="4"/>
  <c r="I134" i="4"/>
  <c r="H134" i="4"/>
  <c r="G134" i="4"/>
  <c r="F134" i="4"/>
  <c r="E134" i="4"/>
  <c r="D134" i="4"/>
  <c r="Q376" i="2"/>
  <c r="Q375" i="2"/>
  <c r="Q374" i="2"/>
  <c r="Q373" i="2"/>
  <c r="W373" i="2" a="1"/>
  <c r="W373" i="2" s="1"/>
  <c r="X373" i="2" a="1"/>
  <c r="X373" i="2" s="1"/>
  <c r="Y373" i="2" a="1"/>
  <c r="Y373" i="2" s="1"/>
  <c r="Z373" i="2" a="1"/>
  <c r="Z373" i="2" s="1"/>
  <c r="AA373" i="2" a="1"/>
  <c r="AA373" i="2" s="1"/>
  <c r="AB373" i="2" a="1"/>
  <c r="AB373" i="2" s="1"/>
  <c r="AC373" i="2" a="1"/>
  <c r="AC373" i="2" s="1"/>
  <c r="AD373" i="2" a="1"/>
  <c r="AD373" i="2" s="1"/>
  <c r="AE373" i="2" a="1"/>
  <c r="AE373" i="2" s="1"/>
  <c r="AF373" i="2" a="1"/>
  <c r="AF373" i="2" s="1"/>
  <c r="AG373" i="2" a="1"/>
  <c r="AG373" i="2" s="1"/>
  <c r="AH373" i="2" a="1"/>
  <c r="AH373" i="2" s="1"/>
  <c r="AI373" i="2" a="1"/>
  <c r="AI373" i="2" s="1"/>
  <c r="AJ373" i="2" a="1"/>
  <c r="AJ373" i="2" s="1"/>
  <c r="W374" i="2" a="1"/>
  <c r="W374" i="2" s="1"/>
  <c r="X374" i="2" a="1"/>
  <c r="X374" i="2" s="1"/>
  <c r="Y374" i="2" a="1"/>
  <c r="Y374" i="2" s="1"/>
  <c r="Z374" i="2" a="1"/>
  <c r="Z374" i="2" s="1"/>
  <c r="AA374" i="2" a="1"/>
  <c r="AA374" i="2" s="1"/>
  <c r="AB374" i="2" a="1"/>
  <c r="AB374" i="2" s="1"/>
  <c r="AC374" i="2" a="1"/>
  <c r="AC374" i="2" s="1"/>
  <c r="AD374" i="2" a="1"/>
  <c r="AD374" i="2" s="1"/>
  <c r="AE374" i="2" a="1"/>
  <c r="AE374" i="2" s="1"/>
  <c r="AF374" i="2" a="1"/>
  <c r="AF374" i="2" s="1"/>
  <c r="AG374" i="2" a="1"/>
  <c r="AG374" i="2" s="1"/>
  <c r="AH374" i="2" a="1"/>
  <c r="AH374" i="2" s="1"/>
  <c r="AI374" i="2" a="1"/>
  <c r="AI374" i="2" s="1"/>
  <c r="AJ374" i="2" a="1"/>
  <c r="AJ374" i="2" s="1"/>
  <c r="W375" i="2" a="1"/>
  <c r="W375" i="2" s="1"/>
  <c r="X375" i="2" a="1"/>
  <c r="X375" i="2" s="1"/>
  <c r="Y375" i="2" a="1"/>
  <c r="Y375" i="2" s="1"/>
  <c r="Z375" i="2" a="1"/>
  <c r="Z375" i="2" s="1"/>
  <c r="AA375" i="2" a="1"/>
  <c r="AA375" i="2" s="1"/>
  <c r="AB375" i="2" a="1"/>
  <c r="AB375" i="2" s="1"/>
  <c r="AC375" i="2" a="1"/>
  <c r="AC375" i="2" s="1"/>
  <c r="AD375" i="2" a="1"/>
  <c r="AD375" i="2" s="1"/>
  <c r="AE375" i="2" a="1"/>
  <c r="AE375" i="2" s="1"/>
  <c r="AF375" i="2" a="1"/>
  <c r="AF375" i="2" s="1"/>
  <c r="AG375" i="2" a="1"/>
  <c r="AG375" i="2" s="1"/>
  <c r="AH375" i="2" a="1"/>
  <c r="AH375" i="2" s="1"/>
  <c r="AI375" i="2" a="1"/>
  <c r="AI375" i="2" s="1"/>
  <c r="AJ375" i="2" a="1"/>
  <c r="AJ375" i="2" s="1"/>
  <c r="W376" i="2" a="1"/>
  <c r="W376" i="2" s="1"/>
  <c r="X376" i="2" a="1"/>
  <c r="X376" i="2" s="1"/>
  <c r="Y376" i="2" a="1"/>
  <c r="Y376" i="2" s="1"/>
  <c r="Z376" i="2" a="1"/>
  <c r="Z376" i="2" s="1"/>
  <c r="AA376" i="2" a="1"/>
  <c r="AA376" i="2" s="1"/>
  <c r="AB376" i="2" a="1"/>
  <c r="AB376" i="2" s="1"/>
  <c r="AC376" i="2" a="1"/>
  <c r="AC376" i="2" s="1"/>
  <c r="AD376" i="2" a="1"/>
  <c r="AD376" i="2" s="1"/>
  <c r="AE376" i="2" a="1"/>
  <c r="AE376" i="2" s="1"/>
  <c r="AF376" i="2" a="1"/>
  <c r="AF376" i="2" s="1"/>
  <c r="AG376" i="2" a="1"/>
  <c r="AG376" i="2" s="1"/>
  <c r="AH376" i="2" a="1"/>
  <c r="AH376" i="2" s="1"/>
  <c r="AI376" i="2" a="1"/>
  <c r="AI376" i="2" s="1"/>
  <c r="AJ376" i="2" a="1"/>
  <c r="AJ376" i="2" s="1"/>
  <c r="Q372" i="2"/>
  <c r="Q371" i="2"/>
  <c r="Q370" i="2"/>
  <c r="Q369" i="2"/>
  <c r="N135" i="4" l="1"/>
  <c r="N136" i="4"/>
  <c r="N137" i="4"/>
  <c r="O135" i="4"/>
  <c r="O134" i="4"/>
  <c r="N134" i="4"/>
  <c r="O136" i="4"/>
  <c r="O137" i="4"/>
  <c r="W369" i="2" a="1"/>
  <c r="W369" i="2" s="1"/>
  <c r="X369" i="2" a="1"/>
  <c r="X369" i="2" s="1"/>
  <c r="Y369" i="2" a="1"/>
  <c r="Y369" i="2" s="1"/>
  <c r="Z369" i="2" a="1"/>
  <c r="Z369" i="2" s="1"/>
  <c r="AA369" i="2" a="1"/>
  <c r="AA369" i="2" s="1"/>
  <c r="AB369" i="2" a="1"/>
  <c r="AB369" i="2" s="1"/>
  <c r="AC369" i="2" a="1"/>
  <c r="AC369" i="2" s="1"/>
  <c r="AD369" i="2" a="1"/>
  <c r="AD369" i="2" s="1"/>
  <c r="AE369" i="2" a="1"/>
  <c r="AE369" i="2" s="1"/>
  <c r="AF369" i="2" a="1"/>
  <c r="AF369" i="2" s="1"/>
  <c r="AG369" i="2" a="1"/>
  <c r="AG369" i="2" s="1"/>
  <c r="AH369" i="2" a="1"/>
  <c r="AH369" i="2" s="1"/>
  <c r="AI369" i="2" a="1"/>
  <c r="AI369" i="2" s="1"/>
  <c r="AJ369" i="2" a="1"/>
  <c r="AJ369" i="2" s="1"/>
  <c r="W370" i="2" a="1"/>
  <c r="W370" i="2" s="1"/>
  <c r="X370" i="2" a="1"/>
  <c r="X370" i="2" s="1"/>
  <c r="Y370" i="2" a="1"/>
  <c r="Y370" i="2" s="1"/>
  <c r="Z370" i="2" a="1"/>
  <c r="Z370" i="2" s="1"/>
  <c r="AA370" i="2" a="1"/>
  <c r="AA370" i="2" s="1"/>
  <c r="AB370" i="2" a="1"/>
  <c r="AB370" i="2" s="1"/>
  <c r="AC370" i="2" a="1"/>
  <c r="AC370" i="2" s="1"/>
  <c r="AD370" i="2" a="1"/>
  <c r="AD370" i="2" s="1"/>
  <c r="AE370" i="2" a="1"/>
  <c r="AE370" i="2" s="1"/>
  <c r="AF370" i="2" a="1"/>
  <c r="AF370" i="2" s="1"/>
  <c r="AG370" i="2" a="1"/>
  <c r="AG370" i="2" s="1"/>
  <c r="AH370" i="2" a="1"/>
  <c r="AH370" i="2" s="1"/>
  <c r="AI370" i="2" a="1"/>
  <c r="AI370" i="2" s="1"/>
  <c r="AJ370" i="2" a="1"/>
  <c r="AJ370" i="2" s="1"/>
  <c r="W371" i="2" a="1"/>
  <c r="W371" i="2" s="1"/>
  <c r="X371" i="2" a="1"/>
  <c r="X371" i="2" s="1"/>
  <c r="Y371" i="2" a="1"/>
  <c r="Y371" i="2" s="1"/>
  <c r="Z371" i="2" a="1"/>
  <c r="Z371" i="2" s="1"/>
  <c r="AA371" i="2" a="1"/>
  <c r="AA371" i="2" s="1"/>
  <c r="AB371" i="2" a="1"/>
  <c r="AB371" i="2" s="1"/>
  <c r="AC371" i="2" a="1"/>
  <c r="AC371" i="2" s="1"/>
  <c r="AD371" i="2" a="1"/>
  <c r="AD371" i="2" s="1"/>
  <c r="AE371" i="2" a="1"/>
  <c r="AE371" i="2" s="1"/>
  <c r="AF371" i="2" a="1"/>
  <c r="AF371" i="2" s="1"/>
  <c r="AG371" i="2" a="1"/>
  <c r="AG371" i="2" s="1"/>
  <c r="AH371" i="2" a="1"/>
  <c r="AH371" i="2" s="1"/>
  <c r="AI371" i="2" a="1"/>
  <c r="AI371" i="2" s="1"/>
  <c r="AJ371" i="2" a="1"/>
  <c r="AJ371" i="2" s="1"/>
  <c r="W372" i="2" a="1"/>
  <c r="W372" i="2" s="1"/>
  <c r="X372" i="2" a="1"/>
  <c r="X372" i="2" s="1"/>
  <c r="Y372" i="2" a="1"/>
  <c r="Y372" i="2" s="1"/>
  <c r="Z372" i="2" a="1"/>
  <c r="Z372" i="2" s="1"/>
  <c r="AA372" i="2" a="1"/>
  <c r="AA372" i="2" s="1"/>
  <c r="AB372" i="2" a="1"/>
  <c r="AB372" i="2" s="1"/>
  <c r="AC372" i="2" a="1"/>
  <c r="AC372" i="2" s="1"/>
  <c r="AD372" i="2" a="1"/>
  <c r="AD372" i="2" s="1"/>
  <c r="AE372" i="2" a="1"/>
  <c r="AE372" i="2" s="1"/>
  <c r="AF372" i="2" a="1"/>
  <c r="AF372" i="2" s="1"/>
  <c r="AG372" i="2" a="1"/>
  <c r="AG372" i="2" s="1"/>
  <c r="AH372" i="2" a="1"/>
  <c r="AH372" i="2" s="1"/>
  <c r="AI372" i="2" a="1"/>
  <c r="AI372" i="2" s="1"/>
  <c r="AJ372" i="2" a="1"/>
  <c r="AJ372" i="2" s="1"/>
  <c r="AI1334" i="2" a="1"/>
  <c r="AI1334" i="2" s="1"/>
  <c r="AG1334" i="2" a="1"/>
  <c r="AG1334" i="2" s="1"/>
  <c r="AB1334" i="2" a="1"/>
  <c r="AB1334" i="2" s="1"/>
  <c r="AE1334" i="2" a="1"/>
  <c r="AE1334" i="2" s="1"/>
  <c r="AD1334" i="2" a="1"/>
  <c r="AD1334" i="2" s="1"/>
  <c r="AF1334" i="2" a="1"/>
  <c r="AF1334" i="2" s="1"/>
  <c r="AF1335" i="2" a="1"/>
  <c r="AF1335" i="2" s="1"/>
  <c r="Y1335" i="2" a="1"/>
  <c r="Y1335" i="2" s="1"/>
  <c r="X1335" i="2" a="1"/>
  <c r="X1335" i="2" s="1"/>
  <c r="W1335" i="2" a="1"/>
  <c r="W1335" i="2" s="1"/>
  <c r="AJ1334" i="2" a="1"/>
  <c r="AJ1334" i="2" s="1"/>
  <c r="AC1334" i="2" a="1"/>
  <c r="AC1334" i="2" s="1"/>
  <c r="AH1334" i="2" a="1"/>
  <c r="AH1334" i="2" s="1"/>
  <c r="AG1333" i="2" a="1"/>
  <c r="AG1333" i="2" s="1"/>
  <c r="AH1333" i="2" a="1"/>
  <c r="AH1333" i="2" s="1"/>
  <c r="AF1333" i="2" a="1"/>
  <c r="AF1333" i="2" s="1"/>
  <c r="AC1333" i="2" a="1"/>
  <c r="AC1333" i="2" s="1"/>
  <c r="X1333" i="2" a="1"/>
  <c r="X1333" i="2" s="1"/>
  <c r="W1333" i="2" a="1"/>
  <c r="W1333" i="2" s="1"/>
  <c r="AG1332" i="2" a="1"/>
  <c r="AG1332" i="2" s="1"/>
  <c r="W1332" i="2" a="1"/>
  <c r="W1332" i="2" s="1"/>
  <c r="AD1332" i="2" a="1"/>
  <c r="AD1332" i="2" s="1"/>
  <c r="AJ1331" i="2" a="1"/>
  <c r="AJ1331" i="2" s="1"/>
  <c r="AI1332" i="2" a="1"/>
  <c r="AI1332" i="2" s="1"/>
  <c r="Z1332" i="2" a="1"/>
  <c r="Z1332" i="2" s="1"/>
  <c r="X1332" i="2" a="1"/>
  <c r="X1332" i="2" s="1"/>
  <c r="Y1332" i="2" a="1"/>
  <c r="Y1332" i="2" s="1"/>
  <c r="Z1335" i="2" a="1"/>
  <c r="Z1335" i="2" s="1"/>
  <c r="AA1334" i="2" a="1"/>
  <c r="AA1334" i="2" s="1"/>
  <c r="Z1334" i="2" a="1"/>
  <c r="Z1334" i="2" s="1"/>
  <c r="Y1334" i="2" a="1"/>
  <c r="Y1334" i="2" s="1"/>
  <c r="X1334" i="2" a="1"/>
  <c r="X1334" i="2" s="1"/>
  <c r="AB1333" i="2" a="1"/>
  <c r="AB1333" i="2" s="1"/>
  <c r="Z1333" i="2" a="1"/>
  <c r="Z1333" i="2" s="1"/>
  <c r="AE1333" i="2" a="1"/>
  <c r="AE1333" i="2" s="1"/>
  <c r="W1334" i="2" a="1"/>
  <c r="W1334" i="2" s="1"/>
  <c r="AJ1333" i="2" a="1"/>
  <c r="AJ1333" i="2" s="1"/>
  <c r="AD1333" i="2" a="1"/>
  <c r="AD1333" i="2" s="1"/>
  <c r="AE1332" i="2" a="1"/>
  <c r="AE1332" i="2" s="1"/>
  <c r="AA1333" i="2" a="1"/>
  <c r="AA1333" i="2" s="1"/>
  <c r="AB1332" i="2" a="1"/>
  <c r="AB1332" i="2" s="1"/>
  <c r="AI1333" i="2" a="1"/>
  <c r="AI1333" i="2" s="1"/>
  <c r="Y1333" i="2" a="1"/>
  <c r="Y1333" i="2" s="1"/>
  <c r="AH1332" i="2" a="1"/>
  <c r="AH1332" i="2" s="1"/>
  <c r="AJ1332" i="2" a="1"/>
  <c r="AJ1332" i="2" s="1"/>
  <c r="AA1332" i="2" a="1"/>
  <c r="AA1332" i="2" s="1"/>
  <c r="AF1332" i="2" a="1"/>
  <c r="AF1332" i="2" s="1"/>
  <c r="AC1332" i="2" a="1"/>
  <c r="AC1332" i="2" s="1"/>
  <c r="AI1331" i="2" a="1"/>
  <c r="AI1331" i="2" s="1"/>
  <c r="AF109" i="2" a="1"/>
  <c r="AF109" i="2" s="1"/>
  <c r="AB109" i="2" a="1"/>
  <c r="AB109" i="2" s="1"/>
  <c r="AA109" i="2" a="1"/>
  <c r="AA109" i="2" s="1"/>
  <c r="AE109" i="2" a="1"/>
  <c r="AE109" i="2" s="1"/>
  <c r="AD109" i="2" a="1"/>
  <c r="AD109" i="2" s="1"/>
  <c r="AC109" i="2" a="1"/>
  <c r="AC109" i="2" s="1"/>
  <c r="AJ114" i="2" a="1"/>
  <c r="AJ114" i="2" s="1"/>
  <c r="AI108" i="2" a="1"/>
  <c r="AI108" i="2" s="1"/>
  <c r="AB108" i="2" a="1"/>
  <c r="AB108" i="2" s="1"/>
  <c r="AG108" i="2" a="1"/>
  <c r="AG108" i="2" s="1"/>
  <c r="AD108" i="2" a="1"/>
  <c r="AD108" i="2" s="1"/>
  <c r="AE108" i="2" a="1"/>
  <c r="AE108" i="2" s="1"/>
  <c r="AF108" i="2" a="1"/>
  <c r="AF108" i="2" s="1"/>
  <c r="AC108" i="2" a="1"/>
  <c r="AC108" i="2" s="1"/>
  <c r="AI110" i="2" a="1"/>
  <c r="AI110" i="2" s="1"/>
  <c r="Z109" i="2" a="1"/>
  <c r="Z109" i="2" s="1"/>
  <c r="X109" i="2" a="1"/>
  <c r="X109" i="2" s="1"/>
  <c r="W109" i="2" a="1"/>
  <c r="W109" i="2" s="1"/>
  <c r="Y109" i="2" a="1"/>
  <c r="Y109" i="2" s="1"/>
  <c r="AH108" i="2" a="1"/>
  <c r="AH108" i="2" s="1"/>
  <c r="AJ108" i="2" a="1"/>
  <c r="AJ108" i="2" s="1"/>
  <c r="Y110" i="2" a="1"/>
  <c r="Y110" i="2" s="1"/>
  <c r="W110" i="2" a="1"/>
  <c r="W110" i="2" s="1"/>
  <c r="AI109" i="2" a="1"/>
  <c r="AI109" i="2" s="1"/>
  <c r="AG109" i="2" a="1"/>
  <c r="AG109" i="2" s="1"/>
  <c r="AC110" i="2" a="1"/>
  <c r="AC110" i="2" s="1"/>
  <c r="AB110" i="2" a="1"/>
  <c r="AB110" i="2" s="1"/>
  <c r="X110" i="2" a="1"/>
  <c r="X110" i="2" s="1"/>
  <c r="AD110" i="2" a="1"/>
  <c r="AD110" i="2" s="1"/>
  <c r="AH109" i="2" a="1"/>
  <c r="AH109" i="2" s="1"/>
  <c r="AJ110" i="2" a="1"/>
  <c r="AJ110" i="2" s="1"/>
  <c r="AH110" i="2" a="1"/>
  <c r="AH110" i="2" s="1"/>
  <c r="AG110" i="2" a="1"/>
  <c r="AG110" i="2" s="1"/>
  <c r="AF110" i="2" a="1"/>
  <c r="AF110" i="2" s="1"/>
  <c r="AE110" i="2" a="1"/>
  <c r="AE110" i="2" s="1"/>
  <c r="AJ109" i="2" a="1"/>
  <c r="AJ109" i="2" s="1"/>
  <c r="Z110" i="2" a="1"/>
  <c r="Z110" i="2" s="1"/>
  <c r="AA110" i="2" a="1"/>
  <c r="AA110" i="2" s="1"/>
  <c r="Z114" i="2" a="1"/>
  <c r="Z114" i="2" s="1"/>
  <c r="AE114" i="2" a="1"/>
  <c r="AE114" i="2" s="1"/>
  <c r="AD114" i="2" a="1"/>
  <c r="AD114" i="2" s="1"/>
  <c r="AB114" i="2" a="1"/>
  <c r="AB114" i="2" s="1"/>
  <c r="AA114" i="2" a="1"/>
  <c r="AA114" i="2" s="1"/>
  <c r="AC114" i="2" a="1"/>
  <c r="AC114" i="2" s="1"/>
  <c r="Z115" i="2" a="1"/>
  <c r="Z115" i="2" s="1"/>
  <c r="AE95" i="2" a="1"/>
  <c r="AE95" i="2" s="1"/>
  <c r="Y100" i="2" a="1"/>
  <c r="Y100" i="2" s="1"/>
  <c r="W96" i="2" a="1"/>
  <c r="W96" i="2" s="1"/>
  <c r="AG95" i="2" a="1"/>
  <c r="AG95" i="2" s="1"/>
  <c r="AJ95" i="2" a="1"/>
  <c r="AJ95" i="2" s="1"/>
  <c r="AI95" i="2" a="1"/>
  <c r="AI95" i="2" s="1"/>
  <c r="AH95" i="2" a="1"/>
  <c r="AH95" i="2" s="1"/>
  <c r="AF95" i="2" a="1"/>
  <c r="AF95" i="2" s="1"/>
  <c r="AH92" i="2" a="1"/>
  <c r="AH92" i="2" s="1"/>
  <c r="AF92" i="2" a="1"/>
  <c r="AF92" i="2" s="1"/>
  <c r="AC92" i="2" a="1"/>
  <c r="AC92" i="2" s="1"/>
  <c r="AA92" i="2" a="1"/>
  <c r="AA92" i="2" s="1"/>
  <c r="Y95" i="2" a="1"/>
  <c r="Y95" i="2" s="1"/>
  <c r="AJ94" i="2" a="1"/>
  <c r="AJ94" i="2" s="1"/>
  <c r="X94" i="2" a="1"/>
  <c r="X94" i="2" s="1"/>
  <c r="W94" i="2" a="1"/>
  <c r="W94" i="2" s="1"/>
  <c r="AJ92" i="2" a="1"/>
  <c r="AJ92" i="2" s="1"/>
  <c r="AB93" i="2" a="1"/>
  <c r="AB93" i="2" s="1"/>
  <c r="AA93" i="2" a="1"/>
  <c r="AA93" i="2" s="1"/>
  <c r="W95" i="2" a="1"/>
  <c r="W95" i="2" s="1"/>
  <c r="X95" i="2" a="1"/>
  <c r="X95" i="2" s="1"/>
  <c r="AF94" i="2" a="1"/>
  <c r="AF94" i="2" s="1"/>
  <c r="AF93" i="2" a="1"/>
  <c r="AF93" i="2" s="1"/>
  <c r="Y93" i="2" a="1"/>
  <c r="Y93" i="2" s="1"/>
  <c r="AG92" i="2" a="1"/>
  <c r="AG92" i="2" s="1"/>
  <c r="AH94" i="2" a="1"/>
  <c r="AH94" i="2" s="1"/>
  <c r="AA94" i="2" a="1"/>
  <c r="AA94" i="2" s="1"/>
  <c r="X93" i="2" a="1"/>
  <c r="X93" i="2" s="1"/>
  <c r="Y94" i="2" a="1"/>
  <c r="Y94" i="2" s="1"/>
  <c r="AE94" i="2" a="1"/>
  <c r="AE94" i="2" s="1"/>
  <c r="AD94" i="2" a="1"/>
  <c r="AD94" i="2" s="1"/>
  <c r="AJ93" i="2" a="1"/>
  <c r="AJ93" i="2" s="1"/>
  <c r="AC94" i="2" a="1"/>
  <c r="AC94" i="2" s="1"/>
  <c r="Z94" i="2" a="1"/>
  <c r="Z94" i="2" s="1"/>
  <c r="AI93" i="2" a="1"/>
  <c r="AI93" i="2" s="1"/>
  <c r="AC93" i="2" a="1"/>
  <c r="AC93" i="2" s="1"/>
  <c r="AE93" i="2" a="1"/>
  <c r="AE93" i="2" s="1"/>
  <c r="AI92" i="2" a="1"/>
  <c r="AI92" i="2" s="1"/>
  <c r="AE92" i="2" a="1"/>
  <c r="AE92" i="2" s="1"/>
  <c r="AD93" i="2" a="1"/>
  <c r="AD93" i="2" s="1"/>
  <c r="AF114" i="2" a="1"/>
  <c r="AF114" i="2" s="1"/>
  <c r="AD95" i="2" a="1"/>
  <c r="AD95" i="2" s="1"/>
  <c r="AC95" i="2" a="1"/>
  <c r="AC95" i="2" s="1"/>
  <c r="AB95" i="2" a="1"/>
  <c r="AB95" i="2" s="1"/>
  <c r="Z93" i="2" a="1"/>
  <c r="Z93" i="2" s="1"/>
  <c r="W93" i="2" a="1"/>
  <c r="W93" i="2" s="1"/>
  <c r="AA95" i="2" a="1"/>
  <c r="AA95" i="2" s="1"/>
  <c r="AG93" i="2" a="1"/>
  <c r="AG93" i="2" s="1"/>
  <c r="AB92" i="2" a="1"/>
  <c r="AB92" i="2" s="1"/>
  <c r="Z95" i="2" a="1"/>
  <c r="Z95" i="2" s="1"/>
  <c r="AB94" i="2" a="1"/>
  <c r="AB94" i="2" s="1"/>
  <c r="AD92" i="2" a="1"/>
  <c r="AD92" i="2" s="1"/>
  <c r="AH93" i="2" a="1"/>
  <c r="AH93" i="2" s="1"/>
  <c r="AI94" i="2" a="1"/>
  <c r="AI94" i="2" s="1"/>
  <c r="AG94" i="2" a="1"/>
  <c r="AG94" i="2" s="1"/>
  <c r="X100" i="2" a="1"/>
  <c r="X100" i="2" s="1"/>
  <c r="AE91" i="2" a="1"/>
  <c r="AE91" i="2" s="1"/>
  <c r="AC91" i="2" a="1"/>
  <c r="AC91" i="2" s="1"/>
  <c r="Z92" i="2" a="1"/>
  <c r="Z92" i="2" s="1"/>
  <c r="X92" i="2" a="1"/>
  <c r="X92" i="2" s="1"/>
  <c r="W92" i="2" a="1"/>
  <c r="W92" i="2" s="1"/>
  <c r="AJ91" i="2" a="1"/>
  <c r="AJ91" i="2" s="1"/>
  <c r="AA91" i="2" a="1"/>
  <c r="AA91" i="2" s="1"/>
  <c r="AI91" i="2" a="1"/>
  <c r="AI91" i="2" s="1"/>
  <c r="AH91" i="2" a="1"/>
  <c r="AH91" i="2" s="1"/>
  <c r="AB91" i="2" a="1"/>
  <c r="AB91" i="2" s="1"/>
  <c r="AG91" i="2" a="1"/>
  <c r="AG91" i="2" s="1"/>
  <c r="AF91" i="2" a="1"/>
  <c r="AF91" i="2" s="1"/>
  <c r="AD91" i="2" a="1"/>
  <c r="AD91" i="2" s="1"/>
  <c r="Y92" i="2" a="1"/>
  <c r="Y92" i="2" s="1"/>
  <c r="AB100" i="2" a="1"/>
  <c r="AB100" i="2" s="1"/>
  <c r="W100" i="2" a="1"/>
  <c r="W100" i="2" s="1"/>
  <c r="AD100" i="2" a="1"/>
  <c r="AD100" i="2" s="1"/>
  <c r="AJ99" i="2" a="1"/>
  <c r="AJ99" i="2" s="1"/>
  <c r="AI99" i="2" a="1"/>
  <c r="AI99" i="2" s="1"/>
  <c r="AG99" i="2" a="1"/>
  <c r="AG99" i="2" s="1"/>
  <c r="Y99" i="2" a="1"/>
  <c r="Y99" i="2" s="1"/>
  <c r="AJ98" i="2" a="1"/>
  <c r="AJ98" i="2" s="1"/>
  <c r="Z99" i="2" a="1"/>
  <c r="Z99" i="2" s="1"/>
  <c r="AH99" i="2" a="1"/>
  <c r="AH99" i="2" s="1"/>
  <c r="AF99" i="2" a="1"/>
  <c r="AF99" i="2" s="1"/>
  <c r="AC99" i="2" a="1"/>
  <c r="AC99" i="2" s="1"/>
  <c r="X99" i="2" a="1"/>
  <c r="X99" i="2" s="1"/>
  <c r="AA100" i="2" a="1"/>
  <c r="AA100" i="2" s="1"/>
  <c r="AE99" i="2" a="1"/>
  <c r="AE99" i="2" s="1"/>
  <c r="AD99" i="2" a="1"/>
  <c r="AD99" i="2" s="1"/>
  <c r="AB99" i="2" a="1"/>
  <c r="AB99" i="2" s="1"/>
  <c r="W99" i="2" a="1"/>
  <c r="W99" i="2" s="1"/>
  <c r="AA99" i="2" a="1"/>
  <c r="AA99" i="2" s="1"/>
  <c r="AE100" i="2" a="1"/>
  <c r="AE100" i="2" s="1"/>
  <c r="AE98" i="2" a="1"/>
  <c r="AE98" i="2" s="1"/>
  <c r="AF98" i="2" a="1"/>
  <c r="AF98" i="2" s="1"/>
  <c r="AC98" i="2" a="1"/>
  <c r="AC98" i="2" s="1"/>
  <c r="AI98" i="2" a="1"/>
  <c r="AI98" i="2" s="1"/>
  <c r="AH98" i="2" a="1"/>
  <c r="AH98" i="2" s="1"/>
  <c r="AG98" i="2" a="1"/>
  <c r="AG98" i="2" s="1"/>
  <c r="AD98" i="2" a="1"/>
  <c r="AD98" i="2" s="1"/>
  <c r="AB98" i="2" a="1"/>
  <c r="AB98" i="2" s="1"/>
  <c r="AA98" i="2" a="1"/>
  <c r="AA98" i="2" s="1"/>
  <c r="AA97" i="2" a="1"/>
  <c r="AA97" i="2" s="1"/>
  <c r="AI96" i="2" a="1"/>
  <c r="AI96" i="2" s="1"/>
  <c r="Y97" i="2" a="1"/>
  <c r="Y97" i="2" s="1"/>
  <c r="AG97" i="2" a="1"/>
  <c r="AG97" i="2" s="1"/>
  <c r="AE97" i="2" a="1"/>
  <c r="AE97" i="2" s="1"/>
  <c r="AF97" i="2" a="1"/>
  <c r="AF97" i="2" s="1"/>
  <c r="X97" i="2" a="1"/>
  <c r="X97" i="2" s="1"/>
  <c r="Z100" i="2" a="1"/>
  <c r="Z100" i="2" s="1"/>
  <c r="Z98" i="2" a="1"/>
  <c r="Z98" i="2" s="1"/>
  <c r="AJ96" i="2" a="1"/>
  <c r="AJ96" i="2" s="1"/>
  <c r="Y98" i="2" a="1"/>
  <c r="Y98" i="2" s="1"/>
  <c r="X98" i="2" a="1"/>
  <c r="X98" i="2" s="1"/>
  <c r="AB97" i="2" a="1"/>
  <c r="AB97" i="2" s="1"/>
  <c r="W98" i="2" a="1"/>
  <c r="W98" i="2" s="1"/>
  <c r="AJ97" i="2" a="1"/>
  <c r="AJ97" i="2" s="1"/>
  <c r="W97" i="2" a="1"/>
  <c r="W97" i="2" s="1"/>
  <c r="AD97" i="2" a="1"/>
  <c r="AD97" i="2" s="1"/>
  <c r="AH97" i="2" a="1"/>
  <c r="AH97" i="2" s="1"/>
  <c r="AI97" i="2" a="1"/>
  <c r="AI97" i="2" s="1"/>
  <c r="AH96" i="2" a="1"/>
  <c r="AH96" i="2" s="1"/>
  <c r="AC97" i="2" a="1"/>
  <c r="AC97" i="2" s="1"/>
  <c r="Z97" i="2" a="1"/>
  <c r="Z97" i="2" s="1"/>
  <c r="Z96" i="2" a="1"/>
  <c r="Z96" i="2" s="1"/>
  <c r="AF96" i="2" a="1"/>
  <c r="AF96" i="2" s="1"/>
  <c r="AE96" i="2" a="1"/>
  <c r="AE96" i="2" s="1"/>
  <c r="AD96" i="2" a="1"/>
  <c r="AD96" i="2" s="1"/>
  <c r="AC96" i="2" a="1"/>
  <c r="AC96" i="2" s="1"/>
  <c r="X96" i="2" a="1"/>
  <c r="X96" i="2" s="1"/>
  <c r="AB96" i="2" a="1"/>
  <c r="AB96" i="2" s="1"/>
  <c r="AA96" i="2" a="1"/>
  <c r="AA96" i="2" s="1"/>
  <c r="Y96" i="2" a="1"/>
  <c r="Y96" i="2" s="1"/>
  <c r="AC100" i="2" a="1"/>
  <c r="AC100" i="2" s="1"/>
  <c r="AG96" i="2" a="1"/>
  <c r="AG96" i="2" s="1"/>
  <c r="AJ112" i="2" a="1"/>
  <c r="AJ112" i="2" s="1"/>
  <c r="AG112" i="2" a="1"/>
  <c r="AG112" i="2" s="1"/>
  <c r="AF112" i="2" a="1"/>
  <c r="AF112" i="2" s="1"/>
  <c r="W113" i="2" a="1"/>
  <c r="W113" i="2" s="1"/>
  <c r="AI112" i="2" a="1"/>
  <c r="AI112" i="2" s="1"/>
  <c r="AE112" i="2" a="1"/>
  <c r="AE112" i="2" s="1"/>
  <c r="AD112" i="2" a="1"/>
  <c r="AD112" i="2" s="1"/>
  <c r="AC112" i="2" a="1"/>
  <c r="AC112" i="2" s="1"/>
  <c r="AB111" i="2" a="1"/>
  <c r="AB111" i="2" s="1"/>
  <c r="AB112" i="2" a="1"/>
  <c r="AB112" i="2" s="1"/>
  <c r="AF111" i="2" a="1"/>
  <c r="AF111" i="2" s="1"/>
  <c r="AD111" i="2" a="1"/>
  <c r="AD111" i="2" s="1"/>
  <c r="AA112" i="2" a="1"/>
  <c r="AA112" i="2" s="1"/>
  <c r="AJ111" i="2" a="1"/>
  <c r="AJ111" i="2" s="1"/>
  <c r="AG111" i="2" a="1"/>
  <c r="AG111" i="2" s="1"/>
  <c r="AE111" i="2" a="1"/>
  <c r="AE111" i="2" s="1"/>
  <c r="AH111" i="2" a="1"/>
  <c r="AH111" i="2" s="1"/>
  <c r="AC111" i="2" a="1"/>
  <c r="AC111" i="2" s="1"/>
  <c r="AA111" i="2" a="1"/>
  <c r="AA111" i="2" s="1"/>
  <c r="Y111" i="2" a="1"/>
  <c r="Y111" i="2" s="1"/>
  <c r="X111" i="2" a="1"/>
  <c r="X111" i="2" s="1"/>
  <c r="Z112" i="2" a="1"/>
  <c r="Z112" i="2" s="1"/>
  <c r="W111" i="2" a="1"/>
  <c r="W111" i="2" s="1"/>
  <c r="W112" i="2" a="1"/>
  <c r="W112" i="2" s="1"/>
  <c r="AI111" i="2" a="1"/>
  <c r="AI111" i="2" s="1"/>
  <c r="W115" i="2" a="1"/>
  <c r="W115" i="2" s="1"/>
  <c r="Y112" i="2" a="1"/>
  <c r="Y112" i="2" s="1"/>
  <c r="X112" i="2" a="1"/>
  <c r="X112" i="2" s="1"/>
  <c r="Z111" i="2" a="1"/>
  <c r="Z111" i="2" s="1"/>
  <c r="AH112" i="2" a="1"/>
  <c r="AH112" i="2" s="1"/>
  <c r="AI114" i="2" a="1"/>
  <c r="AI114" i="2" s="1"/>
  <c r="X114" i="2" a="1"/>
  <c r="X114" i="2" s="1"/>
  <c r="X113" i="2" a="1"/>
  <c r="X113" i="2" s="1"/>
  <c r="AC113" i="2" a="1"/>
  <c r="AC113" i="2" s="1"/>
  <c r="AA113" i="2" a="1"/>
  <c r="AA113" i="2" s="1"/>
  <c r="Z113" i="2" a="1"/>
  <c r="Z113" i="2" s="1"/>
  <c r="AB113" i="2" a="1"/>
  <c r="AB113" i="2" s="1"/>
  <c r="Y114" i="2" a="1"/>
  <c r="Y114" i="2" s="1"/>
  <c r="AG113" i="2" a="1"/>
  <c r="AG113" i="2" s="1"/>
  <c r="AF113" i="2" a="1"/>
  <c r="AF113" i="2" s="1"/>
  <c r="Y113" i="2" a="1"/>
  <c r="Y113" i="2" s="1"/>
  <c r="AD113" i="2" a="1"/>
  <c r="AD113" i="2" s="1"/>
  <c r="AE113" i="2" a="1"/>
  <c r="AE113" i="2" s="1"/>
  <c r="W114" i="2" a="1"/>
  <c r="W114" i="2" s="1"/>
  <c r="AJ113" i="2" a="1"/>
  <c r="AJ113" i="2" s="1"/>
  <c r="AI113" i="2" a="1"/>
  <c r="AI113" i="2" s="1"/>
  <c r="AH113" i="2" a="1"/>
  <c r="AH113" i="2" s="1"/>
  <c r="X1326" i="2" a="1"/>
  <c r="X1326" i="2" s="1"/>
  <c r="W1326" i="2" a="1"/>
  <c r="W1326" i="2" s="1"/>
  <c r="AD1331" i="2" a="1"/>
  <c r="AD1331" i="2" s="1"/>
  <c r="Z1326" i="2" a="1"/>
  <c r="Z1326" i="2" s="1"/>
  <c r="Y1326" i="2" a="1"/>
  <c r="Y1326" i="2" s="1"/>
  <c r="AH1323" i="2" a="1"/>
  <c r="AH1323" i="2" s="1"/>
  <c r="X1323" i="2" a="1"/>
  <c r="X1323" i="2" s="1"/>
  <c r="AH1324" i="2" a="1"/>
  <c r="AH1324" i="2" s="1"/>
  <c r="AH1331" i="2" a="1"/>
  <c r="AH1331" i="2" s="1"/>
  <c r="AJ1325" i="2" a="1"/>
  <c r="AJ1325" i="2" s="1"/>
  <c r="AB1323" i="2" a="1"/>
  <c r="AB1323" i="2" s="1"/>
  <c r="AF1325" i="2" a="1"/>
  <c r="AF1325" i="2" s="1"/>
  <c r="AI1325" i="2" a="1"/>
  <c r="AI1325" i="2" s="1"/>
  <c r="AH1325" i="2" a="1"/>
  <c r="AH1325" i="2" s="1"/>
  <c r="AG1325" i="2" a="1"/>
  <c r="AG1325" i="2" s="1"/>
  <c r="AI1323" i="2" a="1"/>
  <c r="AI1323" i="2" s="1"/>
  <c r="Y1323" i="2" a="1"/>
  <c r="Y1323" i="2" s="1"/>
  <c r="W1323" i="2" a="1"/>
  <c r="W1323" i="2" s="1"/>
  <c r="AE1325" i="2" a="1"/>
  <c r="AE1325" i="2" s="1"/>
  <c r="Z1323" i="2" a="1"/>
  <c r="Z1323" i="2" s="1"/>
  <c r="AD1325" i="2" a="1"/>
  <c r="AD1325" i="2" s="1"/>
  <c r="Y1324" i="2" a="1"/>
  <c r="Y1324" i="2" s="1"/>
  <c r="AC1325" i="2" a="1"/>
  <c r="AC1325" i="2" s="1"/>
  <c r="AB1325" i="2" a="1"/>
  <c r="AB1325" i="2" s="1"/>
  <c r="AA1323" i="2" a="1"/>
  <c r="AA1323" i="2" s="1"/>
  <c r="AE1324" i="2" a="1"/>
  <c r="AE1324" i="2" s="1"/>
  <c r="AG1323" i="2" a="1"/>
  <c r="AG1323" i="2" s="1"/>
  <c r="AA1325" i="2" a="1"/>
  <c r="AA1325" i="2" s="1"/>
  <c r="Z1325" i="2" a="1"/>
  <c r="Z1325" i="2" s="1"/>
  <c r="W1324" i="2" a="1"/>
  <c r="W1324" i="2" s="1"/>
  <c r="AI1324" i="2" a="1"/>
  <c r="AI1324" i="2" s="1"/>
  <c r="AD1324" i="2" a="1"/>
  <c r="AD1324" i="2" s="1"/>
  <c r="AA1324" i="2" a="1"/>
  <c r="AA1324" i="2" s="1"/>
  <c r="AC1323" i="2" a="1"/>
  <c r="AC1323" i="2" s="1"/>
  <c r="AJ1323" i="2" a="1"/>
  <c r="AJ1323" i="2" s="1"/>
  <c r="AF1323" i="2" a="1"/>
  <c r="AF1323" i="2" s="1"/>
  <c r="W1325" i="2" a="1"/>
  <c r="W1325" i="2" s="1"/>
  <c r="AB1324" i="2" a="1"/>
  <c r="AB1324" i="2" s="1"/>
  <c r="AD1323" i="2" a="1"/>
  <c r="AD1323" i="2" s="1"/>
  <c r="Y1325" i="2" a="1"/>
  <c r="Y1325" i="2" s="1"/>
  <c r="X1325" i="2" a="1"/>
  <c r="X1325" i="2" s="1"/>
  <c r="AJ1324" i="2" a="1"/>
  <c r="AJ1324" i="2" s="1"/>
  <c r="AG1324" i="2" a="1"/>
  <c r="AG1324" i="2" s="1"/>
  <c r="AF1324" i="2" a="1"/>
  <c r="AF1324" i="2" s="1"/>
  <c r="AJ1322" i="2" a="1"/>
  <c r="AJ1322" i="2" s="1"/>
  <c r="AC1324" i="2" a="1"/>
  <c r="AC1324" i="2" s="1"/>
  <c r="AE1323" i="2" a="1"/>
  <c r="AE1323" i="2" s="1"/>
  <c r="Z1324" i="2" a="1"/>
  <c r="Z1324" i="2" s="1"/>
  <c r="X1324" i="2" a="1"/>
  <c r="X1324" i="2" s="1"/>
  <c r="AC1331" i="2" a="1"/>
  <c r="AC1331" i="2" s="1"/>
  <c r="AI1322" i="2" a="1"/>
  <c r="AI1322" i="2" s="1"/>
  <c r="AH1322" i="2" a="1"/>
  <c r="AH1322" i="2" s="1"/>
  <c r="AG1322" i="2" a="1"/>
  <c r="AG1322" i="2" s="1"/>
  <c r="AF1322" i="2" a="1"/>
  <c r="AF1322" i="2" s="1"/>
  <c r="AE1322" i="2" a="1"/>
  <c r="AE1322" i="2" s="1"/>
  <c r="AF1331" i="2" a="1"/>
  <c r="AF1331" i="2" s="1"/>
  <c r="Z1331" i="2" a="1"/>
  <c r="Z1331" i="2" s="1"/>
  <c r="AB1331" i="2" a="1"/>
  <c r="AB1331" i="2" s="1"/>
  <c r="AA1331" i="2" a="1"/>
  <c r="AA1331" i="2" s="1"/>
  <c r="AH1330" i="2" a="1"/>
  <c r="AH1330" i="2" s="1"/>
  <c r="AE1330" i="2" a="1"/>
  <c r="AE1330" i="2" s="1"/>
  <c r="AF1330" i="2" a="1"/>
  <c r="AF1330" i="2" s="1"/>
  <c r="Y1331" i="2" a="1"/>
  <c r="Y1331" i="2" s="1"/>
  <c r="X1331" i="2" a="1"/>
  <c r="X1331" i="2" s="1"/>
  <c r="AJ1330" i="2" a="1"/>
  <c r="AJ1330" i="2" s="1"/>
  <c r="AC1330" i="2" a="1"/>
  <c r="AC1330" i="2" s="1"/>
  <c r="Y1330" i="2" a="1"/>
  <c r="Y1330" i="2" s="1"/>
  <c r="AD1330" i="2" a="1"/>
  <c r="AD1330" i="2" s="1"/>
  <c r="AB1330" i="2" a="1"/>
  <c r="AB1330" i="2" s="1"/>
  <c r="Z1330" i="2" a="1"/>
  <c r="Z1330" i="2" s="1"/>
  <c r="AD1335" i="2" a="1"/>
  <c r="AD1335" i="2" s="1"/>
  <c r="W1331" i="2" a="1"/>
  <c r="W1331" i="2" s="1"/>
  <c r="AI1330" i="2" a="1"/>
  <c r="AI1330" i="2" s="1"/>
  <c r="AG1330" i="2" a="1"/>
  <c r="AG1330" i="2" s="1"/>
  <c r="AA1330" i="2" a="1"/>
  <c r="AA1330" i="2" s="1"/>
  <c r="AI1328" i="2" a="1"/>
  <c r="AI1328" i="2" s="1"/>
  <c r="AF1328" i="2" a="1"/>
  <c r="AF1328" i="2" s="1"/>
  <c r="AH1328" i="2" a="1"/>
  <c r="AH1328" i="2" s="1"/>
  <c r="AE1331" i="2" a="1"/>
  <c r="AE1331" i="2" s="1"/>
  <c r="AG1329" i="2" a="1"/>
  <c r="AG1329" i="2" s="1"/>
  <c r="X1330" i="2" a="1"/>
  <c r="X1330" i="2" s="1"/>
  <c r="W1330" i="2" a="1"/>
  <c r="W1330" i="2" s="1"/>
  <c r="AC1328" i="2" a="1"/>
  <c r="AC1328" i="2" s="1"/>
  <c r="AJ1329" i="2" a="1"/>
  <c r="AJ1329" i="2" s="1"/>
  <c r="AI1329" i="2" a="1"/>
  <c r="AI1329" i="2" s="1"/>
  <c r="AB1328" i="2" a="1"/>
  <c r="AB1328" i="2" s="1"/>
  <c r="AH1329" i="2" a="1"/>
  <c r="AH1329" i="2" s="1"/>
  <c r="AF1329" i="2" a="1"/>
  <c r="AF1329" i="2" s="1"/>
  <c r="AE1329" i="2" a="1"/>
  <c r="AE1329" i="2" s="1"/>
  <c r="AD1329" i="2" a="1"/>
  <c r="AD1329" i="2" s="1"/>
  <c r="AC1329" i="2" a="1"/>
  <c r="AC1329" i="2" s="1"/>
  <c r="AJ1328" i="2" a="1"/>
  <c r="AJ1328" i="2" s="1"/>
  <c r="AB1329" i="2" a="1"/>
  <c r="AB1329" i="2" s="1"/>
  <c r="AA1329" i="2" a="1"/>
  <c r="AA1329" i="2" s="1"/>
  <c r="AE1328" i="2" a="1"/>
  <c r="AE1328" i="2" s="1"/>
  <c r="AD1328" i="2" a="1"/>
  <c r="AD1328" i="2" s="1"/>
  <c r="Z1329" i="2" a="1"/>
  <c r="Z1329" i="2" s="1"/>
  <c r="Y1329" i="2" a="1"/>
  <c r="Y1329" i="2" s="1"/>
  <c r="AG1328" i="2" a="1"/>
  <c r="AG1328" i="2" s="1"/>
  <c r="X1329" i="2" a="1"/>
  <c r="X1329" i="2" s="1"/>
  <c r="W1329" i="2" a="1"/>
  <c r="W1329" i="2" s="1"/>
  <c r="AG1331" i="2" a="1"/>
  <c r="AG1331" i="2" s="1"/>
  <c r="AA1328" i="2" a="1"/>
  <c r="AA1328" i="2" s="1"/>
  <c r="W1328" i="2" a="1"/>
  <c r="W1328" i="2" s="1"/>
  <c r="Z1328" i="2" a="1"/>
  <c r="Z1328" i="2" s="1"/>
  <c r="Y1328" i="2" a="1"/>
  <c r="Y1328" i="2" s="1"/>
  <c r="X1328" i="2" a="1"/>
  <c r="X1328" i="2" s="1"/>
  <c r="AH1326" i="2" a="1"/>
  <c r="AH1326" i="2" s="1"/>
  <c r="AD1326" i="2" a="1"/>
  <c r="AD1326" i="2" s="1"/>
  <c r="AJ1327" i="2" a="1"/>
  <c r="AJ1327" i="2" s="1"/>
  <c r="AI1327" i="2" a="1"/>
  <c r="AI1327" i="2" s="1"/>
  <c r="AH1327" i="2" a="1"/>
  <c r="AH1327" i="2" s="1"/>
  <c r="AG1327" i="2" a="1"/>
  <c r="AG1327" i="2" s="1"/>
  <c r="AE1327" i="2" a="1"/>
  <c r="AE1327" i="2" s="1"/>
  <c r="AC1327" i="2" a="1"/>
  <c r="AC1327" i="2" s="1"/>
  <c r="AJ1326" i="2" a="1"/>
  <c r="AJ1326" i="2" s="1"/>
  <c r="AE1326" i="2" a="1"/>
  <c r="AE1326" i="2" s="1"/>
  <c r="AI1326" i="2" a="1"/>
  <c r="AI1326" i="2" s="1"/>
  <c r="AA1326" i="2" a="1"/>
  <c r="AA1326" i="2" s="1"/>
  <c r="AG1326" i="2" a="1"/>
  <c r="AG1326" i="2" s="1"/>
  <c r="AA1327" i="2" a="1"/>
  <c r="AA1327" i="2" s="1"/>
  <c r="Y1327" i="2" a="1"/>
  <c r="Y1327" i="2" s="1"/>
  <c r="AF1326" i="2" a="1"/>
  <c r="AF1326" i="2" s="1"/>
  <c r="AC1326" i="2" a="1"/>
  <c r="AC1326" i="2" s="1"/>
  <c r="W1327" i="2" a="1"/>
  <c r="W1327" i="2" s="1"/>
  <c r="AD1327" i="2" a="1"/>
  <c r="AD1327" i="2" s="1"/>
  <c r="AB1327" i="2" a="1"/>
  <c r="AB1327" i="2" s="1"/>
  <c r="X1327" i="2" a="1"/>
  <c r="X1327" i="2" s="1"/>
  <c r="AB1326" i="2" a="1"/>
  <c r="AB1326" i="2" s="1"/>
  <c r="Z1327" i="2" a="1"/>
  <c r="Z1327" i="2" s="1"/>
  <c r="AF1327" i="2" a="1"/>
  <c r="AF1327" i="2" s="1"/>
  <c r="AI2141" i="2" a="1"/>
  <c r="AI2141" i="2" s="1"/>
  <c r="AJ2141" i="2" a="1"/>
  <c r="AJ2141" i="2" s="1"/>
  <c r="AD2141" i="2" a="1"/>
  <c r="AD2141" i="2" s="1"/>
  <c r="AH2137" i="2" a="1"/>
  <c r="AH2137" i="2" s="1"/>
  <c r="AB2140" i="2" a="1"/>
  <c r="AB2140" i="2" s="1"/>
  <c r="Z2139" i="2" a="1"/>
  <c r="Z2139" i="2" s="1"/>
  <c r="AD2137" i="2" a="1"/>
  <c r="AD2137" i="2" s="1"/>
  <c r="AE2139" i="2" a="1"/>
  <c r="AE2139" i="2" s="1"/>
  <c r="AC2138" i="2" a="1"/>
  <c r="AC2138" i="2" s="1"/>
  <c r="AE2138" i="2" a="1"/>
  <c r="AE2138" i="2" s="1"/>
  <c r="AC2137" i="2" a="1"/>
  <c r="AC2137" i="2" s="1"/>
  <c r="AB2141" i="2" a="1"/>
  <c r="AB2141" i="2" s="1"/>
  <c r="AE2141" i="2" a="1"/>
  <c r="AE2141" i="2" s="1"/>
  <c r="AA2141" i="2" a="1"/>
  <c r="AA2141" i="2" s="1"/>
  <c r="Z2140" i="2" a="1"/>
  <c r="Z2140" i="2" s="1"/>
  <c r="AE2137" i="2" a="1"/>
  <c r="AE2137" i="2" s="1"/>
  <c r="AD2138" i="2" a="1"/>
  <c r="AD2138" i="2" s="1"/>
  <c r="AC2141" i="2" a="1"/>
  <c r="AC2141" i="2" s="1"/>
  <c r="AH2138" i="2" a="1"/>
  <c r="AH2138" i="2" s="1"/>
  <c r="X2139" i="2" a="1"/>
  <c r="X2139" i="2" s="1"/>
  <c r="AG2137" i="2" a="1"/>
  <c r="AG2137" i="2" s="1"/>
  <c r="Z2141" i="2" a="1"/>
  <c r="Z2141" i="2" s="1"/>
  <c r="AG2140" i="2" a="1"/>
  <c r="AG2140" i="2" s="1"/>
  <c r="Y2141" i="2" a="1"/>
  <c r="Y2141" i="2" s="1"/>
  <c r="X2141" i="2" a="1"/>
  <c r="X2141" i="2" s="1"/>
  <c r="AF2140" i="2" a="1"/>
  <c r="AF2140" i="2" s="1"/>
  <c r="Y2140" i="2" a="1"/>
  <c r="Y2140" i="2" s="1"/>
  <c r="AF2139" i="2" a="1"/>
  <c r="AF2139" i="2" s="1"/>
  <c r="AD2139" i="2" a="1"/>
  <c r="AD2139" i="2" s="1"/>
  <c r="AA2139" i="2" a="1"/>
  <c r="AA2139" i="2" s="1"/>
  <c r="W2139" i="2" a="1"/>
  <c r="W2139" i="2" s="1"/>
  <c r="AI2138" i="2" a="1"/>
  <c r="AI2138" i="2" s="1"/>
  <c r="AF2138" i="2" a="1"/>
  <c r="AF2138" i="2" s="1"/>
  <c r="AG2138" i="2" a="1"/>
  <c r="AG2138" i="2" s="1"/>
  <c r="AB2137" i="2" a="1"/>
  <c r="AB2137" i="2" s="1"/>
  <c r="AF2137" i="2" a="1"/>
  <c r="AF2137" i="2" s="1"/>
  <c r="AB2138" i="2" a="1"/>
  <c r="AB2138" i="2" s="1"/>
  <c r="Z2138" i="2" a="1"/>
  <c r="Z2138" i="2" s="1"/>
  <c r="AD2140" i="2" a="1"/>
  <c r="AD2140" i="2" s="1"/>
  <c r="AF2141" i="2" a="1"/>
  <c r="AF2141" i="2" s="1"/>
  <c r="W2141" i="2" a="1"/>
  <c r="W2141" i="2" s="1"/>
  <c r="AI2140" i="2" a="1"/>
  <c r="AI2140" i="2" s="1"/>
  <c r="AH2140" i="2" a="1"/>
  <c r="AH2140" i="2" s="1"/>
  <c r="AE2140" i="2" a="1"/>
  <c r="AE2140" i="2" s="1"/>
  <c r="X2138" i="2" a="1"/>
  <c r="X2138" i="2" s="1"/>
  <c r="AJ2137" i="2" a="1"/>
  <c r="AJ2137" i="2" s="1"/>
  <c r="AJ2139" i="2" a="1"/>
  <c r="AJ2139" i="2" s="1"/>
  <c r="AH2139" i="2" a="1"/>
  <c r="AH2139" i="2" s="1"/>
  <c r="Y2139" i="2" a="1"/>
  <c r="Y2139" i="2" s="1"/>
  <c r="AI2139" i="2" a="1"/>
  <c r="AI2139" i="2" s="1"/>
  <c r="AG2139" i="2" a="1"/>
  <c r="AG2139" i="2" s="1"/>
  <c r="AC2139" i="2" a="1"/>
  <c r="AC2139" i="2" s="1"/>
  <c r="AA2138" i="2" a="1"/>
  <c r="AA2138" i="2" s="1"/>
  <c r="Y2138" i="2" a="1"/>
  <c r="Y2138" i="2" s="1"/>
  <c r="AI2137" i="2" a="1"/>
  <c r="AI2137" i="2" s="1"/>
  <c r="AB2139" i="2" a="1"/>
  <c r="AB2139" i="2" s="1"/>
  <c r="AH2141" i="2" a="1"/>
  <c r="AH2141" i="2" s="1"/>
  <c r="AG2141" i="2" a="1"/>
  <c r="AG2141" i="2" s="1"/>
  <c r="AC2140" i="2" a="1"/>
  <c r="AC2140" i="2" s="1"/>
  <c r="W2140" i="2" a="1"/>
  <c r="W2140" i="2" s="1"/>
  <c r="AJ2138" i="2" a="1"/>
  <c r="AJ2138" i="2" s="1"/>
  <c r="AA2140" i="2" a="1"/>
  <c r="AA2140" i="2" s="1"/>
  <c r="AJ2140" i="2" a="1"/>
  <c r="AJ2140" i="2" s="1"/>
  <c r="W2138" i="2" a="1"/>
  <c r="W2138" i="2" s="1"/>
  <c r="X2140" i="2" a="1"/>
  <c r="X2140" i="2" s="1"/>
  <c r="W2133" i="2" a="1"/>
  <c r="W2133" i="2" s="1"/>
  <c r="AA2137" i="2" a="1"/>
  <c r="AA2137" i="2" s="1"/>
  <c r="W2135" i="2" a="1"/>
  <c r="W2135" i="2" s="1"/>
  <c r="AC2134" i="2" a="1"/>
  <c r="AC2134" i="2" s="1"/>
  <c r="AA2133" i="2" a="1"/>
  <c r="AA2133" i="2" s="1"/>
  <c r="AD2136" i="2" a="1"/>
  <c r="AD2136" i="2" s="1"/>
  <c r="Z2137" i="2" a="1"/>
  <c r="Z2137" i="2" s="1"/>
  <c r="AG2136" i="2" a="1"/>
  <c r="AG2136" i="2" s="1"/>
  <c r="AI2135" i="2" a="1"/>
  <c r="AI2135" i="2" s="1"/>
  <c r="Y2137" i="2" a="1"/>
  <c r="Y2137" i="2" s="1"/>
  <c r="X2135" i="2" a="1"/>
  <c r="X2135" i="2" s="1"/>
  <c r="AH2136" i="2" a="1"/>
  <c r="AH2136" i="2" s="1"/>
  <c r="AF2133" i="2" a="1"/>
  <c r="AF2133" i="2" s="1"/>
  <c r="AF2136" i="2" a="1"/>
  <c r="AF2136" i="2" s="1"/>
  <c r="AJ2135" i="2" a="1"/>
  <c r="AJ2135" i="2" s="1"/>
  <c r="AG2135" i="2" a="1"/>
  <c r="AG2135" i="2" s="1"/>
  <c r="AA2135" i="2" a="1"/>
  <c r="AA2135" i="2" s="1"/>
  <c r="Z2134" i="2" a="1"/>
  <c r="Z2134" i="2" s="1"/>
  <c r="Y2134" i="2" a="1"/>
  <c r="Y2134" i="2" s="1"/>
  <c r="AI2134" i="2" a="1"/>
  <c r="AI2134" i="2" s="1"/>
  <c r="X2134" i="2" a="1"/>
  <c r="X2134" i="2" s="1"/>
  <c r="AB2134" i="2" a="1"/>
  <c r="AB2134" i="2" s="1"/>
  <c r="AA2134" i="2" a="1"/>
  <c r="AA2134" i="2" s="1"/>
  <c r="AH2133" i="2" a="1"/>
  <c r="AH2133" i="2" s="1"/>
  <c r="AI2132" i="2" a="1"/>
  <c r="AI2132" i="2" s="1"/>
  <c r="AI2133" i="2" a="1"/>
  <c r="AI2133" i="2" s="1"/>
  <c r="AJ2132" i="2" a="1"/>
  <c r="AJ2132" i="2" s="1"/>
  <c r="AD2134" i="2" a="1"/>
  <c r="AD2134" i="2" s="1"/>
  <c r="AE2133" i="2" a="1"/>
  <c r="AE2133" i="2" s="1"/>
  <c r="Y2135" i="2" a="1"/>
  <c r="Y2135" i="2" s="1"/>
  <c r="AE2136" i="2" a="1"/>
  <c r="AE2136" i="2" s="1"/>
  <c r="AH2135" i="2" a="1"/>
  <c r="AH2135" i="2" s="1"/>
  <c r="AB2135" i="2" a="1"/>
  <c r="AB2135" i="2" s="1"/>
  <c r="AJ2134" i="2" a="1"/>
  <c r="AJ2134" i="2" s="1"/>
  <c r="AB2133" i="2" a="1"/>
  <c r="AB2133" i="2" s="1"/>
  <c r="AI2136" i="2" a="1"/>
  <c r="AI2136" i="2" s="1"/>
  <c r="W2136" i="2" a="1"/>
  <c r="W2136" i="2" s="1"/>
  <c r="AJ2136" i="2" a="1"/>
  <c r="AJ2136" i="2" s="1"/>
  <c r="AC2136" i="2" a="1"/>
  <c r="AC2136" i="2" s="1"/>
  <c r="AF2134" i="2" a="1"/>
  <c r="AF2134" i="2" s="1"/>
  <c r="AC2135" i="2" a="1"/>
  <c r="AC2135" i="2" s="1"/>
  <c r="Z2136" i="2" a="1"/>
  <c r="Z2136" i="2" s="1"/>
  <c r="AF2135" i="2" a="1"/>
  <c r="AF2135" i="2" s="1"/>
  <c r="X2136" i="2" a="1"/>
  <c r="X2136" i="2" s="1"/>
  <c r="AD2135" i="2" a="1"/>
  <c r="AD2135" i="2" s="1"/>
  <c r="W2134" i="2" a="1"/>
  <c r="W2134" i="2" s="1"/>
  <c r="Z2133" i="2" a="1"/>
  <c r="Z2133" i="2" s="1"/>
  <c r="X2133" i="2" a="1"/>
  <c r="X2133" i="2" s="1"/>
  <c r="AG2133" i="2" a="1"/>
  <c r="AG2133" i="2" s="1"/>
  <c r="X2137" i="2" a="1"/>
  <c r="X2137" i="2" s="1"/>
  <c r="AD2133" i="2" a="1"/>
  <c r="AD2133" i="2" s="1"/>
  <c r="Z2135" i="2" a="1"/>
  <c r="Z2135" i="2" s="1"/>
  <c r="AB2136" i="2" a="1"/>
  <c r="AB2136" i="2" s="1"/>
  <c r="AC2133" i="2" a="1"/>
  <c r="AC2133" i="2" s="1"/>
  <c r="W2137" i="2" a="1"/>
  <c r="W2137" i="2" s="1"/>
  <c r="AA2136" i="2" a="1"/>
  <c r="AA2136" i="2" s="1"/>
  <c r="Y2133" i="2" a="1"/>
  <c r="Y2133" i="2" s="1"/>
  <c r="AE2135" i="2" a="1"/>
  <c r="AE2135" i="2" s="1"/>
  <c r="Y2136" i="2" a="1"/>
  <c r="Y2136" i="2" s="1"/>
  <c r="AH2134" i="2" a="1"/>
  <c r="AH2134" i="2" s="1"/>
  <c r="AE2134" i="2" a="1"/>
  <c r="AE2134" i="2" s="1"/>
  <c r="AG2134" i="2" a="1"/>
  <c r="AG2134" i="2" s="1"/>
  <c r="AJ2133" i="2" a="1"/>
  <c r="AJ2133" i="2" s="1"/>
  <c r="AD2128" i="2" a="1"/>
  <c r="AD2128" i="2" s="1"/>
  <c r="AC2130" i="2" a="1"/>
  <c r="AC2130" i="2" s="1"/>
  <c r="AD2132" i="2" a="1"/>
  <c r="AD2132" i="2" s="1"/>
  <c r="AH2129" i="2" a="1"/>
  <c r="AH2129" i="2" s="1"/>
  <c r="AB2132" i="2" a="1"/>
  <c r="AB2132" i="2" s="1"/>
  <c r="Y2132" i="2" a="1"/>
  <c r="Y2132" i="2" s="1"/>
  <c r="AB2131" i="2" a="1"/>
  <c r="AB2131" i="2" s="1"/>
  <c r="AG2129" i="2" a="1"/>
  <c r="AG2129" i="2" s="1"/>
  <c r="AJ2131" i="2" a="1"/>
  <c r="AJ2131" i="2" s="1"/>
  <c r="AI2131" i="2" a="1"/>
  <c r="AI2131" i="2" s="1"/>
  <c r="AE2128" i="2" a="1"/>
  <c r="AE2128" i="2" s="1"/>
  <c r="Y2131" i="2" a="1"/>
  <c r="Y2131" i="2" s="1"/>
  <c r="AF2130" i="2" a="1"/>
  <c r="AF2130" i="2" s="1"/>
  <c r="AE2129" i="2" a="1"/>
  <c r="AE2129" i="2" s="1"/>
  <c r="AG2131" i="2" a="1"/>
  <c r="AG2131" i="2" s="1"/>
  <c r="AA2131" i="2" a="1"/>
  <c r="AA2131" i="2" s="1"/>
  <c r="W2130" i="2" a="1"/>
  <c r="W2130" i="2" s="1"/>
  <c r="Z2131" i="2" a="1"/>
  <c r="Z2131" i="2" s="1"/>
  <c r="W2131" i="2" a="1"/>
  <c r="W2131" i="2" s="1"/>
  <c r="X2130" i="2" a="1"/>
  <c r="X2130" i="2" s="1"/>
  <c r="AB2129" i="2" a="1"/>
  <c r="AB2129" i="2" s="1"/>
  <c r="AH2128" i="2" a="1"/>
  <c r="AH2128" i="2" s="1"/>
  <c r="AJ2128" i="2" a="1"/>
  <c r="AJ2128" i="2" s="1"/>
  <c r="AD2130" i="2" a="1"/>
  <c r="AD2130" i="2" s="1"/>
  <c r="X2132" i="2" a="1"/>
  <c r="X2132" i="2" s="1"/>
  <c r="AI2129" i="2" a="1"/>
  <c r="AI2129" i="2" s="1"/>
  <c r="AD2129" i="2" a="1"/>
  <c r="AD2129" i="2" s="1"/>
  <c r="AA2129" i="2" a="1"/>
  <c r="AA2129" i="2" s="1"/>
  <c r="AF2128" i="2" a="1"/>
  <c r="AF2128" i="2" s="1"/>
  <c r="AI2128" i="2" a="1"/>
  <c r="AI2128" i="2" s="1"/>
  <c r="AE2131" i="2" a="1"/>
  <c r="AE2131" i="2" s="1"/>
  <c r="AB2130" i="2" a="1"/>
  <c r="AB2130" i="2" s="1"/>
  <c r="AH2132" i="2" a="1"/>
  <c r="AH2132" i="2" s="1"/>
  <c r="Y2130" i="2" a="1"/>
  <c r="Y2130" i="2" s="1"/>
  <c r="AG2132" i="2" a="1"/>
  <c r="AG2132" i="2" s="1"/>
  <c r="W2129" i="2" a="1"/>
  <c r="W2129" i="2" s="1"/>
  <c r="AF2132" i="2" a="1"/>
  <c r="AF2132" i="2" s="1"/>
  <c r="AE2132" i="2" a="1"/>
  <c r="AE2132" i="2" s="1"/>
  <c r="AC2132" i="2" a="1"/>
  <c r="AC2132" i="2" s="1"/>
  <c r="AA2132" i="2" a="1"/>
  <c r="AA2132" i="2" s="1"/>
  <c r="AC2129" i="2" a="1"/>
  <c r="AC2129" i="2" s="1"/>
  <c r="Z2132" i="2" a="1"/>
  <c r="Z2132" i="2" s="1"/>
  <c r="AG2130" i="2" a="1"/>
  <c r="AG2130" i="2" s="1"/>
  <c r="AJ2129" i="2" a="1"/>
  <c r="AJ2129" i="2" s="1"/>
  <c r="X2129" i="2" a="1"/>
  <c r="X2129" i="2" s="1"/>
  <c r="AB2128" i="2" a="1"/>
  <c r="AB2128" i="2" s="1"/>
  <c r="W2132" i="2" a="1"/>
  <c r="W2132" i="2" s="1"/>
  <c r="AH2131" i="2" a="1"/>
  <c r="AH2131" i="2" s="1"/>
  <c r="AC2131" i="2" a="1"/>
  <c r="AC2131" i="2" s="1"/>
  <c r="Z2129" i="2" a="1"/>
  <c r="Z2129" i="2" s="1"/>
  <c r="AH2130" i="2" a="1"/>
  <c r="AH2130" i="2" s="1"/>
  <c r="AG2128" i="2" a="1"/>
  <c r="AG2128" i="2" s="1"/>
  <c r="AC2128" i="2" a="1"/>
  <c r="AC2128" i="2" s="1"/>
  <c r="AF2131" i="2" a="1"/>
  <c r="AF2131" i="2" s="1"/>
  <c r="X2131" i="2" a="1"/>
  <c r="X2131" i="2" s="1"/>
  <c r="AD2131" i="2" a="1"/>
  <c r="AD2131" i="2" s="1"/>
  <c r="AJ2130" i="2" a="1"/>
  <c r="AJ2130" i="2" s="1"/>
  <c r="AI2130" i="2" a="1"/>
  <c r="AI2130" i="2" s="1"/>
  <c r="AE2130" i="2" a="1"/>
  <c r="AE2130" i="2" s="1"/>
  <c r="AA2130" i="2" a="1"/>
  <c r="AA2130" i="2" s="1"/>
  <c r="AF2129" i="2" a="1"/>
  <c r="AF2129" i="2" s="1"/>
  <c r="Y2129" i="2" a="1"/>
  <c r="Y2129" i="2" s="1"/>
  <c r="Z2130" i="2" a="1"/>
  <c r="Z2130" i="2" s="1"/>
  <c r="AB2124" i="2" a="1"/>
  <c r="AB2124" i="2" s="1"/>
  <c r="AJ2125" i="2" a="1"/>
  <c r="AJ2125" i="2" s="1"/>
  <c r="AD2127" i="2" a="1"/>
  <c r="AD2127" i="2" s="1"/>
  <c r="AE2124" i="2" a="1"/>
  <c r="AE2124" i="2" s="1"/>
  <c r="AJ2124" i="2" a="1"/>
  <c r="AJ2124" i="2" s="1"/>
  <c r="AH2124" i="2" a="1"/>
  <c r="AH2124" i="2" s="1"/>
  <c r="AA2128" i="2" a="1"/>
  <c r="AA2128" i="2" s="1"/>
  <c r="AE2127" i="2" a="1"/>
  <c r="AE2127" i="2" s="1"/>
  <c r="AA2127" i="2" a="1"/>
  <c r="AA2127" i="2" s="1"/>
  <c r="AC2125" i="2" a="1"/>
  <c r="AC2125" i="2" s="1"/>
  <c r="W2124" i="2" a="1"/>
  <c r="W2124" i="2" s="1"/>
  <c r="AB2125" i="2" a="1"/>
  <c r="AB2125" i="2" s="1"/>
  <c r="AF2124" i="2" a="1"/>
  <c r="AF2124" i="2" s="1"/>
  <c r="AJ2123" i="2" a="1"/>
  <c r="AJ2123" i="2" s="1"/>
  <c r="AA2125" i="2" a="1"/>
  <c r="AA2125" i="2" s="1"/>
  <c r="AI2123" i="2" a="1"/>
  <c r="AI2123" i="2" s="1"/>
  <c r="Z2128" i="2" a="1"/>
  <c r="Z2128" i="2" s="1"/>
  <c r="Y2128" i="2" a="1"/>
  <c r="Y2128" i="2" s="1"/>
  <c r="Z2126" i="2" a="1"/>
  <c r="Z2126" i="2" s="1"/>
  <c r="X2128" i="2" a="1"/>
  <c r="X2128" i="2" s="1"/>
  <c r="AB2127" i="2" a="1"/>
  <c r="AB2127" i="2" s="1"/>
  <c r="Y2126" i="2" a="1"/>
  <c r="Y2126" i="2" s="1"/>
  <c r="W2128" i="2" a="1"/>
  <c r="W2128" i="2" s="1"/>
  <c r="AG2127" i="2" a="1"/>
  <c r="AG2127" i="2" s="1"/>
  <c r="AG2126" i="2" a="1"/>
  <c r="AG2126" i="2" s="1"/>
  <c r="AA2124" i="2" a="1"/>
  <c r="AA2124" i="2" s="1"/>
  <c r="Y2125" i="2" a="1"/>
  <c r="Y2125" i="2" s="1"/>
  <c r="Y2124" i="2" a="1"/>
  <c r="Y2124" i="2" s="1"/>
  <c r="AF2127" i="2" a="1"/>
  <c r="AF2127" i="2" s="1"/>
  <c r="AC2127" i="2" a="1"/>
  <c r="AC2127" i="2" s="1"/>
  <c r="AI2125" i="2" a="1"/>
  <c r="AI2125" i="2" s="1"/>
  <c r="AI2124" i="2" a="1"/>
  <c r="AI2124" i="2" s="1"/>
  <c r="AH2126" i="2" a="1"/>
  <c r="AH2126" i="2" s="1"/>
  <c r="AC2126" i="2" a="1"/>
  <c r="AC2126" i="2" s="1"/>
  <c r="AG2124" i="2" a="1"/>
  <c r="AG2124" i="2" s="1"/>
  <c r="Z2125" i="2" a="1"/>
  <c r="Z2125" i="2" s="1"/>
  <c r="AJ2127" i="2" a="1"/>
  <c r="AJ2127" i="2" s="1"/>
  <c r="AH2127" i="2" a="1"/>
  <c r="AH2127" i="2" s="1"/>
  <c r="Y2127" i="2" a="1"/>
  <c r="Y2127" i="2" s="1"/>
  <c r="X2127" i="2" a="1"/>
  <c r="X2127" i="2" s="1"/>
  <c r="AD2126" i="2" a="1"/>
  <c r="AD2126" i="2" s="1"/>
  <c r="X2126" i="2" a="1"/>
  <c r="X2126" i="2" s="1"/>
  <c r="W2126" i="2" a="1"/>
  <c r="W2126" i="2" s="1"/>
  <c r="AE2125" i="2" a="1"/>
  <c r="AE2125" i="2" s="1"/>
  <c r="AD2125" i="2" a="1"/>
  <c r="AD2125" i="2" s="1"/>
  <c r="W2125" i="2" a="1"/>
  <c r="W2125" i="2" s="1"/>
  <c r="AC2124" i="2" a="1"/>
  <c r="AC2124" i="2" s="1"/>
  <c r="X2124" i="2" a="1"/>
  <c r="X2124" i="2" s="1"/>
  <c r="AJ2126" i="2" a="1"/>
  <c r="AJ2126" i="2" s="1"/>
  <c r="AF2126" i="2" a="1"/>
  <c r="AF2126" i="2" s="1"/>
  <c r="AI2126" i="2" a="1"/>
  <c r="AI2126" i="2" s="1"/>
  <c r="X2125" i="2" a="1"/>
  <c r="X2125" i="2" s="1"/>
  <c r="AF2125" i="2" a="1"/>
  <c r="AF2125" i="2" s="1"/>
  <c r="W2127" i="2" a="1"/>
  <c r="W2127" i="2" s="1"/>
  <c r="AI2127" i="2" a="1"/>
  <c r="AI2127" i="2" s="1"/>
  <c r="Z2127" i="2" a="1"/>
  <c r="Z2127" i="2" s="1"/>
  <c r="AD2124" i="2" a="1"/>
  <c r="AD2124" i="2" s="1"/>
  <c r="AB2126" i="2" a="1"/>
  <c r="AB2126" i="2" s="1"/>
  <c r="AA2126" i="2" a="1"/>
  <c r="AA2126" i="2" s="1"/>
  <c r="Z2124" i="2" a="1"/>
  <c r="Z2124" i="2" s="1"/>
  <c r="AE2126" i="2" a="1"/>
  <c r="AE2126" i="2" s="1"/>
  <c r="AH2125" i="2" a="1"/>
  <c r="AH2125" i="2" s="1"/>
  <c r="AG2125" i="2" a="1"/>
  <c r="AG2125" i="2" s="1"/>
  <c r="X2120" i="2" a="1"/>
  <c r="X2120" i="2" s="1"/>
  <c r="AA2120" i="2" a="1"/>
  <c r="AA2120" i="2" s="1"/>
  <c r="AA2122" i="2" a="1"/>
  <c r="AA2122" i="2" s="1"/>
  <c r="AJ2121" i="2" a="1"/>
  <c r="AJ2121" i="2" s="1"/>
  <c r="AJ2120" i="2" a="1"/>
  <c r="AJ2120" i="2" s="1"/>
  <c r="AC2119" i="2" a="1"/>
  <c r="AC2119" i="2" s="1"/>
  <c r="AH2120" i="2" a="1"/>
  <c r="AH2120" i="2" s="1"/>
  <c r="Z2123" i="2" a="1"/>
  <c r="Z2123" i="2" s="1"/>
  <c r="AF2120" i="2" a="1"/>
  <c r="AF2120" i="2" s="1"/>
  <c r="W2120" i="2" a="1"/>
  <c r="W2120" i="2" s="1"/>
  <c r="AJ2119" i="2" a="1"/>
  <c r="AJ2119" i="2" s="1"/>
  <c r="AB2122" i="2" a="1"/>
  <c r="AB2122" i="2" s="1"/>
  <c r="AE2120" i="2" a="1"/>
  <c r="AE2120" i="2" s="1"/>
  <c r="AA2121" i="2" a="1"/>
  <c r="AA2121" i="2" s="1"/>
  <c r="AG2121" i="2" a="1"/>
  <c r="AG2121" i="2" s="1"/>
  <c r="AG2119" i="2" a="1"/>
  <c r="AG2119" i="2" s="1"/>
  <c r="AD2120" i="2" a="1"/>
  <c r="AD2120" i="2" s="1"/>
  <c r="X2123" i="2" a="1"/>
  <c r="X2123" i="2" s="1"/>
  <c r="AJ2122" i="2" a="1"/>
  <c r="AJ2122" i="2" s="1"/>
  <c r="AI2122" i="2" a="1"/>
  <c r="AI2122" i="2" s="1"/>
  <c r="AG2122" i="2" a="1"/>
  <c r="AG2122" i="2" s="1"/>
  <c r="AH2121" i="2" a="1"/>
  <c r="AH2121" i="2" s="1"/>
  <c r="AB2121" i="2" a="1"/>
  <c r="AB2121" i="2" s="1"/>
  <c r="AB2120" i="2" a="1"/>
  <c r="AB2120" i="2" s="1"/>
  <c r="AF2122" i="2" a="1"/>
  <c r="AF2122" i="2" s="1"/>
  <c r="AD2122" i="2" a="1"/>
  <c r="AD2122" i="2" s="1"/>
  <c r="W2122" i="2" a="1"/>
  <c r="W2122" i="2" s="1"/>
  <c r="W2123" i="2" a="1"/>
  <c r="W2123" i="2" s="1"/>
  <c r="AE2122" i="2" a="1"/>
  <c r="AE2122" i="2" s="1"/>
  <c r="AF2119" i="2" a="1"/>
  <c r="AF2119" i="2" s="1"/>
  <c r="AC2120" i="2" a="1"/>
  <c r="AC2120" i="2" s="1"/>
  <c r="AI2120" i="2" a="1"/>
  <c r="AI2120" i="2" s="1"/>
  <c r="Z2120" i="2" a="1"/>
  <c r="Z2120" i="2" s="1"/>
  <c r="AI2121" i="2" a="1"/>
  <c r="AI2121" i="2" s="1"/>
  <c r="AD2121" i="2" a="1"/>
  <c r="AD2121" i="2" s="1"/>
  <c r="AG2120" i="2" a="1"/>
  <c r="AG2120" i="2" s="1"/>
  <c r="AH2123" i="2" a="1"/>
  <c r="AH2123" i="2" s="1"/>
  <c r="AG2123" i="2" a="1"/>
  <c r="AG2123" i="2" s="1"/>
  <c r="AF2123" i="2" a="1"/>
  <c r="AF2123" i="2" s="1"/>
  <c r="AE2123" i="2" a="1"/>
  <c r="AE2123" i="2" s="1"/>
  <c r="AB2123" i="2" a="1"/>
  <c r="AB2123" i="2" s="1"/>
  <c r="Z2122" i="2" a="1"/>
  <c r="Z2122" i="2" s="1"/>
  <c r="AF2121" i="2" a="1"/>
  <c r="AF2121" i="2" s="1"/>
  <c r="AE2121" i="2" a="1"/>
  <c r="AE2121" i="2" s="1"/>
  <c r="AC2121" i="2" a="1"/>
  <c r="AC2121" i="2" s="1"/>
  <c r="W2121" i="2" a="1"/>
  <c r="W2121" i="2" s="1"/>
  <c r="AE2119" i="2" a="1"/>
  <c r="AE2119" i="2" s="1"/>
  <c r="AD2119" i="2" a="1"/>
  <c r="AD2119" i="2" s="1"/>
  <c r="AD2123" i="2" a="1"/>
  <c r="AD2123" i="2" s="1"/>
  <c r="Y2123" i="2" a="1"/>
  <c r="Y2123" i="2" s="1"/>
  <c r="Y2122" i="2" a="1"/>
  <c r="Y2122" i="2" s="1"/>
  <c r="X2121" i="2" a="1"/>
  <c r="X2121" i="2" s="1"/>
  <c r="Y2121" i="2" a="1"/>
  <c r="Y2121" i="2" s="1"/>
  <c r="Z2121" i="2" a="1"/>
  <c r="Z2121" i="2" s="1"/>
  <c r="AB2119" i="2" a="1"/>
  <c r="AB2119" i="2" s="1"/>
  <c r="AC2123" i="2" a="1"/>
  <c r="AC2123" i="2" s="1"/>
  <c r="AH2119" i="2" a="1"/>
  <c r="AH2119" i="2" s="1"/>
  <c r="AA2123" i="2" a="1"/>
  <c r="AA2123" i="2" s="1"/>
  <c r="AH2122" i="2" a="1"/>
  <c r="AH2122" i="2" s="1"/>
  <c r="AI2119" i="2" a="1"/>
  <c r="AI2119" i="2" s="1"/>
  <c r="AC2122" i="2" a="1"/>
  <c r="AC2122" i="2" s="1"/>
  <c r="X2122" i="2" a="1"/>
  <c r="X2122" i="2" s="1"/>
  <c r="Y2120" i="2" a="1"/>
  <c r="Y2120" i="2" s="1"/>
  <c r="AF2115" i="2" a="1"/>
  <c r="AF2115" i="2" s="1"/>
  <c r="Y2115" i="2" a="1"/>
  <c r="Y2115" i="2" s="1"/>
  <c r="AE2118" i="2" a="1"/>
  <c r="AE2118" i="2" s="1"/>
  <c r="AI2114" i="2" a="1"/>
  <c r="AI2114" i="2" s="1"/>
  <c r="AC2118" i="2" a="1"/>
  <c r="AC2118" i="2" s="1"/>
  <c r="AD2116" i="2" a="1"/>
  <c r="AD2116" i="2" s="1"/>
  <c r="AB2116" i="2" a="1"/>
  <c r="AB2116" i="2" s="1"/>
  <c r="AF2117" i="2" a="1"/>
  <c r="AF2117" i="2" s="1"/>
  <c r="Z2116" i="2" a="1"/>
  <c r="Z2116" i="2" s="1"/>
  <c r="AE2115" i="2" a="1"/>
  <c r="AE2115" i="2" s="1"/>
  <c r="AC2117" i="2" a="1"/>
  <c r="AC2117" i="2" s="1"/>
  <c r="X2117" i="2" a="1"/>
  <c r="X2117" i="2" s="1"/>
  <c r="AH2118" i="2" a="1"/>
  <c r="AH2118" i="2" s="1"/>
  <c r="AD2118" i="2" a="1"/>
  <c r="AD2118" i="2" s="1"/>
  <c r="Z2117" i="2" a="1"/>
  <c r="Z2117" i="2" s="1"/>
  <c r="AJ2117" i="2" a="1"/>
  <c r="AJ2117" i="2" s="1"/>
  <c r="AA2119" i="2" a="1"/>
  <c r="AA2119" i="2" s="1"/>
  <c r="AG2116" i="2" a="1"/>
  <c r="AG2116" i="2" s="1"/>
  <c r="Z2119" i="2" a="1"/>
  <c r="Z2119" i="2" s="1"/>
  <c r="Y2119" i="2" a="1"/>
  <c r="Y2119" i="2" s="1"/>
  <c r="X2119" i="2" a="1"/>
  <c r="X2119" i="2" s="1"/>
  <c r="AH2115" i="2" a="1"/>
  <c r="AH2115" i="2" s="1"/>
  <c r="AF2118" i="2" a="1"/>
  <c r="AF2118" i="2" s="1"/>
  <c r="AB2118" i="2" a="1"/>
  <c r="AB2118" i="2" s="1"/>
  <c r="Z2118" i="2" a="1"/>
  <c r="Z2118" i="2" s="1"/>
  <c r="Y2118" i="2" a="1"/>
  <c r="Y2118" i="2" s="1"/>
  <c r="Y2117" i="2" a="1"/>
  <c r="Y2117" i="2" s="1"/>
  <c r="Z2115" i="2" a="1"/>
  <c r="Z2115" i="2" s="1"/>
  <c r="AB2115" i="2" a="1"/>
  <c r="AB2115" i="2" s="1"/>
  <c r="AJ2116" i="2" a="1"/>
  <c r="AJ2116" i="2" s="1"/>
  <c r="AJ2115" i="2" a="1"/>
  <c r="AJ2115" i="2" s="1"/>
  <c r="AC2116" i="2" a="1"/>
  <c r="AC2116" i="2" s="1"/>
  <c r="AF2116" i="2" a="1"/>
  <c r="AF2116" i="2" s="1"/>
  <c r="AA2116" i="2" a="1"/>
  <c r="AA2116" i="2" s="1"/>
  <c r="AD2115" i="2" a="1"/>
  <c r="AD2115" i="2" s="1"/>
  <c r="AG2115" i="2" a="1"/>
  <c r="AG2115" i="2" s="1"/>
  <c r="AJ2114" i="2" a="1"/>
  <c r="AJ2114" i="2" s="1"/>
  <c r="AJ2118" i="2" a="1"/>
  <c r="AJ2118" i="2" s="1"/>
  <c r="AI2118" i="2" a="1"/>
  <c r="AI2118" i="2" s="1"/>
  <c r="AH2117" i="2" a="1"/>
  <c r="AH2117" i="2" s="1"/>
  <c r="X2116" i="2" a="1"/>
  <c r="X2116" i="2" s="1"/>
  <c r="W2115" i="2" a="1"/>
  <c r="W2115" i="2" s="1"/>
  <c r="AG2118" i="2" a="1"/>
  <c r="AG2118" i="2" s="1"/>
  <c r="W2117" i="2" a="1"/>
  <c r="W2117" i="2" s="1"/>
  <c r="AA2118" i="2" a="1"/>
  <c r="AA2118" i="2" s="1"/>
  <c r="AE2116" i="2" a="1"/>
  <c r="AE2116" i="2" s="1"/>
  <c r="W2118" i="2" a="1"/>
  <c r="W2118" i="2" s="1"/>
  <c r="AI2117" i="2" a="1"/>
  <c r="AI2117" i="2" s="1"/>
  <c r="AG2117" i="2" a="1"/>
  <c r="AG2117" i="2" s="1"/>
  <c r="AE2117" i="2" a="1"/>
  <c r="AE2117" i="2" s="1"/>
  <c r="W2116" i="2" a="1"/>
  <c r="W2116" i="2" s="1"/>
  <c r="AD2117" i="2" a="1"/>
  <c r="AD2117" i="2" s="1"/>
  <c r="AI2115" i="2" a="1"/>
  <c r="AI2115" i="2" s="1"/>
  <c r="X2115" i="2" a="1"/>
  <c r="X2115" i="2" s="1"/>
  <c r="AA2115" i="2" a="1"/>
  <c r="AA2115" i="2" s="1"/>
  <c r="AA2117" i="2" a="1"/>
  <c r="AA2117" i="2" s="1"/>
  <c r="AC2115" i="2" a="1"/>
  <c r="AC2115" i="2" s="1"/>
  <c r="Y2116" i="2" a="1"/>
  <c r="Y2116" i="2" s="1"/>
  <c r="AB2117" i="2" a="1"/>
  <c r="AB2117" i="2" s="1"/>
  <c r="AI2116" i="2" a="1"/>
  <c r="AI2116" i="2" s="1"/>
  <c r="AH2116" i="2" a="1"/>
  <c r="AH2116" i="2" s="1"/>
  <c r="W2119" i="2" a="1"/>
  <c r="W2119" i="2" s="1"/>
  <c r="X2118" i="2" a="1"/>
  <c r="X2118" i="2" s="1"/>
  <c r="AF2114" i="2" a="1"/>
  <c r="AF2114" i="2" s="1"/>
  <c r="AH2113" i="2" a="1"/>
  <c r="AH2113" i="2" s="1"/>
  <c r="AG2113" i="2" a="1"/>
  <c r="AG2113" i="2" s="1"/>
  <c r="AE2113" i="2" a="1"/>
  <c r="AE2113" i="2" s="1"/>
  <c r="Y2113" i="2" a="1"/>
  <c r="Y2113" i="2" s="1"/>
  <c r="AJ2111" i="2" a="1"/>
  <c r="AJ2111" i="2" s="1"/>
  <c r="AF2110" i="2" a="1"/>
  <c r="AF2110" i="2" s="1"/>
  <c r="Z2112" i="2" a="1"/>
  <c r="Z2112" i="2" s="1"/>
  <c r="Y2112" i="2" a="1"/>
  <c r="Y2112" i="2" s="1"/>
  <c r="AD2110" i="2" a="1"/>
  <c r="AD2110" i="2" s="1"/>
  <c r="AI2111" i="2" a="1"/>
  <c r="AI2111" i="2" s="1"/>
  <c r="AD2111" i="2" a="1"/>
  <c r="AD2111" i="2" s="1"/>
  <c r="AC2110" i="2" a="1"/>
  <c r="AC2110" i="2" s="1"/>
  <c r="AI2112" i="2" a="1"/>
  <c r="AI2112" i="2" s="1"/>
  <c r="X2112" i="2" a="1"/>
  <c r="X2112" i="2" s="1"/>
  <c r="AF2111" i="2" a="1"/>
  <c r="AF2111" i="2" s="1"/>
  <c r="AB2110" i="2" a="1"/>
  <c r="AB2110" i="2" s="1"/>
  <c r="Z2111" i="2" a="1"/>
  <c r="Z2111" i="2" s="1"/>
  <c r="AJ2113" i="2" a="1"/>
  <c r="AJ2113" i="2" s="1"/>
  <c r="AB2112" i="2" a="1"/>
  <c r="AB2112" i="2" s="1"/>
  <c r="AI2113" i="2" a="1"/>
  <c r="AI2113" i="2" s="1"/>
  <c r="AD2113" i="2" a="1"/>
  <c r="AD2113" i="2" s="1"/>
  <c r="AC2113" i="2" a="1"/>
  <c r="AC2113" i="2" s="1"/>
  <c r="Z2113" i="2" a="1"/>
  <c r="Z2113" i="2" s="1"/>
  <c r="AJ2112" i="2" a="1"/>
  <c r="AJ2112" i="2" s="1"/>
  <c r="AG2112" i="2" a="1"/>
  <c r="AG2112" i="2" s="1"/>
  <c r="W2112" i="2" a="1"/>
  <c r="W2112" i="2" s="1"/>
  <c r="AI2110" i="2" a="1"/>
  <c r="AI2110" i="2" s="1"/>
  <c r="AE2111" i="2" a="1"/>
  <c r="AE2111" i="2" s="1"/>
  <c r="AA2111" i="2" a="1"/>
  <c r="AA2111" i="2" s="1"/>
  <c r="W2111" i="2" a="1"/>
  <c r="W2111" i="2" s="1"/>
  <c r="X2113" i="2" a="1"/>
  <c r="X2113" i="2" s="1"/>
  <c r="AA2112" i="2" a="1"/>
  <c r="AA2112" i="2" s="1"/>
  <c r="AC2111" i="2" a="1"/>
  <c r="AC2111" i="2" s="1"/>
  <c r="AJ2110" i="2" a="1"/>
  <c r="AJ2110" i="2" s="1"/>
  <c r="AE2110" i="2" a="1"/>
  <c r="AE2110" i="2" s="1"/>
  <c r="AC2112" i="2" a="1"/>
  <c r="AC2112" i="2" s="1"/>
  <c r="AH2114" i="2" a="1"/>
  <c r="AH2114" i="2" s="1"/>
  <c r="AD2114" i="2" a="1"/>
  <c r="AD2114" i="2" s="1"/>
  <c r="AC2114" i="2" a="1"/>
  <c r="AC2114" i="2" s="1"/>
  <c r="AB2114" i="2" a="1"/>
  <c r="AB2114" i="2" s="1"/>
  <c r="AA2114" i="2" a="1"/>
  <c r="AA2114" i="2" s="1"/>
  <c r="Z2114" i="2" a="1"/>
  <c r="Z2114" i="2" s="1"/>
  <c r="Y2114" i="2" a="1"/>
  <c r="Y2114" i="2" s="1"/>
  <c r="X2114" i="2" a="1"/>
  <c r="X2114" i="2" s="1"/>
  <c r="AD2112" i="2" a="1"/>
  <c r="AD2112" i="2" s="1"/>
  <c r="AH2112" i="2" a="1"/>
  <c r="AH2112" i="2" s="1"/>
  <c r="AF2112" i="2" a="1"/>
  <c r="AF2112" i="2" s="1"/>
  <c r="Y2111" i="2" a="1"/>
  <c r="Y2111" i="2" s="1"/>
  <c r="AH2110" i="2" a="1"/>
  <c r="AH2110" i="2" s="1"/>
  <c r="AB2113" i="2" a="1"/>
  <c r="AB2113" i="2" s="1"/>
  <c r="AF2113" i="2" a="1"/>
  <c r="AF2113" i="2" s="1"/>
  <c r="AA2113" i="2" a="1"/>
  <c r="AA2113" i="2" s="1"/>
  <c r="W2113" i="2" a="1"/>
  <c r="W2113" i="2" s="1"/>
  <c r="AG2111" i="2" a="1"/>
  <c r="AG2111" i="2" s="1"/>
  <c r="AB2111" i="2" a="1"/>
  <c r="AB2111" i="2" s="1"/>
  <c r="X2111" i="2" a="1"/>
  <c r="X2111" i="2" s="1"/>
  <c r="AG2114" i="2" a="1"/>
  <c r="AG2114" i="2" s="1"/>
  <c r="W2114" i="2" a="1"/>
  <c r="W2114" i="2" s="1"/>
  <c r="AH2111" i="2" a="1"/>
  <c r="AH2111" i="2" s="1"/>
  <c r="AE2112" i="2" a="1"/>
  <c r="AE2112" i="2" s="1"/>
  <c r="AG2110" i="2" a="1"/>
  <c r="AG2110" i="2" s="1"/>
  <c r="AE2114" i="2" a="1"/>
  <c r="AE2114" i="2" s="1"/>
  <c r="X2107" i="2" a="1"/>
  <c r="X2107" i="2" s="1"/>
  <c r="AG2106" i="2" a="1"/>
  <c r="AG2106" i="2" s="1"/>
  <c r="Z2110" i="2" a="1"/>
  <c r="Z2110" i="2" s="1"/>
  <c r="AI2105" i="2" a="1"/>
  <c r="AI2105" i="2" s="1"/>
  <c r="Y2110" i="2" a="1"/>
  <c r="Y2110" i="2" s="1"/>
  <c r="AD2108" i="2" a="1"/>
  <c r="AD2108" i="2" s="1"/>
  <c r="X2109" i="2" a="1"/>
  <c r="X2109" i="2" s="1"/>
  <c r="X2110" i="2" a="1"/>
  <c r="X2110" i="2" s="1"/>
  <c r="AJ2108" i="2" a="1"/>
  <c r="AJ2108" i="2" s="1"/>
  <c r="AA2107" i="2" a="1"/>
  <c r="AA2107" i="2" s="1"/>
  <c r="AC2106" i="2" a="1"/>
  <c r="AC2106" i="2" s="1"/>
  <c r="AD2107" i="2" a="1"/>
  <c r="AD2107" i="2" s="1"/>
  <c r="AI2106" i="2" a="1"/>
  <c r="AI2106" i="2" s="1"/>
  <c r="AC2109" i="2" a="1"/>
  <c r="AC2109" i="2" s="1"/>
  <c r="W2110" i="2" a="1"/>
  <c r="W2110" i="2" s="1"/>
  <c r="AJ2109" i="2" a="1"/>
  <c r="AJ2109" i="2" s="1"/>
  <c r="AI2109" i="2" a="1"/>
  <c r="AI2109" i="2" s="1"/>
  <c r="AD2109" i="2" a="1"/>
  <c r="AD2109" i="2" s="1"/>
  <c r="AJ2105" i="2" a="1"/>
  <c r="AJ2105" i="2" s="1"/>
  <c r="AB2109" i="2" a="1"/>
  <c r="AB2109" i="2" s="1"/>
  <c r="AG2108" i="2" a="1"/>
  <c r="AG2108" i="2" s="1"/>
  <c r="AE2108" i="2" a="1"/>
  <c r="AE2108" i="2" s="1"/>
  <c r="AC2107" i="2" a="1"/>
  <c r="AC2107" i="2" s="1"/>
  <c r="W2109" i="2" a="1"/>
  <c r="W2109" i="2" s="1"/>
  <c r="AF2107" i="2" a="1"/>
  <c r="AF2107" i="2" s="1"/>
  <c r="AI2108" i="2" a="1"/>
  <c r="AI2108" i="2" s="1"/>
  <c r="AF2108" i="2" a="1"/>
  <c r="AF2108" i="2" s="1"/>
  <c r="Z2106" i="2" a="1"/>
  <c r="Z2106" i="2" s="1"/>
  <c r="AH2106" i="2" a="1"/>
  <c r="AH2106" i="2" s="1"/>
  <c r="AG2107" i="2" a="1"/>
  <c r="AG2107" i="2" s="1"/>
  <c r="AB2106" i="2" a="1"/>
  <c r="AB2106" i="2" s="1"/>
  <c r="Y2108" i="2" a="1"/>
  <c r="Y2108" i="2" s="1"/>
  <c r="Z2107" i="2" a="1"/>
  <c r="Z2107" i="2" s="1"/>
  <c r="AH2109" i="2" a="1"/>
  <c r="AH2109" i="2" s="1"/>
  <c r="AA2106" i="2" a="1"/>
  <c r="AA2106" i="2" s="1"/>
  <c r="AF2109" i="2" a="1"/>
  <c r="AF2109" i="2" s="1"/>
  <c r="AG2109" i="2" a="1"/>
  <c r="AG2109" i="2" s="1"/>
  <c r="AE2109" i="2" a="1"/>
  <c r="AE2109" i="2" s="1"/>
  <c r="Z2109" i="2" a="1"/>
  <c r="Z2109" i="2" s="1"/>
  <c r="Y2109" i="2" a="1"/>
  <c r="Y2109" i="2" s="1"/>
  <c r="X2108" i="2" a="1"/>
  <c r="X2108" i="2" s="1"/>
  <c r="AA2108" i="2" a="1"/>
  <c r="AA2108" i="2" s="1"/>
  <c r="AE2106" i="2" a="1"/>
  <c r="AE2106" i="2" s="1"/>
  <c r="AH2108" i="2" a="1"/>
  <c r="AH2108" i="2" s="1"/>
  <c r="AC2108" i="2" a="1"/>
  <c r="AC2108" i="2" s="1"/>
  <c r="AJ2106" i="2" a="1"/>
  <c r="AJ2106" i="2" s="1"/>
  <c r="W2106" i="2" a="1"/>
  <c r="W2106" i="2" s="1"/>
  <c r="AB2107" i="2" a="1"/>
  <c r="AB2107" i="2" s="1"/>
  <c r="Z2108" i="2" a="1"/>
  <c r="Z2108" i="2" s="1"/>
  <c r="AE2107" i="2" a="1"/>
  <c r="AE2107" i="2" s="1"/>
  <c r="Y2106" i="2" a="1"/>
  <c r="Y2106" i="2" s="1"/>
  <c r="AI2107" i="2" a="1"/>
  <c r="AI2107" i="2" s="1"/>
  <c r="AH2107" i="2" a="1"/>
  <c r="AH2107" i="2" s="1"/>
  <c r="W2107" i="2" a="1"/>
  <c r="W2107" i="2" s="1"/>
  <c r="AF2106" i="2" a="1"/>
  <c r="AF2106" i="2" s="1"/>
  <c r="AB2108" i="2" a="1"/>
  <c r="AB2108" i="2" s="1"/>
  <c r="W2108" i="2" a="1"/>
  <c r="W2108" i="2" s="1"/>
  <c r="AD2106" i="2" a="1"/>
  <c r="AD2106" i="2" s="1"/>
  <c r="AJ2107" i="2" a="1"/>
  <c r="AJ2107" i="2" s="1"/>
  <c r="AA2110" i="2" a="1"/>
  <c r="AA2110" i="2" s="1"/>
  <c r="AA2109" i="2" a="1"/>
  <c r="AA2109" i="2" s="1"/>
  <c r="X2106" i="2" a="1"/>
  <c r="X2106" i="2" s="1"/>
  <c r="Y2107" i="2" a="1"/>
  <c r="Y2107" i="2" s="1"/>
  <c r="X2102" i="2" a="1"/>
  <c r="X2102" i="2" s="1"/>
  <c r="AI2103" i="2" a="1"/>
  <c r="AI2103" i="2" s="1"/>
  <c r="AF2103" i="2" a="1"/>
  <c r="AF2103" i="2" s="1"/>
  <c r="AD2101" i="2" a="1"/>
  <c r="AD2101" i="2" s="1"/>
  <c r="W2103" i="2" a="1"/>
  <c r="W2103" i="2" s="1"/>
  <c r="AG2104" i="2" a="1"/>
  <c r="AG2104" i="2" s="1"/>
  <c r="AH2105" i="2" a="1"/>
  <c r="AH2105" i="2" s="1"/>
  <c r="AF2105" i="2" a="1"/>
  <c r="AF2105" i="2" s="1"/>
  <c r="Z2103" i="2" a="1"/>
  <c r="Z2103" i="2" s="1"/>
  <c r="Z2105" i="2" a="1"/>
  <c r="Z2105" i="2" s="1"/>
  <c r="AE2105" i="2" a="1"/>
  <c r="AE2105" i="2" s="1"/>
  <c r="AI2101" i="2" a="1"/>
  <c r="AI2101" i="2" s="1"/>
  <c r="AB2101" i="2" a="1"/>
  <c r="AB2101" i="2" s="1"/>
  <c r="AD2105" i="2" a="1"/>
  <c r="AD2105" i="2" s="1"/>
  <c r="AC2105" i="2" a="1"/>
  <c r="AC2105" i="2" s="1"/>
  <c r="AC2104" i="2" a="1"/>
  <c r="AC2104" i="2" s="1"/>
  <c r="AF2102" i="2" a="1"/>
  <c r="AF2102" i="2" s="1"/>
  <c r="AE2101" i="2" a="1"/>
  <c r="AE2101" i="2" s="1"/>
  <c r="AB2105" i="2" a="1"/>
  <c r="AB2105" i="2" s="1"/>
  <c r="AA2105" i="2" a="1"/>
  <c r="AA2105" i="2" s="1"/>
  <c r="W2105" i="2" a="1"/>
  <c r="W2105" i="2" s="1"/>
  <c r="AG2102" i="2" a="1"/>
  <c r="AG2102" i="2" s="1"/>
  <c r="W2104" i="2" a="1"/>
  <c r="W2104" i="2" s="1"/>
  <c r="AD2102" i="2" a="1"/>
  <c r="AD2102" i="2" s="1"/>
  <c r="AC2101" i="2" a="1"/>
  <c r="AC2101" i="2" s="1"/>
  <c r="Y2105" i="2" a="1"/>
  <c r="Y2105" i="2" s="1"/>
  <c r="AH2101" i="2" a="1"/>
  <c r="AH2101" i="2" s="1"/>
  <c r="AA2103" i="2" a="1"/>
  <c r="AA2103" i="2" s="1"/>
  <c r="AF2104" i="2" a="1"/>
  <c r="AF2104" i="2" s="1"/>
  <c r="Z2104" i="2" a="1"/>
  <c r="Z2104" i="2" s="1"/>
  <c r="AI2102" i="2" a="1"/>
  <c r="AI2102" i="2" s="1"/>
  <c r="X2104" i="2" a="1"/>
  <c r="X2104" i="2" s="1"/>
  <c r="AG2103" i="2" a="1"/>
  <c r="AG2103" i="2" s="1"/>
  <c r="AC2102" i="2" a="1"/>
  <c r="AC2102" i="2" s="1"/>
  <c r="Y2104" i="2" a="1"/>
  <c r="Y2104" i="2" s="1"/>
  <c r="AA2102" i="2" a="1"/>
  <c r="AA2102" i="2" s="1"/>
  <c r="AD2103" i="2" a="1"/>
  <c r="AD2103" i="2" s="1"/>
  <c r="X2105" i="2" a="1"/>
  <c r="X2105" i="2" s="1"/>
  <c r="AF2101" i="2" a="1"/>
  <c r="AF2101" i="2" s="1"/>
  <c r="AB2104" i="2" a="1"/>
  <c r="AB2104" i="2" s="1"/>
  <c r="AA2104" i="2" a="1"/>
  <c r="AA2104" i="2" s="1"/>
  <c r="AE2103" i="2" a="1"/>
  <c r="AE2103" i="2" s="1"/>
  <c r="AC2103" i="2" a="1"/>
  <c r="AC2103" i="2" s="1"/>
  <c r="X2103" i="2" a="1"/>
  <c r="X2103" i="2" s="1"/>
  <c r="AE2102" i="2" a="1"/>
  <c r="AE2102" i="2" s="1"/>
  <c r="AJ2101" i="2" a="1"/>
  <c r="AJ2101" i="2" s="1"/>
  <c r="AG2101" i="2" a="1"/>
  <c r="AG2101" i="2" s="1"/>
  <c r="AG2105" i="2" a="1"/>
  <c r="AG2105" i="2" s="1"/>
  <c r="AI2104" i="2" a="1"/>
  <c r="AI2104" i="2" s="1"/>
  <c r="AH2104" i="2" a="1"/>
  <c r="AH2104" i="2" s="1"/>
  <c r="AJ2102" i="2" a="1"/>
  <c r="AJ2102" i="2" s="1"/>
  <c r="AD2104" i="2" a="1"/>
  <c r="AD2104" i="2" s="1"/>
  <c r="W2102" i="2" a="1"/>
  <c r="W2102" i="2" s="1"/>
  <c r="AH2103" i="2" a="1"/>
  <c r="AH2103" i="2" s="1"/>
  <c r="AH2102" i="2" a="1"/>
  <c r="AH2102" i="2" s="1"/>
  <c r="AJ2103" i="2" a="1"/>
  <c r="AJ2103" i="2" s="1"/>
  <c r="AJ2104" i="2" a="1"/>
  <c r="AJ2104" i="2" s="1"/>
  <c r="AE2104" i="2" a="1"/>
  <c r="AE2104" i="2" s="1"/>
  <c r="AB2103" i="2" a="1"/>
  <c r="AB2103" i="2" s="1"/>
  <c r="Y2103" i="2" a="1"/>
  <c r="Y2103" i="2" s="1"/>
  <c r="AB2102" i="2" a="1"/>
  <c r="AB2102" i="2" s="1"/>
  <c r="Z2102" i="2" a="1"/>
  <c r="Z2102" i="2" s="1"/>
  <c r="Y2102" i="2" a="1"/>
  <c r="Y2102" i="2" s="1"/>
  <c r="AJ2097" i="2" a="1"/>
  <c r="AJ2097" i="2" s="1"/>
  <c r="AB2097" i="2" a="1"/>
  <c r="AB2097" i="2" s="1"/>
  <c r="AB2099" i="2" a="1"/>
  <c r="AB2099" i="2" s="1"/>
  <c r="AA2099" i="2" a="1"/>
  <c r="AA2099" i="2" s="1"/>
  <c r="Y2098" i="2" a="1"/>
  <c r="Y2098" i="2" s="1"/>
  <c r="Z2099" i="2" a="1"/>
  <c r="Z2099" i="2" s="1"/>
  <c r="X2099" i="2" a="1"/>
  <c r="X2099" i="2" s="1"/>
  <c r="AJ2098" i="2" a="1"/>
  <c r="AJ2098" i="2" s="1"/>
  <c r="AG2098" i="2" a="1"/>
  <c r="AG2098" i="2" s="1"/>
  <c r="AD2097" i="2" a="1"/>
  <c r="AD2097" i="2" s="1"/>
  <c r="X2097" i="2" a="1"/>
  <c r="X2097" i="2" s="1"/>
  <c r="AE2099" i="2" a="1"/>
  <c r="AE2099" i="2" s="1"/>
  <c r="AI2098" i="2" a="1"/>
  <c r="AI2098" i="2" s="1"/>
  <c r="Z2098" i="2" a="1"/>
  <c r="Z2098" i="2" s="1"/>
  <c r="W2099" i="2" a="1"/>
  <c r="W2099" i="2" s="1"/>
  <c r="AI2099" i="2" a="1"/>
  <c r="AI2099" i="2" s="1"/>
  <c r="AH2098" i="2" a="1"/>
  <c r="AH2098" i="2" s="1"/>
  <c r="AI2096" i="2" a="1"/>
  <c r="AI2096" i="2" s="1"/>
  <c r="AD2099" i="2" a="1"/>
  <c r="AD2099" i="2" s="1"/>
  <c r="AD2098" i="2" a="1"/>
  <c r="AD2098" i="2" s="1"/>
  <c r="AC2098" i="2" a="1"/>
  <c r="AC2098" i="2" s="1"/>
  <c r="AG2097" i="2" a="1"/>
  <c r="AG2097" i="2" s="1"/>
  <c r="AI2097" i="2" a="1"/>
  <c r="AI2097" i="2" s="1"/>
  <c r="Z2100" i="2" a="1"/>
  <c r="Z2100" i="2" s="1"/>
  <c r="X2100" i="2" a="1"/>
  <c r="X2100" i="2" s="1"/>
  <c r="AJ2099" i="2" a="1"/>
  <c r="AJ2099" i="2" s="1"/>
  <c r="AG2099" i="2" a="1"/>
  <c r="AG2099" i="2" s="1"/>
  <c r="Y2099" i="2" a="1"/>
  <c r="Y2099" i="2" s="1"/>
  <c r="AC2097" i="2" a="1"/>
  <c r="AC2097" i="2" s="1"/>
  <c r="AE2097" i="2" a="1"/>
  <c r="AE2097" i="2" s="1"/>
  <c r="AH2097" i="2" a="1"/>
  <c r="AH2097" i="2" s="1"/>
  <c r="AH2100" i="2" a="1"/>
  <c r="AH2100" i="2" s="1"/>
  <c r="AA2098" i="2" a="1"/>
  <c r="AA2098" i="2" s="1"/>
  <c r="AC2100" i="2" a="1"/>
  <c r="AC2100" i="2" s="1"/>
  <c r="W2097" i="2" a="1"/>
  <c r="W2097" i="2" s="1"/>
  <c r="AA2101" i="2" a="1"/>
  <c r="AA2101" i="2" s="1"/>
  <c r="AB2100" i="2" a="1"/>
  <c r="AB2100" i="2" s="1"/>
  <c r="AJ2096" i="2" a="1"/>
  <c r="AJ2096" i="2" s="1"/>
  <c r="Z2101" i="2" a="1"/>
  <c r="Z2101" i="2" s="1"/>
  <c r="Y2101" i="2" a="1"/>
  <c r="Y2101" i="2" s="1"/>
  <c r="AE2100" i="2" a="1"/>
  <c r="AE2100" i="2" s="1"/>
  <c r="Z2097" i="2" a="1"/>
  <c r="Z2097" i="2" s="1"/>
  <c r="AF2100" i="2" a="1"/>
  <c r="AF2100" i="2" s="1"/>
  <c r="X2101" i="2" a="1"/>
  <c r="X2101" i="2" s="1"/>
  <c r="W2101" i="2" a="1"/>
  <c r="W2101" i="2" s="1"/>
  <c r="AC2099" i="2" a="1"/>
  <c r="AC2099" i="2" s="1"/>
  <c r="AB2098" i="2" a="1"/>
  <c r="AB2098" i="2" s="1"/>
  <c r="W2098" i="2" a="1"/>
  <c r="W2098" i="2" s="1"/>
  <c r="AJ2100" i="2" a="1"/>
  <c r="AJ2100" i="2" s="1"/>
  <c r="AI2100" i="2" a="1"/>
  <c r="AI2100" i="2" s="1"/>
  <c r="AH2099" i="2" a="1"/>
  <c r="AH2099" i="2" s="1"/>
  <c r="AF2097" i="2" a="1"/>
  <c r="AF2097" i="2" s="1"/>
  <c r="AD2100" i="2" a="1"/>
  <c r="AD2100" i="2" s="1"/>
  <c r="AA2097" i="2" a="1"/>
  <c r="AA2097" i="2" s="1"/>
  <c r="Y2100" i="2" a="1"/>
  <c r="Y2100" i="2" s="1"/>
  <c r="X2098" i="2" a="1"/>
  <c r="X2098" i="2" s="1"/>
  <c r="Y2097" i="2" a="1"/>
  <c r="Y2097" i="2" s="1"/>
  <c r="AF2098" i="2" a="1"/>
  <c r="AF2098" i="2" s="1"/>
  <c r="AE2098" i="2" a="1"/>
  <c r="AE2098" i="2" s="1"/>
  <c r="AG2100" i="2" a="1"/>
  <c r="AG2100" i="2" s="1"/>
  <c r="AA2100" i="2" a="1"/>
  <c r="AA2100" i="2" s="1"/>
  <c r="W2100" i="2" a="1"/>
  <c r="W2100" i="2" s="1"/>
  <c r="AF2099" i="2" a="1"/>
  <c r="AF2099" i="2" s="1"/>
  <c r="AF2093" i="2" a="1"/>
  <c r="AF2093" i="2" s="1"/>
  <c r="W2096" i="2" a="1"/>
  <c r="W2096" i="2" s="1"/>
  <c r="AF2096" i="2" a="1"/>
  <c r="AF2096" i="2" s="1"/>
  <c r="AD2096" i="2" a="1"/>
  <c r="AD2096" i="2" s="1"/>
  <c r="AI2094" i="2" a="1"/>
  <c r="AI2094" i="2" s="1"/>
  <c r="Z2094" i="2" a="1"/>
  <c r="Z2094" i="2" s="1"/>
  <c r="X2093" i="2" a="1"/>
  <c r="X2093" i="2" s="1"/>
  <c r="AC2095" i="2" a="1"/>
  <c r="AC2095" i="2" s="1"/>
  <c r="AB2094" i="2" a="1"/>
  <c r="AB2094" i="2" s="1"/>
  <c r="AE2093" i="2" a="1"/>
  <c r="AE2093" i="2" s="1"/>
  <c r="AF2094" i="2" a="1"/>
  <c r="AF2094" i="2" s="1"/>
  <c r="AI2092" i="2" a="1"/>
  <c r="AI2092" i="2" s="1"/>
  <c r="AI2095" i="2" a="1"/>
  <c r="AI2095" i="2" s="1"/>
  <c r="AD2092" i="2" a="1"/>
  <c r="AD2092" i="2" s="1"/>
  <c r="AA2094" i="2" a="1"/>
  <c r="AA2094" i="2" s="1"/>
  <c r="AG2094" i="2" a="1"/>
  <c r="AG2094" i="2" s="1"/>
  <c r="AA2093" i="2" a="1"/>
  <c r="AA2093" i="2" s="1"/>
  <c r="AJ2092" i="2" a="1"/>
  <c r="AJ2092" i="2" s="1"/>
  <c r="AC2096" i="2" a="1"/>
  <c r="AC2096" i="2" s="1"/>
  <c r="AB2096" i="2" a="1"/>
  <c r="AB2096" i="2" s="1"/>
  <c r="AE2095" i="2" a="1"/>
  <c r="AE2095" i="2" s="1"/>
  <c r="AH2094" i="2" a="1"/>
  <c r="AH2094" i="2" s="1"/>
  <c r="W2093" i="2" a="1"/>
  <c r="W2093" i="2" s="1"/>
  <c r="AE2092" i="2" a="1"/>
  <c r="AE2092" i="2" s="1"/>
  <c r="Y2096" i="2" a="1"/>
  <c r="Y2096" i="2" s="1"/>
  <c r="X2096" i="2" a="1"/>
  <c r="X2096" i="2" s="1"/>
  <c r="Z2095" i="2" a="1"/>
  <c r="Z2095" i="2" s="1"/>
  <c r="AJ2093" i="2" a="1"/>
  <c r="AJ2093" i="2" s="1"/>
  <c r="AB2095" i="2" a="1"/>
  <c r="AB2095" i="2" s="1"/>
  <c r="AB2093" i="2" a="1"/>
  <c r="AB2093" i="2" s="1"/>
  <c r="AC2094" i="2" a="1"/>
  <c r="AC2094" i="2" s="1"/>
  <c r="AA2095" i="2" a="1"/>
  <c r="AA2095" i="2" s="1"/>
  <c r="Y2094" i="2" a="1"/>
  <c r="Y2094" i="2" s="1"/>
  <c r="W2094" i="2" a="1"/>
  <c r="W2094" i="2" s="1"/>
  <c r="AD2093" i="2" a="1"/>
  <c r="AD2093" i="2" s="1"/>
  <c r="AG2092" i="2" a="1"/>
  <c r="AG2092" i="2" s="1"/>
  <c r="AJ2094" i="2" a="1"/>
  <c r="AJ2094" i="2" s="1"/>
  <c r="AH2095" i="2" a="1"/>
  <c r="AH2095" i="2" s="1"/>
  <c r="AG2095" i="2" a="1"/>
  <c r="AG2095" i="2" s="1"/>
  <c r="AF2095" i="2" a="1"/>
  <c r="AF2095" i="2" s="1"/>
  <c r="AD2095" i="2" a="1"/>
  <c r="AD2095" i="2" s="1"/>
  <c r="W2095" i="2" a="1"/>
  <c r="W2095" i="2" s="1"/>
  <c r="AD2094" i="2" a="1"/>
  <c r="AD2094" i="2" s="1"/>
  <c r="X2094" i="2" a="1"/>
  <c r="X2094" i="2" s="1"/>
  <c r="AH2092" i="2" a="1"/>
  <c r="AH2092" i="2" s="1"/>
  <c r="AF2092" i="2" a="1"/>
  <c r="AF2092" i="2" s="1"/>
  <c r="AG2093" i="2" a="1"/>
  <c r="AG2093" i="2" s="1"/>
  <c r="AE2096" i="2" a="1"/>
  <c r="AE2096" i="2" s="1"/>
  <c r="Z2096" i="2" a="1"/>
  <c r="Z2096" i="2" s="1"/>
  <c r="Y2095" i="2" a="1"/>
  <c r="Y2095" i="2" s="1"/>
  <c r="AI2093" i="2" a="1"/>
  <c r="AI2093" i="2" s="1"/>
  <c r="Y2093" i="2" a="1"/>
  <c r="Y2093" i="2" s="1"/>
  <c r="AJ2095" i="2" a="1"/>
  <c r="AJ2095" i="2" s="1"/>
  <c r="Z2093" i="2" a="1"/>
  <c r="Z2093" i="2" s="1"/>
  <c r="AC2092" i="2" a="1"/>
  <c r="AC2092" i="2" s="1"/>
  <c r="AE2094" i="2" a="1"/>
  <c r="AE2094" i="2" s="1"/>
  <c r="AB2092" i="2" a="1"/>
  <c r="AB2092" i="2" s="1"/>
  <c r="AC2093" i="2" a="1"/>
  <c r="AC2093" i="2" s="1"/>
  <c r="AG2096" i="2" a="1"/>
  <c r="AG2096" i="2" s="1"/>
  <c r="AA2096" i="2" a="1"/>
  <c r="AA2096" i="2" s="1"/>
  <c r="X2095" i="2" a="1"/>
  <c r="X2095" i="2" s="1"/>
  <c r="AH2093" i="2" a="1"/>
  <c r="AH2093" i="2" s="1"/>
  <c r="AH2096" i="2" a="1"/>
  <c r="AH2096" i="2" s="1"/>
  <c r="AH2090" i="2" a="1"/>
  <c r="AH2090" i="2" s="1"/>
  <c r="AF2091" i="2" a="1"/>
  <c r="AF2091" i="2" s="1"/>
  <c r="AD2090" i="2" a="1"/>
  <c r="AD2090" i="2" s="1"/>
  <c r="Y2089" i="2" a="1"/>
  <c r="Y2089" i="2" s="1"/>
  <c r="Z2090" i="2" a="1"/>
  <c r="Z2090" i="2" s="1"/>
  <c r="AE2091" i="2" a="1"/>
  <c r="AE2091" i="2" s="1"/>
  <c r="AD2091" i="2" a="1"/>
  <c r="AD2091" i="2" s="1"/>
  <c r="AG2090" i="2" a="1"/>
  <c r="AG2090" i="2" s="1"/>
  <c r="AH2089" i="2" a="1"/>
  <c r="AH2089" i="2" s="1"/>
  <c r="AG2089" i="2" a="1"/>
  <c r="AG2089" i="2" s="1"/>
  <c r="AF2089" i="2" a="1"/>
  <c r="AF2089" i="2" s="1"/>
  <c r="AC2091" i="2" a="1"/>
  <c r="AC2091" i="2" s="1"/>
  <c r="AB2091" i="2" a="1"/>
  <c r="AB2091" i="2" s="1"/>
  <c r="W2090" i="2" a="1"/>
  <c r="W2090" i="2" s="1"/>
  <c r="W2089" i="2" a="1"/>
  <c r="W2089" i="2" s="1"/>
  <c r="AC2089" i="2" a="1"/>
  <c r="AC2089" i="2" s="1"/>
  <c r="AB2089" i="2" a="1"/>
  <c r="AB2089" i="2" s="1"/>
  <c r="AC2088" i="2" a="1"/>
  <c r="AC2088" i="2" s="1"/>
  <c r="AE2090" i="2" a="1"/>
  <c r="AE2090" i="2" s="1"/>
  <c r="AA2091" i="2" a="1"/>
  <c r="AA2091" i="2" s="1"/>
  <c r="AA2088" i="2" a="1"/>
  <c r="AA2088" i="2" s="1"/>
  <c r="Y2091" i="2" a="1"/>
  <c r="Y2091" i="2" s="1"/>
  <c r="AD2088" i="2" a="1"/>
  <c r="AD2088" i="2" s="1"/>
  <c r="X2091" i="2" a="1"/>
  <c r="X2091" i="2" s="1"/>
  <c r="AC2090" i="2" a="1"/>
  <c r="AC2090" i="2" s="1"/>
  <c r="AI2087" i="2" a="1"/>
  <c r="AI2087" i="2" s="1"/>
  <c r="Z2088" i="2" a="1"/>
  <c r="Z2088" i="2" s="1"/>
  <c r="Z2089" i="2" a="1"/>
  <c r="Z2089" i="2" s="1"/>
  <c r="Y2092" i="2" a="1"/>
  <c r="Y2092" i="2" s="1"/>
  <c r="AA2090" i="2" a="1"/>
  <c r="AA2090" i="2" s="1"/>
  <c r="AG2088" i="2" a="1"/>
  <c r="AG2088" i="2" s="1"/>
  <c r="AJ2091" i="2" a="1"/>
  <c r="AJ2091" i="2" s="1"/>
  <c r="AI2091" i="2" a="1"/>
  <c r="AI2091" i="2" s="1"/>
  <c r="W2091" i="2" a="1"/>
  <c r="W2091" i="2" s="1"/>
  <c r="AI2090" i="2" a="1"/>
  <c r="AI2090" i="2" s="1"/>
  <c r="AJ2089" i="2" a="1"/>
  <c r="AJ2089" i="2" s="1"/>
  <c r="X2088" i="2" a="1"/>
  <c r="X2088" i="2" s="1"/>
  <c r="AA2092" i="2" a="1"/>
  <c r="AA2092" i="2" s="1"/>
  <c r="AF2090" i="2" a="1"/>
  <c r="AF2090" i="2" s="1"/>
  <c r="Z2092" i="2" a="1"/>
  <c r="Z2092" i="2" s="1"/>
  <c r="X2092" i="2" a="1"/>
  <c r="X2092" i="2" s="1"/>
  <c r="AJ2088" i="2" a="1"/>
  <c r="AJ2088" i="2" s="1"/>
  <c r="W2088" i="2" a="1"/>
  <c r="W2088" i="2" s="1"/>
  <c r="Y2088" i="2" a="1"/>
  <c r="Y2088" i="2" s="1"/>
  <c r="AA2089" i="2" a="1"/>
  <c r="AA2089" i="2" s="1"/>
  <c r="AB2088" i="2" a="1"/>
  <c r="AB2088" i="2" s="1"/>
  <c r="Y2090" i="2" a="1"/>
  <c r="Y2090" i="2" s="1"/>
  <c r="W2092" i="2" a="1"/>
  <c r="W2092" i="2" s="1"/>
  <c r="AH2091" i="2" a="1"/>
  <c r="AH2091" i="2" s="1"/>
  <c r="AG2091" i="2" a="1"/>
  <c r="AG2091" i="2" s="1"/>
  <c r="AB2090" i="2" a="1"/>
  <c r="AB2090" i="2" s="1"/>
  <c r="X2090" i="2" a="1"/>
  <c r="X2090" i="2" s="1"/>
  <c r="AI2088" i="2" a="1"/>
  <c r="AI2088" i="2" s="1"/>
  <c r="AI2089" i="2" a="1"/>
  <c r="AI2089" i="2" s="1"/>
  <c r="AE2089" i="2" a="1"/>
  <c r="AE2089" i="2" s="1"/>
  <c r="AD2089" i="2" a="1"/>
  <c r="AD2089" i="2" s="1"/>
  <c r="AE2088" i="2" a="1"/>
  <c r="AE2088" i="2" s="1"/>
  <c r="X2089" i="2" a="1"/>
  <c r="X2089" i="2" s="1"/>
  <c r="AH2088" i="2" a="1"/>
  <c r="AH2088" i="2" s="1"/>
  <c r="AJ2087" i="2" a="1"/>
  <c r="AJ2087" i="2" s="1"/>
  <c r="Z2091" i="2" a="1"/>
  <c r="Z2091" i="2" s="1"/>
  <c r="AJ2090" i="2" a="1"/>
  <c r="AJ2090" i="2" s="1"/>
  <c r="AF2088" i="2" a="1"/>
  <c r="AF2088" i="2" s="1"/>
  <c r="W2077" i="2" a="1"/>
  <c r="W2077" i="2" s="1"/>
  <c r="AE2078" i="2" a="1"/>
  <c r="AE2078" i="2" s="1"/>
  <c r="AI2078" i="2" a="1"/>
  <c r="AI2078" i="2" s="1"/>
  <c r="Z2087" i="2" a="1"/>
  <c r="Z2087" i="2" s="1"/>
  <c r="AJ2080" i="2" a="1"/>
  <c r="AJ2080" i="2" s="1"/>
  <c r="AC2080" i="2" a="1"/>
  <c r="AC2080" i="2" s="1"/>
  <c r="AG2079" i="2" a="1"/>
  <c r="AG2079" i="2" s="1"/>
  <c r="AF2079" i="2" a="1"/>
  <c r="AF2079" i="2" s="1"/>
  <c r="AJ2078" i="2" a="1"/>
  <c r="AJ2078" i="2" s="1"/>
  <c r="AA2077" i="2" a="1"/>
  <c r="AA2077" i="2" s="1"/>
  <c r="AC2078" i="2" a="1"/>
  <c r="AC2078" i="2" s="1"/>
  <c r="AI2080" i="2" a="1"/>
  <c r="AI2080" i="2" s="1"/>
  <c r="AH2080" i="2" a="1"/>
  <c r="AH2080" i="2" s="1"/>
  <c r="AG2080" i="2" a="1"/>
  <c r="AG2080" i="2" s="1"/>
  <c r="AA2078" i="2" a="1"/>
  <c r="AA2078" i="2" s="1"/>
  <c r="AE2080" i="2" a="1"/>
  <c r="AE2080" i="2" s="1"/>
  <c r="Z2078" i="2" a="1"/>
  <c r="Z2078" i="2" s="1"/>
  <c r="X2078" i="2" a="1"/>
  <c r="X2078" i="2" s="1"/>
  <c r="AI2077" i="2" a="1"/>
  <c r="AI2077" i="2" s="1"/>
  <c r="AC2077" i="2" a="1"/>
  <c r="AC2077" i="2" s="1"/>
  <c r="AH2079" i="2" a="1"/>
  <c r="AH2079" i="2" s="1"/>
  <c r="W2078" i="2" a="1"/>
  <c r="W2078" i="2" s="1"/>
  <c r="AB2078" i="2" a="1"/>
  <c r="AB2078" i="2" s="1"/>
  <c r="Z2079" i="2" a="1"/>
  <c r="Z2079" i="2" s="1"/>
  <c r="AD2077" i="2" a="1"/>
  <c r="AD2077" i="2" s="1"/>
  <c r="Z2077" i="2" a="1"/>
  <c r="Z2077" i="2" s="1"/>
  <c r="AB2079" i="2" a="1"/>
  <c r="AB2079" i="2" s="1"/>
  <c r="AF2080" i="2" a="1"/>
  <c r="AF2080" i="2" s="1"/>
  <c r="Z2080" i="2" a="1"/>
  <c r="Z2080" i="2" s="1"/>
  <c r="AJ2077" i="2" a="1"/>
  <c r="AJ2077" i="2" s="1"/>
  <c r="AD2080" i="2" a="1"/>
  <c r="AD2080" i="2" s="1"/>
  <c r="AB2080" i="2" a="1"/>
  <c r="AB2080" i="2" s="1"/>
  <c r="X2077" i="2" a="1"/>
  <c r="X2077" i="2" s="1"/>
  <c r="AA2079" i="2" a="1"/>
  <c r="AA2079" i="2" s="1"/>
  <c r="W2079" i="2" a="1"/>
  <c r="W2079" i="2" s="1"/>
  <c r="AA2080" i="2" a="1"/>
  <c r="AA2080" i="2" s="1"/>
  <c r="W2080" i="2" a="1"/>
  <c r="W2080" i="2" s="1"/>
  <c r="AF2077" i="2" a="1"/>
  <c r="AF2077" i="2" s="1"/>
  <c r="AD2079" i="2" a="1"/>
  <c r="AD2079" i="2" s="1"/>
  <c r="Y2080" i="2" a="1"/>
  <c r="Y2080" i="2" s="1"/>
  <c r="AB2077" i="2" a="1"/>
  <c r="AB2077" i="2" s="1"/>
  <c r="AC2079" i="2" a="1"/>
  <c r="AC2079" i="2" s="1"/>
  <c r="X2080" i="2" a="1"/>
  <c r="X2080" i="2" s="1"/>
  <c r="AJ2079" i="2" a="1"/>
  <c r="AJ2079" i="2" s="1"/>
  <c r="AI2079" i="2" a="1"/>
  <c r="AI2079" i="2" s="1"/>
  <c r="AE2079" i="2" a="1"/>
  <c r="AE2079" i="2" s="1"/>
  <c r="AF2078" i="2" a="1"/>
  <c r="AF2078" i="2" s="1"/>
  <c r="Y2077" i="2" a="1"/>
  <c r="Y2077" i="2" s="1"/>
  <c r="AJ2076" i="2" a="1"/>
  <c r="AJ2076" i="2" s="1"/>
  <c r="Y2079" i="2" a="1"/>
  <c r="Y2079" i="2" s="1"/>
  <c r="X2079" i="2" a="1"/>
  <c r="X2079" i="2" s="1"/>
  <c r="AH2078" i="2" a="1"/>
  <c r="AH2078" i="2" s="1"/>
  <c r="AG2078" i="2" a="1"/>
  <c r="AG2078" i="2" s="1"/>
  <c r="AH2077" i="2" a="1"/>
  <c r="AH2077" i="2" s="1"/>
  <c r="Y2078" i="2" a="1"/>
  <c r="Y2078" i="2" s="1"/>
  <c r="AD2078" i="2" a="1"/>
  <c r="AD2078" i="2" s="1"/>
  <c r="AE2077" i="2" a="1"/>
  <c r="AE2077" i="2" s="1"/>
  <c r="AG2077" i="2" a="1"/>
  <c r="AG2077" i="2" s="1"/>
  <c r="AC2073" i="2" a="1"/>
  <c r="AC2073" i="2" s="1"/>
  <c r="AJ2075" i="2" a="1"/>
  <c r="AJ2075" i="2" s="1"/>
  <c r="AH2073" i="2" a="1"/>
  <c r="AH2073" i="2" s="1"/>
  <c r="AG2072" i="2" a="1"/>
  <c r="AG2072" i="2" s="1"/>
  <c r="W2073" i="2" a="1"/>
  <c r="W2073" i="2" s="1"/>
  <c r="AB2074" i="2" a="1"/>
  <c r="AB2074" i="2" s="1"/>
  <c r="AG2076" i="2" a="1"/>
  <c r="AG2076" i="2" s="1"/>
  <c r="Y2075" i="2" a="1"/>
  <c r="Y2075" i="2" s="1"/>
  <c r="AF2076" i="2" a="1"/>
  <c r="AF2076" i="2" s="1"/>
  <c r="AA2076" i="2" a="1"/>
  <c r="AA2076" i="2" s="1"/>
  <c r="Z2076" i="2" a="1"/>
  <c r="Z2076" i="2" s="1"/>
  <c r="W2075" i="2" a="1"/>
  <c r="W2075" i="2" s="1"/>
  <c r="X2074" i="2" a="1"/>
  <c r="X2074" i="2" s="1"/>
  <c r="X2073" i="2" a="1"/>
  <c r="X2073" i="2" s="1"/>
  <c r="Y2076" i="2" a="1"/>
  <c r="Y2076" i="2" s="1"/>
  <c r="AD2075" i="2" a="1"/>
  <c r="AD2075" i="2" s="1"/>
  <c r="AD2074" i="2" a="1"/>
  <c r="AD2074" i="2" s="1"/>
  <c r="AI2072" i="2" a="1"/>
  <c r="AI2072" i="2" s="1"/>
  <c r="AH2072" i="2" a="1"/>
  <c r="AH2072" i="2" s="1"/>
  <c r="AD2076" i="2" a="1"/>
  <c r="AD2076" i="2" s="1"/>
  <c r="AE2075" i="2" a="1"/>
  <c r="AE2075" i="2" s="1"/>
  <c r="AD2073" i="2" a="1"/>
  <c r="AD2073" i="2" s="1"/>
  <c r="W2074" i="2" a="1"/>
  <c r="W2074" i="2" s="1"/>
  <c r="W2076" i="2" a="1"/>
  <c r="W2076" i="2" s="1"/>
  <c r="Z2073" i="2" a="1"/>
  <c r="Z2073" i="2" s="1"/>
  <c r="AF2072" i="2" a="1"/>
  <c r="AF2072" i="2" s="1"/>
  <c r="AF2073" i="2" a="1"/>
  <c r="AF2073" i="2" s="1"/>
  <c r="AI2073" i="2" a="1"/>
  <c r="AI2073" i="2" s="1"/>
  <c r="AB2075" i="2" a="1"/>
  <c r="AB2075" i="2" s="1"/>
  <c r="AC2074" i="2" a="1"/>
  <c r="AC2074" i="2" s="1"/>
  <c r="AD2072" i="2" a="1"/>
  <c r="AD2072" i="2" s="1"/>
  <c r="AG2074" i="2" a="1"/>
  <c r="AG2074" i="2" s="1"/>
  <c r="AI2075" i="2" a="1"/>
  <c r="AI2075" i="2" s="1"/>
  <c r="AE2086" i="2" a="1"/>
  <c r="AE2086" i="2" s="1"/>
  <c r="AC2072" i="2" a="1"/>
  <c r="AC2072" i="2" s="1"/>
  <c r="AI2076" i="2" a="1"/>
  <c r="AI2076" i="2" s="1"/>
  <c r="AE2076" i="2" a="1"/>
  <c r="AE2076" i="2" s="1"/>
  <c r="AH2076" i="2" a="1"/>
  <c r="AH2076" i="2" s="1"/>
  <c r="AC2076" i="2" a="1"/>
  <c r="AC2076" i="2" s="1"/>
  <c r="AG2075" i="2" a="1"/>
  <c r="AG2075" i="2" s="1"/>
  <c r="AB2076" i="2" a="1"/>
  <c r="AB2076" i="2" s="1"/>
  <c r="AE2073" i="2" a="1"/>
  <c r="AE2073" i="2" s="1"/>
  <c r="X2076" i="2" a="1"/>
  <c r="X2076" i="2" s="1"/>
  <c r="AJ2074" i="2" a="1"/>
  <c r="AJ2074" i="2" s="1"/>
  <c r="AA2074" i="2" a="1"/>
  <c r="AA2074" i="2" s="1"/>
  <c r="AC2075" i="2" a="1"/>
  <c r="AC2075" i="2" s="1"/>
  <c r="AJ2073" i="2" a="1"/>
  <c r="AJ2073" i="2" s="1"/>
  <c r="AJ2072" i="2" a="1"/>
  <c r="AJ2072" i="2" s="1"/>
  <c r="AH2075" i="2" a="1"/>
  <c r="AH2075" i="2" s="1"/>
  <c r="AF2075" i="2" a="1"/>
  <c r="AF2075" i="2" s="1"/>
  <c r="AI2074" i="2" a="1"/>
  <c r="AI2074" i="2" s="1"/>
  <c r="AA2073" i="2" a="1"/>
  <c r="AA2073" i="2" s="1"/>
  <c r="Z2074" i="2" a="1"/>
  <c r="Z2074" i="2" s="1"/>
  <c r="AB2073" i="2" a="1"/>
  <c r="AB2073" i="2" s="1"/>
  <c r="AA2075" i="2" a="1"/>
  <c r="AA2075" i="2" s="1"/>
  <c r="Z2075" i="2" a="1"/>
  <c r="Z2075" i="2" s="1"/>
  <c r="AE2074" i="2" a="1"/>
  <c r="AE2074" i="2" s="1"/>
  <c r="AE2072" i="2" a="1"/>
  <c r="AE2072" i="2" s="1"/>
  <c r="AH2074" i="2" a="1"/>
  <c r="AH2074" i="2" s="1"/>
  <c r="Y2074" i="2" a="1"/>
  <c r="Y2074" i="2" s="1"/>
  <c r="AG2073" i="2" a="1"/>
  <c r="AG2073" i="2" s="1"/>
  <c r="X2075" i="2" a="1"/>
  <c r="X2075" i="2" s="1"/>
  <c r="AF2074" i="2" a="1"/>
  <c r="AF2074" i="2" s="1"/>
  <c r="Y2073" i="2" a="1"/>
  <c r="Y2073" i="2" s="1"/>
  <c r="AE2069" i="2" a="1"/>
  <c r="AE2069" i="2" s="1"/>
  <c r="X2071" i="2" a="1"/>
  <c r="X2071" i="2" s="1"/>
  <c r="X2070" i="2" a="1"/>
  <c r="X2070" i="2" s="1"/>
  <c r="AI2068" i="2" a="1"/>
  <c r="AI2068" i="2" s="1"/>
  <c r="W2069" i="2" a="1"/>
  <c r="W2069" i="2" s="1"/>
  <c r="AJ2071" i="2" a="1"/>
  <c r="AJ2071" i="2" s="1"/>
  <c r="Z2068" i="2" a="1"/>
  <c r="Z2068" i="2" s="1"/>
  <c r="AH2068" i="2" a="1"/>
  <c r="AH2068" i="2" s="1"/>
  <c r="AI2071" i="2" a="1"/>
  <c r="AI2071" i="2" s="1"/>
  <c r="AH2070" i="2" a="1"/>
  <c r="AH2070" i="2" s="1"/>
  <c r="AE2068" i="2" a="1"/>
  <c r="AE2068" i="2" s="1"/>
  <c r="AJ2067" i="2" a="1"/>
  <c r="AJ2067" i="2" s="1"/>
  <c r="AH2071" i="2" a="1"/>
  <c r="AH2071" i="2" s="1"/>
  <c r="X2069" i="2" a="1"/>
  <c r="X2069" i="2" s="1"/>
  <c r="AG2071" i="2" a="1"/>
  <c r="AG2071" i="2" s="1"/>
  <c r="AE2071" i="2" a="1"/>
  <c r="AE2071" i="2" s="1"/>
  <c r="Y2071" i="2" a="1"/>
  <c r="Y2071" i="2" s="1"/>
  <c r="Y2070" i="2" a="1"/>
  <c r="Y2070" i="2" s="1"/>
  <c r="Z2069" i="2" a="1"/>
  <c r="Z2069" i="2" s="1"/>
  <c r="AF2068" i="2" a="1"/>
  <c r="AF2068" i="2" s="1"/>
  <c r="AA2071" i="2" a="1"/>
  <c r="AA2071" i="2" s="1"/>
  <c r="AG2070" i="2" a="1"/>
  <c r="AG2070" i="2" s="1"/>
  <c r="AG2069" i="2" a="1"/>
  <c r="AG2069" i="2" s="1"/>
  <c r="AH2069" i="2" a="1"/>
  <c r="AH2069" i="2" s="1"/>
  <c r="Z2071" i="2" a="1"/>
  <c r="Z2071" i="2" s="1"/>
  <c r="W2070" i="2" a="1"/>
  <c r="W2070" i="2" s="1"/>
  <c r="AJ2070" i="2" a="1"/>
  <c r="AJ2070" i="2" s="1"/>
  <c r="AC2070" i="2" a="1"/>
  <c r="AC2070" i="2" s="1"/>
  <c r="X2068" i="2" a="1"/>
  <c r="X2068" i="2" s="1"/>
  <c r="AE2070" i="2" a="1"/>
  <c r="AE2070" i="2" s="1"/>
  <c r="AI2069" i="2" a="1"/>
  <c r="AI2069" i="2" s="1"/>
  <c r="AD2087" i="2" a="1"/>
  <c r="AD2087" i="2" s="1"/>
  <c r="Y2068" i="2" a="1"/>
  <c r="Y2068" i="2" s="1"/>
  <c r="Y2069" i="2" a="1"/>
  <c r="Y2069" i="2" s="1"/>
  <c r="AD2070" i="2" a="1"/>
  <c r="AD2070" i="2" s="1"/>
  <c r="AB2072" i="2" a="1"/>
  <c r="AB2072" i="2" s="1"/>
  <c r="AA2072" i="2" a="1"/>
  <c r="AA2072" i="2" s="1"/>
  <c r="Z2072" i="2" a="1"/>
  <c r="Z2072" i="2" s="1"/>
  <c r="Y2072" i="2" a="1"/>
  <c r="Y2072" i="2" s="1"/>
  <c r="Z2070" i="2" a="1"/>
  <c r="Z2070" i="2" s="1"/>
  <c r="AD2069" i="2" a="1"/>
  <c r="AD2069" i="2" s="1"/>
  <c r="X2072" i="2" a="1"/>
  <c r="X2072" i="2" s="1"/>
  <c r="W2072" i="2" a="1"/>
  <c r="W2072" i="2" s="1"/>
  <c r="AF2071" i="2" a="1"/>
  <c r="AF2071" i="2" s="1"/>
  <c r="AC2071" i="2" a="1"/>
  <c r="AC2071" i="2" s="1"/>
  <c r="AG2068" i="2" a="1"/>
  <c r="AG2068" i="2" s="1"/>
  <c r="AA2068" i="2" a="1"/>
  <c r="AA2068" i="2" s="1"/>
  <c r="AI2070" i="2" a="1"/>
  <c r="AI2070" i="2" s="1"/>
  <c r="W2068" i="2" a="1"/>
  <c r="W2068" i="2" s="1"/>
  <c r="AD2071" i="2" a="1"/>
  <c r="AD2071" i="2" s="1"/>
  <c r="AB2070" i="2" a="1"/>
  <c r="AB2070" i="2" s="1"/>
  <c r="W2071" i="2" a="1"/>
  <c r="W2071" i="2" s="1"/>
  <c r="AB2068" i="2" a="1"/>
  <c r="AB2068" i="2" s="1"/>
  <c r="AC2068" i="2" a="1"/>
  <c r="AC2068" i="2" s="1"/>
  <c r="AD2068" i="2" a="1"/>
  <c r="AD2068" i="2" s="1"/>
  <c r="AF2070" i="2" a="1"/>
  <c r="AF2070" i="2" s="1"/>
  <c r="AJ2068" i="2" a="1"/>
  <c r="AJ2068" i="2" s="1"/>
  <c r="AJ2069" i="2" a="1"/>
  <c r="AJ2069" i="2" s="1"/>
  <c r="AF2069" i="2" a="1"/>
  <c r="AF2069" i="2" s="1"/>
  <c r="AC2069" i="2" a="1"/>
  <c r="AC2069" i="2" s="1"/>
  <c r="AB2069" i="2" a="1"/>
  <c r="AB2069" i="2" s="1"/>
  <c r="AA2069" i="2" a="1"/>
  <c r="AA2069" i="2" s="1"/>
  <c r="AA2070" i="2" a="1"/>
  <c r="AA2070" i="2" s="1"/>
  <c r="AB2071" i="2" a="1"/>
  <c r="AB2071" i="2" s="1"/>
  <c r="AB2067" i="2" a="1"/>
  <c r="AB2067" i="2" s="1"/>
  <c r="Z2066" i="2" a="1"/>
  <c r="Z2066" i="2" s="1"/>
  <c r="AG2064" i="2" a="1"/>
  <c r="AG2064" i="2" s="1"/>
  <c r="AB2064" i="2" a="1"/>
  <c r="AB2064" i="2" s="1"/>
  <c r="AH2063" i="2" a="1"/>
  <c r="AH2063" i="2" s="1"/>
  <c r="AA2067" i="2" a="1"/>
  <c r="AA2067" i="2" s="1"/>
  <c r="Y2066" i="2" a="1"/>
  <c r="Y2066" i="2" s="1"/>
  <c r="AF2064" i="2" a="1"/>
  <c r="AF2064" i="2" s="1"/>
  <c r="AD2065" i="2" a="1"/>
  <c r="AD2065" i="2" s="1"/>
  <c r="AH2064" i="2" a="1"/>
  <c r="AH2064" i="2" s="1"/>
  <c r="AC2064" i="2" a="1"/>
  <c r="AC2064" i="2" s="1"/>
  <c r="AI2067" i="2" a="1"/>
  <c r="AI2067" i="2" s="1"/>
  <c r="AF2066" i="2" a="1"/>
  <c r="AF2066" i="2" s="1"/>
  <c r="AD2066" i="2" a="1"/>
  <c r="AD2066" i="2" s="1"/>
  <c r="AC2066" i="2" a="1"/>
  <c r="AC2066" i="2" s="1"/>
  <c r="AE2065" i="2" a="1"/>
  <c r="AE2065" i="2" s="1"/>
  <c r="AI2064" i="2" a="1"/>
  <c r="AI2064" i="2" s="1"/>
  <c r="AE2063" i="2" a="1"/>
  <c r="AE2063" i="2" s="1"/>
  <c r="AD2063" i="2" a="1"/>
  <c r="AD2063" i="2" s="1"/>
  <c r="AD2064" i="2" a="1"/>
  <c r="AD2064" i="2" s="1"/>
  <c r="AB2066" i="2" a="1"/>
  <c r="AB2066" i="2" s="1"/>
  <c r="Z2065" i="2" a="1"/>
  <c r="Z2065" i="2" s="1"/>
  <c r="AJ2063" i="2" a="1"/>
  <c r="AJ2063" i="2" s="1"/>
  <c r="AA2065" i="2" a="1"/>
  <c r="AA2065" i="2" s="1"/>
  <c r="AF2063" i="2" a="1"/>
  <c r="AF2063" i="2" s="1"/>
  <c r="AC2067" i="2" a="1"/>
  <c r="AC2067" i="2" s="1"/>
  <c r="AG2063" i="2" a="1"/>
  <c r="AG2063" i="2" s="1"/>
  <c r="Z2067" i="2" a="1"/>
  <c r="Z2067" i="2" s="1"/>
  <c r="AB2065" i="2" a="1"/>
  <c r="AB2065" i="2" s="1"/>
  <c r="AE2066" i="2" a="1"/>
  <c r="AE2066" i="2" s="1"/>
  <c r="Y2065" i="2" a="1"/>
  <c r="Y2065" i="2" s="1"/>
  <c r="AJ2065" i="2" a="1"/>
  <c r="AJ2065" i="2" s="1"/>
  <c r="AC2065" i="2" a="1"/>
  <c r="AC2065" i="2" s="1"/>
  <c r="AI2065" i="2" a="1"/>
  <c r="AI2065" i="2" s="1"/>
  <c r="AC2063" i="2" a="1"/>
  <c r="AC2063" i="2" s="1"/>
  <c r="X2067" i="2" a="1"/>
  <c r="X2067" i="2" s="1"/>
  <c r="AI2066" i="2" a="1"/>
  <c r="AI2066" i="2" s="1"/>
  <c r="X2065" i="2" a="1"/>
  <c r="X2065" i="2" s="1"/>
  <c r="AJ2066" i="2" a="1"/>
  <c r="AJ2066" i="2" s="1"/>
  <c r="X2064" i="2" a="1"/>
  <c r="X2064" i="2" s="1"/>
  <c r="X2066" i="2" a="1"/>
  <c r="X2066" i="2" s="1"/>
  <c r="Z2064" i="2" a="1"/>
  <c r="Z2064" i="2" s="1"/>
  <c r="AH2065" i="2" a="1"/>
  <c r="AH2065" i="2" s="1"/>
  <c r="W2065" i="2" a="1"/>
  <c r="W2065" i="2" s="1"/>
  <c r="AI2063" i="2" a="1"/>
  <c r="AI2063" i="2" s="1"/>
  <c r="AE2064" i="2" a="1"/>
  <c r="AE2064" i="2" s="1"/>
  <c r="Y2067" i="2" a="1"/>
  <c r="Y2067" i="2" s="1"/>
  <c r="AF2065" i="2" a="1"/>
  <c r="AF2065" i="2" s="1"/>
  <c r="AJ2064" i="2" a="1"/>
  <c r="AJ2064" i="2" s="1"/>
  <c r="AD2086" i="2" a="1"/>
  <c r="AD2086" i="2" s="1"/>
  <c r="AG2067" i="2" a="1"/>
  <c r="AG2067" i="2" s="1"/>
  <c r="Y2064" i="2" a="1"/>
  <c r="Y2064" i="2" s="1"/>
  <c r="AF2067" i="2" a="1"/>
  <c r="AF2067" i="2" s="1"/>
  <c r="AE2067" i="2" a="1"/>
  <c r="AE2067" i="2" s="1"/>
  <c r="AD2067" i="2" a="1"/>
  <c r="AD2067" i="2" s="1"/>
  <c r="W2064" i="2" a="1"/>
  <c r="W2064" i="2" s="1"/>
  <c r="AA2066" i="2" a="1"/>
  <c r="AA2066" i="2" s="1"/>
  <c r="AG2065" i="2" a="1"/>
  <c r="AG2065" i="2" s="1"/>
  <c r="AA2064" i="2" a="1"/>
  <c r="AA2064" i="2" s="1"/>
  <c r="AH2066" i="2" a="1"/>
  <c r="AH2066" i="2" s="1"/>
  <c r="W2066" i="2" a="1"/>
  <c r="W2066" i="2" s="1"/>
  <c r="AG2066" i="2" a="1"/>
  <c r="AG2066" i="2" s="1"/>
  <c r="W2067" i="2" a="1"/>
  <c r="W2067" i="2" s="1"/>
  <c r="AH2067" i="2" a="1"/>
  <c r="AH2067" i="2" s="1"/>
  <c r="Y2063" i="2" a="1"/>
  <c r="Y2063" i="2" s="1"/>
  <c r="X2063" i="2" a="1"/>
  <c r="X2063" i="2" s="1"/>
  <c r="W2063" i="2" a="1"/>
  <c r="W2063" i="2" s="1"/>
  <c r="AB2061" i="2" a="1"/>
  <c r="AB2061" i="2" s="1"/>
  <c r="AC2059" i="2" a="1"/>
  <c r="AC2059" i="2" s="1"/>
  <c r="AH2062" i="2" a="1"/>
  <c r="AH2062" i="2" s="1"/>
  <c r="Y2062" i="2" a="1"/>
  <c r="Y2062" i="2" s="1"/>
  <c r="AA2061" i="2" a="1"/>
  <c r="AA2061" i="2" s="1"/>
  <c r="AH2060" i="2" a="1"/>
  <c r="AH2060" i="2" s="1"/>
  <c r="AJ2060" i="2" a="1"/>
  <c r="AJ2060" i="2" s="1"/>
  <c r="AD2059" i="2" a="1"/>
  <c r="AD2059" i="2" s="1"/>
  <c r="AG2059" i="2" a="1"/>
  <c r="AG2059" i="2" s="1"/>
  <c r="AF2062" i="2" a="1"/>
  <c r="AF2062" i="2" s="1"/>
  <c r="AC2061" i="2" a="1"/>
  <c r="AC2061" i="2" s="1"/>
  <c r="X2061" i="2" a="1"/>
  <c r="X2061" i="2" s="1"/>
  <c r="AI2059" i="2" a="1"/>
  <c r="AI2059" i="2" s="1"/>
  <c r="AH2061" i="2" a="1"/>
  <c r="AH2061" i="2" s="1"/>
  <c r="Z2059" i="2" a="1"/>
  <c r="Z2059" i="2" s="1"/>
  <c r="AI2060" i="2" a="1"/>
  <c r="AI2060" i="2" s="1"/>
  <c r="AE2059" i="2" a="1"/>
  <c r="AE2059" i="2" s="1"/>
  <c r="X2059" i="2" a="1"/>
  <c r="X2059" i="2" s="1"/>
  <c r="AE2061" i="2" a="1"/>
  <c r="AE2061" i="2" s="1"/>
  <c r="AD2060" i="2" a="1"/>
  <c r="AD2060" i="2" s="1"/>
  <c r="AE2060" i="2" a="1"/>
  <c r="AE2060" i="2" s="1"/>
  <c r="W2061" i="2" a="1"/>
  <c r="W2061" i="2" s="1"/>
  <c r="X2060" i="2" a="1"/>
  <c r="X2060" i="2" s="1"/>
  <c r="W2059" i="2" a="1"/>
  <c r="W2059" i="2" s="1"/>
  <c r="AF2060" i="2" a="1"/>
  <c r="AF2060" i="2" s="1"/>
  <c r="AA2059" i="2" a="1"/>
  <c r="AA2059" i="2" s="1"/>
  <c r="AH2059" i="2" a="1"/>
  <c r="AH2059" i="2" s="1"/>
  <c r="X2062" i="2" a="1"/>
  <c r="X2062" i="2" s="1"/>
  <c r="AD2062" i="2" a="1"/>
  <c r="AD2062" i="2" s="1"/>
  <c r="AG2060" i="2" a="1"/>
  <c r="AG2060" i="2" s="1"/>
  <c r="AC2062" i="2" a="1"/>
  <c r="AC2062" i="2" s="1"/>
  <c r="AB2062" i="2" a="1"/>
  <c r="AB2062" i="2" s="1"/>
  <c r="Z2062" i="2" a="1"/>
  <c r="Z2062" i="2" s="1"/>
  <c r="AJ2061" i="2" a="1"/>
  <c r="AJ2061" i="2" s="1"/>
  <c r="AF2061" i="2" a="1"/>
  <c r="AF2061" i="2" s="1"/>
  <c r="Y2060" i="2" a="1"/>
  <c r="Y2060" i="2" s="1"/>
  <c r="AG2061" i="2" a="1"/>
  <c r="AG2061" i="2" s="1"/>
  <c r="AF2059" i="2" a="1"/>
  <c r="AF2059" i="2" s="1"/>
  <c r="Z2060" i="2" a="1"/>
  <c r="Z2060" i="2" s="1"/>
  <c r="AI2061" i="2" a="1"/>
  <c r="AI2061" i="2" s="1"/>
  <c r="AC2060" i="2" a="1"/>
  <c r="AC2060" i="2" s="1"/>
  <c r="AJ2058" i="2" a="1"/>
  <c r="AJ2058" i="2" s="1"/>
  <c r="W2062" i="2" a="1"/>
  <c r="W2062" i="2" s="1"/>
  <c r="Y2059" i="2" a="1"/>
  <c r="Y2059" i="2" s="1"/>
  <c r="AA2060" i="2" a="1"/>
  <c r="AA2060" i="2" s="1"/>
  <c r="Y2087" i="2" a="1"/>
  <c r="Y2087" i="2" s="1"/>
  <c r="AB2063" i="2" a="1"/>
  <c r="AB2063" i="2" s="1"/>
  <c r="AA2063" i="2" a="1"/>
  <c r="AA2063" i="2" s="1"/>
  <c r="AI2062" i="2" a="1"/>
  <c r="AI2062" i="2" s="1"/>
  <c r="AG2062" i="2" a="1"/>
  <c r="AG2062" i="2" s="1"/>
  <c r="AE2062" i="2" a="1"/>
  <c r="AE2062" i="2" s="1"/>
  <c r="AA2062" i="2" a="1"/>
  <c r="AA2062" i="2" s="1"/>
  <c r="AB2059" i="2" a="1"/>
  <c r="AB2059" i="2" s="1"/>
  <c r="Y2061" i="2" a="1"/>
  <c r="Y2061" i="2" s="1"/>
  <c r="AJ2059" i="2" a="1"/>
  <c r="AJ2059" i="2" s="1"/>
  <c r="AB2060" i="2" a="1"/>
  <c r="AB2060" i="2" s="1"/>
  <c r="Z2061" i="2" a="1"/>
  <c r="Z2061" i="2" s="1"/>
  <c r="W2060" i="2" a="1"/>
  <c r="W2060" i="2" s="1"/>
  <c r="Z2063" i="2" a="1"/>
  <c r="Z2063" i="2" s="1"/>
  <c r="AJ2062" i="2" a="1"/>
  <c r="AJ2062" i="2" s="1"/>
  <c r="AD2061" i="2" a="1"/>
  <c r="AD2061" i="2" s="1"/>
  <c r="X2055" i="2" a="1"/>
  <c r="X2055" i="2" s="1"/>
  <c r="AC2055" i="2" a="1"/>
  <c r="AC2055" i="2" s="1"/>
  <c r="X2058" i="2" a="1"/>
  <c r="X2058" i="2" s="1"/>
  <c r="AH2057" i="2" a="1"/>
  <c r="AH2057" i="2" s="1"/>
  <c r="AA2055" i="2" a="1"/>
  <c r="AA2055" i="2" s="1"/>
  <c r="AB2057" i="2" a="1"/>
  <c r="AB2057" i="2" s="1"/>
  <c r="Y2058" i="2" a="1"/>
  <c r="Y2058" i="2" s="1"/>
  <c r="AI2057" i="2" a="1"/>
  <c r="AI2057" i="2" s="1"/>
  <c r="AF2057" i="2" a="1"/>
  <c r="AF2057" i="2" s="1"/>
  <c r="AC2056" i="2" a="1"/>
  <c r="AC2056" i="2" s="1"/>
  <c r="AH2055" i="2" a="1"/>
  <c r="AH2055" i="2" s="1"/>
  <c r="AE2057" i="2" a="1"/>
  <c r="AE2057" i="2" s="1"/>
  <c r="AJ2056" i="2" a="1"/>
  <c r="AJ2056" i="2" s="1"/>
  <c r="AB2055" i="2" a="1"/>
  <c r="AB2055" i="2" s="1"/>
  <c r="AD2057" i="2" a="1"/>
  <c r="AD2057" i="2" s="1"/>
  <c r="AI2056" i="2" a="1"/>
  <c r="AI2056" i="2" s="1"/>
  <c r="AG2056" i="2" a="1"/>
  <c r="AG2056" i="2" s="1"/>
  <c r="AI2054" i="2" a="1"/>
  <c r="AI2054" i="2" s="1"/>
  <c r="AH2054" i="2" a="1"/>
  <c r="AH2054" i="2" s="1"/>
  <c r="Z2056" i="2" a="1"/>
  <c r="Z2056" i="2" s="1"/>
  <c r="AG2054" i="2" a="1"/>
  <c r="AG2054" i="2" s="1"/>
  <c r="X2056" i="2" a="1"/>
  <c r="X2056" i="2" s="1"/>
  <c r="AE2054" i="2" a="1"/>
  <c r="AE2054" i="2" s="1"/>
  <c r="W2056" i="2" a="1"/>
  <c r="W2056" i="2" s="1"/>
  <c r="AJ2054" i="2" a="1"/>
  <c r="AJ2054" i="2" s="1"/>
  <c r="AD2054" i="2" a="1"/>
  <c r="AD2054" i="2" s="1"/>
  <c r="W2055" i="2" a="1"/>
  <c r="W2055" i="2" s="1"/>
  <c r="AE2056" i="2" a="1"/>
  <c r="AE2056" i="2" s="1"/>
  <c r="AG2055" i="2" a="1"/>
  <c r="AG2055" i="2" s="1"/>
  <c r="AJ2057" i="2" a="1"/>
  <c r="AJ2057" i="2" s="1"/>
  <c r="AC2057" i="2" a="1"/>
  <c r="AC2057" i="2" s="1"/>
  <c r="AD2055" i="2" a="1"/>
  <c r="AD2055" i="2" s="1"/>
  <c r="AG2057" i="2" a="1"/>
  <c r="AG2057" i="2" s="1"/>
  <c r="AJ2055" i="2" a="1"/>
  <c r="AJ2055" i="2" s="1"/>
  <c r="AC2054" i="2" a="1"/>
  <c r="AC2054" i="2" s="1"/>
  <c r="AE2055" i="2" a="1"/>
  <c r="AE2055" i="2" s="1"/>
  <c r="AC2086" i="2" a="1"/>
  <c r="AC2086" i="2" s="1"/>
  <c r="AI2058" i="2" a="1"/>
  <c r="AI2058" i="2" s="1"/>
  <c r="AH2058" i="2" a="1"/>
  <c r="AH2058" i="2" s="1"/>
  <c r="AG2058" i="2" a="1"/>
  <c r="AG2058" i="2" s="1"/>
  <c r="AF2058" i="2" a="1"/>
  <c r="AF2058" i="2" s="1"/>
  <c r="AE2058" i="2" a="1"/>
  <c r="AE2058" i="2" s="1"/>
  <c r="AB2056" i="2" a="1"/>
  <c r="AB2056" i="2" s="1"/>
  <c r="AD2058" i="2" a="1"/>
  <c r="AD2058" i="2" s="1"/>
  <c r="AA2057" i="2" a="1"/>
  <c r="AA2057" i="2" s="1"/>
  <c r="Z2058" i="2" a="1"/>
  <c r="Z2058" i="2" s="1"/>
  <c r="W2057" i="2" a="1"/>
  <c r="W2057" i="2" s="1"/>
  <c r="AC2058" i="2" a="1"/>
  <c r="AC2058" i="2" s="1"/>
  <c r="Y2055" i="2" a="1"/>
  <c r="Y2055" i="2" s="1"/>
  <c r="AB2058" i="2" a="1"/>
  <c r="AB2058" i="2" s="1"/>
  <c r="AD2056" i="2" a="1"/>
  <c r="AD2056" i="2" s="1"/>
  <c r="Z2057" i="2" a="1"/>
  <c r="Z2057" i="2" s="1"/>
  <c r="AF2055" i="2" a="1"/>
  <c r="AF2055" i="2" s="1"/>
  <c r="X2057" i="2" a="1"/>
  <c r="X2057" i="2" s="1"/>
  <c r="AH2056" i="2" a="1"/>
  <c r="AH2056" i="2" s="1"/>
  <c r="AF2056" i="2" a="1"/>
  <c r="AF2056" i="2" s="1"/>
  <c r="AA2056" i="2" a="1"/>
  <c r="AA2056" i="2" s="1"/>
  <c r="Z2055" i="2" a="1"/>
  <c r="Z2055" i="2" s="1"/>
  <c r="W2058" i="2" a="1"/>
  <c r="W2058" i="2" s="1"/>
  <c r="Y2057" i="2" a="1"/>
  <c r="Y2057" i="2" s="1"/>
  <c r="Y2056" i="2" a="1"/>
  <c r="Y2056" i="2" s="1"/>
  <c r="AF2054" i="2" a="1"/>
  <c r="AF2054" i="2" s="1"/>
  <c r="AA2058" i="2" a="1"/>
  <c r="AA2058" i="2" s="1"/>
  <c r="AI2055" i="2" a="1"/>
  <c r="AI2055" i="2" s="1"/>
  <c r="AE2050" i="2" a="1"/>
  <c r="AE2050" i="2" s="1"/>
  <c r="AF2052" i="2" a="1"/>
  <c r="AF2052" i="2" s="1"/>
  <c r="AE2051" i="2" a="1"/>
  <c r="AE2051" i="2" s="1"/>
  <c r="AI2050" i="2" a="1"/>
  <c r="AI2050" i="2" s="1"/>
  <c r="AB2050" i="2" a="1"/>
  <c r="AB2050" i="2" s="1"/>
  <c r="X2050" i="2" a="1"/>
  <c r="X2050" i="2" s="1"/>
  <c r="AJ2049" i="2" a="1"/>
  <c r="AJ2049" i="2" s="1"/>
  <c r="AH2050" i="2" a="1"/>
  <c r="AH2050" i="2" s="1"/>
  <c r="AB2051" i="2" a="1"/>
  <c r="AB2051" i="2" s="1"/>
  <c r="AA2051" i="2" a="1"/>
  <c r="AA2051" i="2" s="1"/>
  <c r="Z2051" i="2" a="1"/>
  <c r="Z2051" i="2" s="1"/>
  <c r="AC2053" i="2" a="1"/>
  <c r="AC2053" i="2" s="1"/>
  <c r="AE2053" i="2" a="1"/>
  <c r="AE2053" i="2" s="1"/>
  <c r="AF2051" i="2" a="1"/>
  <c r="AF2051" i="2" s="1"/>
  <c r="AB2052" i="2" a="1"/>
  <c r="AB2052" i="2" s="1"/>
  <c r="AJ2052" i="2" a="1"/>
  <c r="AJ2052" i="2" s="1"/>
  <c r="AG2052" i="2" a="1"/>
  <c r="AG2052" i="2" s="1"/>
  <c r="W2051" i="2" a="1"/>
  <c r="W2051" i="2" s="1"/>
  <c r="AF2087" i="2" a="1"/>
  <c r="AF2087" i="2" s="1"/>
  <c r="AB2054" i="2" a="1"/>
  <c r="AB2054" i="2" s="1"/>
  <c r="AG2053" i="2" a="1"/>
  <c r="AG2053" i="2" s="1"/>
  <c r="AF2050" i="2" a="1"/>
  <c r="AF2050" i="2" s="1"/>
  <c r="AD2051" i="2" a="1"/>
  <c r="AD2051" i="2" s="1"/>
  <c r="AA2054" i="2" a="1"/>
  <c r="AA2054" i="2" s="1"/>
  <c r="Z2054" i="2" a="1"/>
  <c r="Z2054" i="2" s="1"/>
  <c r="AH2051" i="2" a="1"/>
  <c r="AH2051" i="2" s="1"/>
  <c r="Y2054" i="2" a="1"/>
  <c r="Y2054" i="2" s="1"/>
  <c r="X2054" i="2" a="1"/>
  <c r="X2054" i="2" s="1"/>
  <c r="AD2053" i="2" a="1"/>
  <c r="AD2053" i="2" s="1"/>
  <c r="X2051" i="2" a="1"/>
  <c r="X2051" i="2" s="1"/>
  <c r="Y2053" i="2" a="1"/>
  <c r="Y2053" i="2" s="1"/>
  <c r="AA2052" i="2" a="1"/>
  <c r="AA2052" i="2" s="1"/>
  <c r="W2050" i="2" a="1"/>
  <c r="W2050" i="2" s="1"/>
  <c r="AJ2053" i="2" a="1"/>
  <c r="AJ2053" i="2" s="1"/>
  <c r="AI2053" i="2" a="1"/>
  <c r="AI2053" i="2" s="1"/>
  <c r="Z2053" i="2" a="1"/>
  <c r="Z2053" i="2" s="1"/>
  <c r="AH2053" i="2" a="1"/>
  <c r="AH2053" i="2" s="1"/>
  <c r="AB2053" i="2" a="1"/>
  <c r="AB2053" i="2" s="1"/>
  <c r="AI2051" i="2" a="1"/>
  <c r="AI2051" i="2" s="1"/>
  <c r="AA2053" i="2" a="1"/>
  <c r="AA2053" i="2" s="1"/>
  <c r="AC2052" i="2" a="1"/>
  <c r="AC2052" i="2" s="1"/>
  <c r="AJ2051" i="2" a="1"/>
  <c r="AJ2051" i="2" s="1"/>
  <c r="X2052" i="2" a="1"/>
  <c r="X2052" i="2" s="1"/>
  <c r="Y2052" i="2" a="1"/>
  <c r="Y2052" i="2" s="1"/>
  <c r="AI2052" i="2" a="1"/>
  <c r="AI2052" i="2" s="1"/>
  <c r="AG2050" i="2" a="1"/>
  <c r="AG2050" i="2" s="1"/>
  <c r="Y2050" i="2" a="1"/>
  <c r="Y2050" i="2" s="1"/>
  <c r="AC2051" i="2" a="1"/>
  <c r="AC2051" i="2" s="1"/>
  <c r="AH2052" i="2" a="1"/>
  <c r="AH2052" i="2" s="1"/>
  <c r="W2053" i="2" a="1"/>
  <c r="W2053" i="2" s="1"/>
  <c r="AD2050" i="2" a="1"/>
  <c r="AD2050" i="2" s="1"/>
  <c r="AC2050" i="2" a="1"/>
  <c r="AC2050" i="2" s="1"/>
  <c r="Z2050" i="2" a="1"/>
  <c r="Z2050" i="2" s="1"/>
  <c r="AA2050" i="2" a="1"/>
  <c r="AA2050" i="2" s="1"/>
  <c r="W2052" i="2" a="1"/>
  <c r="W2052" i="2" s="1"/>
  <c r="AE2052" i="2" a="1"/>
  <c r="AE2052" i="2" s="1"/>
  <c r="AJ2050" i="2" a="1"/>
  <c r="AJ2050" i="2" s="1"/>
  <c r="AF2053" i="2" a="1"/>
  <c r="AF2053" i="2" s="1"/>
  <c r="AD2052" i="2" a="1"/>
  <c r="AD2052" i="2" s="1"/>
  <c r="W2054" i="2" a="1"/>
  <c r="W2054" i="2" s="1"/>
  <c r="Y2051" i="2" a="1"/>
  <c r="Y2051" i="2" s="1"/>
  <c r="X2053" i="2" a="1"/>
  <c r="X2053" i="2" s="1"/>
  <c r="Z2052" i="2" a="1"/>
  <c r="Z2052" i="2" s="1"/>
  <c r="AG2051" i="2" a="1"/>
  <c r="AG2051" i="2" s="1"/>
  <c r="AC2048" i="2" a="1"/>
  <c r="AC2048" i="2" s="1"/>
  <c r="AI2046" i="2" a="1"/>
  <c r="AI2046" i="2" s="1"/>
  <c r="AB2086" i="2" a="1"/>
  <c r="AB2086" i="2" s="1"/>
  <c r="AI2049" i="2" a="1"/>
  <c r="AI2049" i="2" s="1"/>
  <c r="AE2046" i="2" a="1"/>
  <c r="AE2046" i="2" s="1"/>
  <c r="AH2049" i="2" a="1"/>
  <c r="AH2049" i="2" s="1"/>
  <c r="AE2049" i="2" a="1"/>
  <c r="AE2049" i="2" s="1"/>
  <c r="AJ2046" i="2" a="1"/>
  <c r="AJ2046" i="2" s="1"/>
  <c r="Z2046" i="2" a="1"/>
  <c r="Z2046" i="2" s="1"/>
  <c r="W2046" i="2" a="1"/>
  <c r="W2046" i="2" s="1"/>
  <c r="AJ2048" i="2" a="1"/>
  <c r="AJ2048" i="2" s="1"/>
  <c r="Y2048" i="2" a="1"/>
  <c r="Y2048" i="2" s="1"/>
  <c r="AG2049" i="2" a="1"/>
  <c r="AG2049" i="2" s="1"/>
  <c r="AF2046" i="2" a="1"/>
  <c r="AF2046" i="2" s="1"/>
  <c r="AC2049" i="2" a="1"/>
  <c r="AC2049" i="2" s="1"/>
  <c r="W2049" i="2" a="1"/>
  <c r="W2049" i="2" s="1"/>
  <c r="AF2048" i="2" a="1"/>
  <c r="AF2048" i="2" s="1"/>
  <c r="AD2047" i="2" a="1"/>
  <c r="AD2047" i="2" s="1"/>
  <c r="W2047" i="2" a="1"/>
  <c r="W2047" i="2" s="1"/>
  <c r="AA2046" i="2" a="1"/>
  <c r="AA2046" i="2" s="1"/>
  <c r="AB2047" i="2" a="1"/>
  <c r="AB2047" i="2" s="1"/>
  <c r="AI2047" i="2" a="1"/>
  <c r="AI2047" i="2" s="1"/>
  <c r="AE2047" i="2" a="1"/>
  <c r="AE2047" i="2" s="1"/>
  <c r="AD2049" i="2" a="1"/>
  <c r="AD2049" i="2" s="1"/>
  <c r="Z2049" i="2" a="1"/>
  <c r="Z2049" i="2" s="1"/>
  <c r="X2049" i="2" a="1"/>
  <c r="X2049" i="2" s="1"/>
  <c r="AH2048" i="2" a="1"/>
  <c r="AH2048" i="2" s="1"/>
  <c r="AA2048" i="2" a="1"/>
  <c r="AA2048" i="2" s="1"/>
  <c r="X2046" i="2" a="1"/>
  <c r="X2046" i="2" s="1"/>
  <c r="AG2048" i="2" a="1"/>
  <c r="AG2048" i="2" s="1"/>
  <c r="AE2048" i="2" a="1"/>
  <c r="AE2048" i="2" s="1"/>
  <c r="AH2046" i="2" a="1"/>
  <c r="AH2046" i="2" s="1"/>
  <c r="Y2046" i="2" a="1"/>
  <c r="Y2046" i="2" s="1"/>
  <c r="AG2046" i="2" a="1"/>
  <c r="AG2046" i="2" s="1"/>
  <c r="AD2048" i="2" a="1"/>
  <c r="AD2048" i="2" s="1"/>
  <c r="X2047" i="2" a="1"/>
  <c r="X2047" i="2" s="1"/>
  <c r="AB2046" i="2" a="1"/>
  <c r="AB2046" i="2" s="1"/>
  <c r="W2048" i="2" a="1"/>
  <c r="W2048" i="2" s="1"/>
  <c r="AG2047" i="2" a="1"/>
  <c r="AG2047" i="2" s="1"/>
  <c r="AF2045" i="2" a="1"/>
  <c r="AF2045" i="2" s="1"/>
  <c r="AJ2047" i="2" a="1"/>
  <c r="AJ2047" i="2" s="1"/>
  <c r="AH2045" i="2" a="1"/>
  <c r="AH2045" i="2" s="1"/>
  <c r="AC2045" i="2" a="1"/>
  <c r="AC2045" i="2" s="1"/>
  <c r="AH2047" i="2" a="1"/>
  <c r="AH2047" i="2" s="1"/>
  <c r="AC2047" i="2" a="1"/>
  <c r="AC2047" i="2" s="1"/>
  <c r="Y2047" i="2" a="1"/>
  <c r="Y2047" i="2" s="1"/>
  <c r="AC2046" i="2" a="1"/>
  <c r="AC2046" i="2" s="1"/>
  <c r="Z2048" i="2" a="1"/>
  <c r="Z2048" i="2" s="1"/>
  <c r="AD2045" i="2" a="1"/>
  <c r="AD2045" i="2" s="1"/>
  <c r="AE2045" i="2" a="1"/>
  <c r="AE2045" i="2" s="1"/>
  <c r="AA2047" i="2" a="1"/>
  <c r="AA2047" i="2" s="1"/>
  <c r="AG2045" i="2" a="1"/>
  <c r="AG2045" i="2" s="1"/>
  <c r="AI2048" i="2" a="1"/>
  <c r="AI2048" i="2" s="1"/>
  <c r="X2048" i="2" a="1"/>
  <c r="X2048" i="2" s="1"/>
  <c r="AF2047" i="2" a="1"/>
  <c r="AF2047" i="2" s="1"/>
  <c r="AJ2045" i="2" a="1"/>
  <c r="AJ2045" i="2" s="1"/>
  <c r="AF2049" i="2" a="1"/>
  <c r="AF2049" i="2" s="1"/>
  <c r="AD2046" i="2" a="1"/>
  <c r="AD2046" i="2" s="1"/>
  <c r="AI2045" i="2" a="1"/>
  <c r="AI2045" i="2" s="1"/>
  <c r="AB2049" i="2" a="1"/>
  <c r="AB2049" i="2" s="1"/>
  <c r="AB2048" i="2" a="1"/>
  <c r="AB2048" i="2" s="1"/>
  <c r="Y2049" i="2" a="1"/>
  <c r="Y2049" i="2" s="1"/>
  <c r="Z2047" i="2" a="1"/>
  <c r="Z2047" i="2" s="1"/>
  <c r="AA2049" i="2" a="1"/>
  <c r="AA2049" i="2" s="1"/>
  <c r="AA2045" i="2" a="1"/>
  <c r="AA2045" i="2" s="1"/>
  <c r="AD2042" i="2" a="1"/>
  <c r="AD2042" i="2" s="1"/>
  <c r="AJ2044" i="2" a="1"/>
  <c r="AJ2044" i="2" s="1"/>
  <c r="AE2041" i="2" a="1"/>
  <c r="AE2041" i="2" s="1"/>
  <c r="Y2045" i="2" a="1"/>
  <c r="Y2045" i="2" s="1"/>
  <c r="AI2044" i="2" a="1"/>
  <c r="AI2044" i="2" s="1"/>
  <c r="AA2043" i="2" a="1"/>
  <c r="AA2043" i="2" s="1"/>
  <c r="Y2042" i="2" a="1"/>
  <c r="Y2042" i="2" s="1"/>
  <c r="AF2041" i="2" a="1"/>
  <c r="AF2041" i="2" s="1"/>
  <c r="X2041" i="2" a="1"/>
  <c r="X2041" i="2" s="1"/>
  <c r="W2041" i="2" a="1"/>
  <c r="W2041" i="2" s="1"/>
  <c r="Z2042" i="2" a="1"/>
  <c r="Z2042" i="2" s="1"/>
  <c r="AA2041" i="2" a="1"/>
  <c r="AA2041" i="2" s="1"/>
  <c r="AJ2043" i="2" a="1"/>
  <c r="AJ2043" i="2" s="1"/>
  <c r="X2045" i="2" a="1"/>
  <c r="X2045" i="2" s="1"/>
  <c r="AG2044" i="2" a="1"/>
  <c r="AG2044" i="2" s="1"/>
  <c r="AE2044" i="2" a="1"/>
  <c r="AE2044" i="2" s="1"/>
  <c r="AG2043" i="2" a="1"/>
  <c r="AG2043" i="2" s="1"/>
  <c r="AF2043" i="2" a="1"/>
  <c r="AF2043" i="2" s="1"/>
  <c r="AE2043" i="2" a="1"/>
  <c r="AE2043" i="2" s="1"/>
  <c r="AF2042" i="2" a="1"/>
  <c r="AF2042" i="2" s="1"/>
  <c r="AC2041" i="2" a="1"/>
  <c r="AC2041" i="2" s="1"/>
  <c r="Z2041" i="2" a="1"/>
  <c r="Z2041" i="2" s="1"/>
  <c r="AD2044" i="2" a="1"/>
  <c r="AD2044" i="2" s="1"/>
  <c r="AH2043" i="2" a="1"/>
  <c r="AH2043" i="2" s="1"/>
  <c r="X2044" i="2" a="1"/>
  <c r="X2044" i="2" s="1"/>
  <c r="AI2043" i="2" a="1"/>
  <c r="AI2043" i="2" s="1"/>
  <c r="Z2043" i="2" a="1"/>
  <c r="Z2043" i="2" s="1"/>
  <c r="AB2042" i="2" a="1"/>
  <c r="AB2042" i="2" s="1"/>
  <c r="AG2041" i="2" a="1"/>
  <c r="AG2041" i="2" s="1"/>
  <c r="X2042" i="2" a="1"/>
  <c r="X2042" i="2" s="1"/>
  <c r="X2087" i="2" a="1"/>
  <c r="X2087" i="2" s="1"/>
  <c r="AB2045" i="2" a="1"/>
  <c r="AB2045" i="2" s="1"/>
  <c r="AC2044" i="2" a="1"/>
  <c r="AC2044" i="2" s="1"/>
  <c r="AD2041" i="2" a="1"/>
  <c r="AD2041" i="2" s="1"/>
  <c r="AH2044" i="2" a="1"/>
  <c r="AH2044" i="2" s="1"/>
  <c r="AA2044" i="2" a="1"/>
  <c r="AA2044" i="2" s="1"/>
  <c r="X2043" i="2" a="1"/>
  <c r="X2043" i="2" s="1"/>
  <c r="Y2044" i="2" a="1"/>
  <c r="Y2044" i="2" s="1"/>
  <c r="AH2042" i="2" a="1"/>
  <c r="AH2042" i="2" s="1"/>
  <c r="Z2044" i="2" a="1"/>
  <c r="Z2044" i="2" s="1"/>
  <c r="AJ2042" i="2" a="1"/>
  <c r="AJ2042" i="2" s="1"/>
  <c r="Y2043" i="2" a="1"/>
  <c r="Y2043" i="2" s="1"/>
  <c r="AE2042" i="2" a="1"/>
  <c r="AE2042" i="2" s="1"/>
  <c r="AA2042" i="2" a="1"/>
  <c r="AA2042" i="2" s="1"/>
  <c r="AI2041" i="2" a="1"/>
  <c r="AI2041" i="2" s="1"/>
  <c r="W2042" i="2" a="1"/>
  <c r="W2042" i="2" s="1"/>
  <c r="Y2041" i="2" a="1"/>
  <c r="Y2041" i="2" s="1"/>
  <c r="AJ2041" i="2" a="1"/>
  <c r="AJ2041" i="2" s="1"/>
  <c r="AB2041" i="2" a="1"/>
  <c r="AB2041" i="2" s="1"/>
  <c r="AC2043" i="2" a="1"/>
  <c r="AC2043" i="2" s="1"/>
  <c r="AI2042" i="2" a="1"/>
  <c r="AI2042" i="2" s="1"/>
  <c r="AH2041" i="2" a="1"/>
  <c r="AH2041" i="2" s="1"/>
  <c r="AJ2040" i="2" a="1"/>
  <c r="AJ2040" i="2" s="1"/>
  <c r="AB2043" i="2" a="1"/>
  <c r="AB2043" i="2" s="1"/>
  <c r="AG2042" i="2" a="1"/>
  <c r="AG2042" i="2" s="1"/>
  <c r="W2045" i="2" a="1"/>
  <c r="W2045" i="2" s="1"/>
  <c r="Z2045" i="2" a="1"/>
  <c r="Z2045" i="2" s="1"/>
  <c r="W2043" i="2" a="1"/>
  <c r="W2043" i="2" s="1"/>
  <c r="AF2044" i="2" a="1"/>
  <c r="AF2044" i="2" s="1"/>
  <c r="AC2042" i="2" a="1"/>
  <c r="AC2042" i="2" s="1"/>
  <c r="AD2043" i="2" a="1"/>
  <c r="AD2043" i="2" s="1"/>
  <c r="AB2044" i="2" a="1"/>
  <c r="AB2044" i="2" s="1"/>
  <c r="W2044" i="2" a="1"/>
  <c r="W2044" i="2" s="1"/>
  <c r="AG2040" i="2" a="1"/>
  <c r="AG2040" i="2" s="1"/>
  <c r="AF2040" i="2" a="1"/>
  <c r="AF2040" i="2" s="1"/>
  <c r="AE2040" i="2" a="1"/>
  <c r="AE2040" i="2" s="1"/>
  <c r="AD2040" i="2" a="1"/>
  <c r="AD2040" i="2" s="1"/>
  <c r="AA2040" i="2" a="1"/>
  <c r="AA2040" i="2" s="1"/>
  <c r="AA2039" i="2" a="1"/>
  <c r="AA2039" i="2" s="1"/>
  <c r="Z2038" i="2" a="1"/>
  <c r="Z2038" i="2" s="1"/>
  <c r="Y2038" i="2" a="1"/>
  <c r="Y2038" i="2" s="1"/>
  <c r="X2038" i="2" a="1"/>
  <c r="X2038" i="2" s="1"/>
  <c r="X2037" i="2" a="1"/>
  <c r="X2037" i="2" s="1"/>
  <c r="AE2036" i="2" a="1"/>
  <c r="AE2036" i="2" s="1"/>
  <c r="AC2040" i="2" a="1"/>
  <c r="AC2040" i="2" s="1"/>
  <c r="AF2038" i="2" a="1"/>
  <c r="AF2038" i="2" s="1"/>
  <c r="AI2037" i="2" a="1"/>
  <c r="AI2037" i="2" s="1"/>
  <c r="AF2037" i="2" a="1"/>
  <c r="AF2037" i="2" s="1"/>
  <c r="Z2037" i="2" a="1"/>
  <c r="Z2037" i="2" s="1"/>
  <c r="AC2037" i="2" a="1"/>
  <c r="AC2037" i="2" s="1"/>
  <c r="AG2039" i="2" a="1"/>
  <c r="AG2039" i="2" s="1"/>
  <c r="AF2039" i="2" a="1"/>
  <c r="AF2039" i="2" s="1"/>
  <c r="AE2039" i="2" a="1"/>
  <c r="AE2039" i="2" s="1"/>
  <c r="AC2038" i="2" a="1"/>
  <c r="AC2038" i="2" s="1"/>
  <c r="AB2038" i="2" a="1"/>
  <c r="AB2038" i="2" s="1"/>
  <c r="AE2037" i="2" a="1"/>
  <c r="AE2037" i="2" s="1"/>
  <c r="Y2037" i="2" a="1"/>
  <c r="Y2037" i="2" s="1"/>
  <c r="AB2040" i="2" a="1"/>
  <c r="AB2040" i="2" s="1"/>
  <c r="X2040" i="2" a="1"/>
  <c r="X2040" i="2" s="1"/>
  <c r="Z2039" i="2" a="1"/>
  <c r="Z2039" i="2" s="1"/>
  <c r="AE2038" i="2" a="1"/>
  <c r="AE2038" i="2" s="1"/>
  <c r="AD2036" i="2" a="1"/>
  <c r="AD2036" i="2" s="1"/>
  <c r="AJ2037" i="2" a="1"/>
  <c r="AJ2037" i="2" s="1"/>
  <c r="AD2037" i="2" a="1"/>
  <c r="AD2037" i="2" s="1"/>
  <c r="AH2037" i="2" a="1"/>
  <c r="AH2037" i="2" s="1"/>
  <c r="AB2037" i="2" a="1"/>
  <c r="AB2037" i="2" s="1"/>
  <c r="AI2040" i="2" a="1"/>
  <c r="AI2040" i="2" s="1"/>
  <c r="Z2040" i="2" a="1"/>
  <c r="Z2040" i="2" s="1"/>
  <c r="AJ2039" i="2" a="1"/>
  <c r="AJ2039" i="2" s="1"/>
  <c r="AG2037" i="2" a="1"/>
  <c r="AG2037" i="2" s="1"/>
  <c r="AA2037" i="2" a="1"/>
  <c r="AA2037" i="2" s="1"/>
  <c r="Y2040" i="2" a="1"/>
  <c r="Y2040" i="2" s="1"/>
  <c r="AG2036" i="2" a="1"/>
  <c r="AG2036" i="2" s="1"/>
  <c r="W2040" i="2" a="1"/>
  <c r="W2040" i="2" s="1"/>
  <c r="AI2036" i="2" a="1"/>
  <c r="AI2036" i="2" s="1"/>
  <c r="W2039" i="2" a="1"/>
  <c r="W2039" i="2" s="1"/>
  <c r="X2039" i="2" a="1"/>
  <c r="X2039" i="2" s="1"/>
  <c r="AF2036" i="2" a="1"/>
  <c r="AF2036" i="2" s="1"/>
  <c r="AC2039" i="2" a="1"/>
  <c r="AC2039" i="2" s="1"/>
  <c r="AG2038" i="2" a="1"/>
  <c r="AG2038" i="2" s="1"/>
  <c r="AA2038" i="2" a="1"/>
  <c r="AA2038" i="2" s="1"/>
  <c r="AD2039" i="2" a="1"/>
  <c r="AD2039" i="2" s="1"/>
  <c r="AJ2038" i="2" a="1"/>
  <c r="AJ2038" i="2" s="1"/>
  <c r="AI2038" i="2" a="1"/>
  <c r="AI2038" i="2" s="1"/>
  <c r="AH2036" i="2" a="1"/>
  <c r="AH2036" i="2" s="1"/>
  <c r="AC2036" i="2" a="1"/>
  <c r="AC2036" i="2" s="1"/>
  <c r="AH2038" i="2" a="1"/>
  <c r="AH2038" i="2" s="1"/>
  <c r="AD2038" i="2" a="1"/>
  <c r="AD2038" i="2" s="1"/>
  <c r="W2037" i="2" a="1"/>
  <c r="W2037" i="2" s="1"/>
  <c r="AA2086" i="2" a="1"/>
  <c r="AA2086" i="2" s="1"/>
  <c r="AH2040" i="2" a="1"/>
  <c r="AH2040" i="2" s="1"/>
  <c r="AJ2036" i="2" a="1"/>
  <c r="AJ2036" i="2" s="1"/>
  <c r="AI2039" i="2" a="1"/>
  <c r="AI2039" i="2" s="1"/>
  <c r="W2038" i="2" a="1"/>
  <c r="W2038" i="2" s="1"/>
  <c r="AH2039" i="2" a="1"/>
  <c r="AH2039" i="2" s="1"/>
  <c r="AB2039" i="2" a="1"/>
  <c r="AB2039" i="2" s="1"/>
  <c r="Y2039" i="2" a="1"/>
  <c r="Y2039" i="2" s="1"/>
  <c r="AB2036" i="2" a="1"/>
  <c r="AB2036" i="2" s="1"/>
  <c r="AC2033" i="2" a="1"/>
  <c r="AC2033" i="2" s="1"/>
  <c r="AA2036" i="2" a="1"/>
  <c r="AA2036" i="2" s="1"/>
  <c r="Z2036" i="2" a="1"/>
  <c r="Z2036" i="2" s="1"/>
  <c r="Y2036" i="2" a="1"/>
  <c r="Y2036" i="2" s="1"/>
  <c r="X2036" i="2" a="1"/>
  <c r="X2036" i="2" s="1"/>
  <c r="W2036" i="2" a="1"/>
  <c r="W2036" i="2" s="1"/>
  <c r="AJ2035" i="2" a="1"/>
  <c r="AJ2035" i="2" s="1"/>
  <c r="AC2032" i="2" a="1"/>
  <c r="AC2032" i="2" s="1"/>
  <c r="X2034" i="2" a="1"/>
  <c r="X2034" i="2" s="1"/>
  <c r="X2035" i="2" a="1"/>
  <c r="X2035" i="2" s="1"/>
  <c r="AF2034" i="2" a="1"/>
  <c r="AF2034" i="2" s="1"/>
  <c r="Y2033" i="2" a="1"/>
  <c r="Y2033" i="2" s="1"/>
  <c r="AA2032" i="2" a="1"/>
  <c r="AA2032" i="2" s="1"/>
  <c r="AC2034" i="2" a="1"/>
  <c r="AC2034" i="2" s="1"/>
  <c r="AH2033" i="2" a="1"/>
  <c r="AH2033" i="2" s="1"/>
  <c r="AA2033" i="2" a="1"/>
  <c r="AA2033" i="2" s="1"/>
  <c r="X2032" i="2" a="1"/>
  <c r="X2032" i="2" s="1"/>
  <c r="AG2034" i="2" a="1"/>
  <c r="AG2034" i="2" s="1"/>
  <c r="AD2034" i="2" a="1"/>
  <c r="AD2034" i="2" s="1"/>
  <c r="AA2034" i="2" a="1"/>
  <c r="AA2034" i="2" s="1"/>
  <c r="AJ2032" i="2" a="1"/>
  <c r="AJ2032" i="2" s="1"/>
  <c r="AD2032" i="2" a="1"/>
  <c r="AD2032" i="2" s="1"/>
  <c r="AB2032" i="2" a="1"/>
  <c r="AB2032" i="2" s="1"/>
  <c r="AI2035" i="2" a="1"/>
  <c r="AI2035" i="2" s="1"/>
  <c r="Z2034" i="2" a="1"/>
  <c r="Z2034" i="2" s="1"/>
  <c r="X2033" i="2" a="1"/>
  <c r="X2033" i="2" s="1"/>
  <c r="W2032" i="2" a="1"/>
  <c r="W2032" i="2" s="1"/>
  <c r="AE2035" i="2" a="1"/>
  <c r="AE2035" i="2" s="1"/>
  <c r="AI2033" i="2" a="1"/>
  <c r="AI2033" i="2" s="1"/>
  <c r="AH2035" i="2" a="1"/>
  <c r="AH2035" i="2" s="1"/>
  <c r="AD2033" i="2" a="1"/>
  <c r="AD2033" i="2" s="1"/>
  <c r="AF2035" i="2" a="1"/>
  <c r="AF2035" i="2" s="1"/>
  <c r="W2035" i="2" a="1"/>
  <c r="W2035" i="2" s="1"/>
  <c r="W2034" i="2" a="1"/>
  <c r="W2034" i="2" s="1"/>
  <c r="AE2033" i="2" a="1"/>
  <c r="AE2033" i="2" s="1"/>
  <c r="AC2035" i="2" a="1"/>
  <c r="AC2035" i="2" s="1"/>
  <c r="AA2035" i="2" a="1"/>
  <c r="AA2035" i="2" s="1"/>
  <c r="AI2034" i="2" a="1"/>
  <c r="AI2034" i="2" s="1"/>
  <c r="AF2032" i="2" a="1"/>
  <c r="AF2032" i="2" s="1"/>
  <c r="W2033" i="2" a="1"/>
  <c r="W2033" i="2" s="1"/>
  <c r="AH2032" i="2" a="1"/>
  <c r="AH2032" i="2" s="1"/>
  <c r="AB2035" i="2" a="1"/>
  <c r="AB2035" i="2" s="1"/>
  <c r="AJ2034" i="2" a="1"/>
  <c r="AJ2034" i="2" s="1"/>
  <c r="Y2034" i="2" a="1"/>
  <c r="Y2034" i="2" s="1"/>
  <c r="AE2034" i="2" a="1"/>
  <c r="AE2034" i="2" s="1"/>
  <c r="AB2034" i="2" a="1"/>
  <c r="AB2034" i="2" s="1"/>
  <c r="AH2034" i="2" a="1"/>
  <c r="AH2034" i="2" s="1"/>
  <c r="Y2032" i="2" a="1"/>
  <c r="Y2032" i="2" s="1"/>
  <c r="AG2033" i="2" a="1"/>
  <c r="AG2033" i="2" s="1"/>
  <c r="AJ2031" i="2" a="1"/>
  <c r="AJ2031" i="2" s="1"/>
  <c r="AG2032" i="2" a="1"/>
  <c r="AG2032" i="2" s="1"/>
  <c r="AF2033" i="2" a="1"/>
  <c r="AF2033" i="2" s="1"/>
  <c r="AB2033" i="2" a="1"/>
  <c r="AB2033" i="2" s="1"/>
  <c r="Z2032" i="2" a="1"/>
  <c r="Z2032" i="2" s="1"/>
  <c r="AE2032" i="2" a="1"/>
  <c r="AE2032" i="2" s="1"/>
  <c r="AD2035" i="2" a="1"/>
  <c r="AD2035" i="2" s="1"/>
  <c r="AJ2033" i="2" a="1"/>
  <c r="AJ2033" i="2" s="1"/>
  <c r="AI2032" i="2" a="1"/>
  <c r="AI2032" i="2" s="1"/>
  <c r="AG2035" i="2" a="1"/>
  <c r="AG2035" i="2" s="1"/>
  <c r="Z2035" i="2" a="1"/>
  <c r="Z2035" i="2" s="1"/>
  <c r="Y2035" i="2" a="1"/>
  <c r="Y2035" i="2" s="1"/>
  <c r="Z2033" i="2" a="1"/>
  <c r="Z2033" i="2" s="1"/>
  <c r="AC2087" i="2" a="1"/>
  <c r="AC2087" i="2" s="1"/>
  <c r="Z2029" i="2" a="1"/>
  <c r="Z2029" i="2" s="1"/>
  <c r="W2031" i="2" a="1"/>
  <c r="W2031" i="2" s="1"/>
  <c r="AF2029" i="2" a="1"/>
  <c r="AF2029" i="2" s="1"/>
  <c r="AD2029" i="2" a="1"/>
  <c r="AD2029" i="2" s="1"/>
  <c r="W2029" i="2" a="1"/>
  <c r="W2029" i="2" s="1"/>
  <c r="AJ2028" i="2" a="1"/>
  <c r="AJ2028" i="2" s="1"/>
  <c r="AI2028" i="2" a="1"/>
  <c r="AI2028" i="2" s="1"/>
  <c r="AD2028" i="2" a="1"/>
  <c r="AD2028" i="2" s="1"/>
  <c r="AA2028" i="2" a="1"/>
  <c r="AA2028" i="2" s="1"/>
  <c r="Z2028" i="2" a="1"/>
  <c r="Z2028" i="2" s="1"/>
  <c r="AE2027" i="2" a="1"/>
  <c r="AE2027" i="2" s="1"/>
  <c r="Y2028" i="2" a="1"/>
  <c r="Y2028" i="2" s="1"/>
  <c r="AJ2029" i="2" a="1"/>
  <c r="AJ2029" i="2" s="1"/>
  <c r="AI2030" i="2" a="1"/>
  <c r="AI2030" i="2" s="1"/>
  <c r="AE2029" i="2" a="1"/>
  <c r="AE2029" i="2" s="1"/>
  <c r="AF2028" i="2" a="1"/>
  <c r="AF2028" i="2" s="1"/>
  <c r="Z2086" i="2" a="1"/>
  <c r="Z2086" i="2" s="1"/>
  <c r="AI2031" i="2" a="1"/>
  <c r="AI2031" i="2" s="1"/>
  <c r="AB2030" i="2" a="1"/>
  <c r="AB2030" i="2" s="1"/>
  <c r="AF2031" i="2" a="1"/>
  <c r="AF2031" i="2" s="1"/>
  <c r="AJ2030" i="2" a="1"/>
  <c r="AJ2030" i="2" s="1"/>
  <c r="AI2027" i="2" a="1"/>
  <c r="AI2027" i="2" s="1"/>
  <c r="AB2029" i="2" a="1"/>
  <c r="AB2029" i="2" s="1"/>
  <c r="AC2029" i="2" a="1"/>
  <c r="AC2029" i="2" s="1"/>
  <c r="AH2031" i="2" a="1"/>
  <c r="AH2031" i="2" s="1"/>
  <c r="AG2031" i="2" a="1"/>
  <c r="AG2031" i="2" s="1"/>
  <c r="AG2030" i="2" a="1"/>
  <c r="AG2030" i="2" s="1"/>
  <c r="AE2031" i="2" a="1"/>
  <c r="AE2031" i="2" s="1"/>
  <c r="AD2031" i="2" a="1"/>
  <c r="AD2031" i="2" s="1"/>
  <c r="AC2031" i="2" a="1"/>
  <c r="AC2031" i="2" s="1"/>
  <c r="AG2029" i="2" a="1"/>
  <c r="AG2029" i="2" s="1"/>
  <c r="AB2031" i="2" a="1"/>
  <c r="AB2031" i="2" s="1"/>
  <c r="AA2030" i="2" a="1"/>
  <c r="AA2030" i="2" s="1"/>
  <c r="AA2031" i="2" a="1"/>
  <c r="AA2031" i="2" s="1"/>
  <c r="Z2031" i="2" a="1"/>
  <c r="Z2031" i="2" s="1"/>
  <c r="AD2027" i="2" a="1"/>
  <c r="AD2027" i="2" s="1"/>
  <c r="Y2031" i="2" a="1"/>
  <c r="Y2031" i="2" s="1"/>
  <c r="AE2030" i="2" a="1"/>
  <c r="AE2030" i="2" s="1"/>
  <c r="AC2027" i="2" a="1"/>
  <c r="AC2027" i="2" s="1"/>
  <c r="X2031" i="2" a="1"/>
  <c r="X2031" i="2" s="1"/>
  <c r="Y2029" i="2" a="1"/>
  <c r="Y2029" i="2" s="1"/>
  <c r="AF2030" i="2" a="1"/>
  <c r="AF2030" i="2" s="1"/>
  <c r="AC2028" i="2" a="1"/>
  <c r="AC2028" i="2" s="1"/>
  <c r="W2030" i="2" a="1"/>
  <c r="W2030" i="2" s="1"/>
  <c r="AH2027" i="2" a="1"/>
  <c r="AH2027" i="2" s="1"/>
  <c r="W2028" i="2" a="1"/>
  <c r="W2028" i="2" s="1"/>
  <c r="AJ2027" i="2" a="1"/>
  <c r="AJ2027" i="2" s="1"/>
  <c r="AH2030" i="2" a="1"/>
  <c r="AH2030" i="2" s="1"/>
  <c r="AF2027" i="2" a="1"/>
  <c r="AF2027" i="2" s="1"/>
  <c r="AD2030" i="2" a="1"/>
  <c r="AD2030" i="2" s="1"/>
  <c r="AE2028" i="2" a="1"/>
  <c r="AE2028" i="2" s="1"/>
  <c r="AC2030" i="2" a="1"/>
  <c r="AC2030" i="2" s="1"/>
  <c r="X2030" i="2" a="1"/>
  <c r="X2030" i="2" s="1"/>
  <c r="AI2029" i="2" a="1"/>
  <c r="AI2029" i="2" s="1"/>
  <c r="AH2029" i="2" a="1"/>
  <c r="AH2029" i="2" s="1"/>
  <c r="X2028" i="2" a="1"/>
  <c r="X2028" i="2" s="1"/>
  <c r="AG2028" i="2" a="1"/>
  <c r="AG2028" i="2" s="1"/>
  <c r="AB2028" i="2" a="1"/>
  <c r="AB2028" i="2" s="1"/>
  <c r="AA2029" i="2" a="1"/>
  <c r="AA2029" i="2" s="1"/>
  <c r="AG2027" i="2" a="1"/>
  <c r="AG2027" i="2" s="1"/>
  <c r="AH2028" i="2" a="1"/>
  <c r="AH2028" i="2" s="1"/>
  <c r="X2029" i="2" a="1"/>
  <c r="X2029" i="2" s="1"/>
  <c r="Z2030" i="2" a="1"/>
  <c r="Z2030" i="2" s="1"/>
  <c r="Y2030" i="2" a="1"/>
  <c r="Y2030" i="2" s="1"/>
  <c r="AB2024" i="2" a="1"/>
  <c r="AB2024" i="2" s="1"/>
  <c r="Y2026" i="2" a="1"/>
  <c r="Y2026" i="2" s="1"/>
  <c r="AF2026" i="2" a="1"/>
  <c r="AF2026" i="2" s="1"/>
  <c r="AD2026" i="2" a="1"/>
  <c r="AD2026" i="2" s="1"/>
  <c r="AJ2022" i="2" a="1"/>
  <c r="AJ2022" i="2" s="1"/>
  <c r="AJ2025" i="2" a="1"/>
  <c r="AJ2025" i="2" s="1"/>
  <c r="X2025" i="2" a="1"/>
  <c r="X2025" i="2" s="1"/>
  <c r="AB2025" i="2" a="1"/>
  <c r="AB2025" i="2" s="1"/>
  <c r="AB2023" i="2" a="1"/>
  <c r="AB2023" i="2" s="1"/>
  <c r="AA2024" i="2" a="1"/>
  <c r="AA2024" i="2" s="1"/>
  <c r="Z2024" i="2" a="1"/>
  <c r="Z2024" i="2" s="1"/>
  <c r="AF2024" i="2" a="1"/>
  <c r="AF2024" i="2" s="1"/>
  <c r="Z2023" i="2" a="1"/>
  <c r="Z2023" i="2" s="1"/>
  <c r="W2023" i="2" a="1"/>
  <c r="W2023" i="2" s="1"/>
  <c r="Y2025" i="2" a="1"/>
  <c r="Y2025" i="2" s="1"/>
  <c r="W2024" i="2" a="1"/>
  <c r="W2024" i="2" s="1"/>
  <c r="AB2027" i="2" a="1"/>
  <c r="AB2027" i="2" s="1"/>
  <c r="AC2025" i="2" a="1"/>
  <c r="AC2025" i="2" s="1"/>
  <c r="W2027" i="2" a="1"/>
  <c r="W2027" i="2" s="1"/>
  <c r="W2087" i="2" a="1"/>
  <c r="W2087" i="2" s="1"/>
  <c r="AA2027" i="2" a="1"/>
  <c r="AA2027" i="2" s="1"/>
  <c r="AC2024" i="2" a="1"/>
  <c r="AC2024" i="2" s="1"/>
  <c r="Z2027" i="2" a="1"/>
  <c r="Z2027" i="2" s="1"/>
  <c r="AA2023" i="2" a="1"/>
  <c r="AA2023" i="2" s="1"/>
  <c r="Y2027" i="2" a="1"/>
  <c r="Y2027" i="2" s="1"/>
  <c r="X2027" i="2" a="1"/>
  <c r="X2027" i="2" s="1"/>
  <c r="AE2024" i="2" a="1"/>
  <c r="AE2024" i="2" s="1"/>
  <c r="AJ2026" i="2" a="1"/>
  <c r="AJ2026" i="2" s="1"/>
  <c r="AC2026" i="2" a="1"/>
  <c r="AC2026" i="2" s="1"/>
  <c r="AI2026" i="2" a="1"/>
  <c r="AI2026" i="2" s="1"/>
  <c r="AE2026" i="2" a="1"/>
  <c r="AE2026" i="2" s="1"/>
  <c r="Z2026" i="2" a="1"/>
  <c r="Z2026" i="2" s="1"/>
  <c r="AJ2023" i="2" a="1"/>
  <c r="AJ2023" i="2" s="1"/>
  <c r="AA2026" i="2" a="1"/>
  <c r="AA2026" i="2" s="1"/>
  <c r="AI2025" i="2" a="1"/>
  <c r="AI2025" i="2" s="1"/>
  <c r="W2025" i="2" a="1"/>
  <c r="W2025" i="2" s="1"/>
  <c r="AH2026" i="2" a="1"/>
  <c r="AH2026" i="2" s="1"/>
  <c r="AG2026" i="2" a="1"/>
  <c r="AG2026" i="2" s="1"/>
  <c r="AB2026" i="2" a="1"/>
  <c r="AB2026" i="2" s="1"/>
  <c r="AG2025" i="2" a="1"/>
  <c r="AG2025" i="2" s="1"/>
  <c r="AI2024" i="2" a="1"/>
  <c r="AI2024" i="2" s="1"/>
  <c r="AD2024" i="2" a="1"/>
  <c r="AD2024" i="2" s="1"/>
  <c r="AG2023" i="2" a="1"/>
  <c r="AG2023" i="2" s="1"/>
  <c r="AH2023" i="2" a="1"/>
  <c r="AH2023" i="2" s="1"/>
  <c r="AH2025" i="2" a="1"/>
  <c r="AH2025" i="2" s="1"/>
  <c r="AD2023" i="2" a="1"/>
  <c r="AD2023" i="2" s="1"/>
  <c r="AJ2024" i="2" a="1"/>
  <c r="AJ2024" i="2" s="1"/>
  <c r="X2026" i="2" a="1"/>
  <c r="X2026" i="2" s="1"/>
  <c r="AD2025" i="2" a="1"/>
  <c r="AD2025" i="2" s="1"/>
  <c r="W2026" i="2" a="1"/>
  <c r="W2026" i="2" s="1"/>
  <c r="AF2025" i="2" a="1"/>
  <c r="AF2025" i="2" s="1"/>
  <c r="AE2025" i="2" a="1"/>
  <c r="AE2025" i="2" s="1"/>
  <c r="AF2023" i="2" a="1"/>
  <c r="AF2023" i="2" s="1"/>
  <c r="AE2023" i="2" a="1"/>
  <c r="AE2023" i="2" s="1"/>
  <c r="Y2023" i="2" a="1"/>
  <c r="Y2023" i="2" s="1"/>
  <c r="AA2025" i="2" a="1"/>
  <c r="AA2025" i="2" s="1"/>
  <c r="Z2025" i="2" a="1"/>
  <c r="Z2025" i="2" s="1"/>
  <c r="X2024" i="2" a="1"/>
  <c r="X2024" i="2" s="1"/>
  <c r="AH2024" i="2" a="1"/>
  <c r="AH2024" i="2" s="1"/>
  <c r="AG2024" i="2" a="1"/>
  <c r="AG2024" i="2" s="1"/>
  <c r="Y2024" i="2" a="1"/>
  <c r="Y2024" i="2" s="1"/>
  <c r="AI2023" i="2" a="1"/>
  <c r="AI2023" i="2" s="1"/>
  <c r="AC2023" i="2" a="1"/>
  <c r="AC2023" i="2" s="1"/>
  <c r="X2023" i="2" a="1"/>
  <c r="X2023" i="2" s="1"/>
  <c r="Z2021" i="2" a="1"/>
  <c r="Z2021" i="2" s="1"/>
  <c r="AI2021" i="2" a="1"/>
  <c r="AI2021" i="2" s="1"/>
  <c r="AE2021" i="2" a="1"/>
  <c r="AE2021" i="2" s="1"/>
  <c r="AC2019" i="2" a="1"/>
  <c r="AC2019" i="2" s="1"/>
  <c r="AB2022" i="2" a="1"/>
  <c r="AB2022" i="2" s="1"/>
  <c r="AF2021" i="2" a="1"/>
  <c r="AF2021" i="2" s="1"/>
  <c r="AC2020" i="2" a="1"/>
  <c r="AC2020" i="2" s="1"/>
  <c r="Z2019" i="2" a="1"/>
  <c r="Z2019" i="2" s="1"/>
  <c r="AD2019" i="2" a="1"/>
  <c r="AD2019" i="2" s="1"/>
  <c r="W2019" i="2" a="1"/>
  <c r="W2019" i="2" s="1"/>
  <c r="AE2018" i="2" a="1"/>
  <c r="AE2018" i="2" s="1"/>
  <c r="AA2022" i="2" a="1"/>
  <c r="AA2022" i="2" s="1"/>
  <c r="X2022" i="2" a="1"/>
  <c r="X2022" i="2" s="1"/>
  <c r="W2022" i="2" a="1"/>
  <c r="W2022" i="2" s="1"/>
  <c r="AG2021" i="2" a="1"/>
  <c r="AG2021" i="2" s="1"/>
  <c r="AC2021" i="2" a="1"/>
  <c r="AC2021" i="2" s="1"/>
  <c r="AD2020" i="2" a="1"/>
  <c r="AD2020" i="2" s="1"/>
  <c r="X2020" i="2" a="1"/>
  <c r="X2020" i="2" s="1"/>
  <c r="AG2020" i="2" a="1"/>
  <c r="AG2020" i="2" s="1"/>
  <c r="X2019" i="2" a="1"/>
  <c r="X2019" i="2" s="1"/>
  <c r="AJ2019" i="2" a="1"/>
  <c r="AJ2019" i="2" s="1"/>
  <c r="AG2018" i="2" a="1"/>
  <c r="AG2018" i="2" s="1"/>
  <c r="AA2019" i="2" a="1"/>
  <c r="AA2019" i="2" s="1"/>
  <c r="X2021" i="2" a="1"/>
  <c r="X2021" i="2" s="1"/>
  <c r="AH2020" i="2" a="1"/>
  <c r="AH2020" i="2" s="1"/>
  <c r="Y2021" i="2" a="1"/>
  <c r="Y2021" i="2" s="1"/>
  <c r="AI2019" i="2" a="1"/>
  <c r="AI2019" i="2" s="1"/>
  <c r="AJ2018" i="2" a="1"/>
  <c r="AJ2018" i="2" s="1"/>
  <c r="AD2018" i="2" a="1"/>
  <c r="AD2018" i="2" s="1"/>
  <c r="AE2019" i="2" a="1"/>
  <c r="AE2019" i="2" s="1"/>
  <c r="AF2020" i="2" a="1"/>
  <c r="AF2020" i="2" s="1"/>
  <c r="Z2022" i="2" a="1"/>
  <c r="Z2022" i="2" s="1"/>
  <c r="Y2022" i="2" a="1"/>
  <c r="Y2022" i="2" s="1"/>
  <c r="AD2021" i="2" a="1"/>
  <c r="AD2021" i="2" s="1"/>
  <c r="AB2019" i="2" a="1"/>
  <c r="AB2019" i="2" s="1"/>
  <c r="AJ2020" i="2" a="1"/>
  <c r="AJ2020" i="2" s="1"/>
  <c r="AE2020" i="2" a="1"/>
  <c r="AE2020" i="2" s="1"/>
  <c r="AG2019" i="2" a="1"/>
  <c r="AG2019" i="2" s="1"/>
  <c r="AE2022" i="2" a="1"/>
  <c r="AE2022" i="2" s="1"/>
  <c r="AH2021" i="2" a="1"/>
  <c r="AH2021" i="2" s="1"/>
  <c r="AI2020" i="2" a="1"/>
  <c r="AI2020" i="2" s="1"/>
  <c r="Z2020" i="2" a="1"/>
  <c r="Z2020" i="2" s="1"/>
  <c r="W2020" i="2" a="1"/>
  <c r="W2020" i="2" s="1"/>
  <c r="AH2019" i="2" a="1"/>
  <c r="AH2019" i="2" s="1"/>
  <c r="AF2018" i="2" a="1"/>
  <c r="AF2018" i="2" s="1"/>
  <c r="Y2019" i="2" a="1"/>
  <c r="Y2019" i="2" s="1"/>
  <c r="AH2018" i="2" a="1"/>
  <c r="AH2018" i="2" s="1"/>
  <c r="AA2021" i="2" a="1"/>
  <c r="AA2021" i="2" s="1"/>
  <c r="W2021" i="2" a="1"/>
  <c r="W2021" i="2" s="1"/>
  <c r="Y2020" i="2" a="1"/>
  <c r="Y2020" i="2" s="1"/>
  <c r="AF2019" i="2" a="1"/>
  <c r="AF2019" i="2" s="1"/>
  <c r="AI2018" i="2" a="1"/>
  <c r="AI2018" i="2" s="1"/>
  <c r="AC2018" i="2" a="1"/>
  <c r="AC2018" i="2" s="1"/>
  <c r="Y2086" i="2" a="1"/>
  <c r="Y2086" i="2" s="1"/>
  <c r="AI2022" i="2" a="1"/>
  <c r="AI2022" i="2" s="1"/>
  <c r="AB2020" i="2" a="1"/>
  <c r="AB2020" i="2" s="1"/>
  <c r="AJ2021" i="2" a="1"/>
  <c r="AJ2021" i="2" s="1"/>
  <c r="AB2021" i="2" a="1"/>
  <c r="AB2021" i="2" s="1"/>
  <c r="AA2020" i="2" a="1"/>
  <c r="AA2020" i="2" s="1"/>
  <c r="AH2022" i="2" a="1"/>
  <c r="AH2022" i="2" s="1"/>
  <c r="AG2022" i="2" a="1"/>
  <c r="AG2022" i="2" s="1"/>
  <c r="AF2022" i="2" a="1"/>
  <c r="AF2022" i="2" s="1"/>
  <c r="AD2022" i="2" a="1"/>
  <c r="AD2022" i="2" s="1"/>
  <c r="AC2022" i="2" a="1"/>
  <c r="AC2022" i="2" s="1"/>
  <c r="AG2016" i="2" a="1"/>
  <c r="AG2016" i="2" s="1"/>
  <c r="AJ2015" i="2" a="1"/>
  <c r="AJ2015" i="2" s="1"/>
  <c r="Y2018" i="2" a="1"/>
  <c r="Y2018" i="2" s="1"/>
  <c r="AB2015" i="2" a="1"/>
  <c r="AB2015" i="2" s="1"/>
  <c r="W2018" i="2" a="1"/>
  <c r="W2018" i="2" s="1"/>
  <c r="AD2017" i="2" a="1"/>
  <c r="AD2017" i="2" s="1"/>
  <c r="W2014" i="2" a="1"/>
  <c r="W2014" i="2" s="1"/>
  <c r="AD2014" i="2" a="1"/>
  <c r="AD2014" i="2" s="1"/>
  <c r="AC2017" i="2" a="1"/>
  <c r="AC2017" i="2" s="1"/>
  <c r="AB2017" i="2" a="1"/>
  <c r="AB2017" i="2" s="1"/>
  <c r="AA2017" i="2" a="1"/>
  <c r="AA2017" i="2" s="1"/>
  <c r="W2015" i="2" a="1"/>
  <c r="W2015" i="2" s="1"/>
  <c r="W2017" i="2" a="1"/>
  <c r="W2017" i="2" s="1"/>
  <c r="AB2014" i="2" a="1"/>
  <c r="AB2014" i="2" s="1"/>
  <c r="Z2017" i="2" a="1"/>
  <c r="Z2017" i="2" s="1"/>
  <c r="Y2016" i="2" a="1"/>
  <c r="Y2016" i="2" s="1"/>
  <c r="AJ2016" i="2" a="1"/>
  <c r="AJ2016" i="2" s="1"/>
  <c r="AA2016" i="2" a="1"/>
  <c r="AA2016" i="2" s="1"/>
  <c r="Z2016" i="2" a="1"/>
  <c r="Z2016" i="2" s="1"/>
  <c r="AH2016" i="2" a="1"/>
  <c r="AH2016" i="2" s="1"/>
  <c r="AG2015" i="2" a="1"/>
  <c r="AG2015" i="2" s="1"/>
  <c r="AB2016" i="2" a="1"/>
  <c r="AB2016" i="2" s="1"/>
  <c r="W2016" i="2" a="1"/>
  <c r="W2016" i="2" s="1"/>
  <c r="AJ2013" i="2" a="1"/>
  <c r="AJ2013" i="2" s="1"/>
  <c r="AF2015" i="2" a="1"/>
  <c r="AF2015" i="2" s="1"/>
  <c r="AA2015" i="2" a="1"/>
  <c r="AA2015" i="2" s="1"/>
  <c r="AA2014" i="2" a="1"/>
  <c r="AA2014" i="2" s="1"/>
  <c r="AH2017" i="2" a="1"/>
  <c r="AH2017" i="2" s="1"/>
  <c r="AG2087" i="2" a="1"/>
  <c r="AG2087" i="2" s="1"/>
  <c r="AJ2017" i="2" a="1"/>
  <c r="AJ2017" i="2" s="1"/>
  <c r="Y2015" i="2" a="1"/>
  <c r="Y2015" i="2" s="1"/>
  <c r="AB2018" i="2" a="1"/>
  <c r="AB2018" i="2" s="1"/>
  <c r="AI2015" i="2" a="1"/>
  <c r="AI2015" i="2" s="1"/>
  <c r="AI2017" i="2" a="1"/>
  <c r="AI2017" i="2" s="1"/>
  <c r="X2015" i="2" a="1"/>
  <c r="X2015" i="2" s="1"/>
  <c r="AA2018" i="2" a="1"/>
  <c r="AA2018" i="2" s="1"/>
  <c r="AI2016" i="2" a="1"/>
  <c r="AI2016" i="2" s="1"/>
  <c r="AD2015" i="2" a="1"/>
  <c r="AD2015" i="2" s="1"/>
  <c r="AF2016" i="2" a="1"/>
  <c r="AF2016" i="2" s="1"/>
  <c r="AD2016" i="2" a="1"/>
  <c r="AD2016" i="2" s="1"/>
  <c r="AJ2014" i="2" a="1"/>
  <c r="AJ2014" i="2" s="1"/>
  <c r="Z2014" i="2" a="1"/>
  <c r="Z2014" i="2" s="1"/>
  <c r="X2018" i="2" a="1"/>
  <c r="X2018" i="2" s="1"/>
  <c r="AG2017" i="2" a="1"/>
  <c r="AG2017" i="2" s="1"/>
  <c r="AE2015" i="2" a="1"/>
  <c r="AE2015" i="2" s="1"/>
  <c r="AE2017" i="2" a="1"/>
  <c r="AE2017" i="2" s="1"/>
  <c r="AH2015" i="2" a="1"/>
  <c r="AH2015" i="2" s="1"/>
  <c r="AF2017" i="2" a="1"/>
  <c r="AF2017" i="2" s="1"/>
  <c r="Y2017" i="2" a="1"/>
  <c r="Y2017" i="2" s="1"/>
  <c r="AE2016" i="2" a="1"/>
  <c r="AE2016" i="2" s="1"/>
  <c r="AC2016" i="2" a="1"/>
  <c r="AC2016" i="2" s="1"/>
  <c r="X2014" i="2" a="1"/>
  <c r="X2014" i="2" s="1"/>
  <c r="AG2014" i="2" a="1"/>
  <c r="AG2014" i="2" s="1"/>
  <c r="Y2014" i="2" a="1"/>
  <c r="Y2014" i="2" s="1"/>
  <c r="AF2014" i="2" a="1"/>
  <c r="AF2014" i="2" s="1"/>
  <c r="Z2015" i="2" a="1"/>
  <c r="Z2015" i="2" s="1"/>
  <c r="AI2014" i="2" a="1"/>
  <c r="AI2014" i="2" s="1"/>
  <c r="AE2014" i="2" a="1"/>
  <c r="AE2014" i="2" s="1"/>
  <c r="AH2014" i="2" a="1"/>
  <c r="AH2014" i="2" s="1"/>
  <c r="X2016" i="2" a="1"/>
  <c r="X2016" i="2" s="1"/>
  <c r="AC2015" i="2" a="1"/>
  <c r="AC2015" i="2" s="1"/>
  <c r="X2017" i="2" a="1"/>
  <c r="X2017" i="2" s="1"/>
  <c r="AC2014" i="2" a="1"/>
  <c r="AC2014" i="2" s="1"/>
  <c r="Z2018" i="2" a="1"/>
  <c r="Z2018" i="2" s="1"/>
  <c r="W2010" i="2" a="1"/>
  <c r="W2010" i="2" s="1"/>
  <c r="AF2009" i="2" a="1"/>
  <c r="AF2009" i="2" s="1"/>
  <c r="AE2012" i="2" a="1"/>
  <c r="AE2012" i="2" s="1"/>
  <c r="AG2010" i="2" a="1"/>
  <c r="AG2010" i="2" s="1"/>
  <c r="AJ2009" i="2" a="1"/>
  <c r="AJ2009" i="2" s="1"/>
  <c r="Z2012" i="2" a="1"/>
  <c r="Z2012" i="2" s="1"/>
  <c r="X2012" i="2" a="1"/>
  <c r="X2012" i="2" s="1"/>
  <c r="AF2010" i="2" a="1"/>
  <c r="AF2010" i="2" s="1"/>
  <c r="AI2013" i="2" a="1"/>
  <c r="AI2013" i="2" s="1"/>
  <c r="AH2013" i="2" a="1"/>
  <c r="AH2013" i="2" s="1"/>
  <c r="AC2010" i="2" a="1"/>
  <c r="AC2010" i="2" s="1"/>
  <c r="AG2013" i="2" a="1"/>
  <c r="AG2013" i="2" s="1"/>
  <c r="AF2013" i="2" a="1"/>
  <c r="AF2013" i="2" s="1"/>
  <c r="AH2012" i="2" a="1"/>
  <c r="AH2012" i="2" s="1"/>
  <c r="X2011" i="2" a="1"/>
  <c r="X2011" i="2" s="1"/>
  <c r="AI2010" i="2" a="1"/>
  <c r="AI2010" i="2" s="1"/>
  <c r="AD2009" i="2" a="1"/>
  <c r="AD2009" i="2" s="1"/>
  <c r="Y2013" i="2" a="1"/>
  <c r="Y2013" i="2" s="1"/>
  <c r="X2013" i="2" a="1"/>
  <c r="X2013" i="2" s="1"/>
  <c r="AD2010" i="2" a="1"/>
  <c r="AD2010" i="2" s="1"/>
  <c r="W2013" i="2" a="1"/>
  <c r="W2013" i="2" s="1"/>
  <c r="AI2012" i="2" a="1"/>
  <c r="AI2012" i="2" s="1"/>
  <c r="AH2010" i="2" a="1"/>
  <c r="AH2010" i="2" s="1"/>
  <c r="AA2010" i="2" a="1"/>
  <c r="AA2010" i="2" s="1"/>
  <c r="AF2012" i="2" a="1"/>
  <c r="AF2012" i="2" s="1"/>
  <c r="Y2012" i="2" a="1"/>
  <c r="Y2012" i="2" s="1"/>
  <c r="AJ2011" i="2" a="1"/>
  <c r="AJ2011" i="2" s="1"/>
  <c r="AG2011" i="2" a="1"/>
  <c r="AG2011" i="2" s="1"/>
  <c r="AB2011" i="2" a="1"/>
  <c r="AB2011" i="2" s="1"/>
  <c r="Y2011" i="2" a="1"/>
  <c r="Y2011" i="2" s="1"/>
  <c r="W2011" i="2" a="1"/>
  <c r="W2011" i="2" s="1"/>
  <c r="AG2009" i="2" a="1"/>
  <c r="AG2009" i="2" s="1"/>
  <c r="Y2010" i="2" a="1"/>
  <c r="Y2010" i="2" s="1"/>
  <c r="AA2013" i="2" a="1"/>
  <c r="AA2013" i="2" s="1"/>
  <c r="AH2011" i="2" a="1"/>
  <c r="AH2011" i="2" s="1"/>
  <c r="AH2009" i="2" a="1"/>
  <c r="AH2009" i="2" s="1"/>
  <c r="AJ2012" i="2" a="1"/>
  <c r="AJ2012" i="2" s="1"/>
  <c r="AJ2010" i="2" a="1"/>
  <c r="AJ2010" i="2" s="1"/>
  <c r="X2086" i="2" a="1"/>
  <c r="X2086" i="2" s="1"/>
  <c r="AE2013" i="2" a="1"/>
  <c r="AE2013" i="2" s="1"/>
  <c r="AD2013" i="2" a="1"/>
  <c r="AD2013" i="2" s="1"/>
  <c r="AB2013" i="2" a="1"/>
  <c r="AB2013" i="2" s="1"/>
  <c r="Z2013" i="2" a="1"/>
  <c r="Z2013" i="2" s="1"/>
  <c r="AG2012" i="2" a="1"/>
  <c r="AG2012" i="2" s="1"/>
  <c r="AE2011" i="2" a="1"/>
  <c r="AE2011" i="2" s="1"/>
  <c r="AE2010" i="2" a="1"/>
  <c r="AE2010" i="2" s="1"/>
  <c r="AA2012" i="2" a="1"/>
  <c r="AA2012" i="2" s="1"/>
  <c r="AC2013" i="2" a="1"/>
  <c r="AC2013" i="2" s="1"/>
  <c r="AD2012" i="2" a="1"/>
  <c r="AD2012" i="2" s="1"/>
  <c r="AC2012" i="2" a="1"/>
  <c r="AC2012" i="2" s="1"/>
  <c r="AB2012" i="2" a="1"/>
  <c r="AB2012" i="2" s="1"/>
  <c r="AI2011" i="2" a="1"/>
  <c r="AI2011" i="2" s="1"/>
  <c r="AI2009" i="2" a="1"/>
  <c r="AI2009" i="2" s="1"/>
  <c r="AD2011" i="2" a="1"/>
  <c r="AD2011" i="2" s="1"/>
  <c r="Z2011" i="2" a="1"/>
  <c r="Z2011" i="2" s="1"/>
  <c r="AE2009" i="2" a="1"/>
  <c r="AE2009" i="2" s="1"/>
  <c r="AC2009" i="2" a="1"/>
  <c r="AC2009" i="2" s="1"/>
  <c r="AB2010" i="2" a="1"/>
  <c r="AB2010" i="2" s="1"/>
  <c r="W2012" i="2" a="1"/>
  <c r="W2012" i="2" s="1"/>
  <c r="AF2011" i="2" a="1"/>
  <c r="AF2011" i="2" s="1"/>
  <c r="AC2011" i="2" a="1"/>
  <c r="AC2011" i="2" s="1"/>
  <c r="AA2011" i="2" a="1"/>
  <c r="AA2011" i="2" s="1"/>
  <c r="Z2010" i="2" a="1"/>
  <c r="Z2010" i="2" s="1"/>
  <c r="X2010" i="2" a="1"/>
  <c r="X2010" i="2" s="1"/>
  <c r="AB2006" i="2" a="1"/>
  <c r="AB2006" i="2" s="1"/>
  <c r="Y2009" i="2" a="1"/>
  <c r="Y2009" i="2" s="1"/>
  <c r="Y2008" i="2" a="1"/>
  <c r="Y2008" i="2" s="1"/>
  <c r="AF2005" i="2" a="1"/>
  <c r="AF2005" i="2" s="1"/>
  <c r="X2009" i="2" a="1"/>
  <c r="X2009" i="2" s="1"/>
  <c r="AH2005" i="2" a="1"/>
  <c r="AH2005" i="2" s="1"/>
  <c r="W2009" i="2" a="1"/>
  <c r="W2009" i="2" s="1"/>
  <c r="AH2008" i="2" a="1"/>
  <c r="AH2008" i="2" s="1"/>
  <c r="Z2007" i="2" a="1"/>
  <c r="Z2007" i="2" s="1"/>
  <c r="X2006" i="2" a="1"/>
  <c r="X2006" i="2" s="1"/>
  <c r="AG2007" i="2" a="1"/>
  <c r="AG2007" i="2" s="1"/>
  <c r="AB2007" i="2" a="1"/>
  <c r="AB2007" i="2" s="1"/>
  <c r="W2006" i="2" a="1"/>
  <c r="W2006" i="2" s="1"/>
  <c r="Z2006" i="2" a="1"/>
  <c r="Z2006" i="2" s="1"/>
  <c r="AE2008" i="2" a="1"/>
  <c r="AE2008" i="2" s="1"/>
  <c r="AD2007" i="2" a="1"/>
  <c r="AD2007" i="2" s="1"/>
  <c r="AJ2005" i="2" a="1"/>
  <c r="AJ2005" i="2" s="1"/>
  <c r="X2008" i="2" a="1"/>
  <c r="X2008" i="2" s="1"/>
  <c r="AJ2007" i="2" a="1"/>
  <c r="AJ2007" i="2" s="1"/>
  <c r="AI2007" i="2" a="1"/>
  <c r="AI2007" i="2" s="1"/>
  <c r="AH2007" i="2" a="1"/>
  <c r="AH2007" i="2" s="1"/>
  <c r="AC2007" i="2" a="1"/>
  <c r="AC2007" i="2" s="1"/>
  <c r="Y2007" i="2" a="1"/>
  <c r="Y2007" i="2" s="1"/>
  <c r="AJ2006" i="2" a="1"/>
  <c r="AJ2006" i="2" s="1"/>
  <c r="AH2006" i="2" a="1"/>
  <c r="AH2006" i="2" s="1"/>
  <c r="AE2005" i="2" a="1"/>
  <c r="AE2005" i="2" s="1"/>
  <c r="Y2006" i="2" a="1"/>
  <c r="Y2006" i="2" s="1"/>
  <c r="AA2005" i="2" a="1"/>
  <c r="AA2005" i="2" s="1"/>
  <c r="AG2006" i="2" a="1"/>
  <c r="AG2006" i="2" s="1"/>
  <c r="AI2005" i="2" a="1"/>
  <c r="AI2005" i="2" s="1"/>
  <c r="AC2005" i="2" a="1"/>
  <c r="AC2005" i="2" s="1"/>
  <c r="AI2006" i="2" a="1"/>
  <c r="AI2006" i="2" s="1"/>
  <c r="AB2005" i="2" a="1"/>
  <c r="AB2005" i="2" s="1"/>
  <c r="Y2005" i="2" a="1"/>
  <c r="Y2005" i="2" s="1"/>
  <c r="X2005" i="2" a="1"/>
  <c r="X2005" i="2" s="1"/>
  <c r="AJ2008" i="2" a="1"/>
  <c r="AJ2008" i="2" s="1"/>
  <c r="AB2009" i="2" a="1"/>
  <c r="AB2009" i="2" s="1"/>
  <c r="W2007" i="2" a="1"/>
  <c r="W2007" i="2" s="1"/>
  <c r="AA2009" i="2" a="1"/>
  <c r="AA2009" i="2" s="1"/>
  <c r="AG2008" i="2" a="1"/>
  <c r="AG2008" i="2" s="1"/>
  <c r="AD2008" i="2" a="1"/>
  <c r="AD2008" i="2" s="1"/>
  <c r="AF2008" i="2" a="1"/>
  <c r="AF2008" i="2" s="1"/>
  <c r="AA2008" i="2" a="1"/>
  <c r="AA2008" i="2" s="1"/>
  <c r="W2005" i="2" a="1"/>
  <c r="W2005" i="2" s="1"/>
  <c r="AG2005" i="2" a="1"/>
  <c r="AG2005" i="2" s="1"/>
  <c r="AC2008" i="2" a="1"/>
  <c r="AC2008" i="2" s="1"/>
  <c r="AE2006" i="2" a="1"/>
  <c r="AE2006" i="2" s="1"/>
  <c r="X2007" i="2" a="1"/>
  <c r="X2007" i="2" s="1"/>
  <c r="AB2008" i="2" a="1"/>
  <c r="AB2008" i="2" s="1"/>
  <c r="Z2008" i="2" a="1"/>
  <c r="Z2008" i="2" s="1"/>
  <c r="AJ2086" i="2" a="1"/>
  <c r="AJ2086" i="2" s="1"/>
  <c r="Z2009" i="2" a="1"/>
  <c r="Z2009" i="2" s="1"/>
  <c r="AI2008" i="2" a="1"/>
  <c r="AI2008" i="2" s="1"/>
  <c r="W2008" i="2" a="1"/>
  <c r="W2008" i="2" s="1"/>
  <c r="AA2007" i="2" a="1"/>
  <c r="AA2007" i="2" s="1"/>
  <c r="AE2007" i="2" a="1"/>
  <c r="AE2007" i="2" s="1"/>
  <c r="AC2006" i="2" a="1"/>
  <c r="AC2006" i="2" s="1"/>
  <c r="AD2005" i="2" a="1"/>
  <c r="AD2005" i="2" s="1"/>
  <c r="AJ2004" i="2" a="1"/>
  <c r="AJ2004" i="2" s="1"/>
  <c r="AF2007" i="2" a="1"/>
  <c r="AF2007" i="2" s="1"/>
  <c r="Z2005" i="2" a="1"/>
  <c r="Z2005" i="2" s="1"/>
  <c r="AF2006" i="2" a="1"/>
  <c r="AF2006" i="2" s="1"/>
  <c r="AA2006" i="2" a="1"/>
  <c r="AA2006" i="2" s="1"/>
  <c r="AD2006" i="2" a="1"/>
  <c r="AD2006" i="2" s="1"/>
  <c r="W2004" i="2" a="1"/>
  <c r="W2004" i="2" s="1"/>
  <c r="AF2003" i="2" a="1"/>
  <c r="AF2003" i="2" s="1"/>
  <c r="Y2003" i="2" a="1"/>
  <c r="Y2003" i="2" s="1"/>
  <c r="AE2002" i="2" a="1"/>
  <c r="AE2002" i="2" s="1"/>
  <c r="AJ2000" i="2" a="1"/>
  <c r="AJ2000" i="2" s="1"/>
  <c r="Z2003" i="2" a="1"/>
  <c r="Z2003" i="2" s="1"/>
  <c r="AF2001" i="2" a="1"/>
  <c r="AF2001" i="2" s="1"/>
  <c r="X2003" i="2" a="1"/>
  <c r="X2003" i="2" s="1"/>
  <c r="AA2002" i="2" a="1"/>
  <c r="AA2002" i="2" s="1"/>
  <c r="Z2002" i="2" a="1"/>
  <c r="Z2002" i="2" s="1"/>
  <c r="AG2002" i="2" a="1"/>
  <c r="AG2002" i="2" s="1"/>
  <c r="X2001" i="2" a="1"/>
  <c r="X2001" i="2" s="1"/>
  <c r="AC2001" i="2" a="1"/>
  <c r="AC2001" i="2" s="1"/>
  <c r="AF2002" i="2" a="1"/>
  <c r="AF2002" i="2" s="1"/>
  <c r="Z2001" i="2" a="1"/>
  <c r="Z2001" i="2" s="1"/>
  <c r="AG2000" i="2" a="1"/>
  <c r="AG2000" i="2" s="1"/>
  <c r="AC2003" i="2" a="1"/>
  <c r="AC2003" i="2" s="1"/>
  <c r="AD2001" i="2" a="1"/>
  <c r="AD2001" i="2" s="1"/>
  <c r="AH2000" i="2" a="1"/>
  <c r="AH2000" i="2" s="1"/>
  <c r="AA2003" i="2" a="1"/>
  <c r="AA2003" i="2" s="1"/>
  <c r="AI2002" i="2" a="1"/>
  <c r="AI2002" i="2" s="1"/>
  <c r="AE2001" i="2" a="1"/>
  <c r="AE2001" i="2" s="1"/>
  <c r="AC2000" i="2" a="1"/>
  <c r="AC2000" i="2" s="1"/>
  <c r="AE2000" i="2" a="1"/>
  <c r="AE2000" i="2" s="1"/>
  <c r="AI2001" i="2" a="1"/>
  <c r="AI2001" i="2" s="1"/>
  <c r="AJ2002" i="2" a="1"/>
  <c r="AJ2002" i="2" s="1"/>
  <c r="AJ2001" i="2" a="1"/>
  <c r="AJ2001" i="2" s="1"/>
  <c r="W2003" i="2" a="1"/>
  <c r="W2003" i="2" s="1"/>
  <c r="AC2002" i="2" a="1"/>
  <c r="AC2002" i="2" s="1"/>
  <c r="Y2001" i="2" a="1"/>
  <c r="Y2001" i="2" s="1"/>
  <c r="AD2003" i="2" a="1"/>
  <c r="AD2003" i="2" s="1"/>
  <c r="AE2004" i="2" a="1"/>
  <c r="AE2004" i="2" s="1"/>
  <c r="W2086" i="2" a="1"/>
  <c r="W2086" i="2" s="1"/>
  <c r="AE2003" i="2" a="1"/>
  <c r="AE2003" i="2" s="1"/>
  <c r="AD2000" i="2" a="1"/>
  <c r="AD2000" i="2" s="1"/>
  <c r="AI2004" i="2" a="1"/>
  <c r="AI2004" i="2" s="1"/>
  <c r="AB2004" i="2" a="1"/>
  <c r="AB2004" i="2" s="1"/>
  <c r="AI2003" i="2" a="1"/>
  <c r="AI2003" i="2" s="1"/>
  <c r="W2002" i="2" a="1"/>
  <c r="W2002" i="2" s="1"/>
  <c r="AH2004" i="2" a="1"/>
  <c r="AH2004" i="2" s="1"/>
  <c r="W2001" i="2" a="1"/>
  <c r="W2001" i="2" s="1"/>
  <c r="AG2004" i="2" a="1"/>
  <c r="AG2004" i="2" s="1"/>
  <c r="AF2004" i="2" a="1"/>
  <c r="AF2004" i="2" s="1"/>
  <c r="AJ2003" i="2" a="1"/>
  <c r="AJ2003" i="2" s="1"/>
  <c r="X2002" i="2" a="1"/>
  <c r="X2002" i="2" s="1"/>
  <c r="AD2004" i="2" a="1"/>
  <c r="AD2004" i="2" s="1"/>
  <c r="AC2004" i="2" a="1"/>
  <c r="AC2004" i="2" s="1"/>
  <c r="AI2000" i="2" a="1"/>
  <c r="AI2000" i="2" s="1"/>
  <c r="AA2004" i="2" a="1"/>
  <c r="AA2004" i="2" s="1"/>
  <c r="AH2002" i="2" a="1"/>
  <c r="AH2002" i="2" s="1"/>
  <c r="AB2002" i="2" a="1"/>
  <c r="AB2002" i="2" s="1"/>
  <c r="AG2001" i="2" a="1"/>
  <c r="AG2001" i="2" s="1"/>
  <c r="AB2003" i="2" a="1"/>
  <c r="AB2003" i="2" s="1"/>
  <c r="AH2001" i="2" a="1"/>
  <c r="AH2001" i="2" s="1"/>
  <c r="Y2004" i="2" a="1"/>
  <c r="Y2004" i="2" s="1"/>
  <c r="AD2002" i="2" a="1"/>
  <c r="AD2002" i="2" s="1"/>
  <c r="AH2003" i="2" a="1"/>
  <c r="AH2003" i="2" s="1"/>
  <c r="AA2001" i="2" a="1"/>
  <c r="AA2001" i="2" s="1"/>
  <c r="Y2002" i="2" a="1"/>
  <c r="Y2002" i="2" s="1"/>
  <c r="AF2000" i="2" a="1"/>
  <c r="AF2000" i="2" s="1"/>
  <c r="AB2001" i="2" a="1"/>
  <c r="AB2001" i="2" s="1"/>
  <c r="AG2003" i="2" a="1"/>
  <c r="AG2003" i="2" s="1"/>
  <c r="Z2004" i="2" a="1"/>
  <c r="Z2004" i="2" s="1"/>
  <c r="X2004" i="2" a="1"/>
  <c r="X2004" i="2" s="1"/>
  <c r="AF1996" i="2" a="1"/>
  <c r="AF1996" i="2" s="1"/>
  <c r="AA1997" i="2" a="1"/>
  <c r="AA1997" i="2" s="1"/>
  <c r="AD1999" i="2" a="1"/>
  <c r="AD1999" i="2" s="1"/>
  <c r="AA1999" i="2" a="1"/>
  <c r="AA1999" i="2" s="1"/>
  <c r="Y1999" i="2" a="1"/>
  <c r="Y1999" i="2" s="1"/>
  <c r="AA1998" i="2" a="1"/>
  <c r="AA1998" i="2" s="1"/>
  <c r="Y1998" i="2" a="1"/>
  <c r="Y1998" i="2" s="1"/>
  <c r="AI1996" i="2" a="1"/>
  <c r="AI1996" i="2" s="1"/>
  <c r="AG1996" i="2" a="1"/>
  <c r="AG1996" i="2" s="1"/>
  <c r="AE1996" i="2" a="1"/>
  <c r="AE1996" i="2" s="1"/>
  <c r="AE1998" i="2" a="1"/>
  <c r="AE1998" i="2" s="1"/>
  <c r="Y1996" i="2" a="1"/>
  <c r="Y1996" i="2" s="1"/>
  <c r="X1998" i="2" a="1"/>
  <c r="X1998" i="2" s="1"/>
  <c r="AB1999" i="2" a="1"/>
  <c r="AB1999" i="2" s="1"/>
  <c r="AH1996" i="2" a="1"/>
  <c r="AH1996" i="2" s="1"/>
  <c r="AA1996" i="2" a="1"/>
  <c r="AA1996" i="2" s="1"/>
  <c r="AC1999" i="2" a="1"/>
  <c r="AC1999" i="2" s="1"/>
  <c r="AH1997" i="2" a="1"/>
  <c r="AH1997" i="2" s="1"/>
  <c r="AG1997" i="2" a="1"/>
  <c r="AG1997" i="2" s="1"/>
  <c r="Z1999" i="2" a="1"/>
  <c r="Z1999" i="2" s="1"/>
  <c r="AF1997" i="2" a="1"/>
  <c r="AF1997" i="2" s="1"/>
  <c r="AI1998" i="2" a="1"/>
  <c r="AI1998" i="2" s="1"/>
  <c r="AD1998" i="2" a="1"/>
  <c r="AD1998" i="2" s="1"/>
  <c r="AG1998" i="2" a="1"/>
  <c r="AG1998" i="2" s="1"/>
  <c r="AI1997" i="2" a="1"/>
  <c r="AI1997" i="2" s="1"/>
  <c r="AH1998" i="2" a="1"/>
  <c r="AH1998" i="2" s="1"/>
  <c r="AJ1997" i="2" a="1"/>
  <c r="AJ1997" i="2" s="1"/>
  <c r="AE1997" i="2" a="1"/>
  <c r="AE1997" i="2" s="1"/>
  <c r="AB1996" i="2" a="1"/>
  <c r="AB1996" i="2" s="1"/>
  <c r="Z1996" i="2" a="1"/>
  <c r="Z1996" i="2" s="1"/>
  <c r="AJ1996" i="2" a="1"/>
  <c r="AJ1996" i="2" s="1"/>
  <c r="AB1997" i="2" a="1"/>
  <c r="AB1997" i="2" s="1"/>
  <c r="AB1998" i="2" a="1"/>
  <c r="AB1998" i="2" s="1"/>
  <c r="Z1998" i="2" a="1"/>
  <c r="Z1998" i="2" s="1"/>
  <c r="AC1997" i="2" a="1"/>
  <c r="AC1997" i="2" s="1"/>
  <c r="AD1996" i="2" a="1"/>
  <c r="AD1996" i="2" s="1"/>
  <c r="AB2087" i="2" a="1"/>
  <c r="AB2087" i="2" s="1"/>
  <c r="AJ1998" i="2" a="1"/>
  <c r="AJ1998" i="2" s="1"/>
  <c r="W1998" i="2" a="1"/>
  <c r="W1998" i="2" s="1"/>
  <c r="AB2000" i="2" a="1"/>
  <c r="AB2000" i="2" s="1"/>
  <c r="X1996" i="2" a="1"/>
  <c r="X1996" i="2" s="1"/>
  <c r="AA2000" i="2" a="1"/>
  <c r="AA2000" i="2" s="1"/>
  <c r="Z2000" i="2" a="1"/>
  <c r="Z2000" i="2" s="1"/>
  <c r="W2000" i="2" a="1"/>
  <c r="W2000" i="2" s="1"/>
  <c r="W1999" i="2" a="1"/>
  <c r="W1999" i="2" s="1"/>
  <c r="AJ1999" i="2" a="1"/>
  <c r="AJ1999" i="2" s="1"/>
  <c r="Y2000" i="2" a="1"/>
  <c r="Y2000" i="2" s="1"/>
  <c r="AC1998" i="2" a="1"/>
  <c r="AC1998" i="2" s="1"/>
  <c r="AH1999" i="2" a="1"/>
  <c r="AH1999" i="2" s="1"/>
  <c r="AF1998" i="2" a="1"/>
  <c r="AF1998" i="2" s="1"/>
  <c r="AI1999" i="2" a="1"/>
  <c r="AI1999" i="2" s="1"/>
  <c r="AD1997" i="2" a="1"/>
  <c r="AD1997" i="2" s="1"/>
  <c r="Z1997" i="2" a="1"/>
  <c r="Z1997" i="2" s="1"/>
  <c r="X1997" i="2" a="1"/>
  <c r="X1997" i="2" s="1"/>
  <c r="W1997" i="2" a="1"/>
  <c r="W1997" i="2" s="1"/>
  <c r="Y1997" i="2" a="1"/>
  <c r="Y1997" i="2" s="1"/>
  <c r="W1996" i="2" a="1"/>
  <c r="W1996" i="2" s="1"/>
  <c r="AC1996" i="2" a="1"/>
  <c r="AC1996" i="2" s="1"/>
  <c r="AJ1995" i="2" a="1"/>
  <c r="AJ1995" i="2" s="1"/>
  <c r="AF1999" i="2" a="1"/>
  <c r="AF1999" i="2" s="1"/>
  <c r="X1999" i="2" a="1"/>
  <c r="X1999" i="2" s="1"/>
  <c r="AE1999" i="2" a="1"/>
  <c r="AE1999" i="2" s="1"/>
  <c r="X2000" i="2" a="1"/>
  <c r="X2000" i="2" s="1"/>
  <c r="AG1999" i="2" a="1"/>
  <c r="AG1999" i="2" s="1"/>
  <c r="AH1995" i="2" a="1"/>
  <c r="AH1995" i="2" s="1"/>
  <c r="AA1993" i="2" a="1"/>
  <c r="AA1993" i="2" s="1"/>
  <c r="AG1995" i="2" a="1"/>
  <c r="AG1995" i="2" s="1"/>
  <c r="Z1995" i="2" a="1"/>
  <c r="Z1995" i="2" s="1"/>
  <c r="AA1994" i="2" a="1"/>
  <c r="AA1994" i="2" s="1"/>
  <c r="Y1994" i="2" a="1"/>
  <c r="Y1994" i="2" s="1"/>
  <c r="Y1992" i="2" a="1"/>
  <c r="Y1992" i="2" s="1"/>
  <c r="AE1992" i="2" a="1"/>
  <c r="AE1992" i="2" s="1"/>
  <c r="AC1992" i="2" a="1"/>
  <c r="AC1992" i="2" s="1"/>
  <c r="AH1991" i="2" a="1"/>
  <c r="AH1991" i="2" s="1"/>
  <c r="AB1995" i="2" a="1"/>
  <c r="AB1995" i="2" s="1"/>
  <c r="AD1991" i="2" a="1"/>
  <c r="AD1991" i="2" s="1"/>
  <c r="AF1995" i="2" a="1"/>
  <c r="AF1995" i="2" s="1"/>
  <c r="AA1995" i="2" a="1"/>
  <c r="AA1995" i="2" s="1"/>
  <c r="Y1993" i="2" a="1"/>
  <c r="Y1993" i="2" s="1"/>
  <c r="Z1992" i="2" a="1"/>
  <c r="Z1992" i="2" s="1"/>
  <c r="AG1992" i="2" a="1"/>
  <c r="AG1992" i="2" s="1"/>
  <c r="AI1991" i="2" a="1"/>
  <c r="AI1991" i="2" s="1"/>
  <c r="X1995" i="2" a="1"/>
  <c r="X1995" i="2" s="1"/>
  <c r="W1995" i="2" a="1"/>
  <c r="W1995" i="2" s="1"/>
  <c r="AE1994" i="2" a="1"/>
  <c r="AE1994" i="2" s="1"/>
  <c r="AH1993" i="2" a="1"/>
  <c r="AH1993" i="2" s="1"/>
  <c r="AC1991" i="2" a="1"/>
  <c r="AC1991" i="2" s="1"/>
  <c r="Z1994" i="2" a="1"/>
  <c r="Z1994" i="2" s="1"/>
  <c r="AH1994" i="2" a="1"/>
  <c r="AH1994" i="2" s="1"/>
  <c r="W1994" i="2" a="1"/>
  <c r="W1994" i="2" s="1"/>
  <c r="AF1993" i="2" a="1"/>
  <c r="AF1993" i="2" s="1"/>
  <c r="AD1993" i="2" a="1"/>
  <c r="AD1993" i="2" s="1"/>
  <c r="AC1993" i="2" a="1"/>
  <c r="AC1993" i="2" s="1"/>
  <c r="AF1992" i="2" a="1"/>
  <c r="AF1992" i="2" s="1"/>
  <c r="AD1992" i="2" a="1"/>
  <c r="AD1992" i="2" s="1"/>
  <c r="Y1995" i="2" a="1"/>
  <c r="Y1995" i="2" s="1"/>
  <c r="AF1994" i="2" a="1"/>
  <c r="AF1994" i="2" s="1"/>
  <c r="AE1993" i="2" a="1"/>
  <c r="AE1993" i="2" s="1"/>
  <c r="AI1992" i="2" a="1"/>
  <c r="AI1992" i="2" s="1"/>
  <c r="AB1992" i="2" a="1"/>
  <c r="AB1992" i="2" s="1"/>
  <c r="AE1995" i="2" a="1"/>
  <c r="AE1995" i="2" s="1"/>
  <c r="AD1995" i="2" a="1"/>
  <c r="AD1995" i="2" s="1"/>
  <c r="AH1992" i="2" a="1"/>
  <c r="AH1992" i="2" s="1"/>
  <c r="AC1995" i="2" a="1"/>
  <c r="AC1995" i="2" s="1"/>
  <c r="AJ1994" i="2" a="1"/>
  <c r="AJ1994" i="2" s="1"/>
  <c r="AD1994" i="2" a="1"/>
  <c r="AD1994" i="2" s="1"/>
  <c r="X1994" i="2" a="1"/>
  <c r="X1994" i="2" s="1"/>
  <c r="AJ1993" i="2" a="1"/>
  <c r="AJ1993" i="2" s="1"/>
  <c r="X1993" i="2" a="1"/>
  <c r="X1993" i="2" s="1"/>
  <c r="W1993" i="2" a="1"/>
  <c r="W1993" i="2" s="1"/>
  <c r="AI1993" i="2" a="1"/>
  <c r="AI1993" i="2" s="1"/>
  <c r="AJ1991" i="2" a="1"/>
  <c r="AJ1991" i="2" s="1"/>
  <c r="AE1991" i="2" a="1"/>
  <c r="AE1991" i="2" s="1"/>
  <c r="AG1994" i="2" a="1"/>
  <c r="AG1994" i="2" s="1"/>
  <c r="AC1994" i="2" a="1"/>
  <c r="AC1994" i="2" s="1"/>
  <c r="AB1994" i="2" a="1"/>
  <c r="AB1994" i="2" s="1"/>
  <c r="AG1993" i="2" a="1"/>
  <c r="AG1993" i="2" s="1"/>
  <c r="Z1993" i="2" a="1"/>
  <c r="Z1993" i="2" s="1"/>
  <c r="W1992" i="2" a="1"/>
  <c r="W1992" i="2" s="1"/>
  <c r="AG1991" i="2" a="1"/>
  <c r="AG1991" i="2" s="1"/>
  <c r="X1992" i="2" a="1"/>
  <c r="X1992" i="2" s="1"/>
  <c r="AA1992" i="2" a="1"/>
  <c r="AA1992" i="2" s="1"/>
  <c r="AF1991" i="2" a="1"/>
  <c r="AF1991" i="2" s="1"/>
  <c r="AJ1992" i="2" a="1"/>
  <c r="AJ1992" i="2" s="1"/>
  <c r="AJ2085" i="2" a="1"/>
  <c r="AJ2085" i="2" s="1"/>
  <c r="AI1994" i="2" a="1"/>
  <c r="AI1994" i="2" s="1"/>
  <c r="AB1993" i="2" a="1"/>
  <c r="AB1993" i="2" s="1"/>
  <c r="AI1995" i="2" a="1"/>
  <c r="AI1995" i="2" s="1"/>
  <c r="AE1990" i="2" a="1"/>
  <c r="AE1990" i="2" s="1"/>
  <c r="Z1990" i="2" a="1"/>
  <c r="Z1990" i="2" s="1"/>
  <c r="AC1990" i="2" a="1"/>
  <c r="AC1990" i="2" s="1"/>
  <c r="AB1990" i="2" a="1"/>
  <c r="AB1990" i="2" s="1"/>
  <c r="AF1989" i="2" a="1"/>
  <c r="AF1989" i="2" s="1"/>
  <c r="AJ1989" i="2" a="1"/>
  <c r="AJ1989" i="2" s="1"/>
  <c r="Z1989" i="2" a="1"/>
  <c r="Z1989" i="2" s="1"/>
  <c r="AE1988" i="2" a="1"/>
  <c r="AE1988" i="2" s="1"/>
  <c r="Y1988" i="2" a="1"/>
  <c r="Y1988" i="2" s="1"/>
  <c r="AE1987" i="2" a="1"/>
  <c r="AE1987" i="2" s="1"/>
  <c r="AA1987" i="2" a="1"/>
  <c r="AA1987" i="2" s="1"/>
  <c r="AG1987" i="2" a="1"/>
  <c r="AG1987" i="2" s="1"/>
  <c r="AG1989" i="2" a="1"/>
  <c r="AG1989" i="2" s="1"/>
  <c r="AB1989" i="2" a="1"/>
  <c r="AB1989" i="2" s="1"/>
  <c r="AI1988" i="2" a="1"/>
  <c r="AI1988" i="2" s="1"/>
  <c r="AB1988" i="2" a="1"/>
  <c r="AB1988" i="2" s="1"/>
  <c r="X1987" i="2" a="1"/>
  <c r="X1987" i="2" s="1"/>
  <c r="AJ1986" i="2" a="1"/>
  <c r="AJ1986" i="2" s="1"/>
  <c r="AH1988" i="2" a="1"/>
  <c r="AH1988" i="2" s="1"/>
  <c r="AH1989" i="2" a="1"/>
  <c r="AH1989" i="2" s="1"/>
  <c r="AG1988" i="2" a="1"/>
  <c r="AG1988" i="2" s="1"/>
  <c r="X1990" i="2" a="1"/>
  <c r="X1990" i="2" s="1"/>
  <c r="AF1987" i="2" a="1"/>
  <c r="AF1987" i="2" s="1"/>
  <c r="AD1989" i="2" a="1"/>
  <c r="AD1989" i="2" s="1"/>
  <c r="AJ1988" i="2" a="1"/>
  <c r="AJ1988" i="2" s="1"/>
  <c r="AA1989" i="2" a="1"/>
  <c r="AA1989" i="2" s="1"/>
  <c r="AA1988" i="2" a="1"/>
  <c r="AA1988" i="2" s="1"/>
  <c r="Z1988" i="2" a="1"/>
  <c r="Z1988" i="2" s="1"/>
  <c r="AC1987" i="2" a="1"/>
  <c r="AC1987" i="2" s="1"/>
  <c r="W1987" i="2" a="1"/>
  <c r="W1987" i="2" s="1"/>
  <c r="Y1989" i="2" a="1"/>
  <c r="Y1989" i="2" s="1"/>
  <c r="AD1988" i="2" a="1"/>
  <c r="AD1988" i="2" s="1"/>
  <c r="AD1987" i="2" a="1"/>
  <c r="AD1987" i="2" s="1"/>
  <c r="Z1987" i="2" a="1"/>
  <c r="Z1987" i="2" s="1"/>
  <c r="AC1989" i="2" a="1"/>
  <c r="AC1989" i="2" s="1"/>
  <c r="W1989" i="2" a="1"/>
  <c r="W1989" i="2" s="1"/>
  <c r="X1989" i="2" a="1"/>
  <c r="X1989" i="2" s="1"/>
  <c r="AC1988" i="2" a="1"/>
  <c r="AC1988" i="2" s="1"/>
  <c r="Y1987" i="2" a="1"/>
  <c r="Y1987" i="2" s="1"/>
  <c r="AI2086" i="2" a="1"/>
  <c r="AI2086" i="2" s="1"/>
  <c r="X1988" i="2" a="1"/>
  <c r="X1988" i="2" s="1"/>
  <c r="AH1990" i="2" a="1"/>
  <c r="AH1990" i="2" s="1"/>
  <c r="W1991" i="2" a="1"/>
  <c r="W1991" i="2" s="1"/>
  <c r="AI1990" i="2" a="1"/>
  <c r="AI1990" i="2" s="1"/>
  <c r="W1990" i="2" a="1"/>
  <c r="W1990" i="2" s="1"/>
  <c r="AI1989" i="2" a="1"/>
  <c r="AI1989" i="2" s="1"/>
  <c r="AF1988" i="2" a="1"/>
  <c r="AF1988" i="2" s="1"/>
  <c r="AH1987" i="2" a="1"/>
  <c r="AH1987" i="2" s="1"/>
  <c r="AB1987" i="2" a="1"/>
  <c r="AB1987" i="2" s="1"/>
  <c r="AA1990" i="2" a="1"/>
  <c r="AA1990" i="2" s="1"/>
  <c r="AB1991" i="2" a="1"/>
  <c r="AB1991" i="2" s="1"/>
  <c r="AA1991" i="2" a="1"/>
  <c r="AA1991" i="2" s="1"/>
  <c r="Z1991" i="2" a="1"/>
  <c r="Z1991" i="2" s="1"/>
  <c r="AI1987" i="2" a="1"/>
  <c r="AI1987" i="2" s="1"/>
  <c r="AJ1990" i="2" a="1"/>
  <c r="AJ1990" i="2" s="1"/>
  <c r="AE1989" i="2" a="1"/>
  <c r="AE1989" i="2" s="1"/>
  <c r="W1988" i="2" a="1"/>
  <c r="W1988" i="2" s="1"/>
  <c r="Y1990" i="2" a="1"/>
  <c r="Y1990" i="2" s="1"/>
  <c r="AJ1987" i="2" a="1"/>
  <c r="AJ1987" i="2" s="1"/>
  <c r="Y1991" i="2" a="1"/>
  <c r="Y1991" i="2" s="1"/>
  <c r="X1991" i="2" a="1"/>
  <c r="X1991" i="2" s="1"/>
  <c r="AD1990" i="2" a="1"/>
  <c r="AD1990" i="2" s="1"/>
  <c r="AG1990" i="2" a="1"/>
  <c r="AG1990" i="2" s="1"/>
  <c r="AF1990" i="2" a="1"/>
  <c r="AF1990" i="2" s="1"/>
  <c r="AJ1984" i="2" a="1"/>
  <c r="AJ1984" i="2" s="1"/>
  <c r="AC1985" i="2" a="1"/>
  <c r="AC1985" i="2" s="1"/>
  <c r="AI2085" i="2" a="1"/>
  <c r="AI2085" i="2" s="1"/>
  <c r="AG1983" i="2" a="1"/>
  <c r="AG1983" i="2" s="1"/>
  <c r="W1985" i="2" a="1"/>
  <c r="W1985" i="2" s="1"/>
  <c r="AF1982" i="2" a="1"/>
  <c r="AF1982" i="2" s="1"/>
  <c r="Y1983" i="2" a="1"/>
  <c r="Y1983" i="2" s="1"/>
  <c r="AI1984" i="2" a="1"/>
  <c r="AI1984" i="2" s="1"/>
  <c r="AF1984" i="2" a="1"/>
  <c r="AF1984" i="2" s="1"/>
  <c r="AI1982" i="2" a="1"/>
  <c r="AI1982" i="2" s="1"/>
  <c r="AI1986" i="2" a="1"/>
  <c r="AI1986" i="2" s="1"/>
  <c r="AH1986" i="2" a="1"/>
  <c r="AH1986" i="2" s="1"/>
  <c r="AG1986" i="2" a="1"/>
  <c r="AG1986" i="2" s="1"/>
  <c r="AF1986" i="2" a="1"/>
  <c r="AF1986" i="2" s="1"/>
  <c r="AE1986" i="2" a="1"/>
  <c r="AE1986" i="2" s="1"/>
  <c r="AD1986" i="2" a="1"/>
  <c r="AD1986" i="2" s="1"/>
  <c r="AC1986" i="2" a="1"/>
  <c r="AC1986" i="2" s="1"/>
  <c r="AG1984" i="2" a="1"/>
  <c r="AG1984" i="2" s="1"/>
  <c r="AH1983" i="2" a="1"/>
  <c r="AH1983" i="2" s="1"/>
  <c r="AB1986" i="2" a="1"/>
  <c r="AB1986" i="2" s="1"/>
  <c r="AA1986" i="2" a="1"/>
  <c r="AA1986" i="2" s="1"/>
  <c r="AC1983" i="2" a="1"/>
  <c r="AC1983" i="2" s="1"/>
  <c r="X1986" i="2" a="1"/>
  <c r="X1986" i="2" s="1"/>
  <c r="Z1986" i="2" a="1"/>
  <c r="Z1986" i="2" s="1"/>
  <c r="Z1985" i="2" a="1"/>
  <c r="Z1985" i="2" s="1"/>
  <c r="AF1983" i="2" a="1"/>
  <c r="AF1983" i="2" s="1"/>
  <c r="Y1986" i="2" a="1"/>
  <c r="Y1986" i="2" s="1"/>
  <c r="AG1985" i="2" a="1"/>
  <c r="AG1985" i="2" s="1"/>
  <c r="X1983" i="2" a="1"/>
  <c r="X1983" i="2" s="1"/>
  <c r="W1986" i="2" a="1"/>
  <c r="W1986" i="2" s="1"/>
  <c r="AH1982" i="2" a="1"/>
  <c r="AH1982" i="2" s="1"/>
  <c r="AD1985" i="2" a="1"/>
  <c r="AD1985" i="2" s="1"/>
  <c r="Y1985" i="2" a="1"/>
  <c r="Y1985" i="2" s="1"/>
  <c r="AA1984" i="2" a="1"/>
  <c r="AA1984" i="2" s="1"/>
  <c r="Z1984" i="2" a="1"/>
  <c r="Z1984" i="2" s="1"/>
  <c r="AE1985" i="2" a="1"/>
  <c r="AE1985" i="2" s="1"/>
  <c r="AI1985" i="2" a="1"/>
  <c r="AI1985" i="2" s="1"/>
  <c r="AA1985" i="2" a="1"/>
  <c r="AA1985" i="2" s="1"/>
  <c r="AF1985" i="2" a="1"/>
  <c r="AF1985" i="2" s="1"/>
  <c r="AI1983" i="2" a="1"/>
  <c r="AI1983" i="2" s="1"/>
  <c r="AC1984" i="2" a="1"/>
  <c r="AC1984" i="2" s="1"/>
  <c r="AD1983" i="2" a="1"/>
  <c r="AD1983" i="2" s="1"/>
  <c r="Y1984" i="2" a="1"/>
  <c r="Y1984" i="2" s="1"/>
  <c r="W1984" i="2" a="1"/>
  <c r="W1984" i="2" s="1"/>
  <c r="AE1982" i="2" a="1"/>
  <c r="AE1982" i="2" s="1"/>
  <c r="AJ1983" i="2" a="1"/>
  <c r="AJ1983" i="2" s="1"/>
  <c r="AB1983" i="2" a="1"/>
  <c r="AB1983" i="2" s="1"/>
  <c r="AG1982" i="2" a="1"/>
  <c r="AG1982" i="2" s="1"/>
  <c r="AH1984" i="2" a="1"/>
  <c r="AH1984" i="2" s="1"/>
  <c r="AB1985" i="2" a="1"/>
  <c r="AB1985" i="2" s="1"/>
  <c r="Z1983" i="2" a="1"/>
  <c r="Z1983" i="2" s="1"/>
  <c r="W1983" i="2" a="1"/>
  <c r="W1983" i="2" s="1"/>
  <c r="AA1983" i="2" a="1"/>
  <c r="AA1983" i="2" s="1"/>
  <c r="AD1982" i="2" a="1"/>
  <c r="AD1982" i="2" s="1"/>
  <c r="AJ1982" i="2" a="1"/>
  <c r="AJ1982" i="2" s="1"/>
  <c r="AE1984" i="2" a="1"/>
  <c r="AE1984" i="2" s="1"/>
  <c r="AD1984" i="2" a="1"/>
  <c r="AD1984" i="2" s="1"/>
  <c r="AE1983" i="2" a="1"/>
  <c r="AE1983" i="2" s="1"/>
  <c r="X1984" i="2" a="1"/>
  <c r="X1984" i="2" s="1"/>
  <c r="AB1984" i="2" a="1"/>
  <c r="AB1984" i="2" s="1"/>
  <c r="AC1982" i="2" a="1"/>
  <c r="AC1982" i="2" s="1"/>
  <c r="AJ1985" i="2" a="1"/>
  <c r="AJ1985" i="2" s="1"/>
  <c r="AH1985" i="2" a="1"/>
  <c r="AH1985" i="2" s="1"/>
  <c r="X1985" i="2" a="1"/>
  <c r="X1985" i="2" s="1"/>
  <c r="Z1979" i="2" a="1"/>
  <c r="Z1979" i="2" s="1"/>
  <c r="AB1982" i="2" a="1"/>
  <c r="AB1982" i="2" s="1"/>
  <c r="Y1982" i="2" a="1"/>
  <c r="Y1982" i="2" s="1"/>
  <c r="X1982" i="2" a="1"/>
  <c r="X1982" i="2" s="1"/>
  <c r="W1982" i="2" a="1"/>
  <c r="W1982" i="2" s="1"/>
  <c r="AJ1981" i="2" a="1"/>
  <c r="AJ1981" i="2" s="1"/>
  <c r="AG1981" i="2" a="1"/>
  <c r="AG1981" i="2" s="1"/>
  <c r="X1981" i="2" a="1"/>
  <c r="X1981" i="2" s="1"/>
  <c r="AH1978" i="2" a="1"/>
  <c r="AH1978" i="2" s="1"/>
  <c r="X1978" i="2" a="1"/>
  <c r="X1978" i="2" s="1"/>
  <c r="W1980" i="2" a="1"/>
  <c r="W1980" i="2" s="1"/>
  <c r="Z1978" i="2" a="1"/>
  <c r="Z1978" i="2" s="1"/>
  <c r="W1979" i="2" a="1"/>
  <c r="W1979" i="2" s="1"/>
  <c r="W1978" i="2" a="1"/>
  <c r="W1978" i="2" s="1"/>
  <c r="AF1981" i="2" a="1"/>
  <c r="AF1981" i="2" s="1"/>
  <c r="AD1981" i="2" a="1"/>
  <c r="AD1981" i="2" s="1"/>
  <c r="Z1981" i="2" a="1"/>
  <c r="Z1981" i="2" s="1"/>
  <c r="Y1981" i="2" a="1"/>
  <c r="Y1981" i="2" s="1"/>
  <c r="AB1980" i="2" a="1"/>
  <c r="AB1980" i="2" s="1"/>
  <c r="AH1979" i="2" a="1"/>
  <c r="AH1979" i="2" s="1"/>
  <c r="AB1979" i="2" a="1"/>
  <c r="AB1979" i="2" s="1"/>
  <c r="AI1978" i="2" a="1"/>
  <c r="AI1978" i="2" s="1"/>
  <c r="Y1978" i="2" a="1"/>
  <c r="Y1978" i="2" s="1"/>
  <c r="AA1980" i="2" a="1"/>
  <c r="AA1980" i="2" s="1"/>
  <c r="AC1979" i="2" a="1"/>
  <c r="AC1979" i="2" s="1"/>
  <c r="AJ1979" i="2" a="1"/>
  <c r="AJ1979" i="2" s="1"/>
  <c r="AJ1978" i="2" a="1"/>
  <c r="AJ1978" i="2" s="1"/>
  <c r="AF1978" i="2" a="1"/>
  <c r="AF1978" i="2" s="1"/>
  <c r="AB1978" i="2" a="1"/>
  <c r="AB1978" i="2" s="1"/>
  <c r="W1981" i="2" a="1"/>
  <c r="W1981" i="2" s="1"/>
  <c r="AG1979" i="2" a="1"/>
  <c r="AG1979" i="2" s="1"/>
  <c r="Z1982" i="2" a="1"/>
  <c r="Z1982" i="2" s="1"/>
  <c r="AB1981" i="2" a="1"/>
  <c r="AB1981" i="2" s="1"/>
  <c r="AG1978" i="2" a="1"/>
  <c r="AG1978" i="2" s="1"/>
  <c r="AE1981" i="2" a="1"/>
  <c r="AE1981" i="2" s="1"/>
  <c r="AC1981" i="2" a="1"/>
  <c r="AC1981" i="2" s="1"/>
  <c r="AA1981" i="2" a="1"/>
  <c r="AA1981" i="2" s="1"/>
  <c r="AE1979" i="2" a="1"/>
  <c r="AE1979" i="2" s="1"/>
  <c r="AF1980" i="2" a="1"/>
  <c r="AF1980" i="2" s="1"/>
  <c r="AJ1980" i="2" a="1"/>
  <c r="AJ1980" i="2" s="1"/>
  <c r="AG1980" i="2" a="1"/>
  <c r="AG1980" i="2" s="1"/>
  <c r="AI1979" i="2" a="1"/>
  <c r="AI1979" i="2" s="1"/>
  <c r="AH1980" i="2" a="1"/>
  <c r="AH1980" i="2" s="1"/>
  <c r="AD1980" i="2" a="1"/>
  <c r="AD1980" i="2" s="1"/>
  <c r="AD1979" i="2" a="1"/>
  <c r="AD1979" i="2" s="1"/>
  <c r="AF1979" i="2" a="1"/>
  <c r="AF1979" i="2" s="1"/>
  <c r="X1979" i="2" a="1"/>
  <c r="X1979" i="2" s="1"/>
  <c r="AJ1977" i="2" a="1"/>
  <c r="AJ1977" i="2" s="1"/>
  <c r="AA1978" i="2" a="1"/>
  <c r="AA1978" i="2" s="1"/>
  <c r="Z1980" i="2" a="1"/>
  <c r="Z1980" i="2" s="1"/>
  <c r="AE2087" i="2" a="1"/>
  <c r="AE2087" i="2" s="1"/>
  <c r="AE1978" i="2" a="1"/>
  <c r="AE1978" i="2" s="1"/>
  <c r="AA1982" i="2" a="1"/>
  <c r="AA1982" i="2" s="1"/>
  <c r="Y1979" i="2" a="1"/>
  <c r="Y1979" i="2" s="1"/>
  <c r="AD1978" i="2" a="1"/>
  <c r="AD1978" i="2" s="1"/>
  <c r="AI1981" i="2" a="1"/>
  <c r="AI1981" i="2" s="1"/>
  <c r="AI1980" i="2" a="1"/>
  <c r="AI1980" i="2" s="1"/>
  <c r="AE1980" i="2" a="1"/>
  <c r="AE1980" i="2" s="1"/>
  <c r="AC1978" i="2" a="1"/>
  <c r="AC1978" i="2" s="1"/>
  <c r="AH1981" i="2" a="1"/>
  <c r="AH1981" i="2" s="1"/>
  <c r="AC1980" i="2" a="1"/>
  <c r="AC1980" i="2" s="1"/>
  <c r="Y1980" i="2" a="1"/>
  <c r="Y1980" i="2" s="1"/>
  <c r="X1980" i="2" a="1"/>
  <c r="X1980" i="2" s="1"/>
  <c r="AA1979" i="2" a="1"/>
  <c r="AA1979" i="2" s="1"/>
  <c r="AH2085" i="2" a="1"/>
  <c r="AH2085" i="2" s="1"/>
  <c r="AG1973" i="2" a="1"/>
  <c r="AG1973" i="2" s="1"/>
  <c r="AI1977" i="2" a="1"/>
  <c r="AI1977" i="2" s="1"/>
  <c r="Z1975" i="2" a="1"/>
  <c r="Z1975" i="2" s="1"/>
  <c r="AH1977" i="2" a="1"/>
  <c r="AH1977" i="2" s="1"/>
  <c r="AC1976" i="2" a="1"/>
  <c r="AC1976" i="2" s="1"/>
  <c r="AG1977" i="2" a="1"/>
  <c r="AG1977" i="2" s="1"/>
  <c r="AE1977" i="2" a="1"/>
  <c r="AE1977" i="2" s="1"/>
  <c r="Y1977" i="2" a="1"/>
  <c r="Y1977" i="2" s="1"/>
  <c r="AG1976" i="2" a="1"/>
  <c r="AG1976" i="2" s="1"/>
  <c r="AA1974" i="2" a="1"/>
  <c r="AA1974" i="2" s="1"/>
  <c r="AC1973" i="2" a="1"/>
  <c r="AC1973" i="2" s="1"/>
  <c r="AF1976" i="2" a="1"/>
  <c r="AF1976" i="2" s="1"/>
  <c r="AD1977" i="2" a="1"/>
  <c r="AD1977" i="2" s="1"/>
  <c r="AC1977" i="2" a="1"/>
  <c r="AC1977" i="2" s="1"/>
  <c r="AB1977" i="2" a="1"/>
  <c r="AB1977" i="2" s="1"/>
  <c r="AE1976" i="2" a="1"/>
  <c r="AE1976" i="2" s="1"/>
  <c r="AA1975" i="2" a="1"/>
  <c r="AA1975" i="2" s="1"/>
  <c r="X1974" i="2" a="1"/>
  <c r="X1974" i="2" s="1"/>
  <c r="AA1977" i="2" a="1"/>
  <c r="AA1977" i="2" s="1"/>
  <c r="Z1977" i="2" a="1"/>
  <c r="Z1977" i="2" s="1"/>
  <c r="X1977" i="2" a="1"/>
  <c r="X1977" i="2" s="1"/>
  <c r="W1977" i="2" a="1"/>
  <c r="W1977" i="2" s="1"/>
  <c r="AJ1976" i="2" a="1"/>
  <c r="AJ1976" i="2" s="1"/>
  <c r="AH1976" i="2" a="1"/>
  <c r="AH1976" i="2" s="1"/>
  <c r="Y1975" i="2" a="1"/>
  <c r="Y1975" i="2" s="1"/>
  <c r="AD1976" i="2" a="1"/>
  <c r="AD1976" i="2" s="1"/>
  <c r="AB1976" i="2" a="1"/>
  <c r="AB1976" i="2" s="1"/>
  <c r="AE1973" i="2" a="1"/>
  <c r="AE1973" i="2" s="1"/>
  <c r="Z1976" i="2" a="1"/>
  <c r="Z1976" i="2" s="1"/>
  <c r="AD1975" i="2" a="1"/>
  <c r="AD1975" i="2" s="1"/>
  <c r="AF1974" i="2" a="1"/>
  <c r="AF1974" i="2" s="1"/>
  <c r="Y1976" i="2" a="1"/>
  <c r="Y1976" i="2" s="1"/>
  <c r="Z1974" i="2" a="1"/>
  <c r="Z1974" i="2" s="1"/>
  <c r="W1976" i="2" a="1"/>
  <c r="W1976" i="2" s="1"/>
  <c r="AG1974" i="2" a="1"/>
  <c r="AG1974" i="2" s="1"/>
  <c r="AJ1975" i="2" a="1"/>
  <c r="AJ1975" i="2" s="1"/>
  <c r="AJ1973" i="2" a="1"/>
  <c r="AJ1973" i="2" s="1"/>
  <c r="AI1975" i="2" a="1"/>
  <c r="AI1975" i="2" s="1"/>
  <c r="AB1975" i="2" a="1"/>
  <c r="AB1975" i="2" s="1"/>
  <c r="AC1975" i="2" a="1"/>
  <c r="AC1975" i="2" s="1"/>
  <c r="W1975" i="2" a="1"/>
  <c r="W1975" i="2" s="1"/>
  <c r="AI1974" i="2" a="1"/>
  <c r="AI1974" i="2" s="1"/>
  <c r="AE1974" i="2" a="1"/>
  <c r="AE1974" i="2" s="1"/>
  <c r="W1974" i="2" a="1"/>
  <c r="W1974" i="2" s="1"/>
  <c r="AD1974" i="2" a="1"/>
  <c r="AD1974" i="2" s="1"/>
  <c r="AB1974" i="2" a="1"/>
  <c r="AB1974" i="2" s="1"/>
  <c r="Y1974" i="2" a="1"/>
  <c r="Y1974" i="2" s="1"/>
  <c r="AD1973" i="2" a="1"/>
  <c r="AD1973" i="2" s="1"/>
  <c r="X1976" i="2" a="1"/>
  <c r="X1976" i="2" s="1"/>
  <c r="AI1976" i="2" a="1"/>
  <c r="AI1976" i="2" s="1"/>
  <c r="AA1976" i="2" a="1"/>
  <c r="AA1976" i="2" s="1"/>
  <c r="AH1974" i="2" a="1"/>
  <c r="AH1974" i="2" s="1"/>
  <c r="AF1975" i="2" a="1"/>
  <c r="AF1975" i="2" s="1"/>
  <c r="AE1975" i="2" a="1"/>
  <c r="AE1975" i="2" s="1"/>
  <c r="AH1975" i="2" a="1"/>
  <c r="AH1975" i="2" s="1"/>
  <c r="AG1975" i="2" a="1"/>
  <c r="AG1975" i="2" s="1"/>
  <c r="X1975" i="2" a="1"/>
  <c r="X1975" i="2" s="1"/>
  <c r="AF1973" i="2" a="1"/>
  <c r="AF1973" i="2" s="1"/>
  <c r="AC1974" i="2" a="1"/>
  <c r="AC1974" i="2" s="1"/>
  <c r="AI1973" i="2" a="1"/>
  <c r="AI1973" i="2" s="1"/>
  <c r="AH1973" i="2" a="1"/>
  <c r="AH1973" i="2" s="1"/>
  <c r="AJ1974" i="2" a="1"/>
  <c r="AJ1974" i="2" s="1"/>
  <c r="AF1977" i="2" a="1"/>
  <c r="AF1977" i="2" s="1"/>
  <c r="AG1971" i="2" a="1"/>
  <c r="AG1971" i="2" s="1"/>
  <c r="AJ1970" i="2" a="1"/>
  <c r="AJ1970" i="2" s="1"/>
  <c r="AH2086" i="2" a="1"/>
  <c r="AH2086" i="2" s="1"/>
  <c r="AJ1968" i="2" a="1"/>
  <c r="AJ1968" i="2" s="1"/>
  <c r="AA1973" i="2" a="1"/>
  <c r="AA1973" i="2" s="1"/>
  <c r="AI1972" i="2" a="1"/>
  <c r="AI1972" i="2" s="1"/>
  <c r="Z1972" i="2" a="1"/>
  <c r="Z1972" i="2" s="1"/>
  <c r="AA1970" i="2" a="1"/>
  <c r="AA1970" i="2" s="1"/>
  <c r="W1970" i="2" a="1"/>
  <c r="W1970" i="2" s="1"/>
  <c r="AC1970" i="2" a="1"/>
  <c r="AC1970" i="2" s="1"/>
  <c r="W1969" i="2" a="1"/>
  <c r="W1969" i="2" s="1"/>
  <c r="Z1973" i="2" a="1"/>
  <c r="Z1973" i="2" s="1"/>
  <c r="AF1970" i="2" a="1"/>
  <c r="AF1970" i="2" s="1"/>
  <c r="AB1973" i="2" a="1"/>
  <c r="AB1973" i="2" s="1"/>
  <c r="AI1969" i="2" a="1"/>
  <c r="AI1969" i="2" s="1"/>
  <c r="X1973" i="2" a="1"/>
  <c r="X1973" i="2" s="1"/>
  <c r="W1973" i="2" a="1"/>
  <c r="W1973" i="2" s="1"/>
  <c r="X1972" i="2" a="1"/>
  <c r="X1972" i="2" s="1"/>
  <c r="AD1972" i="2" a="1"/>
  <c r="AD1972" i="2" s="1"/>
  <c r="AE1971" i="2" a="1"/>
  <c r="AE1971" i="2" s="1"/>
  <c r="AD1971" i="2" a="1"/>
  <c r="AD1971" i="2" s="1"/>
  <c r="AA1969" i="2" a="1"/>
  <c r="AA1969" i="2" s="1"/>
  <c r="AE1970" i="2" a="1"/>
  <c r="AE1970" i="2" s="1"/>
  <c r="Y1972" i="2" a="1"/>
  <c r="Y1972" i="2" s="1"/>
  <c r="AH1970" i="2" a="1"/>
  <c r="AH1970" i="2" s="1"/>
  <c r="Z1970" i="2" a="1"/>
  <c r="Z1970" i="2" s="1"/>
  <c r="Y1973" i="2" a="1"/>
  <c r="Y1973" i="2" s="1"/>
  <c r="AH1972" i="2" a="1"/>
  <c r="AH1972" i="2" s="1"/>
  <c r="AJ1971" i="2" a="1"/>
  <c r="AJ1971" i="2" s="1"/>
  <c r="X1969" i="2" a="1"/>
  <c r="X1969" i="2" s="1"/>
  <c r="Z1971" i="2" a="1"/>
  <c r="Z1971" i="2" s="1"/>
  <c r="X1971" i="2" a="1"/>
  <c r="X1971" i="2" s="1"/>
  <c r="AH1969" i="2" a="1"/>
  <c r="AH1969" i="2" s="1"/>
  <c r="AJ1972" i="2" a="1"/>
  <c r="AJ1972" i="2" s="1"/>
  <c r="Y1970" i="2" a="1"/>
  <c r="Y1970" i="2" s="1"/>
  <c r="AG1972" i="2" a="1"/>
  <c r="AG1972" i="2" s="1"/>
  <c r="AF1972" i="2" a="1"/>
  <c r="AF1972" i="2" s="1"/>
  <c r="W1971" i="2" a="1"/>
  <c r="W1971" i="2" s="1"/>
  <c r="AE1972" i="2" a="1"/>
  <c r="AE1972" i="2" s="1"/>
  <c r="AC1972" i="2" a="1"/>
  <c r="AC1972" i="2" s="1"/>
  <c r="AF1971" i="2" a="1"/>
  <c r="AF1971" i="2" s="1"/>
  <c r="AB1971" i="2" a="1"/>
  <c r="AB1971" i="2" s="1"/>
  <c r="AE1969" i="2" a="1"/>
  <c r="AE1969" i="2" s="1"/>
  <c r="AF1969" i="2" a="1"/>
  <c r="AF1969" i="2" s="1"/>
  <c r="Z1969" i="2" a="1"/>
  <c r="Z1969" i="2" s="1"/>
  <c r="AC1969" i="2" a="1"/>
  <c r="AC1969" i="2" s="1"/>
  <c r="AB1969" i="2" a="1"/>
  <c r="AB1969" i="2" s="1"/>
  <c r="AD1970" i="2" a="1"/>
  <c r="AD1970" i="2" s="1"/>
  <c r="AC1971" i="2" a="1"/>
  <c r="AC1971" i="2" s="1"/>
  <c r="AG1970" i="2" a="1"/>
  <c r="AG1970" i="2" s="1"/>
  <c r="AB1972" i="2" a="1"/>
  <c r="AB1972" i="2" s="1"/>
  <c r="AA1972" i="2" a="1"/>
  <c r="AA1972" i="2" s="1"/>
  <c r="W1972" i="2" a="1"/>
  <c r="W1972" i="2" s="1"/>
  <c r="Y1971" i="2" a="1"/>
  <c r="Y1971" i="2" s="1"/>
  <c r="AI1971" i="2" a="1"/>
  <c r="AI1971" i="2" s="1"/>
  <c r="AD1969" i="2" a="1"/>
  <c r="AD1969" i="2" s="1"/>
  <c r="AH1971" i="2" a="1"/>
  <c r="AH1971" i="2" s="1"/>
  <c r="AA1971" i="2" a="1"/>
  <c r="AA1971" i="2" s="1"/>
  <c r="AI1970" i="2" a="1"/>
  <c r="AI1970" i="2" s="1"/>
  <c r="AB1970" i="2" a="1"/>
  <c r="AB1970" i="2" s="1"/>
  <c r="AJ1969" i="2" a="1"/>
  <c r="AJ1969" i="2" s="1"/>
  <c r="X1970" i="2" a="1"/>
  <c r="X1970" i="2" s="1"/>
  <c r="Y1969" i="2" a="1"/>
  <c r="Y1969" i="2" s="1"/>
  <c r="AG1969" i="2" a="1"/>
  <c r="AG1969" i="2" s="1"/>
  <c r="Y1967" i="2" a="1"/>
  <c r="Y1967" i="2" s="1"/>
  <c r="W1967" i="2" a="1"/>
  <c r="W1967" i="2" s="1"/>
  <c r="AJ1966" i="2" a="1"/>
  <c r="AJ1966" i="2" s="1"/>
  <c r="AH1966" i="2" a="1"/>
  <c r="AH1966" i="2" s="1"/>
  <c r="AA1966" i="2" a="1"/>
  <c r="AA1966" i="2" s="1"/>
  <c r="AA1965" i="2" a="1"/>
  <c r="AA1965" i="2" s="1"/>
  <c r="AF1964" i="2" a="1"/>
  <c r="AF1964" i="2" s="1"/>
  <c r="AC1966" i="2" a="1"/>
  <c r="AC1966" i="2" s="1"/>
  <c r="AE1965" i="2" a="1"/>
  <c r="AE1965" i="2" s="1"/>
  <c r="W1965" i="2" a="1"/>
  <c r="W1965" i="2" s="1"/>
  <c r="AD1965" i="2" a="1"/>
  <c r="AD1965" i="2" s="1"/>
  <c r="Y1965" i="2" a="1"/>
  <c r="Y1965" i="2" s="1"/>
  <c r="AC1964" i="2" a="1"/>
  <c r="AC1964" i="2" s="1"/>
  <c r="AI1966" i="2" a="1"/>
  <c r="AI1966" i="2" s="1"/>
  <c r="AB1966" i="2" a="1"/>
  <c r="AB1966" i="2" s="1"/>
  <c r="AB1967" i="2" a="1"/>
  <c r="AB1967" i="2" s="1"/>
  <c r="AC1965" i="2" a="1"/>
  <c r="AC1965" i="2" s="1"/>
  <c r="AD1964" i="2" a="1"/>
  <c r="AD1964" i="2" s="1"/>
  <c r="AG2085" i="2" a="1"/>
  <c r="AG2085" i="2" s="1"/>
  <c r="AI1968" i="2" a="1"/>
  <c r="AI1968" i="2" s="1"/>
  <c r="AH1968" i="2" a="1"/>
  <c r="AH1968" i="2" s="1"/>
  <c r="AG1968" i="2" a="1"/>
  <c r="AG1968" i="2" s="1"/>
  <c r="X1965" i="2" a="1"/>
  <c r="X1965" i="2" s="1"/>
  <c r="AE1964" i="2" a="1"/>
  <c r="AE1964" i="2" s="1"/>
  <c r="AF1968" i="2" a="1"/>
  <c r="AF1968" i="2" s="1"/>
  <c r="AE1968" i="2" a="1"/>
  <c r="AE1968" i="2" s="1"/>
  <c r="AC1968" i="2" a="1"/>
  <c r="AC1968" i="2" s="1"/>
  <c r="Z1967" i="2" a="1"/>
  <c r="Z1967" i="2" s="1"/>
  <c r="AI1964" i="2" a="1"/>
  <c r="AI1964" i="2" s="1"/>
  <c r="AD1966" i="2" a="1"/>
  <c r="AD1966" i="2" s="1"/>
  <c r="AB1965" i="2" a="1"/>
  <c r="AB1965" i="2" s="1"/>
  <c r="Y1968" i="2" a="1"/>
  <c r="Y1968" i="2" s="1"/>
  <c r="AG1966" i="2" a="1"/>
  <c r="AG1966" i="2" s="1"/>
  <c r="AJ1964" i="2" a="1"/>
  <c r="AJ1964" i="2" s="1"/>
  <c r="Z1966" i="2" a="1"/>
  <c r="Z1966" i="2" s="1"/>
  <c r="AF1965" i="2" a="1"/>
  <c r="AF1965" i="2" s="1"/>
  <c r="AD1968" i="2" a="1"/>
  <c r="AD1968" i="2" s="1"/>
  <c r="AB1968" i="2" a="1"/>
  <c r="AB1968" i="2" s="1"/>
  <c r="W1968" i="2" a="1"/>
  <c r="W1968" i="2" s="1"/>
  <c r="AH1965" i="2" a="1"/>
  <c r="AH1965" i="2" s="1"/>
  <c r="AJ1967" i="2" a="1"/>
  <c r="AJ1967" i="2" s="1"/>
  <c r="AJ1965" i="2" a="1"/>
  <c r="AJ1965" i="2" s="1"/>
  <c r="AI1967" i="2" a="1"/>
  <c r="AI1967" i="2" s="1"/>
  <c r="AE1966" i="2" a="1"/>
  <c r="AE1966" i="2" s="1"/>
  <c r="AA1967" i="2" a="1"/>
  <c r="AA1967" i="2" s="1"/>
  <c r="AF1966" i="2" a="1"/>
  <c r="AF1966" i="2" s="1"/>
  <c r="Y1966" i="2" a="1"/>
  <c r="Y1966" i="2" s="1"/>
  <c r="AF1967" i="2" a="1"/>
  <c r="AF1967" i="2" s="1"/>
  <c r="Z1965" i="2" a="1"/>
  <c r="Z1965" i="2" s="1"/>
  <c r="AG1967" i="2" a="1"/>
  <c r="AG1967" i="2" s="1"/>
  <c r="AI1965" i="2" a="1"/>
  <c r="AI1965" i="2" s="1"/>
  <c r="AG1964" i="2" a="1"/>
  <c r="AG1964" i="2" s="1"/>
  <c r="AC1967" i="2" a="1"/>
  <c r="AC1967" i="2" s="1"/>
  <c r="AH1964" i="2" a="1"/>
  <c r="AH1964" i="2" s="1"/>
  <c r="X1966" i="2" a="1"/>
  <c r="X1966" i="2" s="1"/>
  <c r="AG1965" i="2" a="1"/>
  <c r="AG1965" i="2" s="1"/>
  <c r="AA1968" i="2" a="1"/>
  <c r="AA1968" i="2" s="1"/>
  <c r="Z1968" i="2" a="1"/>
  <c r="Z1968" i="2" s="1"/>
  <c r="W1966" i="2" a="1"/>
  <c r="W1966" i="2" s="1"/>
  <c r="X1968" i="2" a="1"/>
  <c r="X1968" i="2" s="1"/>
  <c r="X1967" i="2" a="1"/>
  <c r="X1967" i="2" s="1"/>
  <c r="AH1967" i="2" a="1"/>
  <c r="AH1967" i="2" s="1"/>
  <c r="AE1967" i="2" a="1"/>
  <c r="AE1967" i="2" s="1"/>
  <c r="AD1967" i="2" a="1"/>
  <c r="AD1967" i="2" s="1"/>
  <c r="Y1961" i="2" a="1"/>
  <c r="Y1961" i="2" s="1"/>
  <c r="AA2087" i="2" a="1"/>
  <c r="AA2087" i="2" s="1"/>
  <c r="X1964" i="2" a="1"/>
  <c r="X1964" i="2" s="1"/>
  <c r="AE1961" i="2" a="1"/>
  <c r="AE1961" i="2" s="1"/>
  <c r="Z1963" i="2" a="1"/>
  <c r="Z1963" i="2" s="1"/>
  <c r="AG1961" i="2" a="1"/>
  <c r="AG1961" i="2" s="1"/>
  <c r="AD1961" i="2" a="1"/>
  <c r="AD1961" i="2" s="1"/>
  <c r="AG1960" i="2" a="1"/>
  <c r="AG1960" i="2" s="1"/>
  <c r="Z1960" i="2" a="1"/>
  <c r="Z1960" i="2" s="1"/>
  <c r="Y1962" i="2" a="1"/>
  <c r="Y1962" i="2" s="1"/>
  <c r="AB1963" i="2" a="1"/>
  <c r="AB1963" i="2" s="1"/>
  <c r="AH1962" i="2" a="1"/>
  <c r="AH1962" i="2" s="1"/>
  <c r="AB1964" i="2" a="1"/>
  <c r="AB1964" i="2" s="1"/>
  <c r="AA1964" i="2" a="1"/>
  <c r="AA1964" i="2" s="1"/>
  <c r="AJ1962" i="2" a="1"/>
  <c r="AJ1962" i="2" s="1"/>
  <c r="AH1961" i="2" a="1"/>
  <c r="AH1961" i="2" s="1"/>
  <c r="AI1963" i="2" a="1"/>
  <c r="AI1963" i="2" s="1"/>
  <c r="AA1963" i="2" a="1"/>
  <c r="AA1963" i="2" s="1"/>
  <c r="AD1962" i="2" a="1"/>
  <c r="AD1962" i="2" s="1"/>
  <c r="AC1961" i="2" a="1"/>
  <c r="AC1961" i="2" s="1"/>
  <c r="W1961" i="2" a="1"/>
  <c r="W1961" i="2" s="1"/>
  <c r="AE1960" i="2" a="1"/>
  <c r="AE1960" i="2" s="1"/>
  <c r="AD1960" i="2" a="1"/>
  <c r="AD1960" i="2" s="1"/>
  <c r="AF1960" i="2" a="1"/>
  <c r="AF1960" i="2" s="1"/>
  <c r="Y1964" i="2" a="1"/>
  <c r="Y1964" i="2" s="1"/>
  <c r="AH1963" i="2" a="1"/>
  <c r="AH1963" i="2" s="1"/>
  <c r="AD1963" i="2" a="1"/>
  <c r="AD1963" i="2" s="1"/>
  <c r="AA1962" i="2" a="1"/>
  <c r="AA1962" i="2" s="1"/>
  <c r="X1961" i="2" a="1"/>
  <c r="X1961" i="2" s="1"/>
  <c r="AI1962" i="2" a="1"/>
  <c r="AI1962" i="2" s="1"/>
  <c r="Z1964" i="2" a="1"/>
  <c r="Z1964" i="2" s="1"/>
  <c r="AJ1963" i="2" a="1"/>
  <c r="AJ1963" i="2" s="1"/>
  <c r="AG1963" i="2" a="1"/>
  <c r="AG1963" i="2" s="1"/>
  <c r="Y1963" i="2" a="1"/>
  <c r="Y1963" i="2" s="1"/>
  <c r="AF1963" i="2" a="1"/>
  <c r="AF1963" i="2" s="1"/>
  <c r="AC1963" i="2" a="1"/>
  <c r="AC1963" i="2" s="1"/>
  <c r="AF1962" i="2" a="1"/>
  <c r="AF1962" i="2" s="1"/>
  <c r="AI1961" i="2" a="1"/>
  <c r="AI1961" i="2" s="1"/>
  <c r="AJ1959" i="2" a="1"/>
  <c r="AJ1959" i="2" s="1"/>
  <c r="AE1962" i="2" a="1"/>
  <c r="AE1962" i="2" s="1"/>
  <c r="Z1961" i="2" a="1"/>
  <c r="Z1961" i="2" s="1"/>
  <c r="W1960" i="2" a="1"/>
  <c r="W1960" i="2" s="1"/>
  <c r="AC1962" i="2" a="1"/>
  <c r="AC1962" i="2" s="1"/>
  <c r="AJ1961" i="2" a="1"/>
  <c r="AJ1961" i="2" s="1"/>
  <c r="AI1960" i="2" a="1"/>
  <c r="AI1960" i="2" s="1"/>
  <c r="AB1960" i="2" a="1"/>
  <c r="AB1960" i="2" s="1"/>
  <c r="AJ1960" i="2" a="1"/>
  <c r="AJ1960" i="2" s="1"/>
  <c r="X1960" i="2" a="1"/>
  <c r="X1960" i="2" s="1"/>
  <c r="AC1960" i="2" a="1"/>
  <c r="AC1960" i="2" s="1"/>
  <c r="W1964" i="2" a="1"/>
  <c r="W1964" i="2" s="1"/>
  <c r="Z1962" i="2" a="1"/>
  <c r="Z1962" i="2" s="1"/>
  <c r="AE1963" i="2" a="1"/>
  <c r="AE1963" i="2" s="1"/>
  <c r="X1962" i="2" a="1"/>
  <c r="X1962" i="2" s="1"/>
  <c r="X1963" i="2" a="1"/>
  <c r="X1963" i="2" s="1"/>
  <c r="W1963" i="2" a="1"/>
  <c r="W1963" i="2" s="1"/>
  <c r="AG1962" i="2" a="1"/>
  <c r="AG1962" i="2" s="1"/>
  <c r="AF1961" i="2" a="1"/>
  <c r="AF1961" i="2" s="1"/>
  <c r="W1962" i="2" a="1"/>
  <c r="W1962" i="2" s="1"/>
  <c r="Y1960" i="2" a="1"/>
  <c r="Y1960" i="2" s="1"/>
  <c r="AB1962" i="2" a="1"/>
  <c r="AB1962" i="2" s="1"/>
  <c r="AB1961" i="2" a="1"/>
  <c r="AB1961" i="2" s="1"/>
  <c r="AA1961" i="2" a="1"/>
  <c r="AA1961" i="2" s="1"/>
  <c r="AH1960" i="2" a="1"/>
  <c r="AH1960" i="2" s="1"/>
  <c r="AA1960" i="2" a="1"/>
  <c r="AA1960" i="2" s="1"/>
  <c r="AA1957" i="2" a="1"/>
  <c r="AA1957" i="2" s="1"/>
  <c r="AF1959" i="2" a="1"/>
  <c r="AF1959" i="2" s="1"/>
  <c r="AF1958" i="2" a="1"/>
  <c r="AF1958" i="2" s="1"/>
  <c r="Y1956" i="2" a="1"/>
  <c r="Y1956" i="2" s="1"/>
  <c r="AE1959" i="2" a="1"/>
  <c r="AE1959" i="2" s="1"/>
  <c r="X1959" i="2" a="1"/>
  <c r="X1959" i="2" s="1"/>
  <c r="AH1958" i="2" a="1"/>
  <c r="AH1958" i="2" s="1"/>
  <c r="AE1958" i="2" a="1"/>
  <c r="AE1958" i="2" s="1"/>
  <c r="AE1955" i="2" a="1"/>
  <c r="AE1955" i="2" s="1"/>
  <c r="Z1958" i="2" a="1"/>
  <c r="Z1958" i="2" s="1"/>
  <c r="AA1959" i="2" a="1"/>
  <c r="AA1959" i="2" s="1"/>
  <c r="Z1959" i="2" a="1"/>
  <c r="Z1959" i="2" s="1"/>
  <c r="AH1957" i="2" a="1"/>
  <c r="AH1957" i="2" s="1"/>
  <c r="W1959" i="2" a="1"/>
  <c r="W1959" i="2" s="1"/>
  <c r="AC1955" i="2" a="1"/>
  <c r="AC1955" i="2" s="1"/>
  <c r="AI1958" i="2" a="1"/>
  <c r="AI1958" i="2" s="1"/>
  <c r="AG1957" i="2" a="1"/>
  <c r="AG1957" i="2" s="1"/>
  <c r="W1957" i="2" a="1"/>
  <c r="W1957" i="2" s="1"/>
  <c r="Z1956" i="2" a="1"/>
  <c r="Z1956" i="2" s="1"/>
  <c r="AF1955" i="2" a="1"/>
  <c r="AF1955" i="2" s="1"/>
  <c r="AI1956" i="2" a="1"/>
  <c r="AI1956" i="2" s="1"/>
  <c r="AE1957" i="2" a="1"/>
  <c r="AE1957" i="2" s="1"/>
  <c r="X1957" i="2" a="1"/>
  <c r="X1957" i="2" s="1"/>
  <c r="W1958" i="2" a="1"/>
  <c r="W1958" i="2" s="1"/>
  <c r="AJ1957" i="2" a="1"/>
  <c r="AJ1957" i="2" s="1"/>
  <c r="X1956" i="2" a="1"/>
  <c r="X1956" i="2" s="1"/>
  <c r="AH1956" i="2" a="1"/>
  <c r="AH1956" i="2" s="1"/>
  <c r="AB1958" i="2" a="1"/>
  <c r="AB1958" i="2" s="1"/>
  <c r="Z1957" i="2" a="1"/>
  <c r="Z1957" i="2" s="1"/>
  <c r="AF1956" i="2" a="1"/>
  <c r="AF1956" i="2" s="1"/>
  <c r="AJ1955" i="2" a="1"/>
  <c r="AJ1955" i="2" s="1"/>
  <c r="AF2085" i="2" a="1"/>
  <c r="AF2085" i="2" s="1"/>
  <c r="AI1959" i="2" a="1"/>
  <c r="AI1959" i="2" s="1"/>
  <c r="AG1959" i="2" a="1"/>
  <c r="AG1959" i="2" s="1"/>
  <c r="AJ1958" i="2" a="1"/>
  <c r="AJ1958" i="2" s="1"/>
  <c r="AB1959" i="2" a="1"/>
  <c r="AB1959" i="2" s="1"/>
  <c r="AG1955" i="2" a="1"/>
  <c r="AG1955" i="2" s="1"/>
  <c r="AC1959" i="2" a="1"/>
  <c r="AC1959" i="2" s="1"/>
  <c r="AB1957" i="2" a="1"/>
  <c r="AB1957" i="2" s="1"/>
  <c r="AA1956" i="2" a="1"/>
  <c r="AA1956" i="2" s="1"/>
  <c r="AE1956" i="2" a="1"/>
  <c r="AE1956" i="2" s="1"/>
  <c r="AD1958" i="2" a="1"/>
  <c r="AD1958" i="2" s="1"/>
  <c r="AB1956" i="2" a="1"/>
  <c r="AB1956" i="2" s="1"/>
  <c r="AI1957" i="2" a="1"/>
  <c r="AI1957" i="2" s="1"/>
  <c r="AJ1956" i="2" a="1"/>
  <c r="AJ1956" i="2" s="1"/>
  <c r="AD1955" i="2" a="1"/>
  <c r="AD1955" i="2" s="1"/>
  <c r="AH1955" i="2" a="1"/>
  <c r="AH1955" i="2" s="1"/>
  <c r="AF1957" i="2" a="1"/>
  <c r="AF1957" i="2" s="1"/>
  <c r="AC1956" i="2" a="1"/>
  <c r="AC1956" i="2" s="1"/>
  <c r="AD1956" i="2" a="1"/>
  <c r="AD1956" i="2" s="1"/>
  <c r="AA1958" i="2" a="1"/>
  <c r="AA1958" i="2" s="1"/>
  <c r="AG1958" i="2" a="1"/>
  <c r="AG1958" i="2" s="1"/>
  <c r="Y1958" i="2" a="1"/>
  <c r="Y1958" i="2" s="1"/>
  <c r="AC1958" i="2" a="1"/>
  <c r="AC1958" i="2" s="1"/>
  <c r="X1958" i="2" a="1"/>
  <c r="X1958" i="2" s="1"/>
  <c r="Y1957" i="2" a="1"/>
  <c r="Y1957" i="2" s="1"/>
  <c r="AG1956" i="2" a="1"/>
  <c r="AG1956" i="2" s="1"/>
  <c r="W1956" i="2" a="1"/>
  <c r="W1956" i="2" s="1"/>
  <c r="AH1959" i="2" a="1"/>
  <c r="AH1959" i="2" s="1"/>
  <c r="AD1959" i="2" a="1"/>
  <c r="AD1959" i="2" s="1"/>
  <c r="AD1957" i="2" a="1"/>
  <c r="AD1957" i="2" s="1"/>
  <c r="Y1959" i="2" a="1"/>
  <c r="Y1959" i="2" s="1"/>
  <c r="AI1955" i="2" a="1"/>
  <c r="AI1955" i="2" s="1"/>
  <c r="AC1957" i="2" a="1"/>
  <c r="AC1957" i="2" s="1"/>
  <c r="AJ1951" i="2" a="1"/>
  <c r="AJ1951" i="2" s="1"/>
  <c r="AB1955" i="2" a="1"/>
  <c r="AB1955" i="2" s="1"/>
  <c r="AH1954" i="2" a="1"/>
  <c r="AH1954" i="2" s="1"/>
  <c r="AC1954" i="2" a="1"/>
  <c r="AC1954" i="2" s="1"/>
  <c r="W1951" i="2" a="1"/>
  <c r="W1951" i="2" s="1"/>
  <c r="AD1954" i="2" a="1"/>
  <c r="AD1954" i="2" s="1"/>
  <c r="AH1953" i="2" a="1"/>
  <c r="AH1953" i="2" s="1"/>
  <c r="AF1952" i="2" a="1"/>
  <c r="AF1952" i="2" s="1"/>
  <c r="AB1952" i="2" a="1"/>
  <c r="AB1952" i="2" s="1"/>
  <c r="Z1952" i="2" a="1"/>
  <c r="Z1952" i="2" s="1"/>
  <c r="AE1952" i="2" a="1"/>
  <c r="AE1952" i="2" s="1"/>
  <c r="Y1953" i="2" a="1"/>
  <c r="Y1953" i="2" s="1"/>
  <c r="AI1952" i="2" a="1"/>
  <c r="AI1952" i="2" s="1"/>
  <c r="X1951" i="2" a="1"/>
  <c r="X1951" i="2" s="1"/>
  <c r="AG2086" i="2" a="1"/>
  <c r="AG2086" i="2" s="1"/>
  <c r="AA1953" i="2" a="1"/>
  <c r="AA1953" i="2" s="1"/>
  <c r="AA1954" i="2" a="1"/>
  <c r="AA1954" i="2" s="1"/>
  <c r="AA1951" i="2" a="1"/>
  <c r="AA1951" i="2" s="1"/>
  <c r="Z1951" i="2" a="1"/>
  <c r="Z1951" i="2" s="1"/>
  <c r="AJ1954" i="2" a="1"/>
  <c r="AJ1954" i="2" s="1"/>
  <c r="AG1954" i="2" a="1"/>
  <c r="AG1954" i="2" s="1"/>
  <c r="AH1952" i="2" a="1"/>
  <c r="AH1952" i="2" s="1"/>
  <c r="AB1951" i="2" a="1"/>
  <c r="AB1951" i="2" s="1"/>
  <c r="AC1953" i="2" a="1"/>
  <c r="AC1953" i="2" s="1"/>
  <c r="AH1951" i="2" a="1"/>
  <c r="AH1951" i="2" s="1"/>
  <c r="AF1954" i="2" a="1"/>
  <c r="AF1954" i="2" s="1"/>
  <c r="AI1951" i="2" a="1"/>
  <c r="AI1951" i="2" s="1"/>
  <c r="AA1955" i="2" a="1"/>
  <c r="AA1955" i="2" s="1"/>
  <c r="W1954" i="2" a="1"/>
  <c r="W1954" i="2" s="1"/>
  <c r="Z1953" i="2" a="1"/>
  <c r="Z1953" i="2" s="1"/>
  <c r="Z1955" i="2" a="1"/>
  <c r="Z1955" i="2" s="1"/>
  <c r="Y1955" i="2" a="1"/>
  <c r="Y1955" i="2" s="1"/>
  <c r="AD1953" i="2" a="1"/>
  <c r="AD1953" i="2" s="1"/>
  <c r="Y1951" i="2" a="1"/>
  <c r="Y1951" i="2" s="1"/>
  <c r="AD1952" i="2" a="1"/>
  <c r="AD1952" i="2" s="1"/>
  <c r="Y1952" i="2" a="1"/>
  <c r="Y1952" i="2" s="1"/>
  <c r="X1955" i="2" a="1"/>
  <c r="X1955" i="2" s="1"/>
  <c r="W1955" i="2" a="1"/>
  <c r="W1955" i="2" s="1"/>
  <c r="AE1953" i="2" a="1"/>
  <c r="AE1953" i="2" s="1"/>
  <c r="AD1951" i="2" a="1"/>
  <c r="AD1951" i="2" s="1"/>
  <c r="X1953" i="2" a="1"/>
  <c r="X1953" i="2" s="1"/>
  <c r="AF1951" i="2" a="1"/>
  <c r="AF1951" i="2" s="1"/>
  <c r="AI1954" i="2" a="1"/>
  <c r="AI1954" i="2" s="1"/>
  <c r="Z1954" i="2" a="1"/>
  <c r="Z1954" i="2" s="1"/>
  <c r="AB1954" i="2" a="1"/>
  <c r="AB1954" i="2" s="1"/>
  <c r="AI1953" i="2" a="1"/>
  <c r="AI1953" i="2" s="1"/>
  <c r="AJ1952" i="2" a="1"/>
  <c r="AJ1952" i="2" s="1"/>
  <c r="AG1952" i="2" a="1"/>
  <c r="AG1952" i="2" s="1"/>
  <c r="W1952" i="2" a="1"/>
  <c r="W1952" i="2" s="1"/>
  <c r="AG1951" i="2" a="1"/>
  <c r="AG1951" i="2" s="1"/>
  <c r="X1954" i="2" a="1"/>
  <c r="X1954" i="2" s="1"/>
  <c r="AE1951" i="2" a="1"/>
  <c r="AE1951" i="2" s="1"/>
  <c r="AJ1953" i="2" a="1"/>
  <c r="AJ1953" i="2" s="1"/>
  <c r="AB1953" i="2" a="1"/>
  <c r="AB1953" i="2" s="1"/>
  <c r="W1953" i="2" a="1"/>
  <c r="W1953" i="2" s="1"/>
  <c r="AC1951" i="2" a="1"/>
  <c r="AC1951" i="2" s="1"/>
  <c r="X1952" i="2" a="1"/>
  <c r="X1952" i="2" s="1"/>
  <c r="AJ1950" i="2" a="1"/>
  <c r="AJ1950" i="2" s="1"/>
  <c r="AE1954" i="2" a="1"/>
  <c r="AE1954" i="2" s="1"/>
  <c r="AF1953" i="2" a="1"/>
  <c r="AF1953" i="2" s="1"/>
  <c r="AG1953" i="2" a="1"/>
  <c r="AG1953" i="2" s="1"/>
  <c r="Y1954" i="2" a="1"/>
  <c r="Y1954" i="2" s="1"/>
  <c r="AC1952" i="2" a="1"/>
  <c r="AC1952" i="2" s="1"/>
  <c r="AA1952" i="2" a="1"/>
  <c r="AA1952" i="2" s="1"/>
  <c r="AD1950" i="2" a="1"/>
  <c r="AD1950" i="2" s="1"/>
  <c r="AF1950" i="2" a="1"/>
  <c r="AF1950" i="2" s="1"/>
  <c r="AB1950" i="2" a="1"/>
  <c r="AB1950" i="2" s="1"/>
  <c r="AH1946" i="2" a="1"/>
  <c r="AH1946" i="2" s="1"/>
  <c r="AE1950" i="2" a="1"/>
  <c r="AE1950" i="2" s="1"/>
  <c r="AD1947" i="2" a="1"/>
  <c r="AD1947" i="2" s="1"/>
  <c r="AJ1946" i="2" a="1"/>
  <c r="AJ1946" i="2" s="1"/>
  <c r="AG1946" i="2" a="1"/>
  <c r="AG1946" i="2" s="1"/>
  <c r="AC1950" i="2" a="1"/>
  <c r="AC1950" i="2" s="1"/>
  <c r="AA1950" i="2" a="1"/>
  <c r="AA1950" i="2" s="1"/>
  <c r="Z1950" i="2" a="1"/>
  <c r="Z1950" i="2" s="1"/>
  <c r="AJ1949" i="2" a="1"/>
  <c r="AJ1949" i="2" s="1"/>
  <c r="AB1949" i="2" a="1"/>
  <c r="AB1949" i="2" s="1"/>
  <c r="AH1948" i="2" a="1"/>
  <c r="AH1948" i="2" s="1"/>
  <c r="AF1948" i="2" a="1"/>
  <c r="AF1948" i="2" s="1"/>
  <c r="Y1950" i="2" a="1"/>
  <c r="Y1950" i="2" s="1"/>
  <c r="X1950" i="2" a="1"/>
  <c r="X1950" i="2" s="1"/>
  <c r="W1950" i="2" a="1"/>
  <c r="W1950" i="2" s="1"/>
  <c r="AI1949" i="2" a="1"/>
  <c r="AI1949" i="2" s="1"/>
  <c r="AE1946" i="2" a="1"/>
  <c r="AE1946" i="2" s="1"/>
  <c r="AG1949" i="2" a="1"/>
  <c r="AG1949" i="2" s="1"/>
  <c r="Z1948" i="2" a="1"/>
  <c r="Z1948" i="2" s="1"/>
  <c r="Y1947" i="2" a="1"/>
  <c r="Y1947" i="2" s="1"/>
  <c r="AD1949" i="2" a="1"/>
  <c r="AD1949" i="2" s="1"/>
  <c r="Z1947" i="2" a="1"/>
  <c r="Z1947" i="2" s="1"/>
  <c r="AH1949" i="2" a="1"/>
  <c r="AH1949" i="2" s="1"/>
  <c r="AF1949" i="2" a="1"/>
  <c r="AF1949" i="2" s="1"/>
  <c r="AE1949" i="2" a="1"/>
  <c r="AE1949" i="2" s="1"/>
  <c r="AJ1948" i="2" a="1"/>
  <c r="AJ1948" i="2" s="1"/>
  <c r="Y1948" i="2" a="1"/>
  <c r="Y1948" i="2" s="1"/>
  <c r="X1947" i="2" a="1"/>
  <c r="X1947" i="2" s="1"/>
  <c r="AI1948" i="2" a="1"/>
  <c r="AI1948" i="2" s="1"/>
  <c r="AC1947" i="2" a="1"/>
  <c r="AC1947" i="2" s="1"/>
  <c r="AI1947" i="2" a="1"/>
  <c r="AI1947" i="2" s="1"/>
  <c r="AD1948" i="2" a="1"/>
  <c r="AD1948" i="2" s="1"/>
  <c r="X1948" i="2" a="1"/>
  <c r="X1948" i="2" s="1"/>
  <c r="AB1947" i="2" a="1"/>
  <c r="AB1947" i="2" s="1"/>
  <c r="W1947" i="2" a="1"/>
  <c r="W1947" i="2" s="1"/>
  <c r="Z1949" i="2" a="1"/>
  <c r="Z1949" i="2" s="1"/>
  <c r="Y1949" i="2" a="1"/>
  <c r="Y1949" i="2" s="1"/>
  <c r="AC1948" i="2" a="1"/>
  <c r="AC1948" i="2" s="1"/>
  <c r="AB1948" i="2" a="1"/>
  <c r="AB1948" i="2" s="1"/>
  <c r="W1948" i="2" a="1"/>
  <c r="W1948" i="2" s="1"/>
  <c r="AC1946" i="2" a="1"/>
  <c r="AC1946" i="2" s="1"/>
  <c r="AA1947" i="2" a="1"/>
  <c r="AA1947" i="2" s="1"/>
  <c r="AF1946" i="2" a="1"/>
  <c r="AF1946" i="2" s="1"/>
  <c r="AE1947" i="2" a="1"/>
  <c r="AE1947" i="2" s="1"/>
  <c r="AC1949" i="2" a="1"/>
  <c r="AC1949" i="2" s="1"/>
  <c r="X1949" i="2" a="1"/>
  <c r="X1949" i="2" s="1"/>
  <c r="AA1949" i="2" a="1"/>
  <c r="AA1949" i="2" s="1"/>
  <c r="W1949" i="2" a="1"/>
  <c r="W1949" i="2" s="1"/>
  <c r="AG1948" i="2" a="1"/>
  <c r="AG1948" i="2" s="1"/>
  <c r="AF1947" i="2" a="1"/>
  <c r="AF1947" i="2" s="1"/>
  <c r="AG1947" i="2" a="1"/>
  <c r="AG1947" i="2" s="1"/>
  <c r="AH1947" i="2" a="1"/>
  <c r="AH1947" i="2" s="1"/>
  <c r="AE1948" i="2" a="1"/>
  <c r="AE1948" i="2" s="1"/>
  <c r="AI1946" i="2" a="1"/>
  <c r="AI1946" i="2" s="1"/>
  <c r="AE2085" i="2" a="1"/>
  <c r="AE2085" i="2" s="1"/>
  <c r="AG1950" i="2" a="1"/>
  <c r="AG1950" i="2" s="1"/>
  <c r="AA1948" i="2" a="1"/>
  <c r="AA1948" i="2" s="1"/>
  <c r="AJ1947" i="2" a="1"/>
  <c r="AJ1947" i="2" s="1"/>
  <c r="AI1950" i="2" a="1"/>
  <c r="AI1950" i="2" s="1"/>
  <c r="AH1950" i="2" a="1"/>
  <c r="AH1950" i="2" s="1"/>
  <c r="AD1946" i="2" a="1"/>
  <c r="AD1946" i="2" s="1"/>
  <c r="AG1945" i="2" a="1"/>
  <c r="AG1945" i="2" s="1"/>
  <c r="AF1945" i="2" a="1"/>
  <c r="AF1945" i="2" s="1"/>
  <c r="AE1943" i="2" a="1"/>
  <c r="AE1943" i="2" s="1"/>
  <c r="X1943" i="2" a="1"/>
  <c r="X1943" i="2" s="1"/>
  <c r="AC1945" i="2" a="1"/>
  <c r="AC1945" i="2" s="1"/>
  <c r="AB1944" i="2" a="1"/>
  <c r="AB1944" i="2" s="1"/>
  <c r="AC1942" i="2" a="1"/>
  <c r="AC1942" i="2" s="1"/>
  <c r="AA1945" i="2" a="1"/>
  <c r="AA1945" i="2" s="1"/>
  <c r="AJ1944" i="2" a="1"/>
  <c r="AJ1944" i="2" s="1"/>
  <c r="AG1943" i="2" a="1"/>
  <c r="AG1943" i="2" s="1"/>
  <c r="Y1943" i="2" a="1"/>
  <c r="Y1943" i="2" s="1"/>
  <c r="AE1944" i="2" a="1"/>
  <c r="AE1944" i="2" s="1"/>
  <c r="Y1944" i="2" a="1"/>
  <c r="Y1944" i="2" s="1"/>
  <c r="W1944" i="2" a="1"/>
  <c r="W1944" i="2" s="1"/>
  <c r="AB1943" i="2" a="1"/>
  <c r="AB1943" i="2" s="1"/>
  <c r="AD1942" i="2" a="1"/>
  <c r="AD1942" i="2" s="1"/>
  <c r="AI1942" i="2" a="1"/>
  <c r="AI1942" i="2" s="1"/>
  <c r="AH1943" i="2" a="1"/>
  <c r="AH1943" i="2" s="1"/>
  <c r="Y1945" i="2" a="1"/>
  <c r="Y1945" i="2" s="1"/>
  <c r="AC1943" i="2" a="1"/>
  <c r="AC1943" i="2" s="1"/>
  <c r="AJ1942" i="2" a="1"/>
  <c r="AJ1942" i="2" s="1"/>
  <c r="W1942" i="2" a="1"/>
  <c r="W1942" i="2" s="1"/>
  <c r="Y1942" i="2" a="1"/>
  <c r="Y1942" i="2" s="1"/>
  <c r="AA1944" i="2" a="1"/>
  <c r="AA1944" i="2" s="1"/>
  <c r="AH1945" i="2" a="1"/>
  <c r="AH1945" i="2" s="1"/>
  <c r="AB1945" i="2" a="1"/>
  <c r="AB1945" i="2" s="1"/>
  <c r="Z1943" i="2" a="1"/>
  <c r="Z1943" i="2" s="1"/>
  <c r="AA1942" i="2" a="1"/>
  <c r="AA1942" i="2" s="1"/>
  <c r="Z1945" i="2" a="1"/>
  <c r="Z1945" i="2" s="1"/>
  <c r="W1945" i="2" a="1"/>
  <c r="W1945" i="2" s="1"/>
  <c r="X1942" i="2" a="1"/>
  <c r="X1942" i="2" s="1"/>
  <c r="AF1944" i="2" a="1"/>
  <c r="AF1944" i="2" s="1"/>
  <c r="AF1942" i="2" a="1"/>
  <c r="AF1942" i="2" s="1"/>
  <c r="AD1943" i="2" a="1"/>
  <c r="AD1943" i="2" s="1"/>
  <c r="W1943" i="2" a="1"/>
  <c r="W1943" i="2" s="1"/>
  <c r="AG1944" i="2" a="1"/>
  <c r="AG1944" i="2" s="1"/>
  <c r="AA1946" i="2" a="1"/>
  <c r="AA1946" i="2" s="1"/>
  <c r="AE1942" i="2" a="1"/>
  <c r="AE1942" i="2" s="1"/>
  <c r="Z1946" i="2" a="1"/>
  <c r="Z1946" i="2" s="1"/>
  <c r="Y1946" i="2" a="1"/>
  <c r="Y1946" i="2" s="1"/>
  <c r="AJ1945" i="2" a="1"/>
  <c r="AJ1945" i="2" s="1"/>
  <c r="X1945" i="2" a="1"/>
  <c r="X1945" i="2" s="1"/>
  <c r="AI1944" i="2" a="1"/>
  <c r="AI1944" i="2" s="1"/>
  <c r="AH1944" i="2" a="1"/>
  <c r="AH1944" i="2" s="1"/>
  <c r="AD1944" i="2" a="1"/>
  <c r="AD1944" i="2" s="1"/>
  <c r="AA1943" i="2" a="1"/>
  <c r="AA1943" i="2" s="1"/>
  <c r="AH1942" i="2" a="1"/>
  <c r="AH1942" i="2" s="1"/>
  <c r="AC1944" i="2" a="1"/>
  <c r="AC1944" i="2" s="1"/>
  <c r="AI1943" i="2" a="1"/>
  <c r="AI1943" i="2" s="1"/>
  <c r="Z1944" i="2" a="1"/>
  <c r="Z1944" i="2" s="1"/>
  <c r="X1944" i="2" a="1"/>
  <c r="X1944" i="2" s="1"/>
  <c r="AJ1943" i="2" a="1"/>
  <c r="AJ1943" i="2" s="1"/>
  <c r="AJ1941" i="2" a="1"/>
  <c r="AJ1941" i="2" s="1"/>
  <c r="AG1942" i="2" a="1"/>
  <c r="AG1942" i="2" s="1"/>
  <c r="Z1942" i="2" a="1"/>
  <c r="Z1942" i="2" s="1"/>
  <c r="AF1943" i="2" a="1"/>
  <c r="AF1943" i="2" s="1"/>
  <c r="AB1942" i="2" a="1"/>
  <c r="AB1942" i="2" s="1"/>
  <c r="AD1945" i="2" a="1"/>
  <c r="AD1945" i="2" s="1"/>
  <c r="AH2087" i="2" a="1"/>
  <c r="AH2087" i="2" s="1"/>
  <c r="AB1946" i="2" a="1"/>
  <c r="AB1946" i="2" s="1"/>
  <c r="AE1945" i="2" a="1"/>
  <c r="AE1945" i="2" s="1"/>
  <c r="X1946" i="2" a="1"/>
  <c r="X1946" i="2" s="1"/>
  <c r="W1946" i="2" a="1"/>
  <c r="W1946" i="2" s="1"/>
  <c r="AI1945" i="2" a="1"/>
  <c r="AI1945" i="2" s="1"/>
  <c r="AG1937" i="2" a="1"/>
  <c r="AG1937" i="2" s="1"/>
  <c r="AE1937" i="2" a="1"/>
  <c r="AE1937" i="2" s="1"/>
  <c r="Z1941" i="2" a="1"/>
  <c r="Z1941" i="2" s="1"/>
  <c r="X1941" i="2" a="1"/>
  <c r="X1941" i="2" s="1"/>
  <c r="AF1940" i="2" a="1"/>
  <c r="AF1940" i="2" s="1"/>
  <c r="AD1940" i="2" a="1"/>
  <c r="AD1940" i="2" s="1"/>
  <c r="AB1940" i="2" a="1"/>
  <c r="AB1940" i="2" s="1"/>
  <c r="AD1939" i="2" a="1"/>
  <c r="AD1939" i="2" s="1"/>
  <c r="AC1939" i="2" a="1"/>
  <c r="AC1939" i="2" s="1"/>
  <c r="AG1938" i="2" a="1"/>
  <c r="AG1938" i="2" s="1"/>
  <c r="AB1939" i="2" a="1"/>
  <c r="AB1939" i="2" s="1"/>
  <c r="AJ1939" i="2" a="1"/>
  <c r="AJ1939" i="2" s="1"/>
  <c r="AG1939" i="2" a="1"/>
  <c r="AG1939" i="2" s="1"/>
  <c r="W1941" i="2" a="1"/>
  <c r="W1941" i="2" s="1"/>
  <c r="AJ1940" i="2" a="1"/>
  <c r="AJ1940" i="2" s="1"/>
  <c r="AI1940" i="2" a="1"/>
  <c r="AI1940" i="2" s="1"/>
  <c r="AH1940" i="2" a="1"/>
  <c r="AH1940" i="2" s="1"/>
  <c r="AI1939" i="2" a="1"/>
  <c r="AI1939" i="2" s="1"/>
  <c r="AF1939" i="2" a="1"/>
  <c r="AF1939" i="2" s="1"/>
  <c r="Z1939" i="2" a="1"/>
  <c r="Z1939" i="2" s="1"/>
  <c r="X1939" i="2" a="1"/>
  <c r="X1939" i="2" s="1"/>
  <c r="AB1938" i="2" a="1"/>
  <c r="AB1938" i="2" s="1"/>
  <c r="W1938" i="2" a="1"/>
  <c r="W1938" i="2" s="1"/>
  <c r="X1940" i="2" a="1"/>
  <c r="X1940" i="2" s="1"/>
  <c r="AC1938" i="2" a="1"/>
  <c r="AC1938" i="2" s="1"/>
  <c r="Y1940" i="2" a="1"/>
  <c r="Y1940" i="2" s="1"/>
  <c r="AH1938" i="2" a="1"/>
  <c r="AH1938" i="2" s="1"/>
  <c r="AF1937" i="2" a="1"/>
  <c r="AF1937" i="2" s="1"/>
  <c r="AC1937" i="2" a="1"/>
  <c r="AC1937" i="2" s="1"/>
  <c r="Y1939" i="2" a="1"/>
  <c r="Y1939" i="2" s="1"/>
  <c r="AA1938" i="2" a="1"/>
  <c r="AA1938" i="2" s="1"/>
  <c r="AD2085" i="2" a="1"/>
  <c r="AD2085" i="2" s="1"/>
  <c r="AI1941" i="2" a="1"/>
  <c r="AI1941" i="2" s="1"/>
  <c r="AH1941" i="2" a="1"/>
  <c r="AH1941" i="2" s="1"/>
  <c r="AB1941" i="2" a="1"/>
  <c r="AB1941" i="2" s="1"/>
  <c r="AA1940" i="2" a="1"/>
  <c r="AA1940" i="2" s="1"/>
  <c r="AD1938" i="2" a="1"/>
  <c r="AD1938" i="2" s="1"/>
  <c r="Z1938" i="2" a="1"/>
  <c r="Z1938" i="2" s="1"/>
  <c r="AI1937" i="2" a="1"/>
  <c r="AI1937" i="2" s="1"/>
  <c r="AG1941" i="2" a="1"/>
  <c r="AG1941" i="2" s="1"/>
  <c r="AH1937" i="2" a="1"/>
  <c r="AH1937" i="2" s="1"/>
  <c r="AF1941" i="2" a="1"/>
  <c r="AF1941" i="2" s="1"/>
  <c r="AE1941" i="2" a="1"/>
  <c r="AE1941" i="2" s="1"/>
  <c r="Y1938" i="2" a="1"/>
  <c r="Y1938" i="2" s="1"/>
  <c r="AD1941" i="2" a="1"/>
  <c r="AD1941" i="2" s="1"/>
  <c r="AH1939" i="2" a="1"/>
  <c r="AH1939" i="2" s="1"/>
  <c r="AE1939" i="2" a="1"/>
  <c r="AE1939" i="2" s="1"/>
  <c r="AJ1938" i="2" a="1"/>
  <c r="AJ1938" i="2" s="1"/>
  <c r="AC1941" i="2" a="1"/>
  <c r="AC1941" i="2" s="1"/>
  <c r="W1940" i="2" a="1"/>
  <c r="W1940" i="2" s="1"/>
  <c r="AA1941" i="2" a="1"/>
  <c r="AA1941" i="2" s="1"/>
  <c r="Y1941" i="2" a="1"/>
  <c r="Y1941" i="2" s="1"/>
  <c r="W1939" i="2" a="1"/>
  <c r="W1939" i="2" s="1"/>
  <c r="AG1940" i="2" a="1"/>
  <c r="AG1940" i="2" s="1"/>
  <c r="AA1939" i="2" a="1"/>
  <c r="AA1939" i="2" s="1"/>
  <c r="Z1940" i="2" a="1"/>
  <c r="Z1940" i="2" s="1"/>
  <c r="AF1938" i="2" a="1"/>
  <c r="AF1938" i="2" s="1"/>
  <c r="AE1938" i="2" a="1"/>
  <c r="AE1938" i="2" s="1"/>
  <c r="AD1937" i="2" a="1"/>
  <c r="AD1937" i="2" s="1"/>
  <c r="X1938" i="2" a="1"/>
  <c r="X1938" i="2" s="1"/>
  <c r="AJ1937" i="2" a="1"/>
  <c r="AJ1937" i="2" s="1"/>
  <c r="AE1940" i="2" a="1"/>
  <c r="AE1940" i="2" s="1"/>
  <c r="AC1940" i="2" a="1"/>
  <c r="AC1940" i="2" s="1"/>
  <c r="AI1938" i="2" a="1"/>
  <c r="AI1938" i="2" s="1"/>
  <c r="Y2082" i="2" a="1"/>
  <c r="Y2082" i="2" s="1"/>
  <c r="W2081" i="2" a="1"/>
  <c r="W2081" i="2" s="1"/>
  <c r="AF2086" i="2" a="1"/>
  <c r="AF2086" i="2" s="1"/>
  <c r="AH2082" i="2" a="1"/>
  <c r="AH2082" i="2" s="1"/>
  <c r="AB2081" i="2" a="1"/>
  <c r="AB2081" i="2" s="1"/>
  <c r="AF2083" i="2" a="1"/>
  <c r="AF2083" i="2" s="1"/>
  <c r="AJ2081" i="2" a="1"/>
  <c r="AJ2081" i="2" s="1"/>
  <c r="AC2085" i="2" a="1"/>
  <c r="AC2085" i="2" s="1"/>
  <c r="Y2085" i="2" a="1"/>
  <c r="Y2085" i="2" s="1"/>
  <c r="AH2084" i="2" a="1"/>
  <c r="AH2084" i="2" s="1"/>
  <c r="X2083" i="2" a="1"/>
  <c r="X2083" i="2" s="1"/>
  <c r="W2085" i="2" a="1"/>
  <c r="W2085" i="2" s="1"/>
  <c r="AJ2084" i="2" a="1"/>
  <c r="AJ2084" i="2" s="1"/>
  <c r="AC2081" i="2" a="1"/>
  <c r="AC2081" i="2" s="1"/>
  <c r="AA2084" i="2" a="1"/>
  <c r="AA2084" i="2" s="1"/>
  <c r="Z2081" i="2" a="1"/>
  <c r="Z2081" i="2" s="1"/>
  <c r="AD2083" i="2" a="1"/>
  <c r="AD2083" i="2" s="1"/>
  <c r="AH2081" i="2" a="1"/>
  <c r="AH2081" i="2" s="1"/>
  <c r="AA2081" i="2" a="1"/>
  <c r="AA2081" i="2" s="1"/>
  <c r="AE2083" i="2" a="1"/>
  <c r="AE2083" i="2" s="1"/>
  <c r="AC2083" i="2" a="1"/>
  <c r="AC2083" i="2" s="1"/>
  <c r="AA2083" i="2" a="1"/>
  <c r="AA2083" i="2" s="1"/>
  <c r="AI2081" i="2" a="1"/>
  <c r="AI2081" i="2" s="1"/>
  <c r="X2081" i="2" a="1"/>
  <c r="X2081" i="2" s="1"/>
  <c r="AF2082" i="2" a="1"/>
  <c r="AF2082" i="2" s="1"/>
  <c r="AE2081" i="2" a="1"/>
  <c r="AE2081" i="2" s="1"/>
  <c r="AG2082" i="2" a="1"/>
  <c r="AG2082" i="2" s="1"/>
  <c r="AF2084" i="2" a="1"/>
  <c r="AF2084" i="2" s="1"/>
  <c r="AJ2083" i="2" a="1"/>
  <c r="AJ2083" i="2" s="1"/>
  <c r="AB2085" i="2" a="1"/>
  <c r="AB2085" i="2" s="1"/>
  <c r="AB2083" i="2" a="1"/>
  <c r="AB2083" i="2" s="1"/>
  <c r="AA2085" i="2" a="1"/>
  <c r="AA2085" i="2" s="1"/>
  <c r="AG2084" i="2" a="1"/>
  <c r="AG2084" i="2" s="1"/>
  <c r="AD2082" i="2" a="1"/>
  <c r="AD2082" i="2" s="1"/>
  <c r="AC2082" i="2" a="1"/>
  <c r="AC2082" i="2" s="1"/>
  <c r="Z2085" i="2" a="1"/>
  <c r="Z2085" i="2" s="1"/>
  <c r="AB2084" i="2" a="1"/>
  <c r="AB2084" i="2" s="1"/>
  <c r="X2085" i="2" a="1"/>
  <c r="X2085" i="2" s="1"/>
  <c r="AF2081" i="2" a="1"/>
  <c r="AF2081" i="2" s="1"/>
  <c r="AI2084" i="2" a="1"/>
  <c r="AI2084" i="2" s="1"/>
  <c r="X2084" i="2" a="1"/>
  <c r="X2084" i="2" s="1"/>
  <c r="AG2081" i="2" a="1"/>
  <c r="AG2081" i="2" s="1"/>
  <c r="AC2084" i="2" a="1"/>
  <c r="AC2084" i="2" s="1"/>
  <c r="AB2082" i="2" a="1"/>
  <c r="AB2082" i="2" s="1"/>
  <c r="AI2082" i="2" a="1"/>
  <c r="AI2082" i="2" s="1"/>
  <c r="Y2083" i="2" a="1"/>
  <c r="Y2083" i="2" s="1"/>
  <c r="W2083" i="2" a="1"/>
  <c r="W2083" i="2" s="1"/>
  <c r="Z2082" i="2" a="1"/>
  <c r="Z2082" i="2" s="1"/>
  <c r="AE2084" i="2" a="1"/>
  <c r="AE2084" i="2" s="1"/>
  <c r="AH2083" i="2" a="1"/>
  <c r="AH2083" i="2" s="1"/>
  <c r="AG2083" i="2" a="1"/>
  <c r="AG2083" i="2" s="1"/>
  <c r="W2082" i="2" a="1"/>
  <c r="W2082" i="2" s="1"/>
  <c r="Z2083" i="2" a="1"/>
  <c r="Z2083" i="2" s="1"/>
  <c r="X2082" i="2" a="1"/>
  <c r="X2082" i="2" s="1"/>
  <c r="AD2084" i="2" a="1"/>
  <c r="AD2084" i="2" s="1"/>
  <c r="Z2084" i="2" a="1"/>
  <c r="Z2084" i="2" s="1"/>
  <c r="Y2084" i="2" a="1"/>
  <c r="Y2084" i="2" s="1"/>
  <c r="AJ2082" i="2" a="1"/>
  <c r="AJ2082" i="2" s="1"/>
  <c r="AA2082" i="2" a="1"/>
  <c r="AA2082" i="2" s="1"/>
  <c r="Y2081" i="2" a="1"/>
  <c r="Y2081" i="2" s="1"/>
  <c r="AE2082" i="2" a="1"/>
  <c r="AE2082" i="2" s="1"/>
  <c r="W2084" i="2" a="1"/>
  <c r="W2084" i="2" s="1"/>
  <c r="AI2083" i="2" a="1"/>
  <c r="AI2083" i="2" s="1"/>
  <c r="AD2081" i="2" a="1"/>
  <c r="AD2081" i="2" s="1"/>
  <c r="AA1930" i="2" a="1"/>
  <c r="AA1930" i="2" s="1"/>
  <c r="X1930" i="2" a="1"/>
  <c r="X1930" i="2" s="1"/>
  <c r="W1930" i="2" a="1"/>
  <c r="W1930" i="2" s="1"/>
  <c r="AJ1928" i="2" a="1"/>
  <c r="AJ1928" i="2" s="1"/>
  <c r="Z1929" i="2" a="1"/>
  <c r="Z1929" i="2" s="1"/>
  <c r="AD1926" i="2" a="1"/>
  <c r="AD1926" i="2" s="1"/>
  <c r="AD1928" i="2" a="1"/>
  <c r="AD1928" i="2" s="1"/>
  <c r="AH1926" i="2" a="1"/>
  <c r="AH1926" i="2" s="1"/>
  <c r="AG1926" i="2" a="1"/>
  <c r="AG1926" i="2" s="1"/>
  <c r="AF1926" i="2" a="1"/>
  <c r="AF1926" i="2" s="1"/>
  <c r="X1929" i="2" a="1"/>
  <c r="X1929" i="2" s="1"/>
  <c r="W1927" i="2" a="1"/>
  <c r="W1927" i="2" s="1"/>
  <c r="AE1929" i="2" a="1"/>
  <c r="AE1929" i="2" s="1"/>
  <c r="AC1927" i="2" a="1"/>
  <c r="AC1927" i="2" s="1"/>
  <c r="AH1936" i="2" a="1"/>
  <c r="AH1936" i="2" s="1"/>
  <c r="AD1930" i="2" a="1"/>
  <c r="AD1930" i="2" s="1"/>
  <c r="X1928" i="2" a="1"/>
  <c r="X1928" i="2" s="1"/>
  <c r="AF1929" i="2" a="1"/>
  <c r="AF1929" i="2" s="1"/>
  <c r="AA1929" i="2" a="1"/>
  <c r="AA1929" i="2" s="1"/>
  <c r="AG1927" i="2" a="1"/>
  <c r="AG1927" i="2" s="1"/>
  <c r="AJ1926" i="2" a="1"/>
  <c r="AJ1926" i="2" s="1"/>
  <c r="AH1927" i="2" a="1"/>
  <c r="AH1927" i="2" s="1"/>
  <c r="AC1928" i="2" a="1"/>
  <c r="AC1928" i="2" s="1"/>
  <c r="AG1929" i="2" a="1"/>
  <c r="AG1929" i="2" s="1"/>
  <c r="AB1929" i="2" a="1"/>
  <c r="AB1929" i="2" s="1"/>
  <c r="AI1927" i="2" a="1"/>
  <c r="AI1927" i="2" s="1"/>
  <c r="AC1930" i="2" a="1"/>
  <c r="AC1930" i="2" s="1"/>
  <c r="Y1930" i="2" a="1"/>
  <c r="Y1930" i="2" s="1"/>
  <c r="AJ1929" i="2" a="1"/>
  <c r="AJ1929" i="2" s="1"/>
  <c r="AH1929" i="2" a="1"/>
  <c r="AH1929" i="2" s="1"/>
  <c r="AD1929" i="2" a="1"/>
  <c r="AD1929" i="2" s="1"/>
  <c r="AC1929" i="2" a="1"/>
  <c r="AC1929" i="2" s="1"/>
  <c r="W1929" i="2" a="1"/>
  <c r="W1929" i="2" s="1"/>
  <c r="AI1928" i="2" a="1"/>
  <c r="AI1928" i="2" s="1"/>
  <c r="AH1928" i="2" a="1"/>
  <c r="AH1928" i="2" s="1"/>
  <c r="AE1927" i="2" a="1"/>
  <c r="AE1927" i="2" s="1"/>
  <c r="AE1928" i="2" a="1"/>
  <c r="AE1928" i="2" s="1"/>
  <c r="AD1927" i="2" a="1"/>
  <c r="AD1927" i="2" s="1"/>
  <c r="Z1928" i="2" a="1"/>
  <c r="Z1928" i="2" s="1"/>
  <c r="Y1928" i="2" a="1"/>
  <c r="Y1928" i="2" s="1"/>
  <c r="Z1927" i="2" a="1"/>
  <c r="Z1927" i="2" s="1"/>
  <c r="Y1927" i="2" a="1"/>
  <c r="Y1927" i="2" s="1"/>
  <c r="AE1926" i="2" a="1"/>
  <c r="AE1926" i="2" s="1"/>
  <c r="AI1926" i="2" a="1"/>
  <c r="AI1926" i="2" s="1"/>
  <c r="AF1928" i="2" a="1"/>
  <c r="AF1928" i="2" s="1"/>
  <c r="AB1928" i="2" a="1"/>
  <c r="AB1928" i="2" s="1"/>
  <c r="AA1928" i="2" a="1"/>
  <c r="AA1928" i="2" s="1"/>
  <c r="W1928" i="2" a="1"/>
  <c r="W1928" i="2" s="1"/>
  <c r="AI1929" i="2" a="1"/>
  <c r="AI1929" i="2" s="1"/>
  <c r="Y1929" i="2" a="1"/>
  <c r="Y1929" i="2" s="1"/>
  <c r="AA1927" i="2" a="1"/>
  <c r="AA1927" i="2" s="1"/>
  <c r="AB1930" i="2" a="1"/>
  <c r="AB1930" i="2" s="1"/>
  <c r="Z1930" i="2" a="1"/>
  <c r="Z1930" i="2" s="1"/>
  <c r="X1927" i="2" a="1"/>
  <c r="X1927" i="2" s="1"/>
  <c r="AG1928" i="2" a="1"/>
  <c r="AG1928" i="2" s="1"/>
  <c r="AF1927" i="2" a="1"/>
  <c r="AF1927" i="2" s="1"/>
  <c r="AB1927" i="2" a="1"/>
  <c r="AB1927" i="2" s="1"/>
  <c r="AJ1927" i="2" a="1"/>
  <c r="AJ1927" i="2" s="1"/>
  <c r="AA1922" i="2" a="1"/>
  <c r="AA1922" i="2" s="1"/>
  <c r="AC1926" i="2" a="1"/>
  <c r="AC1926" i="2" s="1"/>
  <c r="AB1926" i="2" a="1"/>
  <c r="AB1926" i="2" s="1"/>
  <c r="X1924" i="2" a="1"/>
  <c r="X1924" i="2" s="1"/>
  <c r="Z1926" i="2" a="1"/>
  <c r="Z1926" i="2" s="1"/>
  <c r="X1926" i="2" a="1"/>
  <c r="X1926" i="2" s="1"/>
  <c r="AD1925" i="2" a="1"/>
  <c r="AD1925" i="2" s="1"/>
  <c r="AA1925" i="2" a="1"/>
  <c r="AA1925" i="2" s="1"/>
  <c r="AG1923" i="2" a="1"/>
  <c r="AG1923" i="2" s="1"/>
  <c r="AJ1924" i="2" a="1"/>
  <c r="AJ1924" i="2" s="1"/>
  <c r="W1926" i="2" a="1"/>
  <c r="W1926" i="2" s="1"/>
  <c r="AJ1925" i="2" a="1"/>
  <c r="AJ1925" i="2" s="1"/>
  <c r="X1922" i="2" a="1"/>
  <c r="X1922" i="2" s="1"/>
  <c r="AH1925" i="2" a="1"/>
  <c r="AH1925" i="2" s="1"/>
  <c r="AF1925" i="2" a="1"/>
  <c r="AF1925" i="2" s="1"/>
  <c r="AF1924" i="2" a="1"/>
  <c r="AF1924" i="2" s="1"/>
  <c r="W1925" i="2" a="1"/>
  <c r="W1925" i="2" s="1"/>
  <c r="AI1924" i="2" a="1"/>
  <c r="AI1924" i="2" s="1"/>
  <c r="Y1924" i="2" a="1"/>
  <c r="Y1924" i="2" s="1"/>
  <c r="AH1924" i="2" a="1"/>
  <c r="AH1924" i="2" s="1"/>
  <c r="W1924" i="2" a="1"/>
  <c r="W1924" i="2" s="1"/>
  <c r="W1923" i="2" a="1"/>
  <c r="W1923" i="2" s="1"/>
  <c r="AD1923" i="2" a="1"/>
  <c r="AD1923" i="2" s="1"/>
  <c r="AF1923" i="2" a="1"/>
  <c r="AF1923" i="2" s="1"/>
  <c r="AE1923" i="2" a="1"/>
  <c r="AE1923" i="2" s="1"/>
  <c r="AE1924" i="2" a="1"/>
  <c r="AE1924" i="2" s="1"/>
  <c r="AE1925" i="2" a="1"/>
  <c r="AE1925" i="2" s="1"/>
  <c r="W1922" i="2" a="1"/>
  <c r="W1922" i="2" s="1"/>
  <c r="Y1925" i="2" a="1"/>
  <c r="Y1925" i="2" s="1"/>
  <c r="AC1924" i="2" a="1"/>
  <c r="AC1924" i="2" s="1"/>
  <c r="AC1923" i="2" a="1"/>
  <c r="AC1923" i="2" s="1"/>
  <c r="AE1922" i="2" a="1"/>
  <c r="AE1922" i="2" s="1"/>
  <c r="Z1925" i="2" a="1"/>
  <c r="Z1925" i="2" s="1"/>
  <c r="AH1922" i="2" a="1"/>
  <c r="AH1922" i="2" s="1"/>
  <c r="AD1924" i="2" a="1"/>
  <c r="AD1924" i="2" s="1"/>
  <c r="AA1926" i="2" a="1"/>
  <c r="AA1926" i="2" s="1"/>
  <c r="AG1925" i="2" a="1"/>
  <c r="AG1925" i="2" s="1"/>
  <c r="AB1923" i="2" a="1"/>
  <c r="AB1923" i="2" s="1"/>
  <c r="AI1922" i="2" a="1"/>
  <c r="AI1922" i="2" s="1"/>
  <c r="Z1924" i="2" a="1"/>
  <c r="Z1924" i="2" s="1"/>
  <c r="AG1924" i="2" a="1"/>
  <c r="AG1924" i="2" s="1"/>
  <c r="Y1936" i="2" a="1"/>
  <c r="Y1936" i="2" s="1"/>
  <c r="AI1923" i="2" a="1"/>
  <c r="AI1923" i="2" s="1"/>
  <c r="AA1923" i="2" a="1"/>
  <c r="AA1923" i="2" s="1"/>
  <c r="Y1923" i="2" a="1"/>
  <c r="Y1923" i="2" s="1"/>
  <c r="X1923" i="2" a="1"/>
  <c r="X1923" i="2" s="1"/>
  <c r="Y1922" i="2" a="1"/>
  <c r="Y1922" i="2" s="1"/>
  <c r="AA1924" i="2" a="1"/>
  <c r="AA1924" i="2" s="1"/>
  <c r="AJ1923" i="2" a="1"/>
  <c r="AJ1923" i="2" s="1"/>
  <c r="Y1926" i="2" a="1"/>
  <c r="Y1926" i="2" s="1"/>
  <c r="AI1925" i="2" a="1"/>
  <c r="AI1925" i="2" s="1"/>
  <c r="X1925" i="2" a="1"/>
  <c r="X1925" i="2" s="1"/>
  <c r="AG1922" i="2" a="1"/>
  <c r="AG1922" i="2" s="1"/>
  <c r="Z1922" i="2" a="1"/>
  <c r="Z1922" i="2" s="1"/>
  <c r="AC1925" i="2" a="1"/>
  <c r="AC1925" i="2" s="1"/>
  <c r="AB1925" i="2" a="1"/>
  <c r="AB1925" i="2" s="1"/>
  <c r="AB1924" i="2" a="1"/>
  <c r="AB1924" i="2" s="1"/>
  <c r="AC1922" i="2" a="1"/>
  <c r="AC1922" i="2" s="1"/>
  <c r="Z1923" i="2" a="1"/>
  <c r="Z1923" i="2" s="1"/>
  <c r="AJ1922" i="2" a="1"/>
  <c r="AJ1922" i="2" s="1"/>
  <c r="AF1922" i="2" a="1"/>
  <c r="AF1922" i="2" s="1"/>
  <c r="AH1923" i="2" a="1"/>
  <c r="AH1923" i="2" s="1"/>
  <c r="AD1922" i="2" a="1"/>
  <c r="AD1922" i="2" s="1"/>
  <c r="AB1922" i="2" a="1"/>
  <c r="AB1922" i="2" s="1"/>
  <c r="AH1918" i="2" a="1"/>
  <c r="AH1918" i="2" s="1"/>
  <c r="AD1919" i="2" a="1"/>
  <c r="AD1919" i="2" s="1"/>
  <c r="Z1921" i="2" a="1"/>
  <c r="Z1921" i="2" s="1"/>
  <c r="AH1919" i="2" a="1"/>
  <c r="AH1919" i="2" s="1"/>
  <c r="X1921" i="2" a="1"/>
  <c r="X1921" i="2" s="1"/>
  <c r="AE1917" i="2" a="1"/>
  <c r="AE1917" i="2" s="1"/>
  <c r="AE1920" i="2" a="1"/>
  <c r="AE1920" i="2" s="1"/>
  <c r="AC1920" i="2" a="1"/>
  <c r="AC1920" i="2" s="1"/>
  <c r="AJ1919" i="2" a="1"/>
  <c r="AJ1919" i="2" s="1"/>
  <c r="AB1919" i="2" a="1"/>
  <c r="AB1919" i="2" s="1"/>
  <c r="X1937" i="2" a="1"/>
  <c r="X1937" i="2" s="1"/>
  <c r="AF1921" i="2" a="1"/>
  <c r="AF1921" i="2" s="1"/>
  <c r="AE1918" i="2" a="1"/>
  <c r="AE1918" i="2" s="1"/>
  <c r="Y1921" i="2" a="1"/>
  <c r="Y1921" i="2" s="1"/>
  <c r="AI1919" i="2" a="1"/>
  <c r="AI1919" i="2" s="1"/>
  <c r="Z1920" i="2" a="1"/>
  <c r="Z1920" i="2" s="1"/>
  <c r="AJ1921" i="2" a="1"/>
  <c r="AJ1921" i="2" s="1"/>
  <c r="AD1921" i="2" a="1"/>
  <c r="AD1921" i="2" s="1"/>
  <c r="AA1921" i="2" a="1"/>
  <c r="AA1921" i="2" s="1"/>
  <c r="AH1920" i="2" a="1"/>
  <c r="AH1920" i="2" s="1"/>
  <c r="W1920" i="2" a="1"/>
  <c r="W1920" i="2" s="1"/>
  <c r="AA1919" i="2" a="1"/>
  <c r="AA1919" i="2" s="1"/>
  <c r="AA1918" i="2" a="1"/>
  <c r="AA1918" i="2" s="1"/>
  <c r="W1919" i="2" a="1"/>
  <c r="W1919" i="2" s="1"/>
  <c r="AB1918" i="2" a="1"/>
  <c r="AB1918" i="2" s="1"/>
  <c r="X1918" i="2" a="1"/>
  <c r="X1918" i="2" s="1"/>
  <c r="Z1918" i="2" a="1"/>
  <c r="Z1918" i="2" s="1"/>
  <c r="AH1917" i="2" a="1"/>
  <c r="AH1917" i="2" s="1"/>
  <c r="AJ1917" i="2" a="1"/>
  <c r="AJ1917" i="2" s="1"/>
  <c r="AG1917" i="2" a="1"/>
  <c r="AG1917" i="2" s="1"/>
  <c r="AF1917" i="2" a="1"/>
  <c r="AF1917" i="2" s="1"/>
  <c r="AB1920" i="2" a="1"/>
  <c r="AB1920" i="2" s="1"/>
  <c r="AJ1918" i="2" a="1"/>
  <c r="AJ1918" i="2" s="1"/>
  <c r="AA1920" i="2" a="1"/>
  <c r="AA1920" i="2" s="1"/>
  <c r="AI1917" i="2" a="1"/>
  <c r="AI1917" i="2" s="1"/>
  <c r="Y1919" i="2" a="1"/>
  <c r="Y1919" i="2" s="1"/>
  <c r="AD1918" i="2" a="1"/>
  <c r="AD1918" i="2" s="1"/>
  <c r="Y1918" i="2" a="1"/>
  <c r="Y1918" i="2" s="1"/>
  <c r="AI1921" i="2" a="1"/>
  <c r="AI1921" i="2" s="1"/>
  <c r="AE1921" i="2" a="1"/>
  <c r="AE1921" i="2" s="1"/>
  <c r="AC1921" i="2" a="1"/>
  <c r="AC1921" i="2" s="1"/>
  <c r="W1921" i="2" a="1"/>
  <c r="W1921" i="2" s="1"/>
  <c r="X1919" i="2" a="1"/>
  <c r="X1919" i="2" s="1"/>
  <c r="AC1918" i="2" a="1"/>
  <c r="AC1918" i="2" s="1"/>
  <c r="AD1917" i="2" a="1"/>
  <c r="AD1917" i="2" s="1"/>
  <c r="AB1921" i="2" a="1"/>
  <c r="AB1921" i="2" s="1"/>
  <c r="AF1918" i="2" a="1"/>
  <c r="AF1918" i="2" s="1"/>
  <c r="Z1919" i="2" a="1"/>
  <c r="Z1919" i="2" s="1"/>
  <c r="AG1919" i="2" a="1"/>
  <c r="AG1919" i="2" s="1"/>
  <c r="AE1919" i="2" a="1"/>
  <c r="AE1919" i="2" s="1"/>
  <c r="AJ1920" i="2" a="1"/>
  <c r="AJ1920" i="2" s="1"/>
  <c r="AF1920" i="2" a="1"/>
  <c r="AF1920" i="2" s="1"/>
  <c r="Y1920" i="2" a="1"/>
  <c r="Y1920" i="2" s="1"/>
  <c r="AG1918" i="2" a="1"/>
  <c r="AG1918" i="2" s="1"/>
  <c r="X1920" i="2" a="1"/>
  <c r="X1920" i="2" s="1"/>
  <c r="AD1920" i="2" a="1"/>
  <c r="AD1920" i="2" s="1"/>
  <c r="AF1919" i="2" a="1"/>
  <c r="AF1919" i="2" s="1"/>
  <c r="W1918" i="2" a="1"/>
  <c r="W1918" i="2" s="1"/>
  <c r="AC1919" i="2" a="1"/>
  <c r="AC1919" i="2" s="1"/>
  <c r="AH1921" i="2" a="1"/>
  <c r="AH1921" i="2" s="1"/>
  <c r="AI1920" i="2" a="1"/>
  <c r="AI1920" i="2" s="1"/>
  <c r="AG1921" i="2" a="1"/>
  <c r="AG1921" i="2" s="1"/>
  <c r="AG1920" i="2" a="1"/>
  <c r="AG1920" i="2" s="1"/>
  <c r="AI1918" i="2" a="1"/>
  <c r="AI1918" i="2" s="1"/>
  <c r="AI1915" i="2" a="1"/>
  <c r="AI1915" i="2" s="1"/>
  <c r="AG1915" i="2" a="1"/>
  <c r="AG1915" i="2" s="1"/>
  <c r="AF1915" i="2" a="1"/>
  <c r="AF1915" i="2" s="1"/>
  <c r="AB1914" i="2" a="1"/>
  <c r="AB1914" i="2" s="1"/>
  <c r="W1913" i="2" a="1"/>
  <c r="W1913" i="2" s="1"/>
  <c r="AG1914" i="2" a="1"/>
  <c r="AG1914" i="2" s="1"/>
  <c r="AE1915" i="2" a="1"/>
  <c r="AE1915" i="2" s="1"/>
  <c r="AD1915" i="2" a="1"/>
  <c r="AD1915" i="2" s="1"/>
  <c r="W1915" i="2" a="1"/>
  <c r="W1915" i="2" s="1"/>
  <c r="W1914" i="2" a="1"/>
  <c r="W1914" i="2" s="1"/>
  <c r="AB1915" i="2" a="1"/>
  <c r="AB1915" i="2" s="1"/>
  <c r="AJ1914" i="2" a="1"/>
  <c r="AJ1914" i="2" s="1"/>
  <c r="AF1914" i="2" a="1"/>
  <c r="AF1914" i="2" s="1"/>
  <c r="X1913" i="2" a="1"/>
  <c r="X1913" i="2" s="1"/>
  <c r="AE1913" i="2" a="1"/>
  <c r="AE1913" i="2" s="1"/>
  <c r="Y1915" i="2" a="1"/>
  <c r="Y1915" i="2" s="1"/>
  <c r="AI1914" i="2" a="1"/>
  <c r="AI1914" i="2" s="1"/>
  <c r="Y1914" i="2" a="1"/>
  <c r="Y1914" i="2" s="1"/>
  <c r="Z1917" i="2" a="1"/>
  <c r="Z1917" i="2" s="1"/>
  <c r="W1917" i="2" a="1"/>
  <c r="W1917" i="2" s="1"/>
  <c r="AF1916" i="2" a="1"/>
  <c r="AF1916" i="2" s="1"/>
  <c r="AD1916" i="2" a="1"/>
  <c r="AD1916" i="2" s="1"/>
  <c r="Y1916" i="2" a="1"/>
  <c r="Y1916" i="2" s="1"/>
  <c r="AC1915" i="2" a="1"/>
  <c r="AC1915" i="2" s="1"/>
  <c r="Z1916" i="2" a="1"/>
  <c r="Z1916" i="2" s="1"/>
  <c r="Z1913" i="2" a="1"/>
  <c r="Z1913" i="2" s="1"/>
  <c r="AC1916" i="2" a="1"/>
  <c r="AC1916" i="2" s="1"/>
  <c r="AB1916" i="2" a="1"/>
  <c r="AB1916" i="2" s="1"/>
  <c r="X1916" i="2" a="1"/>
  <c r="X1916" i="2" s="1"/>
  <c r="AD1914" i="2" a="1"/>
  <c r="AD1914" i="2" s="1"/>
  <c r="AH1914" i="2" a="1"/>
  <c r="AH1914" i="2" s="1"/>
  <c r="AF1913" i="2" a="1"/>
  <c r="AF1913" i="2" s="1"/>
  <c r="AJ1915" i="2" a="1"/>
  <c r="AJ1915" i="2" s="1"/>
  <c r="AH1915" i="2" a="1"/>
  <c r="AH1915" i="2" s="1"/>
  <c r="X1915" i="2" a="1"/>
  <c r="X1915" i="2" s="1"/>
  <c r="AG1913" i="2" a="1"/>
  <c r="AG1913" i="2" s="1"/>
  <c r="W1916" i="2" a="1"/>
  <c r="W1916" i="2" s="1"/>
  <c r="AI1913" i="2" a="1"/>
  <c r="AI1913" i="2" s="1"/>
  <c r="AA1913" i="2" a="1"/>
  <c r="AA1913" i="2" s="1"/>
  <c r="X1936" i="2" a="1"/>
  <c r="X1936" i="2" s="1"/>
  <c r="AC1914" i="2" a="1"/>
  <c r="AC1914" i="2" s="1"/>
  <c r="AB1913" i="2" a="1"/>
  <c r="AB1913" i="2" s="1"/>
  <c r="AC1917" i="2" a="1"/>
  <c r="AC1917" i="2" s="1"/>
  <c r="AJ1916" i="2" a="1"/>
  <c r="AJ1916" i="2" s="1"/>
  <c r="AA1916" i="2" a="1"/>
  <c r="AA1916" i="2" s="1"/>
  <c r="AH1916" i="2" a="1"/>
  <c r="AH1916" i="2" s="1"/>
  <c r="Z1915" i="2" a="1"/>
  <c r="Z1915" i="2" s="1"/>
  <c r="AJ1913" i="2" a="1"/>
  <c r="AJ1913" i="2" s="1"/>
  <c r="AA1914" i="2" a="1"/>
  <c r="AA1914" i="2" s="1"/>
  <c r="Y1917" i="2" a="1"/>
  <c r="Y1917" i="2" s="1"/>
  <c r="X1914" i="2" a="1"/>
  <c r="X1914" i="2" s="1"/>
  <c r="AB1917" i="2" a="1"/>
  <c r="AB1917" i="2" s="1"/>
  <c r="AH1913" i="2" a="1"/>
  <c r="AH1913" i="2" s="1"/>
  <c r="AA1915" i="2" a="1"/>
  <c r="AA1915" i="2" s="1"/>
  <c r="Z1914" i="2" a="1"/>
  <c r="Z1914" i="2" s="1"/>
  <c r="AC1913" i="2" a="1"/>
  <c r="AC1913" i="2" s="1"/>
  <c r="AG1916" i="2" a="1"/>
  <c r="AG1916" i="2" s="1"/>
  <c r="AE1914" i="2" a="1"/>
  <c r="AE1914" i="2" s="1"/>
  <c r="AA1917" i="2" a="1"/>
  <c r="AA1917" i="2" s="1"/>
  <c r="X1917" i="2" a="1"/>
  <c r="X1917" i="2" s="1"/>
  <c r="AI1916" i="2" a="1"/>
  <c r="AI1916" i="2" s="1"/>
  <c r="AE1916" i="2" a="1"/>
  <c r="AE1916" i="2" s="1"/>
  <c r="AD1913" i="2" a="1"/>
  <c r="AD1913" i="2" s="1"/>
  <c r="Y1913" i="2" a="1"/>
  <c r="Y1913" i="2" s="1"/>
  <c r="AG1912" i="2" a="1"/>
  <c r="AG1912" i="2" s="1"/>
  <c r="AE1912" i="2" a="1"/>
  <c r="AE1912" i="2" s="1"/>
  <c r="AG1911" i="2" a="1"/>
  <c r="AG1911" i="2" s="1"/>
  <c r="W1911" i="2" a="1"/>
  <c r="W1911" i="2" s="1"/>
  <c r="AD1911" i="2" a="1"/>
  <c r="AD1911" i="2" s="1"/>
  <c r="Z1912" i="2" a="1"/>
  <c r="Z1912" i="2" s="1"/>
  <c r="Y1911" i="2" a="1"/>
  <c r="Y1911" i="2" s="1"/>
  <c r="Z1910" i="2" a="1"/>
  <c r="Z1910" i="2" s="1"/>
  <c r="AC1909" i="2" a="1"/>
  <c r="AC1909" i="2" s="1"/>
  <c r="AI1908" i="2" a="1"/>
  <c r="AI1908" i="2" s="1"/>
  <c r="AH1911" i="2" a="1"/>
  <c r="AH1911" i="2" s="1"/>
  <c r="AE1911" i="2" a="1"/>
  <c r="AE1911" i="2" s="1"/>
  <c r="AB1911" i="2" a="1"/>
  <c r="AB1911" i="2" s="1"/>
  <c r="AA1911" i="2" a="1"/>
  <c r="AA1911" i="2" s="1"/>
  <c r="Z1911" i="2" a="1"/>
  <c r="Z1911" i="2" s="1"/>
  <c r="AD1910" i="2" a="1"/>
  <c r="AD1910" i="2" s="1"/>
  <c r="AB1910" i="2" a="1"/>
  <c r="AB1910" i="2" s="1"/>
  <c r="AD1909" i="2" a="1"/>
  <c r="AD1909" i="2" s="1"/>
  <c r="AD1908" i="2" a="1"/>
  <c r="AD1908" i="2" s="1"/>
  <c r="AG1936" i="2" a="1"/>
  <c r="AG1936" i="2" s="1"/>
  <c r="W1912" i="2" a="1"/>
  <c r="W1912" i="2" s="1"/>
  <c r="AE1910" i="2" a="1"/>
  <c r="AE1910" i="2" s="1"/>
  <c r="AJ1908" i="2" a="1"/>
  <c r="AJ1908" i="2" s="1"/>
  <c r="AF1912" i="2" a="1"/>
  <c r="AF1912" i="2" s="1"/>
  <c r="AJ1912" i="2" a="1"/>
  <c r="AJ1912" i="2" s="1"/>
  <c r="AI1912" i="2" a="1"/>
  <c r="AI1912" i="2" s="1"/>
  <c r="AH1912" i="2" a="1"/>
  <c r="AH1912" i="2" s="1"/>
  <c r="Y1909" i="2" a="1"/>
  <c r="Y1909" i="2" s="1"/>
  <c r="AD1912" i="2" a="1"/>
  <c r="AD1912" i="2" s="1"/>
  <c r="AI1911" i="2" a="1"/>
  <c r="AI1911" i="2" s="1"/>
  <c r="X1912" i="2" a="1"/>
  <c r="X1912" i="2" s="1"/>
  <c r="AC1912" i="2" a="1"/>
  <c r="AC1912" i="2" s="1"/>
  <c r="Y1912" i="2" a="1"/>
  <c r="Y1912" i="2" s="1"/>
  <c r="AH1908" i="2" a="1"/>
  <c r="AH1908" i="2" s="1"/>
  <c r="AB1912" i="2" a="1"/>
  <c r="AB1912" i="2" s="1"/>
  <c r="AJ1911" i="2" a="1"/>
  <c r="AJ1911" i="2" s="1"/>
  <c r="AC1911" i="2" a="1"/>
  <c r="AC1911" i="2" s="1"/>
  <c r="AG1908" i="2" a="1"/>
  <c r="AG1908" i="2" s="1"/>
  <c r="X1911" i="2" a="1"/>
  <c r="X1911" i="2" s="1"/>
  <c r="AG1910" i="2" a="1"/>
  <c r="AG1910" i="2" s="1"/>
  <c r="AI1910" i="2" a="1"/>
  <c r="AI1910" i="2" s="1"/>
  <c r="Z1909" i="2" a="1"/>
  <c r="Z1909" i="2" s="1"/>
  <c r="AI1909" i="2" a="1"/>
  <c r="AI1909" i="2" s="1"/>
  <c r="AJ1909" i="2" a="1"/>
  <c r="AJ1909" i="2" s="1"/>
  <c r="AJ1910" i="2" a="1"/>
  <c r="AJ1910" i="2" s="1"/>
  <c r="AH1910" i="2" a="1"/>
  <c r="AH1910" i="2" s="1"/>
  <c r="AF1910" i="2" a="1"/>
  <c r="AF1910" i="2" s="1"/>
  <c r="AE1909" i="2" a="1"/>
  <c r="AE1909" i="2" s="1"/>
  <c r="X1909" i="2" a="1"/>
  <c r="X1909" i="2" s="1"/>
  <c r="AC1910" i="2" a="1"/>
  <c r="AC1910" i="2" s="1"/>
  <c r="AA1910" i="2" a="1"/>
  <c r="AA1910" i="2" s="1"/>
  <c r="Y1910" i="2" a="1"/>
  <c r="Y1910" i="2" s="1"/>
  <c r="AF1909" i="2" a="1"/>
  <c r="AF1909" i="2" s="1"/>
  <c r="AG1909" i="2" a="1"/>
  <c r="AG1909" i="2" s="1"/>
  <c r="AH1909" i="2" a="1"/>
  <c r="AH1909" i="2" s="1"/>
  <c r="AB1909" i="2" a="1"/>
  <c r="AB1909" i="2" s="1"/>
  <c r="W1909" i="2" a="1"/>
  <c r="W1909" i="2" s="1"/>
  <c r="X1910" i="2" a="1"/>
  <c r="X1910" i="2" s="1"/>
  <c r="AA1909" i="2" a="1"/>
  <c r="AA1909" i="2" s="1"/>
  <c r="AA1912" i="2" a="1"/>
  <c r="AA1912" i="2" s="1"/>
  <c r="AF1908" i="2" a="1"/>
  <c r="AF1908" i="2" s="1"/>
  <c r="AE1908" i="2" a="1"/>
  <c r="AE1908" i="2" s="1"/>
  <c r="AF1911" i="2" a="1"/>
  <c r="AF1911" i="2" s="1"/>
  <c r="W1910" i="2" a="1"/>
  <c r="W1910" i="2" s="1"/>
  <c r="AD1905" i="2" a="1"/>
  <c r="AD1905" i="2" s="1"/>
  <c r="AG1906" i="2" a="1"/>
  <c r="AG1906" i="2" s="1"/>
  <c r="AB1906" i="2" a="1"/>
  <c r="AB1906" i="2" s="1"/>
  <c r="AH1905" i="2" a="1"/>
  <c r="AH1905" i="2" s="1"/>
  <c r="AG1905" i="2" a="1"/>
  <c r="AG1905" i="2" s="1"/>
  <c r="W1936" i="2" a="1"/>
  <c r="W1936" i="2" s="1"/>
  <c r="AB1908" i="2" a="1"/>
  <c r="AB1908" i="2" s="1"/>
  <c r="Y1906" i="2" a="1"/>
  <c r="Y1906" i="2" s="1"/>
  <c r="Y1908" i="2" a="1"/>
  <c r="Y1908" i="2" s="1"/>
  <c r="W1907" i="2" a="1"/>
  <c r="W1907" i="2" s="1"/>
  <c r="AA1904" i="2" a="1"/>
  <c r="AA1904" i="2" s="1"/>
  <c r="Z1904" i="2" a="1"/>
  <c r="Z1904" i="2" s="1"/>
  <c r="X1906" i="2" a="1"/>
  <c r="X1906" i="2" s="1"/>
  <c r="AC1906" i="2" a="1"/>
  <c r="AC1906" i="2" s="1"/>
  <c r="AA1908" i="2" a="1"/>
  <c r="AA1908" i="2" s="1"/>
  <c r="AJ1907" i="2" a="1"/>
  <c r="AJ1907" i="2" s="1"/>
  <c r="AJ1906" i="2" a="1"/>
  <c r="AJ1906" i="2" s="1"/>
  <c r="AI1907" i="2" a="1"/>
  <c r="AI1907" i="2" s="1"/>
  <c r="Z1906" i="2" a="1"/>
  <c r="Z1906" i="2" s="1"/>
  <c r="AG1907" i="2" a="1"/>
  <c r="AG1907" i="2" s="1"/>
  <c r="AA1905" i="2" a="1"/>
  <c r="AA1905" i="2" s="1"/>
  <c r="X1904" i="2" a="1"/>
  <c r="X1904" i="2" s="1"/>
  <c r="AH1906" i="2" a="1"/>
  <c r="AH1906" i="2" s="1"/>
  <c r="AE1906" i="2" a="1"/>
  <c r="AE1906" i="2" s="1"/>
  <c r="AB1905" i="2" a="1"/>
  <c r="AB1905" i="2" s="1"/>
  <c r="AJ1905" i="2" a="1"/>
  <c r="AJ1905" i="2" s="1"/>
  <c r="AC1905" i="2" a="1"/>
  <c r="AC1905" i="2" s="1"/>
  <c r="X1905" i="2" a="1"/>
  <c r="X1905" i="2" s="1"/>
  <c r="AD1904" i="2" a="1"/>
  <c r="AD1904" i="2" s="1"/>
  <c r="W1904" i="2" a="1"/>
  <c r="W1904" i="2" s="1"/>
  <c r="AE1907" i="2" a="1"/>
  <c r="AE1907" i="2" s="1"/>
  <c r="AC1908" i="2" a="1"/>
  <c r="AC1908" i="2" s="1"/>
  <c r="AB1907" i="2" a="1"/>
  <c r="AB1907" i="2" s="1"/>
  <c r="AD1907" i="2" a="1"/>
  <c r="AD1907" i="2" s="1"/>
  <c r="AJ1904" i="2" a="1"/>
  <c r="AJ1904" i="2" s="1"/>
  <c r="AI1904" i="2" a="1"/>
  <c r="AI1904" i="2" s="1"/>
  <c r="Z1908" i="2" a="1"/>
  <c r="Z1908" i="2" s="1"/>
  <c r="X1908" i="2" a="1"/>
  <c r="X1908" i="2" s="1"/>
  <c r="W1908" i="2" a="1"/>
  <c r="W1908" i="2" s="1"/>
  <c r="AH1907" i="2" a="1"/>
  <c r="AH1907" i="2" s="1"/>
  <c r="AI1905" i="2" a="1"/>
  <c r="AI1905" i="2" s="1"/>
  <c r="AF1907" i="2" a="1"/>
  <c r="AF1907" i="2" s="1"/>
  <c r="AG1904" i="2" a="1"/>
  <c r="AG1904" i="2" s="1"/>
  <c r="Y1904" i="2" a="1"/>
  <c r="Y1904" i="2" s="1"/>
  <c r="X1907" i="2" a="1"/>
  <c r="X1907" i="2" s="1"/>
  <c r="AI1906" i="2" a="1"/>
  <c r="AI1906" i="2" s="1"/>
  <c r="AH1904" i="2" a="1"/>
  <c r="AH1904" i="2" s="1"/>
  <c r="AA1906" i="2" a="1"/>
  <c r="AA1906" i="2" s="1"/>
  <c r="AE1905" i="2" a="1"/>
  <c r="AE1905" i="2" s="1"/>
  <c r="AC1907" i="2" a="1"/>
  <c r="AC1907" i="2" s="1"/>
  <c r="Y1907" i="2" a="1"/>
  <c r="Y1907" i="2" s="1"/>
  <c r="W1905" i="2" a="1"/>
  <c r="W1905" i="2" s="1"/>
  <c r="AC1904" i="2" a="1"/>
  <c r="AC1904" i="2" s="1"/>
  <c r="W1906" i="2" a="1"/>
  <c r="W1906" i="2" s="1"/>
  <c r="AE1904" i="2" a="1"/>
  <c r="AE1904" i="2" s="1"/>
  <c r="Z1905" i="2" a="1"/>
  <c r="Z1905" i="2" s="1"/>
  <c r="AF1905" i="2" a="1"/>
  <c r="AF1905" i="2" s="1"/>
  <c r="AB1904" i="2" a="1"/>
  <c r="AB1904" i="2" s="1"/>
  <c r="AA1907" i="2" a="1"/>
  <c r="AA1907" i="2" s="1"/>
  <c r="Z1907" i="2" a="1"/>
  <c r="Z1907" i="2" s="1"/>
  <c r="AF1906" i="2" a="1"/>
  <c r="AF1906" i="2" s="1"/>
  <c r="Y1905" i="2" a="1"/>
  <c r="Y1905" i="2" s="1"/>
  <c r="AF1904" i="2" a="1"/>
  <c r="AF1904" i="2" s="1"/>
  <c r="AD1906" i="2" a="1"/>
  <c r="AD1906" i="2" s="1"/>
  <c r="Z1937" i="2" a="1"/>
  <c r="Z1937" i="2" s="1"/>
  <c r="Y1902" i="2" a="1"/>
  <c r="Y1902" i="2" s="1"/>
  <c r="AJ1903" i="2" a="1"/>
  <c r="AJ1903" i="2" s="1"/>
  <c r="AF1903" i="2" a="1"/>
  <c r="AF1903" i="2" s="1"/>
  <c r="AE1903" i="2" a="1"/>
  <c r="AE1903" i="2" s="1"/>
  <c r="AD1903" i="2" a="1"/>
  <c r="AD1903" i="2" s="1"/>
  <c r="AC1903" i="2" a="1"/>
  <c r="AC1903" i="2" s="1"/>
  <c r="AI1901" i="2" a="1"/>
  <c r="AI1901" i="2" s="1"/>
  <c r="W1901" i="2" a="1"/>
  <c r="W1901" i="2" s="1"/>
  <c r="AJ1900" i="2" a="1"/>
  <c r="AJ1900" i="2" s="1"/>
  <c r="AI1900" i="2" a="1"/>
  <c r="AI1900" i="2" s="1"/>
  <c r="AI1903" i="2" a="1"/>
  <c r="AI1903" i="2" s="1"/>
  <c r="AH1903" i="2" a="1"/>
  <c r="AH1903" i="2" s="1"/>
  <c r="AG1903" i="2" a="1"/>
  <c r="AG1903" i="2" s="1"/>
  <c r="Z1903" i="2" a="1"/>
  <c r="Z1903" i="2" s="1"/>
  <c r="Y1903" i="2" a="1"/>
  <c r="Y1903" i="2" s="1"/>
  <c r="Y1901" i="2" a="1"/>
  <c r="Y1901" i="2" s="1"/>
  <c r="AI1899" i="2" a="1"/>
  <c r="AI1899" i="2" s="1"/>
  <c r="AE1899" i="2" a="1"/>
  <c r="AE1899" i="2" s="1"/>
  <c r="W1903" i="2" a="1"/>
  <c r="W1903" i="2" s="1"/>
  <c r="AC1902" i="2" a="1"/>
  <c r="AC1902" i="2" s="1"/>
  <c r="AJ1901" i="2" a="1"/>
  <c r="AJ1901" i="2" s="1"/>
  <c r="AJ1899" i="2" a="1"/>
  <c r="AJ1899" i="2" s="1"/>
  <c r="Z1902" i="2" a="1"/>
  <c r="Z1902" i="2" s="1"/>
  <c r="AE1901" i="2" a="1"/>
  <c r="AE1901" i="2" s="1"/>
  <c r="AB1900" i="2" a="1"/>
  <c r="AB1900" i="2" s="1"/>
  <c r="AJ1902" i="2" a="1"/>
  <c r="AJ1902" i="2" s="1"/>
  <c r="AG1901" i="2" a="1"/>
  <c r="AG1901" i="2" s="1"/>
  <c r="AB1901" i="2" a="1"/>
  <c r="AB1901" i="2" s="1"/>
  <c r="AB1903" i="2" a="1"/>
  <c r="AB1903" i="2" s="1"/>
  <c r="AH1902" i="2" a="1"/>
  <c r="AH1902" i="2" s="1"/>
  <c r="X1902" i="2" a="1"/>
  <c r="X1902" i="2" s="1"/>
  <c r="AH1901" i="2" a="1"/>
  <c r="AH1901" i="2" s="1"/>
  <c r="AD1899" i="2" a="1"/>
  <c r="AD1899" i="2" s="1"/>
  <c r="AE1902" i="2" a="1"/>
  <c r="AE1902" i="2" s="1"/>
  <c r="Z1901" i="2" a="1"/>
  <c r="Z1901" i="2" s="1"/>
  <c r="AD1902" i="2" a="1"/>
  <c r="AD1902" i="2" s="1"/>
  <c r="AH1899" i="2" a="1"/>
  <c r="AH1899" i="2" s="1"/>
  <c r="AC1900" i="2" a="1"/>
  <c r="AC1900" i="2" s="1"/>
  <c r="X1900" i="2" a="1"/>
  <c r="X1900" i="2" s="1"/>
  <c r="AD1900" i="2" a="1"/>
  <c r="AD1900" i="2" s="1"/>
  <c r="Z1900" i="2" a="1"/>
  <c r="Z1900" i="2" s="1"/>
  <c r="AA1903" i="2" a="1"/>
  <c r="AA1903" i="2" s="1"/>
  <c r="X1903" i="2" a="1"/>
  <c r="X1903" i="2" s="1"/>
  <c r="AI1902" i="2" a="1"/>
  <c r="AI1902" i="2" s="1"/>
  <c r="AF1902" i="2" a="1"/>
  <c r="AF1902" i="2" s="1"/>
  <c r="X1901" i="2" a="1"/>
  <c r="X1901" i="2" s="1"/>
  <c r="AE1900" i="2" a="1"/>
  <c r="AE1900" i="2" s="1"/>
  <c r="AG1902" i="2" a="1"/>
  <c r="AG1902" i="2" s="1"/>
  <c r="AB1902" i="2" a="1"/>
  <c r="AB1902" i="2" s="1"/>
  <c r="AF1901" i="2" a="1"/>
  <c r="AF1901" i="2" s="1"/>
  <c r="Y1900" i="2" a="1"/>
  <c r="Y1900" i="2" s="1"/>
  <c r="AA1901" i="2" a="1"/>
  <c r="AA1901" i="2" s="1"/>
  <c r="AA1902" i="2" a="1"/>
  <c r="AA1902" i="2" s="1"/>
  <c r="AD1901" i="2" a="1"/>
  <c r="AD1901" i="2" s="1"/>
  <c r="W1900" i="2" a="1"/>
  <c r="W1900" i="2" s="1"/>
  <c r="W1902" i="2" a="1"/>
  <c r="W1902" i="2" s="1"/>
  <c r="AG1900" i="2" a="1"/>
  <c r="AG1900" i="2" s="1"/>
  <c r="AF1900" i="2" a="1"/>
  <c r="AF1900" i="2" s="1"/>
  <c r="AH1900" i="2" a="1"/>
  <c r="AH1900" i="2" s="1"/>
  <c r="AG1899" i="2" a="1"/>
  <c r="AG1899" i="2" s="1"/>
  <c r="AF1899" i="2" a="1"/>
  <c r="AF1899" i="2" s="1"/>
  <c r="AC1901" i="2" a="1"/>
  <c r="AC1901" i="2" s="1"/>
  <c r="AA1900" i="2" a="1"/>
  <c r="AA1900" i="2" s="1"/>
  <c r="AB1898" i="2" a="1"/>
  <c r="AB1898" i="2" s="1"/>
  <c r="AD1896" i="2" a="1"/>
  <c r="AD1896" i="2" s="1"/>
  <c r="Z1898" i="2" a="1"/>
  <c r="Z1898" i="2" s="1"/>
  <c r="AF1897" i="2" a="1"/>
  <c r="AF1897" i="2" s="1"/>
  <c r="X1897" i="2" a="1"/>
  <c r="X1897" i="2" s="1"/>
  <c r="AC1895" i="2" a="1"/>
  <c r="AC1895" i="2" s="1"/>
  <c r="W1895" i="2" a="1"/>
  <c r="W1895" i="2" s="1"/>
  <c r="AH1898" i="2" a="1"/>
  <c r="AH1898" i="2" s="1"/>
  <c r="AG1898" i="2" a="1"/>
  <c r="AG1898" i="2" s="1"/>
  <c r="AG1895" i="2" a="1"/>
  <c r="AG1895" i="2" s="1"/>
  <c r="AF1898" i="2" a="1"/>
  <c r="AF1898" i="2" s="1"/>
  <c r="AC1899" i="2" a="1"/>
  <c r="AC1899" i="2" s="1"/>
  <c r="AC1897" i="2" a="1"/>
  <c r="AC1897" i="2" s="1"/>
  <c r="AC1898" i="2" a="1"/>
  <c r="AC1898" i="2" s="1"/>
  <c r="AD1895" i="2" a="1"/>
  <c r="AD1895" i="2" s="1"/>
  <c r="AG1896" i="2" a="1"/>
  <c r="AG1896" i="2" s="1"/>
  <c r="Z1897" i="2" a="1"/>
  <c r="Z1897" i="2" s="1"/>
  <c r="AI1895" i="2" a="1"/>
  <c r="AI1895" i="2" s="1"/>
  <c r="AH1896" i="2" a="1"/>
  <c r="AH1896" i="2" s="1"/>
  <c r="AB1899" i="2" a="1"/>
  <c r="AB1899" i="2" s="1"/>
  <c r="AJ1898" i="2" a="1"/>
  <c r="AJ1898" i="2" s="1"/>
  <c r="AJ1897" i="2" a="1"/>
  <c r="AJ1897" i="2" s="1"/>
  <c r="AE1897" i="2" a="1"/>
  <c r="AE1897" i="2" s="1"/>
  <c r="AE1896" i="2" a="1"/>
  <c r="AE1896" i="2" s="1"/>
  <c r="AA1899" i="2" a="1"/>
  <c r="AA1899" i="2" s="1"/>
  <c r="Z1899" i="2" a="1"/>
  <c r="Z1899" i="2" s="1"/>
  <c r="Y1899" i="2" a="1"/>
  <c r="Y1899" i="2" s="1"/>
  <c r="X1899" i="2" a="1"/>
  <c r="X1899" i="2" s="1"/>
  <c r="X1898" i="2" a="1"/>
  <c r="X1898" i="2" s="1"/>
  <c r="W1898" i="2" a="1"/>
  <c r="W1898" i="2" s="1"/>
  <c r="Y1897" i="2" a="1"/>
  <c r="Y1897" i="2" s="1"/>
  <c r="AC1896" i="2" a="1"/>
  <c r="AC1896" i="2" s="1"/>
  <c r="X1895" i="2" a="1"/>
  <c r="X1895" i="2" s="1"/>
  <c r="AA1896" i="2" a="1"/>
  <c r="AA1896" i="2" s="1"/>
  <c r="Z1896" i="2" a="1"/>
  <c r="Z1896" i="2" s="1"/>
  <c r="AB1895" i="2" a="1"/>
  <c r="AB1895" i="2" s="1"/>
  <c r="AI1898" i="2" a="1"/>
  <c r="AI1898" i="2" s="1"/>
  <c r="AD1898" i="2" a="1"/>
  <c r="AD1898" i="2" s="1"/>
  <c r="AE1898" i="2" a="1"/>
  <c r="AE1898" i="2" s="1"/>
  <c r="AA1898" i="2" a="1"/>
  <c r="AA1898" i="2" s="1"/>
  <c r="Y1898" i="2" a="1"/>
  <c r="Y1898" i="2" s="1"/>
  <c r="AI1897" i="2" a="1"/>
  <c r="AI1897" i="2" s="1"/>
  <c r="Y1896" i="2" a="1"/>
  <c r="Y1896" i="2" s="1"/>
  <c r="Z1895" i="2" a="1"/>
  <c r="Z1895" i="2" s="1"/>
  <c r="W1897" i="2" a="1"/>
  <c r="W1897" i="2" s="1"/>
  <c r="AA1897" i="2" a="1"/>
  <c r="AA1897" i="2" s="1"/>
  <c r="AA1895" i="2" a="1"/>
  <c r="AA1895" i="2" s="1"/>
  <c r="W1896" i="2" a="1"/>
  <c r="W1896" i="2" s="1"/>
  <c r="AH1897" i="2" a="1"/>
  <c r="AH1897" i="2" s="1"/>
  <c r="AD1897" i="2" a="1"/>
  <c r="AD1897" i="2" s="1"/>
  <c r="AH1895" i="2" a="1"/>
  <c r="AH1895" i="2" s="1"/>
  <c r="AG1897" i="2" a="1"/>
  <c r="AG1897" i="2" s="1"/>
  <c r="AF1895" i="2" a="1"/>
  <c r="AF1895" i="2" s="1"/>
  <c r="AJ1896" i="2" a="1"/>
  <c r="AJ1896" i="2" s="1"/>
  <c r="AB1897" i="2" a="1"/>
  <c r="AB1897" i="2" s="1"/>
  <c r="AJ1895" i="2" a="1"/>
  <c r="AJ1895" i="2" s="1"/>
  <c r="AI1896" i="2" a="1"/>
  <c r="AI1896" i="2" s="1"/>
  <c r="AE1895" i="2" a="1"/>
  <c r="AE1895" i="2" s="1"/>
  <c r="X1896" i="2" a="1"/>
  <c r="X1896" i="2" s="1"/>
  <c r="AF1896" i="2" a="1"/>
  <c r="AF1896" i="2" s="1"/>
  <c r="AB1896" i="2" a="1"/>
  <c r="AB1896" i="2" s="1"/>
  <c r="W1899" i="2" a="1"/>
  <c r="W1899" i="2" s="1"/>
  <c r="Y1895" i="2" a="1"/>
  <c r="Y1895" i="2" s="1"/>
  <c r="AJ1935" i="2" a="1"/>
  <c r="AJ1935" i="2" s="1"/>
  <c r="AF1891" i="2" a="1"/>
  <c r="AF1891" i="2" s="1"/>
  <c r="AJ1892" i="2" a="1"/>
  <c r="AJ1892" i="2" s="1"/>
  <c r="AF1936" i="2" a="1"/>
  <c r="AF1936" i="2" s="1"/>
  <c r="AJ1894" i="2" a="1"/>
  <c r="AJ1894" i="2" s="1"/>
  <c r="AI1894" i="2" a="1"/>
  <c r="AI1894" i="2" s="1"/>
  <c r="AH1894" i="2" a="1"/>
  <c r="AH1894" i="2" s="1"/>
  <c r="AG1894" i="2" a="1"/>
  <c r="AG1894" i="2" s="1"/>
  <c r="AC1894" i="2" a="1"/>
  <c r="AC1894" i="2" s="1"/>
  <c r="AB1894" i="2" a="1"/>
  <c r="AB1894" i="2" s="1"/>
  <c r="AF1893" i="2" a="1"/>
  <c r="AF1893" i="2" s="1"/>
  <c r="X1893" i="2" a="1"/>
  <c r="X1893" i="2" s="1"/>
  <c r="AI1893" i="2" a="1"/>
  <c r="AI1893" i="2" s="1"/>
  <c r="AG1893" i="2" a="1"/>
  <c r="AG1893" i="2" s="1"/>
  <c r="AB1892" i="2" a="1"/>
  <c r="AB1892" i="2" s="1"/>
  <c r="AH1891" i="2" a="1"/>
  <c r="AH1891" i="2" s="1"/>
  <c r="AE1893" i="2" a="1"/>
  <c r="AE1893" i="2" s="1"/>
  <c r="AG1891" i="2" a="1"/>
  <c r="AG1891" i="2" s="1"/>
  <c r="AA1891" i="2" a="1"/>
  <c r="AA1891" i="2" s="1"/>
  <c r="AB1891" i="2" a="1"/>
  <c r="AB1891" i="2" s="1"/>
  <c r="AD1890" i="2" a="1"/>
  <c r="AD1890" i="2" s="1"/>
  <c r="Y1891" i="2" a="1"/>
  <c r="Y1891" i="2" s="1"/>
  <c r="AA1893" i="2" a="1"/>
  <c r="AA1893" i="2" s="1"/>
  <c r="AC1893" i="2" a="1"/>
  <c r="AC1893" i="2" s="1"/>
  <c r="W1893" i="2" a="1"/>
  <c r="W1893" i="2" s="1"/>
  <c r="AB1893" i="2" a="1"/>
  <c r="AB1893" i="2" s="1"/>
  <c r="Y1893" i="2" a="1"/>
  <c r="Y1893" i="2" s="1"/>
  <c r="X1891" i="2" a="1"/>
  <c r="X1891" i="2" s="1"/>
  <c r="AI1890" i="2" a="1"/>
  <c r="AI1890" i="2" s="1"/>
  <c r="X1892" i="2" a="1"/>
  <c r="X1892" i="2" s="1"/>
  <c r="AC1892" i="2" a="1"/>
  <c r="AC1892" i="2" s="1"/>
  <c r="AI1891" i="2" a="1"/>
  <c r="AI1891" i="2" s="1"/>
  <c r="AH1890" i="2" a="1"/>
  <c r="AH1890" i="2" s="1"/>
  <c r="AI1892" i="2" a="1"/>
  <c r="AI1892" i="2" s="1"/>
  <c r="AD1892" i="2" a="1"/>
  <c r="AD1892" i="2" s="1"/>
  <c r="AJ1891" i="2" a="1"/>
  <c r="AJ1891" i="2" s="1"/>
  <c r="AC1891" i="2" a="1"/>
  <c r="AC1891" i="2" s="1"/>
  <c r="AE1890" i="2" a="1"/>
  <c r="AE1890" i="2" s="1"/>
  <c r="AF1894" i="2" a="1"/>
  <c r="AF1894" i="2" s="1"/>
  <c r="AE1894" i="2" a="1"/>
  <c r="AE1894" i="2" s="1"/>
  <c r="AD1894" i="2" a="1"/>
  <c r="AD1894" i="2" s="1"/>
  <c r="AA1894" i="2" a="1"/>
  <c r="AA1894" i="2" s="1"/>
  <c r="Z1894" i="2" a="1"/>
  <c r="Z1894" i="2" s="1"/>
  <c r="X1894" i="2" a="1"/>
  <c r="X1894" i="2" s="1"/>
  <c r="AD1891" i="2" a="1"/>
  <c r="AD1891" i="2" s="1"/>
  <c r="W1891" i="2" a="1"/>
  <c r="W1891" i="2" s="1"/>
  <c r="Z1891" i="2" a="1"/>
  <c r="Z1891" i="2" s="1"/>
  <c r="AF1890" i="2" a="1"/>
  <c r="AF1890" i="2" s="1"/>
  <c r="AD1893" i="2" a="1"/>
  <c r="AD1893" i="2" s="1"/>
  <c r="AH1893" i="2" a="1"/>
  <c r="AH1893" i="2" s="1"/>
  <c r="Z1893" i="2" a="1"/>
  <c r="Z1893" i="2" s="1"/>
  <c r="AF1892" i="2" a="1"/>
  <c r="AF1892" i="2" s="1"/>
  <c r="AE1892" i="2" a="1"/>
  <c r="AE1892" i="2" s="1"/>
  <c r="W1892" i="2" a="1"/>
  <c r="W1892" i="2" s="1"/>
  <c r="AJ1890" i="2" a="1"/>
  <c r="AJ1890" i="2" s="1"/>
  <c r="Y1894" i="2" a="1"/>
  <c r="Y1894" i="2" s="1"/>
  <c r="Z1892" i="2" a="1"/>
  <c r="Z1892" i="2" s="1"/>
  <c r="W1894" i="2" a="1"/>
  <c r="W1894" i="2" s="1"/>
  <c r="AJ1893" i="2" a="1"/>
  <c r="AJ1893" i="2" s="1"/>
  <c r="AH1892" i="2" a="1"/>
  <c r="AH1892" i="2" s="1"/>
  <c r="AA1892" i="2" a="1"/>
  <c r="AA1892" i="2" s="1"/>
  <c r="Y1892" i="2" a="1"/>
  <c r="Y1892" i="2" s="1"/>
  <c r="AE1891" i="2" a="1"/>
  <c r="AE1891" i="2" s="1"/>
  <c r="AG1890" i="2" a="1"/>
  <c r="AG1890" i="2" s="1"/>
  <c r="AG1892" i="2" a="1"/>
  <c r="AG1892" i="2" s="1"/>
  <c r="AH1889" i="2" a="1"/>
  <c r="AH1889" i="2" s="1"/>
  <c r="AG1889" i="2" a="1"/>
  <c r="AG1889" i="2" s="1"/>
  <c r="AJ1888" i="2" a="1"/>
  <c r="AJ1888" i="2" s="1"/>
  <c r="W1888" i="2" a="1"/>
  <c r="W1888" i="2" s="1"/>
  <c r="Z1887" i="2" a="1"/>
  <c r="Z1887" i="2" s="1"/>
  <c r="AE1889" i="2" a="1"/>
  <c r="AE1889" i="2" s="1"/>
  <c r="AJ1886" i="2" a="1"/>
  <c r="AJ1886" i="2" s="1"/>
  <c r="AH1886" i="2" a="1"/>
  <c r="AH1886" i="2" s="1"/>
  <c r="Z1889" i="2" a="1"/>
  <c r="Z1889" i="2" s="1"/>
  <c r="AC1888" i="2" a="1"/>
  <c r="AC1888" i="2" s="1"/>
  <c r="X1888" i="2" a="1"/>
  <c r="X1888" i="2" s="1"/>
  <c r="X1886" i="2" a="1"/>
  <c r="X1886" i="2" s="1"/>
  <c r="AF1889" i="2" a="1"/>
  <c r="AF1889" i="2" s="1"/>
  <c r="AA1887" i="2" a="1"/>
  <c r="AA1887" i="2" s="1"/>
  <c r="AC1889" i="2" a="1"/>
  <c r="AC1889" i="2" s="1"/>
  <c r="AH1888" i="2" a="1"/>
  <c r="AH1888" i="2" s="1"/>
  <c r="Y1889" i="2" a="1"/>
  <c r="Y1889" i="2" s="1"/>
  <c r="AE1887" i="2" a="1"/>
  <c r="AE1887" i="2" s="1"/>
  <c r="AC1887" i="2" a="1"/>
  <c r="AC1887" i="2" s="1"/>
  <c r="AD1888" i="2" a="1"/>
  <c r="AD1888" i="2" s="1"/>
  <c r="AD1886" i="2" a="1"/>
  <c r="AD1886" i="2" s="1"/>
  <c r="AA1888" i="2" a="1"/>
  <c r="AA1888" i="2" s="1"/>
  <c r="AF1887" i="2" a="1"/>
  <c r="AF1887" i="2" s="1"/>
  <c r="AA1889" i="2" a="1"/>
  <c r="AA1889" i="2" s="1"/>
  <c r="W1889" i="2" a="1"/>
  <c r="W1889" i="2" s="1"/>
  <c r="AG1888" i="2" a="1"/>
  <c r="AG1888" i="2" s="1"/>
  <c r="AC1886" i="2" a="1"/>
  <c r="AC1886" i="2" s="1"/>
  <c r="Y1888" i="2" a="1"/>
  <c r="Y1888" i="2" s="1"/>
  <c r="W1887" i="2" a="1"/>
  <c r="W1887" i="2" s="1"/>
  <c r="Y1886" i="2" a="1"/>
  <c r="Y1886" i="2" s="1"/>
  <c r="AD1889" i="2" a="1"/>
  <c r="AD1889" i="2" s="1"/>
  <c r="AG1886" i="2" a="1"/>
  <c r="AG1886" i="2" s="1"/>
  <c r="AB1888" i="2" a="1"/>
  <c r="AB1888" i="2" s="1"/>
  <c r="AB1887" i="2" a="1"/>
  <c r="AB1887" i="2" s="1"/>
  <c r="AJ1887" i="2" a="1"/>
  <c r="AJ1887" i="2" s="1"/>
  <c r="AI1935" i="2" a="1"/>
  <c r="AI1935" i="2" s="1"/>
  <c r="AF1886" i="2" a="1"/>
  <c r="AF1886" i="2" s="1"/>
  <c r="AA1886" i="2" a="1"/>
  <c r="AA1886" i="2" s="1"/>
  <c r="AC1890" i="2" a="1"/>
  <c r="AC1890" i="2" s="1"/>
  <c r="AH1887" i="2" a="1"/>
  <c r="AH1887" i="2" s="1"/>
  <c r="W1886" i="2" a="1"/>
  <c r="W1886" i="2" s="1"/>
  <c r="AB1890" i="2" a="1"/>
  <c r="AB1890" i="2" s="1"/>
  <c r="Z1890" i="2" a="1"/>
  <c r="Z1890" i="2" s="1"/>
  <c r="X1889" i="2" a="1"/>
  <c r="X1889" i="2" s="1"/>
  <c r="AB1886" i="2" a="1"/>
  <c r="AB1886" i="2" s="1"/>
  <c r="AD1887" i="2" a="1"/>
  <c r="AD1887" i="2" s="1"/>
  <c r="AE1886" i="2" a="1"/>
  <c r="AE1886" i="2" s="1"/>
  <c r="AF1888" i="2" a="1"/>
  <c r="AF1888" i="2" s="1"/>
  <c r="X1887" i="2" a="1"/>
  <c r="X1887" i="2" s="1"/>
  <c r="AA1890" i="2" a="1"/>
  <c r="AA1890" i="2" s="1"/>
  <c r="AB1889" i="2" a="1"/>
  <c r="AB1889" i="2" s="1"/>
  <c r="AI1887" i="2" a="1"/>
  <c r="AI1887" i="2" s="1"/>
  <c r="Z1888" i="2" a="1"/>
  <c r="Z1888" i="2" s="1"/>
  <c r="Y1890" i="2" a="1"/>
  <c r="Y1890" i="2" s="1"/>
  <c r="X1890" i="2" a="1"/>
  <c r="X1890" i="2" s="1"/>
  <c r="AG1887" i="2" a="1"/>
  <c r="AG1887" i="2" s="1"/>
  <c r="AE1888" i="2" a="1"/>
  <c r="AE1888" i="2" s="1"/>
  <c r="Y1887" i="2" a="1"/>
  <c r="Y1887" i="2" s="1"/>
  <c r="AI1886" i="2" a="1"/>
  <c r="AI1886" i="2" s="1"/>
  <c r="AI1888" i="2" a="1"/>
  <c r="AI1888" i="2" s="1"/>
  <c r="Z1886" i="2" a="1"/>
  <c r="Z1886" i="2" s="1"/>
  <c r="W1890" i="2" a="1"/>
  <c r="W1890" i="2" s="1"/>
  <c r="AJ1889" i="2" a="1"/>
  <c r="AJ1889" i="2" s="1"/>
  <c r="AI1889" i="2" a="1"/>
  <c r="AI1889" i="2" s="1"/>
  <c r="AH1881" i="2" a="1"/>
  <c r="AH1881" i="2" s="1"/>
  <c r="AC1882" i="2" a="1"/>
  <c r="AC1882" i="2" s="1"/>
  <c r="W1937" i="2" a="1"/>
  <c r="W1937" i="2" s="1"/>
  <c r="AG1882" i="2" a="1"/>
  <c r="AG1882" i="2" s="1"/>
  <c r="AJ1885" i="2" a="1"/>
  <c r="AJ1885" i="2" s="1"/>
  <c r="AI1885" i="2" a="1"/>
  <c r="AI1885" i="2" s="1"/>
  <c r="AI1883" i="2" a="1"/>
  <c r="AI1883" i="2" s="1"/>
  <c r="AG1883" i="2" a="1"/>
  <c r="AG1883" i="2" s="1"/>
  <c r="AH1885" i="2" a="1"/>
  <c r="AH1885" i="2" s="1"/>
  <c r="AI1884" i="2" a="1"/>
  <c r="AI1884" i="2" s="1"/>
  <c r="AF1884" i="2" a="1"/>
  <c r="AF1884" i="2" s="1"/>
  <c r="AE1884" i="2" a="1"/>
  <c r="AE1884" i="2" s="1"/>
  <c r="AG1885" i="2" a="1"/>
  <c r="AG1885" i="2" s="1"/>
  <c r="AF1885" i="2" a="1"/>
  <c r="AF1885" i="2" s="1"/>
  <c r="AD1885" i="2" a="1"/>
  <c r="AD1885" i="2" s="1"/>
  <c r="AF1883" i="2" a="1"/>
  <c r="AF1883" i="2" s="1"/>
  <c r="AE1885" i="2" a="1"/>
  <c r="AE1885" i="2" s="1"/>
  <c r="W1884" i="2" a="1"/>
  <c r="W1884" i="2" s="1"/>
  <c r="AJ1882" i="2" a="1"/>
  <c r="AJ1882" i="2" s="1"/>
  <c r="AD1884" i="2" a="1"/>
  <c r="AD1884" i="2" s="1"/>
  <c r="AA1882" i="2" a="1"/>
  <c r="AA1882" i="2" s="1"/>
  <c r="AC1885" i="2" a="1"/>
  <c r="AC1885" i="2" s="1"/>
  <c r="AA1884" i="2" a="1"/>
  <c r="AA1884" i="2" s="1"/>
  <c r="AB1884" i="2" a="1"/>
  <c r="AB1884" i="2" s="1"/>
  <c r="AF1881" i="2" a="1"/>
  <c r="AF1881" i="2" s="1"/>
  <c r="AB1885" i="2" a="1"/>
  <c r="AB1885" i="2" s="1"/>
  <c r="AG1881" i="2" a="1"/>
  <c r="AG1881" i="2" s="1"/>
  <c r="Z1885" i="2" a="1"/>
  <c r="Z1885" i="2" s="1"/>
  <c r="AC1884" i="2" a="1"/>
  <c r="AC1884" i="2" s="1"/>
  <c r="AJ1883" i="2" a="1"/>
  <c r="AJ1883" i="2" s="1"/>
  <c r="W1882" i="2" a="1"/>
  <c r="W1882" i="2" s="1"/>
  <c r="Y1885" i="2" a="1"/>
  <c r="Y1885" i="2" s="1"/>
  <c r="AE1883" i="2" a="1"/>
  <c r="AE1883" i="2" s="1"/>
  <c r="X1885" i="2" a="1"/>
  <c r="X1885" i="2" s="1"/>
  <c r="W1885" i="2" a="1"/>
  <c r="W1885" i="2" s="1"/>
  <c r="AJ1884" i="2" a="1"/>
  <c r="AJ1884" i="2" s="1"/>
  <c r="AH1884" i="2" a="1"/>
  <c r="AH1884" i="2" s="1"/>
  <c r="Y1884" i="2" a="1"/>
  <c r="Y1884" i="2" s="1"/>
  <c r="X1883" i="2" a="1"/>
  <c r="X1883" i="2" s="1"/>
  <c r="AH1882" i="2" a="1"/>
  <c r="AH1882" i="2" s="1"/>
  <c r="AB1882" i="2" a="1"/>
  <c r="AB1882" i="2" s="1"/>
  <c r="AG1884" i="2" a="1"/>
  <c r="AG1884" i="2" s="1"/>
  <c r="AB1883" i="2" a="1"/>
  <c r="AB1883" i="2" s="1"/>
  <c r="AC1883" i="2" a="1"/>
  <c r="AC1883" i="2" s="1"/>
  <c r="Y1883" i="2" a="1"/>
  <c r="Y1883" i="2" s="1"/>
  <c r="AF1882" i="2" a="1"/>
  <c r="AF1882" i="2" s="1"/>
  <c r="AD1882" i="2" a="1"/>
  <c r="AD1882" i="2" s="1"/>
  <c r="AI1881" i="2" a="1"/>
  <c r="AI1881" i="2" s="1"/>
  <c r="AD1881" i="2" a="1"/>
  <c r="AD1881" i="2" s="1"/>
  <c r="AE1881" i="2" a="1"/>
  <c r="AE1881" i="2" s="1"/>
  <c r="AH1883" i="2" a="1"/>
  <c r="AH1883" i="2" s="1"/>
  <c r="AA1883" i="2" a="1"/>
  <c r="AA1883" i="2" s="1"/>
  <c r="Z1883" i="2" a="1"/>
  <c r="Z1883" i="2" s="1"/>
  <c r="Y1882" i="2" a="1"/>
  <c r="Y1882" i="2" s="1"/>
  <c r="X1882" i="2" a="1"/>
  <c r="X1882" i="2" s="1"/>
  <c r="W1883" i="2" a="1"/>
  <c r="W1883" i="2" s="1"/>
  <c r="AE1882" i="2" a="1"/>
  <c r="AE1882" i="2" s="1"/>
  <c r="AJ1881" i="2" a="1"/>
  <c r="AJ1881" i="2" s="1"/>
  <c r="Z1882" i="2" a="1"/>
  <c r="Z1882" i="2" s="1"/>
  <c r="AA1885" i="2" a="1"/>
  <c r="AA1885" i="2" s="1"/>
  <c r="Z1884" i="2" a="1"/>
  <c r="Z1884" i="2" s="1"/>
  <c r="X1884" i="2" a="1"/>
  <c r="X1884" i="2" s="1"/>
  <c r="AI1882" i="2" a="1"/>
  <c r="AI1882" i="2" s="1"/>
  <c r="AD1883" i="2" a="1"/>
  <c r="AD1883" i="2" s="1"/>
  <c r="AA1879" i="2" a="1"/>
  <c r="AA1879" i="2" s="1"/>
  <c r="AF1877" i="2" a="1"/>
  <c r="AF1877" i="2" s="1"/>
  <c r="X1879" i="2" a="1"/>
  <c r="X1879" i="2" s="1"/>
  <c r="AG1878" i="2" a="1"/>
  <c r="AG1878" i="2" s="1"/>
  <c r="AA1878" i="2" a="1"/>
  <c r="AA1878" i="2" s="1"/>
  <c r="Z1878" i="2" a="1"/>
  <c r="Z1878" i="2" s="1"/>
  <c r="AH1877" i="2" a="1"/>
  <c r="AH1877" i="2" s="1"/>
  <c r="X1878" i="2" a="1"/>
  <c r="X1878" i="2" s="1"/>
  <c r="Y1878" i="2" a="1"/>
  <c r="Y1878" i="2" s="1"/>
  <c r="Z1877" i="2" a="1"/>
  <c r="Z1877" i="2" s="1"/>
  <c r="Y1877" i="2" a="1"/>
  <c r="Y1877" i="2" s="1"/>
  <c r="AJ1878" i="2" a="1"/>
  <c r="AJ1878" i="2" s="1"/>
  <c r="AD1878" i="2" a="1"/>
  <c r="AD1878" i="2" s="1"/>
  <c r="X1881" i="2" a="1"/>
  <c r="X1881" i="2" s="1"/>
  <c r="Z1879" i="2" a="1"/>
  <c r="Z1879" i="2" s="1"/>
  <c r="AI1877" i="2" a="1"/>
  <c r="AI1877" i="2" s="1"/>
  <c r="AI1878" i="2" a="1"/>
  <c r="AI1878" i="2" s="1"/>
  <c r="AF1879" i="2" a="1"/>
  <c r="AF1879" i="2" s="1"/>
  <c r="AE1879" i="2" a="1"/>
  <c r="AE1879" i="2" s="1"/>
  <c r="AF1880" i="2" a="1"/>
  <c r="AF1880" i="2" s="1"/>
  <c r="Y1880" i="2" a="1"/>
  <c r="Y1880" i="2" s="1"/>
  <c r="AC1878" i="2" a="1"/>
  <c r="AC1878" i="2" s="1"/>
  <c r="AA1877" i="2" a="1"/>
  <c r="AA1877" i="2" s="1"/>
  <c r="W1880" i="2" a="1"/>
  <c r="W1880" i="2" s="1"/>
  <c r="AG1879" i="2" a="1"/>
  <c r="AG1879" i="2" s="1"/>
  <c r="AD1879" i="2" a="1"/>
  <c r="AD1879" i="2" s="1"/>
  <c r="AI1879" i="2" a="1"/>
  <c r="AI1879" i="2" s="1"/>
  <c r="AD1877" i="2" a="1"/>
  <c r="AD1877" i="2" s="1"/>
  <c r="AH1879" i="2" a="1"/>
  <c r="AH1879" i="2" s="1"/>
  <c r="Y1879" i="2" a="1"/>
  <c r="Y1879" i="2" s="1"/>
  <c r="AH1878" i="2" a="1"/>
  <c r="AH1878" i="2" s="1"/>
  <c r="W1878" i="2" a="1"/>
  <c r="W1878" i="2" s="1"/>
  <c r="W1879" i="2" a="1"/>
  <c r="W1879" i="2" s="1"/>
  <c r="AF1878" i="2" a="1"/>
  <c r="AF1878" i="2" s="1"/>
  <c r="AJ1879" i="2" a="1"/>
  <c r="AJ1879" i="2" s="1"/>
  <c r="AH1935" i="2" a="1"/>
  <c r="AH1935" i="2" s="1"/>
  <c r="AC1881" i="2" a="1"/>
  <c r="AC1881" i="2" s="1"/>
  <c r="AJ1877" i="2" a="1"/>
  <c r="AJ1877" i="2" s="1"/>
  <c r="AB1881" i="2" a="1"/>
  <c r="AB1881" i="2" s="1"/>
  <c r="AA1881" i="2" a="1"/>
  <c r="AA1881" i="2" s="1"/>
  <c r="AC1879" i="2" a="1"/>
  <c r="AC1879" i="2" s="1"/>
  <c r="AD1880" i="2" a="1"/>
  <c r="AD1880" i="2" s="1"/>
  <c r="Z1880" i="2" a="1"/>
  <c r="Z1880" i="2" s="1"/>
  <c r="AG1877" i="2" a="1"/>
  <c r="AG1877" i="2" s="1"/>
  <c r="AH1880" i="2" a="1"/>
  <c r="AH1880" i="2" s="1"/>
  <c r="AB1880" i="2" a="1"/>
  <c r="AB1880" i="2" s="1"/>
  <c r="AA1880" i="2" a="1"/>
  <c r="AA1880" i="2" s="1"/>
  <c r="AB1878" i="2" a="1"/>
  <c r="AB1878" i="2" s="1"/>
  <c r="AC1877" i="2" a="1"/>
  <c r="AC1877" i="2" s="1"/>
  <c r="Z1881" i="2" a="1"/>
  <c r="Z1881" i="2" s="1"/>
  <c r="AE1880" i="2" a="1"/>
  <c r="AE1880" i="2" s="1"/>
  <c r="Y1881" i="2" a="1"/>
  <c r="Y1881" i="2" s="1"/>
  <c r="AI1880" i="2" a="1"/>
  <c r="AI1880" i="2" s="1"/>
  <c r="AE1878" i="2" a="1"/>
  <c r="AE1878" i="2" s="1"/>
  <c r="AC1880" i="2" a="1"/>
  <c r="AC1880" i="2" s="1"/>
  <c r="X1880" i="2" a="1"/>
  <c r="X1880" i="2" s="1"/>
  <c r="AB1877" i="2" a="1"/>
  <c r="AB1877" i="2" s="1"/>
  <c r="W1877" i="2" a="1"/>
  <c r="W1877" i="2" s="1"/>
  <c r="AE1877" i="2" a="1"/>
  <c r="AE1877" i="2" s="1"/>
  <c r="W1881" i="2" a="1"/>
  <c r="W1881" i="2" s="1"/>
  <c r="X1877" i="2" a="1"/>
  <c r="X1877" i="2" s="1"/>
  <c r="AJ1880" i="2" a="1"/>
  <c r="AJ1880" i="2" s="1"/>
  <c r="AG1880" i="2" a="1"/>
  <c r="AG1880" i="2" s="1"/>
  <c r="AB1879" i="2" a="1"/>
  <c r="AB1879" i="2" s="1"/>
  <c r="AH1874" i="2" a="1"/>
  <c r="AH1874" i="2" s="1"/>
  <c r="AE1936" i="2" a="1"/>
  <c r="AE1936" i="2" s="1"/>
  <c r="AJ1876" i="2" a="1"/>
  <c r="AJ1876" i="2" s="1"/>
  <c r="Z1873" i="2" a="1"/>
  <c r="Z1873" i="2" s="1"/>
  <c r="AI1876" i="2" a="1"/>
  <c r="AI1876" i="2" s="1"/>
  <c r="AH1876" i="2" a="1"/>
  <c r="AH1876" i="2" s="1"/>
  <c r="X1876" i="2" a="1"/>
  <c r="X1876" i="2" s="1"/>
  <c r="AG1876" i="2" a="1"/>
  <c r="AG1876" i="2" s="1"/>
  <c r="AD1875" i="2" a="1"/>
  <c r="AD1875" i="2" s="1"/>
  <c r="Y1874" i="2" a="1"/>
  <c r="Y1874" i="2" s="1"/>
  <c r="AA1875" i="2" a="1"/>
  <c r="AA1875" i="2" s="1"/>
  <c r="Z1875" i="2" a="1"/>
  <c r="Z1875" i="2" s="1"/>
  <c r="AE1876" i="2" a="1"/>
  <c r="AE1876" i="2" s="1"/>
  <c r="AB1874" i="2" a="1"/>
  <c r="AB1874" i="2" s="1"/>
  <c r="AA1876" i="2" a="1"/>
  <c r="AA1876" i="2" s="1"/>
  <c r="X1873" i="2" a="1"/>
  <c r="X1873" i="2" s="1"/>
  <c r="AC1873" i="2" a="1"/>
  <c r="AC1873" i="2" s="1"/>
  <c r="X1875" i="2" a="1"/>
  <c r="X1875" i="2" s="1"/>
  <c r="AD1873" i="2" a="1"/>
  <c r="AD1873" i="2" s="1"/>
  <c r="Y1875" i="2" a="1"/>
  <c r="Y1875" i="2" s="1"/>
  <c r="Z1874" i="2" a="1"/>
  <c r="Z1874" i="2" s="1"/>
  <c r="AJ1872" i="2" a="1"/>
  <c r="AJ1872" i="2" s="1"/>
  <c r="AI1872" i="2" a="1"/>
  <c r="AI1872" i="2" s="1"/>
  <c r="AD1876" i="2" a="1"/>
  <c r="AD1876" i="2" s="1"/>
  <c r="AD1874" i="2" a="1"/>
  <c r="AD1874" i="2" s="1"/>
  <c r="AE1872" i="2" a="1"/>
  <c r="AE1872" i="2" s="1"/>
  <c r="AF1876" i="2" a="1"/>
  <c r="AF1876" i="2" s="1"/>
  <c r="AA1873" i="2" a="1"/>
  <c r="AA1873" i="2" s="1"/>
  <c r="W1874" i="2" a="1"/>
  <c r="W1874" i="2" s="1"/>
  <c r="AC1876" i="2" a="1"/>
  <c r="AC1876" i="2" s="1"/>
  <c r="AB1876" i="2" a="1"/>
  <c r="AB1876" i="2" s="1"/>
  <c r="AG1873" i="2" a="1"/>
  <c r="AG1873" i="2" s="1"/>
  <c r="AJ1874" i="2" a="1"/>
  <c r="AJ1874" i="2" s="1"/>
  <c r="X1874" i="2" a="1"/>
  <c r="X1874" i="2" s="1"/>
  <c r="Z1876" i="2" a="1"/>
  <c r="Z1876" i="2" s="1"/>
  <c r="Y1876" i="2" a="1"/>
  <c r="Y1876" i="2" s="1"/>
  <c r="W1876" i="2" a="1"/>
  <c r="W1876" i="2" s="1"/>
  <c r="AJ1875" i="2" a="1"/>
  <c r="AJ1875" i="2" s="1"/>
  <c r="AE1874" i="2" a="1"/>
  <c r="AE1874" i="2" s="1"/>
  <c r="AI1875" i="2" a="1"/>
  <c r="AI1875" i="2" s="1"/>
  <c r="AD1872" i="2" a="1"/>
  <c r="AD1872" i="2" s="1"/>
  <c r="AF1874" i="2" a="1"/>
  <c r="AF1874" i="2" s="1"/>
  <c r="AH1875" i="2" a="1"/>
  <c r="AH1875" i="2" s="1"/>
  <c r="W1873" i="2" a="1"/>
  <c r="W1873" i="2" s="1"/>
  <c r="W1875" i="2" a="1"/>
  <c r="W1875" i="2" s="1"/>
  <c r="AG1872" i="2" a="1"/>
  <c r="AG1872" i="2" s="1"/>
  <c r="AB1873" i="2" a="1"/>
  <c r="AB1873" i="2" s="1"/>
  <c r="AG1874" i="2" a="1"/>
  <c r="AG1874" i="2" s="1"/>
  <c r="AH1872" i="2" a="1"/>
  <c r="AH1872" i="2" s="1"/>
  <c r="AG1875" i="2" a="1"/>
  <c r="AG1875" i="2" s="1"/>
  <c r="AE1875" i="2" a="1"/>
  <c r="AE1875" i="2" s="1"/>
  <c r="AJ1873" i="2" a="1"/>
  <c r="AJ1873" i="2" s="1"/>
  <c r="AC1875" i="2" a="1"/>
  <c r="AC1875" i="2" s="1"/>
  <c r="AI1873" i="2" a="1"/>
  <c r="AI1873" i="2" s="1"/>
  <c r="AF1875" i="2" a="1"/>
  <c r="AF1875" i="2" s="1"/>
  <c r="AB1875" i="2" a="1"/>
  <c r="AB1875" i="2" s="1"/>
  <c r="AA1874" i="2" a="1"/>
  <c r="AA1874" i="2" s="1"/>
  <c r="AE1873" i="2" a="1"/>
  <c r="AE1873" i="2" s="1"/>
  <c r="AI1874" i="2" a="1"/>
  <c r="AI1874" i="2" s="1"/>
  <c r="AH1873" i="2" a="1"/>
  <c r="AH1873" i="2" s="1"/>
  <c r="Y1873" i="2" a="1"/>
  <c r="Y1873" i="2" s="1"/>
  <c r="AC1874" i="2" a="1"/>
  <c r="AC1874" i="2" s="1"/>
  <c r="AF1873" i="2" a="1"/>
  <c r="AF1873" i="2" s="1"/>
  <c r="AF1872" i="2" a="1"/>
  <c r="AF1872" i="2" s="1"/>
  <c r="Y1871" i="2" a="1"/>
  <c r="Y1871" i="2" s="1"/>
  <c r="AG1868" i="2" a="1"/>
  <c r="AG1868" i="2" s="1"/>
  <c r="AG1935" i="2" a="1"/>
  <c r="AG1935" i="2" s="1"/>
  <c r="Y1870" i="2" a="1"/>
  <c r="Y1870" i="2" s="1"/>
  <c r="AC1871" i="2" a="1"/>
  <c r="AC1871" i="2" s="1"/>
  <c r="AB1871" i="2" a="1"/>
  <c r="AB1871" i="2" s="1"/>
  <c r="AI1870" i="2" a="1"/>
  <c r="AI1870" i="2" s="1"/>
  <c r="AH1870" i="2" a="1"/>
  <c r="AH1870" i="2" s="1"/>
  <c r="AG1870" i="2" a="1"/>
  <c r="AG1870" i="2" s="1"/>
  <c r="W1869" i="2" a="1"/>
  <c r="W1869" i="2" s="1"/>
  <c r="Z1870" i="2" a="1"/>
  <c r="Z1870" i="2" s="1"/>
  <c r="AC1872" i="2" a="1"/>
  <c r="AC1872" i="2" s="1"/>
  <c r="AB1872" i="2" a="1"/>
  <c r="AB1872" i="2" s="1"/>
  <c r="Y1872" i="2" a="1"/>
  <c r="Y1872" i="2" s="1"/>
  <c r="AI1871" i="2" a="1"/>
  <c r="AI1871" i="2" s="1"/>
  <c r="AD1870" i="2" a="1"/>
  <c r="AD1870" i="2" s="1"/>
  <c r="AH1871" i="2" a="1"/>
  <c r="AH1871" i="2" s="1"/>
  <c r="AD1871" i="2" a="1"/>
  <c r="AD1871" i="2" s="1"/>
  <c r="AC1870" i="2" a="1"/>
  <c r="AC1870" i="2" s="1"/>
  <c r="AF1869" i="2" a="1"/>
  <c r="AF1869" i="2" s="1"/>
  <c r="AE1869" i="2" a="1"/>
  <c r="AE1869" i="2" s="1"/>
  <c r="X1869" i="2" a="1"/>
  <c r="X1869" i="2" s="1"/>
  <c r="AB1868" i="2" a="1"/>
  <c r="AB1868" i="2" s="1"/>
  <c r="W1871" i="2" a="1"/>
  <c r="W1871" i="2" s="1"/>
  <c r="AG1869" i="2" a="1"/>
  <c r="AG1869" i="2" s="1"/>
  <c r="X1871" i="2" a="1"/>
  <c r="X1871" i="2" s="1"/>
  <c r="AD1869" i="2" a="1"/>
  <c r="AD1869" i="2" s="1"/>
  <c r="AE1868" i="2" a="1"/>
  <c r="AE1868" i="2" s="1"/>
  <c r="AI1868" i="2" a="1"/>
  <c r="AI1868" i="2" s="1"/>
  <c r="AA1870" i="2" a="1"/>
  <c r="AA1870" i="2" s="1"/>
  <c r="W1870" i="2" a="1"/>
  <c r="W1870" i="2" s="1"/>
  <c r="AA1872" i="2" a="1"/>
  <c r="AA1872" i="2" s="1"/>
  <c r="AA1868" i="2" a="1"/>
  <c r="AA1868" i="2" s="1"/>
  <c r="AJ1868" i="2" a="1"/>
  <c r="AJ1868" i="2" s="1"/>
  <c r="X1870" i="2" a="1"/>
  <c r="X1870" i="2" s="1"/>
  <c r="W1872" i="2" a="1"/>
  <c r="W1872" i="2" s="1"/>
  <c r="AI1869" i="2" a="1"/>
  <c r="AI1869" i="2" s="1"/>
  <c r="AB1869" i="2" a="1"/>
  <c r="AB1869" i="2" s="1"/>
  <c r="X1872" i="2" a="1"/>
  <c r="X1872" i="2" s="1"/>
  <c r="AJ1871" i="2" a="1"/>
  <c r="AJ1871" i="2" s="1"/>
  <c r="AG1871" i="2" a="1"/>
  <c r="AG1871" i="2" s="1"/>
  <c r="AH1869" i="2" a="1"/>
  <c r="AH1869" i="2" s="1"/>
  <c r="X1868" i="2" a="1"/>
  <c r="X1868" i="2" s="1"/>
  <c r="Y1868" i="2" a="1"/>
  <c r="Y1868" i="2" s="1"/>
  <c r="AC1869" i="2" a="1"/>
  <c r="AC1869" i="2" s="1"/>
  <c r="AF1871" i="2" a="1"/>
  <c r="AF1871" i="2" s="1"/>
  <c r="Z1871" i="2" a="1"/>
  <c r="Z1871" i="2" s="1"/>
  <c r="AJ1869" i="2" a="1"/>
  <c r="AJ1869" i="2" s="1"/>
  <c r="AD1868" i="2" a="1"/>
  <c r="AD1868" i="2" s="1"/>
  <c r="AJ1870" i="2" a="1"/>
  <c r="AJ1870" i="2" s="1"/>
  <c r="AE1871" i="2" a="1"/>
  <c r="AE1871" i="2" s="1"/>
  <c r="AH1868" i="2" a="1"/>
  <c r="AH1868" i="2" s="1"/>
  <c r="AB1870" i="2" a="1"/>
  <c r="AB1870" i="2" s="1"/>
  <c r="AA1871" i="2" a="1"/>
  <c r="AA1871" i="2" s="1"/>
  <c r="W1868" i="2" a="1"/>
  <c r="W1868" i="2" s="1"/>
  <c r="Y1869" i="2" a="1"/>
  <c r="Y1869" i="2" s="1"/>
  <c r="AC1868" i="2" a="1"/>
  <c r="AC1868" i="2" s="1"/>
  <c r="AE1870" i="2" a="1"/>
  <c r="AE1870" i="2" s="1"/>
  <c r="AF1868" i="2" a="1"/>
  <c r="AF1868" i="2" s="1"/>
  <c r="AF1870" i="2" a="1"/>
  <c r="AF1870" i="2" s="1"/>
  <c r="AA1869" i="2" a="1"/>
  <c r="AA1869" i="2" s="1"/>
  <c r="Z1869" i="2" a="1"/>
  <c r="Z1869" i="2" s="1"/>
  <c r="Z1872" i="2" a="1"/>
  <c r="Z1872" i="2" s="1"/>
  <c r="Z1868" i="2" a="1"/>
  <c r="Z1868" i="2" s="1"/>
  <c r="AD1866" i="2" a="1"/>
  <c r="AD1866" i="2" s="1"/>
  <c r="AB1866" i="2" a="1"/>
  <c r="AB1866" i="2" s="1"/>
  <c r="Z1865" i="2" a="1"/>
  <c r="Z1865" i="2" s="1"/>
  <c r="AA1866" i="2" a="1"/>
  <c r="AA1866" i="2" s="1"/>
  <c r="W1866" i="2" a="1"/>
  <c r="W1866" i="2" s="1"/>
  <c r="AI1864" i="2" a="1"/>
  <c r="AI1864" i="2" s="1"/>
  <c r="AA1865" i="2" a="1"/>
  <c r="AA1865" i="2" s="1"/>
  <c r="Y1865" i="2" a="1"/>
  <c r="Y1865" i="2" s="1"/>
  <c r="X1864" i="2" a="1"/>
  <c r="X1864" i="2" s="1"/>
  <c r="AG1863" i="2" a="1"/>
  <c r="AG1863" i="2" s="1"/>
  <c r="Z1866" i="2" a="1"/>
  <c r="Z1866" i="2" s="1"/>
  <c r="X1866" i="2" a="1"/>
  <c r="X1866" i="2" s="1"/>
  <c r="X1865" i="2" a="1"/>
  <c r="X1865" i="2" s="1"/>
  <c r="AG1865" i="2" a="1"/>
  <c r="AG1865" i="2" s="1"/>
  <c r="AJ1865" i="2" a="1"/>
  <c r="AJ1865" i="2" s="1"/>
  <c r="W1865" i="2" a="1"/>
  <c r="W1865" i="2" s="1"/>
  <c r="AB1864" i="2" a="1"/>
  <c r="AB1864" i="2" s="1"/>
  <c r="AA1864" i="2" a="1"/>
  <c r="AA1864" i="2" s="1"/>
  <c r="AF1863" i="2" a="1"/>
  <c r="AF1863" i="2" s="1"/>
  <c r="AI1865" i="2" a="1"/>
  <c r="AI1865" i="2" s="1"/>
  <c r="AD1865" i="2" a="1"/>
  <c r="AD1865" i="2" s="1"/>
  <c r="AG1864" i="2" a="1"/>
  <c r="AG1864" i="2" s="1"/>
  <c r="AC1864" i="2" a="1"/>
  <c r="AC1864" i="2" s="1"/>
  <c r="Z1864" i="2" a="1"/>
  <c r="Z1864" i="2" s="1"/>
  <c r="AH1863" i="2" a="1"/>
  <c r="AH1863" i="2" s="1"/>
  <c r="AE1863" i="2" a="1"/>
  <c r="AE1863" i="2" s="1"/>
  <c r="AF1865" i="2" a="1"/>
  <c r="AF1865" i="2" s="1"/>
  <c r="AC1865" i="2" a="1"/>
  <c r="AC1865" i="2" s="1"/>
  <c r="AJ1863" i="2" a="1"/>
  <c r="AJ1863" i="2" s="1"/>
  <c r="AJ1864" i="2" a="1"/>
  <c r="AJ1864" i="2" s="1"/>
  <c r="AE1864" i="2" a="1"/>
  <c r="AE1864" i="2" s="1"/>
  <c r="AB1865" i="2" a="1"/>
  <c r="AB1865" i="2" s="1"/>
  <c r="AD1864" i="2" a="1"/>
  <c r="AD1864" i="2" s="1"/>
  <c r="W1864" i="2" a="1"/>
  <c r="W1864" i="2" s="1"/>
  <c r="AJ1866" i="2" a="1"/>
  <c r="AJ1866" i="2" s="1"/>
  <c r="AA1937" i="2" a="1"/>
  <c r="AA1937" i="2" s="1"/>
  <c r="AJ1867" i="2" a="1"/>
  <c r="AJ1867" i="2" s="1"/>
  <c r="AC1866" i="2" a="1"/>
  <c r="AC1866" i="2" s="1"/>
  <c r="AI1867" i="2" a="1"/>
  <c r="AI1867" i="2" s="1"/>
  <c r="Y1864" i="2" a="1"/>
  <c r="Y1864" i="2" s="1"/>
  <c r="AD1863" i="2" a="1"/>
  <c r="AD1863" i="2" s="1"/>
  <c r="AE1865" i="2" a="1"/>
  <c r="AE1865" i="2" s="1"/>
  <c r="AH1864" i="2" a="1"/>
  <c r="AH1864" i="2" s="1"/>
  <c r="AI1866" i="2" a="1"/>
  <c r="AI1866" i="2" s="1"/>
  <c r="AH1867" i="2" a="1"/>
  <c r="AH1867" i="2" s="1"/>
  <c r="AG1867" i="2" a="1"/>
  <c r="AG1867" i="2" s="1"/>
  <c r="AD1867" i="2" a="1"/>
  <c r="AD1867" i="2" s="1"/>
  <c r="AG1866" i="2" a="1"/>
  <c r="AG1866" i="2" s="1"/>
  <c r="AF1867" i="2" a="1"/>
  <c r="AF1867" i="2" s="1"/>
  <c r="AE1867" i="2" a="1"/>
  <c r="AE1867" i="2" s="1"/>
  <c r="Y1866" i="2" a="1"/>
  <c r="Y1866" i="2" s="1"/>
  <c r="AI1863" i="2" a="1"/>
  <c r="AI1863" i="2" s="1"/>
  <c r="AC1867" i="2" a="1"/>
  <c r="AC1867" i="2" s="1"/>
  <c r="AB1867" i="2" a="1"/>
  <c r="AB1867" i="2" s="1"/>
  <c r="AA1867" i="2" a="1"/>
  <c r="AA1867" i="2" s="1"/>
  <c r="Z1867" i="2" a="1"/>
  <c r="Z1867" i="2" s="1"/>
  <c r="AH1866" i="2" a="1"/>
  <c r="AH1866" i="2" s="1"/>
  <c r="AF1864" i="2" a="1"/>
  <c r="AF1864" i="2" s="1"/>
  <c r="AF1866" i="2" a="1"/>
  <c r="AF1866" i="2" s="1"/>
  <c r="Y1867" i="2" a="1"/>
  <c r="Y1867" i="2" s="1"/>
  <c r="X1867" i="2" a="1"/>
  <c r="X1867" i="2" s="1"/>
  <c r="W1867" i="2" a="1"/>
  <c r="W1867" i="2" s="1"/>
  <c r="AH1865" i="2" a="1"/>
  <c r="AH1865" i="2" s="1"/>
  <c r="AE1866" i="2" a="1"/>
  <c r="AE1866" i="2" s="1"/>
  <c r="AD1862" i="2" a="1"/>
  <c r="AD1862" i="2" s="1"/>
  <c r="AC1862" i="2" a="1"/>
  <c r="AC1862" i="2" s="1"/>
  <c r="AA1862" i="2" a="1"/>
  <c r="AA1862" i="2" s="1"/>
  <c r="W1861" i="2" a="1"/>
  <c r="W1861" i="2" s="1"/>
  <c r="AD1861" i="2" a="1"/>
  <c r="AD1861" i="2" s="1"/>
  <c r="Z1862" i="2" a="1"/>
  <c r="Z1862" i="2" s="1"/>
  <c r="Y1862" i="2" a="1"/>
  <c r="Y1862" i="2" s="1"/>
  <c r="X1862" i="2" a="1"/>
  <c r="X1862" i="2" s="1"/>
  <c r="AF1860" i="2" a="1"/>
  <c r="AF1860" i="2" s="1"/>
  <c r="AG1861" i="2" a="1"/>
  <c r="AG1861" i="2" s="1"/>
  <c r="X1861" i="2" a="1"/>
  <c r="X1861" i="2" s="1"/>
  <c r="AH1861" i="2" a="1"/>
  <c r="AH1861" i="2" s="1"/>
  <c r="AD1860" i="2" a="1"/>
  <c r="AD1860" i="2" s="1"/>
  <c r="Z1860" i="2" a="1"/>
  <c r="Z1860" i="2" s="1"/>
  <c r="AB1861" i="2" a="1"/>
  <c r="AB1861" i="2" s="1"/>
  <c r="AA1861" i="2" a="1"/>
  <c r="AA1861" i="2" s="1"/>
  <c r="AH1860" i="2" a="1"/>
  <c r="AH1860" i="2" s="1"/>
  <c r="AA1860" i="2" a="1"/>
  <c r="AA1860" i="2" s="1"/>
  <c r="Y1861" i="2" a="1"/>
  <c r="Y1861" i="2" s="1"/>
  <c r="AI1860" i="2" a="1"/>
  <c r="AI1860" i="2" s="1"/>
  <c r="W1860" i="2" a="1"/>
  <c r="W1860" i="2" s="1"/>
  <c r="AE1859" i="2" a="1"/>
  <c r="AE1859" i="2" s="1"/>
  <c r="AE1860" i="2" a="1"/>
  <c r="AE1860" i="2" s="1"/>
  <c r="AB1859" i="2" a="1"/>
  <c r="AB1859" i="2" s="1"/>
  <c r="AF1935" i="2" a="1"/>
  <c r="AF1935" i="2" s="1"/>
  <c r="AB1863" i="2" a="1"/>
  <c r="AB1863" i="2" s="1"/>
  <c r="Y1860" i="2" a="1"/>
  <c r="Y1860" i="2" s="1"/>
  <c r="AE1861" i="2" a="1"/>
  <c r="AE1861" i="2" s="1"/>
  <c r="AJ1859" i="2" a="1"/>
  <c r="AJ1859" i="2" s="1"/>
  <c r="AC1863" i="2" a="1"/>
  <c r="AC1863" i="2" s="1"/>
  <c r="AA1863" i="2" a="1"/>
  <c r="AA1863" i="2" s="1"/>
  <c r="Z1863" i="2" a="1"/>
  <c r="Z1863" i="2" s="1"/>
  <c r="X1863" i="2" a="1"/>
  <c r="X1863" i="2" s="1"/>
  <c r="AF1861" i="2" a="1"/>
  <c r="AF1861" i="2" s="1"/>
  <c r="AJ1860" i="2" a="1"/>
  <c r="AJ1860" i="2" s="1"/>
  <c r="AI1862" i="2" a="1"/>
  <c r="AI1862" i="2" s="1"/>
  <c r="AH1862" i="2" a="1"/>
  <c r="AH1862" i="2" s="1"/>
  <c r="AE1862" i="2" a="1"/>
  <c r="AE1862" i="2" s="1"/>
  <c r="AJ1861" i="2" a="1"/>
  <c r="AJ1861" i="2" s="1"/>
  <c r="AG1860" i="2" a="1"/>
  <c r="AG1860" i="2" s="1"/>
  <c r="AC1859" i="2" a="1"/>
  <c r="AC1859" i="2" s="1"/>
  <c r="X1860" i="2" a="1"/>
  <c r="X1860" i="2" s="1"/>
  <c r="Z1859" i="2" a="1"/>
  <c r="Z1859" i="2" s="1"/>
  <c r="AG1859" i="2" a="1"/>
  <c r="AG1859" i="2" s="1"/>
  <c r="AF1859" i="2" a="1"/>
  <c r="AF1859" i="2" s="1"/>
  <c r="X1859" i="2" a="1"/>
  <c r="X1859" i="2" s="1"/>
  <c r="W1859" i="2" a="1"/>
  <c r="W1859" i="2" s="1"/>
  <c r="AC1861" i="2" a="1"/>
  <c r="AC1861" i="2" s="1"/>
  <c r="AB1860" i="2" a="1"/>
  <c r="AB1860" i="2" s="1"/>
  <c r="AF1862" i="2" a="1"/>
  <c r="AF1862" i="2" s="1"/>
  <c r="AA1859" i="2" a="1"/>
  <c r="AA1859" i="2" s="1"/>
  <c r="AC1860" i="2" a="1"/>
  <c r="AC1860" i="2" s="1"/>
  <c r="AI1859" i="2" a="1"/>
  <c r="AI1859" i="2" s="1"/>
  <c r="AH1859" i="2" a="1"/>
  <c r="AH1859" i="2" s="1"/>
  <c r="AD1859" i="2" a="1"/>
  <c r="AD1859" i="2" s="1"/>
  <c r="Y1859" i="2" a="1"/>
  <c r="Y1859" i="2" s="1"/>
  <c r="AI1861" i="2" a="1"/>
  <c r="AI1861" i="2" s="1"/>
  <c r="W1862" i="2" a="1"/>
  <c r="W1862" i="2" s="1"/>
  <c r="Y1863" i="2" a="1"/>
  <c r="Y1863" i="2" s="1"/>
  <c r="Z1861" i="2" a="1"/>
  <c r="Z1861" i="2" s="1"/>
  <c r="W1863" i="2" a="1"/>
  <c r="W1863" i="2" s="1"/>
  <c r="AJ1862" i="2" a="1"/>
  <c r="AJ1862" i="2" s="1"/>
  <c r="AG1862" i="2" a="1"/>
  <c r="AG1862" i="2" s="1"/>
  <c r="AB1862" i="2" a="1"/>
  <c r="AB1862" i="2" s="1"/>
  <c r="AD1936" i="2" a="1"/>
  <c r="AD1936" i="2" s="1"/>
  <c r="AF1857" i="2" a="1"/>
  <c r="AF1857" i="2" s="1"/>
  <c r="AC1857" i="2" a="1"/>
  <c r="AC1857" i="2" s="1"/>
  <c r="AJ1856" i="2" a="1"/>
  <c r="AJ1856" i="2" s="1"/>
  <c r="AD1857" i="2" a="1"/>
  <c r="AD1857" i="2" s="1"/>
  <c r="AA1857" i="2" a="1"/>
  <c r="AA1857" i="2" s="1"/>
  <c r="AF1854" i="2" a="1"/>
  <c r="AF1854" i="2" s="1"/>
  <c r="AD1854" i="2" a="1"/>
  <c r="AD1854" i="2" s="1"/>
  <c r="AJ1858" i="2" a="1"/>
  <c r="AJ1858" i="2" s="1"/>
  <c r="AB1857" i="2" a="1"/>
  <c r="AB1857" i="2" s="1"/>
  <c r="Y1858" i="2" a="1"/>
  <c r="Y1858" i="2" s="1"/>
  <c r="AH1856" i="2" a="1"/>
  <c r="AH1856" i="2" s="1"/>
  <c r="Z1857" i="2" a="1"/>
  <c r="Z1857" i="2" s="1"/>
  <c r="AI1858" i="2" a="1"/>
  <c r="AI1858" i="2" s="1"/>
  <c r="AA1855" i="2" a="1"/>
  <c r="AA1855" i="2" s="1"/>
  <c r="AH1858" i="2" a="1"/>
  <c r="AH1858" i="2" s="1"/>
  <c r="AG1858" i="2" a="1"/>
  <c r="AG1858" i="2" s="1"/>
  <c r="X1856" i="2" a="1"/>
  <c r="X1856" i="2" s="1"/>
  <c r="AF1855" i="2" a="1"/>
  <c r="AF1855" i="2" s="1"/>
  <c r="Z1858" i="2" a="1"/>
  <c r="Z1858" i="2" s="1"/>
  <c r="AF1856" i="2" a="1"/>
  <c r="AF1856" i="2" s="1"/>
  <c r="W1858" i="2" a="1"/>
  <c r="W1858" i="2" s="1"/>
  <c r="AJ1857" i="2" a="1"/>
  <c r="AJ1857" i="2" s="1"/>
  <c r="AF1858" i="2" a="1"/>
  <c r="AF1858" i="2" s="1"/>
  <c r="AE1858" i="2" a="1"/>
  <c r="AE1858" i="2" s="1"/>
  <c r="AC1856" i="2" a="1"/>
  <c r="AC1856" i="2" s="1"/>
  <c r="W1856" i="2" a="1"/>
  <c r="W1856" i="2" s="1"/>
  <c r="X1857" i="2" a="1"/>
  <c r="X1857" i="2" s="1"/>
  <c r="AI1856" i="2" a="1"/>
  <c r="AI1856" i="2" s="1"/>
  <c r="AG1854" i="2" a="1"/>
  <c r="AG1854" i="2" s="1"/>
  <c r="AD1858" i="2" a="1"/>
  <c r="AD1858" i="2" s="1"/>
  <c r="AB1858" i="2" a="1"/>
  <c r="AB1858" i="2" s="1"/>
  <c r="AE1857" i="2" a="1"/>
  <c r="AE1857" i="2" s="1"/>
  <c r="AA1858" i="2" a="1"/>
  <c r="AA1858" i="2" s="1"/>
  <c r="X1858" i="2" a="1"/>
  <c r="X1858" i="2" s="1"/>
  <c r="AH1857" i="2" a="1"/>
  <c r="AH1857" i="2" s="1"/>
  <c r="AA1856" i="2" a="1"/>
  <c r="AA1856" i="2" s="1"/>
  <c r="AI1855" i="2" a="1"/>
  <c r="AI1855" i="2" s="1"/>
  <c r="W1857" i="2" a="1"/>
  <c r="W1857" i="2" s="1"/>
  <c r="AG1856" i="2" a="1"/>
  <c r="AG1856" i="2" s="1"/>
  <c r="AB1856" i="2" a="1"/>
  <c r="AB1856" i="2" s="1"/>
  <c r="AJ1855" i="2" a="1"/>
  <c r="AJ1855" i="2" s="1"/>
  <c r="AC1855" i="2" a="1"/>
  <c r="AC1855" i="2" s="1"/>
  <c r="AD1855" i="2" a="1"/>
  <c r="AD1855" i="2" s="1"/>
  <c r="W1855" i="2" a="1"/>
  <c r="W1855" i="2" s="1"/>
  <c r="AJ1854" i="2" a="1"/>
  <c r="AJ1854" i="2" s="1"/>
  <c r="AG1857" i="2" a="1"/>
  <c r="AG1857" i="2" s="1"/>
  <c r="AC1858" i="2" a="1"/>
  <c r="AC1858" i="2" s="1"/>
  <c r="AI1857" i="2" a="1"/>
  <c r="AI1857" i="2" s="1"/>
  <c r="AH1854" i="2" a="1"/>
  <c r="AH1854" i="2" s="1"/>
  <c r="Y1857" i="2" a="1"/>
  <c r="Y1857" i="2" s="1"/>
  <c r="AE1856" i="2" a="1"/>
  <c r="AE1856" i="2" s="1"/>
  <c r="Z1855" i="2" a="1"/>
  <c r="Z1855" i="2" s="1"/>
  <c r="AD1856" i="2" a="1"/>
  <c r="AD1856" i="2" s="1"/>
  <c r="AB1855" i="2" a="1"/>
  <c r="AB1855" i="2" s="1"/>
  <c r="X1855" i="2" a="1"/>
  <c r="X1855" i="2" s="1"/>
  <c r="Z1856" i="2" a="1"/>
  <c r="Z1856" i="2" s="1"/>
  <c r="Y1856" i="2" a="1"/>
  <c r="Y1856" i="2" s="1"/>
  <c r="AE1854" i="2" a="1"/>
  <c r="AE1854" i="2" s="1"/>
  <c r="AI1854" i="2" a="1"/>
  <c r="AI1854" i="2" s="1"/>
  <c r="AH1855" i="2" a="1"/>
  <c r="AH1855" i="2" s="1"/>
  <c r="AG1855" i="2" a="1"/>
  <c r="AG1855" i="2" s="1"/>
  <c r="Y1855" i="2" a="1"/>
  <c r="Y1855" i="2" s="1"/>
  <c r="AE1855" i="2" a="1"/>
  <c r="AE1855" i="2" s="1"/>
  <c r="AE1852" i="2" a="1"/>
  <c r="AE1852" i="2" s="1"/>
  <c r="AA1852" i="2" a="1"/>
  <c r="AA1852" i="2" s="1"/>
  <c r="X1852" i="2" a="1"/>
  <c r="X1852" i="2" s="1"/>
  <c r="AD1850" i="2" a="1"/>
  <c r="AD1850" i="2" s="1"/>
  <c r="AE1851" i="2" a="1"/>
  <c r="AE1851" i="2" s="1"/>
  <c r="Z1851" i="2" a="1"/>
  <c r="Z1851" i="2" s="1"/>
  <c r="Y1851" i="2" a="1"/>
  <c r="Y1851" i="2" s="1"/>
  <c r="AJ1851" i="2" a="1"/>
  <c r="AJ1851" i="2" s="1"/>
  <c r="AA1851" i="2" a="1"/>
  <c r="AA1851" i="2" s="1"/>
  <c r="W1852" i="2" a="1"/>
  <c r="W1852" i="2" s="1"/>
  <c r="AE1850" i="2" a="1"/>
  <c r="AE1850" i="2" s="1"/>
  <c r="AI1851" i="2" a="1"/>
  <c r="AI1851" i="2" s="1"/>
  <c r="W1850" i="2" a="1"/>
  <c r="W1850" i="2" s="1"/>
  <c r="AE1935" i="2" a="1"/>
  <c r="AE1935" i="2" s="1"/>
  <c r="AG1853" i="2" a="1"/>
  <c r="AG1853" i="2" s="1"/>
  <c r="AC1854" i="2" a="1"/>
  <c r="AC1854" i="2" s="1"/>
  <c r="AG1851" i="2" a="1"/>
  <c r="AG1851" i="2" s="1"/>
  <c r="AA1854" i="2" a="1"/>
  <c r="AA1854" i="2" s="1"/>
  <c r="Y1854" i="2" a="1"/>
  <c r="Y1854" i="2" s="1"/>
  <c r="AB1853" i="2" a="1"/>
  <c r="AB1853" i="2" s="1"/>
  <c r="AH1852" i="2" a="1"/>
  <c r="AH1852" i="2" s="1"/>
  <c r="AH1850" i="2" a="1"/>
  <c r="AH1850" i="2" s="1"/>
  <c r="Z1852" i="2" a="1"/>
  <c r="Z1852" i="2" s="1"/>
  <c r="W1853" i="2" a="1"/>
  <c r="W1853" i="2" s="1"/>
  <c r="AC1852" i="2" a="1"/>
  <c r="AC1852" i="2" s="1"/>
  <c r="AJ1853" i="2" a="1"/>
  <c r="AJ1853" i="2" s="1"/>
  <c r="AD1852" i="2" a="1"/>
  <c r="AD1852" i="2" s="1"/>
  <c r="Y1853" i="2" a="1"/>
  <c r="Y1853" i="2" s="1"/>
  <c r="AF1851" i="2" a="1"/>
  <c r="AF1851" i="2" s="1"/>
  <c r="AF1850" i="2" a="1"/>
  <c r="AF1850" i="2" s="1"/>
  <c r="AI1850" i="2" a="1"/>
  <c r="AI1850" i="2" s="1"/>
  <c r="Z1853" i="2" a="1"/>
  <c r="Z1853" i="2" s="1"/>
  <c r="AD1851" i="2" a="1"/>
  <c r="AD1851" i="2" s="1"/>
  <c r="AA1850" i="2" a="1"/>
  <c r="AA1850" i="2" s="1"/>
  <c r="Z1850" i="2" a="1"/>
  <c r="Z1850" i="2" s="1"/>
  <c r="X1851" i="2" a="1"/>
  <c r="X1851" i="2" s="1"/>
  <c r="AB1854" i="2" a="1"/>
  <c r="AB1854" i="2" s="1"/>
  <c r="Z1854" i="2" a="1"/>
  <c r="Z1854" i="2" s="1"/>
  <c r="X1854" i="2" a="1"/>
  <c r="X1854" i="2" s="1"/>
  <c r="W1854" i="2" a="1"/>
  <c r="W1854" i="2" s="1"/>
  <c r="AI1853" i="2" a="1"/>
  <c r="AI1853" i="2" s="1"/>
  <c r="AJ1850" i="2" a="1"/>
  <c r="AJ1850" i="2" s="1"/>
  <c r="AC1850" i="2" a="1"/>
  <c r="AC1850" i="2" s="1"/>
  <c r="Y1850" i="2" a="1"/>
  <c r="Y1850" i="2" s="1"/>
  <c r="AH1853" i="2" a="1"/>
  <c r="AH1853" i="2" s="1"/>
  <c r="AE1853" i="2" a="1"/>
  <c r="AE1853" i="2" s="1"/>
  <c r="W1851" i="2" a="1"/>
  <c r="W1851" i="2" s="1"/>
  <c r="AG1852" i="2" a="1"/>
  <c r="AG1852" i="2" s="1"/>
  <c r="AJ1852" i="2" a="1"/>
  <c r="AJ1852" i="2" s="1"/>
  <c r="AB1852" i="2" a="1"/>
  <c r="AB1852" i="2" s="1"/>
  <c r="AF1853" i="2" a="1"/>
  <c r="AF1853" i="2" s="1"/>
  <c r="X1853" i="2" a="1"/>
  <c r="X1853" i="2" s="1"/>
  <c r="AG1850" i="2" a="1"/>
  <c r="AG1850" i="2" s="1"/>
  <c r="AC1851" i="2" a="1"/>
  <c r="AC1851" i="2" s="1"/>
  <c r="AD1853" i="2" a="1"/>
  <c r="AD1853" i="2" s="1"/>
  <c r="AC1853" i="2" a="1"/>
  <c r="AC1853" i="2" s="1"/>
  <c r="AA1853" i="2" a="1"/>
  <c r="AA1853" i="2" s="1"/>
  <c r="AH1851" i="2" a="1"/>
  <c r="AH1851" i="2" s="1"/>
  <c r="X1850" i="2" a="1"/>
  <c r="X1850" i="2" s="1"/>
  <c r="AB1851" i="2" a="1"/>
  <c r="AB1851" i="2" s="1"/>
  <c r="AB1850" i="2" a="1"/>
  <c r="AB1850" i="2" s="1"/>
  <c r="AI1852" i="2" a="1"/>
  <c r="AI1852" i="2" s="1"/>
  <c r="AF1852" i="2" a="1"/>
  <c r="AF1852" i="2" s="1"/>
  <c r="Y1852" i="2" a="1"/>
  <c r="Y1852" i="2" s="1"/>
  <c r="AH1846" i="2" a="1"/>
  <c r="AH1846" i="2" s="1"/>
  <c r="X1849" i="2" a="1"/>
  <c r="X1849" i="2" s="1"/>
  <c r="AG1848" i="2" a="1"/>
  <c r="AG1848" i="2" s="1"/>
  <c r="AF1848" i="2" a="1"/>
  <c r="AF1848" i="2" s="1"/>
  <c r="W1847" i="2" a="1"/>
  <c r="W1847" i="2" s="1"/>
  <c r="AE1848" i="2" a="1"/>
  <c r="AE1848" i="2" s="1"/>
  <c r="AH1847" i="2" a="1"/>
  <c r="AH1847" i="2" s="1"/>
  <c r="AC1847" i="2" a="1"/>
  <c r="AC1847" i="2" s="1"/>
  <c r="AF1846" i="2" a="1"/>
  <c r="AF1846" i="2" s="1"/>
  <c r="W1846" i="2" a="1"/>
  <c r="W1846" i="2" s="1"/>
  <c r="AE1846" i="2" a="1"/>
  <c r="AE1846" i="2" s="1"/>
  <c r="AI1848" i="2" a="1"/>
  <c r="AI1848" i="2" s="1"/>
  <c r="AD1848" i="2" a="1"/>
  <c r="AD1848" i="2" s="1"/>
  <c r="X1847" i="2" a="1"/>
  <c r="X1847" i="2" s="1"/>
  <c r="AB1846" i="2" a="1"/>
  <c r="AB1846" i="2" s="1"/>
  <c r="AD1845" i="2" a="1"/>
  <c r="AD1845" i="2" s="1"/>
  <c r="AJ1936" i="2" a="1"/>
  <c r="AJ1936" i="2" s="1"/>
  <c r="Y1846" i="2" a="1"/>
  <c r="Y1846" i="2" s="1"/>
  <c r="AJ1849" i="2" a="1"/>
  <c r="AJ1849" i="2" s="1"/>
  <c r="AI1849" i="2" a="1"/>
  <c r="AI1849" i="2" s="1"/>
  <c r="AH1849" i="2" a="1"/>
  <c r="AH1849" i="2" s="1"/>
  <c r="AI1847" i="2" a="1"/>
  <c r="AI1847" i="2" s="1"/>
  <c r="AG1845" i="2" a="1"/>
  <c r="AG1845" i="2" s="1"/>
  <c r="AH1845" i="2" a="1"/>
  <c r="AH1845" i="2" s="1"/>
  <c r="AD1847" i="2" a="1"/>
  <c r="AD1847" i="2" s="1"/>
  <c r="AF1849" i="2" a="1"/>
  <c r="AF1849" i="2" s="1"/>
  <c r="AG1846" i="2" a="1"/>
  <c r="AG1846" i="2" s="1"/>
  <c r="Z1848" i="2" a="1"/>
  <c r="Z1848" i="2" s="1"/>
  <c r="AF1847" i="2" a="1"/>
  <c r="AF1847" i="2" s="1"/>
  <c r="AA1846" i="2" a="1"/>
  <c r="AA1846" i="2" s="1"/>
  <c r="AB1847" i="2" a="1"/>
  <c r="AB1847" i="2" s="1"/>
  <c r="W1849" i="2" a="1"/>
  <c r="W1849" i="2" s="1"/>
  <c r="AA1849" i="2" a="1"/>
  <c r="AA1849" i="2" s="1"/>
  <c r="AG1847" i="2" a="1"/>
  <c r="AG1847" i="2" s="1"/>
  <c r="AG1849" i="2" a="1"/>
  <c r="AG1849" i="2" s="1"/>
  <c r="AE1849" i="2" a="1"/>
  <c r="AE1849" i="2" s="1"/>
  <c r="AJ1848" i="2" a="1"/>
  <c r="AJ1848" i="2" s="1"/>
  <c r="Z1847" i="2" a="1"/>
  <c r="Z1847" i="2" s="1"/>
  <c r="AE1845" i="2" a="1"/>
  <c r="AE1845" i="2" s="1"/>
  <c r="W1848" i="2" a="1"/>
  <c r="W1848" i="2" s="1"/>
  <c r="AD1849" i="2" a="1"/>
  <c r="AD1849" i="2" s="1"/>
  <c r="AC1849" i="2" a="1"/>
  <c r="AC1849" i="2" s="1"/>
  <c r="AB1849" i="2" a="1"/>
  <c r="AB1849" i="2" s="1"/>
  <c r="AC1848" i="2" a="1"/>
  <c r="AC1848" i="2" s="1"/>
  <c r="Y1847" i="2" a="1"/>
  <c r="Y1847" i="2" s="1"/>
  <c r="AA1848" i="2" a="1"/>
  <c r="AA1848" i="2" s="1"/>
  <c r="X1848" i="2" a="1"/>
  <c r="X1848" i="2" s="1"/>
  <c r="AA1847" i="2" a="1"/>
  <c r="AA1847" i="2" s="1"/>
  <c r="AI1846" i="2" a="1"/>
  <c r="AI1846" i="2" s="1"/>
  <c r="Y1848" i="2" a="1"/>
  <c r="Y1848" i="2" s="1"/>
  <c r="X1846" i="2" a="1"/>
  <c r="X1846" i="2" s="1"/>
  <c r="AE1847" i="2" a="1"/>
  <c r="AE1847" i="2" s="1"/>
  <c r="AJ1845" i="2" a="1"/>
  <c r="AJ1845" i="2" s="1"/>
  <c r="AJ1847" i="2" a="1"/>
  <c r="AJ1847" i="2" s="1"/>
  <c r="AJ1846" i="2" a="1"/>
  <c r="AJ1846" i="2" s="1"/>
  <c r="Z1846" i="2" a="1"/>
  <c r="Z1846" i="2" s="1"/>
  <c r="AC1846" i="2" a="1"/>
  <c r="AC1846" i="2" s="1"/>
  <c r="AI1845" i="2" a="1"/>
  <c r="AI1845" i="2" s="1"/>
  <c r="Y1849" i="2" a="1"/>
  <c r="Y1849" i="2" s="1"/>
  <c r="AD1846" i="2" a="1"/>
  <c r="AD1846" i="2" s="1"/>
  <c r="AF1845" i="2" a="1"/>
  <c r="AF1845" i="2" s="1"/>
  <c r="Z1849" i="2" a="1"/>
  <c r="Z1849" i="2" s="1"/>
  <c r="AB1848" i="2" a="1"/>
  <c r="AB1848" i="2" s="1"/>
  <c r="AH1848" i="2" a="1"/>
  <c r="AH1848" i="2" s="1"/>
  <c r="AD1841" i="2" a="1"/>
  <c r="AD1841" i="2" s="1"/>
  <c r="AE1844" i="2" a="1"/>
  <c r="AE1844" i="2" s="1"/>
  <c r="AI1844" i="2" a="1"/>
  <c r="AI1844" i="2" s="1"/>
  <c r="AF1841" i="2" a="1"/>
  <c r="AF1841" i="2" s="1"/>
  <c r="W1845" i="2" a="1"/>
  <c r="W1845" i="2" s="1"/>
  <c r="Z1844" i="2" a="1"/>
  <c r="Z1844" i="2" s="1"/>
  <c r="AF1843" i="2" a="1"/>
  <c r="AF1843" i="2" s="1"/>
  <c r="Z1843" i="2" a="1"/>
  <c r="Z1843" i="2" s="1"/>
  <c r="Y1843" i="2" a="1"/>
  <c r="Y1843" i="2" s="1"/>
  <c r="AE1842" i="2" a="1"/>
  <c r="AE1842" i="2" s="1"/>
  <c r="X1843" i="2" a="1"/>
  <c r="X1843" i="2" s="1"/>
  <c r="AB1844" i="2" a="1"/>
  <c r="AB1844" i="2" s="1"/>
  <c r="AA1841" i="2" a="1"/>
  <c r="AA1841" i="2" s="1"/>
  <c r="X1844" i="2" a="1"/>
  <c r="X1844" i="2" s="1"/>
  <c r="W1844" i="2" a="1"/>
  <c r="W1844" i="2" s="1"/>
  <c r="AJ1843" i="2" a="1"/>
  <c r="AJ1843" i="2" s="1"/>
  <c r="AI1841" i="2" a="1"/>
  <c r="AI1841" i="2" s="1"/>
  <c r="AH1843" i="2" a="1"/>
  <c r="AH1843" i="2" s="1"/>
  <c r="Z1842" i="2" a="1"/>
  <c r="Z1842" i="2" s="1"/>
  <c r="AG1843" i="2" a="1"/>
  <c r="AG1843" i="2" s="1"/>
  <c r="AF1842" i="2" a="1"/>
  <c r="AF1842" i="2" s="1"/>
  <c r="AJ1841" i="2" a="1"/>
  <c r="AJ1841" i="2" s="1"/>
  <c r="W1841" i="2" a="1"/>
  <c r="W1841" i="2" s="1"/>
  <c r="AE1843" i="2" a="1"/>
  <c r="AE1843" i="2" s="1"/>
  <c r="AI1843" i="2" a="1"/>
  <c r="AI1843" i="2" s="1"/>
  <c r="X1842" i="2" a="1"/>
  <c r="X1842" i="2" s="1"/>
  <c r="AG1841" i="2" a="1"/>
  <c r="AG1841" i="2" s="1"/>
  <c r="Z1841" i="2" a="1"/>
  <c r="Z1841" i="2" s="1"/>
  <c r="AC1842" i="2" a="1"/>
  <c r="AC1842" i="2" s="1"/>
  <c r="AA1844" i="2" a="1"/>
  <c r="AA1844" i="2" s="1"/>
  <c r="AC1845" i="2" a="1"/>
  <c r="AC1845" i="2" s="1"/>
  <c r="Z1845" i="2" a="1"/>
  <c r="Z1845" i="2" s="1"/>
  <c r="AJ1842" i="2" a="1"/>
  <c r="AJ1842" i="2" s="1"/>
  <c r="AD1842" i="2" a="1"/>
  <c r="AD1842" i="2" s="1"/>
  <c r="AD1935" i="2" a="1"/>
  <c r="AD1935" i="2" s="1"/>
  <c r="AB1845" i="2" a="1"/>
  <c r="AB1845" i="2" s="1"/>
  <c r="AA1845" i="2" a="1"/>
  <c r="AA1845" i="2" s="1"/>
  <c r="Y1845" i="2" a="1"/>
  <c r="Y1845" i="2" s="1"/>
  <c r="AJ1844" i="2" a="1"/>
  <c r="AJ1844" i="2" s="1"/>
  <c r="AA1842" i="2" a="1"/>
  <c r="AA1842" i="2" s="1"/>
  <c r="AH1844" i="2" a="1"/>
  <c r="AH1844" i="2" s="1"/>
  <c r="AC1843" i="2" a="1"/>
  <c r="AC1843" i="2" s="1"/>
  <c r="Y1842" i="2" a="1"/>
  <c r="Y1842" i="2" s="1"/>
  <c r="AA1843" i="2" a="1"/>
  <c r="AA1843" i="2" s="1"/>
  <c r="AH1842" i="2" a="1"/>
  <c r="AH1842" i="2" s="1"/>
  <c r="AH1841" i="2" a="1"/>
  <c r="AH1841" i="2" s="1"/>
  <c r="AB1841" i="2" a="1"/>
  <c r="AB1841" i="2" s="1"/>
  <c r="AB1842" i="2" a="1"/>
  <c r="AB1842" i="2" s="1"/>
  <c r="Y1841" i="2" a="1"/>
  <c r="Y1841" i="2" s="1"/>
  <c r="AF1844" i="2" a="1"/>
  <c r="AF1844" i="2" s="1"/>
  <c r="AD1843" i="2" a="1"/>
  <c r="AD1843" i="2" s="1"/>
  <c r="AG1844" i="2" a="1"/>
  <c r="AG1844" i="2" s="1"/>
  <c r="AD1844" i="2" a="1"/>
  <c r="AD1844" i="2" s="1"/>
  <c r="AC1841" i="2" a="1"/>
  <c r="AC1841" i="2" s="1"/>
  <c r="AB1843" i="2" a="1"/>
  <c r="AB1843" i="2" s="1"/>
  <c r="AG1842" i="2" a="1"/>
  <c r="AG1842" i="2" s="1"/>
  <c r="X1841" i="2" a="1"/>
  <c r="X1841" i="2" s="1"/>
  <c r="W1842" i="2" a="1"/>
  <c r="W1842" i="2" s="1"/>
  <c r="Y1844" i="2" a="1"/>
  <c r="Y1844" i="2" s="1"/>
  <c r="W1843" i="2" a="1"/>
  <c r="W1843" i="2" s="1"/>
  <c r="AE1841" i="2" a="1"/>
  <c r="AE1841" i="2" s="1"/>
  <c r="AC1844" i="2" a="1"/>
  <c r="AC1844" i="2" s="1"/>
  <c r="X1845" i="2" a="1"/>
  <c r="X1845" i="2" s="1"/>
  <c r="AI1842" i="2" a="1"/>
  <c r="AI1842" i="2" s="1"/>
  <c r="Z1840" i="2" a="1"/>
  <c r="Z1840" i="2" s="1"/>
  <c r="AD1839" i="2" a="1"/>
  <c r="AD1839" i="2" s="1"/>
  <c r="AG1838" i="2" a="1"/>
  <c r="AG1838" i="2" s="1"/>
  <c r="AE1836" i="2" a="1"/>
  <c r="AE1836" i="2" s="1"/>
  <c r="AD1840" i="2" a="1"/>
  <c r="AD1840" i="2" s="1"/>
  <c r="AA1837" i="2" a="1"/>
  <c r="AA1837" i="2" s="1"/>
  <c r="AG1836" i="2" a="1"/>
  <c r="AG1836" i="2" s="1"/>
  <c r="AF1840" i="2" a="1"/>
  <c r="AF1840" i="2" s="1"/>
  <c r="AG1839" i="2" a="1"/>
  <c r="AG1839" i="2" s="1"/>
  <c r="AH1838" i="2" a="1"/>
  <c r="AH1838" i="2" s="1"/>
  <c r="AE1838" i="2" a="1"/>
  <c r="AE1838" i="2" s="1"/>
  <c r="AD1838" i="2" a="1"/>
  <c r="AD1838" i="2" s="1"/>
  <c r="AH1840" i="2" a="1"/>
  <c r="AH1840" i="2" s="1"/>
  <c r="X1840" i="2" a="1"/>
  <c r="X1840" i="2" s="1"/>
  <c r="X1838" i="2" a="1"/>
  <c r="X1838" i="2" s="1"/>
  <c r="AH1836" i="2" a="1"/>
  <c r="AH1836" i="2" s="1"/>
  <c r="AG1840" i="2" a="1"/>
  <c r="AG1840" i="2" s="1"/>
  <c r="AC1840" i="2" a="1"/>
  <c r="AC1840" i="2" s="1"/>
  <c r="AC1839" i="2" a="1"/>
  <c r="AC1839" i="2" s="1"/>
  <c r="W1839" i="2" a="1"/>
  <c r="W1839" i="2" s="1"/>
  <c r="AF1837" i="2" a="1"/>
  <c r="AF1837" i="2" s="1"/>
  <c r="AB1838" i="2" a="1"/>
  <c r="AB1838" i="2" s="1"/>
  <c r="AA1838" i="2" a="1"/>
  <c r="AA1838" i="2" s="1"/>
  <c r="AA1840" i="2" a="1"/>
  <c r="AA1840" i="2" s="1"/>
  <c r="W1840" i="2" a="1"/>
  <c r="W1840" i="2" s="1"/>
  <c r="AI1839" i="2" a="1"/>
  <c r="AI1839" i="2" s="1"/>
  <c r="AB1839" i="2" a="1"/>
  <c r="AB1839" i="2" s="1"/>
  <c r="AH1839" i="2" a="1"/>
  <c r="AH1839" i="2" s="1"/>
  <c r="AJ1837" i="2" a="1"/>
  <c r="AJ1837" i="2" s="1"/>
  <c r="AI1838" i="2" a="1"/>
  <c r="AI1838" i="2" s="1"/>
  <c r="AB1837" i="2" a="1"/>
  <c r="AB1837" i="2" s="1"/>
  <c r="AH1837" i="2" a="1"/>
  <c r="AH1837" i="2" s="1"/>
  <c r="AF1838" i="2" a="1"/>
  <c r="AF1838" i="2" s="1"/>
  <c r="W1838" i="2" a="1"/>
  <c r="W1838" i="2" s="1"/>
  <c r="AI1837" i="2" a="1"/>
  <c r="AI1837" i="2" s="1"/>
  <c r="Z1837" i="2" a="1"/>
  <c r="Z1837" i="2" s="1"/>
  <c r="Z1839" i="2" a="1"/>
  <c r="Z1839" i="2" s="1"/>
  <c r="AI1836" i="2" a="1"/>
  <c r="AI1836" i="2" s="1"/>
  <c r="Y1838" i="2" a="1"/>
  <c r="Y1838" i="2" s="1"/>
  <c r="AB1840" i="2" a="1"/>
  <c r="AB1840" i="2" s="1"/>
  <c r="AG1837" i="2" a="1"/>
  <c r="AG1837" i="2" s="1"/>
  <c r="AC1838" i="2" a="1"/>
  <c r="AC1838" i="2" s="1"/>
  <c r="X1837" i="2" a="1"/>
  <c r="X1837" i="2" s="1"/>
  <c r="AF1836" i="2" a="1"/>
  <c r="AF1836" i="2" s="1"/>
  <c r="AA1839" i="2" a="1"/>
  <c r="AA1839" i="2" s="1"/>
  <c r="Y1837" i="2" a="1"/>
  <c r="Y1837" i="2" s="1"/>
  <c r="AJ1836" i="2" a="1"/>
  <c r="AJ1836" i="2" s="1"/>
  <c r="AC1936" i="2" a="1"/>
  <c r="AC1936" i="2" s="1"/>
  <c r="Z1838" i="2" a="1"/>
  <c r="Z1838" i="2" s="1"/>
  <c r="AJ1840" i="2" a="1"/>
  <c r="AJ1840" i="2" s="1"/>
  <c r="AI1840" i="2" a="1"/>
  <c r="AI1840" i="2" s="1"/>
  <c r="AE1840" i="2" a="1"/>
  <c r="AE1840" i="2" s="1"/>
  <c r="AJ1838" i="2" a="1"/>
  <c r="AJ1838" i="2" s="1"/>
  <c r="AD1837" i="2" a="1"/>
  <c r="AD1837" i="2" s="1"/>
  <c r="AC1837" i="2" a="1"/>
  <c r="AC1837" i="2" s="1"/>
  <c r="AD1836" i="2" a="1"/>
  <c r="AD1836" i="2" s="1"/>
  <c r="Y1840" i="2" a="1"/>
  <c r="Y1840" i="2" s="1"/>
  <c r="AF1839" i="2" a="1"/>
  <c r="AF1839" i="2" s="1"/>
  <c r="AE1837" i="2" a="1"/>
  <c r="AE1837" i="2" s="1"/>
  <c r="AE1839" i="2" a="1"/>
  <c r="AE1839" i="2" s="1"/>
  <c r="Y1839" i="2" a="1"/>
  <c r="Y1839" i="2" s="1"/>
  <c r="X1839" i="2" a="1"/>
  <c r="X1839" i="2" s="1"/>
  <c r="W1837" i="2" a="1"/>
  <c r="W1837" i="2" s="1"/>
  <c r="AJ1839" i="2" a="1"/>
  <c r="AJ1839" i="2" s="1"/>
  <c r="AE1835" i="2" a="1"/>
  <c r="AE1835" i="2" s="1"/>
  <c r="AB1835" i="2" a="1"/>
  <c r="AB1835" i="2" s="1"/>
  <c r="AF1834" i="2" a="1"/>
  <c r="AF1834" i="2" s="1"/>
  <c r="X1834" i="2" a="1"/>
  <c r="X1834" i="2" s="1"/>
  <c r="Z1834" i="2" a="1"/>
  <c r="Z1834" i="2" s="1"/>
  <c r="AC1833" i="2" a="1"/>
  <c r="AC1833" i="2" s="1"/>
  <c r="AB1833" i="2" a="1"/>
  <c r="AB1833" i="2" s="1"/>
  <c r="AA1833" i="2" a="1"/>
  <c r="AA1833" i="2" s="1"/>
  <c r="AG1832" i="2" a="1"/>
  <c r="AG1832" i="2" s="1"/>
  <c r="AF1832" i="2" a="1"/>
  <c r="AF1832" i="2" s="1"/>
  <c r="AD1834" i="2" a="1"/>
  <c r="AD1834" i="2" s="1"/>
  <c r="Z1833" i="2" a="1"/>
  <c r="Z1833" i="2" s="1"/>
  <c r="AD1832" i="2" a="1"/>
  <c r="AD1832" i="2" s="1"/>
  <c r="AA1834" i="2" a="1"/>
  <c r="AA1834" i="2" s="1"/>
  <c r="AE1833" i="2" a="1"/>
  <c r="AE1833" i="2" s="1"/>
  <c r="W1833" i="2" a="1"/>
  <c r="W1833" i="2" s="1"/>
  <c r="AC1835" i="2" a="1"/>
  <c r="AC1835" i="2" s="1"/>
  <c r="X1835" i="2" a="1"/>
  <c r="X1835" i="2" s="1"/>
  <c r="Y1835" i="2" a="1"/>
  <c r="Y1835" i="2" s="1"/>
  <c r="AJ1834" i="2" a="1"/>
  <c r="AJ1834" i="2" s="1"/>
  <c r="AJ1833" i="2" a="1"/>
  <c r="AJ1833" i="2" s="1"/>
  <c r="X1832" i="2" a="1"/>
  <c r="X1832" i="2" s="1"/>
  <c r="AA1832" i="2" a="1"/>
  <c r="AA1832" i="2" s="1"/>
  <c r="Z1835" i="2" a="1"/>
  <c r="Z1835" i="2" s="1"/>
  <c r="AI1834" i="2" a="1"/>
  <c r="AI1834" i="2" s="1"/>
  <c r="AJ1832" i="2" a="1"/>
  <c r="AJ1832" i="2" s="1"/>
  <c r="AG1834" i="2" a="1"/>
  <c r="AG1834" i="2" s="1"/>
  <c r="AC1832" i="2" a="1"/>
  <c r="AC1832" i="2" s="1"/>
  <c r="W1832" i="2" a="1"/>
  <c r="W1832" i="2" s="1"/>
  <c r="X1833" i="2" a="1"/>
  <c r="X1833" i="2" s="1"/>
  <c r="AC1935" i="2" a="1"/>
  <c r="AC1935" i="2" s="1"/>
  <c r="AF1835" i="2" a="1"/>
  <c r="AF1835" i="2" s="1"/>
  <c r="AC1834" i="2" a="1"/>
  <c r="AC1834" i="2" s="1"/>
  <c r="AC1836" i="2" a="1"/>
  <c r="AC1836" i="2" s="1"/>
  <c r="AI1832" i="2" a="1"/>
  <c r="AI1832" i="2" s="1"/>
  <c r="AB1836" i="2" a="1"/>
  <c r="AB1836" i="2" s="1"/>
  <c r="AA1836" i="2" a="1"/>
  <c r="AA1836" i="2" s="1"/>
  <c r="Z1836" i="2" a="1"/>
  <c r="Z1836" i="2" s="1"/>
  <c r="Y1836" i="2" a="1"/>
  <c r="Y1836" i="2" s="1"/>
  <c r="Y1834" i="2" a="1"/>
  <c r="Y1834" i="2" s="1"/>
  <c r="Z1832" i="2" a="1"/>
  <c r="Z1832" i="2" s="1"/>
  <c r="Y1832" i="2" a="1"/>
  <c r="Y1832" i="2" s="1"/>
  <c r="AG1833" i="2" a="1"/>
  <c r="AG1833" i="2" s="1"/>
  <c r="AH1833" i="2" a="1"/>
  <c r="AH1833" i="2" s="1"/>
  <c r="AH1834" i="2" a="1"/>
  <c r="AH1834" i="2" s="1"/>
  <c r="W1835" i="2" a="1"/>
  <c r="W1835" i="2" s="1"/>
  <c r="AE1832" i="2" a="1"/>
  <c r="AE1832" i="2" s="1"/>
  <c r="AD1835" i="2" a="1"/>
  <c r="AD1835" i="2" s="1"/>
  <c r="X1836" i="2" a="1"/>
  <c r="X1836" i="2" s="1"/>
  <c r="W1836" i="2" a="1"/>
  <c r="W1836" i="2" s="1"/>
  <c r="AJ1835" i="2" a="1"/>
  <c r="AJ1835" i="2" s="1"/>
  <c r="AI1835" i="2" a="1"/>
  <c r="AI1835" i="2" s="1"/>
  <c r="AD1833" i="2" a="1"/>
  <c r="AD1833" i="2" s="1"/>
  <c r="AF1833" i="2" a="1"/>
  <c r="AF1833" i="2" s="1"/>
  <c r="AB1832" i="2" a="1"/>
  <c r="AB1832" i="2" s="1"/>
  <c r="W1834" i="2" a="1"/>
  <c r="W1834" i="2" s="1"/>
  <c r="AH1835" i="2" a="1"/>
  <c r="AH1835" i="2" s="1"/>
  <c r="Y1833" i="2" a="1"/>
  <c r="Y1833" i="2" s="1"/>
  <c r="AG1835" i="2" a="1"/>
  <c r="AG1835" i="2" s="1"/>
  <c r="AA1835" i="2" a="1"/>
  <c r="AA1835" i="2" s="1"/>
  <c r="AE1834" i="2" a="1"/>
  <c r="AE1834" i="2" s="1"/>
  <c r="AB1834" i="2" a="1"/>
  <c r="AB1834" i="2" s="1"/>
  <c r="AI1833" i="2" a="1"/>
  <c r="AI1833" i="2" s="1"/>
  <c r="AH1832" i="2" a="1"/>
  <c r="AH1832" i="2" s="1"/>
  <c r="AH1831" i="2" a="1"/>
  <c r="AH1831" i="2" s="1"/>
  <c r="AF1831" i="2" a="1"/>
  <c r="AF1831" i="2" s="1"/>
  <c r="AE1831" i="2" a="1"/>
  <c r="AE1831" i="2" s="1"/>
  <c r="AC1831" i="2" a="1"/>
  <c r="AC1831" i="2" s="1"/>
  <c r="AA1831" i="2" a="1"/>
  <c r="AA1831" i="2" s="1"/>
  <c r="Y1831" i="2" a="1"/>
  <c r="Y1831" i="2" s="1"/>
  <c r="X1831" i="2" a="1"/>
  <c r="X1831" i="2" s="1"/>
  <c r="Z1829" i="2" a="1"/>
  <c r="Z1829" i="2" s="1"/>
  <c r="AE1828" i="2" a="1"/>
  <c r="AE1828" i="2" s="1"/>
  <c r="AG1827" i="2" a="1"/>
  <c r="AG1827" i="2" s="1"/>
  <c r="Y1829" i="2" a="1"/>
  <c r="Y1829" i="2" s="1"/>
  <c r="AJ1830" i="2" a="1"/>
  <c r="AJ1830" i="2" s="1"/>
  <c r="AJ1829" i="2" a="1"/>
  <c r="AJ1829" i="2" s="1"/>
  <c r="Y1828" i="2" a="1"/>
  <c r="Y1828" i="2" s="1"/>
  <c r="AG1829" i="2" a="1"/>
  <c r="AG1829" i="2" s="1"/>
  <c r="AJ1828" i="2" a="1"/>
  <c r="AJ1828" i="2" s="1"/>
  <c r="AG1830" i="2" a="1"/>
  <c r="AG1830" i="2" s="1"/>
  <c r="AI1827" i="2" a="1"/>
  <c r="AI1827" i="2" s="1"/>
  <c r="AA1828" i="2" a="1"/>
  <c r="AA1828" i="2" s="1"/>
  <c r="AB1830" i="2" a="1"/>
  <c r="AB1830" i="2" s="1"/>
  <c r="AH1828" i="2" a="1"/>
  <c r="AH1828" i="2" s="1"/>
  <c r="AA1830" i="2" a="1"/>
  <c r="AA1830" i="2" s="1"/>
  <c r="AA1829" i="2" a="1"/>
  <c r="AA1829" i="2" s="1"/>
  <c r="AF1828" i="2" a="1"/>
  <c r="AF1828" i="2" s="1"/>
  <c r="AB1829" i="2" a="1"/>
  <c r="AB1829" i="2" s="1"/>
  <c r="AF1830" i="2" a="1"/>
  <c r="AF1830" i="2" s="1"/>
  <c r="Z1830" i="2" a="1"/>
  <c r="Z1830" i="2" s="1"/>
  <c r="AH1829" i="2" a="1"/>
  <c r="AH1829" i="2" s="1"/>
  <c r="AG1828" i="2" a="1"/>
  <c r="AG1828" i="2" s="1"/>
  <c r="AI1828" i="2" a="1"/>
  <c r="AI1828" i="2" s="1"/>
  <c r="AF1829" i="2" a="1"/>
  <c r="AF1829" i="2" s="1"/>
  <c r="AB1831" i="2" a="1"/>
  <c r="AB1831" i="2" s="1"/>
  <c r="Z1831" i="2" a="1"/>
  <c r="Z1831" i="2" s="1"/>
  <c r="AI1829" i="2" a="1"/>
  <c r="AI1829" i="2" s="1"/>
  <c r="AI1830" i="2" a="1"/>
  <c r="AI1830" i="2" s="1"/>
  <c r="AD1830" i="2" a="1"/>
  <c r="AD1830" i="2" s="1"/>
  <c r="Y1830" i="2" a="1"/>
  <c r="Y1830" i="2" s="1"/>
  <c r="AD1829" i="2" a="1"/>
  <c r="AD1829" i="2" s="1"/>
  <c r="W1830" i="2" a="1"/>
  <c r="W1830" i="2" s="1"/>
  <c r="AH1830" i="2" a="1"/>
  <c r="AH1830" i="2" s="1"/>
  <c r="X1828" i="2" a="1"/>
  <c r="X1828" i="2" s="1"/>
  <c r="W1828" i="2" a="1"/>
  <c r="W1828" i="2" s="1"/>
  <c r="AD1827" i="2" a="1"/>
  <c r="AD1827" i="2" s="1"/>
  <c r="AC1830" i="2" a="1"/>
  <c r="AC1830" i="2" s="1"/>
  <c r="AC1829" i="2" a="1"/>
  <c r="AC1829" i="2" s="1"/>
  <c r="AI1831" i="2" a="1"/>
  <c r="AI1831" i="2" s="1"/>
  <c r="AD1831" i="2" a="1"/>
  <c r="AD1831" i="2" s="1"/>
  <c r="AE1829" i="2" a="1"/>
  <c r="AE1829" i="2" s="1"/>
  <c r="AG1831" i="2" a="1"/>
  <c r="AG1831" i="2" s="1"/>
  <c r="W1831" i="2" a="1"/>
  <c r="W1831" i="2" s="1"/>
  <c r="AH1827" i="2" a="1"/>
  <c r="AH1827" i="2" s="1"/>
  <c r="AE1830" i="2" a="1"/>
  <c r="AE1830" i="2" s="1"/>
  <c r="AF1827" i="2" a="1"/>
  <c r="AF1827" i="2" s="1"/>
  <c r="W1829" i="2" a="1"/>
  <c r="W1829" i="2" s="1"/>
  <c r="AC1828" i="2" a="1"/>
  <c r="AC1828" i="2" s="1"/>
  <c r="AJ1827" i="2" a="1"/>
  <c r="AJ1827" i="2" s="1"/>
  <c r="AB1828" i="2" a="1"/>
  <c r="AB1828" i="2" s="1"/>
  <c r="AE1827" i="2" a="1"/>
  <c r="AE1827" i="2" s="1"/>
  <c r="X1830" i="2" a="1"/>
  <c r="X1830" i="2" s="1"/>
  <c r="X1829" i="2" a="1"/>
  <c r="X1829" i="2" s="1"/>
  <c r="AD1828" i="2" a="1"/>
  <c r="AD1828" i="2" s="1"/>
  <c r="Y1937" i="2" a="1"/>
  <c r="Y1937" i="2" s="1"/>
  <c r="Z1828" i="2" a="1"/>
  <c r="Z1828" i="2" s="1"/>
  <c r="AJ1831" i="2" a="1"/>
  <c r="AJ1831" i="2" s="1"/>
  <c r="AB1827" i="2" a="1"/>
  <c r="AB1827" i="2" s="1"/>
  <c r="AA1827" i="2" a="1"/>
  <c r="AA1827" i="2" s="1"/>
  <c r="AH1826" i="2" a="1"/>
  <c r="AH1826" i="2" s="1"/>
  <c r="AI1826" i="2" a="1"/>
  <c r="AI1826" i="2" s="1"/>
  <c r="AG1826" i="2" a="1"/>
  <c r="AG1826" i="2" s="1"/>
  <c r="AA1823" i="2" a="1"/>
  <c r="AA1823" i="2" s="1"/>
  <c r="Z1823" i="2" a="1"/>
  <c r="Z1823" i="2" s="1"/>
  <c r="AH1825" i="2" a="1"/>
  <c r="AH1825" i="2" s="1"/>
  <c r="Z1825" i="2" a="1"/>
  <c r="Z1825" i="2" s="1"/>
  <c r="Y1825" i="2" a="1"/>
  <c r="Y1825" i="2" s="1"/>
  <c r="X1825" i="2" a="1"/>
  <c r="X1825" i="2" s="1"/>
  <c r="Z1827" i="2" a="1"/>
  <c r="Z1827" i="2" s="1"/>
  <c r="Y1827" i="2" a="1"/>
  <c r="Y1827" i="2" s="1"/>
  <c r="X1827" i="2" a="1"/>
  <c r="X1827" i="2" s="1"/>
  <c r="AH1824" i="2" a="1"/>
  <c r="AH1824" i="2" s="1"/>
  <c r="W1827" i="2" a="1"/>
  <c r="W1827" i="2" s="1"/>
  <c r="AJ1826" i="2" a="1"/>
  <c r="AJ1826" i="2" s="1"/>
  <c r="AF1826" i="2" a="1"/>
  <c r="AF1826" i="2" s="1"/>
  <c r="AD1826" i="2" a="1"/>
  <c r="AD1826" i="2" s="1"/>
  <c r="AE1826" i="2" a="1"/>
  <c r="AE1826" i="2" s="1"/>
  <c r="AF1823" i="2" a="1"/>
  <c r="AF1823" i="2" s="1"/>
  <c r="W1824" i="2" a="1"/>
  <c r="W1824" i="2" s="1"/>
  <c r="AB1825" i="2" a="1"/>
  <c r="AB1825" i="2" s="1"/>
  <c r="X1824" i="2" a="1"/>
  <c r="X1824" i="2" s="1"/>
  <c r="AC1826" i="2" a="1"/>
  <c r="AC1826" i="2" s="1"/>
  <c r="AB1826" i="2" a="1"/>
  <c r="AB1826" i="2" s="1"/>
  <c r="AE1823" i="2" a="1"/>
  <c r="AE1823" i="2" s="1"/>
  <c r="Z1826" i="2" a="1"/>
  <c r="Z1826" i="2" s="1"/>
  <c r="AH1823" i="2" a="1"/>
  <c r="AH1823" i="2" s="1"/>
  <c r="Y1826" i="2" a="1"/>
  <c r="Y1826" i="2" s="1"/>
  <c r="X1826" i="2" a="1"/>
  <c r="X1826" i="2" s="1"/>
  <c r="AI1824" i="2" a="1"/>
  <c r="AI1824" i="2" s="1"/>
  <c r="AJ1825" i="2" a="1"/>
  <c r="AJ1825" i="2" s="1"/>
  <c r="AI1825" i="2" a="1"/>
  <c r="AI1825" i="2" s="1"/>
  <c r="AJ1824" i="2" a="1"/>
  <c r="AJ1824" i="2" s="1"/>
  <c r="Y1823" i="2" a="1"/>
  <c r="Y1823" i="2" s="1"/>
  <c r="AE1825" i="2" a="1"/>
  <c r="AE1825" i="2" s="1"/>
  <c r="AC1823" i="2" a="1"/>
  <c r="AC1823" i="2" s="1"/>
  <c r="AC1825" i="2" a="1"/>
  <c r="AC1825" i="2" s="1"/>
  <c r="AE1824" i="2" a="1"/>
  <c r="AE1824" i="2" s="1"/>
  <c r="AI1823" i="2" a="1"/>
  <c r="AI1823" i="2" s="1"/>
  <c r="AD1824" i="2" a="1"/>
  <c r="AD1824" i="2" s="1"/>
  <c r="AC1824" i="2" a="1"/>
  <c r="AC1824" i="2" s="1"/>
  <c r="W1823" i="2" a="1"/>
  <c r="W1823" i="2" s="1"/>
  <c r="AD1823" i="2" a="1"/>
  <c r="AD1823" i="2" s="1"/>
  <c r="AG1823" i="2" a="1"/>
  <c r="AG1823" i="2" s="1"/>
  <c r="X1823" i="2" a="1"/>
  <c r="X1823" i="2" s="1"/>
  <c r="AA1825" i="2" a="1"/>
  <c r="AA1825" i="2" s="1"/>
  <c r="AA1826" i="2" a="1"/>
  <c r="AA1826" i="2" s="1"/>
  <c r="AA1824" i="2" a="1"/>
  <c r="AA1824" i="2" s="1"/>
  <c r="W1826" i="2" a="1"/>
  <c r="W1826" i="2" s="1"/>
  <c r="AD1825" i="2" a="1"/>
  <c r="AD1825" i="2" s="1"/>
  <c r="AG1825" i="2" a="1"/>
  <c r="AG1825" i="2" s="1"/>
  <c r="AF1825" i="2" a="1"/>
  <c r="AF1825" i="2" s="1"/>
  <c r="AF1824" i="2" a="1"/>
  <c r="AF1824" i="2" s="1"/>
  <c r="AJ1823" i="2" a="1"/>
  <c r="AJ1823" i="2" s="1"/>
  <c r="W1825" i="2" a="1"/>
  <c r="W1825" i="2" s="1"/>
  <c r="Z1824" i="2" a="1"/>
  <c r="Z1824" i="2" s="1"/>
  <c r="AB1824" i="2" a="1"/>
  <c r="AB1824" i="2" s="1"/>
  <c r="Y1824" i="2" a="1"/>
  <c r="Y1824" i="2" s="1"/>
  <c r="AB1823" i="2" a="1"/>
  <c r="AB1823" i="2" s="1"/>
  <c r="AB1935" i="2" a="1"/>
  <c r="AB1935" i="2" s="1"/>
  <c r="AG1824" i="2" a="1"/>
  <c r="AG1824" i="2" s="1"/>
  <c r="AC1827" i="2" a="1"/>
  <c r="AC1827" i="2" s="1"/>
  <c r="AI1822" i="2" a="1"/>
  <c r="AI1822" i="2" s="1"/>
  <c r="AE1822" i="2" a="1"/>
  <c r="AE1822" i="2" s="1"/>
  <c r="AA1821" i="2" a="1"/>
  <c r="AA1821" i="2" s="1"/>
  <c r="AG1820" i="2" a="1"/>
  <c r="AG1820" i="2" s="1"/>
  <c r="AF1820" i="2" a="1"/>
  <c r="AF1820" i="2" s="1"/>
  <c r="AA1820" i="2" a="1"/>
  <c r="AA1820" i="2" s="1"/>
  <c r="AE1818" i="2" a="1"/>
  <c r="AE1818" i="2" s="1"/>
  <c r="Y1820" i="2" a="1"/>
  <c r="Y1820" i="2" s="1"/>
  <c r="Z1820" i="2" a="1"/>
  <c r="Z1820" i="2" s="1"/>
  <c r="AH1819" i="2" a="1"/>
  <c r="AH1819" i="2" s="1"/>
  <c r="AE1820" i="2" a="1"/>
  <c r="AE1820" i="2" s="1"/>
  <c r="X1822" i="2" a="1"/>
  <c r="X1822" i="2" s="1"/>
  <c r="X1820" i="2" a="1"/>
  <c r="X1820" i="2" s="1"/>
  <c r="Z1819" i="2" a="1"/>
  <c r="Z1819" i="2" s="1"/>
  <c r="Z1822" i="2" a="1"/>
  <c r="Z1822" i="2" s="1"/>
  <c r="AB1820" i="2" a="1"/>
  <c r="AB1820" i="2" s="1"/>
  <c r="AF1821" i="2" a="1"/>
  <c r="AF1821" i="2" s="1"/>
  <c r="AI1819" i="2" a="1"/>
  <c r="AI1819" i="2" s="1"/>
  <c r="AB1819" i="2" a="1"/>
  <c r="AB1819" i="2" s="1"/>
  <c r="AB1936" i="2" a="1"/>
  <c r="AB1936" i="2" s="1"/>
  <c r="AH1822" i="2" a="1"/>
  <c r="AH1822" i="2" s="1"/>
  <c r="AF1822" i="2" a="1"/>
  <c r="AF1822" i="2" s="1"/>
  <c r="AB1821" i="2" a="1"/>
  <c r="AB1821" i="2" s="1"/>
  <c r="AH1818" i="2" a="1"/>
  <c r="AH1818" i="2" s="1"/>
  <c r="AJ1822" i="2" a="1"/>
  <c r="AJ1822" i="2" s="1"/>
  <c r="AG1822" i="2" a="1"/>
  <c r="AG1822" i="2" s="1"/>
  <c r="AD1822" i="2" a="1"/>
  <c r="AD1822" i="2" s="1"/>
  <c r="AE1821" i="2" a="1"/>
  <c r="AE1821" i="2" s="1"/>
  <c r="AJ1821" i="2" a="1"/>
  <c r="AJ1821" i="2" s="1"/>
  <c r="AJ1819" i="2" a="1"/>
  <c r="AJ1819" i="2" s="1"/>
  <c r="AC1822" i="2" a="1"/>
  <c r="AC1822" i="2" s="1"/>
  <c r="AA1822" i="2" a="1"/>
  <c r="AA1822" i="2" s="1"/>
  <c r="W1822" i="2" a="1"/>
  <c r="W1822" i="2" s="1"/>
  <c r="Z1821" i="2" a="1"/>
  <c r="Z1821" i="2" s="1"/>
  <c r="AI1821" i="2" a="1"/>
  <c r="AI1821" i="2" s="1"/>
  <c r="AD1818" i="2" a="1"/>
  <c r="AD1818" i="2" s="1"/>
  <c r="AH1821" i="2" a="1"/>
  <c r="AH1821" i="2" s="1"/>
  <c r="AG1821" i="2" a="1"/>
  <c r="AG1821" i="2" s="1"/>
  <c r="AD1821" i="2" a="1"/>
  <c r="AD1821" i="2" s="1"/>
  <c r="AE1819" i="2" a="1"/>
  <c r="AE1819" i="2" s="1"/>
  <c r="Y1819" i="2" a="1"/>
  <c r="Y1819" i="2" s="1"/>
  <c r="X1819" i="2" a="1"/>
  <c r="X1819" i="2" s="1"/>
  <c r="AF1818" i="2" a="1"/>
  <c r="AF1818" i="2" s="1"/>
  <c r="AI1818" i="2" a="1"/>
  <c r="AI1818" i="2" s="1"/>
  <c r="X1821" i="2" a="1"/>
  <c r="X1821" i="2" s="1"/>
  <c r="W1821" i="2" a="1"/>
  <c r="W1821" i="2" s="1"/>
  <c r="AC1821" i="2" a="1"/>
  <c r="AC1821" i="2" s="1"/>
  <c r="Y1821" i="2" a="1"/>
  <c r="Y1821" i="2" s="1"/>
  <c r="AI1820" i="2" a="1"/>
  <c r="AI1820" i="2" s="1"/>
  <c r="AD1819" i="2" a="1"/>
  <c r="AD1819" i="2" s="1"/>
  <c r="AG1818" i="2" a="1"/>
  <c r="AG1818" i="2" s="1"/>
  <c r="AJ1818" i="2" a="1"/>
  <c r="AJ1818" i="2" s="1"/>
  <c r="AH1820" i="2" a="1"/>
  <c r="AH1820" i="2" s="1"/>
  <c r="W1819" i="2" a="1"/>
  <c r="W1819" i="2" s="1"/>
  <c r="AC1820" i="2" a="1"/>
  <c r="AC1820" i="2" s="1"/>
  <c r="AG1819" i="2" a="1"/>
  <c r="AG1819" i="2" s="1"/>
  <c r="W1820" i="2" a="1"/>
  <c r="W1820" i="2" s="1"/>
  <c r="AC1819" i="2" a="1"/>
  <c r="AC1819" i="2" s="1"/>
  <c r="AF1819" i="2" a="1"/>
  <c r="AF1819" i="2" s="1"/>
  <c r="AJ1820" i="2" a="1"/>
  <c r="AJ1820" i="2" s="1"/>
  <c r="AD1820" i="2" a="1"/>
  <c r="AD1820" i="2" s="1"/>
  <c r="Y1822" i="2" a="1"/>
  <c r="Y1822" i="2" s="1"/>
  <c r="AA1819" i="2" a="1"/>
  <c r="AA1819" i="2" s="1"/>
  <c r="AB1822" i="2" a="1"/>
  <c r="AB1822" i="2" s="1"/>
  <c r="AA1935" i="2" a="1"/>
  <c r="AA1935" i="2" s="1"/>
  <c r="AC1818" i="2" a="1"/>
  <c r="AC1818" i="2" s="1"/>
  <c r="AB1818" i="2" a="1"/>
  <c r="AB1818" i="2" s="1"/>
  <c r="AB1817" i="2" a="1"/>
  <c r="AB1817" i="2" s="1"/>
  <c r="AA1816" i="2" a="1"/>
  <c r="AA1816" i="2" s="1"/>
  <c r="AD1815" i="2" a="1"/>
  <c r="AD1815" i="2" s="1"/>
  <c r="AC1814" i="2" a="1"/>
  <c r="AC1814" i="2" s="1"/>
  <c r="AG1814" i="2" a="1"/>
  <c r="AG1814" i="2" s="1"/>
  <c r="Z1818" i="2" a="1"/>
  <c r="Z1818" i="2" s="1"/>
  <c r="W1818" i="2" a="1"/>
  <c r="W1818" i="2" s="1"/>
  <c r="AC1817" i="2" a="1"/>
  <c r="AC1817" i="2" s="1"/>
  <c r="AJ1817" i="2" a="1"/>
  <c r="AJ1817" i="2" s="1"/>
  <c r="AI1817" i="2" a="1"/>
  <c r="AI1817" i="2" s="1"/>
  <c r="X1815" i="2" a="1"/>
  <c r="X1815" i="2" s="1"/>
  <c r="Y1814" i="2" a="1"/>
  <c r="Y1814" i="2" s="1"/>
  <c r="AD1814" i="2" a="1"/>
  <c r="AD1814" i="2" s="1"/>
  <c r="AC1816" i="2" a="1"/>
  <c r="AC1816" i="2" s="1"/>
  <c r="AJ1816" i="2" a="1"/>
  <c r="AJ1816" i="2" s="1"/>
  <c r="AF1816" i="2" a="1"/>
  <c r="AF1816" i="2" s="1"/>
  <c r="AG1817" i="2" a="1"/>
  <c r="AG1817" i="2" s="1"/>
  <c r="AF1817" i="2" a="1"/>
  <c r="AF1817" i="2" s="1"/>
  <c r="AD1817" i="2" a="1"/>
  <c r="AD1817" i="2" s="1"/>
  <c r="Y1817" i="2" a="1"/>
  <c r="Y1817" i="2" s="1"/>
  <c r="AD1816" i="2" a="1"/>
  <c r="AD1816" i="2" s="1"/>
  <c r="AJ1815" i="2" a="1"/>
  <c r="AJ1815" i="2" s="1"/>
  <c r="W1815" i="2" a="1"/>
  <c r="W1815" i="2" s="1"/>
  <c r="AB1816" i="2" a="1"/>
  <c r="AB1816" i="2" s="1"/>
  <c r="AF1815" i="2" a="1"/>
  <c r="AF1815" i="2" s="1"/>
  <c r="Z1816" i="2" a="1"/>
  <c r="Z1816" i="2" s="1"/>
  <c r="AE1815" i="2" a="1"/>
  <c r="AE1815" i="2" s="1"/>
  <c r="Z1815" i="2" a="1"/>
  <c r="Z1815" i="2" s="1"/>
  <c r="AF1814" i="2" a="1"/>
  <c r="AF1814" i="2" s="1"/>
  <c r="AG1815" i="2" a="1"/>
  <c r="AG1815" i="2" s="1"/>
  <c r="AC1815" i="2" a="1"/>
  <c r="AC1815" i="2" s="1"/>
  <c r="AJ1814" i="2" a="1"/>
  <c r="AJ1814" i="2" s="1"/>
  <c r="Y1818" i="2" a="1"/>
  <c r="Y1818" i="2" s="1"/>
  <c r="X1818" i="2" a="1"/>
  <c r="X1818" i="2" s="1"/>
  <c r="AE1814" i="2" a="1"/>
  <c r="AE1814" i="2" s="1"/>
  <c r="AG1816" i="2" a="1"/>
  <c r="AG1816" i="2" s="1"/>
  <c r="AE1816" i="2" a="1"/>
  <c r="AE1816" i="2" s="1"/>
  <c r="Y1815" i="2" a="1"/>
  <c r="Y1815" i="2" s="1"/>
  <c r="W1816" i="2" a="1"/>
  <c r="W1816" i="2" s="1"/>
  <c r="AA1814" i="2" a="1"/>
  <c r="AA1814" i="2" s="1"/>
  <c r="AB1814" i="2" a="1"/>
  <c r="AB1814" i="2" s="1"/>
  <c r="AH1817" i="2" a="1"/>
  <c r="AH1817" i="2" s="1"/>
  <c r="AE1817" i="2" a="1"/>
  <c r="AE1817" i="2" s="1"/>
  <c r="W1814" i="2" a="1"/>
  <c r="W1814" i="2" s="1"/>
  <c r="AH1816" i="2" a="1"/>
  <c r="AH1816" i="2" s="1"/>
  <c r="AA1817" i="2" a="1"/>
  <c r="AA1817" i="2" s="1"/>
  <c r="Z1817" i="2" a="1"/>
  <c r="Z1817" i="2" s="1"/>
  <c r="AH1815" i="2" a="1"/>
  <c r="AH1815" i="2" s="1"/>
  <c r="Y1816" i="2" a="1"/>
  <c r="Y1816" i="2" s="1"/>
  <c r="X1814" i="2" a="1"/>
  <c r="X1814" i="2" s="1"/>
  <c r="AB1815" i="2" a="1"/>
  <c r="AB1815" i="2" s="1"/>
  <c r="Z1814" i="2" a="1"/>
  <c r="Z1814" i="2" s="1"/>
  <c r="W1817" i="2" a="1"/>
  <c r="W1817" i="2" s="1"/>
  <c r="AI1816" i="2" a="1"/>
  <c r="AI1816" i="2" s="1"/>
  <c r="AI1815" i="2" a="1"/>
  <c r="AI1815" i="2" s="1"/>
  <c r="AH1814" i="2" a="1"/>
  <c r="AH1814" i="2" s="1"/>
  <c r="X1816" i="2" a="1"/>
  <c r="X1816" i="2" s="1"/>
  <c r="AA1815" i="2" a="1"/>
  <c r="AA1815" i="2" s="1"/>
  <c r="AA1818" i="2" a="1"/>
  <c r="AA1818" i="2" s="1"/>
  <c r="X1817" i="2" a="1"/>
  <c r="X1817" i="2" s="1"/>
  <c r="AI1814" i="2" a="1"/>
  <c r="AI1814" i="2" s="1"/>
  <c r="Z1813" i="2" a="1"/>
  <c r="Z1813" i="2" s="1"/>
  <c r="AJ1809" i="2" a="1"/>
  <c r="AJ1809" i="2" s="1"/>
  <c r="AD1811" i="2" a="1"/>
  <c r="AD1811" i="2" s="1"/>
  <c r="AC1813" i="2" a="1"/>
  <c r="AC1813" i="2" s="1"/>
  <c r="X1813" i="2" a="1"/>
  <c r="X1813" i="2" s="1"/>
  <c r="AD1812" i="2" a="1"/>
  <c r="AD1812" i="2" s="1"/>
  <c r="AI1811" i="2" a="1"/>
  <c r="AI1811" i="2" s="1"/>
  <c r="AI1812" i="2" a="1"/>
  <c r="AI1812" i="2" s="1"/>
  <c r="X1811" i="2" a="1"/>
  <c r="X1811" i="2" s="1"/>
  <c r="W1811" i="2" a="1"/>
  <c r="W1811" i="2" s="1"/>
  <c r="AH1812" i="2" a="1"/>
  <c r="AH1812" i="2" s="1"/>
  <c r="AF1812" i="2" a="1"/>
  <c r="AF1812" i="2" s="1"/>
  <c r="AI1810" i="2" a="1"/>
  <c r="AI1810" i="2" s="1"/>
  <c r="X1812" i="2" a="1"/>
  <c r="X1812" i="2" s="1"/>
  <c r="AG1811" i="2" a="1"/>
  <c r="AG1811" i="2" s="1"/>
  <c r="AB1811" i="2" a="1"/>
  <c r="AB1811" i="2" s="1"/>
  <c r="AC1810" i="2" a="1"/>
  <c r="AC1810" i="2" s="1"/>
  <c r="AA1810" i="2" a="1"/>
  <c r="AA1810" i="2" s="1"/>
  <c r="AD1809" i="2" a="1"/>
  <c r="AD1809" i="2" s="1"/>
  <c r="AB1810" i="2" a="1"/>
  <c r="AB1810" i="2" s="1"/>
  <c r="AJ1813" i="2" a="1"/>
  <c r="AJ1813" i="2" s="1"/>
  <c r="AD1813" i="2" a="1"/>
  <c r="AD1813" i="2" s="1"/>
  <c r="AF1810" i="2" a="1"/>
  <c r="AF1810" i="2" s="1"/>
  <c r="Y1813" i="2" a="1"/>
  <c r="Y1813" i="2" s="1"/>
  <c r="AE1809" i="2" a="1"/>
  <c r="AE1809" i="2" s="1"/>
  <c r="AA1811" i="2" a="1"/>
  <c r="AA1811" i="2" s="1"/>
  <c r="AH1810" i="2" a="1"/>
  <c r="AH1810" i="2" s="1"/>
  <c r="AH1809" i="2" a="1"/>
  <c r="AH1809" i="2" s="1"/>
  <c r="AH1811" i="2" a="1"/>
  <c r="AH1811" i="2" s="1"/>
  <c r="AE1812" i="2" a="1"/>
  <c r="AE1812" i="2" s="1"/>
  <c r="AE1810" i="2" a="1"/>
  <c r="AE1810" i="2" s="1"/>
  <c r="AC1812" i="2" a="1"/>
  <c r="AC1812" i="2" s="1"/>
  <c r="AC1811" i="2" a="1"/>
  <c r="AC1811" i="2" s="1"/>
  <c r="AF1809" i="2" a="1"/>
  <c r="AF1809" i="2" s="1"/>
  <c r="Z1811" i="2" a="1"/>
  <c r="Z1811" i="2" s="1"/>
  <c r="AI1813" i="2" a="1"/>
  <c r="AI1813" i="2" s="1"/>
  <c r="AH1813" i="2" a="1"/>
  <c r="AH1813" i="2" s="1"/>
  <c r="AF1813" i="2" a="1"/>
  <c r="AF1813" i="2" s="1"/>
  <c r="AE1813" i="2" a="1"/>
  <c r="AE1813" i="2" s="1"/>
  <c r="AB1813" i="2" a="1"/>
  <c r="AB1813" i="2" s="1"/>
  <c r="AA1813" i="2" a="1"/>
  <c r="AA1813" i="2" s="1"/>
  <c r="Z1812" i="2" a="1"/>
  <c r="Z1812" i="2" s="1"/>
  <c r="Z1810" i="2" a="1"/>
  <c r="Z1810" i="2" s="1"/>
  <c r="AG1812" i="2" a="1"/>
  <c r="AG1812" i="2" s="1"/>
  <c r="AJ1811" i="2" a="1"/>
  <c r="AJ1811" i="2" s="1"/>
  <c r="AJ1810" i="2" a="1"/>
  <c r="AJ1810" i="2" s="1"/>
  <c r="AD1810" i="2" a="1"/>
  <c r="AD1810" i="2" s="1"/>
  <c r="W1813" i="2" a="1"/>
  <c r="W1813" i="2" s="1"/>
  <c r="AG1809" i="2" a="1"/>
  <c r="AG1809" i="2" s="1"/>
  <c r="W1810" i="2" a="1"/>
  <c r="W1810" i="2" s="1"/>
  <c r="AJ1812" i="2" a="1"/>
  <c r="AJ1812" i="2" s="1"/>
  <c r="AB1812" i="2" a="1"/>
  <c r="AB1812" i="2" s="1"/>
  <c r="W1812" i="2" a="1"/>
  <c r="W1812" i="2" s="1"/>
  <c r="Y1812" i="2" a="1"/>
  <c r="Y1812" i="2" s="1"/>
  <c r="AG1810" i="2" a="1"/>
  <c r="AG1810" i="2" s="1"/>
  <c r="Y1810" i="2" a="1"/>
  <c r="Y1810" i="2" s="1"/>
  <c r="AA1812" i="2" a="1"/>
  <c r="AA1812" i="2" s="1"/>
  <c r="X1810" i="2" a="1"/>
  <c r="X1810" i="2" s="1"/>
  <c r="AI1809" i="2" a="1"/>
  <c r="AI1809" i="2" s="1"/>
  <c r="AE1811" i="2" a="1"/>
  <c r="AE1811" i="2" s="1"/>
  <c r="AF1811" i="2" a="1"/>
  <c r="AF1811" i="2" s="1"/>
  <c r="AI1936" i="2" a="1"/>
  <c r="AI1936" i="2" s="1"/>
  <c r="AG1813" i="2" a="1"/>
  <c r="AG1813" i="2" s="1"/>
  <c r="Y1811" i="2" a="1"/>
  <c r="Y1811" i="2" s="1"/>
  <c r="AB1809" i="2" a="1"/>
  <c r="AB1809" i="2" s="1"/>
  <c r="Z1809" i="2" a="1"/>
  <c r="Z1809" i="2" s="1"/>
  <c r="W1808" i="2" a="1"/>
  <c r="W1808" i="2" s="1"/>
  <c r="W1806" i="2" a="1"/>
  <c r="W1806" i="2" s="1"/>
  <c r="AI1808" i="2" a="1"/>
  <c r="AI1808" i="2" s="1"/>
  <c r="W1809" i="2" a="1"/>
  <c r="W1809" i="2" s="1"/>
  <c r="AJ1808" i="2" a="1"/>
  <c r="AJ1808" i="2" s="1"/>
  <c r="Z1808" i="2" a="1"/>
  <c r="Z1808" i="2" s="1"/>
  <c r="AJ1806" i="2" a="1"/>
  <c r="AJ1806" i="2" s="1"/>
  <c r="AF1807" i="2" a="1"/>
  <c r="AF1807" i="2" s="1"/>
  <c r="AJ1807" i="2" a="1"/>
  <c r="AJ1807" i="2" s="1"/>
  <c r="AC1805" i="2" a="1"/>
  <c r="AC1805" i="2" s="1"/>
  <c r="AG1807" i="2" a="1"/>
  <c r="AG1807" i="2" s="1"/>
  <c r="AG1806" i="2" a="1"/>
  <c r="AG1806" i="2" s="1"/>
  <c r="AA1806" i="2" a="1"/>
  <c r="AA1806" i="2" s="1"/>
  <c r="AD1806" i="2" a="1"/>
  <c r="AD1806" i="2" s="1"/>
  <c r="Z1806" i="2" a="1"/>
  <c r="Z1806" i="2" s="1"/>
  <c r="AB1807" i="2" a="1"/>
  <c r="AB1807" i="2" s="1"/>
  <c r="AA1808" i="2" a="1"/>
  <c r="AA1808" i="2" s="1"/>
  <c r="AC1807" i="2" a="1"/>
  <c r="AC1807" i="2" s="1"/>
  <c r="Z1807" i="2" a="1"/>
  <c r="Z1807" i="2" s="1"/>
  <c r="AA1805" i="2" a="1"/>
  <c r="AA1805" i="2" s="1"/>
  <c r="Z1805" i="2" a="1"/>
  <c r="Z1805" i="2" s="1"/>
  <c r="W1807" i="2" a="1"/>
  <c r="W1807" i="2" s="1"/>
  <c r="X1808" i="2" a="1"/>
  <c r="X1808" i="2" s="1"/>
  <c r="Y1807" i="2" a="1"/>
  <c r="Y1807" i="2" s="1"/>
  <c r="X1807" i="2" a="1"/>
  <c r="X1807" i="2" s="1"/>
  <c r="X1806" i="2" a="1"/>
  <c r="X1806" i="2" s="1"/>
  <c r="AB1806" i="2" a="1"/>
  <c r="AB1806" i="2" s="1"/>
  <c r="AD1808" i="2" a="1"/>
  <c r="AD1808" i="2" s="1"/>
  <c r="AA1809" i="2" a="1"/>
  <c r="AA1809" i="2" s="1"/>
  <c r="X1809" i="2" a="1"/>
  <c r="X1809" i="2" s="1"/>
  <c r="AH1808" i="2" a="1"/>
  <c r="AH1808" i="2" s="1"/>
  <c r="AC1806" i="2" a="1"/>
  <c r="AC1806" i="2" s="1"/>
  <c r="AB1808" i="2" a="1"/>
  <c r="AB1808" i="2" s="1"/>
  <c r="W1805" i="2" a="1"/>
  <c r="W1805" i="2" s="1"/>
  <c r="AG1808" i="2" a="1"/>
  <c r="AG1808" i="2" s="1"/>
  <c r="AH1806" i="2" a="1"/>
  <c r="AH1806" i="2" s="1"/>
  <c r="AE1806" i="2" a="1"/>
  <c r="AE1806" i="2" s="1"/>
  <c r="AE1808" i="2" a="1"/>
  <c r="AE1808" i="2" s="1"/>
  <c r="Y1808" i="2" a="1"/>
  <c r="Y1808" i="2" s="1"/>
  <c r="AA1807" i="2" a="1"/>
  <c r="AA1807" i="2" s="1"/>
  <c r="AH1805" i="2" a="1"/>
  <c r="AH1805" i="2" s="1"/>
  <c r="AB1805" i="2" a="1"/>
  <c r="AB1805" i="2" s="1"/>
  <c r="AG1805" i="2" a="1"/>
  <c r="AG1805" i="2" s="1"/>
  <c r="X1805" i="2" a="1"/>
  <c r="X1805" i="2" s="1"/>
  <c r="Y1806" i="2" a="1"/>
  <c r="Y1806" i="2" s="1"/>
  <c r="AH1807" i="2" a="1"/>
  <c r="AH1807" i="2" s="1"/>
  <c r="Y1805" i="2" a="1"/>
  <c r="Y1805" i="2" s="1"/>
  <c r="AE1805" i="2" a="1"/>
  <c r="AE1805" i="2" s="1"/>
  <c r="Y1809" i="2" a="1"/>
  <c r="Y1809" i="2" s="1"/>
  <c r="AC1808" i="2" a="1"/>
  <c r="AC1808" i="2" s="1"/>
  <c r="AI1807" i="2" a="1"/>
  <c r="AI1807" i="2" s="1"/>
  <c r="AE1807" i="2" a="1"/>
  <c r="AE1807" i="2" s="1"/>
  <c r="AD1807" i="2" a="1"/>
  <c r="AD1807" i="2" s="1"/>
  <c r="AI1805" i="2" a="1"/>
  <c r="AI1805" i="2" s="1"/>
  <c r="AI1806" i="2" a="1"/>
  <c r="AI1806" i="2" s="1"/>
  <c r="AD1805" i="2" a="1"/>
  <c r="AD1805" i="2" s="1"/>
  <c r="AF1806" i="2" a="1"/>
  <c r="AF1806" i="2" s="1"/>
  <c r="AF1805" i="2" a="1"/>
  <c r="AF1805" i="2" s="1"/>
  <c r="AJ1805" i="2" a="1"/>
  <c r="AJ1805" i="2" s="1"/>
  <c r="Z1935" i="2" a="1"/>
  <c r="Z1935" i="2" s="1"/>
  <c r="AF1808" i="2" a="1"/>
  <c r="AF1808" i="2" s="1"/>
  <c r="AC1809" i="2" a="1"/>
  <c r="AC1809" i="2" s="1"/>
  <c r="AD1803" i="2" a="1"/>
  <c r="AD1803" i="2" s="1"/>
  <c r="AG1803" i="2" a="1"/>
  <c r="AG1803" i="2" s="1"/>
  <c r="AJ1804" i="2" a="1"/>
  <c r="AJ1804" i="2" s="1"/>
  <c r="AE1804" i="2" a="1"/>
  <c r="AE1804" i="2" s="1"/>
  <c r="AD1804" i="2" a="1"/>
  <c r="AD1804" i="2" s="1"/>
  <c r="AC1804" i="2" a="1"/>
  <c r="AC1804" i="2" s="1"/>
  <c r="X1803" i="2" a="1"/>
  <c r="X1803" i="2" s="1"/>
  <c r="AF1800" i="2" a="1"/>
  <c r="AF1800" i="2" s="1"/>
  <c r="AF1802" i="2" a="1"/>
  <c r="AF1802" i="2" s="1"/>
  <c r="AG1800" i="2" a="1"/>
  <c r="AG1800" i="2" s="1"/>
  <c r="AI1804" i="2" a="1"/>
  <c r="AI1804" i="2" s="1"/>
  <c r="AB1802" i="2" a="1"/>
  <c r="AB1802" i="2" s="1"/>
  <c r="AE1800" i="2" a="1"/>
  <c r="AE1800" i="2" s="1"/>
  <c r="AD1802" i="2" a="1"/>
  <c r="AD1802" i="2" s="1"/>
  <c r="AG1804" i="2" a="1"/>
  <c r="AG1804" i="2" s="1"/>
  <c r="AF1804" i="2" a="1"/>
  <c r="AF1804" i="2" s="1"/>
  <c r="AJ1803" i="2" a="1"/>
  <c r="AJ1803" i="2" s="1"/>
  <c r="W1801" i="2" a="1"/>
  <c r="W1801" i="2" s="1"/>
  <c r="AI1800" i="2" a="1"/>
  <c r="AI1800" i="2" s="1"/>
  <c r="AJ1800" i="2" a="1"/>
  <c r="AJ1800" i="2" s="1"/>
  <c r="AH1800" i="2" a="1"/>
  <c r="AH1800" i="2" s="1"/>
  <c r="Y1803" i="2" a="1"/>
  <c r="Y1803" i="2" s="1"/>
  <c r="Y1802" i="2" a="1"/>
  <c r="Y1802" i="2" s="1"/>
  <c r="AE1802" i="2" a="1"/>
  <c r="AE1802" i="2" s="1"/>
  <c r="AB1804" i="2" a="1"/>
  <c r="AB1804" i="2" s="1"/>
  <c r="AA1804" i="2" a="1"/>
  <c r="AA1804" i="2" s="1"/>
  <c r="AJ1801" i="2" a="1"/>
  <c r="AJ1801" i="2" s="1"/>
  <c r="AA1802" i="2" a="1"/>
  <c r="AA1802" i="2" s="1"/>
  <c r="AJ1802" i="2" a="1"/>
  <c r="AJ1802" i="2" s="1"/>
  <c r="X1802" i="2" a="1"/>
  <c r="X1802" i="2" s="1"/>
  <c r="AE1801" i="2" a="1"/>
  <c r="AE1801" i="2" s="1"/>
  <c r="AF1803" i="2" a="1"/>
  <c r="AF1803" i="2" s="1"/>
  <c r="W1803" i="2" a="1"/>
  <c r="W1803" i="2" s="1"/>
  <c r="AA1801" i="2" a="1"/>
  <c r="AA1801" i="2" s="1"/>
  <c r="Z1801" i="2" a="1"/>
  <c r="Z1801" i="2" s="1"/>
  <c r="Z1804" i="2" a="1"/>
  <c r="Z1804" i="2" s="1"/>
  <c r="AH1801" i="2" a="1"/>
  <c r="AH1801" i="2" s="1"/>
  <c r="AD1801" i="2" a="1"/>
  <c r="AD1801" i="2" s="1"/>
  <c r="W1804" i="2" a="1"/>
  <c r="W1804" i="2" s="1"/>
  <c r="AH1803" i="2" a="1"/>
  <c r="AH1803" i="2" s="1"/>
  <c r="AB1803" i="2" a="1"/>
  <c r="AB1803" i="2" s="1"/>
  <c r="AA1803" i="2" a="1"/>
  <c r="AA1803" i="2" s="1"/>
  <c r="AH1802" i="2" a="1"/>
  <c r="AH1802" i="2" s="1"/>
  <c r="AC1801" i="2" a="1"/>
  <c r="AC1801" i="2" s="1"/>
  <c r="AI1801" i="2" a="1"/>
  <c r="AI1801" i="2" s="1"/>
  <c r="AC1802" i="2" a="1"/>
  <c r="AC1802" i="2" s="1"/>
  <c r="X1801" i="2" a="1"/>
  <c r="X1801" i="2" s="1"/>
  <c r="W1802" i="2" a="1"/>
  <c r="W1802" i="2" s="1"/>
  <c r="AI1802" i="2" a="1"/>
  <c r="AI1802" i="2" s="1"/>
  <c r="AA1936" i="2" a="1"/>
  <c r="AA1936" i="2" s="1"/>
  <c r="AI1803" i="2" a="1"/>
  <c r="AI1803" i="2" s="1"/>
  <c r="X1804" i="2" a="1"/>
  <c r="X1804" i="2" s="1"/>
  <c r="Y1804" i="2" a="1"/>
  <c r="Y1804" i="2" s="1"/>
  <c r="AC1803" i="2" a="1"/>
  <c r="AC1803" i="2" s="1"/>
  <c r="Z1802" i="2" a="1"/>
  <c r="Z1802" i="2" s="1"/>
  <c r="AH1804" i="2" a="1"/>
  <c r="AH1804" i="2" s="1"/>
  <c r="Z1803" i="2" a="1"/>
  <c r="Z1803" i="2" s="1"/>
  <c r="AD1800" i="2" a="1"/>
  <c r="AD1800" i="2" s="1"/>
  <c r="AE1803" i="2" a="1"/>
  <c r="AE1803" i="2" s="1"/>
  <c r="AG1801" i="2" a="1"/>
  <c r="AG1801" i="2" s="1"/>
  <c r="AB1801" i="2" a="1"/>
  <c r="AB1801" i="2" s="1"/>
  <c r="AF1801" i="2" a="1"/>
  <c r="AF1801" i="2" s="1"/>
  <c r="Y1801" i="2" a="1"/>
  <c r="Y1801" i="2" s="1"/>
  <c r="AG1802" i="2" a="1"/>
  <c r="AG1802" i="2" s="1"/>
  <c r="Y1935" i="2" a="1"/>
  <c r="Y1935" i="2" s="1"/>
  <c r="AG1796" i="2" a="1"/>
  <c r="AG1796" i="2" s="1"/>
  <c r="W1799" i="2" a="1"/>
  <c r="W1799" i="2" s="1"/>
  <c r="W1797" i="2" a="1"/>
  <c r="W1797" i="2" s="1"/>
  <c r="AC1800" i="2" a="1"/>
  <c r="AC1800" i="2" s="1"/>
  <c r="AB1800" i="2" a="1"/>
  <c r="AB1800" i="2" s="1"/>
  <c r="AA1800" i="2" a="1"/>
  <c r="AA1800" i="2" s="1"/>
  <c r="Z1800" i="2" a="1"/>
  <c r="Z1800" i="2" s="1"/>
  <c r="Y1800" i="2" a="1"/>
  <c r="Y1800" i="2" s="1"/>
  <c r="Z1799" i="2" a="1"/>
  <c r="Z1799" i="2" s="1"/>
  <c r="X1800" i="2" a="1"/>
  <c r="X1800" i="2" s="1"/>
  <c r="W1800" i="2" a="1"/>
  <c r="W1800" i="2" s="1"/>
  <c r="AJ1799" i="2" a="1"/>
  <c r="AJ1799" i="2" s="1"/>
  <c r="AA1799" i="2" a="1"/>
  <c r="AA1799" i="2" s="1"/>
  <c r="AB1797" i="2" a="1"/>
  <c r="AB1797" i="2" s="1"/>
  <c r="AH1798" i="2" a="1"/>
  <c r="AH1798" i="2" s="1"/>
  <c r="Z1797" i="2" a="1"/>
  <c r="Z1797" i="2" s="1"/>
  <c r="AI1798" i="2" a="1"/>
  <c r="AI1798" i="2" s="1"/>
  <c r="AH1797" i="2" a="1"/>
  <c r="AH1797" i="2" s="1"/>
  <c r="AD1798" i="2" a="1"/>
  <c r="AD1798" i="2" s="1"/>
  <c r="AD1796" i="2" a="1"/>
  <c r="AD1796" i="2" s="1"/>
  <c r="AC1798" i="2" a="1"/>
  <c r="AC1798" i="2" s="1"/>
  <c r="AA1797" i="2" a="1"/>
  <c r="AA1797" i="2" s="1"/>
  <c r="AF1798" i="2" a="1"/>
  <c r="AF1798" i="2" s="1"/>
  <c r="X1797" i="2" a="1"/>
  <c r="X1797" i="2" s="1"/>
  <c r="AE1796" i="2" a="1"/>
  <c r="AE1796" i="2" s="1"/>
  <c r="AC1796" i="2" a="1"/>
  <c r="AC1796" i="2" s="1"/>
  <c r="X1796" i="2" a="1"/>
  <c r="X1796" i="2" s="1"/>
  <c r="AC1799" i="2" a="1"/>
  <c r="AC1799" i="2" s="1"/>
  <c r="AG1799" i="2" a="1"/>
  <c r="AG1799" i="2" s="1"/>
  <c r="Y1799" i="2" a="1"/>
  <c r="Y1799" i="2" s="1"/>
  <c r="W1798" i="2" a="1"/>
  <c r="W1798" i="2" s="1"/>
  <c r="AG1797" i="2" a="1"/>
  <c r="AG1797" i="2" s="1"/>
  <c r="AF1799" i="2" a="1"/>
  <c r="AF1799" i="2" s="1"/>
  <c r="AJ1798" i="2" a="1"/>
  <c r="AJ1798" i="2" s="1"/>
  <c r="AI1799" i="2" a="1"/>
  <c r="AI1799" i="2" s="1"/>
  <c r="AE1799" i="2" a="1"/>
  <c r="AE1799" i="2" s="1"/>
  <c r="AA1796" i="2" a="1"/>
  <c r="AA1796" i="2" s="1"/>
  <c r="X1799" i="2" a="1"/>
  <c r="X1799" i="2" s="1"/>
  <c r="AG1798" i="2" a="1"/>
  <c r="AG1798" i="2" s="1"/>
  <c r="AE1798" i="2" a="1"/>
  <c r="AE1798" i="2" s="1"/>
  <c r="AB1798" i="2" a="1"/>
  <c r="AB1798" i="2" s="1"/>
  <c r="AD1797" i="2" a="1"/>
  <c r="AD1797" i="2" s="1"/>
  <c r="AE1797" i="2" a="1"/>
  <c r="AE1797" i="2" s="1"/>
  <c r="AB1796" i="2" a="1"/>
  <c r="AB1796" i="2" s="1"/>
  <c r="AA1798" i="2" a="1"/>
  <c r="AA1798" i="2" s="1"/>
  <c r="Y1797" i="2" a="1"/>
  <c r="Y1797" i="2" s="1"/>
  <c r="AJ1796" i="2" a="1"/>
  <c r="AJ1796" i="2" s="1"/>
  <c r="W1796" i="2" a="1"/>
  <c r="W1796" i="2" s="1"/>
  <c r="AH1796" i="2" a="1"/>
  <c r="AH1796" i="2" s="1"/>
  <c r="AH1799" i="2" a="1"/>
  <c r="AH1799" i="2" s="1"/>
  <c r="AB1799" i="2" a="1"/>
  <c r="AB1799" i="2" s="1"/>
  <c r="AD1799" i="2" a="1"/>
  <c r="AD1799" i="2" s="1"/>
  <c r="Y1798" i="2" a="1"/>
  <c r="Y1798" i="2" s="1"/>
  <c r="AC1797" i="2" a="1"/>
  <c r="AC1797" i="2" s="1"/>
  <c r="Z1798" i="2" a="1"/>
  <c r="Z1798" i="2" s="1"/>
  <c r="AI1797" i="2" a="1"/>
  <c r="AI1797" i="2" s="1"/>
  <c r="AI1796" i="2" a="1"/>
  <c r="AI1796" i="2" s="1"/>
  <c r="AF1796" i="2" a="1"/>
  <c r="AF1796" i="2" s="1"/>
  <c r="X1798" i="2" a="1"/>
  <c r="X1798" i="2" s="1"/>
  <c r="Z1796" i="2" a="1"/>
  <c r="Z1796" i="2" s="1"/>
  <c r="Y1796" i="2" a="1"/>
  <c r="Y1796" i="2" s="1"/>
  <c r="AJ1797" i="2" a="1"/>
  <c r="AJ1797" i="2" s="1"/>
  <c r="AF1797" i="2" a="1"/>
  <c r="AF1797" i="2" s="1"/>
  <c r="AG1795" i="2" a="1"/>
  <c r="AG1795" i="2" s="1"/>
  <c r="AC1795" i="2" a="1"/>
  <c r="AC1795" i="2" s="1"/>
  <c r="AE1792" i="2" a="1"/>
  <c r="AE1792" i="2" s="1"/>
  <c r="AF1795" i="2" a="1"/>
  <c r="AF1795" i="2" s="1"/>
  <c r="AD1795" i="2" a="1"/>
  <c r="AD1795" i="2" s="1"/>
  <c r="AI1791" i="2" a="1"/>
  <c r="AI1791" i="2" s="1"/>
  <c r="AF1792" i="2" a="1"/>
  <c r="AF1792" i="2" s="1"/>
  <c r="AJ1791" i="2" a="1"/>
  <c r="AJ1791" i="2" s="1"/>
  <c r="AD1791" i="2" a="1"/>
  <c r="AD1791" i="2" s="1"/>
  <c r="AD1792" i="2" a="1"/>
  <c r="AD1792" i="2" s="1"/>
  <c r="AB1795" i="2" a="1"/>
  <c r="AB1795" i="2" s="1"/>
  <c r="Z1795" i="2" a="1"/>
  <c r="Z1795" i="2" s="1"/>
  <c r="AC1792" i="2" a="1"/>
  <c r="AC1792" i="2" s="1"/>
  <c r="Y1795" i="2" a="1"/>
  <c r="Y1795" i="2" s="1"/>
  <c r="AI1794" i="2" a="1"/>
  <c r="AI1794" i="2" s="1"/>
  <c r="W1793" i="2" a="1"/>
  <c r="W1793" i="2" s="1"/>
  <c r="AB1792" i="2" a="1"/>
  <c r="AB1792" i="2" s="1"/>
  <c r="AF1794" i="2" a="1"/>
  <c r="AF1794" i="2" s="1"/>
  <c r="AD1794" i="2" a="1"/>
  <c r="AD1794" i="2" s="1"/>
  <c r="AE1794" i="2" a="1"/>
  <c r="AE1794" i="2" s="1"/>
  <c r="AC1794" i="2" a="1"/>
  <c r="AC1794" i="2" s="1"/>
  <c r="AB1793" i="2" a="1"/>
  <c r="AB1793" i="2" s="1"/>
  <c r="AH1791" i="2" a="1"/>
  <c r="AH1791" i="2" s="1"/>
  <c r="W1795" i="2" a="1"/>
  <c r="W1795" i="2" s="1"/>
  <c r="AC1793" i="2" a="1"/>
  <c r="AC1793" i="2" s="1"/>
  <c r="AA1794" i="2" a="1"/>
  <c r="AA1794" i="2" s="1"/>
  <c r="X1794" i="2" a="1"/>
  <c r="X1794" i="2" s="1"/>
  <c r="W1794" i="2" a="1"/>
  <c r="W1794" i="2" s="1"/>
  <c r="AA1793" i="2" a="1"/>
  <c r="AA1793" i="2" s="1"/>
  <c r="AA1792" i="2" a="1"/>
  <c r="AA1792" i="2" s="1"/>
  <c r="W1792" i="2" a="1"/>
  <c r="W1792" i="2" s="1"/>
  <c r="AJ1792" i="2" a="1"/>
  <c r="AJ1792" i="2" s="1"/>
  <c r="Z1792" i="2" a="1"/>
  <c r="Z1792" i="2" s="1"/>
  <c r="AI1793" i="2" a="1"/>
  <c r="AI1793" i="2" s="1"/>
  <c r="AH1793" i="2" a="1"/>
  <c r="AH1793" i="2" s="1"/>
  <c r="AB1937" i="2" a="1"/>
  <c r="AB1937" i="2" s="1"/>
  <c r="AJ1794" i="2" a="1"/>
  <c r="AJ1794" i="2" s="1"/>
  <c r="Z1793" i="2" a="1"/>
  <c r="Z1793" i="2" s="1"/>
  <c r="AB1794" i="2" a="1"/>
  <c r="AB1794" i="2" s="1"/>
  <c r="AG1793" i="2" a="1"/>
  <c r="AG1793" i="2" s="1"/>
  <c r="Y1793" i="2" a="1"/>
  <c r="Y1793" i="2" s="1"/>
  <c r="AH1792" i="2" a="1"/>
  <c r="AH1792" i="2" s="1"/>
  <c r="AG1792" i="2" a="1"/>
  <c r="AG1792" i="2" s="1"/>
  <c r="X1792" i="2" a="1"/>
  <c r="X1792" i="2" s="1"/>
  <c r="AD1793" i="2" a="1"/>
  <c r="AD1793" i="2" s="1"/>
  <c r="AF1791" i="2" a="1"/>
  <c r="AF1791" i="2" s="1"/>
  <c r="AG1794" i="2" a="1"/>
  <c r="AG1794" i="2" s="1"/>
  <c r="AE1793" i="2" a="1"/>
  <c r="AE1793" i="2" s="1"/>
  <c r="AG1791" i="2" a="1"/>
  <c r="AG1791" i="2" s="1"/>
  <c r="AJ1795" i="2" a="1"/>
  <c r="AJ1795" i="2" s="1"/>
  <c r="Y1794" i="2" a="1"/>
  <c r="Y1794" i="2" s="1"/>
  <c r="X1795" i="2" a="1"/>
  <c r="X1795" i="2" s="1"/>
  <c r="AI1795" i="2" a="1"/>
  <c r="AI1795" i="2" s="1"/>
  <c r="AH1795" i="2" a="1"/>
  <c r="AH1795" i="2" s="1"/>
  <c r="AE1795" i="2" a="1"/>
  <c r="AE1795" i="2" s="1"/>
  <c r="AA1795" i="2" a="1"/>
  <c r="AA1795" i="2" s="1"/>
  <c r="AH1794" i="2" a="1"/>
  <c r="AH1794" i="2" s="1"/>
  <c r="Z1794" i="2" a="1"/>
  <c r="Z1794" i="2" s="1"/>
  <c r="AF1793" i="2" a="1"/>
  <c r="AF1793" i="2" s="1"/>
  <c r="AJ1793" i="2" a="1"/>
  <c r="AJ1793" i="2" s="1"/>
  <c r="X1793" i="2" a="1"/>
  <c r="X1793" i="2" s="1"/>
  <c r="AI1792" i="2" a="1"/>
  <c r="AI1792" i="2" s="1"/>
  <c r="Y1792" i="2" a="1"/>
  <c r="Y1792" i="2" s="1"/>
  <c r="AE1791" i="2" a="1"/>
  <c r="AE1791" i="2" s="1"/>
  <c r="AA1791" i="2" a="1"/>
  <c r="AA1791" i="2" s="1"/>
  <c r="Y1791" i="2" a="1"/>
  <c r="Y1791" i="2" s="1"/>
  <c r="AH1790" i="2" a="1"/>
  <c r="AH1790" i="2" s="1"/>
  <c r="AE1788" i="2" a="1"/>
  <c r="AE1788" i="2" s="1"/>
  <c r="AC1788" i="2" a="1"/>
  <c r="AC1788" i="2" s="1"/>
  <c r="W1789" i="2" a="1"/>
  <c r="W1789" i="2" s="1"/>
  <c r="AG1788" i="2" a="1"/>
  <c r="AG1788" i="2" s="1"/>
  <c r="Z1790" i="2" a="1"/>
  <c r="Z1790" i="2" s="1"/>
  <c r="Y1788" i="2" a="1"/>
  <c r="Y1788" i="2" s="1"/>
  <c r="AH1787" i="2" a="1"/>
  <c r="AH1787" i="2" s="1"/>
  <c r="AG1790" i="2" a="1"/>
  <c r="AG1790" i="2" s="1"/>
  <c r="W1790" i="2" a="1"/>
  <c r="W1790" i="2" s="1"/>
  <c r="Z1789" i="2" a="1"/>
  <c r="Z1789" i="2" s="1"/>
  <c r="X1791" i="2" a="1"/>
  <c r="X1791" i="2" s="1"/>
  <c r="AD1789" i="2" a="1"/>
  <c r="AD1789" i="2" s="1"/>
  <c r="AH1788" i="2" a="1"/>
  <c r="AH1788" i="2" s="1"/>
  <c r="Y1789" i="2" a="1"/>
  <c r="Y1789" i="2" s="1"/>
  <c r="AA1788" i="2" a="1"/>
  <c r="AA1788" i="2" s="1"/>
  <c r="AC1789" i="2" a="1"/>
  <c r="AC1789" i="2" s="1"/>
  <c r="AE1790" i="2" a="1"/>
  <c r="AE1790" i="2" s="1"/>
  <c r="AI1789" i="2" a="1"/>
  <c r="AI1789" i="2" s="1"/>
  <c r="AD1790" i="2" a="1"/>
  <c r="AD1790" i="2" s="1"/>
  <c r="AI1787" i="2" a="1"/>
  <c r="AI1787" i="2" s="1"/>
  <c r="Y1790" i="2" a="1"/>
  <c r="Y1790" i="2" s="1"/>
  <c r="AE1789" i="2" a="1"/>
  <c r="AE1789" i="2" s="1"/>
  <c r="AB1789" i="2" a="1"/>
  <c r="AB1789" i="2" s="1"/>
  <c r="X1935" i="2" a="1"/>
  <c r="X1935" i="2" s="1"/>
  <c r="X1790" i="2" a="1"/>
  <c r="X1790" i="2" s="1"/>
  <c r="AF1787" i="2" a="1"/>
  <c r="AF1787" i="2" s="1"/>
  <c r="AF1789" i="2" a="1"/>
  <c r="AF1789" i="2" s="1"/>
  <c r="X1789" i="2" a="1"/>
  <c r="X1789" i="2" s="1"/>
  <c r="AJ1788" i="2" a="1"/>
  <c r="AJ1788" i="2" s="1"/>
  <c r="Y1787" i="2" a="1"/>
  <c r="Y1787" i="2" s="1"/>
  <c r="AG1787" i="2" a="1"/>
  <c r="AG1787" i="2" s="1"/>
  <c r="Z1791" i="2" a="1"/>
  <c r="Z1791" i="2" s="1"/>
  <c r="W1791" i="2" a="1"/>
  <c r="W1791" i="2" s="1"/>
  <c r="AJ1790" i="2" a="1"/>
  <c r="AJ1790" i="2" s="1"/>
  <c r="AI1790" i="2" a="1"/>
  <c r="AI1790" i="2" s="1"/>
  <c r="AF1790" i="2" a="1"/>
  <c r="AF1790" i="2" s="1"/>
  <c r="AJ1789" i="2" a="1"/>
  <c r="AJ1789" i="2" s="1"/>
  <c r="AA1789" i="2" a="1"/>
  <c r="AA1789" i="2" s="1"/>
  <c r="AB1790" i="2" a="1"/>
  <c r="AB1790" i="2" s="1"/>
  <c r="AF1788" i="2" a="1"/>
  <c r="AF1788" i="2" s="1"/>
  <c r="W1787" i="2" a="1"/>
  <c r="W1787" i="2" s="1"/>
  <c r="AE1787" i="2" a="1"/>
  <c r="AE1787" i="2" s="1"/>
  <c r="AD1787" i="2" a="1"/>
  <c r="AD1787" i="2" s="1"/>
  <c r="AC1790" i="2" a="1"/>
  <c r="AC1790" i="2" s="1"/>
  <c r="AH1789" i="2" a="1"/>
  <c r="AH1789" i="2" s="1"/>
  <c r="W1788" i="2" a="1"/>
  <c r="W1788" i="2" s="1"/>
  <c r="AB1787" i="2" a="1"/>
  <c r="AB1787" i="2" s="1"/>
  <c r="Z1788" i="2" a="1"/>
  <c r="Z1788" i="2" s="1"/>
  <c r="AG1789" i="2" a="1"/>
  <c r="AG1789" i="2" s="1"/>
  <c r="X1788" i="2" a="1"/>
  <c r="X1788" i="2" s="1"/>
  <c r="AI1788" i="2" a="1"/>
  <c r="AI1788" i="2" s="1"/>
  <c r="AD1788" i="2" a="1"/>
  <c r="AD1788" i="2" s="1"/>
  <c r="AB1788" i="2" a="1"/>
  <c r="AB1788" i="2" s="1"/>
  <c r="AJ1787" i="2" a="1"/>
  <c r="AJ1787" i="2" s="1"/>
  <c r="AA1787" i="2" a="1"/>
  <c r="AA1787" i="2" s="1"/>
  <c r="AC1787" i="2" a="1"/>
  <c r="AC1787" i="2" s="1"/>
  <c r="Z1787" i="2" a="1"/>
  <c r="Z1787" i="2" s="1"/>
  <c r="AC1791" i="2" a="1"/>
  <c r="AC1791" i="2" s="1"/>
  <c r="AB1791" i="2" a="1"/>
  <c r="AB1791" i="2" s="1"/>
  <c r="AA1790" i="2" a="1"/>
  <c r="AA1790" i="2" s="1"/>
  <c r="X1787" i="2" a="1"/>
  <c r="X1787" i="2" s="1"/>
  <c r="Z1936" i="2" a="1"/>
  <c r="Z1936" i="2" s="1"/>
  <c r="W1935" i="2" a="1"/>
  <c r="W1935" i="2" s="1"/>
  <c r="AJ1934" i="2" a="1"/>
  <c r="AJ1934" i="2" s="1"/>
  <c r="AH1934" i="2" a="1"/>
  <c r="AH1934" i="2" s="1"/>
  <c r="AF1930" i="2" a="1"/>
  <c r="AF1930" i="2" s="1"/>
  <c r="AG1934" i="2" a="1"/>
  <c r="AG1934" i="2" s="1"/>
  <c r="AF1934" i="2" a="1"/>
  <c r="AF1934" i="2" s="1"/>
  <c r="AH1931" i="2" a="1"/>
  <c r="AH1931" i="2" s="1"/>
  <c r="AF1931" i="2" a="1"/>
  <c r="AF1931" i="2" s="1"/>
  <c r="AE1931" i="2" a="1"/>
  <c r="AE1931" i="2" s="1"/>
  <c r="AD1931" i="2" a="1"/>
  <c r="AD1931" i="2" s="1"/>
  <c r="AE1934" i="2" a="1"/>
  <c r="AE1934" i="2" s="1"/>
  <c r="AD1934" i="2" a="1"/>
  <c r="AD1934" i="2" s="1"/>
  <c r="AG1930" i="2" a="1"/>
  <c r="AG1930" i="2" s="1"/>
  <c r="AG1932" i="2" a="1"/>
  <c r="AG1932" i="2" s="1"/>
  <c r="AA1931" i="2" a="1"/>
  <c r="AA1931" i="2" s="1"/>
  <c r="AC1934" i="2" a="1"/>
  <c r="AC1934" i="2" s="1"/>
  <c r="AI1933" i="2" a="1"/>
  <c r="AI1933" i="2" s="1"/>
  <c r="AB1934" i="2" a="1"/>
  <c r="AB1934" i="2" s="1"/>
  <c r="Y1932" i="2" a="1"/>
  <c r="Y1932" i="2" s="1"/>
  <c r="AA1934" i="2" a="1"/>
  <c r="AA1934" i="2" s="1"/>
  <c r="Z1934" i="2" a="1"/>
  <c r="Z1934" i="2" s="1"/>
  <c r="AD1933" i="2" a="1"/>
  <c r="AD1933" i="2" s="1"/>
  <c r="Y1934" i="2" a="1"/>
  <c r="Y1934" i="2" s="1"/>
  <c r="AE1933" i="2" a="1"/>
  <c r="AE1933" i="2" s="1"/>
  <c r="X1934" i="2" a="1"/>
  <c r="X1934" i="2" s="1"/>
  <c r="AC1933" i="2" a="1"/>
  <c r="AC1933" i="2" s="1"/>
  <c r="AD1932" i="2" a="1"/>
  <c r="AD1932" i="2" s="1"/>
  <c r="AI1931" i="2" a="1"/>
  <c r="AI1931" i="2" s="1"/>
  <c r="AC1932" i="2" a="1"/>
  <c r="AC1932" i="2" s="1"/>
  <c r="AA1933" i="2" a="1"/>
  <c r="AA1933" i="2" s="1"/>
  <c r="AH1932" i="2" a="1"/>
  <c r="AH1932" i="2" s="1"/>
  <c r="AJ1931" i="2" a="1"/>
  <c r="AJ1931" i="2" s="1"/>
  <c r="AH1930" i="2" a="1"/>
  <c r="AH1930" i="2" s="1"/>
  <c r="Z1933" i="2" a="1"/>
  <c r="Z1933" i="2" s="1"/>
  <c r="AI1932" i="2" a="1"/>
  <c r="AI1932" i="2" s="1"/>
  <c r="Z1932" i="2" a="1"/>
  <c r="Z1932" i="2" s="1"/>
  <c r="AG1933" i="2" a="1"/>
  <c r="AG1933" i="2" s="1"/>
  <c r="X1932" i="2" a="1"/>
  <c r="X1932" i="2" s="1"/>
  <c r="W1934" i="2" a="1"/>
  <c r="W1934" i="2" s="1"/>
  <c r="W1932" i="2" a="1"/>
  <c r="W1932" i="2" s="1"/>
  <c r="AJ1933" i="2" a="1"/>
  <c r="AJ1933" i="2" s="1"/>
  <c r="AH1933" i="2" a="1"/>
  <c r="AH1933" i="2" s="1"/>
  <c r="Y1933" i="2" a="1"/>
  <c r="Y1933" i="2" s="1"/>
  <c r="AF1933" i="2" a="1"/>
  <c r="AF1933" i="2" s="1"/>
  <c r="Z1931" i="2" a="1"/>
  <c r="Z1931" i="2" s="1"/>
  <c r="AA1932" i="2" a="1"/>
  <c r="AA1932" i="2" s="1"/>
  <c r="W1933" i="2" a="1"/>
  <c r="W1933" i="2" s="1"/>
  <c r="AB1933" i="2" a="1"/>
  <c r="AB1933" i="2" s="1"/>
  <c r="X1931" i="2" a="1"/>
  <c r="X1931" i="2" s="1"/>
  <c r="X1933" i="2" a="1"/>
  <c r="X1933" i="2" s="1"/>
  <c r="AJ1932" i="2" a="1"/>
  <c r="AJ1932" i="2" s="1"/>
  <c r="AF1932" i="2" a="1"/>
  <c r="AF1932" i="2" s="1"/>
  <c r="AE1932" i="2" a="1"/>
  <c r="AE1932" i="2" s="1"/>
  <c r="AG1931" i="2" a="1"/>
  <c r="AG1931" i="2" s="1"/>
  <c r="AB1931" i="2" a="1"/>
  <c r="AB1931" i="2" s="1"/>
  <c r="W1931" i="2" a="1"/>
  <c r="W1931" i="2" s="1"/>
  <c r="AE1930" i="2" a="1"/>
  <c r="AE1930" i="2" s="1"/>
  <c r="Y1931" i="2" a="1"/>
  <c r="Y1931" i="2" s="1"/>
  <c r="AJ1930" i="2" a="1"/>
  <c r="AJ1930" i="2" s="1"/>
  <c r="AC1931" i="2" a="1"/>
  <c r="AC1931" i="2" s="1"/>
  <c r="AI1930" i="2" a="1"/>
  <c r="AI1930" i="2" s="1"/>
  <c r="AB1932" i="2" a="1"/>
  <c r="AB1932" i="2" s="1"/>
  <c r="AI1934" i="2" a="1"/>
  <c r="AI1934" i="2" s="1"/>
  <c r="AD1781" i="2" a="1"/>
  <c r="AD1781" i="2" s="1"/>
  <c r="AI1782" i="2" a="1"/>
  <c r="AI1782" i="2" s="1"/>
  <c r="AC1783" i="2" a="1"/>
  <c r="AC1783" i="2" s="1"/>
  <c r="AB1783" i="2" a="1"/>
  <c r="AB1783" i="2" s="1"/>
  <c r="AD1782" i="2" a="1"/>
  <c r="AD1782" i="2" s="1"/>
  <c r="AA1783" i="2" a="1"/>
  <c r="AA1783" i="2" s="1"/>
  <c r="X1782" i="2" a="1"/>
  <c r="X1782" i="2" s="1"/>
  <c r="AH1782" i="2" a="1"/>
  <c r="AH1782" i="2" s="1"/>
  <c r="X1783" i="2" a="1"/>
  <c r="X1783" i="2" s="1"/>
  <c r="AG1782" i="2" a="1"/>
  <c r="AG1782" i="2" s="1"/>
  <c r="Y1781" i="2" a="1"/>
  <c r="Y1781" i="2" s="1"/>
  <c r="AC1782" i="2" a="1"/>
  <c r="AC1782" i="2" s="1"/>
  <c r="AG1781" i="2" a="1"/>
  <c r="AG1781" i="2" s="1"/>
  <c r="X1781" i="2" a="1"/>
  <c r="X1781" i="2" s="1"/>
  <c r="AB1782" i="2" a="1"/>
  <c r="AB1782" i="2" s="1"/>
  <c r="AJ1781" i="2" a="1"/>
  <c r="AJ1781" i="2" s="1"/>
  <c r="W1782" i="2" a="1"/>
  <c r="W1782" i="2" s="1"/>
  <c r="Z1783" i="2" a="1"/>
  <c r="Z1783" i="2" s="1"/>
  <c r="AA1782" i="2" a="1"/>
  <c r="AA1782" i="2" s="1"/>
  <c r="W1783" i="2" a="1"/>
  <c r="W1783" i="2" s="1"/>
  <c r="Y1782" i="2" a="1"/>
  <c r="Y1782" i="2" s="1"/>
  <c r="AI1781" i="2" a="1"/>
  <c r="AI1781" i="2" s="1"/>
  <c r="AF1781" i="2" a="1"/>
  <c r="AF1781" i="2" s="1"/>
  <c r="AB1781" i="2" a="1"/>
  <c r="AB1781" i="2" s="1"/>
  <c r="Z1782" i="2" a="1"/>
  <c r="Z1782" i="2" s="1"/>
  <c r="Z1784" i="2" a="1"/>
  <c r="Z1784" i="2" s="1"/>
  <c r="AH1783" i="2" a="1"/>
  <c r="AH1783" i="2" s="1"/>
  <c r="AE1782" i="2" a="1"/>
  <c r="AE1782" i="2" s="1"/>
  <c r="W1781" i="2" a="1"/>
  <c r="W1781" i="2" s="1"/>
  <c r="AH1785" i="2" a="1"/>
  <c r="AH1785" i="2" s="1"/>
  <c r="AE1784" i="2" a="1"/>
  <c r="AE1784" i="2" s="1"/>
  <c r="AD1784" i="2" a="1"/>
  <c r="AD1784" i="2" s="1"/>
  <c r="AC1784" i="2" a="1"/>
  <c r="AC1784" i="2" s="1"/>
  <c r="AI1780" i="2" a="1"/>
  <c r="AI1780" i="2" s="1"/>
  <c r="AB1784" i="2" a="1"/>
  <c r="AB1784" i="2" s="1"/>
  <c r="AH1781" i="2" a="1"/>
  <c r="AH1781" i="2" s="1"/>
  <c r="AA1784" i="2" a="1"/>
  <c r="AA1784" i="2" s="1"/>
  <c r="Y1784" i="2" a="1"/>
  <c r="Y1784" i="2" s="1"/>
  <c r="AG1783" i="2" a="1"/>
  <c r="AG1783" i="2" s="1"/>
  <c r="AH1780" i="2" a="1"/>
  <c r="AH1780" i="2" s="1"/>
  <c r="AD1783" i="2" a="1"/>
  <c r="AD1783" i="2" s="1"/>
  <c r="AJ1782" i="2" a="1"/>
  <c r="AJ1782" i="2" s="1"/>
  <c r="AA1781" i="2" a="1"/>
  <c r="AA1781" i="2" s="1"/>
  <c r="AE1781" i="2" a="1"/>
  <c r="AE1781" i="2" s="1"/>
  <c r="AF1780" i="2" a="1"/>
  <c r="AF1780" i="2" s="1"/>
  <c r="AF1782" i="2" a="1"/>
  <c r="AF1782" i="2" s="1"/>
  <c r="X1784" i="2" a="1"/>
  <c r="X1784" i="2" s="1"/>
  <c r="W1784" i="2" a="1"/>
  <c r="W1784" i="2" s="1"/>
  <c r="AJ1783" i="2" a="1"/>
  <c r="AJ1783" i="2" s="1"/>
  <c r="Y1783" i="2" a="1"/>
  <c r="Y1783" i="2" s="1"/>
  <c r="Z1781" i="2" a="1"/>
  <c r="Z1781" i="2" s="1"/>
  <c r="AC1781" i="2" a="1"/>
  <c r="AC1781" i="2" s="1"/>
  <c r="AE1780" i="2" a="1"/>
  <c r="AE1780" i="2" s="1"/>
  <c r="AG1780" i="2" a="1"/>
  <c r="AG1780" i="2" s="1"/>
  <c r="AI1783" i="2" a="1"/>
  <c r="AI1783" i="2" s="1"/>
  <c r="AF1783" i="2" a="1"/>
  <c r="AF1783" i="2" s="1"/>
  <c r="AE1783" i="2" a="1"/>
  <c r="AE1783" i="2" s="1"/>
  <c r="AJ1780" i="2" a="1"/>
  <c r="AJ1780" i="2" s="1"/>
  <c r="AH1779" i="2" a="1"/>
  <c r="AH1779" i="2" s="1"/>
  <c r="AH1778" i="2" a="1"/>
  <c r="AH1778" i="2" s="1"/>
  <c r="AG1779" i="2" a="1"/>
  <c r="AG1779" i="2" s="1"/>
  <c r="AF1778" i="2" a="1"/>
  <c r="AF1778" i="2" s="1"/>
  <c r="AA1778" i="2" a="1"/>
  <c r="AA1778" i="2" s="1"/>
  <c r="Y1779" i="2" a="1"/>
  <c r="Y1779" i="2" s="1"/>
  <c r="AE1776" i="2" a="1"/>
  <c r="AE1776" i="2" s="1"/>
  <c r="W1779" i="2" a="1"/>
  <c r="W1779" i="2" s="1"/>
  <c r="AA1779" i="2" a="1"/>
  <c r="AA1779" i="2" s="1"/>
  <c r="AC1778" i="2" a="1"/>
  <c r="AC1778" i="2" s="1"/>
  <c r="AB1778" i="2" a="1"/>
  <c r="AB1778" i="2" s="1"/>
  <c r="Y1778" i="2" a="1"/>
  <c r="Y1778" i="2" s="1"/>
  <c r="AB1777" i="2" a="1"/>
  <c r="AB1777" i="2" s="1"/>
  <c r="X1778" i="2" a="1"/>
  <c r="X1778" i="2" s="1"/>
  <c r="AJ1776" i="2" a="1"/>
  <c r="AJ1776" i="2" s="1"/>
  <c r="X1776" i="2" a="1"/>
  <c r="X1776" i="2" s="1"/>
  <c r="AE1777" i="2" a="1"/>
  <c r="AE1777" i="2" s="1"/>
  <c r="X1777" i="2" a="1"/>
  <c r="X1777" i="2" s="1"/>
  <c r="AC1777" i="2" a="1"/>
  <c r="AC1777" i="2" s="1"/>
  <c r="Z1778" i="2" a="1"/>
  <c r="Z1778" i="2" s="1"/>
  <c r="Y1777" i="2" a="1"/>
  <c r="Y1777" i="2" s="1"/>
  <c r="W1777" i="2" a="1"/>
  <c r="W1777" i="2" s="1"/>
  <c r="AC1776" i="2" a="1"/>
  <c r="AC1776" i="2" s="1"/>
  <c r="AG1776" i="2" a="1"/>
  <c r="AG1776" i="2" s="1"/>
  <c r="AD1776" i="2" a="1"/>
  <c r="AD1776" i="2" s="1"/>
  <c r="AJ1779" i="2" a="1"/>
  <c r="AJ1779" i="2" s="1"/>
  <c r="AF1779" i="2" a="1"/>
  <c r="AF1779" i="2" s="1"/>
  <c r="AA1777" i="2" a="1"/>
  <c r="AA1777" i="2" s="1"/>
  <c r="Z1779" i="2" a="1"/>
  <c r="Z1779" i="2" s="1"/>
  <c r="AG1777" i="2" a="1"/>
  <c r="AG1777" i="2" s="1"/>
  <c r="AB1776" i="2" a="1"/>
  <c r="AB1776" i="2" s="1"/>
  <c r="AB1786" i="2" a="1"/>
  <c r="AB1786" i="2" s="1"/>
  <c r="W1778" i="2" a="1"/>
  <c r="W1778" i="2" s="1"/>
  <c r="W1780" i="2" a="1"/>
  <c r="W1780" i="2" s="1"/>
  <c r="AD1780" i="2" a="1"/>
  <c r="AD1780" i="2" s="1"/>
  <c r="AI1777" i="2" a="1"/>
  <c r="AI1777" i="2" s="1"/>
  <c r="AF1776" i="2" a="1"/>
  <c r="AF1776" i="2" s="1"/>
  <c r="AA1776" i="2" a="1"/>
  <c r="AA1776" i="2" s="1"/>
  <c r="AC1780" i="2" a="1"/>
  <c r="AC1780" i="2" s="1"/>
  <c r="AD1777" i="2" a="1"/>
  <c r="AD1777" i="2" s="1"/>
  <c r="AB1780" i="2" a="1"/>
  <c r="AB1780" i="2" s="1"/>
  <c r="AA1780" i="2" a="1"/>
  <c r="AA1780" i="2" s="1"/>
  <c r="Z1780" i="2" a="1"/>
  <c r="Z1780" i="2" s="1"/>
  <c r="Z1776" i="2" a="1"/>
  <c r="Z1776" i="2" s="1"/>
  <c r="AD1778" i="2" a="1"/>
  <c r="AD1778" i="2" s="1"/>
  <c r="AH1777" i="2" a="1"/>
  <c r="AH1777" i="2" s="1"/>
  <c r="AH1776" i="2" a="1"/>
  <c r="AH1776" i="2" s="1"/>
  <c r="AE1779" i="2" a="1"/>
  <c r="AE1779" i="2" s="1"/>
  <c r="Y1780" i="2" a="1"/>
  <c r="Y1780" i="2" s="1"/>
  <c r="AI1778" i="2" a="1"/>
  <c r="AI1778" i="2" s="1"/>
  <c r="AI1779" i="2" a="1"/>
  <c r="AI1779" i="2" s="1"/>
  <c r="AD1779" i="2" a="1"/>
  <c r="AD1779" i="2" s="1"/>
  <c r="AI1776" i="2" a="1"/>
  <c r="AI1776" i="2" s="1"/>
  <c r="X1779" i="2" a="1"/>
  <c r="X1779" i="2" s="1"/>
  <c r="Z1777" i="2" a="1"/>
  <c r="Z1777" i="2" s="1"/>
  <c r="AE1778" i="2" a="1"/>
  <c r="AE1778" i="2" s="1"/>
  <c r="AF1777" i="2" a="1"/>
  <c r="AF1777" i="2" s="1"/>
  <c r="AJ1778" i="2" a="1"/>
  <c r="AJ1778" i="2" s="1"/>
  <c r="AG1778" i="2" a="1"/>
  <c r="AG1778" i="2" s="1"/>
  <c r="AC1779" i="2" a="1"/>
  <c r="AC1779" i="2" s="1"/>
  <c r="Y1776" i="2" a="1"/>
  <c r="Y1776" i="2" s="1"/>
  <c r="AB1779" i="2" a="1"/>
  <c r="AB1779" i="2" s="1"/>
  <c r="X1780" i="2" a="1"/>
  <c r="X1780" i="2" s="1"/>
  <c r="AJ1777" i="2" a="1"/>
  <c r="AJ1777" i="2" s="1"/>
  <c r="AF1774" i="2" a="1"/>
  <c r="AF1774" i="2" s="1"/>
  <c r="AE1774" i="2" a="1"/>
  <c r="AE1774" i="2" s="1"/>
  <c r="AD1774" i="2" a="1"/>
  <c r="AD1774" i="2" s="1"/>
  <c r="AC1774" i="2" a="1"/>
  <c r="AC1774" i="2" s="1"/>
  <c r="W1773" i="2" a="1"/>
  <c r="W1773" i="2" s="1"/>
  <c r="Y1773" i="2" a="1"/>
  <c r="Y1773" i="2" s="1"/>
  <c r="AB1773" i="2" a="1"/>
  <c r="AB1773" i="2" s="1"/>
  <c r="Z1773" i="2" a="1"/>
  <c r="Z1773" i="2" s="1"/>
  <c r="Y1772" i="2" a="1"/>
  <c r="Y1772" i="2" s="1"/>
  <c r="Y1774" i="2" a="1"/>
  <c r="Y1774" i="2" s="1"/>
  <c r="AI1773" i="2" a="1"/>
  <c r="AI1773" i="2" s="1"/>
  <c r="AA1773" i="2" a="1"/>
  <c r="AA1773" i="2" s="1"/>
  <c r="X1773" i="2" a="1"/>
  <c r="X1773" i="2" s="1"/>
  <c r="W1772" i="2" a="1"/>
  <c r="W1772" i="2" s="1"/>
  <c r="AH1772" i="2" a="1"/>
  <c r="AH1772" i="2" s="1"/>
  <c r="AC1772" i="2" a="1"/>
  <c r="AC1772" i="2" s="1"/>
  <c r="AI1772" i="2" a="1"/>
  <c r="AI1772" i="2" s="1"/>
  <c r="AF1771" i="2" a="1"/>
  <c r="AF1771" i="2" s="1"/>
  <c r="AF1772" i="2" a="1"/>
  <c r="AF1772" i="2" s="1"/>
  <c r="AG1775" i="2" a="1"/>
  <c r="AG1775" i="2" s="1"/>
  <c r="AG1785" i="2" a="1"/>
  <c r="AG1785" i="2" s="1"/>
  <c r="AH1774" i="2" a="1"/>
  <c r="AH1774" i="2" s="1"/>
  <c r="AG1771" i="2" a="1"/>
  <c r="AG1771" i="2" s="1"/>
  <c r="X1772" i="2" a="1"/>
  <c r="X1772" i="2" s="1"/>
  <c r="AE1772" i="2" a="1"/>
  <c r="AE1772" i="2" s="1"/>
  <c r="AB1772" i="2" a="1"/>
  <c r="AB1772" i="2" s="1"/>
  <c r="W1776" i="2" a="1"/>
  <c r="W1776" i="2" s="1"/>
  <c r="AC1775" i="2" a="1"/>
  <c r="AC1775" i="2" s="1"/>
  <c r="AJ1775" i="2" a="1"/>
  <c r="AJ1775" i="2" s="1"/>
  <c r="AI1775" i="2" a="1"/>
  <c r="AI1775" i="2" s="1"/>
  <c r="AB1775" i="2" a="1"/>
  <c r="AB1775" i="2" s="1"/>
  <c r="Z1774" i="2" a="1"/>
  <c r="Z1774" i="2" s="1"/>
  <c r="AD1775" i="2" a="1"/>
  <c r="AD1775" i="2" s="1"/>
  <c r="Z1775" i="2" a="1"/>
  <c r="Z1775" i="2" s="1"/>
  <c r="AA1772" i="2" a="1"/>
  <c r="AA1772" i="2" s="1"/>
  <c r="AA1774" i="2" a="1"/>
  <c r="AA1774" i="2" s="1"/>
  <c r="AG1774" i="2" a="1"/>
  <c r="AG1774" i="2" s="1"/>
  <c r="AG1773" i="2" a="1"/>
  <c r="AG1773" i="2" s="1"/>
  <c r="AH1775" i="2" a="1"/>
  <c r="AH1775" i="2" s="1"/>
  <c r="AF1775" i="2" a="1"/>
  <c r="AF1775" i="2" s="1"/>
  <c r="AD1772" i="2" a="1"/>
  <c r="AD1772" i="2" s="1"/>
  <c r="AE1775" i="2" a="1"/>
  <c r="AE1775" i="2" s="1"/>
  <c r="AA1775" i="2" a="1"/>
  <c r="AA1775" i="2" s="1"/>
  <c r="W1775" i="2" a="1"/>
  <c r="W1775" i="2" s="1"/>
  <c r="AH1773" i="2" a="1"/>
  <c r="AH1773" i="2" s="1"/>
  <c r="AJ1773" i="2" a="1"/>
  <c r="AJ1773" i="2" s="1"/>
  <c r="AE1771" i="2" a="1"/>
  <c r="AE1771" i="2" s="1"/>
  <c r="AJ1772" i="2" a="1"/>
  <c r="AJ1772" i="2" s="1"/>
  <c r="AI1771" i="2" a="1"/>
  <c r="AI1771" i="2" s="1"/>
  <c r="Y1775" i="2" a="1"/>
  <c r="Y1775" i="2" s="1"/>
  <c r="AI1774" i="2" a="1"/>
  <c r="AI1774" i="2" s="1"/>
  <c r="AB1774" i="2" a="1"/>
  <c r="AB1774" i="2" s="1"/>
  <c r="W1774" i="2" a="1"/>
  <c r="W1774" i="2" s="1"/>
  <c r="AC1773" i="2" a="1"/>
  <c r="AC1773" i="2" s="1"/>
  <c r="AJ1771" i="2" a="1"/>
  <c r="AJ1771" i="2" s="1"/>
  <c r="AH1771" i="2" a="1"/>
  <c r="AH1771" i="2" s="1"/>
  <c r="X1775" i="2" a="1"/>
  <c r="X1775" i="2" s="1"/>
  <c r="AJ1774" i="2" a="1"/>
  <c r="AJ1774" i="2" s="1"/>
  <c r="AD1773" i="2" a="1"/>
  <c r="AD1773" i="2" s="1"/>
  <c r="AG1772" i="2" a="1"/>
  <c r="AG1772" i="2" s="1"/>
  <c r="AF1773" i="2" a="1"/>
  <c r="AF1773" i="2" s="1"/>
  <c r="AE1773" i="2" a="1"/>
  <c r="AE1773" i="2" s="1"/>
  <c r="X1774" i="2" a="1"/>
  <c r="X1774" i="2" s="1"/>
  <c r="Z1772" i="2" a="1"/>
  <c r="Z1772" i="2" s="1"/>
  <c r="Z1771" i="2" a="1"/>
  <c r="Z1771" i="2" s="1"/>
  <c r="W1771" i="2" a="1"/>
  <c r="W1771" i="2" s="1"/>
  <c r="Y1767" i="2" a="1"/>
  <c r="Y1767" i="2" s="1"/>
  <c r="AJ1770" i="2" a="1"/>
  <c r="AJ1770" i="2" s="1"/>
  <c r="AH1770" i="2" a="1"/>
  <c r="AH1770" i="2" s="1"/>
  <c r="AD1770" i="2" a="1"/>
  <c r="AD1770" i="2" s="1"/>
  <c r="AJ1769" i="2" a="1"/>
  <c r="AJ1769" i="2" s="1"/>
  <c r="AH1767" i="2" a="1"/>
  <c r="AH1767" i="2" s="1"/>
  <c r="AJ1767" i="2" a="1"/>
  <c r="AJ1767" i="2" s="1"/>
  <c r="X1767" i="2" a="1"/>
  <c r="X1767" i="2" s="1"/>
  <c r="X1768" i="2" a="1"/>
  <c r="X1768" i="2" s="1"/>
  <c r="W1770" i="2" a="1"/>
  <c r="W1770" i="2" s="1"/>
  <c r="AG1767" i="2" a="1"/>
  <c r="AG1767" i="2" s="1"/>
  <c r="AA1769" i="2" a="1"/>
  <c r="AA1769" i="2" s="1"/>
  <c r="X1769" i="2" a="1"/>
  <c r="X1769" i="2" s="1"/>
  <c r="AI1768" i="2" a="1"/>
  <c r="AI1768" i="2" s="1"/>
  <c r="AH1768" i="2" a="1"/>
  <c r="AH1768" i="2" s="1"/>
  <c r="AB1768" i="2" a="1"/>
  <c r="AB1768" i="2" s="1"/>
  <c r="AG1768" i="2" a="1"/>
  <c r="AG1768" i="2" s="1"/>
  <c r="AF1768" i="2" a="1"/>
  <c r="AF1768" i="2" s="1"/>
  <c r="AA1768" i="2" a="1"/>
  <c r="AA1768" i="2" s="1"/>
  <c r="AC1767" i="2" a="1"/>
  <c r="AC1767" i="2" s="1"/>
  <c r="AC1768" i="2" a="1"/>
  <c r="AC1768" i="2" s="1"/>
  <c r="AD1768" i="2" a="1"/>
  <c r="AD1768" i="2" s="1"/>
  <c r="AG1770" i="2" a="1"/>
  <c r="AG1770" i="2" s="1"/>
  <c r="AC1769" i="2" a="1"/>
  <c r="AC1769" i="2" s="1"/>
  <c r="Y1769" i="2" a="1"/>
  <c r="Y1769" i="2" s="1"/>
  <c r="AE1768" i="2" a="1"/>
  <c r="AE1768" i="2" s="1"/>
  <c r="AB1767" i="2" a="1"/>
  <c r="AB1767" i="2" s="1"/>
  <c r="Y1768" i="2" a="1"/>
  <c r="Y1768" i="2" s="1"/>
  <c r="Y1771" i="2" a="1"/>
  <c r="Y1771" i="2" s="1"/>
  <c r="AE1770" i="2" a="1"/>
  <c r="AE1770" i="2" s="1"/>
  <c r="AF1786" i="2" a="1"/>
  <c r="AF1786" i="2" s="1"/>
  <c r="Z1769" i="2" a="1"/>
  <c r="Z1769" i="2" s="1"/>
  <c r="AF1770" i="2" a="1"/>
  <c r="AF1770" i="2" s="1"/>
  <c r="AI1770" i="2" a="1"/>
  <c r="AI1770" i="2" s="1"/>
  <c r="X1771" i="2" a="1"/>
  <c r="X1771" i="2" s="1"/>
  <c r="AD1769" i="2" a="1"/>
  <c r="AD1769" i="2" s="1"/>
  <c r="AI1767" i="2" a="1"/>
  <c r="AI1767" i="2" s="1"/>
  <c r="AE1769" i="2" a="1"/>
  <c r="AE1769" i="2" s="1"/>
  <c r="AE1767" i="2" a="1"/>
  <c r="AE1767" i="2" s="1"/>
  <c r="AD1767" i="2" a="1"/>
  <c r="AD1767" i="2" s="1"/>
  <c r="AD1771" i="2" a="1"/>
  <c r="AD1771" i="2" s="1"/>
  <c r="AC1771" i="2" a="1"/>
  <c r="AC1771" i="2" s="1"/>
  <c r="AA1770" i="2" a="1"/>
  <c r="AA1770" i="2" s="1"/>
  <c r="Z1770" i="2" a="1"/>
  <c r="Z1770" i="2" s="1"/>
  <c r="AA1771" i="2" a="1"/>
  <c r="AA1771" i="2" s="1"/>
  <c r="AF1769" i="2" a="1"/>
  <c r="AF1769" i="2" s="1"/>
  <c r="Y1770" i="2" a="1"/>
  <c r="Y1770" i="2" s="1"/>
  <c r="AC1770" i="2" a="1"/>
  <c r="AC1770" i="2" s="1"/>
  <c r="AI1769" i="2" a="1"/>
  <c r="AI1769" i="2" s="1"/>
  <c r="Z1767" i="2" a="1"/>
  <c r="Z1767" i="2" s="1"/>
  <c r="Z1768" i="2" a="1"/>
  <c r="Z1768" i="2" s="1"/>
  <c r="AA1767" i="2" a="1"/>
  <c r="AA1767" i="2" s="1"/>
  <c r="AB1770" i="2" a="1"/>
  <c r="AB1770" i="2" s="1"/>
  <c r="X1770" i="2" a="1"/>
  <c r="X1770" i="2" s="1"/>
  <c r="AH1769" i="2" a="1"/>
  <c r="AH1769" i="2" s="1"/>
  <c r="AF1767" i="2" a="1"/>
  <c r="AF1767" i="2" s="1"/>
  <c r="AG1769" i="2" a="1"/>
  <c r="AG1769" i="2" s="1"/>
  <c r="AJ1768" i="2" a="1"/>
  <c r="AJ1768" i="2" s="1"/>
  <c r="W1769" i="2" a="1"/>
  <c r="W1769" i="2" s="1"/>
  <c r="AB1771" i="2" a="1"/>
  <c r="AB1771" i="2" s="1"/>
  <c r="AB1769" i="2" a="1"/>
  <c r="AB1769" i="2" s="1"/>
  <c r="W1768" i="2" a="1"/>
  <c r="W1768" i="2" s="1"/>
  <c r="AF1766" i="2" a="1"/>
  <c r="AF1766" i="2" s="1"/>
  <c r="AD1766" i="2" a="1"/>
  <c r="AD1766" i="2" s="1"/>
  <c r="Z1766" i="2" a="1"/>
  <c r="Z1766" i="2" s="1"/>
  <c r="AE1765" i="2" a="1"/>
  <c r="AE1765" i="2" s="1"/>
  <c r="Y1766" i="2" a="1"/>
  <c r="Y1766" i="2" s="1"/>
  <c r="AJ1765" i="2" a="1"/>
  <c r="AJ1765" i="2" s="1"/>
  <c r="AG1765" i="2" a="1"/>
  <c r="AG1765" i="2" s="1"/>
  <c r="AH1765" i="2" a="1"/>
  <c r="AH1765" i="2" s="1"/>
  <c r="AG1762" i="2" a="1"/>
  <c r="AG1762" i="2" s="1"/>
  <c r="AF1765" i="2" a="1"/>
  <c r="AF1765" i="2" s="1"/>
  <c r="AC1765" i="2" a="1"/>
  <c r="AC1765" i="2" s="1"/>
  <c r="W1765" i="2" a="1"/>
  <c r="W1765" i="2" s="1"/>
  <c r="W1764" i="2" a="1"/>
  <c r="W1764" i="2" s="1"/>
  <c r="AE1762" i="2" a="1"/>
  <c r="AE1762" i="2" s="1"/>
  <c r="X1765" i="2" a="1"/>
  <c r="X1765" i="2" s="1"/>
  <c r="AJ1763" i="2" a="1"/>
  <c r="AJ1763" i="2" s="1"/>
  <c r="AD1763" i="2" a="1"/>
  <c r="AD1763" i="2" s="1"/>
  <c r="AI1764" i="2" a="1"/>
  <c r="AI1764" i="2" s="1"/>
  <c r="AD1764" i="2" a="1"/>
  <c r="AD1764" i="2" s="1"/>
  <c r="AH1764" i="2" a="1"/>
  <c r="AH1764" i="2" s="1"/>
  <c r="X1764" i="2" a="1"/>
  <c r="X1764" i="2" s="1"/>
  <c r="AE1763" i="2" a="1"/>
  <c r="AE1763" i="2" s="1"/>
  <c r="Z1763" i="2" a="1"/>
  <c r="Z1763" i="2" s="1"/>
  <c r="AF1762" i="2" a="1"/>
  <c r="AF1762" i="2" s="1"/>
  <c r="AA1763" i="2" a="1"/>
  <c r="AA1763" i="2" s="1"/>
  <c r="AA1766" i="2" a="1"/>
  <c r="AA1766" i="2" s="1"/>
  <c r="Y1764" i="2" a="1"/>
  <c r="Y1764" i="2" s="1"/>
  <c r="AB1763" i="2" a="1"/>
  <c r="AB1763" i="2" s="1"/>
  <c r="AB1765" i="2" a="1"/>
  <c r="AB1765" i="2" s="1"/>
  <c r="AA1764" i="2" a="1"/>
  <c r="AA1764" i="2" s="1"/>
  <c r="Y1763" i="2" a="1"/>
  <c r="Y1763" i="2" s="1"/>
  <c r="AE1764" i="2" a="1"/>
  <c r="AE1764" i="2" s="1"/>
  <c r="AI1763" i="2" a="1"/>
  <c r="AI1763" i="2" s="1"/>
  <c r="AE1766" i="2" a="1"/>
  <c r="AE1766" i="2" s="1"/>
  <c r="AC1766" i="2" a="1"/>
  <c r="AC1766" i="2" s="1"/>
  <c r="AG1763" i="2" a="1"/>
  <c r="AG1763" i="2" s="1"/>
  <c r="AI1765" i="2" a="1"/>
  <c r="AI1765" i="2" s="1"/>
  <c r="X1763" i="2" a="1"/>
  <c r="X1763" i="2" s="1"/>
  <c r="W1766" i="2" a="1"/>
  <c r="W1766" i="2" s="1"/>
  <c r="Y1765" i="2" a="1"/>
  <c r="Y1765" i="2" s="1"/>
  <c r="AJ1764" i="2" a="1"/>
  <c r="AJ1764" i="2" s="1"/>
  <c r="AG1764" i="2" a="1"/>
  <c r="AG1764" i="2" s="1"/>
  <c r="AF1764" i="2" a="1"/>
  <c r="AF1764" i="2" s="1"/>
  <c r="W1763" i="2" a="1"/>
  <c r="W1763" i="2" s="1"/>
  <c r="AB1764" i="2" a="1"/>
  <c r="AB1764" i="2" s="1"/>
  <c r="AI1762" i="2" a="1"/>
  <c r="AI1762" i="2" s="1"/>
  <c r="AC1763" i="2" a="1"/>
  <c r="AC1763" i="2" s="1"/>
  <c r="AF1763" i="2" a="1"/>
  <c r="AF1763" i="2" s="1"/>
  <c r="AJ1762" i="2" a="1"/>
  <c r="AJ1762" i="2" s="1"/>
  <c r="AF1785" i="2" a="1"/>
  <c r="AF1785" i="2" s="1"/>
  <c r="AJ1766" i="2" a="1"/>
  <c r="AJ1766" i="2" s="1"/>
  <c r="Z1765" i="2" a="1"/>
  <c r="Z1765" i="2" s="1"/>
  <c r="W1767" i="2" a="1"/>
  <c r="W1767" i="2" s="1"/>
  <c r="AA1765" i="2" a="1"/>
  <c r="AA1765" i="2" s="1"/>
  <c r="AI1766" i="2" a="1"/>
  <c r="AI1766" i="2" s="1"/>
  <c r="AD1765" i="2" a="1"/>
  <c r="AD1765" i="2" s="1"/>
  <c r="Z1764" i="2" a="1"/>
  <c r="Z1764" i="2" s="1"/>
  <c r="AB1766" i="2" a="1"/>
  <c r="AB1766" i="2" s="1"/>
  <c r="AH1766" i="2" a="1"/>
  <c r="AH1766" i="2" s="1"/>
  <c r="AG1766" i="2" a="1"/>
  <c r="AG1766" i="2" s="1"/>
  <c r="X1766" i="2" a="1"/>
  <c r="X1766" i="2" s="1"/>
  <c r="AC1764" i="2" a="1"/>
  <c r="AC1764" i="2" s="1"/>
  <c r="AH1763" i="2" a="1"/>
  <c r="AH1763" i="2" s="1"/>
  <c r="AH1762" i="2" a="1"/>
  <c r="AH1762" i="2" s="1"/>
  <c r="AF1761" i="2" a="1"/>
  <c r="AF1761" i="2" s="1"/>
  <c r="AE1761" i="2" a="1"/>
  <c r="AE1761" i="2" s="1"/>
  <c r="AC1759" i="2" a="1"/>
  <c r="AC1759" i="2" s="1"/>
  <c r="AD1761" i="2" a="1"/>
  <c r="AD1761" i="2" s="1"/>
  <c r="Z1760" i="2" a="1"/>
  <c r="Z1760" i="2" s="1"/>
  <c r="AB1761" i="2" a="1"/>
  <c r="AB1761" i="2" s="1"/>
  <c r="AD1759" i="2" a="1"/>
  <c r="AD1759" i="2" s="1"/>
  <c r="AA1761" i="2" a="1"/>
  <c r="AA1761" i="2" s="1"/>
  <c r="AH1758" i="2" a="1"/>
  <c r="AH1758" i="2" s="1"/>
  <c r="AB1759" i="2" a="1"/>
  <c r="AB1759" i="2" s="1"/>
  <c r="Y1761" i="2" a="1"/>
  <c r="Y1761" i="2" s="1"/>
  <c r="AA1759" i="2" a="1"/>
  <c r="AA1759" i="2" s="1"/>
  <c r="Z1758" i="2" a="1"/>
  <c r="Z1758" i="2" s="1"/>
  <c r="X1761" i="2" a="1"/>
  <c r="X1761" i="2" s="1"/>
  <c r="AI1760" i="2" a="1"/>
  <c r="AI1760" i="2" s="1"/>
  <c r="AF1760" i="2" a="1"/>
  <c r="AF1760" i="2" s="1"/>
  <c r="AG1759" i="2" a="1"/>
  <c r="AG1759" i="2" s="1"/>
  <c r="AE1759" i="2" a="1"/>
  <c r="AE1759" i="2" s="1"/>
  <c r="X1759" i="2" a="1"/>
  <c r="X1759" i="2" s="1"/>
  <c r="AF1759" i="2" a="1"/>
  <c r="AF1759" i="2" s="1"/>
  <c r="W1759" i="2" a="1"/>
  <c r="W1759" i="2" s="1"/>
  <c r="AB1758" i="2" a="1"/>
  <c r="AB1758" i="2" s="1"/>
  <c r="AI1758" i="2" a="1"/>
  <c r="AI1758" i="2" s="1"/>
  <c r="AC1758" i="2" a="1"/>
  <c r="AC1758" i="2" s="1"/>
  <c r="Z1761" i="2" a="1"/>
  <c r="Z1761" i="2" s="1"/>
  <c r="W1761" i="2" a="1"/>
  <c r="W1761" i="2" s="1"/>
  <c r="AE1760" i="2" a="1"/>
  <c r="AE1760" i="2" s="1"/>
  <c r="AB1760" i="2" a="1"/>
  <c r="AB1760" i="2" s="1"/>
  <c r="AJ1758" i="2" a="1"/>
  <c r="AJ1758" i="2" s="1"/>
  <c r="X1758" i="2" a="1"/>
  <c r="X1758" i="2" s="1"/>
  <c r="Y1759" i="2" a="1"/>
  <c r="Y1759" i="2" s="1"/>
  <c r="AJ1759" i="2" a="1"/>
  <c r="AJ1759" i="2" s="1"/>
  <c r="AC1762" i="2" a="1"/>
  <c r="AC1762" i="2" s="1"/>
  <c r="AI1761" i="2" a="1"/>
  <c r="AI1761" i="2" s="1"/>
  <c r="AC1761" i="2" a="1"/>
  <c r="AC1761" i="2" s="1"/>
  <c r="AJ1760" i="2" a="1"/>
  <c r="AJ1760" i="2" s="1"/>
  <c r="AA1786" i="2" a="1"/>
  <c r="AA1786" i="2" s="1"/>
  <c r="AD1762" i="2" a="1"/>
  <c r="AD1762" i="2" s="1"/>
  <c r="W1762" i="2" a="1"/>
  <c r="W1762" i="2" s="1"/>
  <c r="AH1760" i="2" a="1"/>
  <c r="AH1760" i="2" s="1"/>
  <c r="AA1760" i="2" a="1"/>
  <c r="AA1760" i="2" s="1"/>
  <c r="AG1760" i="2" a="1"/>
  <c r="AG1760" i="2" s="1"/>
  <c r="AF1758" i="2" a="1"/>
  <c r="AF1758" i="2" s="1"/>
  <c r="AB1762" i="2" a="1"/>
  <c r="AB1762" i="2" s="1"/>
  <c r="Y1762" i="2" a="1"/>
  <c r="Y1762" i="2" s="1"/>
  <c r="AH1759" i="2" a="1"/>
  <c r="AH1759" i="2" s="1"/>
  <c r="AD1758" i="2" a="1"/>
  <c r="AD1758" i="2" s="1"/>
  <c r="AA1762" i="2" a="1"/>
  <c r="AA1762" i="2" s="1"/>
  <c r="Y1760" i="2" a="1"/>
  <c r="Y1760" i="2" s="1"/>
  <c r="W1760" i="2" a="1"/>
  <c r="W1760" i="2" s="1"/>
  <c r="AC1760" i="2" a="1"/>
  <c r="AC1760" i="2" s="1"/>
  <c r="Z1759" i="2" a="1"/>
  <c r="Z1759" i="2" s="1"/>
  <c r="Z1762" i="2" a="1"/>
  <c r="Z1762" i="2" s="1"/>
  <c r="AD1760" i="2" a="1"/>
  <c r="AD1760" i="2" s="1"/>
  <c r="AE1758" i="2" a="1"/>
  <c r="AE1758" i="2" s="1"/>
  <c r="AA1758" i="2" a="1"/>
  <c r="AA1758" i="2" s="1"/>
  <c r="X1760" i="2" a="1"/>
  <c r="X1760" i="2" s="1"/>
  <c r="Y1758" i="2" a="1"/>
  <c r="Y1758" i="2" s="1"/>
  <c r="X1762" i="2" a="1"/>
  <c r="X1762" i="2" s="1"/>
  <c r="AJ1761" i="2" a="1"/>
  <c r="AJ1761" i="2" s="1"/>
  <c r="AG1758" i="2" a="1"/>
  <c r="AG1758" i="2" s="1"/>
  <c r="AH1761" i="2" a="1"/>
  <c r="AH1761" i="2" s="1"/>
  <c r="AI1759" i="2" a="1"/>
  <c r="AI1759" i="2" s="1"/>
  <c r="AG1761" i="2" a="1"/>
  <c r="AG1761" i="2" s="1"/>
  <c r="AJ1757" i="2" a="1"/>
  <c r="AJ1757" i="2" s="1"/>
  <c r="AH1757" i="2" a="1"/>
  <c r="AH1757" i="2" s="1"/>
  <c r="AF1757" i="2" a="1"/>
  <c r="AF1757" i="2" s="1"/>
  <c r="AH1756" i="2" a="1"/>
  <c r="AH1756" i="2" s="1"/>
  <c r="W1757" i="2" a="1"/>
  <c r="W1757" i="2" s="1"/>
  <c r="AJ1756" i="2" a="1"/>
  <c r="AJ1756" i="2" s="1"/>
  <c r="AI1756" i="2" a="1"/>
  <c r="AI1756" i="2" s="1"/>
  <c r="AE1753" i="2" a="1"/>
  <c r="AE1753" i="2" s="1"/>
  <c r="AH1755" i="2" a="1"/>
  <c r="AH1755" i="2" s="1"/>
  <c r="AE1755" i="2" a="1"/>
  <c r="AE1755" i="2" s="1"/>
  <c r="AE1756" i="2" a="1"/>
  <c r="AE1756" i="2" s="1"/>
  <c r="AD1756" i="2" a="1"/>
  <c r="AD1756" i="2" s="1"/>
  <c r="Z1754" i="2" a="1"/>
  <c r="Z1754" i="2" s="1"/>
  <c r="AC1756" i="2" a="1"/>
  <c r="AC1756" i="2" s="1"/>
  <c r="AJ1754" i="2" a="1"/>
  <c r="AJ1754" i="2" s="1"/>
  <c r="AG1753" i="2" a="1"/>
  <c r="AG1753" i="2" s="1"/>
  <c r="AG1754" i="2" a="1"/>
  <c r="AG1754" i="2" s="1"/>
  <c r="AE1754" i="2" a="1"/>
  <c r="AE1754" i="2" s="1"/>
  <c r="AJ1753" i="2" a="1"/>
  <c r="AJ1753" i="2" s="1"/>
  <c r="Z1756" i="2" a="1"/>
  <c r="Z1756" i="2" s="1"/>
  <c r="AI1755" i="2" a="1"/>
  <c r="AI1755" i="2" s="1"/>
  <c r="AC1754" i="2" a="1"/>
  <c r="AC1754" i="2" s="1"/>
  <c r="Y1754" i="2" a="1"/>
  <c r="Y1754" i="2" s="1"/>
  <c r="AB1754" i="2" a="1"/>
  <c r="AB1754" i="2" s="1"/>
  <c r="AI1753" i="2" a="1"/>
  <c r="AI1753" i="2" s="1"/>
  <c r="AF1753" i="2" a="1"/>
  <c r="AF1753" i="2" s="1"/>
  <c r="AB1757" i="2" a="1"/>
  <c r="AB1757" i="2" s="1"/>
  <c r="AC1757" i="2" a="1"/>
  <c r="AC1757" i="2" s="1"/>
  <c r="W1756" i="2" a="1"/>
  <c r="W1756" i="2" s="1"/>
  <c r="X1755" i="2" a="1"/>
  <c r="X1755" i="2" s="1"/>
  <c r="AG1755" i="2" a="1"/>
  <c r="AG1755" i="2" s="1"/>
  <c r="AG1757" i="2" a="1"/>
  <c r="AG1757" i="2" s="1"/>
  <c r="X1756" i="2" a="1"/>
  <c r="X1756" i="2" s="1"/>
  <c r="AF1755" i="2" a="1"/>
  <c r="AF1755" i="2" s="1"/>
  <c r="W1754" i="2" a="1"/>
  <c r="W1754" i="2" s="1"/>
  <c r="AH1753" i="2" a="1"/>
  <c r="AH1753" i="2" s="1"/>
  <c r="Y1756" i="2" a="1"/>
  <c r="Y1756" i="2" s="1"/>
  <c r="Z1757" i="2" a="1"/>
  <c r="Z1757" i="2" s="1"/>
  <c r="AI1754" i="2" a="1"/>
  <c r="AI1754" i="2" s="1"/>
  <c r="AF1754" i="2" a="1"/>
  <c r="AF1754" i="2" s="1"/>
  <c r="AD1757" i="2" a="1"/>
  <c r="AD1757" i="2" s="1"/>
  <c r="AB1755" i="2" a="1"/>
  <c r="AB1755" i="2" s="1"/>
  <c r="AD1754" i="2" a="1"/>
  <c r="AD1754" i="2" s="1"/>
  <c r="AA1757" i="2" a="1"/>
  <c r="AA1757" i="2" s="1"/>
  <c r="AF1756" i="2" a="1"/>
  <c r="AF1756" i="2" s="1"/>
  <c r="AA1756" i="2" a="1"/>
  <c r="AA1756" i="2" s="1"/>
  <c r="Y1755" i="2" a="1"/>
  <c r="Y1755" i="2" s="1"/>
  <c r="X1754" i="2" a="1"/>
  <c r="X1754" i="2" s="1"/>
  <c r="AI1757" i="2" a="1"/>
  <c r="AI1757" i="2" s="1"/>
  <c r="AE1785" i="2" a="1"/>
  <c r="AE1785" i="2" s="1"/>
  <c r="AJ1755" i="2" a="1"/>
  <c r="AJ1755" i="2" s="1"/>
  <c r="AA1755" i="2" a="1"/>
  <c r="AA1755" i="2" s="1"/>
  <c r="AB1756" i="2" a="1"/>
  <c r="AB1756" i="2" s="1"/>
  <c r="AG1756" i="2" a="1"/>
  <c r="AG1756" i="2" s="1"/>
  <c r="AD1755" i="2" a="1"/>
  <c r="AD1755" i="2" s="1"/>
  <c r="W1755" i="2" a="1"/>
  <c r="W1755" i="2" s="1"/>
  <c r="AH1754" i="2" a="1"/>
  <c r="AH1754" i="2" s="1"/>
  <c r="AA1754" i="2" a="1"/>
  <c r="AA1754" i="2" s="1"/>
  <c r="AC1755" i="2" a="1"/>
  <c r="AC1755" i="2" s="1"/>
  <c r="AE1757" i="2" a="1"/>
  <c r="AE1757" i="2" s="1"/>
  <c r="Y1757" i="2" a="1"/>
  <c r="Y1757" i="2" s="1"/>
  <c r="X1757" i="2" a="1"/>
  <c r="X1757" i="2" s="1"/>
  <c r="Z1755" i="2" a="1"/>
  <c r="Z1755" i="2" s="1"/>
  <c r="W1758" i="2" a="1"/>
  <c r="W1758" i="2" s="1"/>
  <c r="AB1753" i="2" a="1"/>
  <c r="AB1753" i="2" s="1"/>
  <c r="AA1753" i="2" a="1"/>
  <c r="AA1753" i="2" s="1"/>
  <c r="Y1753" i="2" a="1"/>
  <c r="Y1753" i="2" s="1"/>
  <c r="X1753" i="2" a="1"/>
  <c r="X1753" i="2" s="1"/>
  <c r="AF1750" i="2" a="1"/>
  <c r="AF1750" i="2" s="1"/>
  <c r="AE1752" i="2" a="1"/>
  <c r="AE1752" i="2" s="1"/>
  <c r="AC1749" i="2" a="1"/>
  <c r="AC1749" i="2" s="1"/>
  <c r="AG1749" i="2" a="1"/>
  <c r="AG1749" i="2" s="1"/>
  <c r="AC1752" i="2" a="1"/>
  <c r="AC1752" i="2" s="1"/>
  <c r="AI1751" i="2" a="1"/>
  <c r="AI1751" i="2" s="1"/>
  <c r="AD1751" i="2" a="1"/>
  <c r="AD1751" i="2" s="1"/>
  <c r="AB1749" i="2" a="1"/>
  <c r="AB1749" i="2" s="1"/>
  <c r="AG1750" i="2" a="1"/>
  <c r="AG1750" i="2" s="1"/>
  <c r="X1749" i="2" a="1"/>
  <c r="X1749" i="2" s="1"/>
  <c r="AE1750" i="2" a="1"/>
  <c r="AE1750" i="2" s="1"/>
  <c r="AD1749" i="2" a="1"/>
  <c r="AD1749" i="2" s="1"/>
  <c r="Z1751" i="2" a="1"/>
  <c r="Z1751" i="2" s="1"/>
  <c r="Y1750" i="2" a="1"/>
  <c r="Y1750" i="2" s="1"/>
  <c r="Z1749" i="2" a="1"/>
  <c r="Z1749" i="2" s="1"/>
  <c r="Z1750" i="2" a="1"/>
  <c r="Z1750" i="2" s="1"/>
  <c r="W1750" i="2" a="1"/>
  <c r="W1750" i="2" s="1"/>
  <c r="Y1751" i="2" a="1"/>
  <c r="Y1751" i="2" s="1"/>
  <c r="AA1751" i="2" a="1"/>
  <c r="AA1751" i="2" s="1"/>
  <c r="X1752" i="2" a="1"/>
  <c r="X1752" i="2" s="1"/>
  <c r="AH1786" i="2" a="1"/>
  <c r="AH1786" i="2" s="1"/>
  <c r="AI1750" i="2" a="1"/>
  <c r="AI1750" i="2" s="1"/>
  <c r="AJ1749" i="2" a="1"/>
  <c r="AJ1749" i="2" s="1"/>
  <c r="AC1751" i="2" a="1"/>
  <c r="AC1751" i="2" s="1"/>
  <c r="Z1753" i="2" a="1"/>
  <c r="Z1753" i="2" s="1"/>
  <c r="AI1752" i="2" a="1"/>
  <c r="AI1752" i="2" s="1"/>
  <c r="AH1751" i="2" a="1"/>
  <c r="AH1751" i="2" s="1"/>
  <c r="AF1749" i="2" a="1"/>
  <c r="AF1749" i="2" s="1"/>
  <c r="AD1750" i="2" a="1"/>
  <c r="AD1750" i="2" s="1"/>
  <c r="AD1752" i="2" a="1"/>
  <c r="AD1752" i="2" s="1"/>
  <c r="AF1751" i="2" a="1"/>
  <c r="AF1751" i="2" s="1"/>
  <c r="AB1750" i="2" a="1"/>
  <c r="AB1750" i="2" s="1"/>
  <c r="AH1749" i="2" a="1"/>
  <c r="AH1749" i="2" s="1"/>
  <c r="AE1749" i="2" a="1"/>
  <c r="AE1749" i="2" s="1"/>
  <c r="AJ1750" i="2" a="1"/>
  <c r="AJ1750" i="2" s="1"/>
  <c r="Y1752" i="2" a="1"/>
  <c r="Y1752" i="2" s="1"/>
  <c r="AJ1751" i="2" a="1"/>
  <c r="AJ1751" i="2" s="1"/>
  <c r="W1751" i="2" a="1"/>
  <c r="W1751" i="2" s="1"/>
  <c r="AE1751" i="2" a="1"/>
  <c r="AE1751" i="2" s="1"/>
  <c r="AA1750" i="2" a="1"/>
  <c r="AA1750" i="2" s="1"/>
  <c r="AI1749" i="2" a="1"/>
  <c r="AI1749" i="2" s="1"/>
  <c r="AB1752" i="2" a="1"/>
  <c r="AB1752" i="2" s="1"/>
  <c r="X1750" i="2" a="1"/>
  <c r="X1750" i="2" s="1"/>
  <c r="AD1753" i="2" a="1"/>
  <c r="AD1753" i="2" s="1"/>
  <c r="AC1753" i="2" a="1"/>
  <c r="AC1753" i="2" s="1"/>
  <c r="AH1752" i="2" a="1"/>
  <c r="AH1752" i="2" s="1"/>
  <c r="W1752" i="2" a="1"/>
  <c r="W1752" i="2" s="1"/>
  <c r="Z1752" i="2" a="1"/>
  <c r="Z1752" i="2" s="1"/>
  <c r="X1751" i="2" a="1"/>
  <c r="X1751" i="2" s="1"/>
  <c r="AA1752" i="2" a="1"/>
  <c r="AA1752" i="2" s="1"/>
  <c r="AB1751" i="2" a="1"/>
  <c r="AB1751" i="2" s="1"/>
  <c r="W1753" i="2" a="1"/>
  <c r="W1753" i="2" s="1"/>
  <c r="AJ1752" i="2" a="1"/>
  <c r="AJ1752" i="2" s="1"/>
  <c r="AA1749" i="2" a="1"/>
  <c r="AA1749" i="2" s="1"/>
  <c r="AG1752" i="2" a="1"/>
  <c r="AG1752" i="2" s="1"/>
  <c r="AF1752" i="2" a="1"/>
  <c r="AF1752" i="2" s="1"/>
  <c r="AG1751" i="2" a="1"/>
  <c r="AG1751" i="2" s="1"/>
  <c r="AH1750" i="2" a="1"/>
  <c r="AH1750" i="2" s="1"/>
  <c r="Y1749" i="2" a="1"/>
  <c r="Y1749" i="2" s="1"/>
  <c r="AC1750" i="2" a="1"/>
  <c r="AC1750" i="2" s="1"/>
  <c r="AH1744" i="2" a="1"/>
  <c r="AH1744" i="2" s="1"/>
  <c r="W1745" i="2" a="1"/>
  <c r="W1745" i="2" s="1"/>
  <c r="Z1748" i="2" a="1"/>
  <c r="Z1748" i="2" s="1"/>
  <c r="W1748" i="2" a="1"/>
  <c r="W1748" i="2" s="1"/>
  <c r="AF1745" i="2" a="1"/>
  <c r="AF1745" i="2" s="1"/>
  <c r="Z1746" i="2" a="1"/>
  <c r="Z1746" i="2" s="1"/>
  <c r="X1748" i="2" a="1"/>
  <c r="X1748" i="2" s="1"/>
  <c r="AH1746" i="2" a="1"/>
  <c r="AH1746" i="2" s="1"/>
  <c r="AF1746" i="2" a="1"/>
  <c r="AF1746" i="2" s="1"/>
  <c r="AG1747" i="2" a="1"/>
  <c r="AG1747" i="2" s="1"/>
  <c r="AI1747" i="2" a="1"/>
  <c r="AI1747" i="2" s="1"/>
  <c r="AE1747" i="2" a="1"/>
  <c r="AE1747" i="2" s="1"/>
  <c r="X1747" i="2" a="1"/>
  <c r="X1747" i="2" s="1"/>
  <c r="AC1747" i="2" a="1"/>
  <c r="AC1747" i="2" s="1"/>
  <c r="W1747" i="2" a="1"/>
  <c r="W1747" i="2" s="1"/>
  <c r="AC1746" i="2" a="1"/>
  <c r="AC1746" i="2" s="1"/>
  <c r="AA1745" i="2" a="1"/>
  <c r="AA1745" i="2" s="1"/>
  <c r="AB1747" i="2" a="1"/>
  <c r="AB1747" i="2" s="1"/>
  <c r="Y1745" i="2" a="1"/>
  <c r="Y1745" i="2" s="1"/>
  <c r="Y1747" i="2" a="1"/>
  <c r="Y1747" i="2" s="1"/>
  <c r="AG1746" i="2" a="1"/>
  <c r="AG1746" i="2" s="1"/>
  <c r="AJ1745" i="2" a="1"/>
  <c r="AJ1745" i="2" s="1"/>
  <c r="AF1744" i="2" a="1"/>
  <c r="AF1744" i="2" s="1"/>
  <c r="X1745" i="2" a="1"/>
  <c r="X1745" i="2" s="1"/>
  <c r="AD1785" i="2" a="1"/>
  <c r="AD1785" i="2" s="1"/>
  <c r="W1749" i="2" a="1"/>
  <c r="W1749" i="2" s="1"/>
  <c r="AJ1748" i="2" a="1"/>
  <c r="AJ1748" i="2" s="1"/>
  <c r="AD1748" i="2" a="1"/>
  <c r="AD1748" i="2" s="1"/>
  <c r="AH1745" i="2" a="1"/>
  <c r="AH1745" i="2" s="1"/>
  <c r="AC1745" i="2" a="1"/>
  <c r="AC1745" i="2" s="1"/>
  <c r="AA1746" i="2" a="1"/>
  <c r="AA1746" i="2" s="1"/>
  <c r="AB1746" i="2" a="1"/>
  <c r="AB1746" i="2" s="1"/>
  <c r="AJ1744" i="2" a="1"/>
  <c r="AJ1744" i="2" s="1"/>
  <c r="Y1746" i="2" a="1"/>
  <c r="Y1746" i="2" s="1"/>
  <c r="AI1748" i="2" a="1"/>
  <c r="AI1748" i="2" s="1"/>
  <c r="AH1748" i="2" a="1"/>
  <c r="AH1748" i="2" s="1"/>
  <c r="AG1748" i="2" a="1"/>
  <c r="AG1748" i="2" s="1"/>
  <c r="AF1748" i="2" a="1"/>
  <c r="AF1748" i="2" s="1"/>
  <c r="AD1746" i="2" a="1"/>
  <c r="AD1746" i="2" s="1"/>
  <c r="Z1745" i="2" a="1"/>
  <c r="Z1745" i="2" s="1"/>
  <c r="AG1745" i="2" a="1"/>
  <c r="AG1745" i="2" s="1"/>
  <c r="AE1748" i="2" a="1"/>
  <c r="AE1748" i="2" s="1"/>
  <c r="AC1748" i="2" a="1"/>
  <c r="AC1748" i="2" s="1"/>
  <c r="AD1747" i="2" a="1"/>
  <c r="AD1747" i="2" s="1"/>
  <c r="AA1747" i="2" a="1"/>
  <c r="AA1747" i="2" s="1"/>
  <c r="Z1747" i="2" a="1"/>
  <c r="Z1747" i="2" s="1"/>
  <c r="AD1745" i="2" a="1"/>
  <c r="AD1745" i="2" s="1"/>
  <c r="AE1745" i="2" a="1"/>
  <c r="AE1745" i="2" s="1"/>
  <c r="AE1744" i="2" a="1"/>
  <c r="AE1744" i="2" s="1"/>
  <c r="AH1747" i="2" a="1"/>
  <c r="AH1747" i="2" s="1"/>
  <c r="AF1747" i="2" a="1"/>
  <c r="AF1747" i="2" s="1"/>
  <c r="AI1746" i="2" a="1"/>
  <c r="AI1746" i="2" s="1"/>
  <c r="X1746" i="2" a="1"/>
  <c r="X1746" i="2" s="1"/>
  <c r="AG1744" i="2" a="1"/>
  <c r="AG1744" i="2" s="1"/>
  <c r="AA1748" i="2" a="1"/>
  <c r="AA1748" i="2" s="1"/>
  <c r="AJ1747" i="2" a="1"/>
  <c r="AJ1747" i="2" s="1"/>
  <c r="AB1745" i="2" a="1"/>
  <c r="AB1745" i="2" s="1"/>
  <c r="AI1745" i="2" a="1"/>
  <c r="AI1745" i="2" s="1"/>
  <c r="AJ1746" i="2" a="1"/>
  <c r="AJ1746" i="2" s="1"/>
  <c r="AE1746" i="2" a="1"/>
  <c r="AE1746" i="2" s="1"/>
  <c r="W1746" i="2" a="1"/>
  <c r="W1746" i="2" s="1"/>
  <c r="AB1748" i="2" a="1"/>
  <c r="AB1748" i="2" s="1"/>
  <c r="Y1748" i="2" a="1"/>
  <c r="Y1748" i="2" s="1"/>
  <c r="AI1744" i="2" a="1"/>
  <c r="AI1744" i="2" s="1"/>
  <c r="AD1743" i="2" a="1"/>
  <c r="AD1743" i="2" s="1"/>
  <c r="AG1740" i="2" a="1"/>
  <c r="AG1740" i="2" s="1"/>
  <c r="AA1743" i="2" a="1"/>
  <c r="AA1743" i="2" s="1"/>
  <c r="AI1742" i="2" a="1"/>
  <c r="AI1742" i="2" s="1"/>
  <c r="W1742" i="2" a="1"/>
  <c r="W1742" i="2" s="1"/>
  <c r="AE1742" i="2" a="1"/>
  <c r="AE1742" i="2" s="1"/>
  <c r="AB1740" i="2" a="1"/>
  <c r="AB1740" i="2" s="1"/>
  <c r="Z1740" i="2" a="1"/>
  <c r="Z1740" i="2" s="1"/>
  <c r="AB1744" i="2" a="1"/>
  <c r="AB1744" i="2" s="1"/>
  <c r="Z1786" i="2" a="1"/>
  <c r="Z1786" i="2" s="1"/>
  <c r="AE1743" i="2" a="1"/>
  <c r="AE1743" i="2" s="1"/>
  <c r="AF1742" i="2" a="1"/>
  <c r="AF1742" i="2" s="1"/>
  <c r="AD1742" i="2" a="1"/>
  <c r="AD1742" i="2" s="1"/>
  <c r="X1742" i="2" a="1"/>
  <c r="X1742" i="2" s="1"/>
  <c r="AA1741" i="2" a="1"/>
  <c r="AA1741" i="2" s="1"/>
  <c r="AH1741" i="2" a="1"/>
  <c r="AH1741" i="2" s="1"/>
  <c r="X1744" i="2" a="1"/>
  <c r="X1744" i="2" s="1"/>
  <c r="AF1743" i="2" a="1"/>
  <c r="AF1743" i="2" s="1"/>
  <c r="AI1741" i="2" a="1"/>
  <c r="AI1741" i="2" s="1"/>
  <c r="AB1741" i="2" a="1"/>
  <c r="AB1741" i="2" s="1"/>
  <c r="Z1742" i="2" a="1"/>
  <c r="Z1742" i="2" s="1"/>
  <c r="AD1744" i="2" a="1"/>
  <c r="AD1744" i="2" s="1"/>
  <c r="AA1744" i="2" a="1"/>
  <c r="AA1744" i="2" s="1"/>
  <c r="W1743" i="2" a="1"/>
  <c r="W1743" i="2" s="1"/>
  <c r="AC1744" i="2" a="1"/>
  <c r="AC1744" i="2" s="1"/>
  <c r="Z1744" i="2" a="1"/>
  <c r="Z1744" i="2" s="1"/>
  <c r="Y1744" i="2" a="1"/>
  <c r="Y1744" i="2" s="1"/>
  <c r="W1744" i="2" a="1"/>
  <c r="W1744" i="2" s="1"/>
  <c r="AI1743" i="2" a="1"/>
  <c r="AI1743" i="2" s="1"/>
  <c r="AB1743" i="2" a="1"/>
  <c r="AB1743" i="2" s="1"/>
  <c r="AH1742" i="2" a="1"/>
  <c r="AH1742" i="2" s="1"/>
  <c r="Y1740" i="2" a="1"/>
  <c r="Y1740" i="2" s="1"/>
  <c r="AF1741" i="2" a="1"/>
  <c r="AF1741" i="2" s="1"/>
  <c r="Z1743" i="2" a="1"/>
  <c r="Z1743" i="2" s="1"/>
  <c r="Z1741" i="2" a="1"/>
  <c r="Z1741" i="2" s="1"/>
  <c r="AG1742" i="2" a="1"/>
  <c r="AG1742" i="2" s="1"/>
  <c r="AD1741" i="2" a="1"/>
  <c r="AD1741" i="2" s="1"/>
  <c r="X1740" i="2" a="1"/>
  <c r="X1740" i="2" s="1"/>
  <c r="AI1740" i="2" a="1"/>
  <c r="AI1740" i="2" s="1"/>
  <c r="AH1743" i="2" a="1"/>
  <c r="AH1743" i="2" s="1"/>
  <c r="AG1743" i="2" a="1"/>
  <c r="AG1743" i="2" s="1"/>
  <c r="AJ1740" i="2" a="1"/>
  <c r="AJ1740" i="2" s="1"/>
  <c r="AC1741" i="2" a="1"/>
  <c r="AC1741" i="2" s="1"/>
  <c r="Y1741" i="2" a="1"/>
  <c r="Y1741" i="2" s="1"/>
  <c r="AC1743" i="2" a="1"/>
  <c r="AC1743" i="2" s="1"/>
  <c r="AB1742" i="2" a="1"/>
  <c r="AB1742" i="2" s="1"/>
  <c r="AJ1741" i="2" a="1"/>
  <c r="AJ1741" i="2" s="1"/>
  <c r="W1741" i="2" a="1"/>
  <c r="W1741" i="2" s="1"/>
  <c r="AD1740" i="2" a="1"/>
  <c r="AD1740" i="2" s="1"/>
  <c r="AH1740" i="2" a="1"/>
  <c r="AH1740" i="2" s="1"/>
  <c r="Y1743" i="2" a="1"/>
  <c r="Y1743" i="2" s="1"/>
  <c r="AJ1742" i="2" a="1"/>
  <c r="AJ1742" i="2" s="1"/>
  <c r="AE1740" i="2" a="1"/>
  <c r="AE1740" i="2" s="1"/>
  <c r="AA1740" i="2" a="1"/>
  <c r="AA1740" i="2" s="1"/>
  <c r="AA1742" i="2" a="1"/>
  <c r="AA1742" i="2" s="1"/>
  <c r="Y1742" i="2" a="1"/>
  <c r="Y1742" i="2" s="1"/>
  <c r="AC1740" i="2" a="1"/>
  <c r="AC1740" i="2" s="1"/>
  <c r="X1741" i="2" a="1"/>
  <c r="X1741" i="2" s="1"/>
  <c r="AF1740" i="2" a="1"/>
  <c r="AF1740" i="2" s="1"/>
  <c r="AG1741" i="2" a="1"/>
  <c r="AG1741" i="2" s="1"/>
  <c r="X1743" i="2" a="1"/>
  <c r="X1743" i="2" s="1"/>
  <c r="AJ1743" i="2" a="1"/>
  <c r="AJ1743" i="2" s="1"/>
  <c r="AC1742" i="2" a="1"/>
  <c r="AC1742" i="2" s="1"/>
  <c r="AE1741" i="2" a="1"/>
  <c r="AE1741" i="2" s="1"/>
  <c r="AD1736" i="2" a="1"/>
  <c r="AD1736" i="2" s="1"/>
  <c r="W1739" i="2" a="1"/>
  <c r="W1739" i="2" s="1"/>
  <c r="AH1738" i="2" a="1"/>
  <c r="AH1738" i="2" s="1"/>
  <c r="AH1737" i="2" a="1"/>
  <c r="AH1737" i="2" s="1"/>
  <c r="Z1737" i="2" a="1"/>
  <c r="Z1737" i="2" s="1"/>
  <c r="AG1738" i="2" a="1"/>
  <c r="AG1738" i="2" s="1"/>
  <c r="Y1738" i="2" a="1"/>
  <c r="Y1738" i="2" s="1"/>
  <c r="W1738" i="2" a="1"/>
  <c r="W1738" i="2" s="1"/>
  <c r="AC1738" i="2" a="1"/>
  <c r="AC1738" i="2" s="1"/>
  <c r="AD1737" i="2" a="1"/>
  <c r="AD1737" i="2" s="1"/>
  <c r="AF1737" i="2" a="1"/>
  <c r="AF1737" i="2" s="1"/>
  <c r="AB1737" i="2" a="1"/>
  <c r="AB1737" i="2" s="1"/>
  <c r="AA1736" i="2" a="1"/>
  <c r="AA1736" i="2" s="1"/>
  <c r="AA1737" i="2" a="1"/>
  <c r="AA1737" i="2" s="1"/>
  <c r="X1737" i="2" a="1"/>
  <c r="X1737" i="2" s="1"/>
  <c r="AI1736" i="2" a="1"/>
  <c r="AI1736" i="2" s="1"/>
  <c r="W1736" i="2" a="1"/>
  <c r="W1736" i="2" s="1"/>
  <c r="AI1735" i="2" a="1"/>
  <c r="AI1735" i="2" s="1"/>
  <c r="AG1735" i="2" a="1"/>
  <c r="AG1735" i="2" s="1"/>
  <c r="AJ1735" i="2" a="1"/>
  <c r="AJ1735" i="2" s="1"/>
  <c r="AH1735" i="2" a="1"/>
  <c r="AH1735" i="2" s="1"/>
  <c r="AB1738" i="2" a="1"/>
  <c r="AB1738" i="2" s="1"/>
  <c r="AD1738" i="2" a="1"/>
  <c r="AD1738" i="2" s="1"/>
  <c r="AI1738" i="2" a="1"/>
  <c r="AI1738" i="2" s="1"/>
  <c r="AG1736" i="2" a="1"/>
  <c r="AG1736" i="2" s="1"/>
  <c r="AF1735" i="2" a="1"/>
  <c r="AF1735" i="2" s="1"/>
  <c r="AF1738" i="2" a="1"/>
  <c r="AF1738" i="2" s="1"/>
  <c r="Z1736" i="2" a="1"/>
  <c r="Z1736" i="2" s="1"/>
  <c r="AC1785" i="2" a="1"/>
  <c r="AC1785" i="2" s="1"/>
  <c r="Z1738" i="2" a="1"/>
  <c r="Z1738" i="2" s="1"/>
  <c r="W1740" i="2" a="1"/>
  <c r="W1740" i="2" s="1"/>
  <c r="AJ1739" i="2" a="1"/>
  <c r="AJ1739" i="2" s="1"/>
  <c r="AI1739" i="2" a="1"/>
  <c r="AI1739" i="2" s="1"/>
  <c r="AH1739" i="2" a="1"/>
  <c r="AH1739" i="2" s="1"/>
  <c r="AG1739" i="2" a="1"/>
  <c r="AG1739" i="2" s="1"/>
  <c r="AE1735" i="2" a="1"/>
  <c r="AE1735" i="2" s="1"/>
  <c r="AF1739" i="2" a="1"/>
  <c r="AF1739" i="2" s="1"/>
  <c r="AE1739" i="2" a="1"/>
  <c r="AE1739" i="2" s="1"/>
  <c r="AC1739" i="2" a="1"/>
  <c r="AC1739" i="2" s="1"/>
  <c r="AJ1736" i="2" a="1"/>
  <c r="AJ1736" i="2" s="1"/>
  <c r="AB1739" i="2" a="1"/>
  <c r="AB1739" i="2" s="1"/>
  <c r="Y1739" i="2" a="1"/>
  <c r="Y1739" i="2" s="1"/>
  <c r="AH1736" i="2" a="1"/>
  <c r="AH1736" i="2" s="1"/>
  <c r="AJ1738" i="2" a="1"/>
  <c r="AJ1738" i="2" s="1"/>
  <c r="AE1738" i="2" a="1"/>
  <c r="AE1738" i="2" s="1"/>
  <c r="AB1736" i="2" a="1"/>
  <c r="AB1736" i="2" s="1"/>
  <c r="X1736" i="2" a="1"/>
  <c r="X1736" i="2" s="1"/>
  <c r="AA1738" i="2" a="1"/>
  <c r="AA1738" i="2" s="1"/>
  <c r="AI1737" i="2" a="1"/>
  <c r="AI1737" i="2" s="1"/>
  <c r="AE1737" i="2" a="1"/>
  <c r="AE1737" i="2" s="1"/>
  <c r="W1737" i="2" a="1"/>
  <c r="W1737" i="2" s="1"/>
  <c r="X1738" i="2" a="1"/>
  <c r="X1738" i="2" s="1"/>
  <c r="AC1737" i="2" a="1"/>
  <c r="AC1737" i="2" s="1"/>
  <c r="AC1736" i="2" a="1"/>
  <c r="AC1736" i="2" s="1"/>
  <c r="AG1737" i="2" a="1"/>
  <c r="AG1737" i="2" s="1"/>
  <c r="Y1737" i="2" a="1"/>
  <c r="Y1737" i="2" s="1"/>
  <c r="AJ1737" i="2" a="1"/>
  <c r="AJ1737" i="2" s="1"/>
  <c r="AF1736" i="2" a="1"/>
  <c r="AF1736" i="2" s="1"/>
  <c r="AD1739" i="2" a="1"/>
  <c r="AD1739" i="2" s="1"/>
  <c r="AA1739" i="2" a="1"/>
  <c r="AA1739" i="2" s="1"/>
  <c r="Z1739" i="2" a="1"/>
  <c r="Z1739" i="2" s="1"/>
  <c r="X1739" i="2" a="1"/>
  <c r="X1739" i="2" s="1"/>
  <c r="Y1736" i="2" a="1"/>
  <c r="Y1736" i="2" s="1"/>
  <c r="AE1736" i="2" a="1"/>
  <c r="AE1736" i="2" s="1"/>
  <c r="AE1732" i="2" a="1"/>
  <c r="AE1732" i="2" s="1"/>
  <c r="AD1735" i="2" a="1"/>
  <c r="AD1735" i="2" s="1"/>
  <c r="AC1735" i="2" a="1"/>
  <c r="AC1735" i="2" s="1"/>
  <c r="Y1735" i="2" a="1"/>
  <c r="Y1735" i="2" s="1"/>
  <c r="W1733" i="2" a="1"/>
  <c r="W1733" i="2" s="1"/>
  <c r="Z1735" i="2" a="1"/>
  <c r="Z1735" i="2" s="1"/>
  <c r="W1735" i="2" a="1"/>
  <c r="W1735" i="2" s="1"/>
  <c r="AD1734" i="2" a="1"/>
  <c r="AD1734" i="2" s="1"/>
  <c r="AB1733" i="2" a="1"/>
  <c r="AB1733" i="2" s="1"/>
  <c r="AF1731" i="2" a="1"/>
  <c r="AF1731" i="2" s="1"/>
  <c r="AI1733" i="2" a="1"/>
  <c r="AI1733" i="2" s="1"/>
  <c r="AH1733" i="2" a="1"/>
  <c r="AH1733" i="2" s="1"/>
  <c r="AB1732" i="2" a="1"/>
  <c r="AB1732" i="2" s="1"/>
  <c r="AJ1734" i="2" a="1"/>
  <c r="AJ1734" i="2" s="1"/>
  <c r="W1732" i="2" a="1"/>
  <c r="W1732" i="2" s="1"/>
  <c r="X1733" i="2" a="1"/>
  <c r="X1733" i="2" s="1"/>
  <c r="AC1733" i="2" a="1"/>
  <c r="AC1733" i="2" s="1"/>
  <c r="AI1732" i="2" a="1"/>
  <c r="AI1732" i="2" s="1"/>
  <c r="Y1733" i="2" a="1"/>
  <c r="Y1733" i="2" s="1"/>
  <c r="X1732" i="2" a="1"/>
  <c r="X1732" i="2" s="1"/>
  <c r="AC1731" i="2" a="1"/>
  <c r="AC1731" i="2" s="1"/>
  <c r="AF1733" i="2" a="1"/>
  <c r="AF1733" i="2" s="1"/>
  <c r="AE1734" i="2" a="1"/>
  <c r="AE1734" i="2" s="1"/>
  <c r="Y1734" i="2" a="1"/>
  <c r="Y1734" i="2" s="1"/>
  <c r="AG1731" i="2" a="1"/>
  <c r="AG1731" i="2" s="1"/>
  <c r="Z1734" i="2" a="1"/>
  <c r="Z1734" i="2" s="1"/>
  <c r="AB1731" i="2" a="1"/>
  <c r="AB1731" i="2" s="1"/>
  <c r="AE1786" i="2" a="1"/>
  <c r="AE1786" i="2" s="1"/>
  <c r="AI1731" i="2" a="1"/>
  <c r="AI1731" i="2" s="1"/>
  <c r="AB1735" i="2" a="1"/>
  <c r="AB1735" i="2" s="1"/>
  <c r="AE1731" i="2" a="1"/>
  <c r="AE1731" i="2" s="1"/>
  <c r="AA1735" i="2" a="1"/>
  <c r="AA1735" i="2" s="1"/>
  <c r="AG1732" i="2" a="1"/>
  <c r="AG1732" i="2" s="1"/>
  <c r="X1735" i="2" a="1"/>
  <c r="X1735" i="2" s="1"/>
  <c r="AI1734" i="2" a="1"/>
  <c r="AI1734" i="2" s="1"/>
  <c r="AH1734" i="2" a="1"/>
  <c r="AH1734" i="2" s="1"/>
  <c r="Z1732" i="2" a="1"/>
  <c r="Z1732" i="2" s="1"/>
  <c r="Z1731" i="2" a="1"/>
  <c r="Z1731" i="2" s="1"/>
  <c r="AG1734" i="2" a="1"/>
  <c r="AG1734" i="2" s="1"/>
  <c r="AF1734" i="2" a="1"/>
  <c r="AF1734" i="2" s="1"/>
  <c r="AC1734" i="2" a="1"/>
  <c r="AC1734" i="2" s="1"/>
  <c r="AB1734" i="2" a="1"/>
  <c r="AB1734" i="2" s="1"/>
  <c r="AG1733" i="2" a="1"/>
  <c r="AG1733" i="2" s="1"/>
  <c r="Y1732" i="2" a="1"/>
  <c r="Y1732" i="2" s="1"/>
  <c r="AA1731" i="2" a="1"/>
  <c r="AA1731" i="2" s="1"/>
  <c r="W1734" i="2" a="1"/>
  <c r="W1734" i="2" s="1"/>
  <c r="AC1732" i="2" a="1"/>
  <c r="AC1732" i="2" s="1"/>
  <c r="AD1731" i="2" a="1"/>
  <c r="AD1731" i="2" s="1"/>
  <c r="AD1733" i="2" a="1"/>
  <c r="AD1733" i="2" s="1"/>
  <c r="AE1733" i="2" a="1"/>
  <c r="AE1733" i="2" s="1"/>
  <c r="AH1732" i="2" a="1"/>
  <c r="AH1732" i="2" s="1"/>
  <c r="AH1731" i="2" a="1"/>
  <c r="AH1731" i="2" s="1"/>
  <c r="AJ1731" i="2" a="1"/>
  <c r="AJ1731" i="2" s="1"/>
  <c r="AD1732" i="2" a="1"/>
  <c r="AD1732" i="2" s="1"/>
  <c r="AA1733" i="2" a="1"/>
  <c r="AA1733" i="2" s="1"/>
  <c r="AJ1732" i="2" a="1"/>
  <c r="AJ1732" i="2" s="1"/>
  <c r="X1734" i="2" a="1"/>
  <c r="X1734" i="2" s="1"/>
  <c r="AJ1733" i="2" a="1"/>
  <c r="AJ1733" i="2" s="1"/>
  <c r="Z1733" i="2" a="1"/>
  <c r="Z1733" i="2" s="1"/>
  <c r="AA1734" i="2" a="1"/>
  <c r="AA1734" i="2" s="1"/>
  <c r="Y1731" i="2" a="1"/>
  <c r="Y1731" i="2" s="1"/>
  <c r="X1731" i="2" a="1"/>
  <c r="X1731" i="2" s="1"/>
  <c r="AF1732" i="2" a="1"/>
  <c r="AF1732" i="2" s="1"/>
  <c r="AA1732" i="2" a="1"/>
  <c r="AA1732" i="2" s="1"/>
  <c r="AH1729" i="2" a="1"/>
  <c r="AH1729" i="2" s="1"/>
  <c r="AI1726" i="2" a="1"/>
  <c r="AI1726" i="2" s="1"/>
  <c r="AD1729" i="2" a="1"/>
  <c r="AD1729" i="2" s="1"/>
  <c r="AB1729" i="2" a="1"/>
  <c r="AB1729" i="2" s="1"/>
  <c r="Z1729" i="2" a="1"/>
  <c r="Z1729" i="2" s="1"/>
  <c r="AG1728" i="2" a="1"/>
  <c r="AG1728" i="2" s="1"/>
  <c r="AF1728" i="2" a="1"/>
  <c r="AF1728" i="2" s="1"/>
  <c r="AH1728" i="2" a="1"/>
  <c r="AH1728" i="2" s="1"/>
  <c r="AD1727" i="2" a="1"/>
  <c r="AD1727" i="2" s="1"/>
  <c r="AA1729" i="2" a="1"/>
  <c r="AA1729" i="2" s="1"/>
  <c r="AI1727" i="2" a="1"/>
  <c r="AI1727" i="2" s="1"/>
  <c r="X1729" i="2" a="1"/>
  <c r="X1729" i="2" s="1"/>
  <c r="W1729" i="2" a="1"/>
  <c r="W1729" i="2" s="1"/>
  <c r="X1728" i="2" a="1"/>
  <c r="X1728" i="2" s="1"/>
  <c r="AA1727" i="2" a="1"/>
  <c r="AA1727" i="2" s="1"/>
  <c r="X1727" i="2" a="1"/>
  <c r="X1727" i="2" s="1"/>
  <c r="AI1728" i="2" a="1"/>
  <c r="AI1728" i="2" s="1"/>
  <c r="Z1728" i="2" a="1"/>
  <c r="Z1728" i="2" s="1"/>
  <c r="Y1727" i="2" a="1"/>
  <c r="Y1727" i="2" s="1"/>
  <c r="AB1785" i="2" a="1"/>
  <c r="AB1785" i="2" s="1"/>
  <c r="AC1729" i="2" a="1"/>
  <c r="AC1729" i="2" s="1"/>
  <c r="AE1727" i="2" a="1"/>
  <c r="AE1727" i="2" s="1"/>
  <c r="AE1726" i="2" a="1"/>
  <c r="AE1726" i="2" s="1"/>
  <c r="AJ1726" i="2" a="1"/>
  <c r="AJ1726" i="2" s="1"/>
  <c r="AE1730" i="2" a="1"/>
  <c r="AE1730" i="2" s="1"/>
  <c r="Y1730" i="2" a="1"/>
  <c r="Y1730" i="2" s="1"/>
  <c r="AF1730" i="2" a="1"/>
  <c r="AF1730" i="2" s="1"/>
  <c r="AA1730" i="2" a="1"/>
  <c r="AA1730" i="2" s="1"/>
  <c r="AF1727" i="2" a="1"/>
  <c r="AF1727" i="2" s="1"/>
  <c r="AJ1727" i="2" a="1"/>
  <c r="AJ1727" i="2" s="1"/>
  <c r="Z1730" i="2" a="1"/>
  <c r="Z1730" i="2" s="1"/>
  <c r="AD1728" i="2" a="1"/>
  <c r="AD1728" i="2" s="1"/>
  <c r="AB1730" i="2" a="1"/>
  <c r="AB1730" i="2" s="1"/>
  <c r="Y1728" i="2" a="1"/>
  <c r="Y1728" i="2" s="1"/>
  <c r="AE1728" i="2" a="1"/>
  <c r="AE1728" i="2" s="1"/>
  <c r="AH1727" i="2" a="1"/>
  <c r="AH1727" i="2" s="1"/>
  <c r="AH1730" i="2" a="1"/>
  <c r="AH1730" i="2" s="1"/>
  <c r="AC1728" i="2" a="1"/>
  <c r="AC1728" i="2" s="1"/>
  <c r="AB1727" i="2" a="1"/>
  <c r="AB1727" i="2" s="1"/>
  <c r="AG1726" i="2" a="1"/>
  <c r="AG1726" i="2" s="1"/>
  <c r="W1731" i="2" a="1"/>
  <c r="W1731" i="2" s="1"/>
  <c r="AJ1730" i="2" a="1"/>
  <c r="AJ1730" i="2" s="1"/>
  <c r="AI1730" i="2" a="1"/>
  <c r="AI1730" i="2" s="1"/>
  <c r="AI1729" i="2" a="1"/>
  <c r="AI1729" i="2" s="1"/>
  <c r="AG1729" i="2" a="1"/>
  <c r="AG1729" i="2" s="1"/>
  <c r="AF1729" i="2" a="1"/>
  <c r="AF1729" i="2" s="1"/>
  <c r="Y1729" i="2" a="1"/>
  <c r="Y1729" i="2" s="1"/>
  <c r="Z1727" i="2" a="1"/>
  <c r="Z1727" i="2" s="1"/>
  <c r="AG1727" i="2" a="1"/>
  <c r="AG1727" i="2" s="1"/>
  <c r="AG1730" i="2" a="1"/>
  <c r="AG1730" i="2" s="1"/>
  <c r="AC1730" i="2" a="1"/>
  <c r="AC1730" i="2" s="1"/>
  <c r="AH1726" i="2" a="1"/>
  <c r="AH1726" i="2" s="1"/>
  <c r="W1728" i="2" a="1"/>
  <c r="W1728" i="2" s="1"/>
  <c r="AD1730" i="2" a="1"/>
  <c r="AD1730" i="2" s="1"/>
  <c r="X1730" i="2" a="1"/>
  <c r="X1730" i="2" s="1"/>
  <c r="AF1726" i="2" a="1"/>
  <c r="AF1726" i="2" s="1"/>
  <c r="W1730" i="2" a="1"/>
  <c r="W1730" i="2" s="1"/>
  <c r="AJ1728" i="2" a="1"/>
  <c r="AJ1728" i="2" s="1"/>
  <c r="AB1728" i="2" a="1"/>
  <c r="AB1728" i="2" s="1"/>
  <c r="W1727" i="2" a="1"/>
  <c r="W1727" i="2" s="1"/>
  <c r="AC1727" i="2" a="1"/>
  <c r="AC1727" i="2" s="1"/>
  <c r="AA1728" i="2" a="1"/>
  <c r="AA1728" i="2" s="1"/>
  <c r="AJ1729" i="2" a="1"/>
  <c r="AJ1729" i="2" s="1"/>
  <c r="AE1729" i="2" a="1"/>
  <c r="AE1729" i="2" s="1"/>
  <c r="Y1786" i="2" a="1"/>
  <c r="Y1786" i="2" s="1"/>
  <c r="AH1722" i="2" a="1"/>
  <c r="AH1722" i="2" s="1"/>
  <c r="AD1726" i="2" a="1"/>
  <c r="AD1726" i="2" s="1"/>
  <c r="AC1726" i="2" a="1"/>
  <c r="AC1726" i="2" s="1"/>
  <c r="AB1726" i="2" a="1"/>
  <c r="AB1726" i="2" s="1"/>
  <c r="W1726" i="2" a="1"/>
  <c r="W1726" i="2" s="1"/>
  <c r="X1722" i="2" a="1"/>
  <c r="X1722" i="2" s="1"/>
  <c r="Z1726" i="2" a="1"/>
  <c r="Z1726" i="2" s="1"/>
  <c r="Y1726" i="2" a="1"/>
  <c r="Y1726" i="2" s="1"/>
  <c r="X1726" i="2" a="1"/>
  <c r="X1726" i="2" s="1"/>
  <c r="AE1724" i="2" a="1"/>
  <c r="AE1724" i="2" s="1"/>
  <c r="AJ1725" i="2" a="1"/>
  <c r="AJ1725" i="2" s="1"/>
  <c r="W1725" i="2" a="1"/>
  <c r="W1725" i="2" s="1"/>
  <c r="AJ1723" i="2" a="1"/>
  <c r="AJ1723" i="2" s="1"/>
  <c r="AH1725" i="2" a="1"/>
  <c r="AH1725" i="2" s="1"/>
  <c r="AA1724" i="2" a="1"/>
  <c r="AA1724" i="2" s="1"/>
  <c r="AB1722" i="2" a="1"/>
  <c r="AB1722" i="2" s="1"/>
  <c r="X1724" i="2" a="1"/>
  <c r="X1724" i="2" s="1"/>
  <c r="W1723" i="2" a="1"/>
  <c r="W1723" i="2" s="1"/>
  <c r="AH1724" i="2" a="1"/>
  <c r="AH1724" i="2" s="1"/>
  <c r="AB1724" i="2" a="1"/>
  <c r="AB1724" i="2" s="1"/>
  <c r="AC1722" i="2" a="1"/>
  <c r="AC1722" i="2" s="1"/>
  <c r="Y1722" i="2" a="1"/>
  <c r="Y1722" i="2" s="1"/>
  <c r="Z1723" i="2" a="1"/>
  <c r="Z1723" i="2" s="1"/>
  <c r="AI1725" i="2" a="1"/>
  <c r="AI1725" i="2" s="1"/>
  <c r="AG1725" i="2" a="1"/>
  <c r="AG1725" i="2" s="1"/>
  <c r="AF1725" i="2" a="1"/>
  <c r="AF1725" i="2" s="1"/>
  <c r="Z1722" i="2" a="1"/>
  <c r="Z1722" i="2" s="1"/>
  <c r="AG1724" i="2" a="1"/>
  <c r="AG1724" i="2" s="1"/>
  <c r="AF1724" i="2" a="1"/>
  <c r="AF1724" i="2" s="1"/>
  <c r="AE1725" i="2" a="1"/>
  <c r="AE1725" i="2" s="1"/>
  <c r="AA1725" i="2" a="1"/>
  <c r="AA1725" i="2" s="1"/>
  <c r="Z1725" i="2" a="1"/>
  <c r="Z1725" i="2" s="1"/>
  <c r="AH1723" i="2" a="1"/>
  <c r="AH1723" i="2" s="1"/>
  <c r="AG1723" i="2" a="1"/>
  <c r="AG1723" i="2" s="1"/>
  <c r="AD1724" i="2" a="1"/>
  <c r="AD1724" i="2" s="1"/>
  <c r="AD1725" i="2" a="1"/>
  <c r="AD1725" i="2" s="1"/>
  <c r="AC1725" i="2" a="1"/>
  <c r="AC1725" i="2" s="1"/>
  <c r="AJ1724" i="2" a="1"/>
  <c r="AJ1724" i="2" s="1"/>
  <c r="AI1724" i="2" a="1"/>
  <c r="AI1724" i="2" s="1"/>
  <c r="AI1723" i="2" a="1"/>
  <c r="AI1723" i="2" s="1"/>
  <c r="AC1723" i="2" a="1"/>
  <c r="AC1723" i="2" s="1"/>
  <c r="Y1725" i="2" a="1"/>
  <c r="Y1725" i="2" s="1"/>
  <c r="AF1723" i="2" a="1"/>
  <c r="AF1723" i="2" s="1"/>
  <c r="AC1724" i="2" a="1"/>
  <c r="AC1724" i="2" s="1"/>
  <c r="AD1723" i="2" a="1"/>
  <c r="AD1723" i="2" s="1"/>
  <c r="AA1722" i="2" a="1"/>
  <c r="AA1722" i="2" s="1"/>
  <c r="AE1722" i="2" a="1"/>
  <c r="AE1722" i="2" s="1"/>
  <c r="AD1722" i="2" a="1"/>
  <c r="AD1722" i="2" s="1"/>
  <c r="AI1722" i="2" a="1"/>
  <c r="AI1722" i="2" s="1"/>
  <c r="AA1726" i="2" a="1"/>
  <c r="AA1726" i="2" s="1"/>
  <c r="AB1725" i="2" a="1"/>
  <c r="AB1725" i="2" s="1"/>
  <c r="AF1722" i="2" a="1"/>
  <c r="AF1722" i="2" s="1"/>
  <c r="AB1723" i="2" a="1"/>
  <c r="AB1723" i="2" s="1"/>
  <c r="Y1724" i="2" a="1"/>
  <c r="Y1724" i="2" s="1"/>
  <c r="AE1723" i="2" a="1"/>
  <c r="AE1723" i="2" s="1"/>
  <c r="X1723" i="2" a="1"/>
  <c r="X1723" i="2" s="1"/>
  <c r="AJ1722" i="2" a="1"/>
  <c r="AJ1722" i="2" s="1"/>
  <c r="AG1722" i="2" a="1"/>
  <c r="AG1722" i="2" s="1"/>
  <c r="X1725" i="2" a="1"/>
  <c r="X1725" i="2" s="1"/>
  <c r="AA1723" i="2" a="1"/>
  <c r="AA1723" i="2" s="1"/>
  <c r="Z1724" i="2" a="1"/>
  <c r="Z1724" i="2" s="1"/>
  <c r="W1724" i="2" a="1"/>
  <c r="W1724" i="2" s="1"/>
  <c r="Y1723" i="2" a="1"/>
  <c r="Y1723" i="2" s="1"/>
  <c r="AJ1721" i="2" a="1"/>
  <c r="AJ1721" i="2" s="1"/>
  <c r="X1718" i="2" a="1"/>
  <c r="X1718" i="2" s="1"/>
  <c r="AF1720" i="2" a="1"/>
  <c r="AF1720" i="2" s="1"/>
  <c r="AH1721" i="2" a="1"/>
  <c r="AH1721" i="2" s="1"/>
  <c r="AE1721" i="2" a="1"/>
  <c r="AE1721" i="2" s="1"/>
  <c r="Z1719" i="2" a="1"/>
  <c r="Z1719" i="2" s="1"/>
  <c r="AB1718" i="2" a="1"/>
  <c r="AB1718" i="2" s="1"/>
  <c r="AF1718" i="2" a="1"/>
  <c r="AF1718" i="2" s="1"/>
  <c r="AB1720" i="2" a="1"/>
  <c r="AB1720" i="2" s="1"/>
  <c r="AI1719" i="2" a="1"/>
  <c r="AI1719" i="2" s="1"/>
  <c r="AC1721" i="2" a="1"/>
  <c r="AC1721" i="2" s="1"/>
  <c r="AA1719" i="2" a="1"/>
  <c r="AA1719" i="2" s="1"/>
  <c r="Y1719" i="2" a="1"/>
  <c r="Y1719" i="2" s="1"/>
  <c r="X1719" i="2" a="1"/>
  <c r="X1719" i="2" s="1"/>
  <c r="AC1718" i="2" a="1"/>
  <c r="AC1718" i="2" s="1"/>
  <c r="AA1718" i="2" a="1"/>
  <c r="AA1718" i="2" s="1"/>
  <c r="AD1721" i="2" a="1"/>
  <c r="AD1721" i="2" s="1"/>
  <c r="Y1721" i="2" a="1"/>
  <c r="Y1721" i="2" s="1"/>
  <c r="AC1720" i="2" a="1"/>
  <c r="AC1720" i="2" s="1"/>
  <c r="X1721" i="2" a="1"/>
  <c r="X1721" i="2" s="1"/>
  <c r="AJ1720" i="2" a="1"/>
  <c r="AJ1720" i="2" s="1"/>
  <c r="AD1720" i="2" a="1"/>
  <c r="AD1720" i="2" s="1"/>
  <c r="AJ1719" i="2" a="1"/>
  <c r="AJ1719" i="2" s="1"/>
  <c r="Y1718" i="2" a="1"/>
  <c r="Y1718" i="2" s="1"/>
  <c r="AE1719" i="2" a="1"/>
  <c r="AE1719" i="2" s="1"/>
  <c r="AE1720" i="2" a="1"/>
  <c r="AE1720" i="2" s="1"/>
  <c r="AH1719" i="2" a="1"/>
  <c r="AH1719" i="2" s="1"/>
  <c r="AG1719" i="2" a="1"/>
  <c r="AG1719" i="2" s="1"/>
  <c r="AB1719" i="2" a="1"/>
  <c r="AB1719" i="2" s="1"/>
  <c r="W1719" i="2" a="1"/>
  <c r="W1719" i="2" s="1"/>
  <c r="AI1717" i="2" a="1"/>
  <c r="AI1717" i="2" s="1"/>
  <c r="AE1718" i="2" a="1"/>
  <c r="AE1718" i="2" s="1"/>
  <c r="W1718" i="2" a="1"/>
  <c r="W1718" i="2" s="1"/>
  <c r="AE1717" i="2" a="1"/>
  <c r="AE1717" i="2" s="1"/>
  <c r="AC1719" i="2" a="1"/>
  <c r="AC1719" i="2" s="1"/>
  <c r="AI1718" i="2" a="1"/>
  <c r="AI1718" i="2" s="1"/>
  <c r="AD1718" i="2" a="1"/>
  <c r="AD1718" i="2" s="1"/>
  <c r="AH1717" i="2" a="1"/>
  <c r="AH1717" i="2" s="1"/>
  <c r="AG1721" i="2" a="1"/>
  <c r="AG1721" i="2" s="1"/>
  <c r="W1720" i="2" a="1"/>
  <c r="W1720" i="2" s="1"/>
  <c r="AA1785" i="2" a="1"/>
  <c r="AA1785" i="2" s="1"/>
  <c r="Y1720" i="2" a="1"/>
  <c r="Y1720" i="2" s="1"/>
  <c r="AH1718" i="2" a="1"/>
  <c r="AH1718" i="2" s="1"/>
  <c r="AG1717" i="2" a="1"/>
  <c r="AG1717" i="2" s="1"/>
  <c r="W1721" i="2" a="1"/>
  <c r="W1721" i="2" s="1"/>
  <c r="AI1721" i="2" a="1"/>
  <c r="AI1721" i="2" s="1"/>
  <c r="Z1721" i="2" a="1"/>
  <c r="Z1721" i="2" s="1"/>
  <c r="AF1721" i="2" a="1"/>
  <c r="AF1721" i="2" s="1"/>
  <c r="AB1721" i="2" a="1"/>
  <c r="AB1721" i="2" s="1"/>
  <c r="AA1721" i="2" a="1"/>
  <c r="AA1721" i="2" s="1"/>
  <c r="X1720" i="2" a="1"/>
  <c r="X1720" i="2" s="1"/>
  <c r="AF1719" i="2" a="1"/>
  <c r="AF1719" i="2" s="1"/>
  <c r="AD1719" i="2" a="1"/>
  <c r="AD1719" i="2" s="1"/>
  <c r="AG1718" i="2" a="1"/>
  <c r="AG1718" i="2" s="1"/>
  <c r="AI1720" i="2" a="1"/>
  <c r="AI1720" i="2" s="1"/>
  <c r="AA1720" i="2" a="1"/>
  <c r="AA1720" i="2" s="1"/>
  <c r="AH1720" i="2" a="1"/>
  <c r="AH1720" i="2" s="1"/>
  <c r="AG1720" i="2" a="1"/>
  <c r="AG1720" i="2" s="1"/>
  <c r="Z1720" i="2" a="1"/>
  <c r="Z1720" i="2" s="1"/>
  <c r="Z1718" i="2" a="1"/>
  <c r="Z1718" i="2" s="1"/>
  <c r="AF1717" i="2" a="1"/>
  <c r="AF1717" i="2" s="1"/>
  <c r="W1722" i="2" a="1"/>
  <c r="W1722" i="2" s="1"/>
  <c r="AJ1718" i="2" a="1"/>
  <c r="AJ1718" i="2" s="1"/>
  <c r="AJ1717" i="2" a="1"/>
  <c r="AJ1717" i="2" s="1"/>
  <c r="AI1786" i="2" a="1"/>
  <c r="AI1786" i="2" s="1"/>
  <c r="AD1717" i="2" a="1"/>
  <c r="AD1717" i="2" s="1"/>
  <c r="W1715" i="2" a="1"/>
  <c r="W1715" i="2" s="1"/>
  <c r="AC1717" i="2" a="1"/>
  <c r="AC1717" i="2" s="1"/>
  <c r="AB1717" i="2" a="1"/>
  <c r="AB1717" i="2" s="1"/>
  <c r="Z1717" i="2" a="1"/>
  <c r="Z1717" i="2" s="1"/>
  <c r="X1717" i="2" a="1"/>
  <c r="X1717" i="2" s="1"/>
  <c r="W1717" i="2" a="1"/>
  <c r="W1717" i="2" s="1"/>
  <c r="AB1716" i="2" a="1"/>
  <c r="AB1716" i="2" s="1"/>
  <c r="AI1715" i="2" a="1"/>
  <c r="AI1715" i="2" s="1"/>
  <c r="AH1713" i="2" a="1"/>
  <c r="AH1713" i="2" s="1"/>
  <c r="Z1715" i="2" a="1"/>
  <c r="Z1715" i="2" s="1"/>
  <c r="AA1713" i="2" a="1"/>
  <c r="AA1713" i="2" s="1"/>
  <c r="AE1714" i="2" a="1"/>
  <c r="AE1714" i="2" s="1"/>
  <c r="X1714" i="2" a="1"/>
  <c r="X1714" i="2" s="1"/>
  <c r="Z1713" i="2" a="1"/>
  <c r="Z1713" i="2" s="1"/>
  <c r="AE1713" i="2" a="1"/>
  <c r="AE1713" i="2" s="1"/>
  <c r="AG1714" i="2" a="1"/>
  <c r="AG1714" i="2" s="1"/>
  <c r="AC1714" i="2" a="1"/>
  <c r="AC1714" i="2" s="1"/>
  <c r="AJ1715" i="2" a="1"/>
  <c r="AJ1715" i="2" s="1"/>
  <c r="AF1715" i="2" a="1"/>
  <c r="AF1715" i="2" s="1"/>
  <c r="W1714" i="2" a="1"/>
  <c r="W1714" i="2" s="1"/>
  <c r="AB1713" i="2" a="1"/>
  <c r="AB1713" i="2" s="1"/>
  <c r="Y1717" i="2" a="1"/>
  <c r="Y1717" i="2" s="1"/>
  <c r="AA1717" i="2" a="1"/>
  <c r="AA1717" i="2" s="1"/>
  <c r="AE1715" i="2" a="1"/>
  <c r="AE1715" i="2" s="1"/>
  <c r="AA1715" i="2" a="1"/>
  <c r="AA1715" i="2" s="1"/>
  <c r="AC1713" i="2" a="1"/>
  <c r="AC1713" i="2" s="1"/>
  <c r="Z1714" i="2" a="1"/>
  <c r="Z1714" i="2" s="1"/>
  <c r="AI1713" i="2" a="1"/>
  <c r="AI1713" i="2" s="1"/>
  <c r="AJ1716" i="2" a="1"/>
  <c r="AJ1716" i="2" s="1"/>
  <c r="AC1716" i="2" a="1"/>
  <c r="AC1716" i="2" s="1"/>
  <c r="Y1713" i="2" a="1"/>
  <c r="Y1713" i="2" s="1"/>
  <c r="AF1714" i="2" a="1"/>
  <c r="AF1714" i="2" s="1"/>
  <c r="AD1716" i="2" a="1"/>
  <c r="AD1716" i="2" s="1"/>
  <c r="AG1713" i="2" a="1"/>
  <c r="AG1713" i="2" s="1"/>
  <c r="X1716" i="2" a="1"/>
  <c r="X1716" i="2" s="1"/>
  <c r="AC1715" i="2" a="1"/>
  <c r="AC1715" i="2" s="1"/>
  <c r="AI1716" i="2" a="1"/>
  <c r="AI1716" i="2" s="1"/>
  <c r="AH1716" i="2" a="1"/>
  <c r="AH1716" i="2" s="1"/>
  <c r="AG1716" i="2" a="1"/>
  <c r="AG1716" i="2" s="1"/>
  <c r="W1716" i="2" a="1"/>
  <c r="W1716" i="2" s="1"/>
  <c r="AG1715" i="2" a="1"/>
  <c r="AG1715" i="2" s="1"/>
  <c r="AD1715" i="2" a="1"/>
  <c r="AD1715" i="2" s="1"/>
  <c r="AD1714" i="2" a="1"/>
  <c r="AD1714" i="2" s="1"/>
  <c r="AA1714" i="2" a="1"/>
  <c r="AA1714" i="2" s="1"/>
  <c r="AD1713" i="2" a="1"/>
  <c r="AD1713" i="2" s="1"/>
  <c r="AF1716" i="2" a="1"/>
  <c r="AF1716" i="2" s="1"/>
  <c r="AF1713" i="2" a="1"/>
  <c r="AF1713" i="2" s="1"/>
  <c r="AE1716" i="2" a="1"/>
  <c r="AE1716" i="2" s="1"/>
  <c r="AH1715" i="2" a="1"/>
  <c r="AH1715" i="2" s="1"/>
  <c r="X1715" i="2" a="1"/>
  <c r="X1715" i="2" s="1"/>
  <c r="AJ1713" i="2" a="1"/>
  <c r="AJ1713" i="2" s="1"/>
  <c r="AA1716" i="2" a="1"/>
  <c r="AA1716" i="2" s="1"/>
  <c r="Z1716" i="2" a="1"/>
  <c r="Z1716" i="2" s="1"/>
  <c r="AJ1714" i="2" a="1"/>
  <c r="AJ1714" i="2" s="1"/>
  <c r="Y1714" i="2" a="1"/>
  <c r="Y1714" i="2" s="1"/>
  <c r="Y1716" i="2" a="1"/>
  <c r="Y1716" i="2" s="1"/>
  <c r="AB1715" i="2" a="1"/>
  <c r="AB1715" i="2" s="1"/>
  <c r="Y1715" i="2" a="1"/>
  <c r="Y1715" i="2" s="1"/>
  <c r="AI1714" i="2" a="1"/>
  <c r="AI1714" i="2" s="1"/>
  <c r="AH1714" i="2" a="1"/>
  <c r="AH1714" i="2" s="1"/>
  <c r="AB1714" i="2" a="1"/>
  <c r="AB1714" i="2" s="1"/>
  <c r="X1713" i="2" a="1"/>
  <c r="X1713" i="2" s="1"/>
  <c r="W1712" i="2" a="1"/>
  <c r="W1712" i="2" s="1"/>
  <c r="AC1710" i="2" a="1"/>
  <c r="AC1710" i="2" s="1"/>
  <c r="AH1711" i="2" a="1"/>
  <c r="AH1711" i="2" s="1"/>
  <c r="AG1709" i="2" a="1"/>
  <c r="AG1709" i="2" s="1"/>
  <c r="AI1708" i="2" a="1"/>
  <c r="AI1708" i="2" s="1"/>
  <c r="AD1712" i="2" a="1"/>
  <c r="AD1712" i="2" s="1"/>
  <c r="AI1710" i="2" a="1"/>
  <c r="AI1710" i="2" s="1"/>
  <c r="AE1711" i="2" a="1"/>
  <c r="AE1711" i="2" s="1"/>
  <c r="AD1711" i="2" a="1"/>
  <c r="AD1711" i="2" s="1"/>
  <c r="AE1708" i="2" a="1"/>
  <c r="AE1708" i="2" s="1"/>
  <c r="X1709" i="2" a="1"/>
  <c r="X1709" i="2" s="1"/>
  <c r="AC1711" i="2" a="1"/>
  <c r="AC1711" i="2" s="1"/>
  <c r="AA1709" i="2" a="1"/>
  <c r="AA1709" i="2" s="1"/>
  <c r="AH1709" i="2" a="1"/>
  <c r="AH1709" i="2" s="1"/>
  <c r="AD1709" i="2" a="1"/>
  <c r="AD1709" i="2" s="1"/>
  <c r="AJ1708" i="2" a="1"/>
  <c r="AJ1708" i="2" s="1"/>
  <c r="AF1710" i="2" a="1"/>
  <c r="AF1710" i="2" s="1"/>
  <c r="AG1708" i="2" a="1"/>
  <c r="AG1708" i="2" s="1"/>
  <c r="AE1709" i="2" a="1"/>
  <c r="AE1709" i="2" s="1"/>
  <c r="X1711" i="2" a="1"/>
  <c r="X1711" i="2" s="1"/>
  <c r="Z1785" i="2" a="1"/>
  <c r="Z1785" i="2" s="1"/>
  <c r="AB1712" i="2" a="1"/>
  <c r="AB1712" i="2" s="1"/>
  <c r="Z1709" i="2" a="1"/>
  <c r="Z1709" i="2" s="1"/>
  <c r="AA1712" i="2" a="1"/>
  <c r="AA1712" i="2" s="1"/>
  <c r="AF1711" i="2" a="1"/>
  <c r="AF1711" i="2" s="1"/>
  <c r="Y1710" i="2" a="1"/>
  <c r="Y1710" i="2" s="1"/>
  <c r="W1713" i="2" a="1"/>
  <c r="W1713" i="2" s="1"/>
  <c r="AI1709" i="2" a="1"/>
  <c r="AI1709" i="2" s="1"/>
  <c r="AJ1712" i="2" a="1"/>
  <c r="AJ1712" i="2" s="1"/>
  <c r="AI1712" i="2" a="1"/>
  <c r="AI1712" i="2" s="1"/>
  <c r="Y1712" i="2" a="1"/>
  <c r="Y1712" i="2" s="1"/>
  <c r="AB1711" i="2" a="1"/>
  <c r="AB1711" i="2" s="1"/>
  <c r="W1709" i="2" a="1"/>
  <c r="W1709" i="2" s="1"/>
  <c r="AG1711" i="2" a="1"/>
  <c r="AG1711" i="2" s="1"/>
  <c r="AJ1709" i="2" a="1"/>
  <c r="AJ1709" i="2" s="1"/>
  <c r="AJ1710" i="2" a="1"/>
  <c r="AJ1710" i="2" s="1"/>
  <c r="AH1712" i="2" a="1"/>
  <c r="AH1712" i="2" s="1"/>
  <c r="Z1711" i="2" a="1"/>
  <c r="Z1711" i="2" s="1"/>
  <c r="AG1712" i="2" a="1"/>
  <c r="AG1712" i="2" s="1"/>
  <c r="AF1712" i="2" a="1"/>
  <c r="AF1712" i="2" s="1"/>
  <c r="AE1712" i="2" a="1"/>
  <c r="AE1712" i="2" s="1"/>
  <c r="AC1712" i="2" a="1"/>
  <c r="AC1712" i="2" s="1"/>
  <c r="Z1710" i="2" a="1"/>
  <c r="Z1710" i="2" s="1"/>
  <c r="Y1711" i="2" a="1"/>
  <c r="Y1711" i="2" s="1"/>
  <c r="AJ1711" i="2" a="1"/>
  <c r="AJ1711" i="2" s="1"/>
  <c r="AI1711" i="2" a="1"/>
  <c r="AI1711" i="2" s="1"/>
  <c r="AF1709" i="2" a="1"/>
  <c r="AF1709" i="2" s="1"/>
  <c r="Y1709" i="2" a="1"/>
  <c r="Y1709" i="2" s="1"/>
  <c r="AD1710" i="2" a="1"/>
  <c r="AD1710" i="2" s="1"/>
  <c r="W1710" i="2" a="1"/>
  <c r="W1710" i="2" s="1"/>
  <c r="AF1708" i="2" a="1"/>
  <c r="AF1708" i="2" s="1"/>
  <c r="W1711" i="2" a="1"/>
  <c r="W1711" i="2" s="1"/>
  <c r="AA1710" i="2" a="1"/>
  <c r="AA1710" i="2" s="1"/>
  <c r="AH1710" i="2" a="1"/>
  <c r="AH1710" i="2" s="1"/>
  <c r="AE1710" i="2" a="1"/>
  <c r="AE1710" i="2" s="1"/>
  <c r="AH1708" i="2" a="1"/>
  <c r="AH1708" i="2" s="1"/>
  <c r="X1710" i="2" a="1"/>
  <c r="X1710" i="2" s="1"/>
  <c r="AB1709" i="2" a="1"/>
  <c r="AB1709" i="2" s="1"/>
  <c r="AB1710" i="2" a="1"/>
  <c r="AB1710" i="2" s="1"/>
  <c r="AC1709" i="2" a="1"/>
  <c r="AC1709" i="2" s="1"/>
  <c r="Z1712" i="2" a="1"/>
  <c r="Z1712" i="2" s="1"/>
  <c r="AG1710" i="2" a="1"/>
  <c r="AG1710" i="2" s="1"/>
  <c r="X1712" i="2" a="1"/>
  <c r="X1712" i="2" s="1"/>
  <c r="AA1711" i="2" a="1"/>
  <c r="AA1711" i="2" s="1"/>
  <c r="Y1707" i="2" a="1"/>
  <c r="Y1707" i="2" s="1"/>
  <c r="AI1706" i="2" a="1"/>
  <c r="AI1706" i="2" s="1"/>
  <c r="AC1705" i="2" a="1"/>
  <c r="AC1705" i="2" s="1"/>
  <c r="AG1704" i="2" a="1"/>
  <c r="AG1704" i="2" s="1"/>
  <c r="Z1706" i="2" a="1"/>
  <c r="Z1706" i="2" s="1"/>
  <c r="Y1706" i="2" a="1"/>
  <c r="Y1706" i="2" s="1"/>
  <c r="AI1704" i="2" a="1"/>
  <c r="AI1704" i="2" s="1"/>
  <c r="X1704" i="2" a="1"/>
  <c r="X1704" i="2" s="1"/>
  <c r="AA1706" i="2" a="1"/>
  <c r="AA1706" i="2" s="1"/>
  <c r="AD1704" i="2" a="1"/>
  <c r="AD1704" i="2" s="1"/>
  <c r="AI1705" i="2" a="1"/>
  <c r="AI1705" i="2" s="1"/>
  <c r="AH1704" i="2" a="1"/>
  <c r="AH1704" i="2" s="1"/>
  <c r="AE1706" i="2" a="1"/>
  <c r="AE1706" i="2" s="1"/>
  <c r="AC1706" i="2" a="1"/>
  <c r="AC1706" i="2" s="1"/>
  <c r="AG1705" i="2" a="1"/>
  <c r="AG1705" i="2" s="1"/>
  <c r="AJ1704" i="2" a="1"/>
  <c r="AJ1704" i="2" s="1"/>
  <c r="AB1706" i="2" a="1"/>
  <c r="AB1706" i="2" s="1"/>
  <c r="Z1705" i="2" a="1"/>
  <c r="Z1705" i="2" s="1"/>
  <c r="Y1705" i="2" a="1"/>
  <c r="Y1705" i="2" s="1"/>
  <c r="X1708" i="2" a="1"/>
  <c r="X1708" i="2" s="1"/>
  <c r="Z1707" i="2" a="1"/>
  <c r="Z1707" i="2" s="1"/>
  <c r="X1707" i="2" a="1"/>
  <c r="X1707" i="2" s="1"/>
  <c r="AH1706" i="2" a="1"/>
  <c r="AH1706" i="2" s="1"/>
  <c r="AA1705" i="2" a="1"/>
  <c r="AA1705" i="2" s="1"/>
  <c r="AE1704" i="2" a="1"/>
  <c r="AE1704" i="2" s="1"/>
  <c r="AD1707" i="2" a="1"/>
  <c r="AD1707" i="2" s="1"/>
  <c r="AJ1707" i="2" a="1"/>
  <c r="AJ1707" i="2" s="1"/>
  <c r="AH1707" i="2" a="1"/>
  <c r="AH1707" i="2" s="1"/>
  <c r="AJ1706" i="2" a="1"/>
  <c r="AJ1706" i="2" s="1"/>
  <c r="W1706" i="2" a="1"/>
  <c r="W1706" i="2" s="1"/>
  <c r="AC1704" i="2" a="1"/>
  <c r="AC1704" i="2" s="1"/>
  <c r="X1705" i="2" a="1"/>
  <c r="X1705" i="2" s="1"/>
  <c r="AH1705" i="2" a="1"/>
  <c r="AH1705" i="2" s="1"/>
  <c r="AB1705" i="2" a="1"/>
  <c r="AB1705" i="2" s="1"/>
  <c r="AA1707" i="2" a="1"/>
  <c r="AA1707" i="2" s="1"/>
  <c r="X1706" i="2" a="1"/>
  <c r="X1706" i="2" s="1"/>
  <c r="W1705" i="2" a="1"/>
  <c r="W1705" i="2" s="1"/>
  <c r="AA1704" i="2" a="1"/>
  <c r="AA1704" i="2" s="1"/>
  <c r="X1786" i="2" a="1"/>
  <c r="X1786" i="2" s="1"/>
  <c r="AD1708" i="2" a="1"/>
  <c r="AD1708" i="2" s="1"/>
  <c r="AC1708" i="2" a="1"/>
  <c r="AC1708" i="2" s="1"/>
  <c r="AB1708" i="2" a="1"/>
  <c r="AB1708" i="2" s="1"/>
  <c r="AE1707" i="2" a="1"/>
  <c r="AE1707" i="2" s="1"/>
  <c r="AA1708" i="2" a="1"/>
  <c r="AA1708" i="2" s="1"/>
  <c r="Z1708" i="2" a="1"/>
  <c r="Z1708" i="2" s="1"/>
  <c r="W1708" i="2" a="1"/>
  <c r="W1708" i="2" s="1"/>
  <c r="AJ1705" i="2" a="1"/>
  <c r="AJ1705" i="2" s="1"/>
  <c r="AB1704" i="2" a="1"/>
  <c r="AB1704" i="2" s="1"/>
  <c r="AG1707" i="2" a="1"/>
  <c r="AG1707" i="2" s="1"/>
  <c r="AB1707" i="2" a="1"/>
  <c r="AB1707" i="2" s="1"/>
  <c r="AD1705" i="2" a="1"/>
  <c r="AD1705" i="2" s="1"/>
  <c r="AF1704" i="2" a="1"/>
  <c r="AF1704" i="2" s="1"/>
  <c r="W1707" i="2" a="1"/>
  <c r="W1707" i="2" s="1"/>
  <c r="Y1704" i="2" a="1"/>
  <c r="Y1704" i="2" s="1"/>
  <c r="Y1708" i="2" a="1"/>
  <c r="Y1708" i="2" s="1"/>
  <c r="AC1707" i="2" a="1"/>
  <c r="AC1707" i="2" s="1"/>
  <c r="AF1706" i="2" a="1"/>
  <c r="AF1706" i="2" s="1"/>
  <c r="AE1705" i="2" a="1"/>
  <c r="AE1705" i="2" s="1"/>
  <c r="Z1704" i="2" a="1"/>
  <c r="Z1704" i="2" s="1"/>
  <c r="AI1707" i="2" a="1"/>
  <c r="AI1707" i="2" s="1"/>
  <c r="AF1705" i="2" a="1"/>
  <c r="AF1705" i="2" s="1"/>
  <c r="AF1707" i="2" a="1"/>
  <c r="AF1707" i="2" s="1"/>
  <c r="AD1706" i="2" a="1"/>
  <c r="AD1706" i="2" s="1"/>
  <c r="AG1706" i="2" a="1"/>
  <c r="AG1706" i="2" s="1"/>
  <c r="AJ1703" i="2" a="1"/>
  <c r="AJ1703" i="2" s="1"/>
  <c r="AC1703" i="2" a="1"/>
  <c r="AC1703" i="2" s="1"/>
  <c r="AC1700" i="2" a="1"/>
  <c r="AC1700" i="2" s="1"/>
  <c r="AI1703" i="2" a="1"/>
  <c r="AI1703" i="2" s="1"/>
  <c r="AD1703" i="2" a="1"/>
  <c r="AD1703" i="2" s="1"/>
  <c r="W1700" i="2" a="1"/>
  <c r="W1700" i="2" s="1"/>
  <c r="W1703" i="2" a="1"/>
  <c r="W1703" i="2" s="1"/>
  <c r="AB1702" i="2" a="1"/>
  <c r="AB1702" i="2" s="1"/>
  <c r="AD1700" i="2" a="1"/>
  <c r="AD1700" i="2" s="1"/>
  <c r="X1701" i="2" a="1"/>
  <c r="X1701" i="2" s="1"/>
  <c r="AD1701" i="2" a="1"/>
  <c r="AD1701" i="2" s="1"/>
  <c r="W1704" i="2" a="1"/>
  <c r="W1704" i="2" s="1"/>
  <c r="AF1703" i="2" a="1"/>
  <c r="AF1703" i="2" s="1"/>
  <c r="Y1703" i="2" a="1"/>
  <c r="Y1703" i="2" s="1"/>
  <c r="X1703" i="2" a="1"/>
  <c r="X1703" i="2" s="1"/>
  <c r="AE1702" i="2" a="1"/>
  <c r="AE1702" i="2" s="1"/>
  <c r="AC1702" i="2" a="1"/>
  <c r="AC1702" i="2" s="1"/>
  <c r="Z1700" i="2" a="1"/>
  <c r="Z1700" i="2" s="1"/>
  <c r="Y1700" i="2" a="1"/>
  <c r="Y1700" i="2" s="1"/>
  <c r="AF1702" i="2" a="1"/>
  <c r="AF1702" i="2" s="1"/>
  <c r="Y1701" i="2" a="1"/>
  <c r="Y1701" i="2" s="1"/>
  <c r="AI1700" i="2" a="1"/>
  <c r="AI1700" i="2" s="1"/>
  <c r="AH1700" i="2" a="1"/>
  <c r="AH1700" i="2" s="1"/>
  <c r="AG1699" i="2" a="1"/>
  <c r="AG1699" i="2" s="1"/>
  <c r="AA1700" i="2" a="1"/>
  <c r="AA1700" i="2" s="1"/>
  <c r="AH1703" i="2" a="1"/>
  <c r="AH1703" i="2" s="1"/>
  <c r="AG1703" i="2" a="1"/>
  <c r="AG1703" i="2" s="1"/>
  <c r="AE1703" i="2" a="1"/>
  <c r="AE1703" i="2" s="1"/>
  <c r="AB1703" i="2" a="1"/>
  <c r="AB1703" i="2" s="1"/>
  <c r="AE1701" i="2" a="1"/>
  <c r="AE1701" i="2" s="1"/>
  <c r="Z1703" i="2" a="1"/>
  <c r="Z1703" i="2" s="1"/>
  <c r="X1702" i="2" a="1"/>
  <c r="X1702" i="2" s="1"/>
  <c r="AB1700" i="2" a="1"/>
  <c r="AB1700" i="2" s="1"/>
  <c r="AJ1699" i="2" a="1"/>
  <c r="AJ1699" i="2" s="1"/>
  <c r="W1702" i="2" a="1"/>
  <c r="W1702" i="2" s="1"/>
  <c r="AC1701" i="2" a="1"/>
  <c r="AC1701" i="2" s="1"/>
  <c r="AJ1702" i="2" a="1"/>
  <c r="AJ1702" i="2" s="1"/>
  <c r="AH1702" i="2" a="1"/>
  <c r="AH1702" i="2" s="1"/>
  <c r="X1700" i="2" a="1"/>
  <c r="X1700" i="2" s="1"/>
  <c r="AE1699" i="2" a="1"/>
  <c r="AE1699" i="2" s="1"/>
  <c r="Y1702" i="2" a="1"/>
  <c r="Y1702" i="2" s="1"/>
  <c r="AG1701" i="2" a="1"/>
  <c r="AG1701" i="2" s="1"/>
  <c r="AD1702" i="2" a="1"/>
  <c r="AD1702" i="2" s="1"/>
  <c r="AJ1701" i="2" a="1"/>
  <c r="AJ1701" i="2" s="1"/>
  <c r="AH1701" i="2" a="1"/>
  <c r="AH1701" i="2" s="1"/>
  <c r="AF1700" i="2" a="1"/>
  <c r="AF1700" i="2" s="1"/>
  <c r="AB1701" i="2" a="1"/>
  <c r="AB1701" i="2" s="1"/>
  <c r="AA1701" i="2" a="1"/>
  <c r="AA1701" i="2" s="1"/>
  <c r="AG1700" i="2" a="1"/>
  <c r="AG1700" i="2" s="1"/>
  <c r="AI1702" i="2" a="1"/>
  <c r="AI1702" i="2" s="1"/>
  <c r="AG1702" i="2" a="1"/>
  <c r="AG1702" i="2" s="1"/>
  <c r="AF1701" i="2" a="1"/>
  <c r="AF1701" i="2" s="1"/>
  <c r="W1701" i="2" a="1"/>
  <c r="W1701" i="2" s="1"/>
  <c r="AI1699" i="2" a="1"/>
  <c r="AI1699" i="2" s="1"/>
  <c r="AA1702" i="2" a="1"/>
  <c r="AA1702" i="2" s="1"/>
  <c r="Z1702" i="2" a="1"/>
  <c r="Z1702" i="2" s="1"/>
  <c r="Z1701" i="2" a="1"/>
  <c r="Z1701" i="2" s="1"/>
  <c r="AJ1700" i="2" a="1"/>
  <c r="AJ1700" i="2" s="1"/>
  <c r="AI1701" i="2" a="1"/>
  <c r="AI1701" i="2" s="1"/>
  <c r="Y1785" i="2" a="1"/>
  <c r="Y1785" i="2" s="1"/>
  <c r="AH1699" i="2" a="1"/>
  <c r="AH1699" i="2" s="1"/>
  <c r="AA1703" i="2" a="1"/>
  <c r="AA1703" i="2" s="1"/>
  <c r="AE1700" i="2" a="1"/>
  <c r="AE1700" i="2" s="1"/>
  <c r="AF1699" i="2" a="1"/>
  <c r="AF1699" i="2" s="1"/>
  <c r="AC1697" i="2" a="1"/>
  <c r="AC1697" i="2" s="1"/>
  <c r="AE1698" i="2" a="1"/>
  <c r="AE1698" i="2" s="1"/>
  <c r="AD1698" i="2" a="1"/>
  <c r="AD1698" i="2" s="1"/>
  <c r="X1698" i="2" a="1"/>
  <c r="X1698" i="2" s="1"/>
  <c r="AF1697" i="2" a="1"/>
  <c r="AF1697" i="2" s="1"/>
  <c r="AJ1696" i="2" a="1"/>
  <c r="AJ1696" i="2" s="1"/>
  <c r="AF1696" i="2" a="1"/>
  <c r="AF1696" i="2" s="1"/>
  <c r="AB1696" i="2" a="1"/>
  <c r="AB1696" i="2" s="1"/>
  <c r="AG1695" i="2" a="1"/>
  <c r="AG1695" i="2" s="1"/>
  <c r="AB1695" i="2" a="1"/>
  <c r="AB1695" i="2" s="1"/>
  <c r="AC1698" i="2" a="1"/>
  <c r="AC1698" i="2" s="1"/>
  <c r="Y1697" i="2" a="1"/>
  <c r="Y1697" i="2" s="1"/>
  <c r="AJ1695" i="2" a="1"/>
  <c r="AJ1695" i="2" s="1"/>
  <c r="AI1698" i="2" a="1"/>
  <c r="AI1698" i="2" s="1"/>
  <c r="AG1697" i="2" a="1"/>
  <c r="AG1697" i="2" s="1"/>
  <c r="AI1695" i="2" a="1"/>
  <c r="AI1695" i="2" s="1"/>
  <c r="AH1697" i="2" a="1"/>
  <c r="AH1697" i="2" s="1"/>
  <c r="AD1697" i="2" a="1"/>
  <c r="AD1697" i="2" s="1"/>
  <c r="AA1697" i="2" a="1"/>
  <c r="AA1697" i="2" s="1"/>
  <c r="W1697" i="2" a="1"/>
  <c r="W1697" i="2" s="1"/>
  <c r="AI1696" i="2" a="1"/>
  <c r="AI1696" i="2" s="1"/>
  <c r="X1697" i="2" a="1"/>
  <c r="X1697" i="2" s="1"/>
  <c r="W1696" i="2" a="1"/>
  <c r="W1696" i="2" s="1"/>
  <c r="AG1696" i="2" a="1"/>
  <c r="AG1696" i="2" s="1"/>
  <c r="AC1695" i="2" a="1"/>
  <c r="AC1695" i="2" s="1"/>
  <c r="AB1697" i="2" a="1"/>
  <c r="AB1697" i="2" s="1"/>
  <c r="AH1696" i="2" a="1"/>
  <c r="AH1696" i="2" s="1"/>
  <c r="X1696" i="2" a="1"/>
  <c r="X1696" i="2" s="1"/>
  <c r="AE1695" i="2" a="1"/>
  <c r="AE1695" i="2" s="1"/>
  <c r="Y1698" i="2" a="1"/>
  <c r="Y1698" i="2" s="1"/>
  <c r="AA1695" i="2" a="1"/>
  <c r="AA1695" i="2" s="1"/>
  <c r="AC1696" i="2" a="1"/>
  <c r="AC1696" i="2" s="1"/>
  <c r="AH1695" i="2" a="1"/>
  <c r="AH1695" i="2" s="1"/>
  <c r="AF1695" i="2" a="1"/>
  <c r="AF1695" i="2" s="1"/>
  <c r="Z1698" i="2" a="1"/>
  <c r="Z1698" i="2" s="1"/>
  <c r="AD1696" i="2" a="1"/>
  <c r="AD1696" i="2" s="1"/>
  <c r="AG1698" i="2" a="1"/>
  <c r="AG1698" i="2" s="1"/>
  <c r="Y1695" i="2" a="1"/>
  <c r="Y1695" i="2" s="1"/>
  <c r="AD1786" i="2" a="1"/>
  <c r="AD1786" i="2" s="1"/>
  <c r="AD1699" i="2" a="1"/>
  <c r="AD1699" i="2" s="1"/>
  <c r="AC1699" i="2" a="1"/>
  <c r="AC1699" i="2" s="1"/>
  <c r="Z1699" i="2" a="1"/>
  <c r="Z1699" i="2" s="1"/>
  <c r="AJ1698" i="2" a="1"/>
  <c r="AJ1698" i="2" s="1"/>
  <c r="AB1698" i="2" a="1"/>
  <c r="AB1698" i="2" s="1"/>
  <c r="X1695" i="2" a="1"/>
  <c r="X1695" i="2" s="1"/>
  <c r="AI1697" i="2" a="1"/>
  <c r="AI1697" i="2" s="1"/>
  <c r="Y1696" i="2" a="1"/>
  <c r="Y1696" i="2" s="1"/>
  <c r="Z1695" i="2" a="1"/>
  <c r="Z1695" i="2" s="1"/>
  <c r="AA1698" i="2" a="1"/>
  <c r="AA1698" i="2" s="1"/>
  <c r="W1698" i="2" a="1"/>
  <c r="W1698" i="2" s="1"/>
  <c r="AJ1697" i="2" a="1"/>
  <c r="AJ1697" i="2" s="1"/>
  <c r="AD1695" i="2" a="1"/>
  <c r="AD1695" i="2" s="1"/>
  <c r="AE1696" i="2" a="1"/>
  <c r="AE1696" i="2" s="1"/>
  <c r="AA1696" i="2" a="1"/>
  <c r="AA1696" i="2" s="1"/>
  <c r="AE1697" i="2" a="1"/>
  <c r="AE1697" i="2" s="1"/>
  <c r="Z1696" i="2" a="1"/>
  <c r="Z1696" i="2" s="1"/>
  <c r="AA1699" i="2" a="1"/>
  <c r="AA1699" i="2" s="1"/>
  <c r="Z1697" i="2" a="1"/>
  <c r="Z1697" i="2" s="1"/>
  <c r="AB1699" i="2" a="1"/>
  <c r="AB1699" i="2" s="1"/>
  <c r="Y1699" i="2" a="1"/>
  <c r="Y1699" i="2" s="1"/>
  <c r="X1699" i="2" a="1"/>
  <c r="X1699" i="2" s="1"/>
  <c r="W1699" i="2" a="1"/>
  <c r="W1699" i="2" s="1"/>
  <c r="AH1698" i="2" a="1"/>
  <c r="AH1698" i="2" s="1"/>
  <c r="AF1698" i="2" a="1"/>
  <c r="AF1698" i="2" s="1"/>
  <c r="AF1692" i="2" a="1"/>
  <c r="AF1692" i="2" s="1"/>
  <c r="AF1690" i="2" a="1"/>
  <c r="AF1690" i="2" s="1"/>
  <c r="AA1694" i="2" a="1"/>
  <c r="AA1694" i="2" s="1"/>
  <c r="Y1694" i="2" a="1"/>
  <c r="Y1694" i="2" s="1"/>
  <c r="AD1693" i="2" a="1"/>
  <c r="AD1693" i="2" s="1"/>
  <c r="X1693" i="2" a="1"/>
  <c r="X1693" i="2" s="1"/>
  <c r="AJ1691" i="2" a="1"/>
  <c r="AJ1691" i="2" s="1"/>
  <c r="AH1691" i="2" a="1"/>
  <c r="AH1691" i="2" s="1"/>
  <c r="Z1692" i="2" a="1"/>
  <c r="Z1692" i="2" s="1"/>
  <c r="W1693" i="2" a="1"/>
  <c r="W1693" i="2" s="1"/>
  <c r="AC1692" i="2" a="1"/>
  <c r="AC1692" i="2" s="1"/>
  <c r="X1692" i="2" a="1"/>
  <c r="X1692" i="2" s="1"/>
  <c r="AD1691" i="2" a="1"/>
  <c r="AD1691" i="2" s="1"/>
  <c r="AE1691" i="2" a="1"/>
  <c r="AE1691" i="2" s="1"/>
  <c r="W1691" i="2" a="1"/>
  <c r="W1691" i="2" s="1"/>
  <c r="AH1690" i="2" a="1"/>
  <c r="AH1690" i="2" s="1"/>
  <c r="AH1693" i="2" a="1"/>
  <c r="AH1693" i="2" s="1"/>
  <c r="Z1691" i="2" a="1"/>
  <c r="Z1691" i="2" s="1"/>
  <c r="AI1693" i="2" a="1"/>
  <c r="AI1693" i="2" s="1"/>
  <c r="AF1693" i="2" a="1"/>
  <c r="AF1693" i="2" s="1"/>
  <c r="Z1693" i="2" a="1"/>
  <c r="Z1693" i="2" s="1"/>
  <c r="Y1691" i="2" a="1"/>
  <c r="Y1691" i="2" s="1"/>
  <c r="AA1691" i="2" a="1"/>
  <c r="AA1691" i="2" s="1"/>
  <c r="Y1692" i="2" a="1"/>
  <c r="Y1692" i="2" s="1"/>
  <c r="X1694" i="2" a="1"/>
  <c r="X1694" i="2" s="1"/>
  <c r="AE1693" i="2" a="1"/>
  <c r="AE1693" i="2" s="1"/>
  <c r="AC1693" i="2" a="1"/>
  <c r="AC1693" i="2" s="1"/>
  <c r="AC1691" i="2" a="1"/>
  <c r="AC1691" i="2" s="1"/>
  <c r="AI1692" i="2" a="1"/>
  <c r="AI1692" i="2" s="1"/>
  <c r="AH1692" i="2" a="1"/>
  <c r="AH1692" i="2" s="1"/>
  <c r="AG1691" i="2" a="1"/>
  <c r="AG1691" i="2" s="1"/>
  <c r="X1691" i="2" a="1"/>
  <c r="X1691" i="2" s="1"/>
  <c r="AE1690" i="2" a="1"/>
  <c r="AE1690" i="2" s="1"/>
  <c r="AJ1692" i="2" a="1"/>
  <c r="AJ1692" i="2" s="1"/>
  <c r="X1785" i="2" a="1"/>
  <c r="X1785" i="2" s="1"/>
  <c r="W1695" i="2" a="1"/>
  <c r="W1695" i="2" s="1"/>
  <c r="AJ1694" i="2" a="1"/>
  <c r="AJ1694" i="2" s="1"/>
  <c r="AF1691" i="2" a="1"/>
  <c r="AF1691" i="2" s="1"/>
  <c r="AI1694" i="2" a="1"/>
  <c r="AI1694" i="2" s="1"/>
  <c r="W1694" i="2" a="1"/>
  <c r="W1694" i="2" s="1"/>
  <c r="AH1694" i="2" a="1"/>
  <c r="AH1694" i="2" s="1"/>
  <c r="AG1694" i="2" a="1"/>
  <c r="AG1694" i="2" s="1"/>
  <c r="AF1694" i="2" a="1"/>
  <c r="AF1694" i="2" s="1"/>
  <c r="Z1694" i="2" a="1"/>
  <c r="Z1694" i="2" s="1"/>
  <c r="AG1693" i="2" a="1"/>
  <c r="AG1693" i="2" s="1"/>
  <c r="AB1692" i="2" a="1"/>
  <c r="AB1692" i="2" s="1"/>
  <c r="AD1692" i="2" a="1"/>
  <c r="AD1692" i="2" s="1"/>
  <c r="AE1694" i="2" a="1"/>
  <c r="AE1694" i="2" s="1"/>
  <c r="AD1694" i="2" a="1"/>
  <c r="AD1694" i="2" s="1"/>
  <c r="AC1694" i="2" a="1"/>
  <c r="AC1694" i="2" s="1"/>
  <c r="AB1693" i="2" a="1"/>
  <c r="AB1693" i="2" s="1"/>
  <c r="AE1692" i="2" a="1"/>
  <c r="AE1692" i="2" s="1"/>
  <c r="W1692" i="2" a="1"/>
  <c r="W1692" i="2" s="1"/>
  <c r="AI1691" i="2" a="1"/>
  <c r="AI1691" i="2" s="1"/>
  <c r="AB1691" i="2" a="1"/>
  <c r="AB1691" i="2" s="1"/>
  <c r="AJ1693" i="2" a="1"/>
  <c r="AJ1693" i="2" s="1"/>
  <c r="AB1694" i="2" a="1"/>
  <c r="AB1694" i="2" s="1"/>
  <c r="AI1690" i="2" a="1"/>
  <c r="AI1690" i="2" s="1"/>
  <c r="AA1693" i="2" a="1"/>
  <c r="AA1693" i="2" s="1"/>
  <c r="Y1693" i="2" a="1"/>
  <c r="Y1693" i="2" s="1"/>
  <c r="AJ1690" i="2" a="1"/>
  <c r="AJ1690" i="2" s="1"/>
  <c r="AG1692" i="2" a="1"/>
  <c r="AG1692" i="2" s="1"/>
  <c r="AG1690" i="2" a="1"/>
  <c r="AG1690" i="2" s="1"/>
  <c r="AA1692" i="2" a="1"/>
  <c r="AA1692" i="2" s="1"/>
  <c r="Z1688" i="2" a="1"/>
  <c r="Z1688" i="2" s="1"/>
  <c r="AD1687" i="2" a="1"/>
  <c r="AD1687" i="2" s="1"/>
  <c r="AJ1686" i="2" a="1"/>
  <c r="AJ1686" i="2" s="1"/>
  <c r="W1786" i="2" a="1"/>
  <c r="W1786" i="2" s="1"/>
  <c r="X1690" i="2" a="1"/>
  <c r="X1690" i="2" s="1"/>
  <c r="AI1687" i="2" a="1"/>
  <c r="AI1687" i="2" s="1"/>
  <c r="AG1687" i="2" a="1"/>
  <c r="AG1687" i="2" s="1"/>
  <c r="AE1686" i="2" a="1"/>
  <c r="AE1686" i="2" s="1"/>
  <c r="AC1686" i="2" a="1"/>
  <c r="AC1686" i="2" s="1"/>
  <c r="AG1688" i="2" a="1"/>
  <c r="AG1688" i="2" s="1"/>
  <c r="W1690" i="2" a="1"/>
  <c r="W1690" i="2" s="1"/>
  <c r="AH1689" i="2" a="1"/>
  <c r="AH1689" i="2" s="1"/>
  <c r="AF1689" i="2" a="1"/>
  <c r="AF1689" i="2" s="1"/>
  <c r="AB1689" i="2" a="1"/>
  <c r="AB1689" i="2" s="1"/>
  <c r="Y1687" i="2" a="1"/>
  <c r="Y1687" i="2" s="1"/>
  <c r="AC1688" i="2" a="1"/>
  <c r="AC1688" i="2" s="1"/>
  <c r="AD1688" i="2" a="1"/>
  <c r="AD1688" i="2" s="1"/>
  <c r="W1688" i="2" a="1"/>
  <c r="W1688" i="2" s="1"/>
  <c r="AD1686" i="2" a="1"/>
  <c r="AD1686" i="2" s="1"/>
  <c r="X1686" i="2" a="1"/>
  <c r="X1686" i="2" s="1"/>
  <c r="AH1686" i="2" a="1"/>
  <c r="AH1686" i="2" s="1"/>
  <c r="W1689" i="2" a="1"/>
  <c r="W1689" i="2" s="1"/>
  <c r="AH1688" i="2" a="1"/>
  <c r="AH1688" i="2" s="1"/>
  <c r="AA1688" i="2" a="1"/>
  <c r="AA1688" i="2" s="1"/>
  <c r="AD1690" i="2" a="1"/>
  <c r="AD1690" i="2" s="1"/>
  <c r="AI1689" i="2" a="1"/>
  <c r="AI1689" i="2" s="1"/>
  <c r="AG1689" i="2" a="1"/>
  <c r="AG1689" i="2" s="1"/>
  <c r="AE1688" i="2" a="1"/>
  <c r="AE1688" i="2" s="1"/>
  <c r="Z1687" i="2" a="1"/>
  <c r="Z1687" i="2" s="1"/>
  <c r="AJ1687" i="2" a="1"/>
  <c r="AJ1687" i="2" s="1"/>
  <c r="AF1688" i="2" a="1"/>
  <c r="AF1688" i="2" s="1"/>
  <c r="Y1688" i="2" a="1"/>
  <c r="Y1688" i="2" s="1"/>
  <c r="AB1686" i="2" a="1"/>
  <c r="AB1686" i="2" s="1"/>
  <c r="AI1686" i="2" a="1"/>
  <c r="AI1686" i="2" s="1"/>
  <c r="AC1690" i="2" a="1"/>
  <c r="AC1690" i="2" s="1"/>
  <c r="AB1690" i="2" a="1"/>
  <c r="AB1690" i="2" s="1"/>
  <c r="AA1690" i="2" a="1"/>
  <c r="AA1690" i="2" s="1"/>
  <c r="Z1686" i="2" a="1"/>
  <c r="Z1686" i="2" s="1"/>
  <c r="Z1690" i="2" a="1"/>
  <c r="Z1690" i="2" s="1"/>
  <c r="Y1690" i="2" a="1"/>
  <c r="Y1690" i="2" s="1"/>
  <c r="AE1689" i="2" a="1"/>
  <c r="AE1689" i="2" s="1"/>
  <c r="AD1689" i="2" a="1"/>
  <c r="AD1689" i="2" s="1"/>
  <c r="Z1689" i="2" a="1"/>
  <c r="Z1689" i="2" s="1"/>
  <c r="Y1686" i="2" a="1"/>
  <c r="Y1686" i="2" s="1"/>
  <c r="AC1689" i="2" a="1"/>
  <c r="AC1689" i="2" s="1"/>
  <c r="AA1689" i="2" a="1"/>
  <c r="AA1689" i="2" s="1"/>
  <c r="X1689" i="2" a="1"/>
  <c r="X1689" i="2" s="1"/>
  <c r="AJ1688" i="2" a="1"/>
  <c r="AJ1688" i="2" s="1"/>
  <c r="AA1687" i="2" a="1"/>
  <c r="AA1687" i="2" s="1"/>
  <c r="AE1687" i="2" a="1"/>
  <c r="AE1687" i="2" s="1"/>
  <c r="AH1687" i="2" a="1"/>
  <c r="AH1687" i="2" s="1"/>
  <c r="W1687" i="2" a="1"/>
  <c r="W1687" i="2" s="1"/>
  <c r="AB1687" i="2" a="1"/>
  <c r="AB1687" i="2" s="1"/>
  <c r="AF1686" i="2" a="1"/>
  <c r="AF1686" i="2" s="1"/>
  <c r="Y1689" i="2" a="1"/>
  <c r="Y1689" i="2" s="1"/>
  <c r="AI1688" i="2" a="1"/>
  <c r="AI1688" i="2" s="1"/>
  <c r="AF1687" i="2" a="1"/>
  <c r="AF1687" i="2" s="1"/>
  <c r="AC1687" i="2" a="1"/>
  <c r="AC1687" i="2" s="1"/>
  <c r="AG1686" i="2" a="1"/>
  <c r="AG1686" i="2" s="1"/>
  <c r="AB1688" i="2" a="1"/>
  <c r="AB1688" i="2" s="1"/>
  <c r="X1687" i="2" a="1"/>
  <c r="X1687" i="2" s="1"/>
  <c r="X1688" i="2" a="1"/>
  <c r="X1688" i="2" s="1"/>
  <c r="AJ1689" i="2" a="1"/>
  <c r="AJ1689" i="2" s="1"/>
  <c r="AA1686" i="2" a="1"/>
  <c r="AA1686" i="2" s="1"/>
  <c r="AJ1684" i="2" a="1"/>
  <c r="AJ1684" i="2" s="1"/>
  <c r="AH1683" i="2" a="1"/>
  <c r="AH1683" i="2" s="1"/>
  <c r="AC1683" i="2" a="1"/>
  <c r="AC1683" i="2" s="1"/>
  <c r="AE1682" i="2" a="1"/>
  <c r="AE1682" i="2" s="1"/>
  <c r="AJ1681" i="2" a="1"/>
  <c r="AJ1681" i="2" s="1"/>
  <c r="AE1683" i="2" a="1"/>
  <c r="AE1683" i="2" s="1"/>
  <c r="AD1683" i="2" a="1"/>
  <c r="AD1683" i="2" s="1"/>
  <c r="AF1683" i="2" a="1"/>
  <c r="AF1683" i="2" s="1"/>
  <c r="AH1682" i="2" a="1"/>
  <c r="AH1682" i="2" s="1"/>
  <c r="AA1682" i="2" a="1"/>
  <c r="AA1682" i="2" s="1"/>
  <c r="AJ1685" i="2" a="1"/>
  <c r="AJ1685" i="2" s="1"/>
  <c r="AG1685" i="2" a="1"/>
  <c r="AG1685" i="2" s="1"/>
  <c r="W1685" i="2" a="1"/>
  <c r="W1685" i="2" s="1"/>
  <c r="AF1684" i="2" a="1"/>
  <c r="AF1684" i="2" s="1"/>
  <c r="AB1684" i="2" a="1"/>
  <c r="AB1684" i="2" s="1"/>
  <c r="AE1684" i="2" a="1"/>
  <c r="AE1684" i="2" s="1"/>
  <c r="Z1684" i="2" a="1"/>
  <c r="Z1684" i="2" s="1"/>
  <c r="AG1683" i="2" a="1"/>
  <c r="AG1683" i="2" s="1"/>
  <c r="AJ1682" i="2" a="1"/>
  <c r="AJ1682" i="2" s="1"/>
  <c r="X1684" i="2" a="1"/>
  <c r="X1684" i="2" s="1"/>
  <c r="AC1682" i="2" a="1"/>
  <c r="AC1682" i="2" s="1"/>
  <c r="AD1685" i="2" a="1"/>
  <c r="AD1685" i="2" s="1"/>
  <c r="AI1682" i="2" a="1"/>
  <c r="AI1682" i="2" s="1"/>
  <c r="Y1685" i="2" a="1"/>
  <c r="Y1685" i="2" s="1"/>
  <c r="AF1685" i="2" a="1"/>
  <c r="AF1685" i="2" s="1"/>
  <c r="W1684" i="2" a="1"/>
  <c r="W1684" i="2" s="1"/>
  <c r="AA1683" i="2" a="1"/>
  <c r="AA1683" i="2" s="1"/>
  <c r="AI1685" i="2" a="1"/>
  <c r="AI1685" i="2" s="1"/>
  <c r="AC1684" i="2" a="1"/>
  <c r="AC1684" i="2" s="1"/>
  <c r="X1682" i="2" a="1"/>
  <c r="X1682" i="2" s="1"/>
  <c r="AE1685" i="2" a="1"/>
  <c r="AE1685" i="2" s="1"/>
  <c r="AC1685" i="2" a="1"/>
  <c r="AC1685" i="2" s="1"/>
  <c r="AD1684" i="2" a="1"/>
  <c r="AD1684" i="2" s="1"/>
  <c r="AH1681" i="2" a="1"/>
  <c r="AH1681" i="2" s="1"/>
  <c r="AB1685" i="2" a="1"/>
  <c r="AB1685" i="2" s="1"/>
  <c r="AA1685" i="2" a="1"/>
  <c r="AA1685" i="2" s="1"/>
  <c r="Z1685" i="2" a="1"/>
  <c r="Z1685" i="2" s="1"/>
  <c r="Y1683" i="2" a="1"/>
  <c r="Y1683" i="2" s="1"/>
  <c r="X1685" i="2" a="1"/>
  <c r="X1685" i="2" s="1"/>
  <c r="AI1684" i="2" a="1"/>
  <c r="AI1684" i="2" s="1"/>
  <c r="W1682" i="2" a="1"/>
  <c r="W1682" i="2" s="1"/>
  <c r="AG1684" i="2" a="1"/>
  <c r="AG1684" i="2" s="1"/>
  <c r="Y1684" i="2" a="1"/>
  <c r="Y1684" i="2" s="1"/>
  <c r="AJ1683" i="2" a="1"/>
  <c r="AJ1683" i="2" s="1"/>
  <c r="Z1683" i="2" a="1"/>
  <c r="Z1683" i="2" s="1"/>
  <c r="AE1681" i="2" a="1"/>
  <c r="AE1681" i="2" s="1"/>
  <c r="AB1683" i="2" a="1"/>
  <c r="AB1683" i="2" s="1"/>
  <c r="W1683" i="2" a="1"/>
  <c r="W1683" i="2" s="1"/>
  <c r="AI1681" i="2" a="1"/>
  <c r="AI1681" i="2" s="1"/>
  <c r="AI1683" i="2" a="1"/>
  <c r="AI1683" i="2" s="1"/>
  <c r="AB1682" i="2" a="1"/>
  <c r="AB1682" i="2" s="1"/>
  <c r="AG1682" i="2" a="1"/>
  <c r="AG1682" i="2" s="1"/>
  <c r="Z1682" i="2" a="1"/>
  <c r="Z1682" i="2" s="1"/>
  <c r="AG1681" i="2" a="1"/>
  <c r="AG1681" i="2" s="1"/>
  <c r="AD1682" i="2" a="1"/>
  <c r="AD1682" i="2" s="1"/>
  <c r="AF1681" i="2" a="1"/>
  <c r="AF1681" i="2" s="1"/>
  <c r="AF1682" i="2" a="1"/>
  <c r="AF1682" i="2" s="1"/>
  <c r="Y1682" i="2" a="1"/>
  <c r="Y1682" i="2" s="1"/>
  <c r="AH1684" i="2" a="1"/>
  <c r="AH1684" i="2" s="1"/>
  <c r="AA1684" i="2" a="1"/>
  <c r="AA1684" i="2" s="1"/>
  <c r="X1683" i="2" a="1"/>
  <c r="X1683" i="2" s="1"/>
  <c r="W1785" i="2" a="1"/>
  <c r="W1785" i="2" s="1"/>
  <c r="W1686" i="2" a="1"/>
  <c r="W1686" i="2" s="1"/>
  <c r="AH1685" i="2" a="1"/>
  <c r="AH1685" i="2" s="1"/>
  <c r="Z1681" i="2" a="1"/>
  <c r="Z1681" i="2" s="1"/>
  <c r="Y1681" i="2" a="1"/>
  <c r="Y1681" i="2" s="1"/>
  <c r="Z1677" i="2" a="1"/>
  <c r="Z1677" i="2" s="1"/>
  <c r="X1681" i="2" a="1"/>
  <c r="X1681" i="2" s="1"/>
  <c r="AI1680" i="2" a="1"/>
  <c r="AI1680" i="2" s="1"/>
  <c r="AF1680" i="2" a="1"/>
  <c r="AF1680" i="2" s="1"/>
  <c r="AD1680" i="2" a="1"/>
  <c r="AD1680" i="2" s="1"/>
  <c r="Y1679" i="2" a="1"/>
  <c r="Y1679" i="2" s="1"/>
  <c r="AH1678" i="2" a="1"/>
  <c r="AH1678" i="2" s="1"/>
  <c r="AH1677" i="2" a="1"/>
  <c r="AH1677" i="2" s="1"/>
  <c r="AC1680" i="2" a="1"/>
  <c r="AC1680" i="2" s="1"/>
  <c r="AB1680" i="2" a="1"/>
  <c r="AB1680" i="2" s="1"/>
  <c r="X1680" i="2" a="1"/>
  <c r="X1680" i="2" s="1"/>
  <c r="AJ1679" i="2" a="1"/>
  <c r="AJ1679" i="2" s="1"/>
  <c r="AC1677" i="2" a="1"/>
  <c r="AC1677" i="2" s="1"/>
  <c r="Z1680" i="2" a="1"/>
  <c r="Z1680" i="2" s="1"/>
  <c r="Y1680" i="2" a="1"/>
  <c r="Y1680" i="2" s="1"/>
  <c r="AG1679" i="2" a="1"/>
  <c r="AG1679" i="2" s="1"/>
  <c r="AC1679" i="2" a="1"/>
  <c r="AC1679" i="2" s="1"/>
  <c r="AF1679" i="2" a="1"/>
  <c r="AF1679" i="2" s="1"/>
  <c r="W1679" i="2" a="1"/>
  <c r="W1679" i="2" s="1"/>
  <c r="Y1678" i="2" a="1"/>
  <c r="Y1678" i="2" s="1"/>
  <c r="AI1677" i="2" a="1"/>
  <c r="AI1677" i="2" s="1"/>
  <c r="Z1678" i="2" a="1"/>
  <c r="Z1678" i="2" s="1"/>
  <c r="X1677" i="2" a="1"/>
  <c r="X1677" i="2" s="1"/>
  <c r="AI1678" i="2" a="1"/>
  <c r="AI1678" i="2" s="1"/>
  <c r="AJ1677" i="2" a="1"/>
  <c r="AJ1677" i="2" s="1"/>
  <c r="AD1677" i="2" a="1"/>
  <c r="AD1677" i="2" s="1"/>
  <c r="AF1677" i="2" a="1"/>
  <c r="AF1677" i="2" s="1"/>
  <c r="Z1679" i="2" a="1"/>
  <c r="Z1679" i="2" s="1"/>
  <c r="AD1679" i="2" a="1"/>
  <c r="AD1679" i="2" s="1"/>
  <c r="X1679" i="2" a="1"/>
  <c r="X1679" i="2" s="1"/>
  <c r="AG1677" i="2" a="1"/>
  <c r="AG1677" i="2" s="1"/>
  <c r="Y1677" i="2" a="1"/>
  <c r="Y1677" i="2" s="1"/>
  <c r="AC1678" i="2" a="1"/>
  <c r="AC1678" i="2" s="1"/>
  <c r="AE1679" i="2" a="1"/>
  <c r="AE1679" i="2" s="1"/>
  <c r="AG1680" i="2" a="1"/>
  <c r="AG1680" i="2" s="1"/>
  <c r="AG1678" i="2" a="1"/>
  <c r="AG1678" i="2" s="1"/>
  <c r="AD1678" i="2" a="1"/>
  <c r="AD1678" i="2" s="1"/>
  <c r="AI1679" i="2" a="1"/>
  <c r="AI1679" i="2" s="1"/>
  <c r="W1678" i="2" a="1"/>
  <c r="W1678" i="2" s="1"/>
  <c r="AH1679" i="2" a="1"/>
  <c r="AH1679" i="2" s="1"/>
  <c r="AF1678" i="2" a="1"/>
  <c r="AF1678" i="2" s="1"/>
  <c r="AB1678" i="2" a="1"/>
  <c r="AB1678" i="2" s="1"/>
  <c r="AA1680" i="2" a="1"/>
  <c r="AA1680" i="2" s="1"/>
  <c r="AA1679" i="2" a="1"/>
  <c r="AA1679" i="2" s="1"/>
  <c r="AA1678" i="2" a="1"/>
  <c r="AA1678" i="2" s="1"/>
  <c r="AA1681" i="2" a="1"/>
  <c r="AA1681" i="2" s="1"/>
  <c r="AG1786" i="2" a="1"/>
  <c r="AG1786" i="2" s="1"/>
  <c r="AJ1678" i="2" a="1"/>
  <c r="AJ1678" i="2" s="1"/>
  <c r="AE1677" i="2" a="1"/>
  <c r="AE1677" i="2" s="1"/>
  <c r="AA1677" i="2" a="1"/>
  <c r="AA1677" i="2" s="1"/>
  <c r="AE1680" i="2" a="1"/>
  <c r="AE1680" i="2" s="1"/>
  <c r="AD1681" i="2" a="1"/>
  <c r="AD1681" i="2" s="1"/>
  <c r="AC1681" i="2" a="1"/>
  <c r="AC1681" i="2" s="1"/>
  <c r="W1681" i="2" a="1"/>
  <c r="W1681" i="2" s="1"/>
  <c r="AJ1680" i="2" a="1"/>
  <c r="AJ1680" i="2" s="1"/>
  <c r="AH1680" i="2" a="1"/>
  <c r="AH1680" i="2" s="1"/>
  <c r="AE1678" i="2" a="1"/>
  <c r="AE1678" i="2" s="1"/>
  <c r="X1678" i="2" a="1"/>
  <c r="X1678" i="2" s="1"/>
  <c r="AB1677" i="2" a="1"/>
  <c r="AB1677" i="2" s="1"/>
  <c r="W1680" i="2" a="1"/>
  <c r="W1680" i="2" s="1"/>
  <c r="AB1679" i="2" a="1"/>
  <c r="AB1679" i="2" s="1"/>
  <c r="AB1681" i="2" a="1"/>
  <c r="AB1681" i="2" s="1"/>
  <c r="W1676" i="2" a="1"/>
  <c r="W1676" i="2" s="1"/>
  <c r="AF1675" i="2" a="1"/>
  <c r="AF1675" i="2" s="1"/>
  <c r="AE1675" i="2" a="1"/>
  <c r="AE1675" i="2" s="1"/>
  <c r="Z1675" i="2" a="1"/>
  <c r="Z1675" i="2" s="1"/>
  <c r="X1675" i="2" a="1"/>
  <c r="X1675" i="2" s="1"/>
  <c r="AJ1674" i="2" a="1"/>
  <c r="AJ1674" i="2" s="1"/>
  <c r="AH1674" i="2" a="1"/>
  <c r="AH1674" i="2" s="1"/>
  <c r="W1673" i="2" a="1"/>
  <c r="W1673" i="2" s="1"/>
  <c r="AI1672" i="2" a="1"/>
  <c r="AI1672" i="2" s="1"/>
  <c r="AA1673" i="2" a="1"/>
  <c r="AA1673" i="2" s="1"/>
  <c r="AH1675" i="2" a="1"/>
  <c r="AH1675" i="2" s="1"/>
  <c r="AC1675" i="2" a="1"/>
  <c r="AC1675" i="2" s="1"/>
  <c r="W1674" i="2" a="1"/>
  <c r="W1674" i="2" s="1"/>
  <c r="AE1673" i="2" a="1"/>
  <c r="AE1673" i="2" s="1"/>
  <c r="AD1675" i="2" a="1"/>
  <c r="AD1675" i="2" s="1"/>
  <c r="W1675" i="2" a="1"/>
  <c r="W1675" i="2" s="1"/>
  <c r="AG1674" i="2" a="1"/>
  <c r="AG1674" i="2" s="1"/>
  <c r="AD1674" i="2" a="1"/>
  <c r="AD1674" i="2" s="1"/>
  <c r="AJ1672" i="2" a="1"/>
  <c r="AJ1672" i="2" s="1"/>
  <c r="AI1673" i="2" a="1"/>
  <c r="AI1673" i="2" s="1"/>
  <c r="Z1673" i="2" a="1"/>
  <c r="Z1673" i="2" s="1"/>
  <c r="Y1674" i="2" a="1"/>
  <c r="Y1674" i="2" s="1"/>
  <c r="AF1673" i="2" a="1"/>
  <c r="AF1673" i="2" s="1"/>
  <c r="AG1672" i="2" a="1"/>
  <c r="AG1672" i="2" s="1"/>
  <c r="AJ1784" i="2" a="1"/>
  <c r="AJ1784" i="2" s="1"/>
  <c r="AJ1676" i="2" a="1"/>
  <c r="AJ1676" i="2" s="1"/>
  <c r="AH1673" i="2" a="1"/>
  <c r="AH1673" i="2" s="1"/>
  <c r="W1677" i="2" a="1"/>
  <c r="W1677" i="2" s="1"/>
  <c r="AI1676" i="2" a="1"/>
  <c r="AI1676" i="2" s="1"/>
  <c r="AE1674" i="2" a="1"/>
  <c r="AE1674" i="2" s="1"/>
  <c r="AH1676" i="2" a="1"/>
  <c r="AH1676" i="2" s="1"/>
  <c r="AG1676" i="2" a="1"/>
  <c r="AG1676" i="2" s="1"/>
  <c r="AF1676" i="2" a="1"/>
  <c r="AF1676" i="2" s="1"/>
  <c r="AE1676" i="2" a="1"/>
  <c r="AE1676" i="2" s="1"/>
  <c r="AB1675" i="2" a="1"/>
  <c r="AB1675" i="2" s="1"/>
  <c r="AD1676" i="2" a="1"/>
  <c r="AD1676" i="2" s="1"/>
  <c r="AC1676" i="2" a="1"/>
  <c r="AC1676" i="2" s="1"/>
  <c r="Y1675" i="2" a="1"/>
  <c r="Y1675" i="2" s="1"/>
  <c r="AI1674" i="2" a="1"/>
  <c r="AI1674" i="2" s="1"/>
  <c r="AB1676" i="2" a="1"/>
  <c r="AB1676" i="2" s="1"/>
  <c r="Z1676" i="2" a="1"/>
  <c r="Z1676" i="2" s="1"/>
  <c r="AI1675" i="2" a="1"/>
  <c r="AI1675" i="2" s="1"/>
  <c r="AB1674" i="2" a="1"/>
  <c r="AB1674" i="2" s="1"/>
  <c r="AG1675" i="2" a="1"/>
  <c r="AG1675" i="2" s="1"/>
  <c r="AG1673" i="2" a="1"/>
  <c r="AG1673" i="2" s="1"/>
  <c r="Z1674" i="2" a="1"/>
  <c r="Z1674" i="2" s="1"/>
  <c r="AJ1673" i="2" a="1"/>
  <c r="AJ1673" i="2" s="1"/>
  <c r="AA1676" i="2" a="1"/>
  <c r="AA1676" i="2" s="1"/>
  <c r="AC1673" i="2" a="1"/>
  <c r="AC1673" i="2" s="1"/>
  <c r="Y1676" i="2" a="1"/>
  <c r="Y1676" i="2" s="1"/>
  <c r="X1676" i="2" a="1"/>
  <c r="X1676" i="2" s="1"/>
  <c r="AC1674" i="2" a="1"/>
  <c r="AC1674" i="2" s="1"/>
  <c r="AB1673" i="2" a="1"/>
  <c r="AB1673" i="2" s="1"/>
  <c r="X1673" i="2" a="1"/>
  <c r="X1673" i="2" s="1"/>
  <c r="AD1673" i="2" a="1"/>
  <c r="AD1673" i="2" s="1"/>
  <c r="AA1674" i="2" a="1"/>
  <c r="AA1674" i="2" s="1"/>
  <c r="AF1674" i="2" a="1"/>
  <c r="AF1674" i="2" s="1"/>
  <c r="AE1672" i="2" a="1"/>
  <c r="AE1672" i="2" s="1"/>
  <c r="Y1673" i="2" a="1"/>
  <c r="Y1673" i="2" s="1"/>
  <c r="AJ1675" i="2" a="1"/>
  <c r="AJ1675" i="2" s="1"/>
  <c r="AH1672" i="2" a="1"/>
  <c r="AH1672" i="2" s="1"/>
  <c r="AA1675" i="2" a="1"/>
  <c r="AA1675" i="2" s="1"/>
  <c r="X1674" i="2" a="1"/>
  <c r="X1674" i="2" s="1"/>
  <c r="AF1672" i="2" a="1"/>
  <c r="AF1672" i="2" s="1"/>
  <c r="Y1671" i="2" a="1"/>
  <c r="Y1671" i="2" s="1"/>
  <c r="W1671" i="2" a="1"/>
  <c r="W1671" i="2" s="1"/>
  <c r="AJ1670" i="2" a="1"/>
  <c r="AJ1670" i="2" s="1"/>
  <c r="AG1670" i="2" a="1"/>
  <c r="AG1670" i="2" s="1"/>
  <c r="AF1670" i="2" a="1"/>
  <c r="AF1670" i="2" s="1"/>
  <c r="AD1670" i="2" a="1"/>
  <c r="AD1670" i="2" s="1"/>
  <c r="Z1669" i="2" a="1"/>
  <c r="Z1669" i="2" s="1"/>
  <c r="X1669" i="2" a="1"/>
  <c r="X1669" i="2" s="1"/>
  <c r="AC1670" i="2" a="1"/>
  <c r="AC1670" i="2" s="1"/>
  <c r="AA1670" i="2" a="1"/>
  <c r="AA1670" i="2" s="1"/>
  <c r="AI1669" i="2" a="1"/>
  <c r="AI1669" i="2" s="1"/>
  <c r="AC1669" i="2" a="1"/>
  <c r="AC1669" i="2" s="1"/>
  <c r="AI1668" i="2" a="1"/>
  <c r="AI1668" i="2" s="1"/>
  <c r="W1669" i="2" a="1"/>
  <c r="W1669" i="2" s="1"/>
  <c r="W1670" i="2" a="1"/>
  <c r="W1670" i="2" s="1"/>
  <c r="AG1669" i="2" a="1"/>
  <c r="AG1669" i="2" s="1"/>
  <c r="AB1669" i="2" a="1"/>
  <c r="AB1669" i="2" s="1"/>
  <c r="AE1668" i="2" a="1"/>
  <c r="AE1668" i="2" s="1"/>
  <c r="AH1669" i="2" a="1"/>
  <c r="AH1669" i="2" s="1"/>
  <c r="Z1668" i="2" a="1"/>
  <c r="Z1668" i="2" s="1"/>
  <c r="AD1669" i="2" a="1"/>
  <c r="AD1669" i="2" s="1"/>
  <c r="AF1668" i="2" a="1"/>
  <c r="AF1668" i="2" s="1"/>
  <c r="Y1668" i="2" a="1"/>
  <c r="Y1668" i="2" s="1"/>
  <c r="Z1670" i="2" a="1"/>
  <c r="Z1670" i="2" s="1"/>
  <c r="Z1671" i="2" a="1"/>
  <c r="Z1671" i="2" s="1"/>
  <c r="AH1670" i="2" a="1"/>
  <c r="AH1670" i="2" s="1"/>
  <c r="AE1669" i="2" a="1"/>
  <c r="AE1669" i="2" s="1"/>
  <c r="AH1668" i="2" a="1"/>
  <c r="AH1668" i="2" s="1"/>
  <c r="AE1670" i="2" a="1"/>
  <c r="AE1670" i="2" s="1"/>
  <c r="AA1669" i="2" a="1"/>
  <c r="AA1669" i="2" s="1"/>
  <c r="AD1668" i="2" a="1"/>
  <c r="AD1668" i="2" s="1"/>
  <c r="AJ1785" i="2" a="1"/>
  <c r="AJ1785" i="2" s="1"/>
  <c r="AD1672" i="2" a="1"/>
  <c r="AD1672" i="2" s="1"/>
  <c r="AC1671" i="2" a="1"/>
  <c r="AC1671" i="2" s="1"/>
  <c r="AC1672" i="2" a="1"/>
  <c r="AC1672" i="2" s="1"/>
  <c r="W1672" i="2" a="1"/>
  <c r="W1672" i="2" s="1"/>
  <c r="AB1672" i="2" a="1"/>
  <c r="AB1672" i="2" s="1"/>
  <c r="AB1668" i="2" a="1"/>
  <c r="AB1668" i="2" s="1"/>
  <c r="AA1672" i="2" a="1"/>
  <c r="AA1672" i="2" s="1"/>
  <c r="Z1672" i="2" a="1"/>
  <c r="Z1672" i="2" s="1"/>
  <c r="Y1672" i="2" a="1"/>
  <c r="Y1672" i="2" s="1"/>
  <c r="AI1671" i="2" a="1"/>
  <c r="AI1671" i="2" s="1"/>
  <c r="AF1671" i="2" a="1"/>
  <c r="AF1671" i="2" s="1"/>
  <c r="AI1670" i="2" a="1"/>
  <c r="AI1670" i="2" s="1"/>
  <c r="AA1668" i="2" a="1"/>
  <c r="AA1668" i="2" s="1"/>
  <c r="AF1669" i="2" a="1"/>
  <c r="AF1669" i="2" s="1"/>
  <c r="AJ1668" i="2" a="1"/>
  <c r="AJ1668" i="2" s="1"/>
  <c r="AC1668" i="2" a="1"/>
  <c r="AC1668" i="2" s="1"/>
  <c r="X1671" i="2" a="1"/>
  <c r="X1671" i="2" s="1"/>
  <c r="X1672" i="2" a="1"/>
  <c r="X1672" i="2" s="1"/>
  <c r="AJ1671" i="2" a="1"/>
  <c r="AJ1671" i="2" s="1"/>
  <c r="AA1671" i="2" a="1"/>
  <c r="AA1671" i="2" s="1"/>
  <c r="AG1671" i="2" a="1"/>
  <c r="AG1671" i="2" s="1"/>
  <c r="Y1669" i="2" a="1"/>
  <c r="Y1669" i="2" s="1"/>
  <c r="AG1668" i="2" a="1"/>
  <c r="AG1668" i="2" s="1"/>
  <c r="AE1671" i="2" a="1"/>
  <c r="AE1671" i="2" s="1"/>
  <c r="AH1671" i="2" a="1"/>
  <c r="AH1671" i="2" s="1"/>
  <c r="X1670" i="2" a="1"/>
  <c r="X1670" i="2" s="1"/>
  <c r="X1668" i="2" a="1"/>
  <c r="X1668" i="2" s="1"/>
  <c r="AD1671" i="2" a="1"/>
  <c r="AD1671" i="2" s="1"/>
  <c r="AB1670" i="2" a="1"/>
  <c r="AB1670" i="2" s="1"/>
  <c r="AB1671" i="2" a="1"/>
  <c r="AB1671" i="2" s="1"/>
  <c r="AJ1669" i="2" a="1"/>
  <c r="AJ1669" i="2" s="1"/>
  <c r="Y1670" i="2" a="1"/>
  <c r="Y1670" i="2" s="1"/>
  <c r="Z1667" i="2" a="1"/>
  <c r="Z1667" i="2" s="1"/>
  <c r="AH1663" i="2" a="1"/>
  <c r="AH1663" i="2" s="1"/>
  <c r="Y1667" i="2" a="1"/>
  <c r="Y1667" i="2" s="1"/>
  <c r="AI1666" i="2" a="1"/>
  <c r="AI1666" i="2" s="1"/>
  <c r="AD1666" i="2" a="1"/>
  <c r="AD1666" i="2" s="1"/>
  <c r="AI1664" i="2" a="1"/>
  <c r="AI1664" i="2" s="1"/>
  <c r="X1664" i="2" a="1"/>
  <c r="X1664" i="2" s="1"/>
  <c r="AJ1663" i="2" a="1"/>
  <c r="AJ1663" i="2" s="1"/>
  <c r="AG1663" i="2" a="1"/>
  <c r="AG1663" i="2" s="1"/>
  <c r="AC1664" i="2" a="1"/>
  <c r="AC1664" i="2" s="1"/>
  <c r="W1667" i="2" a="1"/>
  <c r="W1667" i="2" s="1"/>
  <c r="AH1665" i="2" a="1"/>
  <c r="AH1665" i="2" s="1"/>
  <c r="AA1665" i="2" a="1"/>
  <c r="AA1665" i="2" s="1"/>
  <c r="AE1663" i="2" a="1"/>
  <c r="AE1663" i="2" s="1"/>
  <c r="Z1666" i="2" a="1"/>
  <c r="Z1666" i="2" s="1"/>
  <c r="AC1666" i="2" a="1"/>
  <c r="AC1666" i="2" s="1"/>
  <c r="X1667" i="2" a="1"/>
  <c r="X1667" i="2" s="1"/>
  <c r="Z1664" i="2" a="1"/>
  <c r="Z1664" i="2" s="1"/>
  <c r="AC1665" i="2" a="1"/>
  <c r="AC1665" i="2" s="1"/>
  <c r="AJ1666" i="2" a="1"/>
  <c r="AJ1666" i="2" s="1"/>
  <c r="AH1666" i="2" a="1"/>
  <c r="AH1666" i="2" s="1"/>
  <c r="AF1666" i="2" a="1"/>
  <c r="AF1666" i="2" s="1"/>
  <c r="AG1665" i="2" a="1"/>
  <c r="AG1665" i="2" s="1"/>
  <c r="AF1663" i="2" a="1"/>
  <c r="AF1663" i="2" s="1"/>
  <c r="AJ1665" i="2" a="1"/>
  <c r="AJ1665" i="2" s="1"/>
  <c r="AA1666" i="2" a="1"/>
  <c r="AA1666" i="2" s="1"/>
  <c r="W1666" i="2" a="1"/>
  <c r="W1666" i="2" s="1"/>
  <c r="AJ1664" i="2" a="1"/>
  <c r="AJ1664" i="2" s="1"/>
  <c r="X1665" i="2" a="1"/>
  <c r="X1665" i="2" s="1"/>
  <c r="Y1664" i="2" a="1"/>
  <c r="Y1664" i="2" s="1"/>
  <c r="AH1664" i="2" a="1"/>
  <c r="AH1664" i="2" s="1"/>
  <c r="AB1666" i="2" a="1"/>
  <c r="AB1666" i="2" s="1"/>
  <c r="AB1665" i="2" a="1"/>
  <c r="AB1665" i="2" s="1"/>
  <c r="Y1665" i="2" a="1"/>
  <c r="Y1665" i="2" s="1"/>
  <c r="AI1784" i="2" a="1"/>
  <c r="AI1784" i="2" s="1"/>
  <c r="W1668" i="2" a="1"/>
  <c r="W1668" i="2" s="1"/>
  <c r="AJ1667" i="2" a="1"/>
  <c r="AJ1667" i="2" s="1"/>
  <c r="AG1664" i="2" a="1"/>
  <c r="AG1664" i="2" s="1"/>
  <c r="AI1667" i="2" a="1"/>
  <c r="AI1667" i="2" s="1"/>
  <c r="AH1667" i="2" a="1"/>
  <c r="AH1667" i="2" s="1"/>
  <c r="AE1666" i="2" a="1"/>
  <c r="AE1666" i="2" s="1"/>
  <c r="AG1667" i="2" a="1"/>
  <c r="AG1667" i="2" s="1"/>
  <c r="AA1667" i="2" a="1"/>
  <c r="AA1667" i="2" s="1"/>
  <c r="AF1664" i="2" a="1"/>
  <c r="AF1664" i="2" s="1"/>
  <c r="AF1667" i="2" a="1"/>
  <c r="AF1667" i="2" s="1"/>
  <c r="AI1663" i="2" a="1"/>
  <c r="AI1663" i="2" s="1"/>
  <c r="Z1665" i="2" a="1"/>
  <c r="Z1665" i="2" s="1"/>
  <c r="AF1665" i="2" a="1"/>
  <c r="AF1665" i="2" s="1"/>
  <c r="AE1664" i="2" a="1"/>
  <c r="AE1664" i="2" s="1"/>
  <c r="AE1667" i="2" a="1"/>
  <c r="AE1667" i="2" s="1"/>
  <c r="X1666" i="2" a="1"/>
  <c r="X1666" i="2" s="1"/>
  <c r="W1665" i="2" a="1"/>
  <c r="W1665" i="2" s="1"/>
  <c r="AD1664" i="2" a="1"/>
  <c r="AD1664" i="2" s="1"/>
  <c r="W1664" i="2" a="1"/>
  <c r="W1664" i="2" s="1"/>
  <c r="AD1667" i="2" a="1"/>
  <c r="AD1667" i="2" s="1"/>
  <c r="AB1664" i="2" a="1"/>
  <c r="AB1664" i="2" s="1"/>
  <c r="AG1666" i="2" a="1"/>
  <c r="AG1666" i="2" s="1"/>
  <c r="AI1665" i="2" a="1"/>
  <c r="AI1665" i="2" s="1"/>
  <c r="AB1667" i="2" a="1"/>
  <c r="AB1667" i="2" s="1"/>
  <c r="Y1666" i="2" a="1"/>
  <c r="Y1666" i="2" s="1"/>
  <c r="AE1665" i="2" a="1"/>
  <c r="AE1665" i="2" s="1"/>
  <c r="AD1665" i="2" a="1"/>
  <c r="AD1665" i="2" s="1"/>
  <c r="AA1664" i="2" a="1"/>
  <c r="AA1664" i="2" s="1"/>
  <c r="AC1667" i="2" a="1"/>
  <c r="AC1667" i="2" s="1"/>
  <c r="AD1663" i="2" a="1"/>
  <c r="AD1663" i="2" s="1"/>
  <c r="AE1659" i="2" a="1"/>
  <c r="AE1659" i="2" s="1"/>
  <c r="W1663" i="2" a="1"/>
  <c r="W1663" i="2" s="1"/>
  <c r="AG1662" i="2" a="1"/>
  <c r="AG1662" i="2" s="1"/>
  <c r="X1662" i="2" a="1"/>
  <c r="X1662" i="2" s="1"/>
  <c r="AB1660" i="2" a="1"/>
  <c r="AB1660" i="2" s="1"/>
  <c r="AA1660" i="2" a="1"/>
  <c r="AA1660" i="2" s="1"/>
  <c r="AC1660" i="2" a="1"/>
  <c r="AC1660" i="2" s="1"/>
  <c r="AD1659" i="2" a="1"/>
  <c r="AD1659" i="2" s="1"/>
  <c r="AH1661" i="2" a="1"/>
  <c r="AH1661" i="2" s="1"/>
  <c r="AI1660" i="2" a="1"/>
  <c r="AI1660" i="2" s="1"/>
  <c r="X1663" i="2" a="1"/>
  <c r="X1663" i="2" s="1"/>
  <c r="AD1661" i="2" a="1"/>
  <c r="AD1661" i="2" s="1"/>
  <c r="AB1659" i="2" a="1"/>
  <c r="AB1659" i="2" s="1"/>
  <c r="AE1662" i="2" a="1"/>
  <c r="AE1662" i="2" s="1"/>
  <c r="Y1662" i="2" a="1"/>
  <c r="Y1662" i="2" s="1"/>
  <c r="AI1662" i="2" a="1"/>
  <c r="AI1662" i="2" s="1"/>
  <c r="AA1662" i="2" a="1"/>
  <c r="AA1662" i="2" s="1"/>
  <c r="X1660" i="2" a="1"/>
  <c r="X1660" i="2" s="1"/>
  <c r="AJ1661" i="2" a="1"/>
  <c r="AJ1661" i="2" s="1"/>
  <c r="AC1661" i="2" a="1"/>
  <c r="AC1661" i="2" s="1"/>
  <c r="AF1660" i="2" a="1"/>
  <c r="AF1660" i="2" s="1"/>
  <c r="AE1660" i="2" a="1"/>
  <c r="AE1660" i="2" s="1"/>
  <c r="AC1659" i="2" a="1"/>
  <c r="AC1659" i="2" s="1"/>
  <c r="AF1661" i="2" a="1"/>
  <c r="AF1661" i="2" s="1"/>
  <c r="AG1661" i="2" a="1"/>
  <c r="AG1661" i="2" s="1"/>
  <c r="Y1661" i="2" a="1"/>
  <c r="Y1661" i="2" s="1"/>
  <c r="AH1659" i="2" a="1"/>
  <c r="AH1659" i="2" s="1"/>
  <c r="AC1663" i="2" a="1"/>
  <c r="AC1663" i="2" s="1"/>
  <c r="X1661" i="2" a="1"/>
  <c r="X1661" i="2" s="1"/>
  <c r="Y1660" i="2" a="1"/>
  <c r="Y1660" i="2" s="1"/>
  <c r="AG1659" i="2" a="1"/>
  <c r="AG1659" i="2" s="1"/>
  <c r="Z1661" i="2" a="1"/>
  <c r="Z1661" i="2" s="1"/>
  <c r="Z1660" i="2" a="1"/>
  <c r="Z1660" i="2" s="1"/>
  <c r="AI1659" i="2" a="1"/>
  <c r="AI1659" i="2" s="1"/>
  <c r="X1659" i="2" a="1"/>
  <c r="X1659" i="2" s="1"/>
  <c r="AB1663" i="2" a="1"/>
  <c r="AB1663" i="2" s="1"/>
  <c r="AA1663" i="2" a="1"/>
  <c r="AA1663" i="2" s="1"/>
  <c r="Y1659" i="2" a="1"/>
  <c r="Y1659" i="2" s="1"/>
  <c r="Z1663" i="2" a="1"/>
  <c r="Z1663" i="2" s="1"/>
  <c r="Y1663" i="2" a="1"/>
  <c r="Y1663" i="2" s="1"/>
  <c r="AH1662" i="2" a="1"/>
  <c r="AH1662" i="2" s="1"/>
  <c r="AC1662" i="2" a="1"/>
  <c r="AC1662" i="2" s="1"/>
  <c r="AG1660" i="2" a="1"/>
  <c r="AG1660" i="2" s="1"/>
  <c r="AI1661" i="2" a="1"/>
  <c r="AI1661" i="2" s="1"/>
  <c r="AB1661" i="2" a="1"/>
  <c r="AB1661" i="2" s="1"/>
  <c r="AJ1660" i="2" a="1"/>
  <c r="AJ1660" i="2" s="1"/>
  <c r="AD1660" i="2" a="1"/>
  <c r="AD1660" i="2" s="1"/>
  <c r="Z1659" i="2" a="1"/>
  <c r="Z1659" i="2" s="1"/>
  <c r="AA1661" i="2" a="1"/>
  <c r="AA1661" i="2" s="1"/>
  <c r="AJ1659" i="2" a="1"/>
  <c r="AJ1659" i="2" s="1"/>
  <c r="AJ1662" i="2" a="1"/>
  <c r="AJ1662" i="2" s="1"/>
  <c r="AF1662" i="2" a="1"/>
  <c r="AF1662" i="2" s="1"/>
  <c r="AB1662" i="2" a="1"/>
  <c r="AB1662" i="2" s="1"/>
  <c r="AA1659" i="2" a="1"/>
  <c r="AA1659" i="2" s="1"/>
  <c r="W1662" i="2" a="1"/>
  <c r="W1662" i="2" s="1"/>
  <c r="AE1661" i="2" a="1"/>
  <c r="AE1661" i="2" s="1"/>
  <c r="W1660" i="2" a="1"/>
  <c r="W1660" i="2" s="1"/>
  <c r="Z1662" i="2" a="1"/>
  <c r="Z1662" i="2" s="1"/>
  <c r="AH1660" i="2" a="1"/>
  <c r="AH1660" i="2" s="1"/>
  <c r="AD1662" i="2" a="1"/>
  <c r="AD1662" i="2" s="1"/>
  <c r="W1661" i="2" a="1"/>
  <c r="W1661" i="2" s="1"/>
  <c r="AF1659" i="2" a="1"/>
  <c r="AF1659" i="2" s="1"/>
  <c r="AC1786" i="2" a="1"/>
  <c r="AC1786" i="2" s="1"/>
  <c r="Z1655" i="2" a="1"/>
  <c r="Z1655" i="2" s="1"/>
  <c r="AG1654" i="2" a="1"/>
  <c r="AG1654" i="2" s="1"/>
  <c r="AH1784" i="2" a="1"/>
  <c r="AH1784" i="2" s="1"/>
  <c r="W1659" i="2" a="1"/>
  <c r="W1659" i="2" s="1"/>
  <c r="AJ1658" i="2" a="1"/>
  <c r="AJ1658" i="2" s="1"/>
  <c r="AI1658" i="2" a="1"/>
  <c r="AI1658" i="2" s="1"/>
  <c r="AA1657" i="2" a="1"/>
  <c r="AA1657" i="2" s="1"/>
  <c r="Y1657" i="2" a="1"/>
  <c r="Y1657" i="2" s="1"/>
  <c r="Y1655" i="2" a="1"/>
  <c r="Y1655" i="2" s="1"/>
  <c r="AH1658" i="2" a="1"/>
  <c r="AH1658" i="2" s="1"/>
  <c r="AJ1657" i="2" a="1"/>
  <c r="AJ1657" i="2" s="1"/>
  <c r="W1657" i="2" a="1"/>
  <c r="W1657" i="2" s="1"/>
  <c r="AC1655" i="2" a="1"/>
  <c r="AC1655" i="2" s="1"/>
  <c r="W1655" i="2" a="1"/>
  <c r="W1655" i="2" s="1"/>
  <c r="AF1657" i="2" a="1"/>
  <c r="AF1657" i="2" s="1"/>
  <c r="AC1657" i="2" a="1"/>
  <c r="AC1657" i="2" s="1"/>
  <c r="Y1656" i="2" a="1"/>
  <c r="Y1656" i="2" s="1"/>
  <c r="W1656" i="2" a="1"/>
  <c r="W1656" i="2" s="1"/>
  <c r="AE1655" i="2" a="1"/>
  <c r="AE1655" i="2" s="1"/>
  <c r="AG1657" i="2" a="1"/>
  <c r="AG1657" i="2" s="1"/>
  <c r="AE1657" i="2" a="1"/>
  <c r="AE1657" i="2" s="1"/>
  <c r="AC1656" i="2" a="1"/>
  <c r="AC1656" i="2" s="1"/>
  <c r="AH1655" i="2" a="1"/>
  <c r="AH1655" i="2" s="1"/>
  <c r="X1655" i="2" a="1"/>
  <c r="X1655" i="2" s="1"/>
  <c r="AG1658" i="2" a="1"/>
  <c r="AG1658" i="2" s="1"/>
  <c r="AI1655" i="2" a="1"/>
  <c r="AI1655" i="2" s="1"/>
  <c r="AD1658" i="2" a="1"/>
  <c r="AD1658" i="2" s="1"/>
  <c r="AI1657" i="2" a="1"/>
  <c r="AI1657" i="2" s="1"/>
  <c r="AF1658" i="2" a="1"/>
  <c r="AF1658" i="2" s="1"/>
  <c r="AB1657" i="2" a="1"/>
  <c r="AB1657" i="2" s="1"/>
  <c r="AE1658" i="2" a="1"/>
  <c r="AE1658" i="2" s="1"/>
  <c r="AC1658" i="2" a="1"/>
  <c r="AC1658" i="2" s="1"/>
  <c r="X1657" i="2" a="1"/>
  <c r="X1657" i="2" s="1"/>
  <c r="AI1654" i="2" a="1"/>
  <c r="AI1654" i="2" s="1"/>
  <c r="AA1658" i="2" a="1"/>
  <c r="AA1658" i="2" s="1"/>
  <c r="Z1658" i="2" a="1"/>
  <c r="Z1658" i="2" s="1"/>
  <c r="Y1658" i="2" a="1"/>
  <c r="Y1658" i="2" s="1"/>
  <c r="X1658" i="2" a="1"/>
  <c r="X1658" i="2" s="1"/>
  <c r="W1658" i="2" a="1"/>
  <c r="W1658" i="2" s="1"/>
  <c r="X1656" i="2" a="1"/>
  <c r="X1656" i="2" s="1"/>
  <c r="Z1657" i="2" a="1"/>
  <c r="Z1657" i="2" s="1"/>
  <c r="AA1656" i="2" a="1"/>
  <c r="AA1656" i="2" s="1"/>
  <c r="AJ1655" i="2" a="1"/>
  <c r="AJ1655" i="2" s="1"/>
  <c r="AD1656" i="2" a="1"/>
  <c r="AD1656" i="2" s="1"/>
  <c r="AJ1656" i="2" a="1"/>
  <c r="AJ1656" i="2" s="1"/>
  <c r="AA1655" i="2" a="1"/>
  <c r="AA1655" i="2" s="1"/>
  <c r="AH1656" i="2" a="1"/>
  <c r="AH1656" i="2" s="1"/>
  <c r="AB1655" i="2" a="1"/>
  <c r="AB1655" i="2" s="1"/>
  <c r="AJ1654" i="2" a="1"/>
  <c r="AJ1654" i="2" s="1"/>
  <c r="AH1654" i="2" a="1"/>
  <c r="AH1654" i="2" s="1"/>
  <c r="AF1656" i="2" a="1"/>
  <c r="AF1656" i="2" s="1"/>
  <c r="AE1656" i="2" a="1"/>
  <c r="AE1656" i="2" s="1"/>
  <c r="AE1654" i="2" a="1"/>
  <c r="AE1654" i="2" s="1"/>
  <c r="AB1656" i="2" a="1"/>
  <c r="AB1656" i="2" s="1"/>
  <c r="AH1657" i="2" a="1"/>
  <c r="AH1657" i="2" s="1"/>
  <c r="AI1656" i="2" a="1"/>
  <c r="AI1656" i="2" s="1"/>
  <c r="Z1656" i="2" a="1"/>
  <c r="Z1656" i="2" s="1"/>
  <c r="AF1655" i="2" a="1"/>
  <c r="AF1655" i="2" s="1"/>
  <c r="AF1654" i="2" a="1"/>
  <c r="AF1654" i="2" s="1"/>
  <c r="AB1658" i="2" a="1"/>
  <c r="AB1658" i="2" s="1"/>
  <c r="AD1657" i="2" a="1"/>
  <c r="AD1657" i="2" s="1"/>
  <c r="AG1656" i="2" a="1"/>
  <c r="AG1656" i="2" s="1"/>
  <c r="AD1655" i="2" a="1"/>
  <c r="AD1655" i="2" s="1"/>
  <c r="AG1655" i="2" a="1"/>
  <c r="AG1655" i="2" s="1"/>
  <c r="AF1651" i="2" a="1"/>
  <c r="AF1651" i="2" s="1"/>
  <c r="AC1650" i="2" a="1"/>
  <c r="AC1650" i="2" s="1"/>
  <c r="AI1785" i="2" a="1"/>
  <c r="AI1785" i="2" s="1"/>
  <c r="AD1654" i="2" a="1"/>
  <c r="AD1654" i="2" s="1"/>
  <c r="X1654" i="2" a="1"/>
  <c r="X1654" i="2" s="1"/>
  <c r="AJ1653" i="2" a="1"/>
  <c r="AJ1653" i="2" s="1"/>
  <c r="AC1651" i="2" a="1"/>
  <c r="AC1651" i="2" s="1"/>
  <c r="AB1653" i="2" a="1"/>
  <c r="AB1653" i="2" s="1"/>
  <c r="AH1652" i="2" a="1"/>
  <c r="AH1652" i="2" s="1"/>
  <c r="AC1654" i="2" a="1"/>
  <c r="AC1654" i="2" s="1"/>
  <c r="AB1654" i="2" a="1"/>
  <c r="AB1654" i="2" s="1"/>
  <c r="Z1654" i="2" a="1"/>
  <c r="Z1654" i="2" s="1"/>
  <c r="AF1652" i="2" a="1"/>
  <c r="AF1652" i="2" s="1"/>
  <c r="AA1652" i="2" a="1"/>
  <c r="AA1652" i="2" s="1"/>
  <c r="AI1651" i="2" a="1"/>
  <c r="AI1651" i="2" s="1"/>
  <c r="AF1650" i="2" a="1"/>
  <c r="AF1650" i="2" s="1"/>
  <c r="AA1654" i="2" a="1"/>
  <c r="AA1654" i="2" s="1"/>
  <c r="Z1651" i="2" a="1"/>
  <c r="Z1651" i="2" s="1"/>
  <c r="X1653" i="2" a="1"/>
  <c r="X1653" i="2" s="1"/>
  <c r="AI1653" i="2" a="1"/>
  <c r="AI1653" i="2" s="1"/>
  <c r="AG1652" i="2" a="1"/>
  <c r="AG1652" i="2" s="1"/>
  <c r="AG1651" i="2" a="1"/>
  <c r="AG1651" i="2" s="1"/>
  <c r="W1651" i="2" a="1"/>
  <c r="W1651" i="2" s="1"/>
  <c r="AD1650" i="2" a="1"/>
  <c r="AD1650" i="2" s="1"/>
  <c r="AG1653" i="2" a="1"/>
  <c r="AG1653" i="2" s="1"/>
  <c r="AA1653" i="2" a="1"/>
  <c r="AA1653" i="2" s="1"/>
  <c r="AJ1650" i="2" a="1"/>
  <c r="AJ1650" i="2" s="1"/>
  <c r="Z1653" i="2" a="1"/>
  <c r="Z1653" i="2" s="1"/>
  <c r="AI1652" i="2" a="1"/>
  <c r="AI1652" i="2" s="1"/>
  <c r="Y1651" i="2" a="1"/>
  <c r="Y1651" i="2" s="1"/>
  <c r="Y1653" i="2" a="1"/>
  <c r="Y1653" i="2" s="1"/>
  <c r="AE1651" i="2" a="1"/>
  <c r="AE1651" i="2" s="1"/>
  <c r="AB1650" i="2" a="1"/>
  <c r="AB1650" i="2" s="1"/>
  <c r="AB1652" i="2" a="1"/>
  <c r="AB1652" i="2" s="1"/>
  <c r="AJ1651" i="2" a="1"/>
  <c r="AJ1651" i="2" s="1"/>
  <c r="AD1651" i="2" a="1"/>
  <c r="AD1651" i="2" s="1"/>
  <c r="Y1654" i="2" a="1"/>
  <c r="Y1654" i="2" s="1"/>
  <c r="AH1650" i="2" a="1"/>
  <c r="AH1650" i="2" s="1"/>
  <c r="W1654" i="2" a="1"/>
  <c r="W1654" i="2" s="1"/>
  <c r="AF1653" i="2" a="1"/>
  <c r="AF1653" i="2" s="1"/>
  <c r="AD1653" i="2" a="1"/>
  <c r="AD1653" i="2" s="1"/>
  <c r="AC1653" i="2" a="1"/>
  <c r="AC1653" i="2" s="1"/>
  <c r="AJ1652" i="2" a="1"/>
  <c r="AJ1652" i="2" s="1"/>
  <c r="AG1650" i="2" a="1"/>
  <c r="AG1650" i="2" s="1"/>
  <c r="AD1652" i="2" a="1"/>
  <c r="AD1652" i="2" s="1"/>
  <c r="Z1652" i="2" a="1"/>
  <c r="Z1652" i="2" s="1"/>
  <c r="X1652" i="2" a="1"/>
  <c r="X1652" i="2" s="1"/>
  <c r="X1651" i="2" a="1"/>
  <c r="X1651" i="2" s="1"/>
  <c r="Y1650" i="2" a="1"/>
  <c r="Y1650" i="2" s="1"/>
  <c r="AH1653" i="2" a="1"/>
  <c r="AH1653" i="2" s="1"/>
  <c r="AE1653" i="2" a="1"/>
  <c r="AE1653" i="2" s="1"/>
  <c r="AC1652" i="2" a="1"/>
  <c r="AC1652" i="2" s="1"/>
  <c r="X1650" i="2" a="1"/>
  <c r="X1650" i="2" s="1"/>
  <c r="AE1652" i="2" a="1"/>
  <c r="AE1652" i="2" s="1"/>
  <c r="Z1650" i="2" a="1"/>
  <c r="Z1650" i="2" s="1"/>
  <c r="W1653" i="2" a="1"/>
  <c r="W1653" i="2" s="1"/>
  <c r="Y1652" i="2" a="1"/>
  <c r="Y1652" i="2" s="1"/>
  <c r="AH1651" i="2" a="1"/>
  <c r="AH1651" i="2" s="1"/>
  <c r="AB1651" i="2" a="1"/>
  <c r="AB1651" i="2" s="1"/>
  <c r="AE1650" i="2" a="1"/>
  <c r="AE1650" i="2" s="1"/>
  <c r="W1652" i="2" a="1"/>
  <c r="W1652" i="2" s="1"/>
  <c r="AA1651" i="2" a="1"/>
  <c r="AA1651" i="2" s="1"/>
  <c r="AI1650" i="2" a="1"/>
  <c r="AI1650" i="2" s="1"/>
  <c r="AA1650" i="2" a="1"/>
  <c r="AA1650" i="2" s="1"/>
  <c r="W1650" i="2" a="1"/>
  <c r="W1650" i="2" s="1"/>
  <c r="AH1645" i="2" a="1"/>
  <c r="AH1645" i="2" s="1"/>
  <c r="AF1649" i="2" a="1"/>
  <c r="AF1649" i="2" s="1"/>
  <c r="AD1649" i="2" a="1"/>
  <c r="AD1649" i="2" s="1"/>
  <c r="AD1647" i="2" a="1"/>
  <c r="AD1647" i="2" s="1"/>
  <c r="AD1648" i="2" a="1"/>
  <c r="AD1648" i="2" s="1"/>
  <c r="AE1648" i="2" a="1"/>
  <c r="AE1648" i="2" s="1"/>
  <c r="AA1647" i="2" a="1"/>
  <c r="AA1647" i="2" s="1"/>
  <c r="AE1646" i="2" a="1"/>
  <c r="AE1646" i="2" s="1"/>
  <c r="AA1646" i="2" a="1"/>
  <c r="AA1646" i="2" s="1"/>
  <c r="AB1647" i="2" a="1"/>
  <c r="AB1647" i="2" s="1"/>
  <c r="Y1648" i="2" a="1"/>
  <c r="Y1648" i="2" s="1"/>
  <c r="AE1647" i="2" a="1"/>
  <c r="AE1647" i="2" s="1"/>
  <c r="Y1647" i="2" a="1"/>
  <c r="Y1647" i="2" s="1"/>
  <c r="AJ1647" i="2" a="1"/>
  <c r="AJ1647" i="2" s="1"/>
  <c r="AI1646" i="2" a="1"/>
  <c r="AI1646" i="2" s="1"/>
  <c r="AC1649" i="2" a="1"/>
  <c r="AC1649" i="2" s="1"/>
  <c r="AB1649" i="2" a="1"/>
  <c r="AB1649" i="2" s="1"/>
  <c r="Z1648" i="2" a="1"/>
  <c r="Z1648" i="2" s="1"/>
  <c r="AF1648" i="2" a="1"/>
  <c r="AF1648" i="2" s="1"/>
  <c r="Y1649" i="2" a="1"/>
  <c r="Y1649" i="2" s="1"/>
  <c r="W1649" i="2" a="1"/>
  <c r="W1649" i="2" s="1"/>
  <c r="AB1646" i="2" a="1"/>
  <c r="AB1646" i="2" s="1"/>
  <c r="Z1647" i="2" a="1"/>
  <c r="Z1647" i="2" s="1"/>
  <c r="AG1647" i="2" a="1"/>
  <c r="AG1647" i="2" s="1"/>
  <c r="AH1646" i="2" a="1"/>
  <c r="AH1646" i="2" s="1"/>
  <c r="AJ1648" i="2" a="1"/>
  <c r="AJ1648" i="2" s="1"/>
  <c r="W1648" i="2" a="1"/>
  <c r="W1648" i="2" s="1"/>
  <c r="Y1646" i="2" a="1"/>
  <c r="Y1646" i="2" s="1"/>
  <c r="AI1648" i="2" a="1"/>
  <c r="AI1648" i="2" s="1"/>
  <c r="AA1648" i="2" a="1"/>
  <c r="AA1648" i="2" s="1"/>
  <c r="X1648" i="2" a="1"/>
  <c r="X1648" i="2" s="1"/>
  <c r="Z1646" i="2" a="1"/>
  <c r="Z1646" i="2" s="1"/>
  <c r="AJ1645" i="2" a="1"/>
  <c r="AJ1645" i="2" s="1"/>
  <c r="AG1646" i="2" a="1"/>
  <c r="AG1646" i="2" s="1"/>
  <c r="AB1648" i="2" a="1"/>
  <c r="AB1648" i="2" s="1"/>
  <c r="AG1784" i="2" a="1"/>
  <c r="AG1784" i="2" s="1"/>
  <c r="AJ1649" i="2" a="1"/>
  <c r="AJ1649" i="2" s="1"/>
  <c r="AD1646" i="2" a="1"/>
  <c r="AD1646" i="2" s="1"/>
  <c r="AI1649" i="2" a="1"/>
  <c r="AI1649" i="2" s="1"/>
  <c r="AH1649" i="2" a="1"/>
  <c r="AH1649" i="2" s="1"/>
  <c r="AG1649" i="2" a="1"/>
  <c r="AG1649" i="2" s="1"/>
  <c r="Z1649" i="2" a="1"/>
  <c r="Z1649" i="2" s="1"/>
  <c r="AG1648" i="2" a="1"/>
  <c r="AG1648" i="2" s="1"/>
  <c r="AC1648" i="2" a="1"/>
  <c r="AC1648" i="2" s="1"/>
  <c r="AH1647" i="2" a="1"/>
  <c r="AH1647" i="2" s="1"/>
  <c r="AC1647" i="2" a="1"/>
  <c r="AC1647" i="2" s="1"/>
  <c r="W1647" i="2" a="1"/>
  <c r="W1647" i="2" s="1"/>
  <c r="W1646" i="2" a="1"/>
  <c r="W1646" i="2" s="1"/>
  <c r="AI1645" i="2" a="1"/>
  <c r="AI1645" i="2" s="1"/>
  <c r="AJ1646" i="2" a="1"/>
  <c r="AJ1646" i="2" s="1"/>
  <c r="X1646" i="2" a="1"/>
  <c r="X1646" i="2" s="1"/>
  <c r="AF1645" i="2" a="1"/>
  <c r="AF1645" i="2" s="1"/>
  <c r="AE1649" i="2" a="1"/>
  <c r="AE1649" i="2" s="1"/>
  <c r="X1647" i="2" a="1"/>
  <c r="X1647" i="2" s="1"/>
  <c r="X1649" i="2" a="1"/>
  <c r="X1649" i="2" s="1"/>
  <c r="AF1647" i="2" a="1"/>
  <c r="AF1647" i="2" s="1"/>
  <c r="AG1645" i="2" a="1"/>
  <c r="AG1645" i="2" s="1"/>
  <c r="AE1645" i="2" a="1"/>
  <c r="AE1645" i="2" s="1"/>
  <c r="AI1647" i="2" a="1"/>
  <c r="AI1647" i="2" s="1"/>
  <c r="AC1646" i="2" a="1"/>
  <c r="AC1646" i="2" s="1"/>
  <c r="AA1649" i="2" a="1"/>
  <c r="AA1649" i="2" s="1"/>
  <c r="AH1648" i="2" a="1"/>
  <c r="AH1648" i="2" s="1"/>
  <c r="AF1646" i="2" a="1"/>
  <c r="AF1646" i="2" s="1"/>
  <c r="AF1641" i="2" a="1"/>
  <c r="AF1641" i="2" s="1"/>
  <c r="Y1645" i="2" a="1"/>
  <c r="Y1645" i="2" s="1"/>
  <c r="AG1642" i="2" a="1"/>
  <c r="AG1642" i="2" s="1"/>
  <c r="X1645" i="2" a="1"/>
  <c r="X1645" i="2" s="1"/>
  <c r="Y1644" i="2" a="1"/>
  <c r="Y1644" i="2" s="1"/>
  <c r="AI1641" i="2" a="1"/>
  <c r="AI1641" i="2" s="1"/>
  <c r="AH1642" i="2" a="1"/>
  <c r="AH1642" i="2" s="1"/>
  <c r="W1645" i="2" a="1"/>
  <c r="W1645" i="2" s="1"/>
  <c r="AJ1644" i="2" a="1"/>
  <c r="AJ1644" i="2" s="1"/>
  <c r="AC1642" i="2" a="1"/>
  <c r="AC1642" i="2" s="1"/>
  <c r="Z1642" i="2" a="1"/>
  <c r="Z1642" i="2" s="1"/>
  <c r="AH1644" i="2" a="1"/>
  <c r="AH1644" i="2" s="1"/>
  <c r="AB1641" i="2" a="1"/>
  <c r="AB1641" i="2" s="1"/>
  <c r="AD1643" i="2" a="1"/>
  <c r="AD1643" i="2" s="1"/>
  <c r="AJ1643" i="2" a="1"/>
  <c r="AJ1643" i="2" s="1"/>
  <c r="X1641" i="2" a="1"/>
  <c r="X1641" i="2" s="1"/>
  <c r="AF1643" i="2" a="1"/>
  <c r="AF1643" i="2" s="1"/>
  <c r="Z1643" i="2" a="1"/>
  <c r="Z1643" i="2" s="1"/>
  <c r="AA1641" i="2" a="1"/>
  <c r="AA1641" i="2" s="1"/>
  <c r="AE1644" i="2" a="1"/>
  <c r="AE1644" i="2" s="1"/>
  <c r="AE1642" i="2" a="1"/>
  <c r="AE1642" i="2" s="1"/>
  <c r="AD1644" i="2" a="1"/>
  <c r="AD1644" i="2" s="1"/>
  <c r="AI1643" i="2" a="1"/>
  <c r="AI1643" i="2" s="1"/>
  <c r="AJ1642" i="2" a="1"/>
  <c r="AJ1642" i="2" s="1"/>
  <c r="AD1641" i="2" a="1"/>
  <c r="AD1641" i="2" s="1"/>
  <c r="AA1645" i="2" a="1"/>
  <c r="AA1645" i="2" s="1"/>
  <c r="AE1641" i="2" a="1"/>
  <c r="AE1641" i="2" s="1"/>
  <c r="AI1644" i="2" a="1"/>
  <c r="AI1644" i="2" s="1"/>
  <c r="Z1644" i="2" a="1"/>
  <c r="Z1644" i="2" s="1"/>
  <c r="AA1643" i="2" a="1"/>
  <c r="AA1643" i="2" s="1"/>
  <c r="AJ1641" i="2" a="1"/>
  <c r="AJ1641" i="2" s="1"/>
  <c r="W1642" i="2" a="1"/>
  <c r="W1642" i="2" s="1"/>
  <c r="AB1643" i="2" a="1"/>
  <c r="AB1643" i="2" s="1"/>
  <c r="AH1641" i="2" a="1"/>
  <c r="AH1641" i="2" s="1"/>
  <c r="X1642" i="2" a="1"/>
  <c r="X1642" i="2" s="1"/>
  <c r="Y1641" i="2" a="1"/>
  <c r="Y1641" i="2" s="1"/>
  <c r="AI1642" i="2" a="1"/>
  <c r="AI1642" i="2" s="1"/>
  <c r="AJ1786" i="2" a="1"/>
  <c r="AJ1786" i="2" s="1"/>
  <c r="Z1641" i="2" a="1"/>
  <c r="Z1641" i="2" s="1"/>
  <c r="AD1645" i="2" a="1"/>
  <c r="AD1645" i="2" s="1"/>
  <c r="AC1645" i="2" a="1"/>
  <c r="AC1645" i="2" s="1"/>
  <c r="AB1645" i="2" a="1"/>
  <c r="AB1645" i="2" s="1"/>
  <c r="AF1644" i="2" a="1"/>
  <c r="AF1644" i="2" s="1"/>
  <c r="AC1644" i="2" a="1"/>
  <c r="AC1644" i="2" s="1"/>
  <c r="AB1644" i="2" a="1"/>
  <c r="AB1644" i="2" s="1"/>
  <c r="X1643" i="2" a="1"/>
  <c r="X1643" i="2" s="1"/>
  <c r="W1643" i="2" a="1"/>
  <c r="W1643" i="2" s="1"/>
  <c r="AF1642" i="2" a="1"/>
  <c r="AF1642" i="2" s="1"/>
  <c r="AG1641" i="2" a="1"/>
  <c r="AG1641" i="2" s="1"/>
  <c r="AC1643" i="2" a="1"/>
  <c r="AC1643" i="2" s="1"/>
  <c r="AD1642" i="2" a="1"/>
  <c r="AD1642" i="2" s="1"/>
  <c r="AB1642" i="2" a="1"/>
  <c r="AB1642" i="2" s="1"/>
  <c r="Y1642" i="2" a="1"/>
  <c r="Y1642" i="2" s="1"/>
  <c r="Z1645" i="2" a="1"/>
  <c r="Z1645" i="2" s="1"/>
  <c r="AG1644" i="2" a="1"/>
  <c r="AG1644" i="2" s="1"/>
  <c r="AG1643" i="2" a="1"/>
  <c r="AG1643" i="2" s="1"/>
  <c r="AA1642" i="2" a="1"/>
  <c r="AA1642" i="2" s="1"/>
  <c r="AC1641" i="2" a="1"/>
  <c r="AC1641" i="2" s="1"/>
  <c r="AA1644" i="2" a="1"/>
  <c r="AA1644" i="2" s="1"/>
  <c r="X1644" i="2" a="1"/>
  <c r="X1644" i="2" s="1"/>
  <c r="W1644" i="2" a="1"/>
  <c r="W1644" i="2" s="1"/>
  <c r="AE1643" i="2" a="1"/>
  <c r="AE1643" i="2" s="1"/>
  <c r="Y1643" i="2" a="1"/>
  <c r="Y1643" i="2" s="1"/>
  <c r="AH1643" i="2" a="1"/>
  <c r="AH1643" i="2" s="1"/>
  <c r="Z1639" i="2" a="1"/>
  <c r="Z1639" i="2" s="1"/>
  <c r="AB1638" i="2" a="1"/>
  <c r="AB1638" i="2" s="1"/>
  <c r="AC1640" i="2" a="1"/>
  <c r="AC1640" i="2" s="1"/>
  <c r="AF1784" i="2" a="1"/>
  <c r="AF1784" i="2" s="1"/>
  <c r="W1641" i="2" a="1"/>
  <c r="W1641" i="2" s="1"/>
  <c r="AD1640" i="2" a="1"/>
  <c r="AD1640" i="2" s="1"/>
  <c r="AC1638" i="2" a="1"/>
  <c r="AC1638" i="2" s="1"/>
  <c r="AG1638" i="2" a="1"/>
  <c r="AG1638" i="2" s="1"/>
  <c r="AA1638" i="2" a="1"/>
  <c r="AA1638" i="2" s="1"/>
  <c r="AA1640" i="2" a="1"/>
  <c r="AA1640" i="2" s="1"/>
  <c r="W1639" i="2" a="1"/>
  <c r="W1639" i="2" s="1"/>
  <c r="AF1638" i="2" a="1"/>
  <c r="AF1638" i="2" s="1"/>
  <c r="AC1637" i="2" a="1"/>
  <c r="AC1637" i="2" s="1"/>
  <c r="Y1638" i="2" a="1"/>
  <c r="Y1638" i="2" s="1"/>
  <c r="AG1639" i="2" a="1"/>
  <c r="AG1639" i="2" s="1"/>
  <c r="AD1638" i="2" a="1"/>
  <c r="AD1638" i="2" s="1"/>
  <c r="Z1638" i="2" a="1"/>
  <c r="Z1638" i="2" s="1"/>
  <c r="Y1637" i="2" a="1"/>
  <c r="Y1637" i="2" s="1"/>
  <c r="AG1636" i="2" a="1"/>
  <c r="AG1636" i="2" s="1"/>
  <c r="AF1637" i="2" a="1"/>
  <c r="AF1637" i="2" s="1"/>
  <c r="AE1636" i="2" a="1"/>
  <c r="AE1636" i="2" s="1"/>
  <c r="AE1637" i="2" a="1"/>
  <c r="AE1637" i="2" s="1"/>
  <c r="Z1637" i="2" a="1"/>
  <c r="Z1637" i="2" s="1"/>
  <c r="AJ1636" i="2" a="1"/>
  <c r="AJ1636" i="2" s="1"/>
  <c r="X1640" i="2" a="1"/>
  <c r="X1640" i="2" s="1"/>
  <c r="AC1639" i="2" a="1"/>
  <c r="AC1639" i="2" s="1"/>
  <c r="AJ1638" i="2" a="1"/>
  <c r="AJ1638" i="2" s="1"/>
  <c r="AB1637" i="2" a="1"/>
  <c r="AB1637" i="2" s="1"/>
  <c r="AJ1640" i="2" a="1"/>
  <c r="AJ1640" i="2" s="1"/>
  <c r="Y1640" i="2" a="1"/>
  <c r="Y1640" i="2" s="1"/>
  <c r="AJ1637" i="2" a="1"/>
  <c r="AJ1637" i="2" s="1"/>
  <c r="AB1639" i="2" a="1"/>
  <c r="AB1639" i="2" s="1"/>
  <c r="AH1640" i="2" a="1"/>
  <c r="AH1640" i="2" s="1"/>
  <c r="AG1640" i="2" a="1"/>
  <c r="AG1640" i="2" s="1"/>
  <c r="AD1639" i="2" a="1"/>
  <c r="AD1639" i="2" s="1"/>
  <c r="AJ1639" i="2" a="1"/>
  <c r="AJ1639" i="2" s="1"/>
  <c r="AE1638" i="2" a="1"/>
  <c r="AE1638" i="2" s="1"/>
  <c r="AH1637" i="2" a="1"/>
  <c r="AH1637" i="2" s="1"/>
  <c r="AF1640" i="2" a="1"/>
  <c r="AF1640" i="2" s="1"/>
  <c r="AE1640" i="2" a="1"/>
  <c r="AE1640" i="2" s="1"/>
  <c r="AB1640" i="2" a="1"/>
  <c r="AB1640" i="2" s="1"/>
  <c r="Z1640" i="2" a="1"/>
  <c r="Z1640" i="2" s="1"/>
  <c r="W1640" i="2" a="1"/>
  <c r="W1640" i="2" s="1"/>
  <c r="AE1639" i="2" a="1"/>
  <c r="AE1639" i="2" s="1"/>
  <c r="AG1637" i="2" a="1"/>
  <c r="AG1637" i="2" s="1"/>
  <c r="X1639" i="2" a="1"/>
  <c r="X1639" i="2" s="1"/>
  <c r="AD1637" i="2" a="1"/>
  <c r="AD1637" i="2" s="1"/>
  <c r="AI1637" i="2" a="1"/>
  <c r="AI1637" i="2" s="1"/>
  <c r="W1638" i="2" a="1"/>
  <c r="W1638" i="2" s="1"/>
  <c r="Y1639" i="2" a="1"/>
  <c r="Y1639" i="2" s="1"/>
  <c r="AI1638" i="2" a="1"/>
  <c r="AI1638" i="2" s="1"/>
  <c r="AH1638" i="2" a="1"/>
  <c r="AH1638" i="2" s="1"/>
  <c r="X1638" i="2" a="1"/>
  <c r="X1638" i="2" s="1"/>
  <c r="X1637" i="2" a="1"/>
  <c r="X1637" i="2" s="1"/>
  <c r="AA1637" i="2" a="1"/>
  <c r="AA1637" i="2" s="1"/>
  <c r="AF1636" i="2" a="1"/>
  <c r="AF1636" i="2" s="1"/>
  <c r="AF1639" i="2" a="1"/>
  <c r="AF1639" i="2" s="1"/>
  <c r="AH1636" i="2" a="1"/>
  <c r="AH1636" i="2" s="1"/>
  <c r="AI1640" i="2" a="1"/>
  <c r="AI1640" i="2" s="1"/>
  <c r="AI1639" i="2" a="1"/>
  <c r="AI1639" i="2" s="1"/>
  <c r="W1637" i="2" a="1"/>
  <c r="W1637" i="2" s="1"/>
  <c r="AH1639" i="2" a="1"/>
  <c r="AH1639" i="2" s="1"/>
  <c r="AA1639" i="2" a="1"/>
  <c r="AA1639" i="2" s="1"/>
  <c r="AI1636" i="2" a="1"/>
  <c r="AI1636" i="2" s="1"/>
  <c r="AB1628" i="2" a="1"/>
  <c r="AB1628" i="2" s="1"/>
  <c r="Y1627" i="2" a="1"/>
  <c r="Y1627" i="2" s="1"/>
  <c r="AA1628" i="2" a="1"/>
  <c r="AA1628" i="2" s="1"/>
  <c r="AJ1627" i="2" a="1"/>
  <c r="AJ1627" i="2" s="1"/>
  <c r="AA1627" i="2" a="1"/>
  <c r="AA1627" i="2" s="1"/>
  <c r="AD1627" i="2" a="1"/>
  <c r="AD1627" i="2" s="1"/>
  <c r="AI1625" i="2" a="1"/>
  <c r="AI1625" i="2" s="1"/>
  <c r="W1626" i="2" a="1"/>
  <c r="W1626" i="2" s="1"/>
  <c r="Z1627" i="2" a="1"/>
  <c r="Z1627" i="2" s="1"/>
  <c r="AF1625" i="2" a="1"/>
  <c r="AF1625" i="2" s="1"/>
  <c r="AD1628" i="2" a="1"/>
  <c r="AD1628" i="2" s="1"/>
  <c r="AH1627" i="2" a="1"/>
  <c r="AH1627" i="2" s="1"/>
  <c r="Y1626" i="2" a="1"/>
  <c r="Y1626" i="2" s="1"/>
  <c r="Y1628" i="2" a="1"/>
  <c r="Y1628" i="2" s="1"/>
  <c r="W1628" i="2" a="1"/>
  <c r="W1628" i="2" s="1"/>
  <c r="AG1627" i="2" a="1"/>
  <c r="AG1627" i="2" s="1"/>
  <c r="AA1626" i="2" a="1"/>
  <c r="AA1626" i="2" s="1"/>
  <c r="X1627" i="2" a="1"/>
  <c r="X1627" i="2" s="1"/>
  <c r="AD1626" i="2" a="1"/>
  <c r="AD1626" i="2" s="1"/>
  <c r="AG1625" i="2" a="1"/>
  <c r="AG1625" i="2" s="1"/>
  <c r="AA1629" i="2" a="1"/>
  <c r="AA1629" i="2" s="1"/>
  <c r="AJ1626" i="2" a="1"/>
  <c r="AJ1626" i="2" s="1"/>
  <c r="AD1629" i="2" a="1"/>
  <c r="AD1629" i="2" s="1"/>
  <c r="X1628" i="2" a="1"/>
  <c r="X1628" i="2" s="1"/>
  <c r="AE1627" i="2" a="1"/>
  <c r="AE1627" i="2" s="1"/>
  <c r="W1629" i="2" a="1"/>
  <c r="W1629" i="2" s="1"/>
  <c r="W1627" i="2" a="1"/>
  <c r="W1627" i="2" s="1"/>
  <c r="AI1626" i="2" a="1"/>
  <c r="AI1626" i="2" s="1"/>
  <c r="AG1628" i="2" a="1"/>
  <c r="AG1628" i="2" s="1"/>
  <c r="AB1629" i="2" a="1"/>
  <c r="AB1629" i="2" s="1"/>
  <c r="AC1627" i="2" a="1"/>
  <c r="AC1627" i="2" s="1"/>
  <c r="AJ1635" i="2" a="1"/>
  <c r="AJ1635" i="2" s="1"/>
  <c r="AF1629" i="2" a="1"/>
  <c r="AF1629" i="2" s="1"/>
  <c r="AJ1628" i="2" a="1"/>
  <c r="AJ1628" i="2" s="1"/>
  <c r="AE1626" i="2" a="1"/>
  <c r="AE1626" i="2" s="1"/>
  <c r="AE1629" i="2" a="1"/>
  <c r="AE1629" i="2" s="1"/>
  <c r="AF1628" i="2" a="1"/>
  <c r="AF1628" i="2" s="1"/>
  <c r="X1626" i="2" a="1"/>
  <c r="X1626" i="2" s="1"/>
  <c r="AC1629" i="2" a="1"/>
  <c r="AC1629" i="2" s="1"/>
  <c r="X1629" i="2" a="1"/>
  <c r="X1629" i="2" s="1"/>
  <c r="Z1628" i="2" a="1"/>
  <c r="Z1628" i="2" s="1"/>
  <c r="AF1626" i="2" a="1"/>
  <c r="AF1626" i="2" s="1"/>
  <c r="AB1627" i="2" a="1"/>
  <c r="AB1627" i="2" s="1"/>
  <c r="Z1629" i="2" a="1"/>
  <c r="Z1629" i="2" s="1"/>
  <c r="AF1627" i="2" a="1"/>
  <c r="AF1627" i="2" s="1"/>
  <c r="AG1626" i="2" a="1"/>
  <c r="AG1626" i="2" s="1"/>
  <c r="AI1628" i="2" a="1"/>
  <c r="AI1628" i="2" s="1"/>
  <c r="AE1628" i="2" a="1"/>
  <c r="AE1628" i="2" s="1"/>
  <c r="AJ1625" i="2" a="1"/>
  <c r="AJ1625" i="2" s="1"/>
  <c r="AH1626" i="2" a="1"/>
  <c r="AH1626" i="2" s="1"/>
  <c r="AB1626" i="2" a="1"/>
  <c r="AB1626" i="2" s="1"/>
  <c r="AH1625" i="2" a="1"/>
  <c r="AH1625" i="2" s="1"/>
  <c r="Y1629" i="2" a="1"/>
  <c r="Y1629" i="2" s="1"/>
  <c r="AI1627" i="2" a="1"/>
  <c r="AI1627" i="2" s="1"/>
  <c r="AH1628" i="2" a="1"/>
  <c r="AH1628" i="2" s="1"/>
  <c r="AC1628" i="2" a="1"/>
  <c r="AC1628" i="2" s="1"/>
  <c r="AC1626" i="2" a="1"/>
  <c r="AC1626" i="2" s="1"/>
  <c r="Z1626" i="2" a="1"/>
  <c r="Z1626" i="2" s="1"/>
  <c r="AA1635" i="2" a="1"/>
  <c r="AA1635" i="2" s="1"/>
  <c r="AG1624" i="2" a="1"/>
  <c r="AG1624" i="2" s="1"/>
  <c r="AB1623" i="2" a="1"/>
  <c r="AB1623" i="2" s="1"/>
  <c r="AE1625" i="2" a="1"/>
  <c r="AE1625" i="2" s="1"/>
  <c r="AB1624" i="2" a="1"/>
  <c r="AB1624" i="2" s="1"/>
  <c r="AI1622" i="2" a="1"/>
  <c r="AI1622" i="2" s="1"/>
  <c r="AA1622" i="2" a="1"/>
  <c r="AA1622" i="2" s="1"/>
  <c r="AD1625" i="2" a="1"/>
  <c r="AD1625" i="2" s="1"/>
  <c r="AA1625" i="2" a="1"/>
  <c r="AA1625" i="2" s="1"/>
  <c r="AH1621" i="2" a="1"/>
  <c r="AH1621" i="2" s="1"/>
  <c r="AJ1621" i="2" a="1"/>
  <c r="AJ1621" i="2" s="1"/>
  <c r="AC1625" i="2" a="1"/>
  <c r="AC1625" i="2" s="1"/>
  <c r="AE1624" i="2" a="1"/>
  <c r="AE1624" i="2" s="1"/>
  <c r="AG1623" i="2" a="1"/>
  <c r="AG1623" i="2" s="1"/>
  <c r="W1624" i="2" a="1"/>
  <c r="W1624" i="2" s="1"/>
  <c r="AB1625" i="2" a="1"/>
  <c r="AB1625" i="2" s="1"/>
  <c r="Z1625" i="2" a="1"/>
  <c r="Z1625" i="2" s="1"/>
  <c r="AI1623" i="2" a="1"/>
  <c r="AI1623" i="2" s="1"/>
  <c r="Y1623" i="2" a="1"/>
  <c r="Y1623" i="2" s="1"/>
  <c r="X1624" i="2" a="1"/>
  <c r="X1624" i="2" s="1"/>
  <c r="AH1624" i="2" a="1"/>
  <c r="AH1624" i="2" s="1"/>
  <c r="AG1622" i="2" a="1"/>
  <c r="AG1622" i="2" s="1"/>
  <c r="AI1624" i="2" a="1"/>
  <c r="AI1624" i="2" s="1"/>
  <c r="Z1621" i="2" a="1"/>
  <c r="Z1621" i="2" s="1"/>
  <c r="Z1623" i="2" a="1"/>
  <c r="Z1623" i="2" s="1"/>
  <c r="Y1625" i="2" a="1"/>
  <c r="Y1625" i="2" s="1"/>
  <c r="X1625" i="2" a="1"/>
  <c r="X1625" i="2" s="1"/>
  <c r="W1625" i="2" a="1"/>
  <c r="W1625" i="2" s="1"/>
  <c r="AJ1624" i="2" a="1"/>
  <c r="AJ1624" i="2" s="1"/>
  <c r="AC1624" i="2" a="1"/>
  <c r="AC1624" i="2" s="1"/>
  <c r="Y1622" i="2" a="1"/>
  <c r="Y1622" i="2" s="1"/>
  <c r="AA1623" i="2" a="1"/>
  <c r="AA1623" i="2" s="1"/>
  <c r="X1623" i="2" a="1"/>
  <c r="X1623" i="2" s="1"/>
  <c r="AD1622" i="2" a="1"/>
  <c r="AD1622" i="2" s="1"/>
  <c r="AJ1622" i="2" a="1"/>
  <c r="AJ1622" i="2" s="1"/>
  <c r="AB1622" i="2" a="1"/>
  <c r="AB1622" i="2" s="1"/>
  <c r="AF1624" i="2" a="1"/>
  <c r="AF1624" i="2" s="1"/>
  <c r="Z1624" i="2" a="1"/>
  <c r="Z1624" i="2" s="1"/>
  <c r="AC1621" i="2" a="1"/>
  <c r="AC1621" i="2" s="1"/>
  <c r="AF1623" i="2" a="1"/>
  <c r="AF1623" i="2" s="1"/>
  <c r="AE1623" i="2" a="1"/>
  <c r="AE1623" i="2" s="1"/>
  <c r="AE1621" i="2" a="1"/>
  <c r="AE1621" i="2" s="1"/>
  <c r="AD1624" i="2" a="1"/>
  <c r="AD1624" i="2" s="1"/>
  <c r="Y1624" i="2" a="1"/>
  <c r="Y1624" i="2" s="1"/>
  <c r="AJ1623" i="2" a="1"/>
  <c r="AJ1623" i="2" s="1"/>
  <c r="AE1622" i="2" a="1"/>
  <c r="AE1622" i="2" s="1"/>
  <c r="AD1623" i="2" a="1"/>
  <c r="AD1623" i="2" s="1"/>
  <c r="AC1623" i="2" a="1"/>
  <c r="AC1623" i="2" s="1"/>
  <c r="W1623" i="2" a="1"/>
  <c r="W1623" i="2" s="1"/>
  <c r="AF1622" i="2" a="1"/>
  <c r="AF1622" i="2" s="1"/>
  <c r="Z1622" i="2" a="1"/>
  <c r="Z1622" i="2" s="1"/>
  <c r="AD1621" i="2" a="1"/>
  <c r="AD1621" i="2" s="1"/>
  <c r="X1622" i="2" a="1"/>
  <c r="X1622" i="2" s="1"/>
  <c r="AB1621" i="2" a="1"/>
  <c r="AB1621" i="2" s="1"/>
  <c r="AI1621" i="2" a="1"/>
  <c r="AI1621" i="2" s="1"/>
  <c r="AG1621" i="2" a="1"/>
  <c r="AG1621" i="2" s="1"/>
  <c r="AH1622" i="2" a="1"/>
  <c r="AH1622" i="2" s="1"/>
  <c r="W1622" i="2" a="1"/>
  <c r="W1622" i="2" s="1"/>
  <c r="AF1621" i="2" a="1"/>
  <c r="AF1621" i="2" s="1"/>
  <c r="AC1622" i="2" a="1"/>
  <c r="AC1622" i="2" s="1"/>
  <c r="AA1621" i="2" a="1"/>
  <c r="AA1621" i="2" s="1"/>
  <c r="AA1624" i="2" a="1"/>
  <c r="AA1624" i="2" s="1"/>
  <c r="AH1623" i="2" a="1"/>
  <c r="AH1623" i="2" s="1"/>
  <c r="Y1621" i="2" a="1"/>
  <c r="Y1621" i="2" s="1"/>
  <c r="X1617" i="2" a="1"/>
  <c r="X1617" i="2" s="1"/>
  <c r="Z1636" i="2" a="1"/>
  <c r="Z1636" i="2" s="1"/>
  <c r="Z1620" i="2" a="1"/>
  <c r="Z1620" i="2" s="1"/>
  <c r="W1619" i="2" a="1"/>
  <c r="W1619" i="2" s="1"/>
  <c r="AG1616" i="2" a="1"/>
  <c r="AG1616" i="2" s="1"/>
  <c r="X1621" i="2" a="1"/>
  <c r="X1621" i="2" s="1"/>
  <c r="W1621" i="2" a="1"/>
  <c r="W1621" i="2" s="1"/>
  <c r="AE1620" i="2" a="1"/>
  <c r="AE1620" i="2" s="1"/>
  <c r="AE1619" i="2" a="1"/>
  <c r="AE1619" i="2" s="1"/>
  <c r="AC1619" i="2" a="1"/>
  <c r="AC1619" i="2" s="1"/>
  <c r="AF1617" i="2" a="1"/>
  <c r="AF1617" i="2" s="1"/>
  <c r="Y1618" i="2" a="1"/>
  <c r="Y1618" i="2" s="1"/>
  <c r="AH1616" i="2" a="1"/>
  <c r="AH1616" i="2" s="1"/>
  <c r="X1619" i="2" a="1"/>
  <c r="X1619" i="2" s="1"/>
  <c r="AJ1620" i="2" a="1"/>
  <c r="AJ1620" i="2" s="1"/>
  <c r="AG1620" i="2" a="1"/>
  <c r="AG1620" i="2" s="1"/>
  <c r="AF1620" i="2" a="1"/>
  <c r="AF1620" i="2" s="1"/>
  <c r="W1620" i="2" a="1"/>
  <c r="W1620" i="2" s="1"/>
  <c r="AI1619" i="2" a="1"/>
  <c r="AI1619" i="2" s="1"/>
  <c r="AJ1618" i="2" a="1"/>
  <c r="AJ1618" i="2" s="1"/>
  <c r="AD1617" i="2" a="1"/>
  <c r="AD1617" i="2" s="1"/>
  <c r="AD1619" i="2" a="1"/>
  <c r="AD1619" i="2" s="1"/>
  <c r="Z1619" i="2" a="1"/>
  <c r="Z1619" i="2" s="1"/>
  <c r="AI1618" i="2" a="1"/>
  <c r="AI1618" i="2" s="1"/>
  <c r="AJ1616" i="2" a="1"/>
  <c r="AJ1616" i="2" s="1"/>
  <c r="AC1617" i="2" a="1"/>
  <c r="AC1617" i="2" s="1"/>
  <c r="W1617" i="2" a="1"/>
  <c r="W1617" i="2" s="1"/>
  <c r="X1618" i="2" a="1"/>
  <c r="X1618" i="2" s="1"/>
  <c r="AI1620" i="2" a="1"/>
  <c r="AI1620" i="2" s="1"/>
  <c r="AB1620" i="2" a="1"/>
  <c r="AB1620" i="2" s="1"/>
  <c r="AI1617" i="2" a="1"/>
  <c r="AI1617" i="2" s="1"/>
  <c r="AH1620" i="2" a="1"/>
  <c r="AH1620" i="2" s="1"/>
  <c r="AD1620" i="2" a="1"/>
  <c r="AD1620" i="2" s="1"/>
  <c r="AC1620" i="2" a="1"/>
  <c r="AC1620" i="2" s="1"/>
  <c r="AD1618" i="2" a="1"/>
  <c r="AD1618" i="2" s="1"/>
  <c r="AA1620" i="2" a="1"/>
  <c r="AA1620" i="2" s="1"/>
  <c r="AH1618" i="2" a="1"/>
  <c r="AH1618" i="2" s="1"/>
  <c r="AA1617" i="2" a="1"/>
  <c r="AA1617" i="2" s="1"/>
  <c r="Y1620" i="2" a="1"/>
  <c r="Y1620" i="2" s="1"/>
  <c r="X1620" i="2" a="1"/>
  <c r="X1620" i="2" s="1"/>
  <c r="AJ1619" i="2" a="1"/>
  <c r="AJ1619" i="2" s="1"/>
  <c r="AG1619" i="2" a="1"/>
  <c r="AG1619" i="2" s="1"/>
  <c r="AG1618" i="2" a="1"/>
  <c r="AG1618" i="2" s="1"/>
  <c r="AC1618" i="2" a="1"/>
  <c r="AC1618" i="2" s="1"/>
  <c r="AB1617" i="2" a="1"/>
  <c r="AB1617" i="2" s="1"/>
  <c r="AF1619" i="2" a="1"/>
  <c r="AF1619" i="2" s="1"/>
  <c r="Z1618" i="2" a="1"/>
  <c r="Z1618" i="2" s="1"/>
  <c r="AB1619" i="2" a="1"/>
  <c r="AB1619" i="2" s="1"/>
  <c r="AA1619" i="2" a="1"/>
  <c r="AA1619" i="2" s="1"/>
  <c r="AJ1617" i="2" a="1"/>
  <c r="AJ1617" i="2" s="1"/>
  <c r="AF1616" i="2" a="1"/>
  <c r="AF1616" i="2" s="1"/>
  <c r="AA1618" i="2" a="1"/>
  <c r="AA1618" i="2" s="1"/>
  <c r="AH1617" i="2" a="1"/>
  <c r="AH1617" i="2" s="1"/>
  <c r="W1618" i="2" a="1"/>
  <c r="W1618" i="2" s="1"/>
  <c r="AE1617" i="2" a="1"/>
  <c r="AE1617" i="2" s="1"/>
  <c r="AH1619" i="2" a="1"/>
  <c r="AH1619" i="2" s="1"/>
  <c r="AG1617" i="2" a="1"/>
  <c r="AG1617" i="2" s="1"/>
  <c r="AI1616" i="2" a="1"/>
  <c r="AI1616" i="2" s="1"/>
  <c r="Y1619" i="2" a="1"/>
  <c r="Y1619" i="2" s="1"/>
  <c r="AF1618" i="2" a="1"/>
  <c r="AF1618" i="2" s="1"/>
  <c r="Z1617" i="2" a="1"/>
  <c r="Z1617" i="2" s="1"/>
  <c r="Y1617" i="2" a="1"/>
  <c r="Y1617" i="2" s="1"/>
  <c r="AE1618" i="2" a="1"/>
  <c r="AE1618" i="2" s="1"/>
  <c r="AB1618" i="2" a="1"/>
  <c r="AB1618" i="2" s="1"/>
  <c r="AD1616" i="2" a="1"/>
  <c r="AD1616" i="2" s="1"/>
  <c r="AB1616" i="2" a="1"/>
  <c r="AB1616" i="2" s="1"/>
  <c r="X1616" i="2" a="1"/>
  <c r="X1616" i="2" s="1"/>
  <c r="AB1614" i="2" a="1"/>
  <c r="AB1614" i="2" s="1"/>
  <c r="AC1613" i="2" a="1"/>
  <c r="AC1613" i="2" s="1"/>
  <c r="W1616" i="2" a="1"/>
  <c r="W1616" i="2" s="1"/>
  <c r="AJ1615" i="2" a="1"/>
  <c r="AJ1615" i="2" s="1"/>
  <c r="AI1615" i="2" a="1"/>
  <c r="AI1615" i="2" s="1"/>
  <c r="AG1613" i="2" a="1"/>
  <c r="AG1613" i="2" s="1"/>
  <c r="AF1615" i="2" a="1"/>
  <c r="AF1615" i="2" s="1"/>
  <c r="AA1613" i="2" a="1"/>
  <c r="AA1613" i="2" s="1"/>
  <c r="AC1614" i="2" a="1"/>
  <c r="AC1614" i="2" s="1"/>
  <c r="AC1612" i="2" a="1"/>
  <c r="AC1612" i="2" s="1"/>
  <c r="AD1613" i="2" a="1"/>
  <c r="AD1613" i="2" s="1"/>
  <c r="AA1615" i="2" a="1"/>
  <c r="AA1615" i="2" s="1"/>
  <c r="Z1615" i="2" a="1"/>
  <c r="Z1615" i="2" s="1"/>
  <c r="X1615" i="2" a="1"/>
  <c r="X1615" i="2" s="1"/>
  <c r="Y1612" i="2" a="1"/>
  <c r="Y1612" i="2" s="1"/>
  <c r="W1615" i="2" a="1"/>
  <c r="W1615" i="2" s="1"/>
  <c r="AH1613" i="2" a="1"/>
  <c r="AH1613" i="2" s="1"/>
  <c r="X1613" i="2" a="1"/>
  <c r="X1613" i="2" s="1"/>
  <c r="AI1612" i="2" a="1"/>
  <c r="AI1612" i="2" s="1"/>
  <c r="Z1612" i="2" a="1"/>
  <c r="Z1612" i="2" s="1"/>
  <c r="AE1615" i="2" a="1"/>
  <c r="AE1615" i="2" s="1"/>
  <c r="AE1614" i="2" a="1"/>
  <c r="AE1614" i="2" s="1"/>
  <c r="AF1613" i="2" a="1"/>
  <c r="AF1613" i="2" s="1"/>
  <c r="AH1614" i="2" a="1"/>
  <c r="AH1614" i="2" s="1"/>
  <c r="AB1612" i="2" a="1"/>
  <c r="AB1612" i="2" s="1"/>
  <c r="AF1612" i="2" a="1"/>
  <c r="AF1612" i="2" s="1"/>
  <c r="AC1616" i="2" a="1"/>
  <c r="AC1616" i="2" s="1"/>
  <c r="AJ1614" i="2" a="1"/>
  <c r="AJ1614" i="2" s="1"/>
  <c r="AI1613" i="2" a="1"/>
  <c r="AI1613" i="2" s="1"/>
  <c r="AI1614" i="2" a="1"/>
  <c r="AI1614" i="2" s="1"/>
  <c r="Y1614" i="2" a="1"/>
  <c r="Y1614" i="2" s="1"/>
  <c r="Z1613" i="2" a="1"/>
  <c r="Z1613" i="2" s="1"/>
  <c r="AD1612" i="2" a="1"/>
  <c r="AD1612" i="2" s="1"/>
  <c r="AA1616" i="2" a="1"/>
  <c r="AA1616" i="2" s="1"/>
  <c r="W1614" i="2" a="1"/>
  <c r="W1614" i="2" s="1"/>
  <c r="Y1616" i="2" a="1"/>
  <c r="Y1616" i="2" s="1"/>
  <c r="AH1615" i="2" a="1"/>
  <c r="AH1615" i="2" s="1"/>
  <c r="AG1612" i="2" a="1"/>
  <c r="AG1612" i="2" s="1"/>
  <c r="AG1615" i="2" a="1"/>
  <c r="AG1615" i="2" s="1"/>
  <c r="Y1615" i="2" a="1"/>
  <c r="Y1615" i="2" s="1"/>
  <c r="AA1614" i="2" a="1"/>
  <c r="AA1614" i="2" s="1"/>
  <c r="AJ1613" i="2" a="1"/>
  <c r="AJ1613" i="2" s="1"/>
  <c r="X1614" i="2" a="1"/>
  <c r="X1614" i="2" s="1"/>
  <c r="AJ1612" i="2" a="1"/>
  <c r="AJ1612" i="2" s="1"/>
  <c r="AB1613" i="2" a="1"/>
  <c r="AB1613" i="2" s="1"/>
  <c r="Y1613" i="2" a="1"/>
  <c r="Y1613" i="2" s="1"/>
  <c r="AC1615" i="2" a="1"/>
  <c r="AC1615" i="2" s="1"/>
  <c r="W1613" i="2" a="1"/>
  <c r="W1613" i="2" s="1"/>
  <c r="AG1614" i="2" a="1"/>
  <c r="AG1614" i="2" s="1"/>
  <c r="AE1612" i="2" a="1"/>
  <c r="AE1612" i="2" s="1"/>
  <c r="AD1615" i="2" a="1"/>
  <c r="AD1615" i="2" s="1"/>
  <c r="AA1612" i="2" a="1"/>
  <c r="AA1612" i="2" s="1"/>
  <c r="AB1615" i="2" a="1"/>
  <c r="AB1615" i="2" s="1"/>
  <c r="AF1614" i="2" a="1"/>
  <c r="AF1614" i="2" s="1"/>
  <c r="Z1614" i="2" a="1"/>
  <c r="Z1614" i="2" s="1"/>
  <c r="Z1635" i="2" a="1"/>
  <c r="Z1635" i="2" s="1"/>
  <c r="AE1616" i="2" a="1"/>
  <c r="AE1616" i="2" s="1"/>
  <c r="AH1612" i="2" a="1"/>
  <c r="AH1612" i="2" s="1"/>
  <c r="Z1616" i="2" a="1"/>
  <c r="Z1616" i="2" s="1"/>
  <c r="AD1614" i="2" a="1"/>
  <c r="AD1614" i="2" s="1"/>
  <c r="AE1613" i="2" a="1"/>
  <c r="AE1613" i="2" s="1"/>
  <c r="AF1609" i="2" a="1"/>
  <c r="AF1609" i="2" s="1"/>
  <c r="W1612" i="2" a="1"/>
  <c r="W1612" i="2" s="1"/>
  <c r="AJ1611" i="2" a="1"/>
  <c r="AJ1611" i="2" s="1"/>
  <c r="AC1611" i="2" a="1"/>
  <c r="AC1611" i="2" s="1"/>
  <c r="AJ1610" i="2" a="1"/>
  <c r="AJ1610" i="2" s="1"/>
  <c r="AI1611" i="2" a="1"/>
  <c r="AI1611" i="2" s="1"/>
  <c r="AH1610" i="2" a="1"/>
  <c r="AH1610" i="2" s="1"/>
  <c r="X1608" i="2" a="1"/>
  <c r="X1608" i="2" s="1"/>
  <c r="X1609" i="2" a="1"/>
  <c r="X1609" i="2" s="1"/>
  <c r="AF1610" i="2" a="1"/>
  <c r="AF1610" i="2" s="1"/>
  <c r="AH1608" i="2" a="1"/>
  <c r="AH1608" i="2" s="1"/>
  <c r="AH1611" i="2" a="1"/>
  <c r="AH1611" i="2" s="1"/>
  <c r="AG1611" i="2" a="1"/>
  <c r="AG1611" i="2" s="1"/>
  <c r="AD1611" i="2" a="1"/>
  <c r="AD1611" i="2" s="1"/>
  <c r="AJ1609" i="2" a="1"/>
  <c r="AJ1609" i="2" s="1"/>
  <c r="AB1609" i="2" a="1"/>
  <c r="AB1609" i="2" s="1"/>
  <c r="AF1611" i="2" a="1"/>
  <c r="AF1611" i="2" s="1"/>
  <c r="AE1611" i="2" a="1"/>
  <c r="AE1611" i="2" s="1"/>
  <c r="AE1608" i="2" a="1"/>
  <c r="AE1608" i="2" s="1"/>
  <c r="X1611" i="2" a="1"/>
  <c r="X1611" i="2" s="1"/>
  <c r="AG1610" i="2" a="1"/>
  <c r="AG1610" i="2" s="1"/>
  <c r="W1609" i="2" a="1"/>
  <c r="W1609" i="2" s="1"/>
  <c r="AC1610" i="2" a="1"/>
  <c r="AC1610" i="2" s="1"/>
  <c r="X1610" i="2" a="1"/>
  <c r="X1610" i="2" s="1"/>
  <c r="AA1609" i="2" a="1"/>
  <c r="AA1609" i="2" s="1"/>
  <c r="AC1608" i="2" a="1"/>
  <c r="AC1608" i="2" s="1"/>
  <c r="AG1607" i="2" a="1"/>
  <c r="AG1607" i="2" s="1"/>
  <c r="AE1610" i="2" a="1"/>
  <c r="AE1610" i="2" s="1"/>
  <c r="Z1609" i="2" a="1"/>
  <c r="Z1609" i="2" s="1"/>
  <c r="AI1608" i="2" a="1"/>
  <c r="AI1608" i="2" s="1"/>
  <c r="W1610" i="2" a="1"/>
  <c r="W1610" i="2" s="1"/>
  <c r="AE1609" i="2" a="1"/>
  <c r="AE1609" i="2" s="1"/>
  <c r="AJ1607" i="2" a="1"/>
  <c r="AJ1607" i="2" s="1"/>
  <c r="AC1609" i="2" a="1"/>
  <c r="AC1609" i="2" s="1"/>
  <c r="Z1608" i="2" a="1"/>
  <c r="Z1608" i="2" s="1"/>
  <c r="AG1608" i="2" a="1"/>
  <c r="AG1608" i="2" s="1"/>
  <c r="AA1611" i="2" a="1"/>
  <c r="AA1611" i="2" s="1"/>
  <c r="AI1609" i="2" a="1"/>
  <c r="AI1609" i="2" s="1"/>
  <c r="Z1611" i="2" a="1"/>
  <c r="Z1611" i="2" s="1"/>
  <c r="W1611" i="2" a="1"/>
  <c r="W1611" i="2" s="1"/>
  <c r="AI1610" i="2" a="1"/>
  <c r="AI1610" i="2" s="1"/>
  <c r="AH1609" i="2" a="1"/>
  <c r="AH1609" i="2" s="1"/>
  <c r="AD1608" i="2" a="1"/>
  <c r="AD1608" i="2" s="1"/>
  <c r="AD1609" i="2" a="1"/>
  <c r="AD1609" i="2" s="1"/>
  <c r="AF1607" i="2" a="1"/>
  <c r="AF1607" i="2" s="1"/>
  <c r="AD1610" i="2" a="1"/>
  <c r="AD1610" i="2" s="1"/>
  <c r="Z1610" i="2" a="1"/>
  <c r="Z1610" i="2" s="1"/>
  <c r="AF1608" i="2" a="1"/>
  <c r="AF1608" i="2" s="1"/>
  <c r="Y1608" i="2" a="1"/>
  <c r="Y1608" i="2" s="1"/>
  <c r="AB1610" i="2" a="1"/>
  <c r="AB1610" i="2" s="1"/>
  <c r="AA1608" i="2" a="1"/>
  <c r="AA1608" i="2" s="1"/>
  <c r="AJ1608" i="2" a="1"/>
  <c r="AJ1608" i="2" s="1"/>
  <c r="AH1607" i="2" a="1"/>
  <c r="AH1607" i="2" s="1"/>
  <c r="AI1635" i="2" a="1"/>
  <c r="AI1635" i="2" s="1"/>
  <c r="X1612" i="2" a="1"/>
  <c r="X1612" i="2" s="1"/>
  <c r="AB1611" i="2" a="1"/>
  <c r="AB1611" i="2" s="1"/>
  <c r="AA1610" i="2" a="1"/>
  <c r="AA1610" i="2" s="1"/>
  <c r="AB1608" i="2" a="1"/>
  <c r="AB1608" i="2" s="1"/>
  <c r="AI1607" i="2" a="1"/>
  <c r="AI1607" i="2" s="1"/>
  <c r="W1608" i="2" a="1"/>
  <c r="W1608" i="2" s="1"/>
  <c r="AG1609" i="2" a="1"/>
  <c r="AG1609" i="2" s="1"/>
  <c r="Y1611" i="2" a="1"/>
  <c r="Y1611" i="2" s="1"/>
  <c r="Y1610" i="2" a="1"/>
  <c r="Y1610" i="2" s="1"/>
  <c r="Y1609" i="2" a="1"/>
  <c r="Y1609" i="2" s="1"/>
  <c r="AJ1603" i="2" a="1"/>
  <c r="AJ1603" i="2" s="1"/>
  <c r="AG1604" i="2" a="1"/>
  <c r="AG1604" i="2" s="1"/>
  <c r="AD1603" i="2" a="1"/>
  <c r="AD1603" i="2" s="1"/>
  <c r="Y1635" i="2" a="1"/>
  <c r="Y1635" i="2" s="1"/>
  <c r="AE1607" i="2" a="1"/>
  <c r="AE1607" i="2" s="1"/>
  <c r="Y1603" i="2" a="1"/>
  <c r="Y1603" i="2" s="1"/>
  <c r="AH1604" i="2" a="1"/>
  <c r="AH1604" i="2" s="1"/>
  <c r="AD1607" i="2" a="1"/>
  <c r="AD1607" i="2" s="1"/>
  <c r="AC1607" i="2" a="1"/>
  <c r="AC1607" i="2" s="1"/>
  <c r="Y1606" i="2" a="1"/>
  <c r="Y1606" i="2" s="1"/>
  <c r="AH1605" i="2" a="1"/>
  <c r="AH1605" i="2" s="1"/>
  <c r="AE1604" i="2" a="1"/>
  <c r="AE1604" i="2" s="1"/>
  <c r="AB1603" i="2" a="1"/>
  <c r="AB1603" i="2" s="1"/>
  <c r="Z1605" i="2" a="1"/>
  <c r="Z1605" i="2" s="1"/>
  <c r="AB1607" i="2" a="1"/>
  <c r="AB1607" i="2" s="1"/>
  <c r="AA1607" i="2" a="1"/>
  <c r="AA1607" i="2" s="1"/>
  <c r="Z1607" i="2" a="1"/>
  <c r="Z1607" i="2" s="1"/>
  <c r="Y1607" i="2" a="1"/>
  <c r="Y1607" i="2" s="1"/>
  <c r="AB1605" i="2" a="1"/>
  <c r="AB1605" i="2" s="1"/>
  <c r="X1607" i="2" a="1"/>
  <c r="X1607" i="2" s="1"/>
  <c r="AH1606" i="2" a="1"/>
  <c r="AH1606" i="2" s="1"/>
  <c r="AG1606" i="2" a="1"/>
  <c r="AG1606" i="2" s="1"/>
  <c r="Z1604" i="2" a="1"/>
  <c r="Z1604" i="2" s="1"/>
  <c r="AE1605" i="2" a="1"/>
  <c r="AE1605" i="2" s="1"/>
  <c r="AD1606" i="2" a="1"/>
  <c r="AD1606" i="2" s="1"/>
  <c r="AB1606" i="2" a="1"/>
  <c r="AB1606" i="2" s="1"/>
  <c r="AI1604" i="2" a="1"/>
  <c r="AI1604" i="2" s="1"/>
  <c r="AG1605" i="2" a="1"/>
  <c r="AG1605" i="2" s="1"/>
  <c r="AA1604" i="2" a="1"/>
  <c r="AA1604" i="2" s="1"/>
  <c r="AC1604" i="2" a="1"/>
  <c r="AC1604" i="2" s="1"/>
  <c r="Z1603" i="2" a="1"/>
  <c r="Z1603" i="2" s="1"/>
  <c r="W1607" i="2" a="1"/>
  <c r="W1607" i="2" s="1"/>
  <c r="AJ1606" i="2" a="1"/>
  <c r="AJ1606" i="2" s="1"/>
  <c r="AC1606" i="2" a="1"/>
  <c r="AC1606" i="2" s="1"/>
  <c r="AI1603" i="2" a="1"/>
  <c r="AI1603" i="2" s="1"/>
  <c r="AI1606" i="2" a="1"/>
  <c r="AI1606" i="2" s="1"/>
  <c r="AE1606" i="2" a="1"/>
  <c r="AE1606" i="2" s="1"/>
  <c r="AI1605" i="2" a="1"/>
  <c r="AI1605" i="2" s="1"/>
  <c r="Y1605" i="2" a="1"/>
  <c r="Y1605" i="2" s="1"/>
  <c r="W1605" i="2" a="1"/>
  <c r="W1605" i="2" s="1"/>
  <c r="AF1604" i="2" a="1"/>
  <c r="AF1604" i="2" s="1"/>
  <c r="AE1603" i="2" a="1"/>
  <c r="AE1603" i="2" s="1"/>
  <c r="AB1604" i="2" a="1"/>
  <c r="AB1604" i="2" s="1"/>
  <c r="AH1603" i="2" a="1"/>
  <c r="AH1603" i="2" s="1"/>
  <c r="Y1604" i="2" a="1"/>
  <c r="Y1604" i="2" s="1"/>
  <c r="X1604" i="2" a="1"/>
  <c r="X1604" i="2" s="1"/>
  <c r="W1604" i="2" a="1"/>
  <c r="W1604" i="2" s="1"/>
  <c r="AF1603" i="2" a="1"/>
  <c r="AF1603" i="2" s="1"/>
  <c r="AC1603" i="2" a="1"/>
  <c r="AC1603" i="2" s="1"/>
  <c r="AA1606" i="2" a="1"/>
  <c r="AA1606" i="2" s="1"/>
  <c r="AD1604" i="2" a="1"/>
  <c r="AD1604" i="2" s="1"/>
  <c r="AA1603" i="2" a="1"/>
  <c r="AA1603" i="2" s="1"/>
  <c r="AF1606" i="2" a="1"/>
  <c r="AF1606" i="2" s="1"/>
  <c r="AJ1605" i="2" a="1"/>
  <c r="AJ1605" i="2" s="1"/>
  <c r="Z1606" i="2" a="1"/>
  <c r="Z1606" i="2" s="1"/>
  <c r="X1606" i="2" a="1"/>
  <c r="X1606" i="2" s="1"/>
  <c r="AC1605" i="2" a="1"/>
  <c r="AC1605" i="2" s="1"/>
  <c r="X1605" i="2" a="1"/>
  <c r="X1605" i="2" s="1"/>
  <c r="AG1603" i="2" a="1"/>
  <c r="AG1603" i="2" s="1"/>
  <c r="W1606" i="2" a="1"/>
  <c r="W1606" i="2" s="1"/>
  <c r="AF1605" i="2" a="1"/>
  <c r="AF1605" i="2" s="1"/>
  <c r="AD1605" i="2" a="1"/>
  <c r="AD1605" i="2" s="1"/>
  <c r="AA1605" i="2" a="1"/>
  <c r="AA1605" i="2" s="1"/>
  <c r="AJ1604" i="2" a="1"/>
  <c r="AJ1604" i="2" s="1"/>
  <c r="AH1598" i="2" a="1"/>
  <c r="AH1598" i="2" s="1"/>
  <c r="AD1601" i="2" a="1"/>
  <c r="AD1601" i="2" s="1"/>
  <c r="AC1602" i="2" a="1"/>
  <c r="AC1602" i="2" s="1"/>
  <c r="W1602" i="2" a="1"/>
  <c r="W1602" i="2" s="1"/>
  <c r="Z1601" i="2" a="1"/>
  <c r="Z1601" i="2" s="1"/>
  <c r="AF1599" i="2" a="1"/>
  <c r="AF1599" i="2" s="1"/>
  <c r="AD1599" i="2" a="1"/>
  <c r="AD1599" i="2" s="1"/>
  <c r="AB1599" i="2" a="1"/>
  <c r="AB1599" i="2" s="1"/>
  <c r="Z1600" i="2" a="1"/>
  <c r="Z1600" i="2" s="1"/>
  <c r="AD1600" i="2" a="1"/>
  <c r="AD1600" i="2" s="1"/>
  <c r="AA1602" i="2" a="1"/>
  <c r="AA1602" i="2" s="1"/>
  <c r="AG1601" i="2" a="1"/>
  <c r="AG1601" i="2" s="1"/>
  <c r="W1601" i="2" a="1"/>
  <c r="W1601" i="2" s="1"/>
  <c r="AG1599" i="2" a="1"/>
  <c r="AG1599" i="2" s="1"/>
  <c r="W1599" i="2" a="1"/>
  <c r="W1599" i="2" s="1"/>
  <c r="AJ1600" i="2" a="1"/>
  <c r="AJ1600" i="2" s="1"/>
  <c r="AH1600" i="2" a="1"/>
  <c r="AH1600" i="2" s="1"/>
  <c r="AH1599" i="2" a="1"/>
  <c r="AH1599" i="2" s="1"/>
  <c r="X1599" i="2" a="1"/>
  <c r="X1599" i="2" s="1"/>
  <c r="AJ1598" i="2" a="1"/>
  <c r="AJ1598" i="2" s="1"/>
  <c r="AC1600" i="2" a="1"/>
  <c r="AC1600" i="2" s="1"/>
  <c r="AI1601" i="2" a="1"/>
  <c r="AI1601" i="2" s="1"/>
  <c r="AE1601" i="2" a="1"/>
  <c r="AE1601" i="2" s="1"/>
  <c r="AA1600" i="2" a="1"/>
  <c r="AA1600" i="2" s="1"/>
  <c r="Y1601" i="2" a="1"/>
  <c r="Y1601" i="2" s="1"/>
  <c r="AG1600" i="2" a="1"/>
  <c r="AG1600" i="2" s="1"/>
  <c r="X1600" i="2" a="1"/>
  <c r="X1600" i="2" s="1"/>
  <c r="AB1636" i="2" a="1"/>
  <c r="AB1636" i="2" s="1"/>
  <c r="AB1600" i="2" a="1"/>
  <c r="AB1600" i="2" s="1"/>
  <c r="AE1599" i="2" a="1"/>
  <c r="AE1599" i="2" s="1"/>
  <c r="W1603" i="2" a="1"/>
  <c r="W1603" i="2" s="1"/>
  <c r="AB1602" i="2" a="1"/>
  <c r="AB1602" i="2" s="1"/>
  <c r="AC1601" i="2" a="1"/>
  <c r="AC1601" i="2" s="1"/>
  <c r="Z1602" i="2" a="1"/>
  <c r="Z1602" i="2" s="1"/>
  <c r="X1602" i="2" a="1"/>
  <c r="X1602" i="2" s="1"/>
  <c r="AE1600" i="2" a="1"/>
  <c r="AE1600" i="2" s="1"/>
  <c r="AJ1599" i="2" a="1"/>
  <c r="AJ1599" i="2" s="1"/>
  <c r="Z1599" i="2" a="1"/>
  <c r="Z1599" i="2" s="1"/>
  <c r="X1603" i="2" a="1"/>
  <c r="X1603" i="2" s="1"/>
  <c r="AD1602" i="2" a="1"/>
  <c r="AD1602" i="2" s="1"/>
  <c r="AA1601" i="2" a="1"/>
  <c r="AA1601" i="2" s="1"/>
  <c r="AI1600" i="2" a="1"/>
  <c r="AI1600" i="2" s="1"/>
  <c r="AI1599" i="2" a="1"/>
  <c r="AI1599" i="2" s="1"/>
  <c r="Y1599" i="2" a="1"/>
  <c r="Y1599" i="2" s="1"/>
  <c r="AF1600" i="2" a="1"/>
  <c r="AF1600" i="2" s="1"/>
  <c r="AI1598" i="2" a="1"/>
  <c r="AI1598" i="2" s="1"/>
  <c r="AF1598" i="2" a="1"/>
  <c r="AF1598" i="2" s="1"/>
  <c r="AB1601" i="2" a="1"/>
  <c r="AB1601" i="2" s="1"/>
  <c r="AJ1602" i="2" a="1"/>
  <c r="AJ1602" i="2" s="1"/>
  <c r="AI1602" i="2" a="1"/>
  <c r="AI1602" i="2" s="1"/>
  <c r="AH1602" i="2" a="1"/>
  <c r="AH1602" i="2" s="1"/>
  <c r="AG1602" i="2" a="1"/>
  <c r="AG1602" i="2" s="1"/>
  <c r="AC1599" i="2" a="1"/>
  <c r="AC1599" i="2" s="1"/>
  <c r="AG1598" i="2" a="1"/>
  <c r="AG1598" i="2" s="1"/>
  <c r="AF1602" i="2" a="1"/>
  <c r="AF1602" i="2" s="1"/>
  <c r="Y1602" i="2" a="1"/>
  <c r="Y1602" i="2" s="1"/>
  <c r="AA1599" i="2" a="1"/>
  <c r="AA1599" i="2" s="1"/>
  <c r="AH1601" i="2" a="1"/>
  <c r="AH1601" i="2" s="1"/>
  <c r="AJ1601" i="2" a="1"/>
  <c r="AJ1601" i="2" s="1"/>
  <c r="AF1601" i="2" a="1"/>
  <c r="AF1601" i="2" s="1"/>
  <c r="Y1600" i="2" a="1"/>
  <c r="Y1600" i="2" s="1"/>
  <c r="AE1602" i="2" a="1"/>
  <c r="AE1602" i="2" s="1"/>
  <c r="X1601" i="2" a="1"/>
  <c r="X1601" i="2" s="1"/>
  <c r="W1600" i="2" a="1"/>
  <c r="W1600" i="2" s="1"/>
  <c r="Y1598" i="2" a="1"/>
  <c r="Y1598" i="2" s="1"/>
  <c r="AH1597" i="2" a="1"/>
  <c r="AH1597" i="2" s="1"/>
  <c r="AG1597" i="2" a="1"/>
  <c r="AG1597" i="2" s="1"/>
  <c r="AF1597" i="2" a="1"/>
  <c r="AF1597" i="2" s="1"/>
  <c r="AG1594" i="2" a="1"/>
  <c r="AG1594" i="2" s="1"/>
  <c r="AC1597" i="2" a="1"/>
  <c r="AC1597" i="2" s="1"/>
  <c r="AB1597" i="2" a="1"/>
  <c r="AB1597" i="2" s="1"/>
  <c r="AA1597" i="2" a="1"/>
  <c r="AA1597" i="2" s="1"/>
  <c r="Z1597" i="2" a="1"/>
  <c r="Z1597" i="2" s="1"/>
  <c r="AE1596" i="2" a="1"/>
  <c r="AE1596" i="2" s="1"/>
  <c r="X1597" i="2" a="1"/>
  <c r="X1597" i="2" s="1"/>
  <c r="W1597" i="2" a="1"/>
  <c r="W1597" i="2" s="1"/>
  <c r="AH1596" i="2" a="1"/>
  <c r="AH1596" i="2" s="1"/>
  <c r="AA1596" i="2" a="1"/>
  <c r="AA1596" i="2" s="1"/>
  <c r="Z1594" i="2" a="1"/>
  <c r="Z1594" i="2" s="1"/>
  <c r="AH1594" i="2" a="1"/>
  <c r="AH1594" i="2" s="1"/>
  <c r="Z1596" i="2" a="1"/>
  <c r="Z1596" i="2" s="1"/>
  <c r="X1596" i="2" a="1"/>
  <c r="X1596" i="2" s="1"/>
  <c r="AI1595" i="2" a="1"/>
  <c r="AI1595" i="2" s="1"/>
  <c r="AA1594" i="2" a="1"/>
  <c r="AA1594" i="2" s="1"/>
  <c r="W1595" i="2" a="1"/>
  <c r="W1595" i="2" s="1"/>
  <c r="W1596" i="2" a="1"/>
  <c r="W1596" i="2" s="1"/>
  <c r="AC1595" i="2" a="1"/>
  <c r="AC1595" i="2" s="1"/>
  <c r="X1595" i="2" a="1"/>
  <c r="X1595" i="2" s="1"/>
  <c r="AH1595" i="2" a="1"/>
  <c r="AH1595" i="2" s="1"/>
  <c r="AI1594" i="2" a="1"/>
  <c r="AI1594" i="2" s="1"/>
  <c r="AE1594" i="2" a="1"/>
  <c r="AE1594" i="2" s="1"/>
  <c r="AA1598" i="2" a="1"/>
  <c r="AA1598" i="2" s="1"/>
  <c r="AI1596" i="2" a="1"/>
  <c r="AI1596" i="2" s="1"/>
  <c r="X1598" i="2" a="1"/>
  <c r="X1598" i="2" s="1"/>
  <c r="W1598" i="2" a="1"/>
  <c r="W1598" i="2" s="1"/>
  <c r="AJ1597" i="2" a="1"/>
  <c r="AJ1597" i="2" s="1"/>
  <c r="AJ1594" i="2" a="1"/>
  <c r="AJ1594" i="2" s="1"/>
  <c r="AJ1596" i="2" a="1"/>
  <c r="AJ1596" i="2" s="1"/>
  <c r="AI1597" i="2" a="1"/>
  <c r="AI1597" i="2" s="1"/>
  <c r="AE1597" i="2" a="1"/>
  <c r="AE1597" i="2" s="1"/>
  <c r="AF1595" i="2" a="1"/>
  <c r="AF1595" i="2" s="1"/>
  <c r="AC1594" i="2" a="1"/>
  <c r="AC1594" i="2" s="1"/>
  <c r="AD1597" i="2" a="1"/>
  <c r="AD1597" i="2" s="1"/>
  <c r="AF1596" i="2" a="1"/>
  <c r="AF1596" i="2" s="1"/>
  <c r="AB1596" i="2" a="1"/>
  <c r="AB1596" i="2" s="1"/>
  <c r="AJ1595" i="2" a="1"/>
  <c r="AJ1595" i="2" s="1"/>
  <c r="AA1595" i="2" a="1"/>
  <c r="AA1595" i="2" s="1"/>
  <c r="AB1594" i="2" a="1"/>
  <c r="AB1594" i="2" s="1"/>
  <c r="AG1595" i="2" a="1"/>
  <c r="AG1595" i="2" s="1"/>
  <c r="Y1596" i="2" a="1"/>
  <c r="Y1596" i="2" s="1"/>
  <c r="Y1595" i="2" a="1"/>
  <c r="Y1595" i="2" s="1"/>
  <c r="X1635" i="2" a="1"/>
  <c r="X1635" i="2" s="1"/>
  <c r="AG1596" i="2" a="1"/>
  <c r="AG1596" i="2" s="1"/>
  <c r="AE1598" i="2" a="1"/>
  <c r="AE1598" i="2" s="1"/>
  <c r="AD1598" i="2" a="1"/>
  <c r="AD1598" i="2" s="1"/>
  <c r="AC1598" i="2" a="1"/>
  <c r="AC1598" i="2" s="1"/>
  <c r="AD1596" i="2" a="1"/>
  <c r="AD1596" i="2" s="1"/>
  <c r="AB1595" i="2" a="1"/>
  <c r="AB1595" i="2" s="1"/>
  <c r="Z1595" i="2" a="1"/>
  <c r="Z1595" i="2" s="1"/>
  <c r="AF1594" i="2" a="1"/>
  <c r="AF1594" i="2" s="1"/>
  <c r="Y1594" i="2" a="1"/>
  <c r="Y1594" i="2" s="1"/>
  <c r="Z1598" i="2" a="1"/>
  <c r="Z1598" i="2" s="1"/>
  <c r="AC1596" i="2" a="1"/>
  <c r="AC1596" i="2" s="1"/>
  <c r="Y1597" i="2" a="1"/>
  <c r="Y1597" i="2" s="1"/>
  <c r="AE1595" i="2" a="1"/>
  <c r="AE1595" i="2" s="1"/>
  <c r="AD1595" i="2" a="1"/>
  <c r="AD1595" i="2" s="1"/>
  <c r="AB1598" i="2" a="1"/>
  <c r="AB1598" i="2" s="1"/>
  <c r="AD1594" i="2" a="1"/>
  <c r="AD1594" i="2" s="1"/>
  <c r="X1594" i="2" a="1"/>
  <c r="X1594" i="2" s="1"/>
  <c r="W1594" i="2" a="1"/>
  <c r="W1594" i="2" s="1"/>
  <c r="AJ1593" i="2" a="1"/>
  <c r="AJ1593" i="2" s="1"/>
  <c r="AG1592" i="2" a="1"/>
  <c r="AG1592" i="2" s="1"/>
  <c r="AG1593" i="2" a="1"/>
  <c r="AG1593" i="2" s="1"/>
  <c r="AI1593" i="2" a="1"/>
  <c r="AI1593" i="2" s="1"/>
  <c r="AI1592" i="2" a="1"/>
  <c r="AI1592" i="2" s="1"/>
  <c r="AH1593" i="2" a="1"/>
  <c r="AH1593" i="2" s="1"/>
  <c r="AF1593" i="2" a="1"/>
  <c r="AF1593" i="2" s="1"/>
  <c r="AE1593" i="2" a="1"/>
  <c r="AE1593" i="2" s="1"/>
  <c r="AD1593" i="2" a="1"/>
  <c r="AD1593" i="2" s="1"/>
  <c r="AH1592" i="2" a="1"/>
  <c r="AH1592" i="2" s="1"/>
  <c r="AC1593" i="2" a="1"/>
  <c r="AC1593" i="2" s="1"/>
  <c r="X1590" i="2" a="1"/>
  <c r="X1590" i="2" s="1"/>
  <c r="AB1593" i="2" a="1"/>
  <c r="AB1593" i="2" s="1"/>
  <c r="AF1592" i="2" a="1"/>
  <c r="AF1592" i="2" s="1"/>
  <c r="AC1592" i="2" a="1"/>
  <c r="AC1592" i="2" s="1"/>
  <c r="AB1592" i="2" a="1"/>
  <c r="AB1592" i="2" s="1"/>
  <c r="Z1590" i="2" a="1"/>
  <c r="Z1590" i="2" s="1"/>
  <c r="AA1591" i="2" a="1"/>
  <c r="AA1591" i="2" s="1"/>
  <c r="AI1590" i="2" a="1"/>
  <c r="AI1590" i="2" s="1"/>
  <c r="AE1590" i="2" a="1"/>
  <c r="AE1590" i="2" s="1"/>
  <c r="AB1591" i="2" a="1"/>
  <c r="AB1591" i="2" s="1"/>
  <c r="AJ1590" i="2" a="1"/>
  <c r="AJ1590" i="2" s="1"/>
  <c r="W1592" i="2" a="1"/>
  <c r="W1592" i="2" s="1"/>
  <c r="AD1592" i="2" a="1"/>
  <c r="AD1592" i="2" s="1"/>
  <c r="AA1593" i="2" a="1"/>
  <c r="AA1593" i="2" s="1"/>
  <c r="Y1592" i="2" a="1"/>
  <c r="Y1592" i="2" s="1"/>
  <c r="AD1590" i="2" a="1"/>
  <c r="AD1590" i="2" s="1"/>
  <c r="AG1591" i="2" a="1"/>
  <c r="AG1591" i="2" s="1"/>
  <c r="Z1593" i="2" a="1"/>
  <c r="Z1593" i="2" s="1"/>
  <c r="Y1593" i="2" a="1"/>
  <c r="Y1593" i="2" s="1"/>
  <c r="AE1592" i="2" a="1"/>
  <c r="AE1592" i="2" s="1"/>
  <c r="AJ1592" i="2" a="1"/>
  <c r="AJ1592" i="2" s="1"/>
  <c r="AI1589" i="2" a="1"/>
  <c r="AI1589" i="2" s="1"/>
  <c r="Z1592" i="2" a="1"/>
  <c r="Z1592" i="2" s="1"/>
  <c r="AJ1591" i="2" a="1"/>
  <c r="AJ1591" i="2" s="1"/>
  <c r="AE1591" i="2" a="1"/>
  <c r="AE1591" i="2" s="1"/>
  <c r="AG1590" i="2" a="1"/>
  <c r="AG1590" i="2" s="1"/>
  <c r="AF1590" i="2" a="1"/>
  <c r="AF1590" i="2" s="1"/>
  <c r="W1590" i="2" a="1"/>
  <c r="W1590" i="2" s="1"/>
  <c r="AJ1589" i="2" a="1"/>
  <c r="AJ1589" i="2" s="1"/>
  <c r="Y1591" i="2" a="1"/>
  <c r="Y1591" i="2" s="1"/>
  <c r="AH1589" i="2" a="1"/>
  <c r="AH1589" i="2" s="1"/>
  <c r="AH1591" i="2" a="1"/>
  <c r="AH1591" i="2" s="1"/>
  <c r="AC1591" i="2" a="1"/>
  <c r="AC1591" i="2" s="1"/>
  <c r="W1591" i="2" a="1"/>
  <c r="W1591" i="2" s="1"/>
  <c r="AF1589" i="2" a="1"/>
  <c r="AF1589" i="2" s="1"/>
  <c r="W1593" i="2" a="1"/>
  <c r="W1593" i="2" s="1"/>
  <c r="X1593" i="2" a="1"/>
  <c r="X1593" i="2" s="1"/>
  <c r="AA1592" i="2" a="1"/>
  <c r="AA1592" i="2" s="1"/>
  <c r="AB1590" i="2" a="1"/>
  <c r="AB1590" i="2" s="1"/>
  <c r="X1592" i="2" a="1"/>
  <c r="X1592" i="2" s="1"/>
  <c r="AC1590" i="2" a="1"/>
  <c r="AC1590" i="2" s="1"/>
  <c r="AD1591" i="2" a="1"/>
  <c r="AD1591" i="2" s="1"/>
  <c r="X1591" i="2" a="1"/>
  <c r="X1591" i="2" s="1"/>
  <c r="AF1591" i="2" a="1"/>
  <c r="AF1591" i="2" s="1"/>
  <c r="AA1590" i="2" a="1"/>
  <c r="AA1590" i="2" s="1"/>
  <c r="AG1589" i="2" a="1"/>
  <c r="AG1589" i="2" s="1"/>
  <c r="Z1591" i="2" a="1"/>
  <c r="Z1591" i="2" s="1"/>
  <c r="AH1590" i="2" a="1"/>
  <c r="AH1590" i="2" s="1"/>
  <c r="AI1591" i="2" a="1"/>
  <c r="AI1591" i="2" s="1"/>
  <c r="Y1590" i="2" a="1"/>
  <c r="Y1590" i="2" s="1"/>
  <c r="AH1635" i="2" a="1"/>
  <c r="AH1635" i="2" s="1"/>
  <c r="AA1588" i="2" a="1"/>
  <c r="AA1588" i="2" s="1"/>
  <c r="AD1588" i="2" a="1"/>
  <c r="AD1588" i="2" s="1"/>
  <c r="AD1589" i="2" a="1"/>
  <c r="AD1589" i="2" s="1"/>
  <c r="W1588" i="2" a="1"/>
  <c r="W1588" i="2" s="1"/>
  <c r="AH1587" i="2" a="1"/>
  <c r="AH1587" i="2" s="1"/>
  <c r="AA1586" i="2" a="1"/>
  <c r="AA1586" i="2" s="1"/>
  <c r="AG1585" i="2" a="1"/>
  <c r="AG1585" i="2" s="1"/>
  <c r="W1586" i="2" a="1"/>
  <c r="W1586" i="2" s="1"/>
  <c r="Y1589" i="2" a="1"/>
  <c r="Y1589" i="2" s="1"/>
  <c r="X1589" i="2" a="1"/>
  <c r="X1589" i="2" s="1"/>
  <c r="AH1585" i="2" a="1"/>
  <c r="AH1585" i="2" s="1"/>
  <c r="AI1588" i="2" a="1"/>
  <c r="AI1588" i="2" s="1"/>
  <c r="AD1586" i="2" a="1"/>
  <c r="AD1586" i="2" s="1"/>
  <c r="AE1588" i="2" a="1"/>
  <c r="AE1588" i="2" s="1"/>
  <c r="X1588" i="2" a="1"/>
  <c r="X1588" i="2" s="1"/>
  <c r="AD1587" i="2" a="1"/>
  <c r="AD1587" i="2" s="1"/>
  <c r="AE1586" i="2" a="1"/>
  <c r="AE1586" i="2" s="1"/>
  <c r="AB1585" i="2" a="1"/>
  <c r="AB1585" i="2" s="1"/>
  <c r="Y1587" i="2" a="1"/>
  <c r="Y1587" i="2" s="1"/>
  <c r="X1587" i="2" a="1"/>
  <c r="X1587" i="2" s="1"/>
  <c r="AF1586" i="2" a="1"/>
  <c r="AF1586" i="2" s="1"/>
  <c r="AI1585" i="2" a="1"/>
  <c r="AI1585" i="2" s="1"/>
  <c r="AC1585" i="2" a="1"/>
  <c r="AC1585" i="2" s="1"/>
  <c r="Y1585" i="2" a="1"/>
  <c r="Y1585" i="2" s="1"/>
  <c r="AC1589" i="2" a="1"/>
  <c r="AC1589" i="2" s="1"/>
  <c r="Y1588" i="2" a="1"/>
  <c r="Y1588" i="2" s="1"/>
  <c r="AB1589" i="2" a="1"/>
  <c r="AB1589" i="2" s="1"/>
  <c r="W1589" i="2" a="1"/>
  <c r="W1589" i="2" s="1"/>
  <c r="AJ1588" i="2" a="1"/>
  <c r="AJ1588" i="2" s="1"/>
  <c r="AC1588" i="2" a="1"/>
  <c r="AC1588" i="2" s="1"/>
  <c r="AB1586" i="2" a="1"/>
  <c r="AB1586" i="2" s="1"/>
  <c r="AE1587" i="2" a="1"/>
  <c r="AE1587" i="2" s="1"/>
  <c r="Z1588" i="2" a="1"/>
  <c r="Z1588" i="2" s="1"/>
  <c r="Z1586" i="2" a="1"/>
  <c r="Z1586" i="2" s="1"/>
  <c r="AE1589" i="2" a="1"/>
  <c r="AE1589" i="2" s="1"/>
  <c r="AF1587" i="2" a="1"/>
  <c r="AF1587" i="2" s="1"/>
  <c r="Z1589" i="2" a="1"/>
  <c r="Z1589" i="2" s="1"/>
  <c r="AH1586" i="2" a="1"/>
  <c r="AH1586" i="2" s="1"/>
  <c r="AE1585" i="2" a="1"/>
  <c r="AE1585" i="2" s="1"/>
  <c r="AG1588" i="2" a="1"/>
  <c r="AG1588" i="2" s="1"/>
  <c r="AJ1587" i="2" a="1"/>
  <c r="AJ1587" i="2" s="1"/>
  <c r="AJ1586" i="2" a="1"/>
  <c r="AJ1586" i="2" s="1"/>
  <c r="AB1587" i="2" a="1"/>
  <c r="AB1587" i="2" s="1"/>
  <c r="AI1587" i="2" a="1"/>
  <c r="AI1587" i="2" s="1"/>
  <c r="Z1587" i="2" a="1"/>
  <c r="Z1587" i="2" s="1"/>
  <c r="AA1585" i="2" a="1"/>
  <c r="AA1585" i="2" s="1"/>
  <c r="Z1585" i="2" a="1"/>
  <c r="Z1585" i="2" s="1"/>
  <c r="AG1587" i="2" a="1"/>
  <c r="AG1587" i="2" s="1"/>
  <c r="AA1587" i="2" a="1"/>
  <c r="AA1587" i="2" s="1"/>
  <c r="AI1586" i="2" a="1"/>
  <c r="AI1586" i="2" s="1"/>
  <c r="AC1586" i="2" a="1"/>
  <c r="AC1586" i="2" s="1"/>
  <c r="AF1585" i="2" a="1"/>
  <c r="AF1585" i="2" s="1"/>
  <c r="Y1586" i="2" a="1"/>
  <c r="Y1586" i="2" s="1"/>
  <c r="X1586" i="2" a="1"/>
  <c r="X1586" i="2" s="1"/>
  <c r="AG1586" i="2" a="1"/>
  <c r="AG1586" i="2" s="1"/>
  <c r="AD1585" i="2" a="1"/>
  <c r="AD1585" i="2" s="1"/>
  <c r="AJ1585" i="2" a="1"/>
  <c r="AJ1585" i="2" s="1"/>
  <c r="W1635" i="2" a="1"/>
  <c r="W1635" i="2" s="1"/>
  <c r="AH1588" i="2" a="1"/>
  <c r="AH1588" i="2" s="1"/>
  <c r="AF1588" i="2" a="1"/>
  <c r="AF1588" i="2" s="1"/>
  <c r="W1587" i="2" a="1"/>
  <c r="W1587" i="2" s="1"/>
  <c r="AA1589" i="2" a="1"/>
  <c r="AA1589" i="2" s="1"/>
  <c r="AC1587" i="2" a="1"/>
  <c r="AC1587" i="2" s="1"/>
  <c r="AB1588" i="2" a="1"/>
  <c r="AB1588" i="2" s="1"/>
  <c r="AA1583" i="2" a="1"/>
  <c r="AA1583" i="2" s="1"/>
  <c r="W1585" i="2" a="1"/>
  <c r="W1585" i="2" s="1"/>
  <c r="AA1582" i="2" a="1"/>
  <c r="AA1582" i="2" s="1"/>
  <c r="AE1584" i="2" a="1"/>
  <c r="AE1584" i="2" s="1"/>
  <c r="Z1584" i="2" a="1"/>
  <c r="Z1584" i="2" s="1"/>
  <c r="AC1584" i="2" a="1"/>
  <c r="AC1584" i="2" s="1"/>
  <c r="AB1582" i="2" a="1"/>
  <c r="AB1582" i="2" s="1"/>
  <c r="AI1580" i="2" a="1"/>
  <c r="AI1580" i="2" s="1"/>
  <c r="AG1582" i="2" a="1"/>
  <c r="AG1582" i="2" s="1"/>
  <c r="W1583" i="2" a="1"/>
  <c r="W1583" i="2" s="1"/>
  <c r="AI1584" i="2" a="1"/>
  <c r="AI1584" i="2" s="1"/>
  <c r="AH1584" i="2" a="1"/>
  <c r="AH1584" i="2" s="1"/>
  <c r="AD1584" i="2" a="1"/>
  <c r="AD1584" i="2" s="1"/>
  <c r="AB1584" i="2" a="1"/>
  <c r="AB1584" i="2" s="1"/>
  <c r="AA1584" i="2" a="1"/>
  <c r="AA1584" i="2" s="1"/>
  <c r="AI1583" i="2" a="1"/>
  <c r="AI1583" i="2" s="1"/>
  <c r="AH1583" i="2" a="1"/>
  <c r="AH1583" i="2" s="1"/>
  <c r="AF1583" i="2" a="1"/>
  <c r="AF1583" i="2" s="1"/>
  <c r="X1583" i="2" a="1"/>
  <c r="X1583" i="2" s="1"/>
  <c r="AF1582" i="2" a="1"/>
  <c r="AF1582" i="2" s="1"/>
  <c r="AJ1582" i="2" a="1"/>
  <c r="AJ1582" i="2" s="1"/>
  <c r="AF1581" i="2" a="1"/>
  <c r="AF1581" i="2" s="1"/>
  <c r="AH1582" i="2" a="1"/>
  <c r="AH1582" i="2" s="1"/>
  <c r="AG1581" i="2" a="1"/>
  <c r="AG1581" i="2" s="1"/>
  <c r="AD1582" i="2" a="1"/>
  <c r="AD1582" i="2" s="1"/>
  <c r="AE1583" i="2" a="1"/>
  <c r="AE1583" i="2" s="1"/>
  <c r="AI1582" i="2" a="1"/>
  <c r="AI1582" i="2" s="1"/>
  <c r="X1582" i="2" a="1"/>
  <c r="X1582" i="2" s="1"/>
  <c r="AC1581" i="2" a="1"/>
  <c r="AC1581" i="2" s="1"/>
  <c r="AJ1584" i="2" a="1"/>
  <c r="AJ1584" i="2" s="1"/>
  <c r="Z1583" i="2" a="1"/>
  <c r="Z1583" i="2" s="1"/>
  <c r="W1582" i="2" a="1"/>
  <c r="W1582" i="2" s="1"/>
  <c r="AG1580" i="2" a="1"/>
  <c r="AG1580" i="2" s="1"/>
  <c r="Y1581" i="2" a="1"/>
  <c r="Y1581" i="2" s="1"/>
  <c r="Y1582" i="2" a="1"/>
  <c r="Y1582" i="2" s="1"/>
  <c r="W1581" i="2" a="1"/>
  <c r="W1581" i="2" s="1"/>
  <c r="AC1582" i="2" a="1"/>
  <c r="AC1582" i="2" s="1"/>
  <c r="AD1583" i="2" a="1"/>
  <c r="AD1583" i="2" s="1"/>
  <c r="AG1584" i="2" a="1"/>
  <c r="AG1584" i="2" s="1"/>
  <c r="AG1583" i="2" a="1"/>
  <c r="AG1583" i="2" s="1"/>
  <c r="AD1581" i="2" a="1"/>
  <c r="AD1581" i="2" s="1"/>
  <c r="AC1583" i="2" a="1"/>
  <c r="AC1583" i="2" s="1"/>
  <c r="Y1583" i="2" a="1"/>
  <c r="Y1583" i="2" s="1"/>
  <c r="AE1582" i="2" a="1"/>
  <c r="AE1582" i="2" s="1"/>
  <c r="AI1581" i="2" a="1"/>
  <c r="AI1581" i="2" s="1"/>
  <c r="Z1581" i="2" a="1"/>
  <c r="Z1581" i="2" s="1"/>
  <c r="AH1581" i="2" a="1"/>
  <c r="AH1581" i="2" s="1"/>
  <c r="AF1584" i="2" a="1"/>
  <c r="AF1584" i="2" s="1"/>
  <c r="AJ1580" i="2" a="1"/>
  <c r="AJ1580" i="2" s="1"/>
  <c r="W1584" i="2" a="1"/>
  <c r="W1584" i="2" s="1"/>
  <c r="Z1582" i="2" a="1"/>
  <c r="Z1582" i="2" s="1"/>
  <c r="X1584" i="2" a="1"/>
  <c r="X1584" i="2" s="1"/>
  <c r="Y1584" i="2" a="1"/>
  <c r="Y1584" i="2" s="1"/>
  <c r="AB1581" i="2" a="1"/>
  <c r="AB1581" i="2" s="1"/>
  <c r="AJ1583" i="2" a="1"/>
  <c r="AJ1583" i="2" s="1"/>
  <c r="AA1581" i="2" a="1"/>
  <c r="AA1581" i="2" s="1"/>
  <c r="AB1583" i="2" a="1"/>
  <c r="AB1583" i="2" s="1"/>
  <c r="X1581" i="2" a="1"/>
  <c r="X1581" i="2" s="1"/>
  <c r="AF1580" i="2" a="1"/>
  <c r="AF1580" i="2" s="1"/>
  <c r="AH1580" i="2" a="1"/>
  <c r="AH1580" i="2" s="1"/>
  <c r="AE1581" i="2" a="1"/>
  <c r="AE1581" i="2" s="1"/>
  <c r="Y1636" i="2" a="1"/>
  <c r="Y1636" i="2" s="1"/>
  <c r="AJ1581" i="2" a="1"/>
  <c r="AJ1581" i="2" s="1"/>
  <c r="X1585" i="2" a="1"/>
  <c r="X1585" i="2" s="1"/>
  <c r="AB1579" i="2" a="1"/>
  <c r="AB1579" i="2" s="1"/>
  <c r="AH1577" i="2" a="1"/>
  <c r="AH1577" i="2" s="1"/>
  <c r="AE1577" i="2" a="1"/>
  <c r="AE1577" i="2" s="1"/>
  <c r="AA1578" i="2" a="1"/>
  <c r="AA1578" i="2" s="1"/>
  <c r="W1579" i="2" a="1"/>
  <c r="W1579" i="2" s="1"/>
  <c r="Z1580" i="2" a="1"/>
  <c r="Z1580" i="2" s="1"/>
  <c r="AC1578" i="2" a="1"/>
  <c r="AC1578" i="2" s="1"/>
  <c r="AH1579" i="2" a="1"/>
  <c r="AH1579" i="2" s="1"/>
  <c r="AF1579" i="2" a="1"/>
  <c r="AF1579" i="2" s="1"/>
  <c r="AC1576" i="2" a="1"/>
  <c r="AC1576" i="2" s="1"/>
  <c r="AE1579" i="2" a="1"/>
  <c r="AE1579" i="2" s="1"/>
  <c r="AB1578" i="2" a="1"/>
  <c r="AB1578" i="2" s="1"/>
  <c r="AC1579" i="2" a="1"/>
  <c r="AC1579" i="2" s="1"/>
  <c r="AH1578" i="2" a="1"/>
  <c r="AH1578" i="2" s="1"/>
  <c r="AG1578" i="2" a="1"/>
  <c r="AG1578" i="2" s="1"/>
  <c r="Z1576" i="2" a="1"/>
  <c r="Z1576" i="2" s="1"/>
  <c r="AD1579" i="2" a="1"/>
  <c r="AD1579" i="2" s="1"/>
  <c r="AB1577" i="2" a="1"/>
  <c r="AB1577" i="2" s="1"/>
  <c r="AA1577" i="2" a="1"/>
  <c r="AA1577" i="2" s="1"/>
  <c r="Y1579" i="2" a="1"/>
  <c r="Y1579" i="2" s="1"/>
  <c r="Z1578" i="2" a="1"/>
  <c r="Z1578" i="2" s="1"/>
  <c r="X1578" i="2" a="1"/>
  <c r="X1578" i="2" s="1"/>
  <c r="W1577" i="2" a="1"/>
  <c r="W1577" i="2" s="1"/>
  <c r="AI1577" i="2" a="1"/>
  <c r="AI1577" i="2" s="1"/>
  <c r="AC1577" i="2" a="1"/>
  <c r="AC1577" i="2" s="1"/>
  <c r="Y1576" i="2" a="1"/>
  <c r="Y1576" i="2" s="1"/>
  <c r="Y1578" i="2" a="1"/>
  <c r="Y1578" i="2" s="1"/>
  <c r="AH1576" i="2" a="1"/>
  <c r="AH1576" i="2" s="1"/>
  <c r="AG1576" i="2" a="1"/>
  <c r="AG1576" i="2" s="1"/>
  <c r="AG1577" i="2" a="1"/>
  <c r="AG1577" i="2" s="1"/>
  <c r="AD1577" i="2" a="1"/>
  <c r="AD1577" i="2" s="1"/>
  <c r="AD1576" i="2" a="1"/>
  <c r="AD1576" i="2" s="1"/>
  <c r="AJ1576" i="2" a="1"/>
  <c r="AJ1576" i="2" s="1"/>
  <c r="AI1576" i="2" a="1"/>
  <c r="AI1576" i="2" s="1"/>
  <c r="AE1576" i="2" a="1"/>
  <c r="AE1576" i="2" s="1"/>
  <c r="AA1576" i="2" a="1"/>
  <c r="AA1576" i="2" s="1"/>
  <c r="AJ1634" i="2" a="1"/>
  <c r="AJ1634" i="2" s="1"/>
  <c r="AI1579" i="2" a="1"/>
  <c r="AI1579" i="2" s="1"/>
  <c r="Z1577" i="2" a="1"/>
  <c r="Z1577" i="2" s="1"/>
  <c r="X1579" i="2" a="1"/>
  <c r="X1579" i="2" s="1"/>
  <c r="X1577" i="2" a="1"/>
  <c r="X1577" i="2" s="1"/>
  <c r="AE1580" i="2" a="1"/>
  <c r="AE1580" i="2" s="1"/>
  <c r="AD1580" i="2" a="1"/>
  <c r="AD1580" i="2" s="1"/>
  <c r="AC1580" i="2" a="1"/>
  <c r="AC1580" i="2" s="1"/>
  <c r="AA1580" i="2" a="1"/>
  <c r="AA1580" i="2" s="1"/>
  <c r="AJ1579" i="2" a="1"/>
  <c r="AJ1579" i="2" s="1"/>
  <c r="AJ1578" i="2" a="1"/>
  <c r="AJ1578" i="2" s="1"/>
  <c r="AE1578" i="2" a="1"/>
  <c r="AE1578" i="2" s="1"/>
  <c r="Y1577" i="2" a="1"/>
  <c r="Y1577" i="2" s="1"/>
  <c r="AB1580" i="2" a="1"/>
  <c r="AB1580" i="2" s="1"/>
  <c r="W1580" i="2" a="1"/>
  <c r="W1580" i="2" s="1"/>
  <c r="AA1579" i="2" a="1"/>
  <c r="AA1579" i="2" s="1"/>
  <c r="AF1576" i="2" a="1"/>
  <c r="AF1576" i="2" s="1"/>
  <c r="AB1576" i="2" a="1"/>
  <c r="AB1576" i="2" s="1"/>
  <c r="AD1578" i="2" a="1"/>
  <c r="AD1578" i="2" s="1"/>
  <c r="W1578" i="2" a="1"/>
  <c r="W1578" i="2" s="1"/>
  <c r="Y1580" i="2" a="1"/>
  <c r="Y1580" i="2" s="1"/>
  <c r="X1580" i="2" a="1"/>
  <c r="X1580" i="2" s="1"/>
  <c r="AG1579" i="2" a="1"/>
  <c r="AG1579" i="2" s="1"/>
  <c r="AJ1577" i="2" a="1"/>
  <c r="AJ1577" i="2" s="1"/>
  <c r="AI1578" i="2" a="1"/>
  <c r="AI1578" i="2" s="1"/>
  <c r="Z1579" i="2" a="1"/>
  <c r="Z1579" i="2" s="1"/>
  <c r="AF1578" i="2" a="1"/>
  <c r="AF1578" i="2" s="1"/>
  <c r="AF1577" i="2" a="1"/>
  <c r="AF1577" i="2" s="1"/>
  <c r="AH1571" i="2" a="1"/>
  <c r="AH1571" i="2" s="1"/>
  <c r="X1572" i="2" a="1"/>
  <c r="X1572" i="2" s="1"/>
  <c r="X1574" i="2" a="1"/>
  <c r="X1574" i="2" s="1"/>
  <c r="AJ1573" i="2" a="1"/>
  <c r="AJ1573" i="2" s="1"/>
  <c r="AF1572" i="2" a="1"/>
  <c r="AF1572" i="2" s="1"/>
  <c r="AD1573" i="2" a="1"/>
  <c r="AD1573" i="2" s="1"/>
  <c r="AB1573" i="2" a="1"/>
  <c r="AB1573" i="2" s="1"/>
  <c r="AD1572" i="2" a="1"/>
  <c r="AD1572" i="2" s="1"/>
  <c r="AJ1575" i="2" a="1"/>
  <c r="AJ1575" i="2" s="1"/>
  <c r="AB1574" i="2" a="1"/>
  <c r="AB1574" i="2" s="1"/>
  <c r="X1576" i="2" a="1"/>
  <c r="X1576" i="2" s="1"/>
  <c r="AI1575" i="2" a="1"/>
  <c r="AI1575" i="2" s="1"/>
  <c r="X1573" i="2" a="1"/>
  <c r="X1573" i="2" s="1"/>
  <c r="AH1575" i="2" a="1"/>
  <c r="AH1575" i="2" s="1"/>
  <c r="W1573" i="2" a="1"/>
  <c r="W1573" i="2" s="1"/>
  <c r="AA1572" i="2" a="1"/>
  <c r="AA1572" i="2" s="1"/>
  <c r="AG1575" i="2" a="1"/>
  <c r="AG1575" i="2" s="1"/>
  <c r="AH1574" i="2" a="1"/>
  <c r="AH1574" i="2" s="1"/>
  <c r="AF1575" i="2" a="1"/>
  <c r="AF1575" i="2" s="1"/>
  <c r="AI1574" i="2" a="1"/>
  <c r="AI1574" i="2" s="1"/>
  <c r="AF1574" i="2" a="1"/>
  <c r="AF1574" i="2" s="1"/>
  <c r="AE1573" i="2" a="1"/>
  <c r="AE1573" i="2" s="1"/>
  <c r="Y1573" i="2" a="1"/>
  <c r="Y1573" i="2" s="1"/>
  <c r="Y1572" i="2" a="1"/>
  <c r="Y1572" i="2" s="1"/>
  <c r="AF1571" i="2" a="1"/>
  <c r="AF1571" i="2" s="1"/>
  <c r="AJ1572" i="2" a="1"/>
  <c r="AJ1572" i="2" s="1"/>
  <c r="AG1571" i="2" a="1"/>
  <c r="AG1571" i="2" s="1"/>
  <c r="Z1573" i="2" a="1"/>
  <c r="Z1573" i="2" s="1"/>
  <c r="AC1573" i="2" a="1"/>
  <c r="AC1573" i="2" s="1"/>
  <c r="AH1572" i="2" a="1"/>
  <c r="AH1572" i="2" s="1"/>
  <c r="AE1575" i="2" a="1"/>
  <c r="AE1575" i="2" s="1"/>
  <c r="AC1574" i="2" a="1"/>
  <c r="AC1574" i="2" s="1"/>
  <c r="AH1573" i="2" a="1"/>
  <c r="AH1573" i="2" s="1"/>
  <c r="AC1575" i="2" a="1"/>
  <c r="AC1575" i="2" s="1"/>
  <c r="AD1574" i="2" a="1"/>
  <c r="AD1574" i="2" s="1"/>
  <c r="AG1573" i="2" a="1"/>
  <c r="AG1573" i="2" s="1"/>
  <c r="AB1575" i="2" a="1"/>
  <c r="AB1575" i="2" s="1"/>
  <c r="Y1575" i="2" a="1"/>
  <c r="Y1575" i="2" s="1"/>
  <c r="W1575" i="2" a="1"/>
  <c r="W1575" i="2" s="1"/>
  <c r="Y1574" i="2" a="1"/>
  <c r="Y1574" i="2" s="1"/>
  <c r="AG1572" i="2" a="1"/>
  <c r="AG1572" i="2" s="1"/>
  <c r="AA1575" i="2" a="1"/>
  <c r="AA1575" i="2" s="1"/>
  <c r="AG1574" i="2" a="1"/>
  <c r="AG1574" i="2" s="1"/>
  <c r="W1574" i="2" a="1"/>
  <c r="W1574" i="2" s="1"/>
  <c r="AA1573" i="2" a="1"/>
  <c r="AA1573" i="2" s="1"/>
  <c r="AE1572" i="2" a="1"/>
  <c r="AE1572" i="2" s="1"/>
  <c r="W1572" i="2" a="1"/>
  <c r="W1572" i="2" s="1"/>
  <c r="AC1572" i="2" a="1"/>
  <c r="AC1572" i="2" s="1"/>
  <c r="AI1571" i="2" a="1"/>
  <c r="AI1571" i="2" s="1"/>
  <c r="Z1575" i="2" a="1"/>
  <c r="Z1575" i="2" s="1"/>
  <c r="X1575" i="2" a="1"/>
  <c r="X1575" i="2" s="1"/>
  <c r="AJ1574" i="2" a="1"/>
  <c r="AJ1574" i="2" s="1"/>
  <c r="AE1574" i="2" a="1"/>
  <c r="AE1574" i="2" s="1"/>
  <c r="AA1574" i="2" a="1"/>
  <c r="AA1574" i="2" s="1"/>
  <c r="Z1574" i="2" a="1"/>
  <c r="Z1574" i="2" s="1"/>
  <c r="AI1573" i="2" a="1"/>
  <c r="AI1573" i="2" s="1"/>
  <c r="AB1572" i="2" a="1"/>
  <c r="AB1572" i="2" s="1"/>
  <c r="AJ1571" i="2" a="1"/>
  <c r="AJ1571" i="2" s="1"/>
  <c r="AF1573" i="2" a="1"/>
  <c r="AF1573" i="2" s="1"/>
  <c r="Z1572" i="2" a="1"/>
  <c r="Z1572" i="2" s="1"/>
  <c r="AG1635" i="2" a="1"/>
  <c r="AG1635" i="2" s="1"/>
  <c r="AI1572" i="2" a="1"/>
  <c r="AI1572" i="2" s="1"/>
  <c r="W1576" i="2" a="1"/>
  <c r="W1576" i="2" s="1"/>
  <c r="AD1575" i="2" a="1"/>
  <c r="AD1575" i="2" s="1"/>
  <c r="AD1571" i="2" a="1"/>
  <c r="AD1571" i="2" s="1"/>
  <c r="AE1569" i="2" a="1"/>
  <c r="AE1569" i="2" s="1"/>
  <c r="W1570" i="2" a="1"/>
  <c r="W1570" i="2" s="1"/>
  <c r="AB1571" i="2" a="1"/>
  <c r="AB1571" i="2" s="1"/>
  <c r="AA1567" i="2" a="1"/>
  <c r="AA1567" i="2" s="1"/>
  <c r="AF1567" i="2" a="1"/>
  <c r="AF1567" i="2" s="1"/>
  <c r="Z1571" i="2" a="1"/>
  <c r="Z1571" i="2" s="1"/>
  <c r="Y1567" i="2" a="1"/>
  <c r="Y1567" i="2" s="1"/>
  <c r="AJ1570" i="2" a="1"/>
  <c r="AJ1570" i="2" s="1"/>
  <c r="AF1570" i="2" a="1"/>
  <c r="AF1570" i="2" s="1"/>
  <c r="Z1570" i="2" a="1"/>
  <c r="Z1570" i="2" s="1"/>
  <c r="AH1569" i="2" a="1"/>
  <c r="AH1569" i="2" s="1"/>
  <c r="AC1568" i="2" a="1"/>
  <c r="AC1568" i="2" s="1"/>
  <c r="Z1568" i="2" a="1"/>
  <c r="Z1568" i="2" s="1"/>
  <c r="X1568" i="2" a="1"/>
  <c r="X1568" i="2" s="1"/>
  <c r="W1568" i="2" a="1"/>
  <c r="W1568" i="2" s="1"/>
  <c r="AC1571" i="2" a="1"/>
  <c r="AC1571" i="2" s="1"/>
  <c r="AH1570" i="2" a="1"/>
  <c r="AH1570" i="2" s="1"/>
  <c r="AD1568" i="2" a="1"/>
  <c r="AD1568" i="2" s="1"/>
  <c r="AB1568" i="2" a="1"/>
  <c r="AB1568" i="2" s="1"/>
  <c r="AA1571" i="2" a="1"/>
  <c r="AA1571" i="2" s="1"/>
  <c r="Y1571" i="2" a="1"/>
  <c r="Y1571" i="2" s="1"/>
  <c r="X1571" i="2" a="1"/>
  <c r="X1571" i="2" s="1"/>
  <c r="AF1569" i="2" a="1"/>
  <c r="AF1569" i="2" s="1"/>
  <c r="W1571" i="2" a="1"/>
  <c r="W1571" i="2" s="1"/>
  <c r="AI1570" i="2" a="1"/>
  <c r="AI1570" i="2" s="1"/>
  <c r="AG1570" i="2" a="1"/>
  <c r="AG1570" i="2" s="1"/>
  <c r="AE1570" i="2" a="1"/>
  <c r="AE1570" i="2" s="1"/>
  <c r="AA1570" i="2" a="1"/>
  <c r="AA1570" i="2" s="1"/>
  <c r="AD1570" i="2" a="1"/>
  <c r="AD1570" i="2" s="1"/>
  <c r="AG1567" i="2" a="1"/>
  <c r="AG1567" i="2" s="1"/>
  <c r="AB1570" i="2" a="1"/>
  <c r="AB1570" i="2" s="1"/>
  <c r="AI1568" i="2" a="1"/>
  <c r="AI1568" i="2" s="1"/>
  <c r="AE1567" i="2" a="1"/>
  <c r="AE1567" i="2" s="1"/>
  <c r="AC1570" i="2" a="1"/>
  <c r="AC1570" i="2" s="1"/>
  <c r="AG1568" i="2" a="1"/>
  <c r="AG1568" i="2" s="1"/>
  <c r="Y1570" i="2" a="1"/>
  <c r="Y1570" i="2" s="1"/>
  <c r="AF1568" i="2" a="1"/>
  <c r="AF1568" i="2" s="1"/>
  <c r="Z1569" i="2" a="1"/>
  <c r="Z1569" i="2" s="1"/>
  <c r="X1570" i="2" a="1"/>
  <c r="X1570" i="2" s="1"/>
  <c r="AB1567" i="2" a="1"/>
  <c r="AB1567" i="2" s="1"/>
  <c r="AB1569" i="2" a="1"/>
  <c r="AB1569" i="2" s="1"/>
  <c r="AJ1569" i="2" a="1"/>
  <c r="AJ1569" i="2" s="1"/>
  <c r="AE1568" i="2" a="1"/>
  <c r="AE1568" i="2" s="1"/>
  <c r="AI1569" i="2" a="1"/>
  <c r="AI1569" i="2" s="1"/>
  <c r="AJ1568" i="2" a="1"/>
  <c r="AJ1568" i="2" s="1"/>
  <c r="AA1568" i="2" a="1"/>
  <c r="AA1568" i="2" s="1"/>
  <c r="AI1567" i="2" a="1"/>
  <c r="AI1567" i="2" s="1"/>
  <c r="Z1567" i="2" a="1"/>
  <c r="Z1567" i="2" s="1"/>
  <c r="AD1569" i="2" a="1"/>
  <c r="AD1569" i="2" s="1"/>
  <c r="AA1569" i="2" a="1"/>
  <c r="AA1569" i="2" s="1"/>
  <c r="AH1567" i="2" a="1"/>
  <c r="AH1567" i="2" s="1"/>
  <c r="X1569" i="2" a="1"/>
  <c r="X1569" i="2" s="1"/>
  <c r="AD1567" i="2" a="1"/>
  <c r="AD1567" i="2" s="1"/>
  <c r="Y1569" i="2" a="1"/>
  <c r="Y1569" i="2" s="1"/>
  <c r="W1569" i="2" a="1"/>
  <c r="W1569" i="2" s="1"/>
  <c r="AG1569" i="2" a="1"/>
  <c r="AG1569" i="2" s="1"/>
  <c r="AC1569" i="2" a="1"/>
  <c r="AC1569" i="2" s="1"/>
  <c r="AH1568" i="2" a="1"/>
  <c r="AH1568" i="2" s="1"/>
  <c r="Y1568" i="2" a="1"/>
  <c r="Y1568" i="2" s="1"/>
  <c r="AC1567" i="2" a="1"/>
  <c r="AC1567" i="2" s="1"/>
  <c r="AI1634" i="2" a="1"/>
  <c r="AI1634" i="2" s="1"/>
  <c r="AJ1567" i="2" a="1"/>
  <c r="AJ1567" i="2" s="1"/>
  <c r="AE1571" i="2" a="1"/>
  <c r="AE1571" i="2" s="1"/>
  <c r="AJ1566" i="2" a="1"/>
  <c r="AJ1566" i="2" s="1"/>
  <c r="AI1566" i="2" a="1"/>
  <c r="AI1566" i="2" s="1"/>
  <c r="AH1566" i="2" a="1"/>
  <c r="AH1566" i="2" s="1"/>
  <c r="AD1564" i="2" a="1"/>
  <c r="AD1564" i="2" s="1"/>
  <c r="AC1566" i="2" a="1"/>
  <c r="AC1566" i="2" s="1"/>
  <c r="AG1566" i="2" a="1"/>
  <c r="AG1566" i="2" s="1"/>
  <c r="AF1564" i="2" a="1"/>
  <c r="AF1564" i="2" s="1"/>
  <c r="AI1562" i="2" a="1"/>
  <c r="AI1562" i="2" s="1"/>
  <c r="AG1562" i="2" a="1"/>
  <c r="AG1562" i="2" s="1"/>
  <c r="AF1566" i="2" a="1"/>
  <c r="AF1566" i="2" s="1"/>
  <c r="AG1564" i="2" a="1"/>
  <c r="AG1564" i="2" s="1"/>
  <c r="AE1564" i="2" a="1"/>
  <c r="AE1564" i="2" s="1"/>
  <c r="AD1566" i="2" a="1"/>
  <c r="AD1566" i="2" s="1"/>
  <c r="AI1565" i="2" a="1"/>
  <c r="AI1565" i="2" s="1"/>
  <c r="AI1563" i="2" a="1"/>
  <c r="AI1563" i="2" s="1"/>
  <c r="AD1565" i="2" a="1"/>
  <c r="AD1565" i="2" s="1"/>
  <c r="AC1564" i="2" a="1"/>
  <c r="AC1564" i="2" s="1"/>
  <c r="AJ1563" i="2" a="1"/>
  <c r="AJ1563" i="2" s="1"/>
  <c r="AH1562" i="2" a="1"/>
  <c r="AH1562" i="2" s="1"/>
  <c r="AH1563" i="2" a="1"/>
  <c r="AH1563" i="2" s="1"/>
  <c r="X1563" i="2" a="1"/>
  <c r="X1563" i="2" s="1"/>
  <c r="AH1564" i="2" a="1"/>
  <c r="AH1564" i="2" s="1"/>
  <c r="AE1565" i="2" a="1"/>
  <c r="AE1565" i="2" s="1"/>
  <c r="W1565" i="2" a="1"/>
  <c r="W1565" i="2" s="1"/>
  <c r="AF1563" i="2" a="1"/>
  <c r="AF1563" i="2" s="1"/>
  <c r="AD1563" i="2" a="1"/>
  <c r="AD1563" i="2" s="1"/>
  <c r="Z1564" i="2" a="1"/>
  <c r="Z1564" i="2" s="1"/>
  <c r="Z1563" i="2" a="1"/>
  <c r="Z1563" i="2" s="1"/>
  <c r="AA1565" i="2" a="1"/>
  <c r="AA1565" i="2" s="1"/>
  <c r="Y1566" i="2" a="1"/>
  <c r="Y1566" i="2" s="1"/>
  <c r="Y1564" i="2" a="1"/>
  <c r="Y1564" i="2" s="1"/>
  <c r="Y1563" i="2" a="1"/>
  <c r="Y1563" i="2" s="1"/>
  <c r="Z1565" i="2" a="1"/>
  <c r="Z1565" i="2" s="1"/>
  <c r="AA1564" i="2" a="1"/>
  <c r="AA1564" i="2" s="1"/>
  <c r="AA1563" i="2" a="1"/>
  <c r="AA1563" i="2" s="1"/>
  <c r="AE1566" i="2" a="1"/>
  <c r="AE1566" i="2" s="1"/>
  <c r="AE1563" i="2" a="1"/>
  <c r="AE1563" i="2" s="1"/>
  <c r="AA1566" i="2" a="1"/>
  <c r="AA1566" i="2" s="1"/>
  <c r="Z1566" i="2" a="1"/>
  <c r="Z1566" i="2" s="1"/>
  <c r="AJ1565" i="2" a="1"/>
  <c r="AJ1565" i="2" s="1"/>
  <c r="AB1565" i="2" a="1"/>
  <c r="AB1565" i="2" s="1"/>
  <c r="W1563" i="2" a="1"/>
  <c r="W1563" i="2" s="1"/>
  <c r="AG1565" i="2" a="1"/>
  <c r="AG1565" i="2" s="1"/>
  <c r="AF1562" i="2" a="1"/>
  <c r="AF1562" i="2" s="1"/>
  <c r="AF1565" i="2" a="1"/>
  <c r="AF1565" i="2" s="1"/>
  <c r="W1564" i="2" a="1"/>
  <c r="W1564" i="2" s="1"/>
  <c r="AG1563" i="2" a="1"/>
  <c r="AG1563" i="2" s="1"/>
  <c r="X1566" i="2" a="1"/>
  <c r="X1566" i="2" s="1"/>
  <c r="W1566" i="2" a="1"/>
  <c r="W1566" i="2" s="1"/>
  <c r="AB1564" i="2" a="1"/>
  <c r="AB1564" i="2" s="1"/>
  <c r="AB1563" i="2" a="1"/>
  <c r="AB1563" i="2" s="1"/>
  <c r="AH1565" i="2" a="1"/>
  <c r="AH1565" i="2" s="1"/>
  <c r="Y1565" i="2" a="1"/>
  <c r="Y1565" i="2" s="1"/>
  <c r="AJ1562" i="2" a="1"/>
  <c r="AJ1562" i="2" s="1"/>
  <c r="AC1636" i="2" a="1"/>
  <c r="AC1636" i="2" s="1"/>
  <c r="AB1566" i="2" a="1"/>
  <c r="AB1566" i="2" s="1"/>
  <c r="AI1564" i="2" a="1"/>
  <c r="AI1564" i="2" s="1"/>
  <c r="AC1563" i="2" a="1"/>
  <c r="AC1563" i="2" s="1"/>
  <c r="X1567" i="2" a="1"/>
  <c r="X1567" i="2" s="1"/>
  <c r="AC1565" i="2" a="1"/>
  <c r="AC1565" i="2" s="1"/>
  <c r="X1565" i="2" a="1"/>
  <c r="X1565" i="2" s="1"/>
  <c r="W1567" i="2" a="1"/>
  <c r="W1567" i="2" s="1"/>
  <c r="X1564" i="2" a="1"/>
  <c r="X1564" i="2" s="1"/>
  <c r="AJ1564" i="2" a="1"/>
  <c r="AJ1564" i="2" s="1"/>
  <c r="AB1562" i="2" a="1"/>
  <c r="AB1562" i="2" s="1"/>
  <c r="AD1561" i="2" a="1"/>
  <c r="AD1561" i="2" s="1"/>
  <c r="Y1560" i="2" a="1"/>
  <c r="Y1560" i="2" s="1"/>
  <c r="AH1559" i="2" a="1"/>
  <c r="AH1559" i="2" s="1"/>
  <c r="AC1559" i="2" a="1"/>
  <c r="AC1559" i="2" s="1"/>
  <c r="AC1561" i="2" a="1"/>
  <c r="AC1561" i="2" s="1"/>
  <c r="Z1560" i="2" a="1"/>
  <c r="Z1560" i="2" s="1"/>
  <c r="AD1560" i="2" a="1"/>
  <c r="AD1560" i="2" s="1"/>
  <c r="AF1558" i="2" a="1"/>
  <c r="AF1558" i="2" s="1"/>
  <c r="AB1558" i="2" a="1"/>
  <c r="AB1558" i="2" s="1"/>
  <c r="AA1560" i="2" a="1"/>
  <c r="AA1560" i="2" s="1"/>
  <c r="AD1562" i="2" a="1"/>
  <c r="AD1562" i="2" s="1"/>
  <c r="AC1562" i="2" a="1"/>
  <c r="AC1562" i="2" s="1"/>
  <c r="AA1562" i="2" a="1"/>
  <c r="AA1562" i="2" s="1"/>
  <c r="AI1561" i="2" a="1"/>
  <c r="AI1561" i="2" s="1"/>
  <c r="AI1559" i="2" a="1"/>
  <c r="AI1559" i="2" s="1"/>
  <c r="Y1562" i="2" a="1"/>
  <c r="Y1562" i="2" s="1"/>
  <c r="X1562" i="2" a="1"/>
  <c r="X1562" i="2" s="1"/>
  <c r="AI1560" i="2" a="1"/>
  <c r="AI1560" i="2" s="1"/>
  <c r="AH1561" i="2" a="1"/>
  <c r="AH1561" i="2" s="1"/>
  <c r="X1560" i="2" a="1"/>
  <c r="X1560" i="2" s="1"/>
  <c r="AB1560" i="2" a="1"/>
  <c r="AB1560" i="2" s="1"/>
  <c r="AA1559" i="2" a="1"/>
  <c r="AA1559" i="2" s="1"/>
  <c r="AJ1558" i="2" a="1"/>
  <c r="AJ1558" i="2" s="1"/>
  <c r="AF1561" i="2" a="1"/>
  <c r="AF1561" i="2" s="1"/>
  <c r="AJ1559" i="2" a="1"/>
  <c r="AJ1559" i="2" s="1"/>
  <c r="X1561" i="2" a="1"/>
  <c r="X1561" i="2" s="1"/>
  <c r="AF1560" i="2" a="1"/>
  <c r="AF1560" i="2" s="1"/>
  <c r="AI1558" i="2" a="1"/>
  <c r="AI1558" i="2" s="1"/>
  <c r="AE1559" i="2" a="1"/>
  <c r="AE1559" i="2" s="1"/>
  <c r="AJ1560" i="2" a="1"/>
  <c r="AJ1560" i="2" s="1"/>
  <c r="AC1558" i="2" a="1"/>
  <c r="AC1558" i="2" s="1"/>
  <c r="W1560" i="2" a="1"/>
  <c r="W1560" i="2" s="1"/>
  <c r="AB1561" i="2" a="1"/>
  <c r="AB1561" i="2" s="1"/>
  <c r="W1561" i="2" a="1"/>
  <c r="W1561" i="2" s="1"/>
  <c r="AE1558" i="2" a="1"/>
  <c r="AE1558" i="2" s="1"/>
  <c r="AE1561" i="2" a="1"/>
  <c r="AE1561" i="2" s="1"/>
  <c r="Z1561" i="2" a="1"/>
  <c r="Z1561" i="2" s="1"/>
  <c r="AJ1561" i="2" a="1"/>
  <c r="AJ1561" i="2" s="1"/>
  <c r="AG1561" i="2" a="1"/>
  <c r="AG1561" i="2" s="1"/>
  <c r="AD1559" i="2" a="1"/>
  <c r="AD1559" i="2" s="1"/>
  <c r="AA1561" i="2" a="1"/>
  <c r="AA1561" i="2" s="1"/>
  <c r="Y1559" i="2" a="1"/>
  <c r="Y1559" i="2" s="1"/>
  <c r="Y1561" i="2" a="1"/>
  <c r="Y1561" i="2" s="1"/>
  <c r="AG1560" i="2" a="1"/>
  <c r="AG1560" i="2" s="1"/>
  <c r="Y1558" i="2" a="1"/>
  <c r="Y1558" i="2" s="1"/>
  <c r="W1559" i="2" a="1"/>
  <c r="W1559" i="2" s="1"/>
  <c r="AD1558" i="2" a="1"/>
  <c r="AD1558" i="2" s="1"/>
  <c r="AB1559" i="2" a="1"/>
  <c r="AB1559" i="2" s="1"/>
  <c r="AE1560" i="2" a="1"/>
  <c r="AE1560" i="2" s="1"/>
  <c r="AG1559" i="2" a="1"/>
  <c r="AG1559" i="2" s="1"/>
  <c r="AH1558" i="2" a="1"/>
  <c r="AH1558" i="2" s="1"/>
  <c r="Z1559" i="2" a="1"/>
  <c r="Z1559" i="2" s="1"/>
  <c r="AA1558" i="2" a="1"/>
  <c r="AA1558" i="2" s="1"/>
  <c r="X1559" i="2" a="1"/>
  <c r="X1559" i="2" s="1"/>
  <c r="Z1558" i="2" a="1"/>
  <c r="Z1558" i="2" s="1"/>
  <c r="AC1560" i="2" a="1"/>
  <c r="AC1560" i="2" s="1"/>
  <c r="AG1558" i="2" a="1"/>
  <c r="AG1558" i="2" s="1"/>
  <c r="AE1562" i="2" a="1"/>
  <c r="AE1562" i="2" s="1"/>
  <c r="AH1634" i="2" a="1"/>
  <c r="AH1634" i="2" s="1"/>
  <c r="W1562" i="2" a="1"/>
  <c r="W1562" i="2" s="1"/>
  <c r="AF1559" i="2" a="1"/>
  <c r="AF1559" i="2" s="1"/>
  <c r="AH1560" i="2" a="1"/>
  <c r="AH1560" i="2" s="1"/>
  <c r="Z1562" i="2" a="1"/>
  <c r="Z1562" i="2" s="1"/>
  <c r="W1555" i="2" a="1"/>
  <c r="W1555" i="2" s="1"/>
  <c r="AG1556" i="2" a="1"/>
  <c r="AG1556" i="2" s="1"/>
  <c r="Y1556" i="2" a="1"/>
  <c r="Y1556" i="2" s="1"/>
  <c r="X1554" i="2" a="1"/>
  <c r="X1554" i="2" s="1"/>
  <c r="AD1556" i="2" a="1"/>
  <c r="AD1556" i="2" s="1"/>
  <c r="AE1554" i="2" a="1"/>
  <c r="AE1554" i="2" s="1"/>
  <c r="Z1556" i="2" a="1"/>
  <c r="Z1556" i="2" s="1"/>
  <c r="AB1555" i="2" a="1"/>
  <c r="AB1555" i="2" s="1"/>
  <c r="AD1555" i="2" a="1"/>
  <c r="AD1555" i="2" s="1"/>
  <c r="AG1553" i="2" a="1"/>
  <c r="AG1553" i="2" s="1"/>
  <c r="AJ1554" i="2" a="1"/>
  <c r="AJ1554" i="2" s="1"/>
  <c r="Y1554" i="2" a="1"/>
  <c r="Y1554" i="2" s="1"/>
  <c r="W1556" i="2" a="1"/>
  <c r="W1556" i="2" s="1"/>
  <c r="AJ1557" i="2" a="1"/>
  <c r="AJ1557" i="2" s="1"/>
  <c r="AG1557" i="2" a="1"/>
  <c r="AG1557" i="2" s="1"/>
  <c r="AH1553" i="2" a="1"/>
  <c r="AH1553" i="2" s="1"/>
  <c r="AI1557" i="2" a="1"/>
  <c r="AI1557" i="2" s="1"/>
  <c r="AH1555" i="2" a="1"/>
  <c r="AH1555" i="2" s="1"/>
  <c r="AI1555" i="2" a="1"/>
  <c r="AI1555" i="2" s="1"/>
  <c r="W1554" i="2" a="1"/>
  <c r="W1554" i="2" s="1"/>
  <c r="AF1553" i="2" a="1"/>
  <c r="AF1553" i="2" s="1"/>
  <c r="AG1555" i="2" a="1"/>
  <c r="AG1555" i="2" s="1"/>
  <c r="AG1554" i="2" a="1"/>
  <c r="AG1554" i="2" s="1"/>
  <c r="AA1554" i="2" a="1"/>
  <c r="AA1554" i="2" s="1"/>
  <c r="AF1557" i="2" a="1"/>
  <c r="AF1557" i="2" s="1"/>
  <c r="AI1553" i="2" a="1"/>
  <c r="AI1553" i="2" s="1"/>
  <c r="AC1557" i="2" a="1"/>
  <c r="AC1557" i="2" s="1"/>
  <c r="AH1556" i="2" a="1"/>
  <c r="AH1556" i="2" s="1"/>
  <c r="AE1556" i="2" a="1"/>
  <c r="AE1556" i="2" s="1"/>
  <c r="AE1555" i="2" a="1"/>
  <c r="AE1555" i="2" s="1"/>
  <c r="AC1556" i="2" a="1"/>
  <c r="AC1556" i="2" s="1"/>
  <c r="Z1555" i="2" a="1"/>
  <c r="Z1555" i="2" s="1"/>
  <c r="AJ1553" i="2" a="1"/>
  <c r="AJ1553" i="2" s="1"/>
  <c r="AD1554" i="2" a="1"/>
  <c r="AD1554" i="2" s="1"/>
  <c r="AD1557" i="2" a="1"/>
  <c r="AD1557" i="2" s="1"/>
  <c r="AI1554" i="2" a="1"/>
  <c r="AI1554" i="2" s="1"/>
  <c r="AA1556" i="2" a="1"/>
  <c r="AA1556" i="2" s="1"/>
  <c r="AF1635" i="2" a="1"/>
  <c r="AF1635" i="2" s="1"/>
  <c r="X1558" i="2" a="1"/>
  <c r="X1558" i="2" s="1"/>
  <c r="W1558" i="2" a="1"/>
  <c r="W1558" i="2" s="1"/>
  <c r="AH1557" i="2" a="1"/>
  <c r="AH1557" i="2" s="1"/>
  <c r="AE1557" i="2" a="1"/>
  <c r="AE1557" i="2" s="1"/>
  <c r="AA1557" i="2" a="1"/>
  <c r="AA1557" i="2" s="1"/>
  <c r="AJ1556" i="2" a="1"/>
  <c r="AJ1556" i="2" s="1"/>
  <c r="AF1556" i="2" a="1"/>
  <c r="AF1556" i="2" s="1"/>
  <c r="AB1556" i="2" a="1"/>
  <c r="AB1556" i="2" s="1"/>
  <c r="X1556" i="2" a="1"/>
  <c r="X1556" i="2" s="1"/>
  <c r="AC1555" i="2" a="1"/>
  <c r="AC1555" i="2" s="1"/>
  <c r="AH1554" i="2" a="1"/>
  <c r="AH1554" i="2" s="1"/>
  <c r="AJ1555" i="2" a="1"/>
  <c r="AJ1555" i="2" s="1"/>
  <c r="AF1554" i="2" a="1"/>
  <c r="AF1554" i="2" s="1"/>
  <c r="AF1555" i="2" a="1"/>
  <c r="AF1555" i="2" s="1"/>
  <c r="X1555" i="2" a="1"/>
  <c r="X1555" i="2" s="1"/>
  <c r="AC1554" i="2" a="1"/>
  <c r="AC1554" i="2" s="1"/>
  <c r="AB1557" i="2" a="1"/>
  <c r="AB1557" i="2" s="1"/>
  <c r="Z1557" i="2" a="1"/>
  <c r="Z1557" i="2" s="1"/>
  <c r="Y1557" i="2" a="1"/>
  <c r="Y1557" i="2" s="1"/>
  <c r="X1557" i="2" a="1"/>
  <c r="X1557" i="2" s="1"/>
  <c r="Y1555" i="2" a="1"/>
  <c r="Y1555" i="2" s="1"/>
  <c r="AA1555" i="2" a="1"/>
  <c r="AA1555" i="2" s="1"/>
  <c r="AB1554" i="2" a="1"/>
  <c r="AB1554" i="2" s="1"/>
  <c r="W1557" i="2" a="1"/>
  <c r="W1557" i="2" s="1"/>
  <c r="AI1556" i="2" a="1"/>
  <c r="AI1556" i="2" s="1"/>
  <c r="Z1554" i="2" a="1"/>
  <c r="Z1554" i="2" s="1"/>
  <c r="AF1549" i="2" a="1"/>
  <c r="AF1549" i="2" s="1"/>
  <c r="AG1552" i="2" a="1"/>
  <c r="AG1552" i="2" s="1"/>
  <c r="Z1551" i="2" a="1"/>
  <c r="Z1551" i="2" s="1"/>
  <c r="AF1552" i="2" a="1"/>
  <c r="AF1552" i="2" s="1"/>
  <c r="AE1552" i="2" a="1"/>
  <c r="AE1552" i="2" s="1"/>
  <c r="AI1550" i="2" a="1"/>
  <c r="AI1550" i="2" s="1"/>
  <c r="AI1551" i="2" a="1"/>
  <c r="AI1551" i="2" s="1"/>
  <c r="Z1552" i="2" a="1"/>
  <c r="Z1552" i="2" s="1"/>
  <c r="AF1551" i="2" a="1"/>
  <c r="AF1551" i="2" s="1"/>
  <c r="AE1551" i="2" a="1"/>
  <c r="AE1551" i="2" s="1"/>
  <c r="X1551" i="2" a="1"/>
  <c r="X1551" i="2" s="1"/>
  <c r="AA1550" i="2" a="1"/>
  <c r="AA1550" i="2" s="1"/>
  <c r="AC1549" i="2" a="1"/>
  <c r="AC1549" i="2" s="1"/>
  <c r="AJ1549" i="2" a="1"/>
  <c r="AJ1549" i="2" s="1"/>
  <c r="AE1550" i="2" a="1"/>
  <c r="AE1550" i="2" s="1"/>
  <c r="Z1550" i="2" a="1"/>
  <c r="Z1550" i="2" s="1"/>
  <c r="AD1551" i="2" a="1"/>
  <c r="AD1551" i="2" s="1"/>
  <c r="Y1549" i="2" a="1"/>
  <c r="Y1549" i="2" s="1"/>
  <c r="AF1550" i="2" a="1"/>
  <c r="AF1550" i="2" s="1"/>
  <c r="AD1550" i="2" a="1"/>
  <c r="AD1550" i="2" s="1"/>
  <c r="AG1551" i="2" a="1"/>
  <c r="AG1551" i="2" s="1"/>
  <c r="AB1550" i="2" a="1"/>
  <c r="AB1550" i="2" s="1"/>
  <c r="Z1549" i="2" a="1"/>
  <c r="Z1549" i="2" s="1"/>
  <c r="AD1553" i="2" a="1"/>
  <c r="AD1553" i="2" s="1"/>
  <c r="AB1551" i="2" a="1"/>
  <c r="AB1551" i="2" s="1"/>
  <c r="Y1550" i="2" a="1"/>
  <c r="Y1550" i="2" s="1"/>
  <c r="AE1549" i="2" a="1"/>
  <c r="AE1549" i="2" s="1"/>
  <c r="AB1549" i="2" a="1"/>
  <c r="AB1549" i="2" s="1"/>
  <c r="AE1553" i="2" a="1"/>
  <c r="AE1553" i="2" s="1"/>
  <c r="AG1634" i="2" a="1"/>
  <c r="AG1634" i="2" s="1"/>
  <c r="AJ1550" i="2" a="1"/>
  <c r="AJ1550" i="2" s="1"/>
  <c r="AC1552" i="2" a="1"/>
  <c r="AC1552" i="2" s="1"/>
  <c r="Y1552" i="2" a="1"/>
  <c r="Y1552" i="2" s="1"/>
  <c r="X1552" i="2" a="1"/>
  <c r="X1552" i="2" s="1"/>
  <c r="AJ1551" i="2" a="1"/>
  <c r="AJ1551" i="2" s="1"/>
  <c r="AA1551" i="2" a="1"/>
  <c r="AA1551" i="2" s="1"/>
  <c r="AH1550" i="2" a="1"/>
  <c r="AH1550" i="2" s="1"/>
  <c r="W1550" i="2" a="1"/>
  <c r="W1550" i="2" s="1"/>
  <c r="AC1553" i="2" a="1"/>
  <c r="AC1553" i="2" s="1"/>
  <c r="AB1553" i="2" a="1"/>
  <c r="AB1553" i="2" s="1"/>
  <c r="W1553" i="2" a="1"/>
  <c r="W1553" i="2" s="1"/>
  <c r="AD1552" i="2" a="1"/>
  <c r="AD1552" i="2" s="1"/>
  <c r="AC1551" i="2" a="1"/>
  <c r="AC1551" i="2" s="1"/>
  <c r="AG1550" i="2" a="1"/>
  <c r="AG1550" i="2" s="1"/>
  <c r="AC1550" i="2" a="1"/>
  <c r="AC1550" i="2" s="1"/>
  <c r="AI1549" i="2" a="1"/>
  <c r="AI1549" i="2" s="1"/>
  <c r="AD1549" i="2" a="1"/>
  <c r="AD1549" i="2" s="1"/>
  <c r="Y1551" i="2" a="1"/>
  <c r="Y1551" i="2" s="1"/>
  <c r="AG1549" i="2" a="1"/>
  <c r="AG1549" i="2" s="1"/>
  <c r="AA1553" i="2" a="1"/>
  <c r="AA1553" i="2" s="1"/>
  <c r="Z1553" i="2" a="1"/>
  <c r="Z1553" i="2" s="1"/>
  <c r="W1551" i="2" a="1"/>
  <c r="W1551" i="2" s="1"/>
  <c r="Y1553" i="2" a="1"/>
  <c r="Y1553" i="2" s="1"/>
  <c r="AJ1552" i="2" a="1"/>
  <c r="AJ1552" i="2" s="1"/>
  <c r="AA1549" i="2" a="1"/>
  <c r="AA1549" i="2" s="1"/>
  <c r="X1553" i="2" a="1"/>
  <c r="X1553" i="2" s="1"/>
  <c r="AH1552" i="2" a="1"/>
  <c r="AH1552" i="2" s="1"/>
  <c r="AH1549" i="2" a="1"/>
  <c r="AH1549" i="2" s="1"/>
  <c r="W1552" i="2" a="1"/>
  <c r="W1552" i="2" s="1"/>
  <c r="AH1551" i="2" a="1"/>
  <c r="AH1551" i="2" s="1"/>
  <c r="AB1552" i="2" a="1"/>
  <c r="AB1552" i="2" s="1"/>
  <c r="AA1552" i="2" a="1"/>
  <c r="AA1552" i="2" s="1"/>
  <c r="AI1552" i="2" a="1"/>
  <c r="AI1552" i="2" s="1"/>
  <c r="X1550" i="2" a="1"/>
  <c r="X1550" i="2" s="1"/>
  <c r="AE1547" i="2" a="1"/>
  <c r="AE1547" i="2" s="1"/>
  <c r="AD1548" i="2" a="1"/>
  <c r="AD1548" i="2" s="1"/>
  <c r="AA1547" i="2" a="1"/>
  <c r="AA1547" i="2" s="1"/>
  <c r="AJ1548" i="2" a="1"/>
  <c r="AJ1548" i="2" s="1"/>
  <c r="AI1548" i="2" a="1"/>
  <c r="AI1548" i="2" s="1"/>
  <c r="AH1548" i="2" a="1"/>
  <c r="AH1548" i="2" s="1"/>
  <c r="AG1548" i="2" a="1"/>
  <c r="AG1548" i="2" s="1"/>
  <c r="AE1548" i="2" a="1"/>
  <c r="AE1548" i="2" s="1"/>
  <c r="W1548" i="2" a="1"/>
  <c r="W1548" i="2" s="1"/>
  <c r="AC1548" i="2" a="1"/>
  <c r="AC1548" i="2" s="1"/>
  <c r="Z1548" i="2" a="1"/>
  <c r="Z1548" i="2" s="1"/>
  <c r="AI1547" i="2" a="1"/>
  <c r="AI1547" i="2" s="1"/>
  <c r="X1545" i="2" a="1"/>
  <c r="X1545" i="2" s="1"/>
  <c r="AI1546" i="2" a="1"/>
  <c r="AI1546" i="2" s="1"/>
  <c r="Y1548" i="2" a="1"/>
  <c r="Y1548" i="2" s="1"/>
  <c r="AJ1547" i="2" a="1"/>
  <c r="AJ1547" i="2" s="1"/>
  <c r="Y1547" i="2" a="1"/>
  <c r="Y1547" i="2" s="1"/>
  <c r="X1547" i="2" a="1"/>
  <c r="X1547" i="2" s="1"/>
  <c r="W1547" i="2" a="1"/>
  <c r="W1547" i="2" s="1"/>
  <c r="AF1546" i="2" a="1"/>
  <c r="AF1546" i="2" s="1"/>
  <c r="AJ1545" i="2" a="1"/>
  <c r="AJ1545" i="2" s="1"/>
  <c r="AD1545" i="2" a="1"/>
  <c r="AD1545" i="2" s="1"/>
  <c r="AI1544" i="2" a="1"/>
  <c r="AI1544" i="2" s="1"/>
  <c r="AA1546" i="2" a="1"/>
  <c r="AA1546" i="2" s="1"/>
  <c r="X1546" i="2" a="1"/>
  <c r="X1546" i="2" s="1"/>
  <c r="AE1546" i="2" a="1"/>
  <c r="AE1546" i="2" s="1"/>
  <c r="AG1545" i="2" a="1"/>
  <c r="AG1545" i="2" s="1"/>
  <c r="W1545" i="2" a="1"/>
  <c r="W1545" i="2" s="1"/>
  <c r="AC1545" i="2" a="1"/>
  <c r="AC1545" i="2" s="1"/>
  <c r="X1548" i="2" a="1"/>
  <c r="X1548" i="2" s="1"/>
  <c r="AH1547" i="2" a="1"/>
  <c r="AH1547" i="2" s="1"/>
  <c r="AF1544" i="2" a="1"/>
  <c r="AF1544" i="2" s="1"/>
  <c r="AG1547" i="2" a="1"/>
  <c r="AG1547" i="2" s="1"/>
  <c r="Z1547" i="2" a="1"/>
  <c r="Z1547" i="2" s="1"/>
  <c r="AD1547" i="2" a="1"/>
  <c r="AD1547" i="2" s="1"/>
  <c r="AC1547" i="2" a="1"/>
  <c r="AC1547" i="2" s="1"/>
  <c r="AB1547" i="2" a="1"/>
  <c r="AB1547" i="2" s="1"/>
  <c r="AH1544" i="2" a="1"/>
  <c r="AH1544" i="2" s="1"/>
  <c r="AH1546" i="2" a="1"/>
  <c r="AH1546" i="2" s="1"/>
  <c r="AG1546" i="2" a="1"/>
  <c r="AG1546" i="2" s="1"/>
  <c r="AF1545" i="2" a="1"/>
  <c r="AF1545" i="2" s="1"/>
  <c r="AE1545" i="2" a="1"/>
  <c r="AE1545" i="2" s="1"/>
  <c r="Y1546" i="2" a="1"/>
  <c r="Y1546" i="2" s="1"/>
  <c r="AB1546" i="2" a="1"/>
  <c r="AB1546" i="2" s="1"/>
  <c r="AG1544" i="2" a="1"/>
  <c r="AG1544" i="2" s="1"/>
  <c r="AH1545" i="2" a="1"/>
  <c r="AH1545" i="2" s="1"/>
  <c r="Y1545" i="2" a="1"/>
  <c r="Y1545" i="2" s="1"/>
  <c r="AD1546" i="2" a="1"/>
  <c r="AD1546" i="2" s="1"/>
  <c r="AC1546" i="2" a="1"/>
  <c r="AC1546" i="2" s="1"/>
  <c r="Z1546" i="2" a="1"/>
  <c r="Z1546" i="2" s="1"/>
  <c r="AI1545" i="2" a="1"/>
  <c r="AI1545" i="2" s="1"/>
  <c r="AA1545" i="2" a="1"/>
  <c r="AA1545" i="2" s="1"/>
  <c r="AB1545" i="2" a="1"/>
  <c r="AB1545" i="2" s="1"/>
  <c r="Z1545" i="2" a="1"/>
  <c r="Z1545" i="2" s="1"/>
  <c r="AJ1544" i="2" a="1"/>
  <c r="AJ1544" i="2" s="1"/>
  <c r="X1636" i="2" a="1"/>
  <c r="X1636" i="2" s="1"/>
  <c r="X1549" i="2" a="1"/>
  <c r="X1549" i="2" s="1"/>
  <c r="W1546" i="2" a="1"/>
  <c r="W1546" i="2" s="1"/>
  <c r="W1549" i="2" a="1"/>
  <c r="W1549" i="2" s="1"/>
  <c r="AF1548" i="2" a="1"/>
  <c r="AF1548" i="2" s="1"/>
  <c r="AF1547" i="2" a="1"/>
  <c r="AF1547" i="2" s="1"/>
  <c r="AB1548" i="2" a="1"/>
  <c r="AB1548" i="2" s="1"/>
  <c r="AJ1546" i="2" a="1"/>
  <c r="AJ1546" i="2" s="1"/>
  <c r="AA1548" i="2" a="1"/>
  <c r="AA1548" i="2" s="1"/>
  <c r="AC1543" i="2" a="1"/>
  <c r="AC1543" i="2" s="1"/>
  <c r="AA1543" i="2" a="1"/>
  <c r="AA1543" i="2" s="1"/>
  <c r="AB1540" i="2" a="1"/>
  <c r="AB1540" i="2" s="1"/>
  <c r="X1543" i="2" a="1"/>
  <c r="X1543" i="2" s="1"/>
  <c r="AJ1541" i="2" a="1"/>
  <c r="AJ1541" i="2" s="1"/>
  <c r="AD1542" i="2" a="1"/>
  <c r="AD1542" i="2" s="1"/>
  <c r="X1541" i="2" a="1"/>
  <c r="X1541" i="2" s="1"/>
  <c r="AB1541" i="2" a="1"/>
  <c r="AB1541" i="2" s="1"/>
  <c r="Z1542" i="2" a="1"/>
  <c r="Z1542" i="2" s="1"/>
  <c r="Y1543" i="2" a="1"/>
  <c r="Y1543" i="2" s="1"/>
  <c r="Y1541" i="2" a="1"/>
  <c r="Y1541" i="2" s="1"/>
  <c r="AB1542" i="2" a="1"/>
  <c r="AB1542" i="2" s="1"/>
  <c r="W1542" i="2" a="1"/>
  <c r="W1542" i="2" s="1"/>
  <c r="AG1540" i="2" a="1"/>
  <c r="AG1540" i="2" s="1"/>
  <c r="AE1540" i="2" a="1"/>
  <c r="AE1540" i="2" s="1"/>
  <c r="AH1542" i="2" a="1"/>
  <c r="AH1542" i="2" s="1"/>
  <c r="AF1541" i="2" a="1"/>
  <c r="AF1541" i="2" s="1"/>
  <c r="AD1541" i="2" a="1"/>
  <c r="AD1541" i="2" s="1"/>
  <c r="AI1540" i="2" a="1"/>
  <c r="AI1540" i="2" s="1"/>
  <c r="Y1544" i="2" a="1"/>
  <c r="Y1544" i="2" s="1"/>
  <c r="W1543" i="2" a="1"/>
  <c r="W1543" i="2" s="1"/>
  <c r="Z1541" i="2" a="1"/>
  <c r="Z1541" i="2" s="1"/>
  <c r="AI1542" i="2" a="1"/>
  <c r="AI1542" i="2" s="1"/>
  <c r="AC1542" i="2" a="1"/>
  <c r="AC1542" i="2" s="1"/>
  <c r="Z1540" i="2" a="1"/>
  <c r="Z1540" i="2" s="1"/>
  <c r="Y1542" i="2" a="1"/>
  <c r="Y1542" i="2" s="1"/>
  <c r="AF1634" i="2" a="1"/>
  <c r="AF1634" i="2" s="1"/>
  <c r="AE1544" i="2" a="1"/>
  <c r="AE1544" i="2" s="1"/>
  <c r="AD1544" i="2" a="1"/>
  <c r="AD1544" i="2" s="1"/>
  <c r="AH1541" i="2" a="1"/>
  <c r="AH1541" i="2" s="1"/>
  <c r="AC1544" i="2" a="1"/>
  <c r="AC1544" i="2" s="1"/>
  <c r="AJ1543" i="2" a="1"/>
  <c r="AJ1543" i="2" s="1"/>
  <c r="AJ1542" i="2" a="1"/>
  <c r="AJ1542" i="2" s="1"/>
  <c r="AA1540" i="2" a="1"/>
  <c r="AA1540" i="2" s="1"/>
  <c r="AB1544" i="2" a="1"/>
  <c r="AB1544" i="2" s="1"/>
  <c r="AH1543" i="2" a="1"/>
  <c r="AH1543" i="2" s="1"/>
  <c r="AA1544" i="2" a="1"/>
  <c r="AA1544" i="2" s="1"/>
  <c r="Z1544" i="2" a="1"/>
  <c r="Z1544" i="2" s="1"/>
  <c r="Z1543" i="2" a="1"/>
  <c r="Z1543" i="2" s="1"/>
  <c r="AE1541" i="2" a="1"/>
  <c r="AE1541" i="2" s="1"/>
  <c r="AF1540" i="2" a="1"/>
  <c r="AF1540" i="2" s="1"/>
  <c r="AA1542" i="2" a="1"/>
  <c r="AA1542" i="2" s="1"/>
  <c r="X1544" i="2" a="1"/>
  <c r="X1544" i="2" s="1"/>
  <c r="W1544" i="2" a="1"/>
  <c r="W1544" i="2" s="1"/>
  <c r="AI1543" i="2" a="1"/>
  <c r="AI1543" i="2" s="1"/>
  <c r="AF1542" i="2" a="1"/>
  <c r="AF1542" i="2" s="1"/>
  <c r="AI1541" i="2" a="1"/>
  <c r="AI1541" i="2" s="1"/>
  <c r="AG1542" i="2" a="1"/>
  <c r="AG1542" i="2" s="1"/>
  <c r="AE1542" i="2" a="1"/>
  <c r="AE1542" i="2" s="1"/>
  <c r="AG1543" i="2" a="1"/>
  <c r="AG1543" i="2" s="1"/>
  <c r="Y1540" i="2" a="1"/>
  <c r="Y1540" i="2" s="1"/>
  <c r="AC1540" i="2" a="1"/>
  <c r="AC1540" i="2" s="1"/>
  <c r="AF1543" i="2" a="1"/>
  <c r="AF1543" i="2" s="1"/>
  <c r="AC1541" i="2" a="1"/>
  <c r="AC1541" i="2" s="1"/>
  <c r="AD1543" i="2" a="1"/>
  <c r="AD1543" i="2" s="1"/>
  <c r="AG1541" i="2" a="1"/>
  <c r="AG1541" i="2" s="1"/>
  <c r="AA1541" i="2" a="1"/>
  <c r="AA1541" i="2" s="1"/>
  <c r="AJ1540" i="2" a="1"/>
  <c r="AJ1540" i="2" s="1"/>
  <c r="AE1543" i="2" a="1"/>
  <c r="AE1543" i="2" s="1"/>
  <c r="AB1543" i="2" a="1"/>
  <c r="AB1543" i="2" s="1"/>
  <c r="AD1540" i="2" a="1"/>
  <c r="AD1540" i="2" s="1"/>
  <c r="X1542" i="2" a="1"/>
  <c r="X1542" i="2" s="1"/>
  <c r="AH1540" i="2" a="1"/>
  <c r="AH1540" i="2" s="1"/>
  <c r="W1541" i="2" a="1"/>
  <c r="W1541" i="2" s="1"/>
  <c r="AC1538" i="2" a="1"/>
  <c r="AC1538" i="2" s="1"/>
  <c r="AI1539" i="2" a="1"/>
  <c r="AI1539" i="2" s="1"/>
  <c r="AF1539" i="2" a="1"/>
  <c r="AF1539" i="2" s="1"/>
  <c r="AD1539" i="2" a="1"/>
  <c r="AD1539" i="2" s="1"/>
  <c r="Y1539" i="2" a="1"/>
  <c r="Y1539" i="2" s="1"/>
  <c r="X1537" i="2" a="1"/>
  <c r="X1537" i="2" s="1"/>
  <c r="AC1539" i="2" a="1"/>
  <c r="AC1539" i="2" s="1"/>
  <c r="AB1539" i="2" a="1"/>
  <c r="AB1539" i="2" s="1"/>
  <c r="W1539" i="2" a="1"/>
  <c r="W1539" i="2" s="1"/>
  <c r="AG1538" i="2" a="1"/>
  <c r="AG1538" i="2" s="1"/>
  <c r="Z1537" i="2" a="1"/>
  <c r="Z1537" i="2" s="1"/>
  <c r="Z1539" i="2" a="1"/>
  <c r="Z1539" i="2" s="1"/>
  <c r="AJ1538" i="2" a="1"/>
  <c r="AJ1538" i="2" s="1"/>
  <c r="AI1537" i="2" a="1"/>
  <c r="AI1537" i="2" s="1"/>
  <c r="AI1535" i="2" a="1"/>
  <c r="AI1535" i="2" s="1"/>
  <c r="AH1535" i="2" a="1"/>
  <c r="AH1535" i="2" s="1"/>
  <c r="AJ1537" i="2" a="1"/>
  <c r="AJ1537" i="2" s="1"/>
  <c r="AD1537" i="2" a="1"/>
  <c r="AD1537" i="2" s="1"/>
  <c r="Z1536" i="2" a="1"/>
  <c r="Z1536" i="2" s="1"/>
  <c r="AH1537" i="2" a="1"/>
  <c r="AH1537" i="2" s="1"/>
  <c r="AE1537" i="2" a="1"/>
  <c r="AE1537" i="2" s="1"/>
  <c r="AC1537" i="2" a="1"/>
  <c r="AC1537" i="2" s="1"/>
  <c r="AH1536" i="2" a="1"/>
  <c r="AH1536" i="2" s="1"/>
  <c r="AC1536" i="2" a="1"/>
  <c r="AC1536" i="2" s="1"/>
  <c r="AF1537" i="2" a="1"/>
  <c r="AF1537" i="2" s="1"/>
  <c r="AD1538" i="2" a="1"/>
  <c r="AD1538" i="2" s="1"/>
  <c r="AA1537" i="2" a="1"/>
  <c r="AA1537" i="2" s="1"/>
  <c r="AG1536" i="2" a="1"/>
  <c r="AG1536" i="2" s="1"/>
  <c r="AF1535" i="2" a="1"/>
  <c r="AF1535" i="2" s="1"/>
  <c r="W1536" i="2" a="1"/>
  <c r="W1536" i="2" s="1"/>
  <c r="Y1537" i="2" a="1"/>
  <c r="Y1537" i="2" s="1"/>
  <c r="AA1536" i="2" a="1"/>
  <c r="AA1536" i="2" s="1"/>
  <c r="W1537" i="2" a="1"/>
  <c r="W1537" i="2" s="1"/>
  <c r="AG1535" i="2" a="1"/>
  <c r="AG1535" i="2" s="1"/>
  <c r="AB1538" i="2" a="1"/>
  <c r="AB1538" i="2" s="1"/>
  <c r="AG1539" i="2" a="1"/>
  <c r="AG1539" i="2" s="1"/>
  <c r="W1540" i="2" a="1"/>
  <c r="W1540" i="2" s="1"/>
  <c r="AJ1539" i="2" a="1"/>
  <c r="AJ1539" i="2" s="1"/>
  <c r="AH1539" i="2" a="1"/>
  <c r="AH1539" i="2" s="1"/>
  <c r="AE1538" i="2" a="1"/>
  <c r="AE1538" i="2" s="1"/>
  <c r="AA1538" i="2" a="1"/>
  <c r="AA1538" i="2" s="1"/>
  <c r="X1538" i="2" a="1"/>
  <c r="X1538" i="2" s="1"/>
  <c r="W1538" i="2" a="1"/>
  <c r="W1538" i="2" s="1"/>
  <c r="AD1536" i="2" a="1"/>
  <c r="AD1536" i="2" s="1"/>
  <c r="X1539" i="2" a="1"/>
  <c r="X1539" i="2" s="1"/>
  <c r="AG1537" i="2" a="1"/>
  <c r="AG1537" i="2" s="1"/>
  <c r="X1536" i="2" a="1"/>
  <c r="X1536" i="2" s="1"/>
  <c r="Y1538" i="2" a="1"/>
  <c r="Y1538" i="2" s="1"/>
  <c r="AI1538" i="2" a="1"/>
  <c r="AI1538" i="2" s="1"/>
  <c r="AB1537" i="2" a="1"/>
  <c r="AB1537" i="2" s="1"/>
  <c r="AJ1536" i="2" a="1"/>
  <c r="AJ1536" i="2" s="1"/>
  <c r="AE1536" i="2" a="1"/>
  <c r="AE1536" i="2" s="1"/>
  <c r="AF1536" i="2" a="1"/>
  <c r="AF1536" i="2" s="1"/>
  <c r="AB1536" i="2" a="1"/>
  <c r="AB1536" i="2" s="1"/>
  <c r="AF1538" i="2" a="1"/>
  <c r="AF1538" i="2" s="1"/>
  <c r="AE1539" i="2" a="1"/>
  <c r="AE1539" i="2" s="1"/>
  <c r="AA1539" i="2" a="1"/>
  <c r="AA1539" i="2" s="1"/>
  <c r="AH1538" i="2" a="1"/>
  <c r="AH1538" i="2" s="1"/>
  <c r="Z1538" i="2" a="1"/>
  <c r="Z1538" i="2" s="1"/>
  <c r="AI1536" i="2" a="1"/>
  <c r="AI1536" i="2" s="1"/>
  <c r="AJ1535" i="2" a="1"/>
  <c r="AJ1535" i="2" s="1"/>
  <c r="AE1635" i="2" a="1"/>
  <c r="AE1635" i="2" s="1"/>
  <c r="Y1536" i="2" a="1"/>
  <c r="Y1536" i="2" s="1"/>
  <c r="X1540" i="2" a="1"/>
  <c r="X1540" i="2" s="1"/>
  <c r="AB1534" i="2" a="1"/>
  <c r="AB1534" i="2" s="1"/>
  <c r="AI1533" i="2" a="1"/>
  <c r="AI1533" i="2" s="1"/>
  <c r="AG1533" i="2" a="1"/>
  <c r="AG1533" i="2" s="1"/>
  <c r="AD1533" i="2" a="1"/>
  <c r="AD1533" i="2" s="1"/>
  <c r="AF1532" i="2" a="1"/>
  <c r="AF1532" i="2" s="1"/>
  <c r="AA1532" i="2" a="1"/>
  <c r="AA1532" i="2" s="1"/>
  <c r="AJ1531" i="2" a="1"/>
  <c r="AJ1531" i="2" s="1"/>
  <c r="AH1531" i="2" a="1"/>
  <c r="AH1531" i="2" s="1"/>
  <c r="Z1531" i="2" a="1"/>
  <c r="Z1531" i="2" s="1"/>
  <c r="AH1534" i="2" a="1"/>
  <c r="AH1534" i="2" s="1"/>
  <c r="AE1534" i="2" a="1"/>
  <c r="AE1534" i="2" s="1"/>
  <c r="AC1534" i="2" a="1"/>
  <c r="AC1534" i="2" s="1"/>
  <c r="AA1533" i="2" a="1"/>
  <c r="AA1533" i="2" s="1"/>
  <c r="Y1532" i="2" a="1"/>
  <c r="Y1532" i="2" s="1"/>
  <c r="AD1531" i="2" a="1"/>
  <c r="AD1531" i="2" s="1"/>
  <c r="Z1533" i="2" a="1"/>
  <c r="Z1533" i="2" s="1"/>
  <c r="AJ1533" i="2" a="1"/>
  <c r="AJ1533" i="2" s="1"/>
  <c r="AE1533" i="2" a="1"/>
  <c r="AE1533" i="2" s="1"/>
  <c r="AE1531" i="2" a="1"/>
  <c r="AE1531" i="2" s="1"/>
  <c r="AC1531" i="2" a="1"/>
  <c r="AC1531" i="2" s="1"/>
  <c r="AD1532" i="2" a="1"/>
  <c r="AD1532" i="2" s="1"/>
  <c r="AB1533" i="2" a="1"/>
  <c r="AB1533" i="2" s="1"/>
  <c r="AE1532" i="2" a="1"/>
  <c r="AE1532" i="2" s="1"/>
  <c r="AB1532" i="2" a="1"/>
  <c r="AB1532" i="2" s="1"/>
  <c r="AA1531" i="2" a="1"/>
  <c r="AA1531" i="2" s="1"/>
  <c r="Y1531" i="2" a="1"/>
  <c r="Y1531" i="2" s="1"/>
  <c r="Y1533" i="2" a="1"/>
  <c r="Y1533" i="2" s="1"/>
  <c r="AC1532" i="2" a="1"/>
  <c r="AC1532" i="2" s="1"/>
  <c r="X1532" i="2" a="1"/>
  <c r="X1532" i="2" s="1"/>
  <c r="AC1533" i="2" a="1"/>
  <c r="AC1533" i="2" s="1"/>
  <c r="AE1634" i="2" a="1"/>
  <c r="AE1634" i="2" s="1"/>
  <c r="W1534" i="2" a="1"/>
  <c r="W1534" i="2" s="1"/>
  <c r="AE1535" i="2" a="1"/>
  <c r="AE1535" i="2" s="1"/>
  <c r="AD1535" i="2" a="1"/>
  <c r="AD1535" i="2" s="1"/>
  <c r="AC1535" i="2" a="1"/>
  <c r="AC1535" i="2" s="1"/>
  <c r="AH1533" i="2" a="1"/>
  <c r="AH1533" i="2" s="1"/>
  <c r="Y1534" i="2" a="1"/>
  <c r="Y1534" i="2" s="1"/>
  <c r="W1533" i="2" a="1"/>
  <c r="W1533" i="2" s="1"/>
  <c r="AI1531" i="2" a="1"/>
  <c r="AI1531" i="2" s="1"/>
  <c r="AB1535" i="2" a="1"/>
  <c r="AB1535" i="2" s="1"/>
  <c r="AA1535" i="2" a="1"/>
  <c r="AA1535" i="2" s="1"/>
  <c r="AG1532" i="2" a="1"/>
  <c r="AG1532" i="2" s="1"/>
  <c r="AJ1532" i="2" a="1"/>
  <c r="AJ1532" i="2" s="1"/>
  <c r="AF1531" i="2" a="1"/>
  <c r="AF1531" i="2" s="1"/>
  <c r="X1534" i="2" a="1"/>
  <c r="X1534" i="2" s="1"/>
  <c r="Z1534" i="2" a="1"/>
  <c r="Z1534" i="2" s="1"/>
  <c r="AB1531" i="2" a="1"/>
  <c r="AB1531" i="2" s="1"/>
  <c r="AH1532" i="2" a="1"/>
  <c r="AH1532" i="2" s="1"/>
  <c r="W1535" i="2" a="1"/>
  <c r="W1535" i="2" s="1"/>
  <c r="Z1535" i="2" a="1"/>
  <c r="Z1535" i="2" s="1"/>
  <c r="Y1535" i="2" a="1"/>
  <c r="Y1535" i="2" s="1"/>
  <c r="AG1531" i="2" a="1"/>
  <c r="AG1531" i="2" s="1"/>
  <c r="X1535" i="2" a="1"/>
  <c r="X1535" i="2" s="1"/>
  <c r="AA1534" i="2" a="1"/>
  <c r="AA1534" i="2" s="1"/>
  <c r="AJ1534" i="2" a="1"/>
  <c r="AJ1534" i="2" s="1"/>
  <c r="AI1534" i="2" a="1"/>
  <c r="AI1534" i="2" s="1"/>
  <c r="AG1534" i="2" a="1"/>
  <c r="AG1534" i="2" s="1"/>
  <c r="AF1534" i="2" a="1"/>
  <c r="AF1534" i="2" s="1"/>
  <c r="AI1532" i="2" a="1"/>
  <c r="AI1532" i="2" s="1"/>
  <c r="AF1533" i="2" a="1"/>
  <c r="AF1533" i="2" s="1"/>
  <c r="Z1532" i="2" a="1"/>
  <c r="Z1532" i="2" s="1"/>
  <c r="AD1534" i="2" a="1"/>
  <c r="AD1534" i="2" s="1"/>
  <c r="X1533" i="2" a="1"/>
  <c r="X1533" i="2" s="1"/>
  <c r="W1532" i="2" a="1"/>
  <c r="W1532" i="2" s="1"/>
  <c r="AF1528" i="2" a="1"/>
  <c r="AF1528" i="2" s="1"/>
  <c r="AI1527" i="2" a="1"/>
  <c r="AI1527" i="2" s="1"/>
  <c r="AH1530" i="2" a="1"/>
  <c r="AH1530" i="2" s="1"/>
  <c r="X1530" i="2" a="1"/>
  <c r="X1530" i="2" s="1"/>
  <c r="AG1528" i="2" a="1"/>
  <c r="AG1528" i="2" s="1"/>
  <c r="Z1530" i="2" a="1"/>
  <c r="Z1530" i="2" s="1"/>
  <c r="Z1529" i="2" a="1"/>
  <c r="Z1529" i="2" s="1"/>
  <c r="AB1528" i="2" a="1"/>
  <c r="AB1528" i="2" s="1"/>
  <c r="AG1527" i="2" a="1"/>
  <c r="AG1527" i="2" s="1"/>
  <c r="AA1527" i="2" a="1"/>
  <c r="AA1527" i="2" s="1"/>
  <c r="AA1530" i="2" a="1"/>
  <c r="AA1530" i="2" s="1"/>
  <c r="Y1530" i="2" a="1"/>
  <c r="Y1530" i="2" s="1"/>
  <c r="AE1530" i="2" a="1"/>
  <c r="AE1530" i="2" s="1"/>
  <c r="AC1530" i="2" a="1"/>
  <c r="AC1530" i="2" s="1"/>
  <c r="AB1530" i="2" a="1"/>
  <c r="AB1530" i="2" s="1"/>
  <c r="X1528" i="2" a="1"/>
  <c r="X1528" i="2" s="1"/>
  <c r="AJ1529" i="2" a="1"/>
  <c r="AJ1529" i="2" s="1"/>
  <c r="W1530" i="2" a="1"/>
  <c r="W1530" i="2" s="1"/>
  <c r="AH1529" i="2" a="1"/>
  <c r="AH1529" i="2" s="1"/>
  <c r="AH1527" i="2" a="1"/>
  <c r="AH1527" i="2" s="1"/>
  <c r="AF1527" i="2" a="1"/>
  <c r="AF1527" i="2" s="1"/>
  <c r="AE1527" i="2" a="1"/>
  <c r="AE1527" i="2" s="1"/>
  <c r="AJ1527" i="2" a="1"/>
  <c r="AJ1527" i="2" s="1"/>
  <c r="AD1527" i="2" a="1"/>
  <c r="AD1527" i="2" s="1"/>
  <c r="AD1530" i="2" a="1"/>
  <c r="AD1530" i="2" s="1"/>
  <c r="AF1529" i="2" a="1"/>
  <c r="AF1529" i="2" s="1"/>
  <c r="AA1636" i="2" a="1"/>
  <c r="AA1636" i="2" s="1"/>
  <c r="AI1528" i="2" a="1"/>
  <c r="AI1528" i="2" s="1"/>
  <c r="AC1529" i="2" a="1"/>
  <c r="AC1529" i="2" s="1"/>
  <c r="AG1526" i="2" a="1"/>
  <c r="AG1526" i="2" s="1"/>
  <c r="AH1528" i="2" a="1"/>
  <c r="AH1528" i="2" s="1"/>
  <c r="AC1528" i="2" a="1"/>
  <c r="AC1528" i="2" s="1"/>
  <c r="AD1529" i="2" a="1"/>
  <c r="AD1529" i="2" s="1"/>
  <c r="Y1529" i="2" a="1"/>
  <c r="Y1529" i="2" s="1"/>
  <c r="AJ1528" i="2" a="1"/>
  <c r="AJ1528" i="2" s="1"/>
  <c r="AD1528" i="2" a="1"/>
  <c r="AD1528" i="2" s="1"/>
  <c r="X1531" i="2" a="1"/>
  <c r="X1531" i="2" s="1"/>
  <c r="AF1530" i="2" a="1"/>
  <c r="AF1530" i="2" s="1"/>
  <c r="W1527" i="2" a="1"/>
  <c r="W1527" i="2" s="1"/>
  <c r="AI1529" i="2" a="1"/>
  <c r="AI1529" i="2" s="1"/>
  <c r="AF1526" i="2" a="1"/>
  <c r="AF1526" i="2" s="1"/>
  <c r="X1527" i="2" a="1"/>
  <c r="X1527" i="2" s="1"/>
  <c r="AG1529" i="2" a="1"/>
  <c r="AG1529" i="2" s="1"/>
  <c r="AI1530" i="2" a="1"/>
  <c r="AI1530" i="2" s="1"/>
  <c r="AB1527" i="2" a="1"/>
  <c r="AB1527" i="2" s="1"/>
  <c r="AE1529" i="2" a="1"/>
  <c r="AE1529" i="2" s="1"/>
  <c r="AJ1526" i="2" a="1"/>
  <c r="AJ1526" i="2" s="1"/>
  <c r="Z1528" i="2" a="1"/>
  <c r="Z1528" i="2" s="1"/>
  <c r="AC1527" i="2" a="1"/>
  <c r="AC1527" i="2" s="1"/>
  <c r="AB1529" i="2" a="1"/>
  <c r="AB1529" i="2" s="1"/>
  <c r="W1529" i="2" a="1"/>
  <c r="W1529" i="2" s="1"/>
  <c r="AI1526" i="2" a="1"/>
  <c r="AI1526" i="2" s="1"/>
  <c r="AE1528" i="2" a="1"/>
  <c r="AE1528" i="2" s="1"/>
  <c r="AA1528" i="2" a="1"/>
  <c r="AA1528" i="2" s="1"/>
  <c r="AA1529" i="2" a="1"/>
  <c r="AA1529" i="2" s="1"/>
  <c r="Z1527" i="2" a="1"/>
  <c r="Z1527" i="2" s="1"/>
  <c r="X1529" i="2" a="1"/>
  <c r="X1529" i="2" s="1"/>
  <c r="Y1528" i="2" a="1"/>
  <c r="Y1528" i="2" s="1"/>
  <c r="Y1527" i="2" a="1"/>
  <c r="Y1527" i="2" s="1"/>
  <c r="W1528" i="2" a="1"/>
  <c r="W1528" i="2" s="1"/>
  <c r="AG1530" i="2" a="1"/>
  <c r="AG1530" i="2" s="1"/>
  <c r="AH1526" i="2" a="1"/>
  <c r="AH1526" i="2" s="1"/>
  <c r="W1531" i="2" a="1"/>
  <c r="W1531" i="2" s="1"/>
  <c r="AJ1530" i="2" a="1"/>
  <c r="AJ1530" i="2" s="1"/>
  <c r="AG1525" i="2" a="1"/>
  <c r="AG1525" i="2" s="1"/>
  <c r="AE1525" i="2" a="1"/>
  <c r="AE1525" i="2" s="1"/>
  <c r="AI1524" i="2" a="1"/>
  <c r="AI1524" i="2" s="1"/>
  <c r="AB1523" i="2" a="1"/>
  <c r="AB1523" i="2" s="1"/>
  <c r="AG1522" i="2" a="1"/>
  <c r="AG1522" i="2" s="1"/>
  <c r="AG1524" i="2" a="1"/>
  <c r="AG1524" i="2" s="1"/>
  <c r="Z1523" i="2" a="1"/>
  <c r="Z1523" i="2" s="1"/>
  <c r="Z1522" i="2" a="1"/>
  <c r="Z1522" i="2" s="1"/>
  <c r="AF1525" i="2" a="1"/>
  <c r="AF1525" i="2" s="1"/>
  <c r="AA1525" i="2" a="1"/>
  <c r="AA1525" i="2" s="1"/>
  <c r="Z1525" i="2" a="1"/>
  <c r="Z1525" i="2" s="1"/>
  <c r="Y1525" i="2" a="1"/>
  <c r="Y1525" i="2" s="1"/>
  <c r="AI1523" i="2" a="1"/>
  <c r="AI1523" i="2" s="1"/>
  <c r="X1525" i="2" a="1"/>
  <c r="X1525" i="2" s="1"/>
  <c r="AH1523" i="2" a="1"/>
  <c r="AH1523" i="2" s="1"/>
  <c r="AD1522" i="2" a="1"/>
  <c r="AD1522" i="2" s="1"/>
  <c r="W1525" i="2" a="1"/>
  <c r="W1525" i="2" s="1"/>
  <c r="AC1524" i="2" a="1"/>
  <c r="AC1524" i="2" s="1"/>
  <c r="AH1522" i="2" a="1"/>
  <c r="AH1522" i="2" s="1"/>
  <c r="AA1524" i="2" a="1"/>
  <c r="AA1524" i="2" s="1"/>
  <c r="AJ1523" i="2" a="1"/>
  <c r="AJ1523" i="2" s="1"/>
  <c r="Y1523" i="2" a="1"/>
  <c r="Y1523" i="2" s="1"/>
  <c r="AJ1522" i="2" a="1"/>
  <c r="AJ1522" i="2" s="1"/>
  <c r="AB1522" i="2" a="1"/>
  <c r="AB1522" i="2" s="1"/>
  <c r="AI1522" i="2" a="1"/>
  <c r="AI1522" i="2" s="1"/>
  <c r="Z1524" i="2" a="1"/>
  <c r="Z1524" i="2" s="1"/>
  <c r="AG1523" i="2" a="1"/>
  <c r="AG1523" i="2" s="1"/>
  <c r="W1524" i="2" a="1"/>
  <c r="W1524" i="2" s="1"/>
  <c r="AD1523" i="2" a="1"/>
  <c r="AD1523" i="2" s="1"/>
  <c r="AA1522" i="2" a="1"/>
  <c r="AA1522" i="2" s="1"/>
  <c r="AD1634" i="2" a="1"/>
  <c r="AD1634" i="2" s="1"/>
  <c r="AE1526" i="2" a="1"/>
  <c r="AE1526" i="2" s="1"/>
  <c r="AE1524" i="2" a="1"/>
  <c r="AE1524" i="2" s="1"/>
  <c r="AD1526" i="2" a="1"/>
  <c r="AD1526" i="2" s="1"/>
  <c r="AC1526" i="2" a="1"/>
  <c r="AC1526" i="2" s="1"/>
  <c r="AB1526" i="2" a="1"/>
  <c r="AB1526" i="2" s="1"/>
  <c r="AA1526" i="2" a="1"/>
  <c r="AA1526" i="2" s="1"/>
  <c r="X1524" i="2" a="1"/>
  <c r="X1524" i="2" s="1"/>
  <c r="Z1526" i="2" a="1"/>
  <c r="Z1526" i="2" s="1"/>
  <c r="AC1523" i="2" a="1"/>
  <c r="AC1523" i="2" s="1"/>
  <c r="W1523" i="2" a="1"/>
  <c r="W1523" i="2" s="1"/>
  <c r="Y1526" i="2" a="1"/>
  <c r="Y1526" i="2" s="1"/>
  <c r="X1526" i="2" a="1"/>
  <c r="X1526" i="2" s="1"/>
  <c r="W1526" i="2" a="1"/>
  <c r="W1526" i="2" s="1"/>
  <c r="Y1524" i="2" a="1"/>
  <c r="Y1524" i="2" s="1"/>
  <c r="AH1524" i="2" a="1"/>
  <c r="AH1524" i="2" s="1"/>
  <c r="AB1524" i="2" a="1"/>
  <c r="AB1524" i="2" s="1"/>
  <c r="AF1522" i="2" a="1"/>
  <c r="AF1522" i="2" s="1"/>
  <c r="AA1523" i="2" a="1"/>
  <c r="AA1523" i="2" s="1"/>
  <c r="AJ1525" i="2" a="1"/>
  <c r="AJ1525" i="2" s="1"/>
  <c r="AI1525" i="2" a="1"/>
  <c r="AI1525" i="2" s="1"/>
  <c r="AH1525" i="2" a="1"/>
  <c r="AH1525" i="2" s="1"/>
  <c r="AD1525" i="2" a="1"/>
  <c r="AD1525" i="2" s="1"/>
  <c r="Y1522" i="2" a="1"/>
  <c r="Y1522" i="2" s="1"/>
  <c r="AC1525" i="2" a="1"/>
  <c r="AC1525" i="2" s="1"/>
  <c r="AB1525" i="2" a="1"/>
  <c r="AB1525" i="2" s="1"/>
  <c r="AF1524" i="2" a="1"/>
  <c r="AF1524" i="2" s="1"/>
  <c r="AE1522" i="2" a="1"/>
  <c r="AE1522" i="2" s="1"/>
  <c r="AD1524" i="2" a="1"/>
  <c r="AD1524" i="2" s="1"/>
  <c r="AC1522" i="2" a="1"/>
  <c r="AC1522" i="2" s="1"/>
  <c r="X1523" i="2" a="1"/>
  <c r="X1523" i="2" s="1"/>
  <c r="AE1523" i="2" a="1"/>
  <c r="AE1523" i="2" s="1"/>
  <c r="AJ1524" i="2" a="1"/>
  <c r="AJ1524" i="2" s="1"/>
  <c r="AF1523" i="2" a="1"/>
  <c r="AF1523" i="2" s="1"/>
  <c r="W1522" i="2" a="1"/>
  <c r="W1522" i="2" s="1"/>
  <c r="AJ1521" i="2" a="1"/>
  <c r="AJ1521" i="2" s="1"/>
  <c r="AI1521" i="2" a="1"/>
  <c r="AI1521" i="2" s="1"/>
  <c r="AH1521" i="2" a="1"/>
  <c r="AH1521" i="2" s="1"/>
  <c r="AD1518" i="2" a="1"/>
  <c r="AD1518" i="2" s="1"/>
  <c r="AJ1519" i="2" a="1"/>
  <c r="AJ1519" i="2" s="1"/>
  <c r="AE1520" i="2" a="1"/>
  <c r="AE1520" i="2" s="1"/>
  <c r="AB1518" i="2" a="1"/>
  <c r="AB1518" i="2" s="1"/>
  <c r="AF1521" i="2" a="1"/>
  <c r="AF1521" i="2" s="1"/>
  <c r="AI1517" i="2" a="1"/>
  <c r="AI1517" i="2" s="1"/>
  <c r="Z1520" i="2" a="1"/>
  <c r="Z1520" i="2" s="1"/>
  <c r="AE1521" i="2" a="1"/>
  <c r="AE1521" i="2" s="1"/>
  <c r="Y1520" i="2" a="1"/>
  <c r="Y1520" i="2" s="1"/>
  <c r="AD1521" i="2" a="1"/>
  <c r="AD1521" i="2" s="1"/>
  <c r="AC1519" i="2" a="1"/>
  <c r="AC1519" i="2" s="1"/>
  <c r="Y1521" i="2" a="1"/>
  <c r="Y1521" i="2" s="1"/>
  <c r="AD1519" i="2" a="1"/>
  <c r="AD1519" i="2" s="1"/>
  <c r="AB1519" i="2" a="1"/>
  <c r="AB1519" i="2" s="1"/>
  <c r="AF1518" i="2" a="1"/>
  <c r="AF1518" i="2" s="1"/>
  <c r="AE1518" i="2" a="1"/>
  <c r="AE1518" i="2" s="1"/>
  <c r="X1521" i="2" a="1"/>
  <c r="X1521" i="2" s="1"/>
  <c r="AA1520" i="2" a="1"/>
  <c r="AA1520" i="2" s="1"/>
  <c r="AH1520" i="2" a="1"/>
  <c r="AH1520" i="2" s="1"/>
  <c r="X1519" i="2" a="1"/>
  <c r="X1519" i="2" s="1"/>
  <c r="AG1520" i="2" a="1"/>
  <c r="AG1520" i="2" s="1"/>
  <c r="AF1520" i="2" a="1"/>
  <c r="AF1520" i="2" s="1"/>
  <c r="W1520" i="2" a="1"/>
  <c r="W1520" i="2" s="1"/>
  <c r="AJ1518" i="2" a="1"/>
  <c r="AJ1518" i="2" s="1"/>
  <c r="X1518" i="2" a="1"/>
  <c r="X1518" i="2" s="1"/>
  <c r="AI1519" i="2" a="1"/>
  <c r="AI1519" i="2" s="1"/>
  <c r="AI1518" i="2" a="1"/>
  <c r="AI1518" i="2" s="1"/>
  <c r="AH1518" i="2" a="1"/>
  <c r="AH1518" i="2" s="1"/>
  <c r="Z1518" i="2" a="1"/>
  <c r="Z1518" i="2" s="1"/>
  <c r="AA1519" i="2" a="1"/>
  <c r="AA1519" i="2" s="1"/>
  <c r="W1519" i="2" a="1"/>
  <c r="W1519" i="2" s="1"/>
  <c r="AH1517" i="2" a="1"/>
  <c r="AH1517" i="2" s="1"/>
  <c r="AG1521" i="2" a="1"/>
  <c r="AG1521" i="2" s="1"/>
  <c r="AF1519" i="2" a="1"/>
  <c r="AF1519" i="2" s="1"/>
  <c r="AC1521" i="2" a="1"/>
  <c r="AC1521" i="2" s="1"/>
  <c r="Z1521" i="2" a="1"/>
  <c r="Z1521" i="2" s="1"/>
  <c r="AI1520" i="2" a="1"/>
  <c r="AI1520" i="2" s="1"/>
  <c r="AB1521" i="2" a="1"/>
  <c r="AB1521" i="2" s="1"/>
  <c r="AA1521" i="2" a="1"/>
  <c r="AA1521" i="2" s="1"/>
  <c r="AE1519" i="2" a="1"/>
  <c r="AE1519" i="2" s="1"/>
  <c r="W1521" i="2" a="1"/>
  <c r="W1521" i="2" s="1"/>
  <c r="AJ1520" i="2" a="1"/>
  <c r="AJ1520" i="2" s="1"/>
  <c r="AG1518" i="2" a="1"/>
  <c r="AG1518" i="2" s="1"/>
  <c r="AG1517" i="2" a="1"/>
  <c r="AG1517" i="2" s="1"/>
  <c r="AC1518" i="2" a="1"/>
  <c r="AC1518" i="2" s="1"/>
  <c r="X1520" i="2" a="1"/>
  <c r="X1520" i="2" s="1"/>
  <c r="W1518" i="2" a="1"/>
  <c r="W1518" i="2" s="1"/>
  <c r="AF1517" i="2" a="1"/>
  <c r="AF1517" i="2" s="1"/>
  <c r="AD1520" i="2" a="1"/>
  <c r="AD1520" i="2" s="1"/>
  <c r="AC1520" i="2" a="1"/>
  <c r="AC1520" i="2" s="1"/>
  <c r="AB1520" i="2" a="1"/>
  <c r="AB1520" i="2" s="1"/>
  <c r="AH1519" i="2" a="1"/>
  <c r="AH1519" i="2" s="1"/>
  <c r="Z1519" i="2" a="1"/>
  <c r="Z1519" i="2" s="1"/>
  <c r="AJ1517" i="2" a="1"/>
  <c r="AJ1517" i="2" s="1"/>
  <c r="Y1518" i="2" a="1"/>
  <c r="Y1518" i="2" s="1"/>
  <c r="AA1518" i="2" a="1"/>
  <c r="AA1518" i="2" s="1"/>
  <c r="Y1519" i="2" a="1"/>
  <c r="Y1519" i="2" s="1"/>
  <c r="AD1635" i="2" a="1"/>
  <c r="AD1635" i="2" s="1"/>
  <c r="X1522" i="2" a="1"/>
  <c r="X1522" i="2" s="1"/>
  <c r="AG1519" i="2" a="1"/>
  <c r="AG1519" i="2" s="1"/>
  <c r="AG1515" i="2" a="1"/>
  <c r="AG1515" i="2" s="1"/>
  <c r="AI1513" i="2" a="1"/>
  <c r="AI1513" i="2" s="1"/>
  <c r="AC1516" i="2" a="1"/>
  <c r="AC1516" i="2" s="1"/>
  <c r="AB1516" i="2" a="1"/>
  <c r="AB1516" i="2" s="1"/>
  <c r="AC1514" i="2" a="1"/>
  <c r="AC1514" i="2" s="1"/>
  <c r="AA1516" i="2" a="1"/>
  <c r="AA1516" i="2" s="1"/>
  <c r="X1516" i="2" a="1"/>
  <c r="X1516" i="2" s="1"/>
  <c r="AH1514" i="2" a="1"/>
  <c r="AH1514" i="2" s="1"/>
  <c r="Z1513" i="2" a="1"/>
  <c r="Z1513" i="2" s="1"/>
  <c r="X1515" i="2" a="1"/>
  <c r="X1515" i="2" s="1"/>
  <c r="AA1514" i="2" a="1"/>
  <c r="AA1514" i="2" s="1"/>
  <c r="AE1515" i="2" a="1"/>
  <c r="AE1515" i="2" s="1"/>
  <c r="AD1514" i="2" a="1"/>
  <c r="AD1514" i="2" s="1"/>
  <c r="AA1515" i="2" a="1"/>
  <c r="AA1515" i="2" s="1"/>
  <c r="AC1515" i="2" a="1"/>
  <c r="AC1515" i="2" s="1"/>
  <c r="AB1515" i="2" a="1"/>
  <c r="AB1515" i="2" s="1"/>
  <c r="W1515" i="2" a="1"/>
  <c r="W1515" i="2" s="1"/>
  <c r="AJ1514" i="2" a="1"/>
  <c r="AJ1514" i="2" s="1"/>
  <c r="AI1514" i="2" a="1"/>
  <c r="AI1514" i="2" s="1"/>
  <c r="AF1514" i="2" a="1"/>
  <c r="AF1514" i="2" s="1"/>
  <c r="W1514" i="2" a="1"/>
  <c r="W1514" i="2" s="1"/>
  <c r="AB1513" i="2" a="1"/>
  <c r="AB1513" i="2" s="1"/>
  <c r="AJ1513" i="2" a="1"/>
  <c r="AJ1513" i="2" s="1"/>
  <c r="AA1513" i="2" a="1"/>
  <c r="AA1513" i="2" s="1"/>
  <c r="AG1513" i="2" a="1"/>
  <c r="AG1513" i="2" s="1"/>
  <c r="AC1634" i="2" a="1"/>
  <c r="AC1634" i="2" s="1"/>
  <c r="AF1515" i="2" a="1"/>
  <c r="AF1515" i="2" s="1"/>
  <c r="AE1517" i="2" a="1"/>
  <c r="AE1517" i="2" s="1"/>
  <c r="Y1516" i="2" a="1"/>
  <c r="Y1516" i="2" s="1"/>
  <c r="AD1517" i="2" a="1"/>
  <c r="AD1517" i="2" s="1"/>
  <c r="AC1517" i="2" a="1"/>
  <c r="AC1517" i="2" s="1"/>
  <c r="AB1517" i="2" a="1"/>
  <c r="AB1517" i="2" s="1"/>
  <c r="AA1517" i="2" a="1"/>
  <c r="AA1517" i="2" s="1"/>
  <c r="AE1513" i="2" a="1"/>
  <c r="AE1513" i="2" s="1"/>
  <c r="Z1517" i="2" a="1"/>
  <c r="Z1517" i="2" s="1"/>
  <c r="AC1513" i="2" a="1"/>
  <c r="AC1513" i="2" s="1"/>
  <c r="AJ1516" i="2" a="1"/>
  <c r="AJ1516" i="2" s="1"/>
  <c r="AG1516" i="2" a="1"/>
  <c r="AG1516" i="2" s="1"/>
  <c r="Y1514" i="2" a="1"/>
  <c r="Y1514" i="2" s="1"/>
  <c r="AI1516" i="2" a="1"/>
  <c r="AI1516" i="2" s="1"/>
  <c r="Z1515" i="2" a="1"/>
  <c r="Z1515" i="2" s="1"/>
  <c r="Y1515" i="2" a="1"/>
  <c r="Y1515" i="2" s="1"/>
  <c r="Y1517" i="2" a="1"/>
  <c r="Y1517" i="2" s="1"/>
  <c r="AF1516" i="2" a="1"/>
  <c r="AF1516" i="2" s="1"/>
  <c r="X1517" i="2" a="1"/>
  <c r="X1517" i="2" s="1"/>
  <c r="AF1513" i="2" a="1"/>
  <c r="AF1513" i="2" s="1"/>
  <c r="AJ1515" i="2" a="1"/>
  <c r="AJ1515" i="2" s="1"/>
  <c r="AB1514" i="2" a="1"/>
  <c r="AB1514" i="2" s="1"/>
  <c r="AH1515" i="2" a="1"/>
  <c r="AH1515" i="2" s="1"/>
  <c r="W1517" i="2" a="1"/>
  <c r="W1517" i="2" s="1"/>
  <c r="Z1516" i="2" a="1"/>
  <c r="Z1516" i="2" s="1"/>
  <c r="Z1514" i="2" a="1"/>
  <c r="Z1514" i="2" s="1"/>
  <c r="W1516" i="2" a="1"/>
  <c r="W1516" i="2" s="1"/>
  <c r="AH1513" i="2" a="1"/>
  <c r="AH1513" i="2" s="1"/>
  <c r="AI1515" i="2" a="1"/>
  <c r="AI1515" i="2" s="1"/>
  <c r="X1514" i="2" a="1"/>
  <c r="X1514" i="2" s="1"/>
  <c r="AD1515" i="2" a="1"/>
  <c r="AD1515" i="2" s="1"/>
  <c r="AE1514" i="2" a="1"/>
  <c r="AE1514" i="2" s="1"/>
  <c r="AG1514" i="2" a="1"/>
  <c r="AG1514" i="2" s="1"/>
  <c r="AD1513" i="2" a="1"/>
  <c r="AD1513" i="2" s="1"/>
  <c r="Y1513" i="2" a="1"/>
  <c r="Y1513" i="2" s="1"/>
  <c r="AH1516" i="2" a="1"/>
  <c r="AH1516" i="2" s="1"/>
  <c r="AE1516" i="2" a="1"/>
  <c r="AE1516" i="2" s="1"/>
  <c r="AD1516" i="2" a="1"/>
  <c r="AD1516" i="2" s="1"/>
  <c r="Y1509" i="2" a="1"/>
  <c r="Y1509" i="2" s="1"/>
  <c r="AH1512" i="2" a="1"/>
  <c r="AH1512" i="2" s="1"/>
  <c r="AF1512" i="2" a="1"/>
  <c r="AF1512" i="2" s="1"/>
  <c r="AA1509" i="2" a="1"/>
  <c r="AA1509" i="2" s="1"/>
  <c r="AC1511" i="2" a="1"/>
  <c r="AC1511" i="2" s="1"/>
  <c r="AE1512" i="2" a="1"/>
  <c r="AE1512" i="2" s="1"/>
  <c r="AG1511" i="2" a="1"/>
  <c r="AG1511" i="2" s="1"/>
  <c r="Z1510" i="2" a="1"/>
  <c r="Z1510" i="2" s="1"/>
  <c r="AJ1509" i="2" a="1"/>
  <c r="AJ1509" i="2" s="1"/>
  <c r="AF1508" i="2" a="1"/>
  <c r="AF1508" i="2" s="1"/>
  <c r="AA1511" i="2" a="1"/>
  <c r="AA1511" i="2" s="1"/>
  <c r="Y1512" i="2" a="1"/>
  <c r="Y1512" i="2" s="1"/>
  <c r="AD1511" i="2" a="1"/>
  <c r="AD1511" i="2" s="1"/>
  <c r="Y1511" i="2" a="1"/>
  <c r="Y1511" i="2" s="1"/>
  <c r="AD1512" i="2" a="1"/>
  <c r="AD1512" i="2" s="1"/>
  <c r="AA1512" i="2" a="1"/>
  <c r="AA1512" i="2" s="1"/>
  <c r="Z1512" i="2" a="1"/>
  <c r="Z1512" i="2" s="1"/>
  <c r="AI1511" i="2" a="1"/>
  <c r="AI1511" i="2" s="1"/>
  <c r="AH1511" i="2" a="1"/>
  <c r="AH1511" i="2" s="1"/>
  <c r="Z1511" i="2" a="1"/>
  <c r="Z1511" i="2" s="1"/>
  <c r="AJ1510" i="2" a="1"/>
  <c r="AJ1510" i="2" s="1"/>
  <c r="AC1510" i="2" a="1"/>
  <c r="AC1510" i="2" s="1"/>
  <c r="AB1509" i="2" a="1"/>
  <c r="AB1509" i="2" s="1"/>
  <c r="X1512" i="2" a="1"/>
  <c r="X1512" i="2" s="1"/>
  <c r="AF1511" i="2" a="1"/>
  <c r="AF1511" i="2" s="1"/>
  <c r="W1512" i="2" a="1"/>
  <c r="W1512" i="2" s="1"/>
  <c r="AJ1511" i="2" a="1"/>
  <c r="AJ1511" i="2" s="1"/>
  <c r="AI1510" i="2" a="1"/>
  <c r="AI1510" i="2" s="1"/>
  <c r="AB1510" i="2" a="1"/>
  <c r="AB1510" i="2" s="1"/>
  <c r="AB1511" i="2" a="1"/>
  <c r="AB1511" i="2" s="1"/>
  <c r="X1511" i="2" a="1"/>
  <c r="X1511" i="2" s="1"/>
  <c r="AC1509" i="2" a="1"/>
  <c r="AC1509" i="2" s="1"/>
  <c r="AE1510" i="2" a="1"/>
  <c r="AE1510" i="2" s="1"/>
  <c r="AI1509" i="2" a="1"/>
  <c r="AI1509" i="2" s="1"/>
  <c r="X1509" i="2" a="1"/>
  <c r="X1509" i="2" s="1"/>
  <c r="AG1509" i="2" a="1"/>
  <c r="AG1509" i="2" s="1"/>
  <c r="AE1509" i="2" a="1"/>
  <c r="AE1509" i="2" s="1"/>
  <c r="Z1509" i="2" a="1"/>
  <c r="Z1509" i="2" s="1"/>
  <c r="Y1510" i="2" a="1"/>
  <c r="Y1510" i="2" s="1"/>
  <c r="W1511" i="2" a="1"/>
  <c r="W1511" i="2" s="1"/>
  <c r="AG1510" i="2" a="1"/>
  <c r="AG1510" i="2" s="1"/>
  <c r="AH1508" i="2" a="1"/>
  <c r="AH1508" i="2" s="1"/>
  <c r="AF1509" i="2" a="1"/>
  <c r="AF1509" i="2" s="1"/>
  <c r="W1509" i="2" a="1"/>
  <c r="W1509" i="2" s="1"/>
  <c r="AD1509" i="2" a="1"/>
  <c r="AD1509" i="2" s="1"/>
  <c r="X1510" i="2" a="1"/>
  <c r="X1510" i="2" s="1"/>
  <c r="AH1509" i="2" a="1"/>
  <c r="AH1509" i="2" s="1"/>
  <c r="AI1508" i="2" a="1"/>
  <c r="AI1508" i="2" s="1"/>
  <c r="W1636" i="2" a="1"/>
  <c r="W1636" i="2" s="1"/>
  <c r="X1513" i="2" a="1"/>
  <c r="X1513" i="2" s="1"/>
  <c r="AF1510" i="2" a="1"/>
  <c r="AF1510" i="2" s="1"/>
  <c r="W1510" i="2" a="1"/>
  <c r="W1510" i="2" s="1"/>
  <c r="AG1512" i="2" a="1"/>
  <c r="AG1512" i="2" s="1"/>
  <c r="AB1512" i="2" a="1"/>
  <c r="AB1512" i="2" s="1"/>
  <c r="AE1511" i="2" a="1"/>
  <c r="AE1511" i="2" s="1"/>
  <c r="AD1510" i="2" a="1"/>
  <c r="AD1510" i="2" s="1"/>
  <c r="AH1510" i="2" a="1"/>
  <c r="AH1510" i="2" s="1"/>
  <c r="AG1508" i="2" a="1"/>
  <c r="AG1508" i="2" s="1"/>
  <c r="AJ1508" i="2" a="1"/>
  <c r="AJ1508" i="2" s="1"/>
  <c r="W1513" i="2" a="1"/>
  <c r="W1513" i="2" s="1"/>
  <c r="AJ1512" i="2" a="1"/>
  <c r="AJ1512" i="2" s="1"/>
  <c r="AI1512" i="2" a="1"/>
  <c r="AI1512" i="2" s="1"/>
  <c r="AC1512" i="2" a="1"/>
  <c r="AC1512" i="2" s="1"/>
  <c r="AA1510" i="2" a="1"/>
  <c r="AA1510" i="2" s="1"/>
  <c r="Y1504" i="2" a="1"/>
  <c r="Y1504" i="2" s="1"/>
  <c r="Y1505" i="2" a="1"/>
  <c r="Y1505" i="2" s="1"/>
  <c r="W1506" i="2" a="1"/>
  <c r="W1506" i="2" s="1"/>
  <c r="AB1634" i="2" a="1"/>
  <c r="AB1634" i="2" s="1"/>
  <c r="AI1507" i="2" a="1"/>
  <c r="AI1507" i="2" s="1"/>
  <c r="AG1507" i="2" a="1"/>
  <c r="AG1507" i="2" s="1"/>
  <c r="Z1507" i="2" a="1"/>
  <c r="Z1507" i="2" s="1"/>
  <c r="AE1505" i="2" a="1"/>
  <c r="AE1505" i="2" s="1"/>
  <c r="AI1504" i="2" a="1"/>
  <c r="AI1504" i="2" s="1"/>
  <c r="AE1506" i="2" a="1"/>
  <c r="AE1506" i="2" s="1"/>
  <c r="AE1508" i="2" a="1"/>
  <c r="AE1508" i="2" s="1"/>
  <c r="AD1508" i="2" a="1"/>
  <c r="AD1508" i="2" s="1"/>
  <c r="AG1504" i="2" a="1"/>
  <c r="AG1504" i="2" s="1"/>
  <c r="AC1504" i="2" a="1"/>
  <c r="AC1504" i="2" s="1"/>
  <c r="AC1505" i="2" a="1"/>
  <c r="AC1505" i="2" s="1"/>
  <c r="AB1505" i="2" a="1"/>
  <c r="AB1505" i="2" s="1"/>
  <c r="AC1508" i="2" a="1"/>
  <c r="AC1508" i="2" s="1"/>
  <c r="AH1506" i="2" a="1"/>
  <c r="AH1506" i="2" s="1"/>
  <c r="Y1506" i="2" a="1"/>
  <c r="Y1506" i="2" s="1"/>
  <c r="W1507" i="2" a="1"/>
  <c r="W1507" i="2" s="1"/>
  <c r="AA1508" i="2" a="1"/>
  <c r="AA1508" i="2" s="1"/>
  <c r="AG1505" i="2" a="1"/>
  <c r="AG1505" i="2" s="1"/>
  <c r="AF1505" i="2" a="1"/>
  <c r="AF1505" i="2" s="1"/>
  <c r="AH1504" i="2" a="1"/>
  <c r="AH1504" i="2" s="1"/>
  <c r="AC1506" i="2" a="1"/>
  <c r="AC1506" i="2" s="1"/>
  <c r="AC1507" i="2" a="1"/>
  <c r="AC1507" i="2" s="1"/>
  <c r="AB1508" i="2" a="1"/>
  <c r="AB1508" i="2" s="1"/>
  <c r="Y1508" i="2" a="1"/>
  <c r="Y1508" i="2" s="1"/>
  <c r="AB1507" i="2" a="1"/>
  <c r="AB1507" i="2" s="1"/>
  <c r="AH1507" i="2" a="1"/>
  <c r="AH1507" i="2" s="1"/>
  <c r="AI1506" i="2" a="1"/>
  <c r="AI1506" i="2" s="1"/>
  <c r="AJ1504" i="2" a="1"/>
  <c r="AJ1504" i="2" s="1"/>
  <c r="AJ1506" i="2" a="1"/>
  <c r="AJ1506" i="2" s="1"/>
  <c r="AA1506" i="2" a="1"/>
  <c r="AA1506" i="2" s="1"/>
  <c r="AH1505" i="2" a="1"/>
  <c r="AH1505" i="2" s="1"/>
  <c r="W1505" i="2" a="1"/>
  <c r="W1505" i="2" s="1"/>
  <c r="Z1508" i="2" a="1"/>
  <c r="Z1508" i="2" s="1"/>
  <c r="X1508" i="2" a="1"/>
  <c r="X1508" i="2" s="1"/>
  <c r="Y1507" i="2" a="1"/>
  <c r="Y1507" i="2" s="1"/>
  <c r="AJ1507" i="2" a="1"/>
  <c r="AJ1507" i="2" s="1"/>
  <c r="Z1505" i="2" a="1"/>
  <c r="Z1505" i="2" s="1"/>
  <c r="X1507" i="2" a="1"/>
  <c r="X1507" i="2" s="1"/>
  <c r="X1506" i="2" a="1"/>
  <c r="X1506" i="2" s="1"/>
  <c r="AF1506" i="2" a="1"/>
  <c r="AF1506" i="2" s="1"/>
  <c r="AD1504" i="2" a="1"/>
  <c r="AD1504" i="2" s="1"/>
  <c r="AB1506" i="2" a="1"/>
  <c r="AB1506" i="2" s="1"/>
  <c r="AB1504" i="2" a="1"/>
  <c r="AB1504" i="2" s="1"/>
  <c r="AE1504" i="2" a="1"/>
  <c r="AE1504" i="2" s="1"/>
  <c r="Z1504" i="2" a="1"/>
  <c r="Z1504" i="2" s="1"/>
  <c r="AF1507" i="2" a="1"/>
  <c r="AF1507" i="2" s="1"/>
  <c r="AI1505" i="2" a="1"/>
  <c r="AI1505" i="2" s="1"/>
  <c r="AE1507" i="2" a="1"/>
  <c r="AE1507" i="2" s="1"/>
  <c r="X1505" i="2" a="1"/>
  <c r="X1505" i="2" s="1"/>
  <c r="AD1506" i="2" a="1"/>
  <c r="AD1506" i="2" s="1"/>
  <c r="AF1504" i="2" a="1"/>
  <c r="AF1504" i="2" s="1"/>
  <c r="AD1507" i="2" a="1"/>
  <c r="AD1507" i="2" s="1"/>
  <c r="AJ1505" i="2" a="1"/>
  <c r="AJ1505" i="2" s="1"/>
  <c r="AA1504" i="2" a="1"/>
  <c r="AA1504" i="2" s="1"/>
  <c r="Z1506" i="2" a="1"/>
  <c r="Z1506" i="2" s="1"/>
  <c r="AD1505" i="2" a="1"/>
  <c r="AD1505" i="2" s="1"/>
  <c r="AA1505" i="2" a="1"/>
  <c r="AA1505" i="2" s="1"/>
  <c r="W1508" i="2" a="1"/>
  <c r="W1508" i="2" s="1"/>
  <c r="AG1506" i="2" a="1"/>
  <c r="AG1506" i="2" s="1"/>
  <c r="AA1507" i="2" a="1"/>
  <c r="AA1507" i="2" s="1"/>
  <c r="AA1503" i="2" a="1"/>
  <c r="AA1503" i="2" s="1"/>
  <c r="Y1503" i="2" a="1"/>
  <c r="Y1503" i="2" s="1"/>
  <c r="AD1500" i="2" a="1"/>
  <c r="AD1500" i="2" s="1"/>
  <c r="AH1499" i="2" a="1"/>
  <c r="AH1499" i="2" s="1"/>
  <c r="X1502" i="2" a="1"/>
  <c r="X1502" i="2" s="1"/>
  <c r="AJ1502" i="2" a="1"/>
  <c r="AJ1502" i="2" s="1"/>
  <c r="AB1502" i="2" a="1"/>
  <c r="AB1502" i="2" s="1"/>
  <c r="X1501" i="2" a="1"/>
  <c r="X1501" i="2" s="1"/>
  <c r="W1500" i="2" a="1"/>
  <c r="W1500" i="2" s="1"/>
  <c r="AB1501" i="2" a="1"/>
  <c r="AB1501" i="2" s="1"/>
  <c r="X1503" i="2" a="1"/>
  <c r="X1503" i="2" s="1"/>
  <c r="W1503" i="2" a="1"/>
  <c r="W1503" i="2" s="1"/>
  <c r="AH1502" i="2" a="1"/>
  <c r="AH1502" i="2" s="1"/>
  <c r="AE1502" i="2" a="1"/>
  <c r="AE1502" i="2" s="1"/>
  <c r="AI1500" i="2" a="1"/>
  <c r="AI1500" i="2" s="1"/>
  <c r="AH1500" i="2" a="1"/>
  <c r="AH1500" i="2" s="1"/>
  <c r="Z1502" i="2" a="1"/>
  <c r="Z1502" i="2" s="1"/>
  <c r="AC1501" i="2" a="1"/>
  <c r="AC1501" i="2" s="1"/>
  <c r="AA1501" i="2" a="1"/>
  <c r="AA1501" i="2" s="1"/>
  <c r="Z1501" i="2" a="1"/>
  <c r="Z1501" i="2" s="1"/>
  <c r="AG1499" i="2" a="1"/>
  <c r="AG1499" i="2" s="1"/>
  <c r="AJ1500" i="2" a="1"/>
  <c r="AJ1500" i="2" s="1"/>
  <c r="AE1500" i="2" a="1"/>
  <c r="AE1500" i="2" s="1"/>
  <c r="Y1501" i="2" a="1"/>
  <c r="Y1501" i="2" s="1"/>
  <c r="AH1501" i="2" a="1"/>
  <c r="AH1501" i="2" s="1"/>
  <c r="AJ1499" i="2" a="1"/>
  <c r="AJ1499" i="2" s="1"/>
  <c r="X1504" i="2" a="1"/>
  <c r="X1504" i="2" s="1"/>
  <c r="AI1503" i="2" a="1"/>
  <c r="AI1503" i="2" s="1"/>
  <c r="Y1502" i="2" a="1"/>
  <c r="Y1502" i="2" s="1"/>
  <c r="W1504" i="2" a="1"/>
  <c r="W1504" i="2" s="1"/>
  <c r="AJ1503" i="2" a="1"/>
  <c r="AJ1503" i="2" s="1"/>
  <c r="AF1500" i="2" a="1"/>
  <c r="AF1500" i="2" s="1"/>
  <c r="AF1499" i="2" a="1"/>
  <c r="AF1499" i="2" s="1"/>
  <c r="AF1501" i="2" a="1"/>
  <c r="AF1501" i="2" s="1"/>
  <c r="AC1635" i="2" a="1"/>
  <c r="AC1635" i="2" s="1"/>
  <c r="AD1501" i="2" a="1"/>
  <c r="AD1501" i="2" s="1"/>
  <c r="AH1503" i="2" a="1"/>
  <c r="AH1503" i="2" s="1"/>
  <c r="AC1500" i="2" a="1"/>
  <c r="AC1500" i="2" s="1"/>
  <c r="AD1503" i="2" a="1"/>
  <c r="AD1503" i="2" s="1"/>
  <c r="AD1502" i="2" a="1"/>
  <c r="AD1502" i="2" s="1"/>
  <c r="AA1502" i="2" a="1"/>
  <c r="AA1502" i="2" s="1"/>
  <c r="X1500" i="2" a="1"/>
  <c r="X1500" i="2" s="1"/>
  <c r="AJ1501" i="2" a="1"/>
  <c r="AJ1501" i="2" s="1"/>
  <c r="AB1500" i="2" a="1"/>
  <c r="AB1500" i="2" s="1"/>
  <c r="Z1503" i="2" a="1"/>
  <c r="Z1503" i="2" s="1"/>
  <c r="AG1501" i="2" a="1"/>
  <c r="AG1501" i="2" s="1"/>
  <c r="AG1502" i="2" a="1"/>
  <c r="AG1502" i="2" s="1"/>
  <c r="Y1500" i="2" a="1"/>
  <c r="Y1500" i="2" s="1"/>
  <c r="W1501" i="2" a="1"/>
  <c r="W1501" i="2" s="1"/>
  <c r="AG1503" i="2" a="1"/>
  <c r="AG1503" i="2" s="1"/>
  <c r="AE1503" i="2" a="1"/>
  <c r="AE1503" i="2" s="1"/>
  <c r="W1502" i="2" a="1"/>
  <c r="W1502" i="2" s="1"/>
  <c r="AC1502" i="2" a="1"/>
  <c r="AC1502" i="2" s="1"/>
  <c r="AI1501" i="2" a="1"/>
  <c r="AI1501" i="2" s="1"/>
  <c r="AC1503" i="2" a="1"/>
  <c r="AC1503" i="2" s="1"/>
  <c r="AF1502" i="2" a="1"/>
  <c r="AF1502" i="2" s="1"/>
  <c r="AF1503" i="2" a="1"/>
  <c r="AF1503" i="2" s="1"/>
  <c r="AI1502" i="2" a="1"/>
  <c r="AI1502" i="2" s="1"/>
  <c r="Z1500" i="2" a="1"/>
  <c r="Z1500" i="2" s="1"/>
  <c r="AE1501" i="2" a="1"/>
  <c r="AE1501" i="2" s="1"/>
  <c r="AA1500" i="2" a="1"/>
  <c r="AA1500" i="2" s="1"/>
  <c r="AB1503" i="2" a="1"/>
  <c r="AB1503" i="2" s="1"/>
  <c r="AG1500" i="2" a="1"/>
  <c r="AG1500" i="2" s="1"/>
  <c r="AI1499" i="2" a="1"/>
  <c r="AI1499" i="2" s="1"/>
  <c r="AB1498" i="2" a="1"/>
  <c r="AB1498" i="2" s="1"/>
  <c r="AC1496" i="2" a="1"/>
  <c r="AC1496" i="2" s="1"/>
  <c r="AJ1497" i="2" a="1"/>
  <c r="AJ1497" i="2" s="1"/>
  <c r="Z1496" i="2" a="1"/>
  <c r="Z1496" i="2" s="1"/>
  <c r="X1498" i="2" a="1"/>
  <c r="X1498" i="2" s="1"/>
  <c r="AF1497" i="2" a="1"/>
  <c r="AF1497" i="2" s="1"/>
  <c r="AB1496" i="2" a="1"/>
  <c r="AB1496" i="2" s="1"/>
  <c r="Z1498" i="2" a="1"/>
  <c r="Z1498" i="2" s="1"/>
  <c r="Y1497" i="2" a="1"/>
  <c r="Y1497" i="2" s="1"/>
  <c r="W1497" i="2" a="1"/>
  <c r="W1497" i="2" s="1"/>
  <c r="X1497" i="2" a="1"/>
  <c r="X1497" i="2" s="1"/>
  <c r="AA1496" i="2" a="1"/>
  <c r="AA1496" i="2" s="1"/>
  <c r="AJ1496" i="2" a="1"/>
  <c r="AJ1496" i="2" s="1"/>
  <c r="AA1495" i="2" a="1"/>
  <c r="AA1495" i="2" s="1"/>
  <c r="AI1496" i="2" a="1"/>
  <c r="AI1496" i="2" s="1"/>
  <c r="AJ1495" i="2" a="1"/>
  <c r="AJ1495" i="2" s="1"/>
  <c r="AH1495" i="2" a="1"/>
  <c r="AH1495" i="2" s="1"/>
  <c r="AF1495" i="2" a="1"/>
  <c r="AF1495" i="2" s="1"/>
  <c r="AC1495" i="2" a="1"/>
  <c r="AC1495" i="2" s="1"/>
  <c r="Y1496" i="2" a="1"/>
  <c r="Y1496" i="2" s="1"/>
  <c r="AB1495" i="2" a="1"/>
  <c r="AB1495" i="2" s="1"/>
  <c r="AF1496" i="2" a="1"/>
  <c r="AF1496" i="2" s="1"/>
  <c r="AB1497" i="2" a="1"/>
  <c r="AB1497" i="2" s="1"/>
  <c r="AG1496" i="2" a="1"/>
  <c r="AG1496" i="2" s="1"/>
  <c r="AB1499" i="2" a="1"/>
  <c r="AB1499" i="2" s="1"/>
  <c r="W1496" i="2" a="1"/>
  <c r="W1496" i="2" s="1"/>
  <c r="AE1498" i="2" a="1"/>
  <c r="AE1498" i="2" s="1"/>
  <c r="AI1498" i="2" a="1"/>
  <c r="AI1498" i="2" s="1"/>
  <c r="AA1634" i="2" a="1"/>
  <c r="AA1634" i="2" s="1"/>
  <c r="AE1499" i="2" a="1"/>
  <c r="AE1499" i="2" s="1"/>
  <c r="AA1498" i="2" a="1"/>
  <c r="AA1498" i="2" s="1"/>
  <c r="W1498" i="2" a="1"/>
  <c r="W1498" i="2" s="1"/>
  <c r="X1496" i="2" a="1"/>
  <c r="X1496" i="2" s="1"/>
  <c r="AE1497" i="2" a="1"/>
  <c r="AE1497" i="2" s="1"/>
  <c r="AG1497" i="2" a="1"/>
  <c r="AG1497" i="2" s="1"/>
  <c r="X1499" i="2" a="1"/>
  <c r="X1499" i="2" s="1"/>
  <c r="AD1499" i="2" a="1"/>
  <c r="AD1499" i="2" s="1"/>
  <c r="Y1499" i="2" a="1"/>
  <c r="Y1499" i="2" s="1"/>
  <c r="AD1496" i="2" a="1"/>
  <c r="AD1496" i="2" s="1"/>
  <c r="AG1495" i="2" a="1"/>
  <c r="AG1495" i="2" s="1"/>
  <c r="Z1495" i="2" a="1"/>
  <c r="Z1495" i="2" s="1"/>
  <c r="Y1495" i="2" a="1"/>
  <c r="Y1495" i="2" s="1"/>
  <c r="AE1495" i="2" a="1"/>
  <c r="AE1495" i="2" s="1"/>
  <c r="AC1499" i="2" a="1"/>
  <c r="AC1499" i="2" s="1"/>
  <c r="AJ1498" i="2" a="1"/>
  <c r="AJ1498" i="2" s="1"/>
  <c r="Z1497" i="2" a="1"/>
  <c r="Z1497" i="2" s="1"/>
  <c r="AH1496" i="2" a="1"/>
  <c r="AH1496" i="2" s="1"/>
  <c r="AC1498" i="2" a="1"/>
  <c r="AC1498" i="2" s="1"/>
  <c r="AA1499" i="2" a="1"/>
  <c r="AA1499" i="2" s="1"/>
  <c r="Z1499" i="2" a="1"/>
  <c r="Z1499" i="2" s="1"/>
  <c r="AH1497" i="2" a="1"/>
  <c r="AH1497" i="2" s="1"/>
  <c r="W1499" i="2" a="1"/>
  <c r="W1499" i="2" s="1"/>
  <c r="AH1498" i="2" a="1"/>
  <c r="AH1498" i="2" s="1"/>
  <c r="AG1498" i="2" a="1"/>
  <c r="AG1498" i="2" s="1"/>
  <c r="Y1498" i="2" a="1"/>
  <c r="Y1498" i="2" s="1"/>
  <c r="AI1497" i="2" a="1"/>
  <c r="AI1497" i="2" s="1"/>
  <c r="AI1495" i="2" a="1"/>
  <c r="AI1495" i="2" s="1"/>
  <c r="AD1495" i="2" a="1"/>
  <c r="AD1495" i="2" s="1"/>
  <c r="AD1497" i="2" a="1"/>
  <c r="AD1497" i="2" s="1"/>
  <c r="AC1497" i="2" a="1"/>
  <c r="AC1497" i="2" s="1"/>
  <c r="AE1496" i="2" a="1"/>
  <c r="AE1496" i="2" s="1"/>
  <c r="AF1498" i="2" a="1"/>
  <c r="AF1498" i="2" s="1"/>
  <c r="AD1498" i="2" a="1"/>
  <c r="AD1498" i="2" s="1"/>
  <c r="AA1497" i="2" a="1"/>
  <c r="AA1497" i="2" s="1"/>
  <c r="AE1493" i="2" a="1"/>
  <c r="AE1493" i="2" s="1"/>
  <c r="AH1493" i="2" a="1"/>
  <c r="AH1493" i="2" s="1"/>
  <c r="Z1494" i="2" a="1"/>
  <c r="Z1494" i="2" s="1"/>
  <c r="AJ1492" i="2" a="1"/>
  <c r="AJ1492" i="2" s="1"/>
  <c r="Z1491" i="2" a="1"/>
  <c r="Z1491" i="2" s="1"/>
  <c r="W1495" i="2" a="1"/>
  <c r="W1495" i="2" s="1"/>
  <c r="AF1494" i="2" a="1"/>
  <c r="AF1494" i="2" s="1"/>
  <c r="AE1494" i="2" a="1"/>
  <c r="AE1494" i="2" s="1"/>
  <c r="AJ1493" i="2" a="1"/>
  <c r="AJ1493" i="2" s="1"/>
  <c r="AG1491" i="2" a="1"/>
  <c r="AG1491" i="2" s="1"/>
  <c r="Z1493" i="2" a="1"/>
  <c r="Z1493" i="2" s="1"/>
  <c r="W1492" i="2" a="1"/>
  <c r="W1492" i="2" s="1"/>
  <c r="AG1490" i="2" a="1"/>
  <c r="AG1490" i="2" s="1"/>
  <c r="AC1492" i="2" a="1"/>
  <c r="AC1492" i="2" s="1"/>
  <c r="AA1491" i="2" a="1"/>
  <c r="AA1491" i="2" s="1"/>
  <c r="AF1490" i="2" a="1"/>
  <c r="AF1490" i="2" s="1"/>
  <c r="AI1494" i="2" a="1"/>
  <c r="AI1494" i="2" s="1"/>
  <c r="AH1494" i="2" a="1"/>
  <c r="AH1494" i="2" s="1"/>
  <c r="AC1494" i="2" a="1"/>
  <c r="AC1494" i="2" s="1"/>
  <c r="AA1494" i="2" a="1"/>
  <c r="AA1494" i="2" s="1"/>
  <c r="W1493" i="2" a="1"/>
  <c r="W1493" i="2" s="1"/>
  <c r="AH1491" i="2" a="1"/>
  <c r="AH1491" i="2" s="1"/>
  <c r="AH1490" i="2" a="1"/>
  <c r="AH1490" i="2" s="1"/>
  <c r="X1493" i="2" a="1"/>
  <c r="X1493" i="2" s="1"/>
  <c r="AB1494" i="2" a="1"/>
  <c r="AB1494" i="2" s="1"/>
  <c r="Y1494" i="2" a="1"/>
  <c r="Y1494" i="2" s="1"/>
  <c r="AJ1491" i="2" a="1"/>
  <c r="AJ1491" i="2" s="1"/>
  <c r="AI1490" i="2" a="1"/>
  <c r="AI1490" i="2" s="1"/>
  <c r="X1494" i="2" a="1"/>
  <c r="X1494" i="2" s="1"/>
  <c r="AI1493" i="2" a="1"/>
  <c r="AI1493" i="2" s="1"/>
  <c r="AF1492" i="2" a="1"/>
  <c r="AF1492" i="2" s="1"/>
  <c r="AB1491" i="2" a="1"/>
  <c r="AB1491" i="2" s="1"/>
  <c r="AG1493" i="2" a="1"/>
  <c r="AG1493" i="2" s="1"/>
  <c r="AD1492" i="2" a="1"/>
  <c r="AD1492" i="2" s="1"/>
  <c r="AF1491" i="2" a="1"/>
  <c r="AF1491" i="2" s="1"/>
  <c r="AJ1490" i="2" a="1"/>
  <c r="AJ1490" i="2" s="1"/>
  <c r="AD1493" i="2" a="1"/>
  <c r="AD1493" i="2" s="1"/>
  <c r="AD1491" i="2" a="1"/>
  <c r="AD1491" i="2" s="1"/>
  <c r="AC1493" i="2" a="1"/>
  <c r="AC1493" i="2" s="1"/>
  <c r="AB1493" i="2" a="1"/>
  <c r="AB1493" i="2" s="1"/>
  <c r="AA1493" i="2" a="1"/>
  <c r="AA1493" i="2" s="1"/>
  <c r="Y1493" i="2" a="1"/>
  <c r="Y1493" i="2" s="1"/>
  <c r="AI1492" i="2" a="1"/>
  <c r="AI1492" i="2" s="1"/>
  <c r="AH1492" i="2" a="1"/>
  <c r="AH1492" i="2" s="1"/>
  <c r="AC1491" i="2" a="1"/>
  <c r="AC1491" i="2" s="1"/>
  <c r="AB1492" i="2" a="1"/>
  <c r="AB1492" i="2" s="1"/>
  <c r="X1492" i="2" a="1"/>
  <c r="X1492" i="2" s="1"/>
  <c r="AE1491" i="2" a="1"/>
  <c r="AE1491" i="2" s="1"/>
  <c r="Z1492" i="2" a="1"/>
  <c r="Z1492" i="2" s="1"/>
  <c r="AG1492" i="2" a="1"/>
  <c r="AG1492" i="2" s="1"/>
  <c r="W1491" i="2" a="1"/>
  <c r="W1491" i="2" s="1"/>
  <c r="X1491" i="2" a="1"/>
  <c r="X1491" i="2" s="1"/>
  <c r="AE1492" i="2" a="1"/>
  <c r="AE1492" i="2" s="1"/>
  <c r="Y1492" i="2" a="1"/>
  <c r="Y1492" i="2" s="1"/>
  <c r="AI1491" i="2" a="1"/>
  <c r="AI1491" i="2" s="1"/>
  <c r="Y1491" i="2" a="1"/>
  <c r="Y1491" i="2" s="1"/>
  <c r="AD1636" i="2" a="1"/>
  <c r="AD1636" i="2" s="1"/>
  <c r="AA1492" i="2" a="1"/>
  <c r="AA1492" i="2" s="1"/>
  <c r="X1495" i="2" a="1"/>
  <c r="X1495" i="2" s="1"/>
  <c r="AJ1494" i="2" a="1"/>
  <c r="AJ1494" i="2" s="1"/>
  <c r="AG1494" i="2" a="1"/>
  <c r="AG1494" i="2" s="1"/>
  <c r="AD1494" i="2" a="1"/>
  <c r="AD1494" i="2" s="1"/>
  <c r="W1494" i="2" a="1"/>
  <c r="W1494" i="2" s="1"/>
  <c r="AF1493" i="2" a="1"/>
  <c r="AF1493" i="2" s="1"/>
  <c r="Z1634" i="2" a="1"/>
  <c r="Z1634" i="2" s="1"/>
  <c r="W1490" i="2" a="1"/>
  <c r="W1490" i="2" s="1"/>
  <c r="AJ1489" i="2" a="1"/>
  <c r="AJ1489" i="2" s="1"/>
  <c r="AB1488" i="2" a="1"/>
  <c r="AB1488" i="2" s="1"/>
  <c r="AJ1487" i="2" a="1"/>
  <c r="AJ1487" i="2" s="1"/>
  <c r="AI1488" i="2" a="1"/>
  <c r="AI1488" i="2" s="1"/>
  <c r="AD1488" i="2" a="1"/>
  <c r="AD1488" i="2" s="1"/>
  <c r="AA1486" i="2" a="1"/>
  <c r="AA1486" i="2" s="1"/>
  <c r="Y1486" i="2" a="1"/>
  <c r="Y1486" i="2" s="1"/>
  <c r="AC1490" i="2" a="1"/>
  <c r="AC1490" i="2" s="1"/>
  <c r="AE1488" i="2" a="1"/>
  <c r="AE1488" i="2" s="1"/>
  <c r="AC1488" i="2" a="1"/>
  <c r="AC1488" i="2" s="1"/>
  <c r="AH1489" i="2" a="1"/>
  <c r="AH1489" i="2" s="1"/>
  <c r="AE1490" i="2" a="1"/>
  <c r="AE1490" i="2" s="1"/>
  <c r="AB1490" i="2" a="1"/>
  <c r="AB1490" i="2" s="1"/>
  <c r="X1487" i="2" a="1"/>
  <c r="X1487" i="2" s="1"/>
  <c r="Z1488" i="2" a="1"/>
  <c r="Z1488" i="2" s="1"/>
  <c r="Y1488" i="2" a="1"/>
  <c r="Y1488" i="2" s="1"/>
  <c r="AA1487" i="2" a="1"/>
  <c r="AA1487" i="2" s="1"/>
  <c r="AA1490" i="2" a="1"/>
  <c r="AA1490" i="2" s="1"/>
  <c r="Z1490" i="2" a="1"/>
  <c r="Z1490" i="2" s="1"/>
  <c r="AF1488" i="2" a="1"/>
  <c r="AF1488" i="2" s="1"/>
  <c r="Y1490" i="2" a="1"/>
  <c r="Y1490" i="2" s="1"/>
  <c r="AH1486" i="2" a="1"/>
  <c r="AH1486" i="2" s="1"/>
  <c r="AA1488" i="2" a="1"/>
  <c r="AA1488" i="2" s="1"/>
  <c r="Z1486" i="2" a="1"/>
  <c r="Z1486" i="2" s="1"/>
  <c r="X1490" i="2" a="1"/>
  <c r="X1490" i="2" s="1"/>
  <c r="AI1489" i="2" a="1"/>
  <c r="AI1489" i="2" s="1"/>
  <c r="AF1489" i="2" a="1"/>
  <c r="AF1489" i="2" s="1"/>
  <c r="AB1489" i="2" a="1"/>
  <c r="AB1489" i="2" s="1"/>
  <c r="X1489" i="2" a="1"/>
  <c r="X1489" i="2" s="1"/>
  <c r="AB1487" i="2" a="1"/>
  <c r="AB1487" i="2" s="1"/>
  <c r="AJ1488" i="2" a="1"/>
  <c r="AJ1488" i="2" s="1"/>
  <c r="W1487" i="2" a="1"/>
  <c r="W1487" i="2" s="1"/>
  <c r="W1488" i="2" a="1"/>
  <c r="W1488" i="2" s="1"/>
  <c r="AC1487" i="2" a="1"/>
  <c r="AC1487" i="2" s="1"/>
  <c r="AG1489" i="2" a="1"/>
  <c r="AG1489" i="2" s="1"/>
  <c r="X1488" i="2" a="1"/>
  <c r="X1488" i="2" s="1"/>
  <c r="AE1487" i="2" a="1"/>
  <c r="AE1487" i="2" s="1"/>
  <c r="AE1489" i="2" a="1"/>
  <c r="AE1489" i="2" s="1"/>
  <c r="AG1487" i="2" a="1"/>
  <c r="AG1487" i="2" s="1"/>
  <c r="AB1486" i="2" a="1"/>
  <c r="AB1486" i="2" s="1"/>
  <c r="AD1489" i="2" a="1"/>
  <c r="AD1489" i="2" s="1"/>
  <c r="AE1486" i="2" a="1"/>
  <c r="AE1486" i="2" s="1"/>
  <c r="AC1489" i="2" a="1"/>
  <c r="AC1489" i="2" s="1"/>
  <c r="Y1489" i="2" a="1"/>
  <c r="Y1489" i="2" s="1"/>
  <c r="Y1487" i="2" a="1"/>
  <c r="Y1487" i="2" s="1"/>
  <c r="AC1486" i="2" a="1"/>
  <c r="AC1486" i="2" s="1"/>
  <c r="AA1489" i="2" a="1"/>
  <c r="AA1489" i="2" s="1"/>
  <c r="Z1489" i="2" a="1"/>
  <c r="Z1489" i="2" s="1"/>
  <c r="W1489" i="2" a="1"/>
  <c r="W1489" i="2" s="1"/>
  <c r="AF1487" i="2" a="1"/>
  <c r="AF1487" i="2" s="1"/>
  <c r="AH1488" i="2" a="1"/>
  <c r="AH1488" i="2" s="1"/>
  <c r="AG1488" i="2" a="1"/>
  <c r="AG1488" i="2" s="1"/>
  <c r="AI1487" i="2" a="1"/>
  <c r="AI1487" i="2" s="1"/>
  <c r="AD1487" i="2" a="1"/>
  <c r="AD1487" i="2" s="1"/>
  <c r="AH1487" i="2" a="1"/>
  <c r="AH1487" i="2" s="1"/>
  <c r="AF1486" i="2" a="1"/>
  <c r="AF1486" i="2" s="1"/>
  <c r="AD1486" i="2" a="1"/>
  <c r="AD1486" i="2" s="1"/>
  <c r="AJ1486" i="2" a="1"/>
  <c r="AJ1486" i="2" s="1"/>
  <c r="AI1486" i="2" a="1"/>
  <c r="AI1486" i="2" s="1"/>
  <c r="AD1490" i="2" a="1"/>
  <c r="AD1490" i="2" s="1"/>
  <c r="Z1487" i="2" a="1"/>
  <c r="Z1487" i="2" s="1"/>
  <c r="AG1486" i="2" a="1"/>
  <c r="AG1486" i="2" s="1"/>
  <c r="AF1630" i="2" a="1"/>
  <c r="AF1630" i="2" s="1"/>
  <c r="AA1633" i="2" a="1"/>
  <c r="AA1633" i="2" s="1"/>
  <c r="Y1633" i="2" a="1"/>
  <c r="Y1633" i="2" s="1"/>
  <c r="X1633" i="2" a="1"/>
  <c r="X1633" i="2" s="1"/>
  <c r="W1633" i="2" a="1"/>
  <c r="W1633" i="2" s="1"/>
  <c r="AA1632" i="2" a="1"/>
  <c r="AA1632" i="2" s="1"/>
  <c r="AJ1632" i="2" a="1"/>
  <c r="AJ1632" i="2" s="1"/>
  <c r="AH1632" i="2" a="1"/>
  <c r="AH1632" i="2" s="1"/>
  <c r="AB1632" i="2" a="1"/>
  <c r="AB1632" i="2" s="1"/>
  <c r="AE1632" i="2" a="1"/>
  <c r="AE1632" i="2" s="1"/>
  <c r="AC1632" i="2" a="1"/>
  <c r="AC1632" i="2" s="1"/>
  <c r="AH1630" i="2" a="1"/>
  <c r="AH1630" i="2" s="1"/>
  <c r="AB1630" i="2" a="1"/>
  <c r="AB1630" i="2" s="1"/>
  <c r="AE1631" i="2" a="1"/>
  <c r="AE1631" i="2" s="1"/>
  <c r="AI1631" i="2" a="1"/>
  <c r="AI1631" i="2" s="1"/>
  <c r="W1630" i="2" a="1"/>
  <c r="W1630" i="2" s="1"/>
  <c r="AG1631" i="2" a="1"/>
  <c r="AG1631" i="2" s="1"/>
  <c r="AA1630" i="2" a="1"/>
  <c r="AA1630" i="2" s="1"/>
  <c r="Z1630" i="2" a="1"/>
  <c r="Z1630" i="2" s="1"/>
  <c r="AD1632" i="2" a="1"/>
  <c r="AD1632" i="2" s="1"/>
  <c r="Y1631" i="2" a="1"/>
  <c r="Y1631" i="2" s="1"/>
  <c r="AG1629" i="2" a="1"/>
  <c r="AG1629" i="2" s="1"/>
  <c r="AI1630" i="2" a="1"/>
  <c r="AI1630" i="2" s="1"/>
  <c r="Z1631" i="2" a="1"/>
  <c r="Z1631" i="2" s="1"/>
  <c r="AD1630" i="2" a="1"/>
  <c r="AD1630" i="2" s="1"/>
  <c r="AJ1629" i="2" a="1"/>
  <c r="AJ1629" i="2" s="1"/>
  <c r="AE1630" i="2" a="1"/>
  <c r="AE1630" i="2" s="1"/>
  <c r="AJ1630" i="2" a="1"/>
  <c r="AJ1630" i="2" s="1"/>
  <c r="AI1632" i="2" a="1"/>
  <c r="AI1632" i="2" s="1"/>
  <c r="W1632" i="2" a="1"/>
  <c r="W1632" i="2" s="1"/>
  <c r="Y1634" i="2" a="1"/>
  <c r="Y1634" i="2" s="1"/>
  <c r="X1632" i="2" a="1"/>
  <c r="X1632" i="2" s="1"/>
  <c r="X1634" i="2" a="1"/>
  <c r="X1634" i="2" s="1"/>
  <c r="AJ1633" i="2" a="1"/>
  <c r="AJ1633" i="2" s="1"/>
  <c r="Y1632" i="2" a="1"/>
  <c r="Y1632" i="2" s="1"/>
  <c r="X1630" i="2" a="1"/>
  <c r="X1630" i="2" s="1"/>
  <c r="AD1633" i="2" a="1"/>
  <c r="AD1633" i="2" s="1"/>
  <c r="AB1633" i="2" a="1"/>
  <c r="AB1633" i="2" s="1"/>
  <c r="Y1630" i="2" a="1"/>
  <c r="Y1630" i="2" s="1"/>
  <c r="AH1631" i="2" a="1"/>
  <c r="AH1631" i="2" s="1"/>
  <c r="AI1629" i="2" a="1"/>
  <c r="AI1629" i="2" s="1"/>
  <c r="AH1629" i="2" a="1"/>
  <c r="AH1629" i="2" s="1"/>
  <c r="AF1631" i="2" a="1"/>
  <c r="AF1631" i="2" s="1"/>
  <c r="Z1633" i="2" a="1"/>
  <c r="Z1633" i="2" s="1"/>
  <c r="AF1632" i="2" a="1"/>
  <c r="AF1632" i="2" s="1"/>
  <c r="AD1631" i="2" a="1"/>
  <c r="AD1631" i="2" s="1"/>
  <c r="W1631" i="2" a="1"/>
  <c r="W1631" i="2" s="1"/>
  <c r="AB1631" i="2" a="1"/>
  <c r="AB1631" i="2" s="1"/>
  <c r="AG1630" i="2" a="1"/>
  <c r="AG1630" i="2" s="1"/>
  <c r="AG1632" i="2" a="1"/>
  <c r="AG1632" i="2" s="1"/>
  <c r="X1631" i="2" a="1"/>
  <c r="X1631" i="2" s="1"/>
  <c r="AB1635" i="2" a="1"/>
  <c r="AB1635" i="2" s="1"/>
  <c r="Z1632" i="2" a="1"/>
  <c r="Z1632" i="2" s="1"/>
  <c r="W1634" i="2" a="1"/>
  <c r="W1634" i="2" s="1"/>
  <c r="AI1633" i="2" a="1"/>
  <c r="AI1633" i="2" s="1"/>
  <c r="AJ1631" i="2" a="1"/>
  <c r="AJ1631" i="2" s="1"/>
  <c r="AC1631" i="2" a="1"/>
  <c r="AC1631" i="2" s="1"/>
  <c r="AC1630" i="2" a="1"/>
  <c r="AC1630" i="2" s="1"/>
  <c r="AH1633" i="2" a="1"/>
  <c r="AH1633" i="2" s="1"/>
  <c r="AG1633" i="2" a="1"/>
  <c r="AG1633" i="2" s="1"/>
  <c r="AF1633" i="2" a="1"/>
  <c r="AF1633" i="2" s="1"/>
  <c r="AE1633" i="2" a="1"/>
  <c r="AE1633" i="2" s="1"/>
  <c r="AC1633" i="2" a="1"/>
  <c r="AC1633" i="2" s="1"/>
  <c r="AA1631" i="2" a="1"/>
  <c r="AA1631" i="2" s="1"/>
  <c r="AG1483" i="2" a="1"/>
  <c r="AG1483" i="2" s="1"/>
  <c r="AF1483" i="2" a="1"/>
  <c r="AF1483" i="2" s="1"/>
  <c r="AE1483" i="2" a="1"/>
  <c r="AE1483" i="2" s="1"/>
  <c r="AD1483" i="2" a="1"/>
  <c r="AD1483" i="2" s="1"/>
  <c r="AH1482" i="2" a="1"/>
  <c r="AH1482" i="2" s="1"/>
  <c r="Z1483" i="2" a="1"/>
  <c r="Z1483" i="2" s="1"/>
  <c r="AG1479" i="2" a="1"/>
  <c r="AG1479" i="2" s="1"/>
  <c r="AJ1481" i="2" a="1"/>
  <c r="AJ1481" i="2" s="1"/>
  <c r="AJ1482" i="2" a="1"/>
  <c r="AJ1482" i="2" s="1"/>
  <c r="X1482" i="2" a="1"/>
  <c r="X1482" i="2" s="1"/>
  <c r="AI1482" i="2" a="1"/>
  <c r="AI1482" i="2" s="1"/>
  <c r="AH1481" i="2" a="1"/>
  <c r="AH1481" i="2" s="1"/>
  <c r="AG1481" i="2" a="1"/>
  <c r="AG1481" i="2" s="1"/>
  <c r="AH1480" i="2" a="1"/>
  <c r="AH1480" i="2" s="1"/>
  <c r="Z1480" i="2" a="1"/>
  <c r="Z1480" i="2" s="1"/>
  <c r="X1480" i="2" a="1"/>
  <c r="X1480" i="2" s="1"/>
  <c r="Y1481" i="2" a="1"/>
  <c r="Y1481" i="2" s="1"/>
  <c r="AA1480" i="2" a="1"/>
  <c r="AA1480" i="2" s="1"/>
  <c r="AF1482" i="2" a="1"/>
  <c r="AF1482" i="2" s="1"/>
  <c r="AE1482" i="2" a="1"/>
  <c r="AE1482" i="2" s="1"/>
  <c r="AI1480" i="2" a="1"/>
  <c r="AI1480" i="2" s="1"/>
  <c r="AB1482" i="2" a="1"/>
  <c r="AB1482" i="2" s="1"/>
  <c r="AA1482" i="2" a="1"/>
  <c r="AA1482" i="2" s="1"/>
  <c r="AE1481" i="2" a="1"/>
  <c r="AE1481" i="2" s="1"/>
  <c r="AC1481" i="2" a="1"/>
  <c r="AC1481" i="2" s="1"/>
  <c r="AE1480" i="2" a="1"/>
  <c r="AE1480" i="2" s="1"/>
  <c r="AB1481" i="2" a="1"/>
  <c r="AB1481" i="2" s="1"/>
  <c r="AA1481" i="2" a="1"/>
  <c r="AA1481" i="2" s="1"/>
  <c r="AD1480" i="2" a="1"/>
  <c r="AD1480" i="2" s="1"/>
  <c r="AC1480" i="2" a="1"/>
  <c r="AC1480" i="2" s="1"/>
  <c r="AD1481" i="2" a="1"/>
  <c r="AD1481" i="2" s="1"/>
  <c r="AF1480" i="2" a="1"/>
  <c r="AF1480" i="2" s="1"/>
  <c r="W1482" i="2" a="1"/>
  <c r="W1482" i="2" s="1"/>
  <c r="AJ1479" i="2" a="1"/>
  <c r="AJ1479" i="2" s="1"/>
  <c r="W1481" i="2" a="1"/>
  <c r="W1481" i="2" s="1"/>
  <c r="W1480" i="2" a="1"/>
  <c r="W1480" i="2" s="1"/>
  <c r="AC1482" i="2" a="1"/>
  <c r="AC1482" i="2" s="1"/>
  <c r="AH1479" i="2" a="1"/>
  <c r="AH1479" i="2" s="1"/>
  <c r="Y1483" i="2" a="1"/>
  <c r="Y1483" i="2" s="1"/>
  <c r="Z1481" i="2" a="1"/>
  <c r="Z1481" i="2" s="1"/>
  <c r="AG1480" i="2" a="1"/>
  <c r="AG1480" i="2" s="1"/>
  <c r="AI1479" i="2" a="1"/>
  <c r="AI1479" i="2" s="1"/>
  <c r="AB1480" i="2" a="1"/>
  <c r="AB1480" i="2" s="1"/>
  <c r="AB1483" i="2" a="1"/>
  <c r="AB1483" i="2" s="1"/>
  <c r="X1483" i="2" a="1"/>
  <c r="X1483" i="2" s="1"/>
  <c r="Z1482" i="2" a="1"/>
  <c r="Z1482" i="2" s="1"/>
  <c r="X1481" i="2" a="1"/>
  <c r="X1481" i="2" s="1"/>
  <c r="AG1482" i="2" a="1"/>
  <c r="AG1482" i="2" s="1"/>
  <c r="AF1481" i="2" a="1"/>
  <c r="AF1481" i="2" s="1"/>
  <c r="AA1483" i="2" a="1"/>
  <c r="AA1483" i="2" s="1"/>
  <c r="AJ1480" i="2" a="1"/>
  <c r="AJ1480" i="2" s="1"/>
  <c r="Y1480" i="2" a="1"/>
  <c r="Y1480" i="2" s="1"/>
  <c r="Y1482" i="2" a="1"/>
  <c r="Y1482" i="2" s="1"/>
  <c r="AJ1484" i="2" a="1"/>
  <c r="AJ1484" i="2" s="1"/>
  <c r="AD1482" i="2" a="1"/>
  <c r="AD1482" i="2" s="1"/>
  <c r="AI1481" i="2" a="1"/>
  <c r="AI1481" i="2" s="1"/>
  <c r="W1483" i="2" a="1"/>
  <c r="W1483" i="2" s="1"/>
  <c r="AC1483" i="2" a="1"/>
  <c r="AC1483" i="2" s="1"/>
  <c r="AA1479" i="2" a="1"/>
  <c r="AA1479" i="2" s="1"/>
  <c r="Y1479" i="2" a="1"/>
  <c r="Y1479" i="2" s="1"/>
  <c r="AF1478" i="2" a="1"/>
  <c r="AF1478" i="2" s="1"/>
  <c r="AH1477" i="2" a="1"/>
  <c r="AH1477" i="2" s="1"/>
  <c r="W1477" i="2" a="1"/>
  <c r="W1477" i="2" s="1"/>
  <c r="X1479" i="2" a="1"/>
  <c r="X1479" i="2" s="1"/>
  <c r="AH1475" i="2" a="1"/>
  <c r="AH1475" i="2" s="1"/>
  <c r="AF1475" i="2" a="1"/>
  <c r="AF1475" i="2" s="1"/>
  <c r="X1478" i="2" a="1"/>
  <c r="X1478" i="2" s="1"/>
  <c r="AJ1478" i="2" a="1"/>
  <c r="AJ1478" i="2" s="1"/>
  <c r="AI1478" i="2" a="1"/>
  <c r="AI1478" i="2" s="1"/>
  <c r="AA1477" i="2" a="1"/>
  <c r="AA1477" i="2" s="1"/>
  <c r="AB1476" i="2" a="1"/>
  <c r="AB1476" i="2" s="1"/>
  <c r="AI1477" i="2" a="1"/>
  <c r="AI1477" i="2" s="1"/>
  <c r="AE1478" i="2" a="1"/>
  <c r="AE1478" i="2" s="1"/>
  <c r="X1477" i="2" a="1"/>
  <c r="X1477" i="2" s="1"/>
  <c r="AB1478" i="2" a="1"/>
  <c r="AB1478" i="2" s="1"/>
  <c r="X1476" i="2" a="1"/>
  <c r="X1476" i="2" s="1"/>
  <c r="Y1478" i="2" a="1"/>
  <c r="Y1478" i="2" s="1"/>
  <c r="AC1476" i="2" a="1"/>
  <c r="AC1476" i="2" s="1"/>
  <c r="W1476" i="2" a="1"/>
  <c r="W1476" i="2" s="1"/>
  <c r="AI1475" i="2" a="1"/>
  <c r="AI1475" i="2" s="1"/>
  <c r="Y1476" i="2" a="1"/>
  <c r="Y1476" i="2" s="1"/>
  <c r="AD1477" i="2" a="1"/>
  <c r="AD1477" i="2" s="1"/>
  <c r="W1478" i="2" a="1"/>
  <c r="W1478" i="2" s="1"/>
  <c r="Y1477" i="2" a="1"/>
  <c r="Y1477" i="2" s="1"/>
  <c r="AD1485" i="2" a="1"/>
  <c r="AD1485" i="2" s="1"/>
  <c r="AA1476" i="2" a="1"/>
  <c r="AA1476" i="2" s="1"/>
  <c r="AF1479" i="2" a="1"/>
  <c r="AF1479" i="2" s="1"/>
  <c r="AG1475" i="2" a="1"/>
  <c r="AG1475" i="2" s="1"/>
  <c r="AE1479" i="2" a="1"/>
  <c r="AE1479" i="2" s="1"/>
  <c r="Z1477" i="2" a="1"/>
  <c r="Z1477" i="2" s="1"/>
  <c r="AD1475" i="2" a="1"/>
  <c r="AD1475" i="2" s="1"/>
  <c r="AC1479" i="2" a="1"/>
  <c r="AC1479" i="2" s="1"/>
  <c r="W1479" i="2" a="1"/>
  <c r="W1479" i="2" s="1"/>
  <c r="AG1478" i="2" a="1"/>
  <c r="AG1478" i="2" s="1"/>
  <c r="AA1478" i="2" a="1"/>
  <c r="AA1478" i="2" s="1"/>
  <c r="AH1478" i="2" a="1"/>
  <c r="AH1478" i="2" s="1"/>
  <c r="AE1476" i="2" a="1"/>
  <c r="AE1476" i="2" s="1"/>
  <c r="Z1478" i="2" a="1"/>
  <c r="Z1478" i="2" s="1"/>
  <c r="Z1475" i="2" a="1"/>
  <c r="Z1475" i="2" s="1"/>
  <c r="AG1476" i="2" a="1"/>
  <c r="AG1476" i="2" s="1"/>
  <c r="AB1477" i="2" a="1"/>
  <c r="AB1477" i="2" s="1"/>
  <c r="AE1477" i="2" a="1"/>
  <c r="AE1477" i="2" s="1"/>
  <c r="AC1478" i="2" a="1"/>
  <c r="AC1478" i="2" s="1"/>
  <c r="AG1477" i="2" a="1"/>
  <c r="AG1477" i="2" s="1"/>
  <c r="AF1477" i="2" a="1"/>
  <c r="AF1477" i="2" s="1"/>
  <c r="AC1477" i="2" a="1"/>
  <c r="AC1477" i="2" s="1"/>
  <c r="AA1475" i="2" a="1"/>
  <c r="AA1475" i="2" s="1"/>
  <c r="AJ1476" i="2" a="1"/>
  <c r="AJ1476" i="2" s="1"/>
  <c r="AI1476" i="2" a="1"/>
  <c r="AI1476" i="2" s="1"/>
  <c r="AF1476" i="2" a="1"/>
  <c r="AF1476" i="2" s="1"/>
  <c r="AB1475" i="2" a="1"/>
  <c r="AB1475" i="2" s="1"/>
  <c r="Z1476" i="2" a="1"/>
  <c r="Z1476" i="2" s="1"/>
  <c r="AJ1475" i="2" a="1"/>
  <c r="AJ1475" i="2" s="1"/>
  <c r="AD1476" i="2" a="1"/>
  <c r="AD1476" i="2" s="1"/>
  <c r="AD1478" i="2" a="1"/>
  <c r="AD1478" i="2" s="1"/>
  <c r="AH1476" i="2" a="1"/>
  <c r="AH1476" i="2" s="1"/>
  <c r="AC1475" i="2" a="1"/>
  <c r="AC1475" i="2" s="1"/>
  <c r="AE1475" i="2" a="1"/>
  <c r="AE1475" i="2" s="1"/>
  <c r="Z1479" i="2" a="1"/>
  <c r="Z1479" i="2" s="1"/>
  <c r="AD1479" i="2" a="1"/>
  <c r="AD1479" i="2" s="1"/>
  <c r="AB1479" i="2" a="1"/>
  <c r="AB1479" i="2" s="1"/>
  <c r="AJ1477" i="2" a="1"/>
  <c r="AJ1477" i="2" s="1"/>
  <c r="AJ1472" i="2" a="1"/>
  <c r="AJ1472" i="2" s="1"/>
  <c r="AF1473" i="2" a="1"/>
  <c r="AF1473" i="2" s="1"/>
  <c r="X1472" i="2" a="1"/>
  <c r="X1472" i="2" s="1"/>
  <c r="AI1471" i="2" a="1"/>
  <c r="AI1471" i="2" s="1"/>
  <c r="AD1471" i="2" a="1"/>
  <c r="AD1471" i="2" s="1"/>
  <c r="AB1471" i="2" a="1"/>
  <c r="AB1471" i="2" s="1"/>
  <c r="X1471" i="2" a="1"/>
  <c r="X1471" i="2" s="1"/>
  <c r="AJ1470" i="2" a="1"/>
  <c r="AJ1470" i="2" s="1"/>
  <c r="AC1473" i="2" a="1"/>
  <c r="AC1473" i="2" s="1"/>
  <c r="AI1484" i="2" a="1"/>
  <c r="AI1484" i="2" s="1"/>
  <c r="Y1475" i="2" a="1"/>
  <c r="Y1475" i="2" s="1"/>
  <c r="X1475" i="2" a="1"/>
  <c r="X1475" i="2" s="1"/>
  <c r="W1474" i="2" a="1"/>
  <c r="W1474" i="2" s="1"/>
  <c r="AG1470" i="2" a="1"/>
  <c r="AG1470" i="2" s="1"/>
  <c r="AA1473" i="2" a="1"/>
  <c r="AA1473" i="2" s="1"/>
  <c r="Z1473" i="2" a="1"/>
  <c r="Z1473" i="2" s="1"/>
  <c r="W1475" i="2" a="1"/>
  <c r="W1475" i="2" s="1"/>
  <c r="AD1472" i="2" a="1"/>
  <c r="AD1472" i="2" s="1"/>
  <c r="AJ1474" i="2" a="1"/>
  <c r="AJ1474" i="2" s="1"/>
  <c r="AI1473" i="2" a="1"/>
  <c r="AI1473" i="2" s="1"/>
  <c r="AB1472" i="2" a="1"/>
  <c r="AB1472" i="2" s="1"/>
  <c r="AJ1471" i="2" a="1"/>
  <c r="AJ1471" i="2" s="1"/>
  <c r="AE1472" i="2" a="1"/>
  <c r="AE1472" i="2" s="1"/>
  <c r="AD1474" i="2" a="1"/>
  <c r="AD1474" i="2" s="1"/>
  <c r="Y1474" i="2" a="1"/>
  <c r="Y1474" i="2" s="1"/>
  <c r="AI1470" i="2" a="1"/>
  <c r="AI1470" i="2" s="1"/>
  <c r="AA1472" i="2" a="1"/>
  <c r="AA1472" i="2" s="1"/>
  <c r="AG1473" i="2" a="1"/>
  <c r="AG1473" i="2" s="1"/>
  <c r="X1473" i="2" a="1"/>
  <c r="X1473" i="2" s="1"/>
  <c r="AH1471" i="2" a="1"/>
  <c r="AH1471" i="2" s="1"/>
  <c r="AI1474" i="2" a="1"/>
  <c r="AI1474" i="2" s="1"/>
  <c r="AH1474" i="2" a="1"/>
  <c r="AH1474" i="2" s="1"/>
  <c r="AG1474" i="2" a="1"/>
  <c r="AG1474" i="2" s="1"/>
  <c r="AF1474" i="2" a="1"/>
  <c r="AF1474" i="2" s="1"/>
  <c r="AI1472" i="2" a="1"/>
  <c r="AI1472" i="2" s="1"/>
  <c r="Y1472" i="2" a="1"/>
  <c r="Y1472" i="2" s="1"/>
  <c r="AE1474" i="2" a="1"/>
  <c r="AE1474" i="2" s="1"/>
  <c r="AC1474" i="2" a="1"/>
  <c r="AC1474" i="2" s="1"/>
  <c r="AB1474" i="2" a="1"/>
  <c r="AB1474" i="2" s="1"/>
  <c r="AE1471" i="2" a="1"/>
  <c r="AE1471" i="2" s="1"/>
  <c r="Y1471" i="2" a="1"/>
  <c r="Y1471" i="2" s="1"/>
  <c r="AA1474" i="2" a="1"/>
  <c r="AA1474" i="2" s="1"/>
  <c r="Z1474" i="2" a="1"/>
  <c r="Z1474" i="2" s="1"/>
  <c r="AH1472" i="2" a="1"/>
  <c r="AH1472" i="2" s="1"/>
  <c r="Z1472" i="2" a="1"/>
  <c r="Z1472" i="2" s="1"/>
  <c r="AF1472" i="2" a="1"/>
  <c r="AF1472" i="2" s="1"/>
  <c r="AC1472" i="2" a="1"/>
  <c r="AC1472" i="2" s="1"/>
  <c r="AG1471" i="2" a="1"/>
  <c r="AG1471" i="2" s="1"/>
  <c r="AA1471" i="2" a="1"/>
  <c r="AA1471" i="2" s="1"/>
  <c r="AE1473" i="2" a="1"/>
  <c r="AE1473" i="2" s="1"/>
  <c r="Y1473" i="2" a="1"/>
  <c r="Y1473" i="2" s="1"/>
  <c r="W1472" i="2" a="1"/>
  <c r="W1472" i="2" s="1"/>
  <c r="AC1471" i="2" a="1"/>
  <c r="AC1471" i="2" s="1"/>
  <c r="W1471" i="2" a="1"/>
  <c r="W1471" i="2" s="1"/>
  <c r="AF1471" i="2" a="1"/>
  <c r="AF1471" i="2" s="1"/>
  <c r="Z1471" i="2" a="1"/>
  <c r="Z1471" i="2" s="1"/>
  <c r="X1474" i="2" a="1"/>
  <c r="X1474" i="2" s="1"/>
  <c r="AD1473" i="2" a="1"/>
  <c r="AD1473" i="2" s="1"/>
  <c r="AG1472" i="2" a="1"/>
  <c r="AG1472" i="2" s="1"/>
  <c r="AB1473" i="2" a="1"/>
  <c r="AB1473" i="2" s="1"/>
  <c r="W1473" i="2" a="1"/>
  <c r="W1473" i="2" s="1"/>
  <c r="AJ1473" i="2" a="1"/>
  <c r="AJ1473" i="2" s="1"/>
  <c r="AH1473" i="2" a="1"/>
  <c r="AH1473" i="2" s="1"/>
  <c r="AH1470" i="2" a="1"/>
  <c r="AH1470" i="2" s="1"/>
  <c r="X1470" i="2" a="1"/>
  <c r="X1470" i="2" s="1"/>
  <c r="W1470" i="2" a="1"/>
  <c r="W1470" i="2" s="1"/>
  <c r="Y1469" i="2" a="1"/>
  <c r="Y1469" i="2" s="1"/>
  <c r="AG1468" i="2" a="1"/>
  <c r="AG1468" i="2" s="1"/>
  <c r="AB1467" i="2" a="1"/>
  <c r="AB1467" i="2" s="1"/>
  <c r="AH1469" i="2" a="1"/>
  <c r="AH1469" i="2" s="1"/>
  <c r="AF1469" i="2" a="1"/>
  <c r="AF1469" i="2" s="1"/>
  <c r="Z1468" i="2" a="1"/>
  <c r="Z1468" i="2" s="1"/>
  <c r="AJ1466" i="2" a="1"/>
  <c r="AJ1466" i="2" s="1"/>
  <c r="AH1467" i="2" a="1"/>
  <c r="AH1467" i="2" s="1"/>
  <c r="Y1470" i="2" a="1"/>
  <c r="Y1470" i="2" s="1"/>
  <c r="X1469" i="2" a="1"/>
  <c r="X1469" i="2" s="1"/>
  <c r="AA1467" i="2" a="1"/>
  <c r="AA1467" i="2" s="1"/>
  <c r="AH1466" i="2" a="1"/>
  <c r="AH1466" i="2" s="1"/>
  <c r="AI1469" i="2" a="1"/>
  <c r="AI1469" i="2" s="1"/>
  <c r="AC1469" i="2" a="1"/>
  <c r="AC1469" i="2" s="1"/>
  <c r="AB1469" i="2" a="1"/>
  <c r="AB1469" i="2" s="1"/>
  <c r="AA1469" i="2" a="1"/>
  <c r="AA1469" i="2" s="1"/>
  <c r="AI1468" i="2" a="1"/>
  <c r="AI1468" i="2" s="1"/>
  <c r="AA1466" i="2" a="1"/>
  <c r="AA1466" i="2" s="1"/>
  <c r="AF1467" i="2" a="1"/>
  <c r="AF1467" i="2" s="1"/>
  <c r="X1467" i="2" a="1"/>
  <c r="X1467" i="2" s="1"/>
  <c r="AI1466" i="2" a="1"/>
  <c r="AI1466" i="2" s="1"/>
  <c r="AE1466" i="2" a="1"/>
  <c r="AE1466" i="2" s="1"/>
  <c r="AB1466" i="2" a="1"/>
  <c r="AB1466" i="2" s="1"/>
  <c r="Z1470" i="2" a="1"/>
  <c r="Z1470" i="2" s="1"/>
  <c r="AH1485" i="2" a="1"/>
  <c r="AH1485" i="2" s="1"/>
  <c r="AE1469" i="2" a="1"/>
  <c r="AE1469" i="2" s="1"/>
  <c r="AG1469" i="2" a="1"/>
  <c r="AG1469" i="2" s="1"/>
  <c r="AC1468" i="2" a="1"/>
  <c r="AC1468" i="2" s="1"/>
  <c r="AC1467" i="2" a="1"/>
  <c r="AC1467" i="2" s="1"/>
  <c r="AI1467" i="2" a="1"/>
  <c r="AI1467" i="2" s="1"/>
  <c r="AA1470" i="2" a="1"/>
  <c r="AA1470" i="2" s="1"/>
  <c r="AD1467" i="2" a="1"/>
  <c r="AD1467" i="2" s="1"/>
  <c r="AF1470" i="2" a="1"/>
  <c r="AF1470" i="2" s="1"/>
  <c r="Y1468" i="2" a="1"/>
  <c r="Y1468" i="2" s="1"/>
  <c r="AD1466" i="2" a="1"/>
  <c r="AD1466" i="2" s="1"/>
  <c r="W1468" i="2" a="1"/>
  <c r="W1468" i="2" s="1"/>
  <c r="AE1470" i="2" a="1"/>
  <c r="AE1470" i="2" s="1"/>
  <c r="AD1470" i="2" a="1"/>
  <c r="AD1470" i="2" s="1"/>
  <c r="AC1470" i="2" a="1"/>
  <c r="AC1470" i="2" s="1"/>
  <c r="AC1466" i="2" a="1"/>
  <c r="AC1466" i="2" s="1"/>
  <c r="AJ1469" i="2" a="1"/>
  <c r="AJ1469" i="2" s="1"/>
  <c r="AD1469" i="2" a="1"/>
  <c r="AD1469" i="2" s="1"/>
  <c r="AJ1467" i="2" a="1"/>
  <c r="AJ1467" i="2" s="1"/>
  <c r="AE1467" i="2" a="1"/>
  <c r="AE1467" i="2" s="1"/>
  <c r="AF1466" i="2" a="1"/>
  <c r="AF1466" i="2" s="1"/>
  <c r="X1468" i="2" a="1"/>
  <c r="X1468" i="2" s="1"/>
  <c r="W1467" i="2" a="1"/>
  <c r="W1467" i="2" s="1"/>
  <c r="Z1469" i="2" a="1"/>
  <c r="Z1469" i="2" s="1"/>
  <c r="AD1468" i="2" a="1"/>
  <c r="AD1468" i="2" s="1"/>
  <c r="AE1468" i="2" a="1"/>
  <c r="AE1468" i="2" s="1"/>
  <c r="AB1468" i="2" a="1"/>
  <c r="AB1468" i="2" s="1"/>
  <c r="AG1467" i="2" a="1"/>
  <c r="AG1467" i="2" s="1"/>
  <c r="AG1466" i="2" a="1"/>
  <c r="AG1466" i="2" s="1"/>
  <c r="AF1468" i="2" a="1"/>
  <c r="AF1468" i="2" s="1"/>
  <c r="W1469" i="2" a="1"/>
  <c r="W1469" i="2" s="1"/>
  <c r="AA1468" i="2" a="1"/>
  <c r="AA1468" i="2" s="1"/>
  <c r="AJ1468" i="2" a="1"/>
  <c r="AJ1468" i="2" s="1"/>
  <c r="Z1467" i="2" a="1"/>
  <c r="Z1467" i="2" s="1"/>
  <c r="Y1467" i="2" a="1"/>
  <c r="Y1467" i="2" s="1"/>
  <c r="AB1470" i="2" a="1"/>
  <c r="AB1470" i="2" s="1"/>
  <c r="AH1468" i="2" a="1"/>
  <c r="AH1468" i="2" s="1"/>
  <c r="Z1466" i="2" a="1"/>
  <c r="Z1466" i="2" s="1"/>
  <c r="AA1465" i="2" a="1"/>
  <c r="AA1465" i="2" s="1"/>
  <c r="AI1464" i="2" a="1"/>
  <c r="AI1464" i="2" s="1"/>
  <c r="AH1484" i="2" a="1"/>
  <c r="AH1484" i="2" s="1"/>
  <c r="AE1464" i="2" a="1"/>
  <c r="AE1464" i="2" s="1"/>
  <c r="W1464" i="2" a="1"/>
  <c r="W1464" i="2" s="1"/>
  <c r="AI1463" i="2" a="1"/>
  <c r="AI1463" i="2" s="1"/>
  <c r="AB1463" i="2" a="1"/>
  <c r="AB1463" i="2" s="1"/>
  <c r="X1463" i="2" a="1"/>
  <c r="X1463" i="2" s="1"/>
  <c r="AJ1461" i="2" a="1"/>
  <c r="AJ1461" i="2" s="1"/>
  <c r="AG1462" i="2" a="1"/>
  <c r="AG1462" i="2" s="1"/>
  <c r="X1465" i="2" a="1"/>
  <c r="X1465" i="2" s="1"/>
  <c r="AJ1462" i="2" a="1"/>
  <c r="AJ1462" i="2" s="1"/>
  <c r="AI1462" i="2" a="1"/>
  <c r="AI1462" i="2" s="1"/>
  <c r="AG1461" i="2" a="1"/>
  <c r="AG1461" i="2" s="1"/>
  <c r="AA1462" i="2" a="1"/>
  <c r="AA1462" i="2" s="1"/>
  <c r="X1462" i="2" a="1"/>
  <c r="X1462" i="2" s="1"/>
  <c r="Y1466" i="2" a="1"/>
  <c r="Y1466" i="2" s="1"/>
  <c r="W1466" i="2" a="1"/>
  <c r="W1466" i="2" s="1"/>
  <c r="AH1463" i="2" a="1"/>
  <c r="AH1463" i="2" s="1"/>
  <c r="Z1464" i="2" a="1"/>
  <c r="Z1464" i="2" s="1"/>
  <c r="X1466" i="2" a="1"/>
  <c r="X1466" i="2" s="1"/>
  <c r="Z1463" i="2" a="1"/>
  <c r="Z1463" i="2" s="1"/>
  <c r="AI1465" i="2" a="1"/>
  <c r="AI1465" i="2" s="1"/>
  <c r="Y1463" i="2" a="1"/>
  <c r="Y1463" i="2" s="1"/>
  <c r="AJ1465" i="2" a="1"/>
  <c r="AJ1465" i="2" s="1"/>
  <c r="AI1461" i="2" a="1"/>
  <c r="AI1461" i="2" s="1"/>
  <c r="AH1465" i="2" a="1"/>
  <c r="AH1465" i="2" s="1"/>
  <c r="W1465" i="2" a="1"/>
  <c r="W1465" i="2" s="1"/>
  <c r="AG1465" i="2" a="1"/>
  <c r="AG1465" i="2" s="1"/>
  <c r="AE1465" i="2" a="1"/>
  <c r="AE1465" i="2" s="1"/>
  <c r="AF1464" i="2" a="1"/>
  <c r="AF1464" i="2" s="1"/>
  <c r="Y1464" i="2" a="1"/>
  <c r="Y1464" i="2" s="1"/>
  <c r="AB1462" i="2" a="1"/>
  <c r="AB1462" i="2" s="1"/>
  <c r="AF1465" i="2" a="1"/>
  <c r="AF1465" i="2" s="1"/>
  <c r="AG1464" i="2" a="1"/>
  <c r="AG1464" i="2" s="1"/>
  <c r="AF1462" i="2" a="1"/>
  <c r="AF1462" i="2" s="1"/>
  <c r="AB1464" i="2" a="1"/>
  <c r="AB1464" i="2" s="1"/>
  <c r="AD1462" i="2" a="1"/>
  <c r="AD1462" i="2" s="1"/>
  <c r="AJ1464" i="2" a="1"/>
  <c r="AJ1464" i="2" s="1"/>
  <c r="X1464" i="2" a="1"/>
  <c r="X1464" i="2" s="1"/>
  <c r="AC1463" i="2" a="1"/>
  <c r="AC1463" i="2" s="1"/>
  <c r="AD1464" i="2" a="1"/>
  <c r="AD1464" i="2" s="1"/>
  <c r="AA1464" i="2" a="1"/>
  <c r="AA1464" i="2" s="1"/>
  <c r="AC1462" i="2" a="1"/>
  <c r="AC1462" i="2" s="1"/>
  <c r="Y1462" i="2" a="1"/>
  <c r="Y1462" i="2" s="1"/>
  <c r="Y1465" i="2" a="1"/>
  <c r="Y1465" i="2" s="1"/>
  <c r="AG1463" i="2" a="1"/>
  <c r="AG1463" i="2" s="1"/>
  <c r="AE1462" i="2" a="1"/>
  <c r="AE1462" i="2" s="1"/>
  <c r="AE1463" i="2" a="1"/>
  <c r="AE1463" i="2" s="1"/>
  <c r="AD1465" i="2" a="1"/>
  <c r="AD1465" i="2" s="1"/>
  <c r="Z1465" i="2" a="1"/>
  <c r="Z1465" i="2" s="1"/>
  <c r="AH1464" i="2" a="1"/>
  <c r="AH1464" i="2" s="1"/>
  <c r="AJ1463" i="2" a="1"/>
  <c r="AJ1463" i="2" s="1"/>
  <c r="AA1463" i="2" a="1"/>
  <c r="AA1463" i="2" s="1"/>
  <c r="AC1465" i="2" a="1"/>
  <c r="AC1465" i="2" s="1"/>
  <c r="AD1463" i="2" a="1"/>
  <c r="AD1463" i="2" s="1"/>
  <c r="AB1465" i="2" a="1"/>
  <c r="AB1465" i="2" s="1"/>
  <c r="AH1462" i="2" a="1"/>
  <c r="AH1462" i="2" s="1"/>
  <c r="AC1464" i="2" a="1"/>
  <c r="AC1464" i="2" s="1"/>
  <c r="W1463" i="2" a="1"/>
  <c r="W1463" i="2" s="1"/>
  <c r="Z1462" i="2" a="1"/>
  <c r="Z1462" i="2" s="1"/>
  <c r="AF1463" i="2" a="1"/>
  <c r="AF1463" i="2" s="1"/>
  <c r="W1462" i="2" a="1"/>
  <c r="W1462" i="2" s="1"/>
  <c r="AH1461" i="2" a="1"/>
  <c r="AH1461" i="2" s="1"/>
  <c r="AE1461" i="2" a="1"/>
  <c r="AE1461" i="2" s="1"/>
  <c r="Z1461" i="2" a="1"/>
  <c r="Z1461" i="2" s="1"/>
  <c r="Y1459" i="2" a="1"/>
  <c r="Y1459" i="2" s="1"/>
  <c r="AI1457" i="2" a="1"/>
  <c r="AI1457" i="2" s="1"/>
  <c r="AC1458" i="2" a="1"/>
  <c r="AC1458" i="2" s="1"/>
  <c r="AB1460" i="2" a="1"/>
  <c r="AB1460" i="2" s="1"/>
  <c r="W1458" i="2" a="1"/>
  <c r="W1458" i="2" s="1"/>
  <c r="AA1458" i="2" a="1"/>
  <c r="AA1458" i="2" s="1"/>
  <c r="AG1460" i="2" a="1"/>
  <c r="AG1460" i="2" s="1"/>
  <c r="Y1460" i="2" a="1"/>
  <c r="Y1460" i="2" s="1"/>
  <c r="X1458" i="2" a="1"/>
  <c r="X1458" i="2" s="1"/>
  <c r="AJ1457" i="2" a="1"/>
  <c r="AJ1457" i="2" s="1"/>
  <c r="AJ1458" i="2" a="1"/>
  <c r="AJ1458" i="2" s="1"/>
  <c r="W1460" i="2" a="1"/>
  <c r="W1460" i="2" s="1"/>
  <c r="AG1459" i="2" a="1"/>
  <c r="AG1459" i="2" s="1"/>
  <c r="AA1459" i="2" a="1"/>
  <c r="AA1459" i="2" s="1"/>
  <c r="AE1459" i="2" a="1"/>
  <c r="AE1459" i="2" s="1"/>
  <c r="AC1457" i="2" a="1"/>
  <c r="AC1457" i="2" s="1"/>
  <c r="AH1460" i="2" a="1"/>
  <c r="AH1460" i="2" s="1"/>
  <c r="AG1458" i="2" a="1"/>
  <c r="AG1458" i="2" s="1"/>
  <c r="AH1457" i="2" a="1"/>
  <c r="AH1457" i="2" s="1"/>
  <c r="Y1458" i="2" a="1"/>
  <c r="Y1458" i="2" s="1"/>
  <c r="AD1457" i="2" a="1"/>
  <c r="AD1457" i="2" s="1"/>
  <c r="AH1458" i="2" a="1"/>
  <c r="AH1458" i="2" s="1"/>
  <c r="Z1457" i="2" a="1"/>
  <c r="Z1457" i="2" s="1"/>
  <c r="AD1461" i="2" a="1"/>
  <c r="AD1461" i="2" s="1"/>
  <c r="AB1461" i="2" a="1"/>
  <c r="AB1461" i="2" s="1"/>
  <c r="AA1461" i="2" a="1"/>
  <c r="AA1461" i="2" s="1"/>
  <c r="Z1459" i="2" a="1"/>
  <c r="Z1459" i="2" s="1"/>
  <c r="Y1461" i="2" a="1"/>
  <c r="Y1461" i="2" s="1"/>
  <c r="X1461" i="2" a="1"/>
  <c r="X1461" i="2" s="1"/>
  <c r="AH1459" i="2" a="1"/>
  <c r="AH1459" i="2" s="1"/>
  <c r="X1460" i="2" a="1"/>
  <c r="X1460" i="2" s="1"/>
  <c r="W1461" i="2" a="1"/>
  <c r="W1461" i="2" s="1"/>
  <c r="AJ1460" i="2" a="1"/>
  <c r="AJ1460" i="2" s="1"/>
  <c r="AC1460" i="2" a="1"/>
  <c r="AC1460" i="2" s="1"/>
  <c r="AD1459" i="2" a="1"/>
  <c r="AD1459" i="2" s="1"/>
  <c r="AC1459" i="2" a="1"/>
  <c r="AC1459" i="2" s="1"/>
  <c r="AF1457" i="2" a="1"/>
  <c r="AF1457" i="2" s="1"/>
  <c r="AE1458" i="2" a="1"/>
  <c r="AE1458" i="2" s="1"/>
  <c r="AD1458" i="2" a="1"/>
  <c r="AD1458" i="2" s="1"/>
  <c r="AB1459" i="2" a="1"/>
  <c r="AB1459" i="2" s="1"/>
  <c r="AE1460" i="2" a="1"/>
  <c r="AE1460" i="2" s="1"/>
  <c r="W1459" i="2" a="1"/>
  <c r="W1459" i="2" s="1"/>
  <c r="AI1459" i="2" a="1"/>
  <c r="AI1459" i="2" s="1"/>
  <c r="AI1458" i="2" a="1"/>
  <c r="AI1458" i="2" s="1"/>
  <c r="AB1457" i="2" a="1"/>
  <c r="AB1457" i="2" s="1"/>
  <c r="Z1460" i="2" a="1"/>
  <c r="Z1460" i="2" s="1"/>
  <c r="AB1458" i="2" a="1"/>
  <c r="AB1458" i="2" s="1"/>
  <c r="AI1460" i="2" a="1"/>
  <c r="AI1460" i="2" s="1"/>
  <c r="X1459" i="2" a="1"/>
  <c r="X1459" i="2" s="1"/>
  <c r="AG1457" i="2" a="1"/>
  <c r="AG1457" i="2" s="1"/>
  <c r="AA1460" i="2" a="1"/>
  <c r="AA1460" i="2" s="1"/>
  <c r="AA1457" i="2" a="1"/>
  <c r="AA1457" i="2" s="1"/>
  <c r="AD1460" i="2" a="1"/>
  <c r="AD1460" i="2" s="1"/>
  <c r="AE1457" i="2" a="1"/>
  <c r="AE1457" i="2" s="1"/>
  <c r="AF1459" i="2" a="1"/>
  <c r="AF1459" i="2" s="1"/>
  <c r="AC1485" i="2" a="1"/>
  <c r="AC1485" i="2" s="1"/>
  <c r="AJ1459" i="2" a="1"/>
  <c r="AJ1459" i="2" s="1"/>
  <c r="Z1458" i="2" a="1"/>
  <c r="Z1458" i="2" s="1"/>
  <c r="AF1458" i="2" a="1"/>
  <c r="AF1458" i="2" s="1"/>
  <c r="AF1461" i="2" a="1"/>
  <c r="AF1461" i="2" s="1"/>
  <c r="AF1460" i="2" a="1"/>
  <c r="AF1460" i="2" s="1"/>
  <c r="AC1461" i="2" a="1"/>
  <c r="AC1461" i="2" s="1"/>
  <c r="AJ1452" i="2" a="1"/>
  <c r="AJ1452" i="2" s="1"/>
  <c r="AJ1453" i="2" a="1"/>
  <c r="AJ1453" i="2" s="1"/>
  <c r="AJ1455" i="2" a="1"/>
  <c r="AJ1455" i="2" s="1"/>
  <c r="AH1453" i="2" a="1"/>
  <c r="AH1453" i="2" s="1"/>
  <c r="AE1455" i="2" a="1"/>
  <c r="AE1455" i="2" s="1"/>
  <c r="AF1456" i="2" a="1"/>
  <c r="AF1456" i="2" s="1"/>
  <c r="Y1456" i="2" a="1"/>
  <c r="Y1456" i="2" s="1"/>
  <c r="AC1455" i="2" a="1"/>
  <c r="AC1455" i="2" s="1"/>
  <c r="X1455" i="2" a="1"/>
  <c r="X1455" i="2" s="1"/>
  <c r="AE1454" i="2" a="1"/>
  <c r="AE1454" i="2" s="1"/>
  <c r="AD1456" i="2" a="1"/>
  <c r="AD1456" i="2" s="1"/>
  <c r="AI1453" i="2" a="1"/>
  <c r="AI1453" i="2" s="1"/>
  <c r="AH1454" i="2" a="1"/>
  <c r="AH1454" i="2" s="1"/>
  <c r="AC1456" i="2" a="1"/>
  <c r="AC1456" i="2" s="1"/>
  <c r="AD1453" i="2" a="1"/>
  <c r="AD1453" i="2" s="1"/>
  <c r="Y1453" i="2" a="1"/>
  <c r="Y1453" i="2" s="1"/>
  <c r="AB1456" i="2" a="1"/>
  <c r="AB1456" i="2" s="1"/>
  <c r="X1456" i="2" a="1"/>
  <c r="X1456" i="2" s="1"/>
  <c r="AB1453" i="2" a="1"/>
  <c r="AB1453" i="2" s="1"/>
  <c r="Y1455" i="2" a="1"/>
  <c r="Y1455" i="2" s="1"/>
  <c r="AG1453" i="2" a="1"/>
  <c r="AG1453" i="2" s="1"/>
  <c r="Y1454" i="2" a="1"/>
  <c r="Y1454" i="2" s="1"/>
  <c r="AI1454" i="2" a="1"/>
  <c r="AI1454" i="2" s="1"/>
  <c r="Z1454" i="2" a="1"/>
  <c r="Z1454" i="2" s="1"/>
  <c r="AH1452" i="2" a="1"/>
  <c r="AH1452" i="2" s="1"/>
  <c r="AE1453" i="2" a="1"/>
  <c r="AE1453" i="2" s="1"/>
  <c r="AI1452" i="2" a="1"/>
  <c r="AI1452" i="2" s="1"/>
  <c r="AJ1454" i="2" a="1"/>
  <c r="AJ1454" i="2" s="1"/>
  <c r="AF1455" i="2" a="1"/>
  <c r="AF1455" i="2" s="1"/>
  <c r="AA1455" i="2" a="1"/>
  <c r="AA1455" i="2" s="1"/>
  <c r="AC1453" i="2" a="1"/>
  <c r="AC1453" i="2" s="1"/>
  <c r="Z1453" i="2" a="1"/>
  <c r="Z1453" i="2" s="1"/>
  <c r="AF1453" i="2" a="1"/>
  <c r="AF1453" i="2" s="1"/>
  <c r="AG1455" i="2" a="1"/>
  <c r="AG1455" i="2" s="1"/>
  <c r="AD1454" i="2" a="1"/>
  <c r="AD1454" i="2" s="1"/>
  <c r="AA1453" i="2" a="1"/>
  <c r="AA1453" i="2" s="1"/>
  <c r="AG1484" i="2" a="1"/>
  <c r="AG1484" i="2" s="1"/>
  <c r="AB1454" i="2" a="1"/>
  <c r="AB1454" i="2" s="1"/>
  <c r="Y1457" i="2" a="1"/>
  <c r="Y1457" i="2" s="1"/>
  <c r="X1457" i="2" a="1"/>
  <c r="X1457" i="2" s="1"/>
  <c r="W1454" i="2" a="1"/>
  <c r="W1454" i="2" s="1"/>
  <c r="W1457" i="2" a="1"/>
  <c r="W1457" i="2" s="1"/>
  <c r="AH1456" i="2" a="1"/>
  <c r="AH1456" i="2" s="1"/>
  <c r="W1456" i="2" a="1"/>
  <c r="W1456" i="2" s="1"/>
  <c r="AD1455" i="2" a="1"/>
  <c r="AD1455" i="2" s="1"/>
  <c r="W1455" i="2" a="1"/>
  <c r="W1455" i="2" s="1"/>
  <c r="AA1454" i="2" a="1"/>
  <c r="AA1454" i="2" s="1"/>
  <c r="AC1454" i="2" a="1"/>
  <c r="AC1454" i="2" s="1"/>
  <c r="W1453" i="2" a="1"/>
  <c r="W1453" i="2" s="1"/>
  <c r="AA1456" i="2" a="1"/>
  <c r="AA1456" i="2" s="1"/>
  <c r="AH1455" i="2" a="1"/>
  <c r="AH1455" i="2" s="1"/>
  <c r="AG1454" i="2" a="1"/>
  <c r="AG1454" i="2" s="1"/>
  <c r="AE1456" i="2" a="1"/>
  <c r="AE1456" i="2" s="1"/>
  <c r="Z1456" i="2" a="1"/>
  <c r="Z1456" i="2" s="1"/>
  <c r="AI1455" i="2" a="1"/>
  <c r="AI1455" i="2" s="1"/>
  <c r="AF1454" i="2" a="1"/>
  <c r="AF1454" i="2" s="1"/>
  <c r="X1453" i="2" a="1"/>
  <c r="X1453" i="2" s="1"/>
  <c r="AG1452" i="2" a="1"/>
  <c r="AG1452" i="2" s="1"/>
  <c r="Z1455" i="2" a="1"/>
  <c r="Z1455" i="2" s="1"/>
  <c r="AB1455" i="2" a="1"/>
  <c r="AB1455" i="2" s="1"/>
  <c r="X1454" i="2" a="1"/>
  <c r="X1454" i="2" s="1"/>
  <c r="AJ1456" i="2" a="1"/>
  <c r="AJ1456" i="2" s="1"/>
  <c r="AI1456" i="2" a="1"/>
  <c r="AI1456" i="2" s="1"/>
  <c r="AG1456" i="2" a="1"/>
  <c r="AG1456" i="2" s="1"/>
  <c r="X1449" i="2" a="1"/>
  <c r="X1449" i="2" s="1"/>
  <c r="AI1451" i="2" a="1"/>
  <c r="AI1451" i="2" s="1"/>
  <c r="AF1450" i="2" a="1"/>
  <c r="AF1450" i="2" s="1"/>
  <c r="AH1451" i="2" a="1"/>
  <c r="AH1451" i="2" s="1"/>
  <c r="AB1451" i="2" a="1"/>
  <c r="AB1451" i="2" s="1"/>
  <c r="Y1450" i="2" a="1"/>
  <c r="Y1450" i="2" s="1"/>
  <c r="AA1448" i="2" a="1"/>
  <c r="AA1448" i="2" s="1"/>
  <c r="W1450" i="2" a="1"/>
  <c r="W1450" i="2" s="1"/>
  <c r="AD1449" i="2" a="1"/>
  <c r="AD1449" i="2" s="1"/>
  <c r="AD1448" i="2" a="1"/>
  <c r="AD1448" i="2" s="1"/>
  <c r="Z1451" i="2" a="1"/>
  <c r="Z1451" i="2" s="1"/>
  <c r="X1451" i="2" a="1"/>
  <c r="X1451" i="2" s="1"/>
  <c r="AI1448" i="2" a="1"/>
  <c r="AI1448" i="2" s="1"/>
  <c r="AI1450" i="2" a="1"/>
  <c r="AI1450" i="2" s="1"/>
  <c r="AE1450" i="2" a="1"/>
  <c r="AE1450" i="2" s="1"/>
  <c r="AC1450" i="2" a="1"/>
  <c r="AC1450" i="2" s="1"/>
  <c r="X1450" i="2" a="1"/>
  <c r="X1450" i="2" s="1"/>
  <c r="AH1449" i="2" a="1"/>
  <c r="AH1449" i="2" s="1"/>
  <c r="AF1449" i="2" a="1"/>
  <c r="AF1449" i="2" s="1"/>
  <c r="AE1449" i="2" a="1"/>
  <c r="AE1449" i="2" s="1"/>
  <c r="AC1449" i="2" a="1"/>
  <c r="AC1449" i="2" s="1"/>
  <c r="AB1449" i="2" a="1"/>
  <c r="AB1449" i="2" s="1"/>
  <c r="AI1449" i="2" a="1"/>
  <c r="AI1449" i="2" s="1"/>
  <c r="AA1449" i="2" a="1"/>
  <c r="AA1449" i="2" s="1"/>
  <c r="AD1450" i="2" a="1"/>
  <c r="AD1450" i="2" s="1"/>
  <c r="AJ1485" i="2" a="1"/>
  <c r="AJ1485" i="2" s="1"/>
  <c r="Z1452" i="2" a="1"/>
  <c r="Z1452" i="2" s="1"/>
  <c r="W1452" i="2" a="1"/>
  <c r="W1452" i="2" s="1"/>
  <c r="AG1448" i="2" a="1"/>
  <c r="AG1448" i="2" s="1"/>
  <c r="AF1452" i="2" a="1"/>
  <c r="AF1452" i="2" s="1"/>
  <c r="AE1452" i="2" a="1"/>
  <c r="AE1452" i="2" s="1"/>
  <c r="Y1451" i="2" a="1"/>
  <c r="Y1451" i="2" s="1"/>
  <c r="Z1449" i="2" a="1"/>
  <c r="Z1449" i="2" s="1"/>
  <c r="AH1448" i="2" a="1"/>
  <c r="AH1448" i="2" s="1"/>
  <c r="AC1448" i="2" a="1"/>
  <c r="AC1448" i="2" s="1"/>
  <c r="AB1448" i="2" a="1"/>
  <c r="AB1448" i="2" s="1"/>
  <c r="AD1452" i="2" a="1"/>
  <c r="AD1452" i="2" s="1"/>
  <c r="AA1452" i="2" a="1"/>
  <c r="AA1452" i="2" s="1"/>
  <c r="AD1451" i="2" a="1"/>
  <c r="AD1451" i="2" s="1"/>
  <c r="Y1452" i="2" a="1"/>
  <c r="Y1452" i="2" s="1"/>
  <c r="AJ1451" i="2" a="1"/>
  <c r="AJ1451" i="2" s="1"/>
  <c r="AF1451" i="2" a="1"/>
  <c r="AF1451" i="2" s="1"/>
  <c r="AA1451" i="2" a="1"/>
  <c r="AA1451" i="2" s="1"/>
  <c r="AJ1450" i="2" a="1"/>
  <c r="AJ1450" i="2" s="1"/>
  <c r="AA1450" i="2" a="1"/>
  <c r="AA1450" i="2" s="1"/>
  <c r="AG1449" i="2" a="1"/>
  <c r="AG1449" i="2" s="1"/>
  <c r="AJ1448" i="2" a="1"/>
  <c r="AJ1448" i="2" s="1"/>
  <c r="AB1450" i="2" a="1"/>
  <c r="AB1450" i="2" s="1"/>
  <c r="Z1450" i="2" a="1"/>
  <c r="Z1450" i="2" s="1"/>
  <c r="AE1451" i="2" a="1"/>
  <c r="AE1451" i="2" s="1"/>
  <c r="AG1450" i="2" a="1"/>
  <c r="AG1450" i="2" s="1"/>
  <c r="AF1448" i="2" a="1"/>
  <c r="AF1448" i="2" s="1"/>
  <c r="AC1451" i="2" a="1"/>
  <c r="AC1451" i="2" s="1"/>
  <c r="W1449" i="2" a="1"/>
  <c r="W1449" i="2" s="1"/>
  <c r="Z1448" i="2" a="1"/>
  <c r="Z1448" i="2" s="1"/>
  <c r="AJ1449" i="2" a="1"/>
  <c r="AJ1449" i="2" s="1"/>
  <c r="AC1452" i="2" a="1"/>
  <c r="AC1452" i="2" s="1"/>
  <c r="AE1448" i="2" a="1"/>
  <c r="AE1448" i="2" s="1"/>
  <c r="AG1451" i="2" a="1"/>
  <c r="AG1451" i="2" s="1"/>
  <c r="W1451" i="2" a="1"/>
  <c r="W1451" i="2" s="1"/>
  <c r="AH1450" i="2" a="1"/>
  <c r="AH1450" i="2" s="1"/>
  <c r="AB1452" i="2" a="1"/>
  <c r="AB1452" i="2" s="1"/>
  <c r="X1452" i="2" a="1"/>
  <c r="X1452" i="2" s="1"/>
  <c r="Y1449" i="2" a="1"/>
  <c r="Y1449" i="2" s="1"/>
  <c r="AH1445" i="2" a="1"/>
  <c r="AH1445" i="2" s="1"/>
  <c r="AE1447" i="2" a="1"/>
  <c r="AE1447" i="2" s="1"/>
  <c r="AD1447" i="2" a="1"/>
  <c r="AD1447" i="2" s="1"/>
  <c r="Z1447" i="2" a="1"/>
  <c r="Z1447" i="2" s="1"/>
  <c r="AA1445" i="2" a="1"/>
  <c r="AA1445" i="2" s="1"/>
  <c r="Y1445" i="2" a="1"/>
  <c r="Y1445" i="2" s="1"/>
  <c r="AI1443" i="2" a="1"/>
  <c r="AI1443" i="2" s="1"/>
  <c r="AG1443" i="2" a="1"/>
  <c r="AG1443" i="2" s="1"/>
  <c r="Z1446" i="2" a="1"/>
  <c r="Z1446" i="2" s="1"/>
  <c r="Y1444" i="2" a="1"/>
  <c r="Y1444" i="2" s="1"/>
  <c r="AC1444" i="2" a="1"/>
  <c r="AC1444" i="2" s="1"/>
  <c r="Y1448" i="2" a="1"/>
  <c r="Y1448" i="2" s="1"/>
  <c r="AG1446" i="2" a="1"/>
  <c r="AG1446" i="2" s="1"/>
  <c r="W1448" i="2" a="1"/>
  <c r="W1448" i="2" s="1"/>
  <c r="AJ1447" i="2" a="1"/>
  <c r="AJ1447" i="2" s="1"/>
  <c r="AH1447" i="2" a="1"/>
  <c r="AH1447" i="2" s="1"/>
  <c r="AB1446" i="2" a="1"/>
  <c r="AB1446" i="2" s="1"/>
  <c r="AG1447" i="2" a="1"/>
  <c r="AG1447" i="2" s="1"/>
  <c r="AA1447" i="2" a="1"/>
  <c r="AA1447" i="2" s="1"/>
  <c r="AH1446" i="2" a="1"/>
  <c r="AH1446" i="2" s="1"/>
  <c r="AJ1444" i="2" a="1"/>
  <c r="AJ1444" i="2" s="1"/>
  <c r="X1447" i="2" a="1"/>
  <c r="X1447" i="2" s="1"/>
  <c r="Z1444" i="2" a="1"/>
  <c r="Z1444" i="2" s="1"/>
  <c r="AD1446" i="2" a="1"/>
  <c r="AD1446" i="2" s="1"/>
  <c r="AI1446" i="2" a="1"/>
  <c r="AI1446" i="2" s="1"/>
  <c r="AC1447" i="2" a="1"/>
  <c r="AC1447" i="2" s="1"/>
  <c r="AI1444" i="2" a="1"/>
  <c r="AI1444" i="2" s="1"/>
  <c r="AB1447" i="2" a="1"/>
  <c r="AB1447" i="2" s="1"/>
  <c r="AI1445" i="2" a="1"/>
  <c r="AI1445" i="2" s="1"/>
  <c r="AD1444" i="2" a="1"/>
  <c r="AD1444" i="2" s="1"/>
  <c r="Y1447" i="2" a="1"/>
  <c r="Y1447" i="2" s="1"/>
  <c r="AA1446" i="2" a="1"/>
  <c r="AA1446" i="2" s="1"/>
  <c r="W1445" i="2" a="1"/>
  <c r="W1445" i="2" s="1"/>
  <c r="W1447" i="2" a="1"/>
  <c r="W1447" i="2" s="1"/>
  <c r="AG1445" i="2" a="1"/>
  <c r="AG1445" i="2" s="1"/>
  <c r="AB1444" i="2" a="1"/>
  <c r="AB1444" i="2" s="1"/>
  <c r="AJ1446" i="2" a="1"/>
  <c r="AJ1446" i="2" s="1"/>
  <c r="AG1444" i="2" a="1"/>
  <c r="AG1444" i="2" s="1"/>
  <c r="Y1446" i="2" a="1"/>
  <c r="Y1446" i="2" s="1"/>
  <c r="AB1445" i="2" a="1"/>
  <c r="AB1445" i="2" s="1"/>
  <c r="AJ1443" i="2" a="1"/>
  <c r="AJ1443" i="2" s="1"/>
  <c r="AC1445" i="2" a="1"/>
  <c r="AC1445" i="2" s="1"/>
  <c r="X1446" i="2" a="1"/>
  <c r="X1446" i="2" s="1"/>
  <c r="AF1445" i="2" a="1"/>
  <c r="AF1445" i="2" s="1"/>
  <c r="AH1444" i="2" a="1"/>
  <c r="AH1444" i="2" s="1"/>
  <c r="AD1445" i="2" a="1"/>
  <c r="AD1445" i="2" s="1"/>
  <c r="Z1445" i="2" a="1"/>
  <c r="Z1445" i="2" s="1"/>
  <c r="AA1444" i="2" a="1"/>
  <c r="AA1444" i="2" s="1"/>
  <c r="X1444" i="2" a="1"/>
  <c r="X1444" i="2" s="1"/>
  <c r="AF1484" i="2" a="1"/>
  <c r="AF1484" i="2" s="1"/>
  <c r="X1448" i="2" a="1"/>
  <c r="X1448" i="2" s="1"/>
  <c r="W1446" i="2" a="1"/>
  <c r="W1446" i="2" s="1"/>
  <c r="AI1447" i="2" a="1"/>
  <c r="AI1447" i="2" s="1"/>
  <c r="AH1443" i="2" a="1"/>
  <c r="AH1443" i="2" s="1"/>
  <c r="AF1446" i="2" a="1"/>
  <c r="AF1446" i="2" s="1"/>
  <c r="W1444" i="2" a="1"/>
  <c r="W1444" i="2" s="1"/>
  <c r="AE1446" i="2" a="1"/>
  <c r="AE1446" i="2" s="1"/>
  <c r="AJ1445" i="2" a="1"/>
  <c r="AJ1445" i="2" s="1"/>
  <c r="AE1445" i="2" a="1"/>
  <c r="AE1445" i="2" s="1"/>
  <c r="X1445" i="2" a="1"/>
  <c r="X1445" i="2" s="1"/>
  <c r="AF1444" i="2" a="1"/>
  <c r="AF1444" i="2" s="1"/>
  <c r="AE1444" i="2" a="1"/>
  <c r="AE1444" i="2" s="1"/>
  <c r="AF1447" i="2" a="1"/>
  <c r="AF1447" i="2" s="1"/>
  <c r="AC1446" i="2" a="1"/>
  <c r="AC1446" i="2" s="1"/>
  <c r="X1440" i="2" a="1"/>
  <c r="X1440" i="2" s="1"/>
  <c r="AB1442" i="2" a="1"/>
  <c r="AB1442" i="2" s="1"/>
  <c r="AA1442" i="2" a="1"/>
  <c r="AA1442" i="2" s="1"/>
  <c r="Y1442" i="2" a="1"/>
  <c r="Y1442" i="2" s="1"/>
  <c r="AE1441" i="2" a="1"/>
  <c r="AE1441" i="2" s="1"/>
  <c r="Z1442" i="2" a="1"/>
  <c r="Z1442" i="2" s="1"/>
  <c r="X1442" i="2" a="1"/>
  <c r="X1442" i="2" s="1"/>
  <c r="W1442" i="2" a="1"/>
  <c r="W1442" i="2" s="1"/>
  <c r="AJ1441" i="2" a="1"/>
  <c r="AJ1441" i="2" s="1"/>
  <c r="Z1441" i="2" a="1"/>
  <c r="Z1441" i="2" s="1"/>
  <c r="AI1441" i="2" a="1"/>
  <c r="AI1441" i="2" s="1"/>
  <c r="AH1441" i="2" a="1"/>
  <c r="AH1441" i="2" s="1"/>
  <c r="Y1440" i="2" a="1"/>
  <c r="Y1440" i="2" s="1"/>
  <c r="AB1441" i="2" a="1"/>
  <c r="AB1441" i="2" s="1"/>
  <c r="AA1441" i="2" a="1"/>
  <c r="AA1441" i="2" s="1"/>
  <c r="AG1440" i="2" a="1"/>
  <c r="AG1440" i="2" s="1"/>
  <c r="Y1441" i="2" a="1"/>
  <c r="Y1441" i="2" s="1"/>
  <c r="AC1439" i="2" a="1"/>
  <c r="AC1439" i="2" s="1"/>
  <c r="AJ1440" i="2" a="1"/>
  <c r="AJ1440" i="2" s="1"/>
  <c r="AD1439" i="2" a="1"/>
  <c r="AD1439" i="2" s="1"/>
  <c r="AA1439" i="2" a="1"/>
  <c r="AA1439" i="2" s="1"/>
  <c r="AF1441" i="2" a="1"/>
  <c r="AF1441" i="2" s="1"/>
  <c r="Z1440" i="2" a="1"/>
  <c r="Z1440" i="2" s="1"/>
  <c r="AD1441" i="2" a="1"/>
  <c r="AD1441" i="2" s="1"/>
  <c r="AB1440" i="2" a="1"/>
  <c r="AB1440" i="2" s="1"/>
  <c r="AA1440" i="2" a="1"/>
  <c r="AA1440" i="2" s="1"/>
  <c r="Z1439" i="2" a="1"/>
  <c r="Z1439" i="2" s="1"/>
  <c r="W1440" i="2" a="1"/>
  <c r="W1440" i="2" s="1"/>
  <c r="AH1439" i="2" a="1"/>
  <c r="AH1439" i="2" s="1"/>
  <c r="W1441" i="2" a="1"/>
  <c r="W1441" i="2" s="1"/>
  <c r="AH1440" i="2" a="1"/>
  <c r="AH1440" i="2" s="1"/>
  <c r="AG1439" i="2" a="1"/>
  <c r="AG1439" i="2" s="1"/>
  <c r="AF1439" i="2" a="1"/>
  <c r="AF1439" i="2" s="1"/>
  <c r="X1441" i="2" a="1"/>
  <c r="X1441" i="2" s="1"/>
  <c r="AI1439" i="2" a="1"/>
  <c r="AI1439" i="2" s="1"/>
  <c r="AI1440" i="2" a="1"/>
  <c r="AI1440" i="2" s="1"/>
  <c r="AB1485" i="2" a="1"/>
  <c r="AB1485" i="2" s="1"/>
  <c r="AF1443" i="2" a="1"/>
  <c r="AF1443" i="2" s="1"/>
  <c r="AE1443" i="2" a="1"/>
  <c r="AE1443" i="2" s="1"/>
  <c r="AD1443" i="2" a="1"/>
  <c r="AD1443" i="2" s="1"/>
  <c r="AC1443" i="2" a="1"/>
  <c r="AC1443" i="2" s="1"/>
  <c r="AB1443" i="2" a="1"/>
  <c r="AB1443" i="2" s="1"/>
  <c r="AA1443" i="2" a="1"/>
  <c r="AA1443" i="2" s="1"/>
  <c r="AC1441" i="2" a="1"/>
  <c r="AC1441" i="2" s="1"/>
  <c r="AF1440" i="2" a="1"/>
  <c r="AF1440" i="2" s="1"/>
  <c r="AE1439" i="2" a="1"/>
  <c r="AE1439" i="2" s="1"/>
  <c r="AB1439" i="2" a="1"/>
  <c r="AB1439" i="2" s="1"/>
  <c r="Z1443" i="2" a="1"/>
  <c r="Z1443" i="2" s="1"/>
  <c r="AD1440" i="2" a="1"/>
  <c r="AD1440" i="2" s="1"/>
  <c r="Y1443" i="2" a="1"/>
  <c r="Y1443" i="2" s="1"/>
  <c r="X1443" i="2" a="1"/>
  <c r="X1443" i="2" s="1"/>
  <c r="AG1441" i="2" a="1"/>
  <c r="AG1441" i="2" s="1"/>
  <c r="W1443" i="2" a="1"/>
  <c r="W1443" i="2" s="1"/>
  <c r="AJ1442" i="2" a="1"/>
  <c r="AJ1442" i="2" s="1"/>
  <c r="AI1442" i="2" a="1"/>
  <c r="AI1442" i="2" s="1"/>
  <c r="AC1442" i="2" a="1"/>
  <c r="AC1442" i="2" s="1"/>
  <c r="AH1442" i="2" a="1"/>
  <c r="AH1442" i="2" s="1"/>
  <c r="AE1440" i="2" a="1"/>
  <c r="AE1440" i="2" s="1"/>
  <c r="AG1442" i="2" a="1"/>
  <c r="AG1442" i="2" s="1"/>
  <c r="AF1442" i="2" a="1"/>
  <c r="AF1442" i="2" s="1"/>
  <c r="AE1442" i="2" a="1"/>
  <c r="AE1442" i="2" s="1"/>
  <c r="AD1442" i="2" a="1"/>
  <c r="AD1442" i="2" s="1"/>
  <c r="AC1440" i="2" a="1"/>
  <c r="AC1440" i="2" s="1"/>
  <c r="AJ1439" i="2" a="1"/>
  <c r="AJ1439" i="2" s="1"/>
  <c r="X1439" i="2" a="1"/>
  <c r="X1439" i="2" s="1"/>
  <c r="W1439" i="2" a="1"/>
  <c r="W1439" i="2" s="1"/>
  <c r="AJ1438" i="2" a="1"/>
  <c r="AJ1438" i="2" s="1"/>
  <c r="W1438" i="2" a="1"/>
  <c r="W1438" i="2" s="1"/>
  <c r="AE1437" i="2" a="1"/>
  <c r="AE1437" i="2" s="1"/>
  <c r="AI1438" i="2" a="1"/>
  <c r="AI1438" i="2" s="1"/>
  <c r="AF1436" i="2" a="1"/>
  <c r="AF1436" i="2" s="1"/>
  <c r="AE1438" i="2" a="1"/>
  <c r="AE1438" i="2" s="1"/>
  <c r="AA1435" i="2" a="1"/>
  <c r="AA1435" i="2" s="1"/>
  <c r="X1437" i="2" a="1"/>
  <c r="X1437" i="2" s="1"/>
  <c r="Z1438" i="2" a="1"/>
  <c r="Z1438" i="2" s="1"/>
  <c r="AD1437" i="2" a="1"/>
  <c r="AD1437" i="2" s="1"/>
  <c r="Y1435" i="2" a="1"/>
  <c r="Y1435" i="2" s="1"/>
  <c r="AF1435" i="2" a="1"/>
  <c r="AF1435" i="2" s="1"/>
  <c r="AH1438" i="2" a="1"/>
  <c r="AH1438" i="2" s="1"/>
  <c r="X1438" i="2" a="1"/>
  <c r="X1438" i="2" s="1"/>
  <c r="AG1438" i="2" a="1"/>
  <c r="AG1438" i="2" s="1"/>
  <c r="AF1438" i="2" a="1"/>
  <c r="AF1438" i="2" s="1"/>
  <c r="AH1435" i="2" a="1"/>
  <c r="AH1435" i="2" s="1"/>
  <c r="AA1438" i="2" a="1"/>
  <c r="AA1438" i="2" s="1"/>
  <c r="AD1436" i="2" a="1"/>
  <c r="AD1436" i="2" s="1"/>
  <c r="AJ1434" i="2" a="1"/>
  <c r="AJ1434" i="2" s="1"/>
  <c r="X1436" i="2" a="1"/>
  <c r="X1436" i="2" s="1"/>
  <c r="W1435" i="2" a="1"/>
  <c r="W1435" i="2" s="1"/>
  <c r="Y1438" i="2" a="1"/>
  <c r="Y1438" i="2" s="1"/>
  <c r="Z1435" i="2" a="1"/>
  <c r="Z1435" i="2" s="1"/>
  <c r="AD1438" i="2" a="1"/>
  <c r="AD1438" i="2" s="1"/>
  <c r="AC1438" i="2" a="1"/>
  <c r="AC1438" i="2" s="1"/>
  <c r="AB1438" i="2" a="1"/>
  <c r="AB1438" i="2" s="1"/>
  <c r="AJ1437" i="2" a="1"/>
  <c r="AJ1437" i="2" s="1"/>
  <c r="AF1437" i="2" a="1"/>
  <c r="AF1437" i="2" s="1"/>
  <c r="AI1437" i="2" a="1"/>
  <c r="AI1437" i="2" s="1"/>
  <c r="AI1436" i="2" a="1"/>
  <c r="AI1436" i="2" s="1"/>
  <c r="AG1435" i="2" a="1"/>
  <c r="AG1435" i="2" s="1"/>
  <c r="AH1437" i="2" a="1"/>
  <c r="AH1437" i="2" s="1"/>
  <c r="AG1436" i="2" a="1"/>
  <c r="AG1436" i="2" s="1"/>
  <c r="AG1437" i="2" a="1"/>
  <c r="AG1437" i="2" s="1"/>
  <c r="W1436" i="2" a="1"/>
  <c r="W1436" i="2" s="1"/>
  <c r="Z1436" i="2" a="1"/>
  <c r="Z1436" i="2" s="1"/>
  <c r="AB1436" i="2" a="1"/>
  <c r="AB1436" i="2" s="1"/>
  <c r="AH1434" i="2" a="1"/>
  <c r="AH1434" i="2" s="1"/>
  <c r="AB1435" i="2" a="1"/>
  <c r="AB1435" i="2" s="1"/>
  <c r="AC1437" i="2" a="1"/>
  <c r="AC1437" i="2" s="1"/>
  <c r="AE1435" i="2" a="1"/>
  <c r="AE1435" i="2" s="1"/>
  <c r="Y1437" i="2" a="1"/>
  <c r="Y1437" i="2" s="1"/>
  <c r="AB1437" i="2" a="1"/>
  <c r="AB1437" i="2" s="1"/>
  <c r="X1435" i="2" a="1"/>
  <c r="X1435" i="2" s="1"/>
  <c r="AC1435" i="2" a="1"/>
  <c r="AC1435" i="2" s="1"/>
  <c r="Z1437" i="2" a="1"/>
  <c r="Z1437" i="2" s="1"/>
  <c r="AA1437" i="2" a="1"/>
  <c r="AA1437" i="2" s="1"/>
  <c r="W1437" i="2" a="1"/>
  <c r="W1437" i="2" s="1"/>
  <c r="AA1436" i="2" a="1"/>
  <c r="AA1436" i="2" s="1"/>
  <c r="AJ1436" i="2" a="1"/>
  <c r="AJ1436" i="2" s="1"/>
  <c r="AG1434" i="2" a="1"/>
  <c r="AG1434" i="2" s="1"/>
  <c r="AE1436" i="2" a="1"/>
  <c r="AE1436" i="2" s="1"/>
  <c r="Y1436" i="2" a="1"/>
  <c r="Y1436" i="2" s="1"/>
  <c r="AH1436" i="2" a="1"/>
  <c r="AH1436" i="2" s="1"/>
  <c r="AC1436" i="2" a="1"/>
  <c r="AC1436" i="2" s="1"/>
  <c r="AD1435" i="2" a="1"/>
  <c r="AD1435" i="2" s="1"/>
  <c r="AJ1435" i="2" a="1"/>
  <c r="AJ1435" i="2" s="1"/>
  <c r="AI1434" i="2" a="1"/>
  <c r="AI1434" i="2" s="1"/>
  <c r="AI1435" i="2" a="1"/>
  <c r="AI1435" i="2" s="1"/>
  <c r="AE1484" i="2" a="1"/>
  <c r="AE1484" i="2" s="1"/>
  <c r="Y1439" i="2" a="1"/>
  <c r="Y1439" i="2" s="1"/>
  <c r="Y1432" i="2" a="1"/>
  <c r="Y1432" i="2" s="1"/>
  <c r="AF1434" i="2" a="1"/>
  <c r="AF1434" i="2" s="1"/>
  <c r="AA1433" i="2" a="1"/>
  <c r="AA1433" i="2" s="1"/>
  <c r="X1431" i="2" a="1"/>
  <c r="X1431" i="2" s="1"/>
  <c r="AH1430" i="2" a="1"/>
  <c r="AH1430" i="2" s="1"/>
  <c r="AE1434" i="2" a="1"/>
  <c r="AE1434" i="2" s="1"/>
  <c r="AC1434" i="2" a="1"/>
  <c r="AC1434" i="2" s="1"/>
  <c r="AB1434" i="2" a="1"/>
  <c r="AB1434" i="2" s="1"/>
  <c r="Z1434" i="2" a="1"/>
  <c r="Z1434" i="2" s="1"/>
  <c r="AG1432" i="2" a="1"/>
  <c r="AG1432" i="2" s="1"/>
  <c r="AE1432" i="2" a="1"/>
  <c r="AE1432" i="2" s="1"/>
  <c r="AD1433" i="2" a="1"/>
  <c r="AD1433" i="2" s="1"/>
  <c r="AJ1432" i="2" a="1"/>
  <c r="AJ1432" i="2" s="1"/>
  <c r="Y1434" i="2" a="1"/>
  <c r="Y1434" i="2" s="1"/>
  <c r="AJ1433" i="2" a="1"/>
  <c r="AJ1433" i="2" s="1"/>
  <c r="Y1431" i="2" a="1"/>
  <c r="Y1431" i="2" s="1"/>
  <c r="AA1432" i="2" a="1"/>
  <c r="AA1432" i="2" s="1"/>
  <c r="AB1430" i="2" a="1"/>
  <c r="AB1430" i="2" s="1"/>
  <c r="AH1431" i="2" a="1"/>
  <c r="AH1431" i="2" s="1"/>
  <c r="AG1431" i="2" a="1"/>
  <c r="AG1431" i="2" s="1"/>
  <c r="AB1431" i="2" a="1"/>
  <c r="AB1431" i="2" s="1"/>
  <c r="AA1430" i="2" a="1"/>
  <c r="AA1430" i="2" s="1"/>
  <c r="AC1430" i="2" a="1"/>
  <c r="AC1430" i="2" s="1"/>
  <c r="AB1432" i="2" a="1"/>
  <c r="AB1432" i="2" s="1"/>
  <c r="Z1431" i="2" a="1"/>
  <c r="Z1431" i="2" s="1"/>
  <c r="AG1430" i="2" a="1"/>
  <c r="AG1430" i="2" s="1"/>
  <c r="X1432" i="2" a="1"/>
  <c r="X1432" i="2" s="1"/>
  <c r="AD1431" i="2" a="1"/>
  <c r="AD1431" i="2" s="1"/>
  <c r="AF1430" i="2" a="1"/>
  <c r="AF1430" i="2" s="1"/>
  <c r="AI1433" i="2" a="1"/>
  <c r="AI1433" i="2" s="1"/>
  <c r="AF1432" i="2" a="1"/>
  <c r="AF1432" i="2" s="1"/>
  <c r="AF1431" i="2" a="1"/>
  <c r="AF1431" i="2" s="1"/>
  <c r="AA1431" i="2" a="1"/>
  <c r="AA1431" i="2" s="1"/>
  <c r="AE1431" i="2" a="1"/>
  <c r="AE1431" i="2" s="1"/>
  <c r="X1433" i="2" a="1"/>
  <c r="X1433" i="2" s="1"/>
  <c r="AI1430" i="2" a="1"/>
  <c r="AI1430" i="2" s="1"/>
  <c r="AC1433" i="2" a="1"/>
  <c r="AC1433" i="2" s="1"/>
  <c r="AJ1431" i="2" a="1"/>
  <c r="AJ1431" i="2" s="1"/>
  <c r="AJ1430" i="2" a="1"/>
  <c r="AJ1430" i="2" s="1"/>
  <c r="AD1434" i="2" a="1"/>
  <c r="AD1434" i="2" s="1"/>
  <c r="W1434" i="2" a="1"/>
  <c r="W1434" i="2" s="1"/>
  <c r="AA1434" i="2" a="1"/>
  <c r="AA1434" i="2" s="1"/>
  <c r="AC1432" i="2" a="1"/>
  <c r="AC1432" i="2" s="1"/>
  <c r="AI1431" i="2" a="1"/>
  <c r="AI1431" i="2" s="1"/>
  <c r="AE1433" i="2" a="1"/>
  <c r="AE1433" i="2" s="1"/>
  <c r="AB1433" i="2" a="1"/>
  <c r="AB1433" i="2" s="1"/>
  <c r="AI1432" i="2" a="1"/>
  <c r="AI1432" i="2" s="1"/>
  <c r="AH1432" i="2" a="1"/>
  <c r="AH1432" i="2" s="1"/>
  <c r="Z1432" i="2" a="1"/>
  <c r="Z1432" i="2" s="1"/>
  <c r="AF1433" i="2" a="1"/>
  <c r="AF1433" i="2" s="1"/>
  <c r="Y1433" i="2" a="1"/>
  <c r="Y1433" i="2" s="1"/>
  <c r="AC1431" i="2" a="1"/>
  <c r="AC1431" i="2" s="1"/>
  <c r="Z1430" i="2" a="1"/>
  <c r="Z1430" i="2" s="1"/>
  <c r="AD1432" i="2" a="1"/>
  <c r="AD1432" i="2" s="1"/>
  <c r="AD1430" i="2" a="1"/>
  <c r="AD1430" i="2" s="1"/>
  <c r="W1431" i="2" a="1"/>
  <c r="W1431" i="2" s="1"/>
  <c r="Z1433" i="2" a="1"/>
  <c r="Z1433" i="2" s="1"/>
  <c r="W1433" i="2" a="1"/>
  <c r="W1433" i="2" s="1"/>
  <c r="AG1485" i="2" a="1"/>
  <c r="AG1485" i="2" s="1"/>
  <c r="X1434" i="2" a="1"/>
  <c r="X1434" i="2" s="1"/>
  <c r="AH1433" i="2" a="1"/>
  <c r="AH1433" i="2" s="1"/>
  <c r="AG1433" i="2" a="1"/>
  <c r="AG1433" i="2" s="1"/>
  <c r="W1432" i="2" a="1"/>
  <c r="W1432" i="2" s="1"/>
  <c r="AE1430" i="2" a="1"/>
  <c r="AE1430" i="2" s="1"/>
  <c r="AB1429" i="2" a="1"/>
  <c r="AB1429" i="2" s="1"/>
  <c r="AA1429" i="2" a="1"/>
  <c r="AA1429" i="2" s="1"/>
  <c r="Z1429" i="2" a="1"/>
  <c r="Z1429" i="2" s="1"/>
  <c r="W1429" i="2" a="1"/>
  <c r="W1429" i="2" s="1"/>
  <c r="Z1428" i="2" a="1"/>
  <c r="Z1428" i="2" s="1"/>
  <c r="AJ1428" i="2" a="1"/>
  <c r="AJ1428" i="2" s="1"/>
  <c r="AH1428" i="2" a="1"/>
  <c r="AH1428" i="2" s="1"/>
  <c r="AI1426" i="2" a="1"/>
  <c r="AI1426" i="2" s="1"/>
  <c r="AA1428" i="2" a="1"/>
  <c r="AA1428" i="2" s="1"/>
  <c r="AI1427" i="2" a="1"/>
  <c r="AI1427" i="2" s="1"/>
  <c r="AJ1427" i="2" a="1"/>
  <c r="AJ1427" i="2" s="1"/>
  <c r="AE1427" i="2" a="1"/>
  <c r="AE1427" i="2" s="1"/>
  <c r="Y1427" i="2" a="1"/>
  <c r="Y1427" i="2" s="1"/>
  <c r="Z1426" i="2" a="1"/>
  <c r="Z1426" i="2" s="1"/>
  <c r="AJ1425" i="2" a="1"/>
  <c r="AJ1425" i="2" s="1"/>
  <c r="Y1426" i="2" a="1"/>
  <c r="Y1426" i="2" s="1"/>
  <c r="AI1428" i="2" a="1"/>
  <c r="AI1428" i="2" s="1"/>
  <c r="AD1428" i="2" a="1"/>
  <c r="AD1428" i="2" s="1"/>
  <c r="AA1427" i="2" a="1"/>
  <c r="AA1427" i="2" s="1"/>
  <c r="AE1426" i="2" a="1"/>
  <c r="AE1426" i="2" s="1"/>
  <c r="AH1427" i="2" a="1"/>
  <c r="AH1427" i="2" s="1"/>
  <c r="AB1428" i="2" a="1"/>
  <c r="AB1428" i="2" s="1"/>
  <c r="AG1425" i="2" a="1"/>
  <c r="AG1425" i="2" s="1"/>
  <c r="AF1427" i="2" a="1"/>
  <c r="AF1427" i="2" s="1"/>
  <c r="AA1426" i="2" a="1"/>
  <c r="AA1426" i="2" s="1"/>
  <c r="X1427" i="2" a="1"/>
  <c r="X1427" i="2" s="1"/>
  <c r="AE1428" i="2" a="1"/>
  <c r="AE1428" i="2" s="1"/>
  <c r="W1427" i="2" a="1"/>
  <c r="W1427" i="2" s="1"/>
  <c r="W1426" i="2" a="1"/>
  <c r="W1426" i="2" s="1"/>
  <c r="AJ1426" i="2" a="1"/>
  <c r="AJ1426" i="2" s="1"/>
  <c r="AG1429" i="2" a="1"/>
  <c r="AG1429" i="2" s="1"/>
  <c r="AG1427" i="2" a="1"/>
  <c r="AG1427" i="2" s="1"/>
  <c r="AD1426" i="2" a="1"/>
  <c r="AD1426" i="2" s="1"/>
  <c r="Z1427" i="2" a="1"/>
  <c r="Z1427" i="2" s="1"/>
  <c r="AH1429" i="2" a="1"/>
  <c r="AH1429" i="2" s="1"/>
  <c r="X1429" i="2" a="1"/>
  <c r="X1429" i="2" s="1"/>
  <c r="AD1484" i="2" a="1"/>
  <c r="AD1484" i="2" s="1"/>
  <c r="AD1427" i="2" a="1"/>
  <c r="AD1427" i="2" s="1"/>
  <c r="Y1429" i="2" a="1"/>
  <c r="Y1429" i="2" s="1"/>
  <c r="Y1430" i="2" a="1"/>
  <c r="Y1430" i="2" s="1"/>
  <c r="W1430" i="2" a="1"/>
  <c r="W1430" i="2" s="1"/>
  <c r="AF1428" i="2" a="1"/>
  <c r="AF1428" i="2" s="1"/>
  <c r="W1428" i="2" a="1"/>
  <c r="W1428" i="2" s="1"/>
  <c r="AF1426" i="2" a="1"/>
  <c r="AF1426" i="2" s="1"/>
  <c r="X1430" i="2" a="1"/>
  <c r="X1430" i="2" s="1"/>
  <c r="AI1429" i="2" a="1"/>
  <c r="AI1429" i="2" s="1"/>
  <c r="AB1426" i="2" a="1"/>
  <c r="AB1426" i="2" s="1"/>
  <c r="AF1429" i="2" a="1"/>
  <c r="AF1429" i="2" s="1"/>
  <c r="AC1428" i="2" a="1"/>
  <c r="AC1428" i="2" s="1"/>
  <c r="AD1429" i="2" a="1"/>
  <c r="AD1429" i="2" s="1"/>
  <c r="AG1428" i="2" a="1"/>
  <c r="AG1428" i="2" s="1"/>
  <c r="Y1428" i="2" a="1"/>
  <c r="Y1428" i="2" s="1"/>
  <c r="AH1426" i="2" a="1"/>
  <c r="AH1426" i="2" s="1"/>
  <c r="X1426" i="2" a="1"/>
  <c r="X1426" i="2" s="1"/>
  <c r="X1428" i="2" a="1"/>
  <c r="X1428" i="2" s="1"/>
  <c r="AH1425" i="2" a="1"/>
  <c r="AH1425" i="2" s="1"/>
  <c r="AC1426" i="2" a="1"/>
  <c r="AC1426" i="2" s="1"/>
  <c r="AE1429" i="2" a="1"/>
  <c r="AE1429" i="2" s="1"/>
  <c r="AC1427" i="2" a="1"/>
  <c r="AC1427" i="2" s="1"/>
  <c r="AG1426" i="2" a="1"/>
  <c r="AG1426" i="2" s="1"/>
  <c r="AI1425" i="2" a="1"/>
  <c r="AI1425" i="2" s="1"/>
  <c r="AB1427" i="2" a="1"/>
  <c r="AB1427" i="2" s="1"/>
  <c r="AJ1429" i="2" a="1"/>
  <c r="AJ1429" i="2" s="1"/>
  <c r="AC1429" i="2" a="1"/>
  <c r="AC1429" i="2" s="1"/>
  <c r="AJ1424" i="2" a="1"/>
  <c r="AJ1424" i="2" s="1"/>
  <c r="X1425" i="2" a="1"/>
  <c r="X1425" i="2" s="1"/>
  <c r="AI1424" i="2" a="1"/>
  <c r="AI1424" i="2" s="1"/>
  <c r="AE1424" i="2" a="1"/>
  <c r="AE1424" i="2" s="1"/>
  <c r="AD1424" i="2" a="1"/>
  <c r="AD1424" i="2" s="1"/>
  <c r="AB1424" i="2" a="1"/>
  <c r="AB1424" i="2" s="1"/>
  <c r="Z1422" i="2" a="1"/>
  <c r="Z1422" i="2" s="1"/>
  <c r="AA1424" i="2" a="1"/>
  <c r="AA1424" i="2" s="1"/>
  <c r="Z1424" i="2" a="1"/>
  <c r="Z1424" i="2" s="1"/>
  <c r="Y1424" i="2" a="1"/>
  <c r="Y1424" i="2" s="1"/>
  <c r="Y1423" i="2" a="1"/>
  <c r="Y1423" i="2" s="1"/>
  <c r="AH1423" i="2" a="1"/>
  <c r="AH1423" i="2" s="1"/>
  <c r="AH1421" i="2" a="1"/>
  <c r="AH1421" i="2" s="1"/>
  <c r="W1423" i="2" a="1"/>
  <c r="W1423" i="2" s="1"/>
  <c r="AD1421" i="2" a="1"/>
  <c r="AD1421" i="2" s="1"/>
  <c r="AA1421" i="2" a="1"/>
  <c r="AA1421" i="2" s="1"/>
  <c r="AG1423" i="2" a="1"/>
  <c r="AG1423" i="2" s="1"/>
  <c r="AF1423" i="2" a="1"/>
  <c r="AF1423" i="2" s="1"/>
  <c r="AF1422" i="2" a="1"/>
  <c r="AF1422" i="2" s="1"/>
  <c r="AI1421" i="2" a="1"/>
  <c r="AI1421" i="2" s="1"/>
  <c r="AJ1423" i="2" a="1"/>
  <c r="AJ1423" i="2" s="1"/>
  <c r="X1422" i="2" a="1"/>
  <c r="X1422" i="2" s="1"/>
  <c r="AC1423" i="2" a="1"/>
  <c r="AC1423" i="2" s="1"/>
  <c r="AI1422" i="2" a="1"/>
  <c r="AI1422" i="2" s="1"/>
  <c r="AJ1421" i="2" a="1"/>
  <c r="AJ1421" i="2" s="1"/>
  <c r="AB1423" i="2" a="1"/>
  <c r="AB1423" i="2" s="1"/>
  <c r="AA1423" i="2" a="1"/>
  <c r="AA1423" i="2" s="1"/>
  <c r="X1423" i="2" a="1"/>
  <c r="X1423" i="2" s="1"/>
  <c r="AH1422" i="2" a="1"/>
  <c r="AH1422" i="2" s="1"/>
  <c r="AG1422" i="2" a="1"/>
  <c r="AG1422" i="2" s="1"/>
  <c r="AF1421" i="2" a="1"/>
  <c r="AF1421" i="2" s="1"/>
  <c r="AD1422" i="2" a="1"/>
  <c r="AD1422" i="2" s="1"/>
  <c r="AE1421" i="2" a="1"/>
  <c r="AE1421" i="2" s="1"/>
  <c r="AC1422" i="2" a="1"/>
  <c r="AC1422" i="2" s="1"/>
  <c r="AE1422" i="2" a="1"/>
  <c r="AE1422" i="2" s="1"/>
  <c r="AA1422" i="2" a="1"/>
  <c r="AA1422" i="2" s="1"/>
  <c r="AA1485" i="2" a="1"/>
  <c r="AA1485" i="2" s="1"/>
  <c r="AG1424" i="2" a="1"/>
  <c r="AG1424" i="2" s="1"/>
  <c r="AF1425" i="2" a="1"/>
  <c r="AF1425" i="2" s="1"/>
  <c r="AE1425" i="2" a="1"/>
  <c r="AE1425" i="2" s="1"/>
  <c r="Y1425" i="2" a="1"/>
  <c r="Y1425" i="2" s="1"/>
  <c r="W1422" i="2" a="1"/>
  <c r="W1422" i="2" s="1"/>
  <c r="AD1423" i="2" a="1"/>
  <c r="AD1423" i="2" s="1"/>
  <c r="AF1424" i="2" a="1"/>
  <c r="AF1424" i="2" s="1"/>
  <c r="AB1421" i="2" a="1"/>
  <c r="AB1421" i="2" s="1"/>
  <c r="AD1425" i="2" a="1"/>
  <c r="AD1425" i="2" s="1"/>
  <c r="AA1425" i="2" a="1"/>
  <c r="AA1425" i="2" s="1"/>
  <c r="Z1423" i="2" a="1"/>
  <c r="Z1423" i="2" s="1"/>
  <c r="AE1423" i="2" a="1"/>
  <c r="AE1423" i="2" s="1"/>
  <c r="AC1425" i="2" a="1"/>
  <c r="AC1425" i="2" s="1"/>
  <c r="AB1425" i="2" a="1"/>
  <c r="AB1425" i="2" s="1"/>
  <c r="AG1421" i="2" a="1"/>
  <c r="AG1421" i="2" s="1"/>
  <c r="Z1425" i="2" a="1"/>
  <c r="Z1425" i="2" s="1"/>
  <c r="W1425" i="2" a="1"/>
  <c r="W1425" i="2" s="1"/>
  <c r="Y1422" i="2" a="1"/>
  <c r="Y1422" i="2" s="1"/>
  <c r="AH1424" i="2" a="1"/>
  <c r="AH1424" i="2" s="1"/>
  <c r="X1424" i="2" a="1"/>
  <c r="X1424" i="2" s="1"/>
  <c r="W1424" i="2" a="1"/>
  <c r="W1424" i="2" s="1"/>
  <c r="AJ1422" i="2" a="1"/>
  <c r="AJ1422" i="2" s="1"/>
  <c r="AB1422" i="2" a="1"/>
  <c r="AB1422" i="2" s="1"/>
  <c r="AC1421" i="2" a="1"/>
  <c r="AC1421" i="2" s="1"/>
  <c r="AC1424" i="2" a="1"/>
  <c r="AC1424" i="2" s="1"/>
  <c r="Z1421" i="2" a="1"/>
  <c r="Z1421" i="2" s="1"/>
  <c r="AI1423" i="2" a="1"/>
  <c r="AI1423" i="2" s="1"/>
  <c r="AF1417" i="2" a="1"/>
  <c r="AF1417" i="2" s="1"/>
  <c r="X1417" i="2" a="1"/>
  <c r="X1417" i="2" s="1"/>
  <c r="AD1420" i="2" a="1"/>
  <c r="AD1420" i="2" s="1"/>
  <c r="AJ1419" i="2" a="1"/>
  <c r="AJ1419" i="2" s="1"/>
  <c r="AC1419" i="2" a="1"/>
  <c r="AC1419" i="2" s="1"/>
  <c r="W1420" i="2" a="1"/>
  <c r="W1420" i="2" s="1"/>
  <c r="AH1419" i="2" a="1"/>
  <c r="AH1419" i="2" s="1"/>
  <c r="AG1419" i="2" a="1"/>
  <c r="AG1419" i="2" s="1"/>
  <c r="AH1418" i="2" a="1"/>
  <c r="AH1418" i="2" s="1"/>
  <c r="AD1419" i="2" a="1"/>
  <c r="AD1419" i="2" s="1"/>
  <c r="Z1419" i="2" a="1"/>
  <c r="Z1419" i="2" s="1"/>
  <c r="X1419" i="2" a="1"/>
  <c r="X1419" i="2" s="1"/>
  <c r="AB1417" i="2" a="1"/>
  <c r="AB1417" i="2" s="1"/>
  <c r="AF1418" i="2" a="1"/>
  <c r="AF1418" i="2" s="1"/>
  <c r="AB1418" i="2" a="1"/>
  <c r="AB1418" i="2" s="1"/>
  <c r="AA1418" i="2" a="1"/>
  <c r="AA1418" i="2" s="1"/>
  <c r="AH1416" i="2" a="1"/>
  <c r="AH1416" i="2" s="1"/>
  <c r="Y1418" i="2" a="1"/>
  <c r="Y1418" i="2" s="1"/>
  <c r="AG1416" i="2" a="1"/>
  <c r="AG1416" i="2" s="1"/>
  <c r="AG1418" i="2" a="1"/>
  <c r="AG1418" i="2" s="1"/>
  <c r="Z1418" i="2" a="1"/>
  <c r="Z1418" i="2" s="1"/>
  <c r="AA1417" i="2" a="1"/>
  <c r="AA1417" i="2" s="1"/>
  <c r="AD1418" i="2" a="1"/>
  <c r="AD1418" i="2" s="1"/>
  <c r="AH1417" i="2" a="1"/>
  <c r="AH1417" i="2" s="1"/>
  <c r="AD1417" i="2" a="1"/>
  <c r="AD1417" i="2" s="1"/>
  <c r="AC1484" i="2" a="1"/>
  <c r="AC1484" i="2" s="1"/>
  <c r="AE1417" i="2" a="1"/>
  <c r="AE1417" i="2" s="1"/>
  <c r="Y1421" i="2" a="1"/>
  <c r="Y1421" i="2" s="1"/>
  <c r="X1421" i="2" a="1"/>
  <c r="X1421" i="2" s="1"/>
  <c r="AJ1420" i="2" a="1"/>
  <c r="AJ1420" i="2" s="1"/>
  <c r="X1420" i="2" a="1"/>
  <c r="X1420" i="2" s="1"/>
  <c r="W1418" i="2" a="1"/>
  <c r="W1418" i="2" s="1"/>
  <c r="AE1420" i="2" a="1"/>
  <c r="AE1420" i="2" s="1"/>
  <c r="AH1420" i="2" a="1"/>
  <c r="AH1420" i="2" s="1"/>
  <c r="X1418" i="2" a="1"/>
  <c r="X1418" i="2" s="1"/>
  <c r="AJ1416" i="2" a="1"/>
  <c r="AJ1416" i="2" s="1"/>
  <c r="Z1420" i="2" a="1"/>
  <c r="Z1420" i="2" s="1"/>
  <c r="AJ1418" i="2" a="1"/>
  <c r="AJ1418" i="2" s="1"/>
  <c r="AG1420" i="2" a="1"/>
  <c r="AG1420" i="2" s="1"/>
  <c r="AB1420" i="2" a="1"/>
  <c r="AB1420" i="2" s="1"/>
  <c r="Y1417" i="2" a="1"/>
  <c r="Y1417" i="2" s="1"/>
  <c r="Y1420" i="2" a="1"/>
  <c r="Y1420" i="2" s="1"/>
  <c r="AE1419" i="2" a="1"/>
  <c r="AE1419" i="2" s="1"/>
  <c r="AA1420" i="2" a="1"/>
  <c r="AA1420" i="2" s="1"/>
  <c r="AF1419" i="2" a="1"/>
  <c r="AF1419" i="2" s="1"/>
  <c r="AB1419" i="2" a="1"/>
  <c r="AB1419" i="2" s="1"/>
  <c r="W1419" i="2" a="1"/>
  <c r="W1419" i="2" s="1"/>
  <c r="AI1418" i="2" a="1"/>
  <c r="AI1418" i="2" s="1"/>
  <c r="AG1417" i="2" a="1"/>
  <c r="AG1417" i="2" s="1"/>
  <c r="W1421" i="2" a="1"/>
  <c r="W1421" i="2" s="1"/>
  <c r="AI1420" i="2" a="1"/>
  <c r="AI1420" i="2" s="1"/>
  <c r="AC1420" i="2" a="1"/>
  <c r="AC1420" i="2" s="1"/>
  <c r="W1417" i="2" a="1"/>
  <c r="W1417" i="2" s="1"/>
  <c r="AI1419" i="2" a="1"/>
  <c r="AI1419" i="2" s="1"/>
  <c r="AA1419" i="2" a="1"/>
  <c r="AA1419" i="2" s="1"/>
  <c r="Y1419" i="2" a="1"/>
  <c r="Y1419" i="2" s="1"/>
  <c r="AE1418" i="2" a="1"/>
  <c r="AE1418" i="2" s="1"/>
  <c r="AC1417" i="2" a="1"/>
  <c r="AC1417" i="2" s="1"/>
  <c r="AJ1417" i="2" a="1"/>
  <c r="AJ1417" i="2" s="1"/>
  <c r="AI1417" i="2" a="1"/>
  <c r="AI1417" i="2" s="1"/>
  <c r="Z1417" i="2" a="1"/>
  <c r="Z1417" i="2" s="1"/>
  <c r="AF1420" i="2" a="1"/>
  <c r="AF1420" i="2" s="1"/>
  <c r="AC1418" i="2" a="1"/>
  <c r="AC1418" i="2" s="1"/>
  <c r="AI1416" i="2" a="1"/>
  <c r="AI1416" i="2" s="1"/>
  <c r="W1416" i="2" a="1"/>
  <c r="W1416" i="2" s="1"/>
  <c r="AD1416" i="2" a="1"/>
  <c r="AD1416" i="2" s="1"/>
  <c r="AC1416" i="2" a="1"/>
  <c r="AC1416" i="2" s="1"/>
  <c r="AH1414" i="2" a="1"/>
  <c r="AH1414" i="2" s="1"/>
  <c r="AF1412" i="2" a="1"/>
  <c r="AF1412" i="2" s="1"/>
  <c r="AA1416" i="2" a="1"/>
  <c r="AA1416" i="2" s="1"/>
  <c r="Y1416" i="2" a="1"/>
  <c r="Y1416" i="2" s="1"/>
  <c r="Z1413" i="2" a="1"/>
  <c r="Z1413" i="2" s="1"/>
  <c r="AA1414" i="2" a="1"/>
  <c r="AA1414" i="2" s="1"/>
  <c r="AG1412" i="2" a="1"/>
  <c r="AG1412" i="2" s="1"/>
  <c r="W1413" i="2" a="1"/>
  <c r="W1413" i="2" s="1"/>
  <c r="AJ1415" i="2" a="1"/>
  <c r="AJ1415" i="2" s="1"/>
  <c r="Y1415" i="2" a="1"/>
  <c r="Y1415" i="2" s="1"/>
  <c r="AE1412" i="2" a="1"/>
  <c r="AE1412" i="2" s="1"/>
  <c r="AJ1414" i="2" a="1"/>
  <c r="AJ1414" i="2" s="1"/>
  <c r="W1414" i="2" a="1"/>
  <c r="W1414" i="2" s="1"/>
  <c r="AF1415" i="2" a="1"/>
  <c r="AF1415" i="2" s="1"/>
  <c r="AA1415" i="2" a="1"/>
  <c r="AA1415" i="2" s="1"/>
  <c r="Z1415" i="2" a="1"/>
  <c r="Z1415" i="2" s="1"/>
  <c r="AI1414" i="2" a="1"/>
  <c r="AI1414" i="2" s="1"/>
  <c r="Z1414" i="2" a="1"/>
  <c r="Z1414" i="2" s="1"/>
  <c r="AI1413" i="2" a="1"/>
  <c r="AI1413" i="2" s="1"/>
  <c r="AH1412" i="2" a="1"/>
  <c r="AH1412" i="2" s="1"/>
  <c r="AB1412" i="2" a="1"/>
  <c r="AB1412" i="2" s="1"/>
  <c r="Z1412" i="2" a="1"/>
  <c r="Z1412" i="2" s="1"/>
  <c r="X1414" i="2" a="1"/>
  <c r="X1414" i="2" s="1"/>
  <c r="AD1414" i="2" a="1"/>
  <c r="AD1414" i="2" s="1"/>
  <c r="AC1414" i="2" a="1"/>
  <c r="AC1414" i="2" s="1"/>
  <c r="AF1413" i="2" a="1"/>
  <c r="AF1413" i="2" s="1"/>
  <c r="X1413" i="2" a="1"/>
  <c r="X1413" i="2" s="1"/>
  <c r="AB1414" i="2" a="1"/>
  <c r="AB1414" i="2" s="1"/>
  <c r="Y1414" i="2" a="1"/>
  <c r="Y1414" i="2" s="1"/>
  <c r="AH1413" i="2" a="1"/>
  <c r="AH1413" i="2" s="1"/>
  <c r="AG1413" i="2" a="1"/>
  <c r="AG1413" i="2" s="1"/>
  <c r="AE1414" i="2" a="1"/>
  <c r="AE1414" i="2" s="1"/>
  <c r="AJ1412" i="2" a="1"/>
  <c r="AJ1412" i="2" s="1"/>
  <c r="AB1415" i="2" a="1"/>
  <c r="AB1415" i="2" s="1"/>
  <c r="X1415" i="2" a="1"/>
  <c r="X1415" i="2" s="1"/>
  <c r="AJ1413" i="2" a="1"/>
  <c r="AJ1413" i="2" s="1"/>
  <c r="AE1413" i="2" a="1"/>
  <c r="AE1413" i="2" s="1"/>
  <c r="AA1413" i="2" a="1"/>
  <c r="AA1413" i="2" s="1"/>
  <c r="W1415" i="2" a="1"/>
  <c r="W1415" i="2" s="1"/>
  <c r="W1486" i="2" a="1"/>
  <c r="W1486" i="2" s="1"/>
  <c r="AI1415" i="2" a="1"/>
  <c r="AI1415" i="2" s="1"/>
  <c r="AF1416" i="2" a="1"/>
  <c r="AF1416" i="2" s="1"/>
  <c r="AB1416" i="2" a="1"/>
  <c r="AB1416" i="2" s="1"/>
  <c r="AG1415" i="2" a="1"/>
  <c r="AG1415" i="2" s="1"/>
  <c r="AC1413" i="2" a="1"/>
  <c r="AC1413" i="2" s="1"/>
  <c r="AI1412" i="2" a="1"/>
  <c r="AI1412" i="2" s="1"/>
  <c r="Z1416" i="2" a="1"/>
  <c r="Z1416" i="2" s="1"/>
  <c r="AF1414" i="2" a="1"/>
  <c r="AF1414" i="2" s="1"/>
  <c r="X1416" i="2" a="1"/>
  <c r="X1416" i="2" s="1"/>
  <c r="AD1415" i="2" a="1"/>
  <c r="AD1415" i="2" s="1"/>
  <c r="Y1413" i="2" a="1"/>
  <c r="Y1413" i="2" s="1"/>
  <c r="AH1415" i="2" a="1"/>
  <c r="AH1415" i="2" s="1"/>
  <c r="AB1413" i="2" a="1"/>
  <c r="AB1413" i="2" s="1"/>
  <c r="AE1415" i="2" a="1"/>
  <c r="AE1415" i="2" s="1"/>
  <c r="AG1414" i="2" a="1"/>
  <c r="AG1414" i="2" s="1"/>
  <c r="AC1415" i="2" a="1"/>
  <c r="AC1415" i="2" s="1"/>
  <c r="AD1412" i="2" a="1"/>
  <c r="AD1412" i="2" s="1"/>
  <c r="AC1412" i="2" a="1"/>
  <c r="AC1412" i="2" s="1"/>
  <c r="AE1416" i="2" a="1"/>
  <c r="AE1416" i="2" s="1"/>
  <c r="AD1413" i="2" a="1"/>
  <c r="AD1413" i="2" s="1"/>
  <c r="AA1412" i="2" a="1"/>
  <c r="AA1412" i="2" s="1"/>
  <c r="AB1408" i="2" a="1"/>
  <c r="AB1408" i="2" s="1"/>
  <c r="AE1410" i="2" a="1"/>
  <c r="AE1410" i="2" s="1"/>
  <c r="Z1411" i="2" a="1"/>
  <c r="Z1411" i="2" s="1"/>
  <c r="AI1409" i="2" a="1"/>
  <c r="AI1409" i="2" s="1"/>
  <c r="AG1408" i="2" a="1"/>
  <c r="AG1408" i="2" s="1"/>
  <c r="AA1410" i="2" a="1"/>
  <c r="AA1410" i="2" s="1"/>
  <c r="W1409" i="2" a="1"/>
  <c r="W1409" i="2" s="1"/>
  <c r="AI1408" i="2" a="1"/>
  <c r="AI1408" i="2" s="1"/>
  <c r="AB1484" i="2" a="1"/>
  <c r="AB1484" i="2" s="1"/>
  <c r="X1410" i="2" a="1"/>
  <c r="X1410" i="2" s="1"/>
  <c r="Y1412" i="2" a="1"/>
  <c r="Y1412" i="2" s="1"/>
  <c r="Z1410" i="2" a="1"/>
  <c r="Z1410" i="2" s="1"/>
  <c r="AJ1409" i="2" a="1"/>
  <c r="AJ1409" i="2" s="1"/>
  <c r="AF1408" i="2" a="1"/>
  <c r="AF1408" i="2" s="1"/>
  <c r="X1412" i="2" a="1"/>
  <c r="X1412" i="2" s="1"/>
  <c r="AB1411" i="2" a="1"/>
  <c r="AB1411" i="2" s="1"/>
  <c r="AG1411" i="2" a="1"/>
  <c r="AG1411" i="2" s="1"/>
  <c r="W1411" i="2" a="1"/>
  <c r="W1411" i="2" s="1"/>
  <c r="AD1408" i="2" a="1"/>
  <c r="AD1408" i="2" s="1"/>
  <c r="W1408" i="2" a="1"/>
  <c r="W1408" i="2" s="1"/>
  <c r="AI1410" i="2" a="1"/>
  <c r="AI1410" i="2" s="1"/>
  <c r="AH1410" i="2" a="1"/>
  <c r="AH1410" i="2" s="1"/>
  <c r="AA1409" i="2" a="1"/>
  <c r="AA1409" i="2" s="1"/>
  <c r="AC1408" i="2" a="1"/>
  <c r="AC1408" i="2" s="1"/>
  <c r="W1412" i="2" a="1"/>
  <c r="W1412" i="2" s="1"/>
  <c r="AJ1411" i="2" a="1"/>
  <c r="AJ1411" i="2" s="1"/>
  <c r="AH1411" i="2" a="1"/>
  <c r="AH1411" i="2" s="1"/>
  <c r="AA1408" i="2" a="1"/>
  <c r="AA1408" i="2" s="1"/>
  <c r="AA1411" i="2" a="1"/>
  <c r="AA1411" i="2" s="1"/>
  <c r="AF1411" i="2" a="1"/>
  <c r="AF1411" i="2" s="1"/>
  <c r="AH1408" i="2" a="1"/>
  <c r="AH1408" i="2" s="1"/>
  <c r="AE1411" i="2" a="1"/>
  <c r="AE1411" i="2" s="1"/>
  <c r="AD1411" i="2" a="1"/>
  <c r="AD1411" i="2" s="1"/>
  <c r="AD1410" i="2" a="1"/>
  <c r="AD1410" i="2" s="1"/>
  <c r="AF1410" i="2" a="1"/>
  <c r="AF1410" i="2" s="1"/>
  <c r="AB1410" i="2" a="1"/>
  <c r="AB1410" i="2" s="1"/>
  <c r="AC1409" i="2" a="1"/>
  <c r="AC1409" i="2" s="1"/>
  <c r="Y1408" i="2" a="1"/>
  <c r="Y1408" i="2" s="1"/>
  <c r="AG1407" i="2" a="1"/>
  <c r="AG1407" i="2" s="1"/>
  <c r="AE1409" i="2" a="1"/>
  <c r="AE1409" i="2" s="1"/>
  <c r="X1409" i="2" a="1"/>
  <c r="X1409" i="2" s="1"/>
  <c r="AI1407" i="2" a="1"/>
  <c r="AI1407" i="2" s="1"/>
  <c r="X1411" i="2" a="1"/>
  <c r="X1411" i="2" s="1"/>
  <c r="X1408" i="2" a="1"/>
  <c r="X1408" i="2" s="1"/>
  <c r="Y1411" i="2" a="1"/>
  <c r="Y1411" i="2" s="1"/>
  <c r="AJ1410" i="2" a="1"/>
  <c r="AJ1410" i="2" s="1"/>
  <c r="AC1410" i="2" a="1"/>
  <c r="AC1410" i="2" s="1"/>
  <c r="AH1409" i="2" a="1"/>
  <c r="AH1409" i="2" s="1"/>
  <c r="Z1409" i="2" a="1"/>
  <c r="Z1409" i="2" s="1"/>
  <c r="Y1410" i="2" a="1"/>
  <c r="Y1410" i="2" s="1"/>
  <c r="AD1409" i="2" a="1"/>
  <c r="AD1409" i="2" s="1"/>
  <c r="AH1407" i="2" a="1"/>
  <c r="AH1407" i="2" s="1"/>
  <c r="W1410" i="2" a="1"/>
  <c r="W1410" i="2" s="1"/>
  <c r="AJ1408" i="2" a="1"/>
  <c r="AJ1408" i="2" s="1"/>
  <c r="AB1409" i="2" a="1"/>
  <c r="AB1409" i="2" s="1"/>
  <c r="Y1409" i="2" a="1"/>
  <c r="Y1409" i="2" s="1"/>
  <c r="AG1409" i="2" a="1"/>
  <c r="AG1409" i="2" s="1"/>
  <c r="AF1409" i="2" a="1"/>
  <c r="AF1409" i="2" s="1"/>
  <c r="AJ1407" i="2" a="1"/>
  <c r="AJ1407" i="2" s="1"/>
  <c r="AE1408" i="2" a="1"/>
  <c r="AE1408" i="2" s="1"/>
  <c r="AG1410" i="2" a="1"/>
  <c r="AG1410" i="2" s="1"/>
  <c r="AI1411" i="2" a="1"/>
  <c r="AI1411" i="2" s="1"/>
  <c r="AC1411" i="2" a="1"/>
  <c r="AC1411" i="2" s="1"/>
  <c r="Z1408" i="2" a="1"/>
  <c r="Z1408" i="2" s="1"/>
  <c r="AD1403" i="2" a="1"/>
  <c r="AD1403" i="2" s="1"/>
  <c r="AG1403" i="2" a="1"/>
  <c r="AG1403" i="2" s="1"/>
  <c r="Z1407" i="2" a="1"/>
  <c r="Z1407" i="2" s="1"/>
  <c r="W1407" i="2" a="1"/>
  <c r="W1407" i="2" s="1"/>
  <c r="AA1404" i="2" a="1"/>
  <c r="AA1404" i="2" s="1"/>
  <c r="AD1406" i="2" a="1"/>
  <c r="AD1406" i="2" s="1"/>
  <c r="Z1406" i="2" a="1"/>
  <c r="Z1406" i="2" s="1"/>
  <c r="X1404" i="2" a="1"/>
  <c r="X1404" i="2" s="1"/>
  <c r="AE1404" i="2" a="1"/>
  <c r="AE1404" i="2" s="1"/>
  <c r="AB1405" i="2" a="1"/>
  <c r="AB1405" i="2" s="1"/>
  <c r="AB1406" i="2" a="1"/>
  <c r="AB1406" i="2" s="1"/>
  <c r="X1406" i="2" a="1"/>
  <c r="X1406" i="2" s="1"/>
  <c r="AI1404" i="2" a="1"/>
  <c r="AI1404" i="2" s="1"/>
  <c r="AB1404" i="2" a="1"/>
  <c r="AB1404" i="2" s="1"/>
  <c r="Z1485" i="2" a="1"/>
  <c r="Z1485" i="2" s="1"/>
  <c r="Z1405" i="2" a="1"/>
  <c r="Z1405" i="2" s="1"/>
  <c r="AF1407" i="2" a="1"/>
  <c r="AF1407" i="2" s="1"/>
  <c r="Z1403" i="2" a="1"/>
  <c r="Z1403" i="2" s="1"/>
  <c r="AE1407" i="2" a="1"/>
  <c r="AE1407" i="2" s="1"/>
  <c r="AD1407" i="2" a="1"/>
  <c r="AD1407" i="2" s="1"/>
  <c r="AI1405" i="2" a="1"/>
  <c r="AI1405" i="2" s="1"/>
  <c r="AF1404" i="2" a="1"/>
  <c r="AF1404" i="2" s="1"/>
  <c r="AA1403" i="2" a="1"/>
  <c r="AA1403" i="2" s="1"/>
  <c r="AC1407" i="2" a="1"/>
  <c r="AC1407" i="2" s="1"/>
  <c r="AB1407" i="2" a="1"/>
  <c r="AB1407" i="2" s="1"/>
  <c r="AD1404" i="2" a="1"/>
  <c r="AD1404" i="2" s="1"/>
  <c r="AA1407" i="2" a="1"/>
  <c r="AA1407" i="2" s="1"/>
  <c r="AH1404" i="2" a="1"/>
  <c r="AH1404" i="2" s="1"/>
  <c r="AF1406" i="2" a="1"/>
  <c r="AF1406" i="2" s="1"/>
  <c r="AF1405" i="2" a="1"/>
  <c r="AF1405" i="2" s="1"/>
  <c r="AC1405" i="2" a="1"/>
  <c r="AC1405" i="2" s="1"/>
  <c r="AJ1403" i="2" a="1"/>
  <c r="AJ1403" i="2" s="1"/>
  <c r="AF1403" i="2" a="1"/>
  <c r="AF1403" i="2" s="1"/>
  <c r="X1405" i="2" a="1"/>
  <c r="X1405" i="2" s="1"/>
  <c r="Y1407" i="2" a="1"/>
  <c r="Y1407" i="2" s="1"/>
  <c r="X1407" i="2" a="1"/>
  <c r="X1407" i="2" s="1"/>
  <c r="AJ1406" i="2" a="1"/>
  <c r="AJ1406" i="2" s="1"/>
  <c r="AC1406" i="2" a="1"/>
  <c r="AC1406" i="2" s="1"/>
  <c r="Y1406" i="2" a="1"/>
  <c r="Y1406" i="2" s="1"/>
  <c r="AH1406" i="2" a="1"/>
  <c r="AH1406" i="2" s="1"/>
  <c r="AG1406" i="2" a="1"/>
  <c r="AG1406" i="2" s="1"/>
  <c r="AA1406" i="2" a="1"/>
  <c r="AA1406" i="2" s="1"/>
  <c r="W1406" i="2" a="1"/>
  <c r="W1406" i="2" s="1"/>
  <c r="AH1405" i="2" a="1"/>
  <c r="AH1405" i="2" s="1"/>
  <c r="Y1405" i="2" a="1"/>
  <c r="Y1405" i="2" s="1"/>
  <c r="AJ1404" i="2" a="1"/>
  <c r="AJ1404" i="2" s="1"/>
  <c r="AB1403" i="2" a="1"/>
  <c r="AB1403" i="2" s="1"/>
  <c r="Z1404" i="2" a="1"/>
  <c r="Z1404" i="2" s="1"/>
  <c r="AG1405" i="2" a="1"/>
  <c r="AG1405" i="2" s="1"/>
  <c r="AE1405" i="2" a="1"/>
  <c r="AE1405" i="2" s="1"/>
  <c r="AA1405" i="2" a="1"/>
  <c r="AA1405" i="2" s="1"/>
  <c r="W1405" i="2" a="1"/>
  <c r="W1405" i="2" s="1"/>
  <c r="AH1403" i="2" a="1"/>
  <c r="AH1403" i="2" s="1"/>
  <c r="AC1403" i="2" a="1"/>
  <c r="AC1403" i="2" s="1"/>
  <c r="AG1404" i="2" a="1"/>
  <c r="AG1404" i="2" s="1"/>
  <c r="AI1406" i="2" a="1"/>
  <c r="AI1406" i="2" s="1"/>
  <c r="Y1404" i="2" a="1"/>
  <c r="Y1404" i="2" s="1"/>
  <c r="AD1405" i="2" a="1"/>
  <c r="AD1405" i="2" s="1"/>
  <c r="AI1403" i="2" a="1"/>
  <c r="AI1403" i="2" s="1"/>
  <c r="W1404" i="2" a="1"/>
  <c r="W1404" i="2" s="1"/>
  <c r="AE1406" i="2" a="1"/>
  <c r="AE1406" i="2" s="1"/>
  <c r="AJ1405" i="2" a="1"/>
  <c r="AJ1405" i="2" s="1"/>
  <c r="AC1404" i="2" a="1"/>
  <c r="AC1404" i="2" s="1"/>
  <c r="AE1403" i="2" a="1"/>
  <c r="AE1403" i="2" s="1"/>
  <c r="Y1399" i="2" a="1"/>
  <c r="Y1399" i="2" s="1"/>
  <c r="X1400" i="2" a="1"/>
  <c r="X1400" i="2" s="1"/>
  <c r="X1403" i="2" a="1"/>
  <c r="X1403" i="2" s="1"/>
  <c r="W1403" i="2" a="1"/>
  <c r="W1403" i="2" s="1"/>
  <c r="AH1402" i="2" a="1"/>
  <c r="AH1402" i="2" s="1"/>
  <c r="AF1402" i="2" a="1"/>
  <c r="AF1402" i="2" s="1"/>
  <c r="AJ1401" i="2" a="1"/>
  <c r="AJ1401" i="2" s="1"/>
  <c r="AI1401" i="2" a="1"/>
  <c r="AI1401" i="2" s="1"/>
  <c r="AG1398" i="2" a="1"/>
  <c r="AG1398" i="2" s="1"/>
  <c r="AF1399" i="2" a="1"/>
  <c r="AF1399" i="2" s="1"/>
  <c r="AD1401" i="2" a="1"/>
  <c r="AD1401" i="2" s="1"/>
  <c r="AB1401" i="2" a="1"/>
  <c r="AB1401" i="2" s="1"/>
  <c r="W1401" i="2" a="1"/>
  <c r="W1401" i="2" s="1"/>
  <c r="AC1399" i="2" a="1"/>
  <c r="AC1399" i="2" s="1"/>
  <c r="AJ1400" i="2" a="1"/>
  <c r="AJ1400" i="2" s="1"/>
  <c r="AA1400" i="2" a="1"/>
  <c r="AA1400" i="2" s="1"/>
  <c r="AI1400" i="2" a="1"/>
  <c r="AI1400" i="2" s="1"/>
  <c r="AB1400" i="2" a="1"/>
  <c r="AB1400" i="2" s="1"/>
  <c r="AH1399" i="2" a="1"/>
  <c r="AH1399" i="2" s="1"/>
  <c r="AG1399" i="2" a="1"/>
  <c r="AG1399" i="2" s="1"/>
  <c r="AE1399" i="2" a="1"/>
  <c r="AE1399" i="2" s="1"/>
  <c r="AD1399" i="2" a="1"/>
  <c r="AD1399" i="2" s="1"/>
  <c r="AF1400" i="2" a="1"/>
  <c r="AF1400" i="2" s="1"/>
  <c r="Y1400" i="2" a="1"/>
  <c r="Y1400" i="2" s="1"/>
  <c r="AC1400" i="2" a="1"/>
  <c r="AC1400" i="2" s="1"/>
  <c r="AI1402" i="2" a="1"/>
  <c r="AI1402" i="2" s="1"/>
  <c r="X1399" i="2" a="1"/>
  <c r="X1399" i="2" s="1"/>
  <c r="Y1401" i="2" a="1"/>
  <c r="Y1401" i="2" s="1"/>
  <c r="AJ1402" i="2" a="1"/>
  <c r="AJ1402" i="2" s="1"/>
  <c r="AE1402" i="2" a="1"/>
  <c r="AE1402" i="2" s="1"/>
  <c r="AD1402" i="2" a="1"/>
  <c r="AD1402" i="2" s="1"/>
  <c r="AC1402" i="2" a="1"/>
  <c r="AC1402" i="2" s="1"/>
  <c r="W1400" i="2" a="1"/>
  <c r="W1400" i="2" s="1"/>
  <c r="AC1401" i="2" a="1"/>
  <c r="AC1401" i="2" s="1"/>
  <c r="Y1402" i="2" a="1"/>
  <c r="Y1402" i="2" s="1"/>
  <c r="AG1401" i="2" a="1"/>
  <c r="AG1401" i="2" s="1"/>
  <c r="AE1400" i="2" a="1"/>
  <c r="AE1400" i="2" s="1"/>
  <c r="AH1401" i="2" a="1"/>
  <c r="AH1401" i="2" s="1"/>
  <c r="AI1399" i="2" a="1"/>
  <c r="AI1399" i="2" s="1"/>
  <c r="AB1402" i="2" a="1"/>
  <c r="AB1402" i="2" s="1"/>
  <c r="AD1400" i="2" a="1"/>
  <c r="AD1400" i="2" s="1"/>
  <c r="AH1398" i="2" a="1"/>
  <c r="AH1398" i="2" s="1"/>
  <c r="X1402" i="2" a="1"/>
  <c r="X1402" i="2" s="1"/>
  <c r="W1399" i="2" a="1"/>
  <c r="W1399" i="2" s="1"/>
  <c r="AA1401" i="2" a="1"/>
  <c r="AA1401" i="2" s="1"/>
  <c r="AG1400" i="2" a="1"/>
  <c r="AG1400" i="2" s="1"/>
  <c r="AB1399" i="2" a="1"/>
  <c r="AB1399" i="2" s="1"/>
  <c r="AI1398" i="2" a="1"/>
  <c r="AI1398" i="2" s="1"/>
  <c r="Z1399" i="2" a="1"/>
  <c r="Z1399" i="2" s="1"/>
  <c r="AA1484" i="2" a="1"/>
  <c r="AA1484" i="2" s="1"/>
  <c r="W1402" i="2" a="1"/>
  <c r="W1402" i="2" s="1"/>
  <c r="AF1401" i="2" a="1"/>
  <c r="AF1401" i="2" s="1"/>
  <c r="AH1400" i="2" a="1"/>
  <c r="AH1400" i="2" s="1"/>
  <c r="Y1403" i="2" a="1"/>
  <c r="Y1403" i="2" s="1"/>
  <c r="X1401" i="2" a="1"/>
  <c r="X1401" i="2" s="1"/>
  <c r="AG1402" i="2" a="1"/>
  <c r="AG1402" i="2" s="1"/>
  <c r="Z1401" i="2" a="1"/>
  <c r="Z1401" i="2" s="1"/>
  <c r="AA1399" i="2" a="1"/>
  <c r="AA1399" i="2" s="1"/>
  <c r="AJ1398" i="2" a="1"/>
  <c r="AJ1398" i="2" s="1"/>
  <c r="Z1400" i="2" a="1"/>
  <c r="Z1400" i="2" s="1"/>
  <c r="AA1402" i="2" a="1"/>
  <c r="AA1402" i="2" s="1"/>
  <c r="AE1401" i="2" a="1"/>
  <c r="AE1401" i="2" s="1"/>
  <c r="Z1402" i="2" a="1"/>
  <c r="Z1402" i="2" s="1"/>
  <c r="AJ1399" i="2" a="1"/>
  <c r="AJ1399" i="2" s="1"/>
  <c r="AI1394" i="2" a="1"/>
  <c r="AI1394" i="2" s="1"/>
  <c r="AJ1397" i="2" a="1"/>
  <c r="AJ1397" i="2" s="1"/>
  <c r="X1396" i="2" a="1"/>
  <c r="X1396" i="2" s="1"/>
  <c r="AH1397" i="2" a="1"/>
  <c r="AH1397" i="2" s="1"/>
  <c r="Z1396" i="2" a="1"/>
  <c r="Z1396" i="2" s="1"/>
  <c r="AE1397" i="2" a="1"/>
  <c r="AE1397" i="2" s="1"/>
  <c r="AJ1396" i="2" a="1"/>
  <c r="AJ1396" i="2" s="1"/>
  <c r="AH1396" i="2" a="1"/>
  <c r="AH1396" i="2" s="1"/>
  <c r="AE1395" i="2" a="1"/>
  <c r="AE1395" i="2" s="1"/>
  <c r="AD1394" i="2" a="1"/>
  <c r="AD1394" i="2" s="1"/>
  <c r="Z1398" i="2" a="1"/>
  <c r="Z1398" i="2" s="1"/>
  <c r="AC1397" i="2" a="1"/>
  <c r="AC1397" i="2" s="1"/>
  <c r="X1397" i="2" a="1"/>
  <c r="X1397" i="2" s="1"/>
  <c r="AH1394" i="2" a="1"/>
  <c r="AH1394" i="2" s="1"/>
  <c r="AG1396" i="2" a="1"/>
  <c r="AG1396" i="2" s="1"/>
  <c r="AI1395" i="2" a="1"/>
  <c r="AI1395" i="2" s="1"/>
  <c r="AA1394" i="2" a="1"/>
  <c r="AA1394" i="2" s="1"/>
  <c r="AH1395" i="2" a="1"/>
  <c r="AH1395" i="2" s="1"/>
  <c r="Z1394" i="2" a="1"/>
  <c r="Z1394" i="2" s="1"/>
  <c r="AF1485" i="2" a="1"/>
  <c r="AF1485" i="2" s="1"/>
  <c r="AF1398" i="2" a="1"/>
  <c r="AF1398" i="2" s="1"/>
  <c r="AE1398" i="2" a="1"/>
  <c r="AE1398" i="2" s="1"/>
  <c r="Y1397" i="2" a="1"/>
  <c r="Y1397" i="2" s="1"/>
  <c r="AD1398" i="2" a="1"/>
  <c r="AD1398" i="2" s="1"/>
  <c r="AJ1395" i="2" a="1"/>
  <c r="AJ1395" i="2" s="1"/>
  <c r="AC1398" i="2" a="1"/>
  <c r="AC1398" i="2" s="1"/>
  <c r="AB1398" i="2" a="1"/>
  <c r="AB1398" i="2" s="1"/>
  <c r="Z1397" i="2" a="1"/>
  <c r="Z1397" i="2" s="1"/>
  <c r="AG1397" i="2" a="1"/>
  <c r="AG1397" i="2" s="1"/>
  <c r="AB1396" i="2" a="1"/>
  <c r="AB1396" i="2" s="1"/>
  <c r="AA1398" i="2" a="1"/>
  <c r="AA1398" i="2" s="1"/>
  <c r="Y1398" i="2" a="1"/>
  <c r="Y1398" i="2" s="1"/>
  <c r="X1398" i="2" a="1"/>
  <c r="X1398" i="2" s="1"/>
  <c r="W1398" i="2" a="1"/>
  <c r="W1398" i="2" s="1"/>
  <c r="AI1397" i="2" a="1"/>
  <c r="AI1397" i="2" s="1"/>
  <c r="AD1397" i="2" a="1"/>
  <c r="AD1397" i="2" s="1"/>
  <c r="AB1397" i="2" a="1"/>
  <c r="AB1397" i="2" s="1"/>
  <c r="W1396" i="2" a="1"/>
  <c r="W1396" i="2" s="1"/>
  <c r="AG1395" i="2" a="1"/>
  <c r="AG1395" i="2" s="1"/>
  <c r="AA1397" i="2" a="1"/>
  <c r="AA1397" i="2" s="1"/>
  <c r="AA1396" i="2" a="1"/>
  <c r="AA1396" i="2" s="1"/>
  <c r="AB1395" i="2" a="1"/>
  <c r="AB1395" i="2" s="1"/>
  <c r="AE1396" i="2" a="1"/>
  <c r="AE1396" i="2" s="1"/>
  <c r="AF1395" i="2" a="1"/>
  <c r="AF1395" i="2" s="1"/>
  <c r="AE1394" i="2" a="1"/>
  <c r="AE1394" i="2" s="1"/>
  <c r="AF1396" i="2" a="1"/>
  <c r="AF1396" i="2" s="1"/>
  <c r="W1395" i="2" a="1"/>
  <c r="W1395" i="2" s="1"/>
  <c r="AJ1394" i="2" a="1"/>
  <c r="AJ1394" i="2" s="1"/>
  <c r="AF1394" i="2" a="1"/>
  <c r="AF1394" i="2" s="1"/>
  <c r="AI1396" i="2" a="1"/>
  <c r="AI1396" i="2" s="1"/>
  <c r="AD1396" i="2" a="1"/>
  <c r="AD1396" i="2" s="1"/>
  <c r="AA1395" i="2" a="1"/>
  <c r="AA1395" i="2" s="1"/>
  <c r="AD1395" i="2" a="1"/>
  <c r="AD1395" i="2" s="1"/>
  <c r="X1395" i="2" a="1"/>
  <c r="X1395" i="2" s="1"/>
  <c r="AG1394" i="2" a="1"/>
  <c r="AG1394" i="2" s="1"/>
  <c r="AC1394" i="2" a="1"/>
  <c r="AC1394" i="2" s="1"/>
  <c r="Y1396" i="2" a="1"/>
  <c r="Y1396" i="2" s="1"/>
  <c r="AF1397" i="2" a="1"/>
  <c r="AF1397" i="2" s="1"/>
  <c r="AC1395" i="2" a="1"/>
  <c r="AC1395" i="2" s="1"/>
  <c r="W1397" i="2" a="1"/>
  <c r="W1397" i="2" s="1"/>
  <c r="AC1396" i="2" a="1"/>
  <c r="AC1396" i="2" s="1"/>
  <c r="Z1395" i="2" a="1"/>
  <c r="Z1395" i="2" s="1"/>
  <c r="Y1395" i="2" a="1"/>
  <c r="Y1395" i="2" s="1"/>
  <c r="AB1394" i="2" a="1"/>
  <c r="AB1394" i="2" s="1"/>
  <c r="W1391" i="2" a="1"/>
  <c r="W1391" i="2" s="1"/>
  <c r="AI1390" i="2" a="1"/>
  <c r="AI1390" i="2" s="1"/>
  <c r="Y1390" i="2" a="1"/>
  <c r="Y1390" i="2" s="1"/>
  <c r="AD1391" i="2" a="1"/>
  <c r="AD1391" i="2" s="1"/>
  <c r="Z1484" i="2" a="1"/>
  <c r="Z1484" i="2" s="1"/>
  <c r="Y1394" i="2" a="1"/>
  <c r="Y1394" i="2" s="1"/>
  <c r="X1394" i="2" a="1"/>
  <c r="X1394" i="2" s="1"/>
  <c r="AH1389" i="2" a="1"/>
  <c r="AH1389" i="2" s="1"/>
  <c r="W1394" i="2" a="1"/>
  <c r="W1394" i="2" s="1"/>
  <c r="AI1392" i="2" a="1"/>
  <c r="AI1392" i="2" s="1"/>
  <c r="W1392" i="2" a="1"/>
  <c r="W1392" i="2" s="1"/>
  <c r="AF1392" i="2" a="1"/>
  <c r="AF1392" i="2" s="1"/>
  <c r="Z1392" i="2" a="1"/>
  <c r="Z1392" i="2" s="1"/>
  <c r="AA1391" i="2" a="1"/>
  <c r="AA1391" i="2" s="1"/>
  <c r="AB1390" i="2" a="1"/>
  <c r="AB1390" i="2" s="1"/>
  <c r="AI1391" i="2" a="1"/>
  <c r="AI1391" i="2" s="1"/>
  <c r="AE1392" i="2" a="1"/>
  <c r="AE1392" i="2" s="1"/>
  <c r="AJ1393" i="2" a="1"/>
  <c r="AJ1393" i="2" s="1"/>
  <c r="AH1393" i="2" a="1"/>
  <c r="AH1393" i="2" s="1"/>
  <c r="AE1393" i="2" a="1"/>
  <c r="AE1393" i="2" s="1"/>
  <c r="AC1393" i="2" a="1"/>
  <c r="AC1393" i="2" s="1"/>
  <c r="AJ1392" i="2" a="1"/>
  <c r="AJ1392" i="2" s="1"/>
  <c r="AE1391" i="2" a="1"/>
  <c r="AE1391" i="2" s="1"/>
  <c r="AB1393" i="2" a="1"/>
  <c r="AB1393" i="2" s="1"/>
  <c r="Z1393" i="2" a="1"/>
  <c r="Z1393" i="2" s="1"/>
  <c r="W1393" i="2" a="1"/>
  <c r="W1393" i="2" s="1"/>
  <c r="AG1392" i="2" a="1"/>
  <c r="AG1392" i="2" s="1"/>
  <c r="AE1390" i="2" a="1"/>
  <c r="AE1390" i="2" s="1"/>
  <c r="AC1390" i="2" a="1"/>
  <c r="AC1390" i="2" s="1"/>
  <c r="Y1393" i="2" a="1"/>
  <c r="Y1393" i="2" s="1"/>
  <c r="X1393" i="2" a="1"/>
  <c r="X1393" i="2" s="1"/>
  <c r="AF1391" i="2" a="1"/>
  <c r="AF1391" i="2" s="1"/>
  <c r="AJ1391" i="2" a="1"/>
  <c r="AJ1391" i="2" s="1"/>
  <c r="AB1391" i="2" a="1"/>
  <c r="AB1391" i="2" s="1"/>
  <c r="AF1390" i="2" a="1"/>
  <c r="AF1390" i="2" s="1"/>
  <c r="AD1392" i="2" a="1"/>
  <c r="AD1392" i="2" s="1"/>
  <c r="AC1392" i="2" a="1"/>
  <c r="AC1392" i="2" s="1"/>
  <c r="AC1391" i="2" a="1"/>
  <c r="AC1391" i="2" s="1"/>
  <c r="AG1391" i="2" a="1"/>
  <c r="AG1391" i="2" s="1"/>
  <c r="AD1390" i="2" a="1"/>
  <c r="AD1390" i="2" s="1"/>
  <c r="AI1389" i="2" a="1"/>
  <c r="AI1389" i="2" s="1"/>
  <c r="AH1390" i="2" a="1"/>
  <c r="AH1390" i="2" s="1"/>
  <c r="AB1392" i="2" a="1"/>
  <c r="AB1392" i="2" s="1"/>
  <c r="Y1392" i="2" a="1"/>
  <c r="Y1392" i="2" s="1"/>
  <c r="X1392" i="2" a="1"/>
  <c r="X1392" i="2" s="1"/>
  <c r="AJ1390" i="2" a="1"/>
  <c r="AJ1390" i="2" s="1"/>
  <c r="Z1391" i="2" a="1"/>
  <c r="Z1391" i="2" s="1"/>
  <c r="X1391" i="2" a="1"/>
  <c r="X1391" i="2" s="1"/>
  <c r="W1390" i="2" a="1"/>
  <c r="W1390" i="2" s="1"/>
  <c r="AI1393" i="2" a="1"/>
  <c r="AI1393" i="2" s="1"/>
  <c r="AG1390" i="2" a="1"/>
  <c r="AG1390" i="2" s="1"/>
  <c r="Z1390" i="2" a="1"/>
  <c r="Z1390" i="2" s="1"/>
  <c r="AG1393" i="2" a="1"/>
  <c r="AG1393" i="2" s="1"/>
  <c r="AG1389" i="2" a="1"/>
  <c r="AG1389" i="2" s="1"/>
  <c r="AF1393" i="2" a="1"/>
  <c r="AF1393" i="2" s="1"/>
  <c r="AJ1389" i="2" a="1"/>
  <c r="AJ1389" i="2" s="1"/>
  <c r="AH1391" i="2" a="1"/>
  <c r="AH1391" i="2" s="1"/>
  <c r="Y1391" i="2" a="1"/>
  <c r="Y1391" i="2" s="1"/>
  <c r="AA1393" i="2" a="1"/>
  <c r="AA1393" i="2" s="1"/>
  <c r="AD1393" i="2" a="1"/>
  <c r="AD1393" i="2" s="1"/>
  <c r="AA1390" i="2" a="1"/>
  <c r="AA1390" i="2" s="1"/>
  <c r="AH1392" i="2" a="1"/>
  <c r="AH1392" i="2" s="1"/>
  <c r="X1390" i="2" a="1"/>
  <c r="X1390" i="2" s="1"/>
  <c r="AA1392" i="2" a="1"/>
  <c r="AA1392" i="2" s="1"/>
  <c r="AD1386" i="2" a="1"/>
  <c r="AD1386" i="2" s="1"/>
  <c r="AG1386" i="2" a="1"/>
  <c r="AG1386" i="2" s="1"/>
  <c r="AH1385" i="2" a="1"/>
  <c r="AH1385" i="2" s="1"/>
  <c r="AD1389" i="2" a="1"/>
  <c r="AD1389" i="2" s="1"/>
  <c r="AH1387" i="2" a="1"/>
  <c r="AH1387" i="2" s="1"/>
  <c r="AC1389" i="2" a="1"/>
  <c r="AC1389" i="2" s="1"/>
  <c r="W1389" i="2" a="1"/>
  <c r="W1389" i="2" s="1"/>
  <c r="AJ1388" i="2" a="1"/>
  <c r="AJ1388" i="2" s="1"/>
  <c r="AB1388" i="2" a="1"/>
  <c r="AB1388" i="2" s="1"/>
  <c r="AA1387" i="2" a="1"/>
  <c r="AA1387" i="2" s="1"/>
  <c r="AI1388" i="2" a="1"/>
  <c r="AI1388" i="2" s="1"/>
  <c r="AG1388" i="2" a="1"/>
  <c r="AG1388" i="2" s="1"/>
  <c r="AI1387" i="2" a="1"/>
  <c r="AI1387" i="2" s="1"/>
  <c r="AG1387" i="2" a="1"/>
  <c r="AG1387" i="2" s="1"/>
  <c r="AC1387" i="2" a="1"/>
  <c r="AC1387" i="2" s="1"/>
  <c r="AB1387" i="2" a="1"/>
  <c r="AB1387" i="2" s="1"/>
  <c r="X1386" i="2" a="1"/>
  <c r="X1386" i="2" s="1"/>
  <c r="AB1385" i="2" a="1"/>
  <c r="AB1385" i="2" s="1"/>
  <c r="AA1385" i="2" a="1"/>
  <c r="AA1385" i="2" s="1"/>
  <c r="Z1387" i="2" a="1"/>
  <c r="Z1387" i="2" s="1"/>
  <c r="AH1386" i="2" a="1"/>
  <c r="AH1386" i="2" s="1"/>
  <c r="W1386" i="2" a="1"/>
  <c r="W1386" i="2" s="1"/>
  <c r="Y1386" i="2" a="1"/>
  <c r="Y1386" i="2" s="1"/>
  <c r="AH1388" i="2" a="1"/>
  <c r="AH1388" i="2" s="1"/>
  <c r="AC1385" i="2" a="1"/>
  <c r="AC1385" i="2" s="1"/>
  <c r="AJ1387" i="2" a="1"/>
  <c r="AJ1387" i="2" s="1"/>
  <c r="AB1389" i="2" a="1"/>
  <c r="AB1389" i="2" s="1"/>
  <c r="AA1386" i="2" a="1"/>
  <c r="AA1386" i="2" s="1"/>
  <c r="AD1385" i="2" a="1"/>
  <c r="AD1385" i="2" s="1"/>
  <c r="W1388" i="2" a="1"/>
  <c r="W1388" i="2" s="1"/>
  <c r="AE1387" i="2" a="1"/>
  <c r="AE1387" i="2" s="1"/>
  <c r="Y1387" i="2" a="1"/>
  <c r="Y1387" i="2" s="1"/>
  <c r="AF1386" i="2" a="1"/>
  <c r="AF1386" i="2" s="1"/>
  <c r="AA1389" i="2" a="1"/>
  <c r="AA1389" i="2" s="1"/>
  <c r="AE1385" i="2" a="1"/>
  <c r="AE1385" i="2" s="1"/>
  <c r="Y1389" i="2" a="1"/>
  <c r="Y1389" i="2" s="1"/>
  <c r="AE1388" i="2" a="1"/>
  <c r="AE1388" i="2" s="1"/>
  <c r="AD1387" i="2" a="1"/>
  <c r="AD1387" i="2" s="1"/>
  <c r="Z1385" i="2" a="1"/>
  <c r="Z1385" i="2" s="1"/>
  <c r="Y1388" i="2" a="1"/>
  <c r="Y1388" i="2" s="1"/>
  <c r="AI1386" i="2" a="1"/>
  <c r="AI1386" i="2" s="1"/>
  <c r="AG1385" i="2" a="1"/>
  <c r="AG1385" i="2" s="1"/>
  <c r="Y1485" i="2" a="1"/>
  <c r="Y1485" i="2" s="1"/>
  <c r="Z1389" i="2" a="1"/>
  <c r="Z1389" i="2" s="1"/>
  <c r="X1389" i="2" a="1"/>
  <c r="X1389" i="2" s="1"/>
  <c r="AI1385" i="2" a="1"/>
  <c r="AI1385" i="2" s="1"/>
  <c r="AB1386" i="2" a="1"/>
  <c r="AB1386" i="2" s="1"/>
  <c r="AJ1385" i="2" a="1"/>
  <c r="AJ1385" i="2" s="1"/>
  <c r="AC1388" i="2" a="1"/>
  <c r="AC1388" i="2" s="1"/>
  <c r="X1388" i="2" a="1"/>
  <c r="X1388" i="2" s="1"/>
  <c r="AF1385" i="2" a="1"/>
  <c r="AF1385" i="2" s="1"/>
  <c r="AF1387" i="2" a="1"/>
  <c r="AF1387" i="2" s="1"/>
  <c r="W1387" i="2" a="1"/>
  <c r="W1387" i="2" s="1"/>
  <c r="AC1386" i="2" a="1"/>
  <c r="AC1386" i="2" s="1"/>
  <c r="Z1386" i="2" a="1"/>
  <c r="Z1386" i="2" s="1"/>
  <c r="AA1388" i="2" a="1"/>
  <c r="AA1388" i="2" s="1"/>
  <c r="AF1389" i="2" a="1"/>
  <c r="AF1389" i="2" s="1"/>
  <c r="Z1388" i="2" a="1"/>
  <c r="Z1388" i="2" s="1"/>
  <c r="X1387" i="2" a="1"/>
  <c r="X1387" i="2" s="1"/>
  <c r="AF1388" i="2" a="1"/>
  <c r="AF1388" i="2" s="1"/>
  <c r="AJ1386" i="2" a="1"/>
  <c r="AJ1386" i="2" s="1"/>
  <c r="AE1389" i="2" a="1"/>
  <c r="AE1389" i="2" s="1"/>
  <c r="AD1388" i="2" a="1"/>
  <c r="AD1388" i="2" s="1"/>
  <c r="AE1386" i="2" a="1"/>
  <c r="AE1386" i="2" s="1"/>
  <c r="W1385" i="2" a="1"/>
  <c r="W1385" i="2" s="1"/>
  <c r="AE1384" i="2" a="1"/>
  <c r="AE1384" i="2" s="1"/>
  <c r="Y1383" i="2" a="1"/>
  <c r="Y1383" i="2" s="1"/>
  <c r="AJ1384" i="2" a="1"/>
  <c r="AJ1384" i="2" s="1"/>
  <c r="AB1383" i="2" a="1"/>
  <c r="AB1383" i="2" s="1"/>
  <c r="Y1384" i="2" a="1"/>
  <c r="Y1384" i="2" s="1"/>
  <c r="W1384" i="2" a="1"/>
  <c r="W1384" i="2" s="1"/>
  <c r="AG1383" i="2" a="1"/>
  <c r="AG1383" i="2" s="1"/>
  <c r="Z1381" i="2" a="1"/>
  <c r="Z1381" i="2" s="1"/>
  <c r="Y1381" i="2" a="1"/>
  <c r="Y1381" i="2" s="1"/>
  <c r="AH1384" i="2" a="1"/>
  <c r="AH1384" i="2" s="1"/>
  <c r="X1384" i="2" a="1"/>
  <c r="X1384" i="2" s="1"/>
  <c r="AG1384" i="2" a="1"/>
  <c r="AG1384" i="2" s="1"/>
  <c r="AD1381" i="2" a="1"/>
  <c r="AD1381" i="2" s="1"/>
  <c r="AC1383" i="2" a="1"/>
  <c r="AC1383" i="2" s="1"/>
  <c r="AH1382" i="2" a="1"/>
  <c r="AH1382" i="2" s="1"/>
  <c r="AF1384" i="2" a="1"/>
  <c r="AF1384" i="2" s="1"/>
  <c r="AB1384" i="2" a="1"/>
  <c r="AB1384" i="2" s="1"/>
  <c r="AA1384" i="2" a="1"/>
  <c r="AA1384" i="2" s="1"/>
  <c r="AJ1383" i="2" a="1"/>
  <c r="AJ1383" i="2" s="1"/>
  <c r="AF1383" i="2" a="1"/>
  <c r="AF1383" i="2" s="1"/>
  <c r="Z1384" i="2" a="1"/>
  <c r="Z1384" i="2" s="1"/>
  <c r="AI1383" i="2" a="1"/>
  <c r="AI1383" i="2" s="1"/>
  <c r="AE1381" i="2" a="1"/>
  <c r="AE1381" i="2" s="1"/>
  <c r="AH1383" i="2" a="1"/>
  <c r="AH1383" i="2" s="1"/>
  <c r="AD1383" i="2" a="1"/>
  <c r="AD1383" i="2" s="1"/>
  <c r="AE1383" i="2" a="1"/>
  <c r="AE1383" i="2" s="1"/>
  <c r="Z1382" i="2" a="1"/>
  <c r="Z1382" i="2" s="1"/>
  <c r="AI1381" i="2" a="1"/>
  <c r="AI1381" i="2" s="1"/>
  <c r="AJ1382" i="2" a="1"/>
  <c r="AJ1382" i="2" s="1"/>
  <c r="AC1382" i="2" a="1"/>
  <c r="AC1382" i="2" s="1"/>
  <c r="AH1381" i="2" a="1"/>
  <c r="AH1381" i="2" s="1"/>
  <c r="AG1381" i="2" a="1"/>
  <c r="AG1381" i="2" s="1"/>
  <c r="AF1382" i="2" a="1"/>
  <c r="AF1382" i="2" s="1"/>
  <c r="AJ1381" i="2" a="1"/>
  <c r="AJ1381" i="2" s="1"/>
  <c r="AD1382" i="2" a="1"/>
  <c r="AD1382" i="2" s="1"/>
  <c r="AA1383" i="2" a="1"/>
  <c r="AA1383" i="2" s="1"/>
  <c r="AF1381" i="2" a="1"/>
  <c r="AF1381" i="2" s="1"/>
  <c r="AH1380" i="2" a="1"/>
  <c r="AH1380" i="2" s="1"/>
  <c r="AD1384" i="2" a="1"/>
  <c r="AD1384" i="2" s="1"/>
  <c r="X1383" i="2" a="1"/>
  <c r="X1383" i="2" s="1"/>
  <c r="AJ1380" i="2" a="1"/>
  <c r="AJ1380" i="2" s="1"/>
  <c r="Z1383" i="2" a="1"/>
  <c r="Z1383" i="2" s="1"/>
  <c r="X1382" i="2" a="1"/>
  <c r="X1382" i="2" s="1"/>
  <c r="AA1381" i="2" a="1"/>
  <c r="AA1381" i="2" s="1"/>
  <c r="AG1382" i="2" a="1"/>
  <c r="AG1382" i="2" s="1"/>
  <c r="AC1384" i="2" a="1"/>
  <c r="AC1384" i="2" s="1"/>
  <c r="W1383" i="2" a="1"/>
  <c r="W1383" i="2" s="1"/>
  <c r="AB1381" i="2" a="1"/>
  <c r="AB1381" i="2" s="1"/>
  <c r="AI1382" i="2" a="1"/>
  <c r="AI1382" i="2" s="1"/>
  <c r="W1382" i="2" a="1"/>
  <c r="W1382" i="2" s="1"/>
  <c r="AI1380" i="2" a="1"/>
  <c r="AI1380" i="2" s="1"/>
  <c r="AB1382" i="2" a="1"/>
  <c r="AB1382" i="2" s="1"/>
  <c r="Y1382" i="2" a="1"/>
  <c r="Y1382" i="2" s="1"/>
  <c r="AC1381" i="2" a="1"/>
  <c r="AC1381" i="2" s="1"/>
  <c r="X1381" i="2" a="1"/>
  <c r="X1381" i="2" s="1"/>
  <c r="Y1484" i="2" a="1"/>
  <c r="Y1484" i="2" s="1"/>
  <c r="AA1382" i="2" a="1"/>
  <c r="AA1382" i="2" s="1"/>
  <c r="W1381" i="2" a="1"/>
  <c r="W1381" i="2" s="1"/>
  <c r="AE1382" i="2" a="1"/>
  <c r="AE1382" i="2" s="1"/>
  <c r="AG1380" i="2" a="1"/>
  <c r="AG1380" i="2" s="1"/>
  <c r="Y1385" i="2" a="1"/>
  <c r="Y1385" i="2" s="1"/>
  <c r="X1385" i="2" a="1"/>
  <c r="X1385" i="2" s="1"/>
  <c r="AI1384" i="2" a="1"/>
  <c r="AI1384" i="2" s="1"/>
  <c r="X1379" i="2" a="1"/>
  <c r="X1379" i="2" s="1"/>
  <c r="Y1380" i="2" a="1"/>
  <c r="Y1380" i="2" s="1"/>
  <c r="AC1379" i="2" a="1"/>
  <c r="AC1379" i="2" s="1"/>
  <c r="W1378" i="2" a="1"/>
  <c r="W1378" i="2" s="1"/>
  <c r="W1377" i="2" a="1"/>
  <c r="W1377" i="2" s="1"/>
  <c r="AA1379" i="2" a="1"/>
  <c r="AA1379" i="2" s="1"/>
  <c r="AA1376" i="2" a="1"/>
  <c r="AA1376" i="2" s="1"/>
  <c r="AA1377" i="2" a="1"/>
  <c r="AA1377" i="2" s="1"/>
  <c r="AF1376" i="2" a="1"/>
  <c r="AF1376" i="2" s="1"/>
  <c r="AD1379" i="2" a="1"/>
  <c r="AD1379" i="2" s="1"/>
  <c r="Z1376" i="2" a="1"/>
  <c r="Z1376" i="2" s="1"/>
  <c r="AI1485" i="2" a="1"/>
  <c r="AI1485" i="2" s="1"/>
  <c r="AC1378" i="2" a="1"/>
  <c r="AC1378" i="2" s="1"/>
  <c r="X1377" i="2" a="1"/>
  <c r="X1377" i="2" s="1"/>
  <c r="AE1380" i="2" a="1"/>
  <c r="AE1380" i="2" s="1"/>
  <c r="Y1378" i="2" a="1"/>
  <c r="Y1378" i="2" s="1"/>
  <c r="Z1380" i="2" a="1"/>
  <c r="Z1380" i="2" s="1"/>
  <c r="AF1379" i="2" a="1"/>
  <c r="AF1379" i="2" s="1"/>
  <c r="AE1378" i="2" a="1"/>
  <c r="AE1378" i="2" s="1"/>
  <c r="AE1379" i="2" a="1"/>
  <c r="AE1379" i="2" s="1"/>
  <c r="X1380" i="2" a="1"/>
  <c r="X1380" i="2" s="1"/>
  <c r="AJ1379" i="2" a="1"/>
  <c r="AJ1379" i="2" s="1"/>
  <c r="AF1377" i="2" a="1"/>
  <c r="AF1377" i="2" s="1"/>
  <c r="AC1377" i="2" a="1"/>
  <c r="AC1377" i="2" s="1"/>
  <c r="Z1377" i="2" a="1"/>
  <c r="Z1377" i="2" s="1"/>
  <c r="AI1376" i="2" a="1"/>
  <c r="AI1376" i="2" s="1"/>
  <c r="AI1379" i="2" a="1"/>
  <c r="AI1379" i="2" s="1"/>
  <c r="X1378" i="2" a="1"/>
  <c r="X1378" i="2" s="1"/>
  <c r="AH1376" i="2" a="1"/>
  <c r="AH1376" i="2" s="1"/>
  <c r="AB1379" i="2" a="1"/>
  <c r="AB1379" i="2" s="1"/>
  <c r="AH1379" i="2" a="1"/>
  <c r="AH1379" i="2" s="1"/>
  <c r="AG1379" i="2" a="1"/>
  <c r="AG1379" i="2" s="1"/>
  <c r="AD1378" i="2" a="1"/>
  <c r="AD1378" i="2" s="1"/>
  <c r="AD1376" i="2" a="1"/>
  <c r="AD1376" i="2" s="1"/>
  <c r="W1379" i="2" a="1"/>
  <c r="W1379" i="2" s="1"/>
  <c r="AB1376" i="2" a="1"/>
  <c r="AB1376" i="2" s="1"/>
  <c r="AE1377" i="2" a="1"/>
  <c r="AE1377" i="2" s="1"/>
  <c r="AH1378" i="2" a="1"/>
  <c r="AH1378" i="2" s="1"/>
  <c r="AE1376" i="2" a="1"/>
  <c r="AE1376" i="2" s="1"/>
  <c r="Z1378" i="2" a="1"/>
  <c r="Z1378" i="2" s="1"/>
  <c r="AD1377" i="2" a="1"/>
  <c r="AD1377" i="2" s="1"/>
  <c r="AB1377" i="2" a="1"/>
  <c r="AB1377" i="2" s="1"/>
  <c r="AD1380" i="2" a="1"/>
  <c r="AD1380" i="2" s="1"/>
  <c r="AI1377" i="2" a="1"/>
  <c r="AI1377" i="2" s="1"/>
  <c r="Y1379" i="2" a="1"/>
  <c r="Y1379" i="2" s="1"/>
  <c r="AG1377" i="2" a="1"/>
  <c r="AG1377" i="2" s="1"/>
  <c r="AB1378" i="2" a="1"/>
  <c r="AB1378" i="2" s="1"/>
  <c r="AB1380" i="2" a="1"/>
  <c r="AB1380" i="2" s="1"/>
  <c r="W1380" i="2" a="1"/>
  <c r="W1380" i="2" s="1"/>
  <c r="AG1378" i="2" a="1"/>
  <c r="AG1378" i="2" s="1"/>
  <c r="AJ1377" i="2" a="1"/>
  <c r="AJ1377" i="2" s="1"/>
  <c r="AJ1376" i="2" a="1"/>
  <c r="AJ1376" i="2" s="1"/>
  <c r="AA1380" i="2" a="1"/>
  <c r="AA1380" i="2" s="1"/>
  <c r="Z1379" i="2" a="1"/>
  <c r="Z1379" i="2" s="1"/>
  <c r="AC1380" i="2" a="1"/>
  <c r="AC1380" i="2" s="1"/>
  <c r="AJ1378" i="2" a="1"/>
  <c r="AJ1378" i="2" s="1"/>
  <c r="AH1377" i="2" a="1"/>
  <c r="AH1377" i="2" s="1"/>
  <c r="AA1378" i="2" a="1"/>
  <c r="AA1378" i="2" s="1"/>
  <c r="AI1378" i="2" a="1"/>
  <c r="AI1378" i="2" s="1"/>
  <c r="AC1376" i="2" a="1"/>
  <c r="AC1376" i="2" s="1"/>
  <c r="AF1380" i="2" a="1"/>
  <c r="AF1380" i="2" s="1"/>
  <c r="AF1378" i="2" a="1"/>
  <c r="AF1378" i="2" s="1"/>
  <c r="Y1377" i="2" a="1"/>
  <c r="Y1377" i="2" s="1"/>
  <c r="AG1376" i="2" a="1"/>
  <c r="AG1376" i="2" s="1"/>
  <c r="W1376" i="2" a="1"/>
  <c r="W1376" i="2" s="1"/>
  <c r="AI1375" i="2" a="1"/>
  <c r="AI1375" i="2" s="1"/>
  <c r="AH1375" i="2" a="1"/>
  <c r="AH1375" i="2" s="1"/>
  <c r="AG1375" i="2" a="1"/>
  <c r="AG1375" i="2" s="1"/>
  <c r="AF1375" i="2" a="1"/>
  <c r="AF1375" i="2" s="1"/>
  <c r="AC1375" i="2" a="1"/>
  <c r="AC1375" i="2" s="1"/>
  <c r="AA1373" i="2" a="1"/>
  <c r="AA1373" i="2" s="1"/>
  <c r="AA1375" i="2" a="1"/>
  <c r="AA1375" i="2" s="1"/>
  <c r="Y1375" i="2" a="1"/>
  <c r="Y1375" i="2" s="1"/>
  <c r="X1375" i="2" a="1"/>
  <c r="X1375" i="2" s="1"/>
  <c r="Z1373" i="2" a="1"/>
  <c r="Z1373" i="2" s="1"/>
  <c r="AF1372" i="2" a="1"/>
  <c r="AF1372" i="2" s="1"/>
  <c r="W1375" i="2" a="1"/>
  <c r="W1375" i="2" s="1"/>
  <c r="AE1373" i="2" a="1"/>
  <c r="AE1373" i="2" s="1"/>
  <c r="AJ1374" i="2" a="1"/>
  <c r="AJ1374" i="2" s="1"/>
  <c r="AA1372" i="2" a="1"/>
  <c r="AA1372" i="2" s="1"/>
  <c r="AG1373" i="2" a="1"/>
  <c r="AG1373" i="2" s="1"/>
  <c r="X1372" i="2" a="1"/>
  <c r="X1372" i="2" s="1"/>
  <c r="AD1372" i="2" a="1"/>
  <c r="AD1372" i="2" s="1"/>
  <c r="AC1374" i="2" a="1"/>
  <c r="AC1374" i="2" s="1"/>
  <c r="AJ1371" i="2" a="1"/>
  <c r="AJ1371" i="2" s="1"/>
  <c r="AG1372" i="2" a="1"/>
  <c r="AG1372" i="2" s="1"/>
  <c r="Y1372" i="2" a="1"/>
  <c r="Y1372" i="2" s="1"/>
  <c r="AI1374" i="2" a="1"/>
  <c r="AI1374" i="2" s="1"/>
  <c r="AB1374" i="2" a="1"/>
  <c r="AB1374" i="2" s="1"/>
  <c r="AA1374" i="2" a="1"/>
  <c r="AA1374" i="2" s="1"/>
  <c r="AI1371" i="2" a="1"/>
  <c r="AI1371" i="2" s="1"/>
  <c r="W1374" i="2" a="1"/>
  <c r="W1374" i="2" s="1"/>
  <c r="AF1373" i="2" a="1"/>
  <c r="AF1373" i="2" s="1"/>
  <c r="AD1373" i="2" a="1"/>
  <c r="AD1373" i="2" s="1"/>
  <c r="AE1372" i="2" a="1"/>
  <c r="AE1372" i="2" s="1"/>
  <c r="AB1372" i="2" a="1"/>
  <c r="AB1372" i="2" s="1"/>
  <c r="AH1371" i="2" a="1"/>
  <c r="AH1371" i="2" s="1"/>
  <c r="AG1371" i="2" a="1"/>
  <c r="AG1371" i="2" s="1"/>
  <c r="AB1373" i="2" a="1"/>
  <c r="AB1373" i="2" s="1"/>
  <c r="AC1372" i="2" a="1"/>
  <c r="AC1372" i="2" s="1"/>
  <c r="AE1374" i="2" a="1"/>
  <c r="AE1374" i="2" s="1"/>
  <c r="AJ1373" i="2" a="1"/>
  <c r="AJ1373" i="2" s="1"/>
  <c r="AI1372" i="2" a="1"/>
  <c r="AI1372" i="2" s="1"/>
  <c r="Z1374" i="2" a="1"/>
  <c r="Z1374" i="2" s="1"/>
  <c r="AG1374" i="2" a="1"/>
  <c r="AG1374" i="2" s="1"/>
  <c r="W1373" i="2" a="1"/>
  <c r="W1373" i="2" s="1"/>
  <c r="X1484" i="2" a="1"/>
  <c r="X1484" i="2" s="1"/>
  <c r="X1374" i="2" a="1"/>
  <c r="X1374" i="2" s="1"/>
  <c r="AJ1375" i="2" a="1"/>
  <c r="AJ1375" i="2" s="1"/>
  <c r="AE1375" i="2" a="1"/>
  <c r="AE1375" i="2" s="1"/>
  <c r="W1372" i="2" a="1"/>
  <c r="W1372" i="2" s="1"/>
  <c r="AD1375" i="2" a="1"/>
  <c r="AD1375" i="2" s="1"/>
  <c r="Y1373" i="2" a="1"/>
  <c r="Y1373" i="2" s="1"/>
  <c r="AB1375" i="2" a="1"/>
  <c r="AB1375" i="2" s="1"/>
  <c r="AF1374" i="2" a="1"/>
  <c r="AF1374" i="2" s="1"/>
  <c r="AJ1372" i="2" a="1"/>
  <c r="AJ1372" i="2" s="1"/>
  <c r="AD1374" i="2" a="1"/>
  <c r="AD1374" i="2" s="1"/>
  <c r="Y1374" i="2" a="1"/>
  <c r="Y1374" i="2" s="1"/>
  <c r="AH1372" i="2" a="1"/>
  <c r="AH1372" i="2" s="1"/>
  <c r="Z1372" i="2" a="1"/>
  <c r="Z1372" i="2" s="1"/>
  <c r="Z1375" i="2" a="1"/>
  <c r="Z1375" i="2" s="1"/>
  <c r="AH1374" i="2" a="1"/>
  <c r="AH1374" i="2" s="1"/>
  <c r="X1373" i="2" a="1"/>
  <c r="X1373" i="2" s="1"/>
  <c r="AC1373" i="2" a="1"/>
  <c r="AC1373" i="2" s="1"/>
  <c r="AI1373" i="2" a="1"/>
  <c r="AI1373" i="2" s="1"/>
  <c r="AH1373" i="2" a="1"/>
  <c r="AH1373" i="2" s="1"/>
  <c r="Y1376" i="2" a="1"/>
  <c r="Y1376" i="2" s="1"/>
  <c r="X1376" i="2" a="1"/>
  <c r="X1376" i="2" s="1"/>
  <c r="AC1371" i="2" a="1"/>
  <c r="AC1371" i="2" s="1"/>
  <c r="W1369" i="2" a="1"/>
  <c r="W1369" i="2" s="1"/>
  <c r="AC1367" i="2" a="1"/>
  <c r="AC1367" i="2" s="1"/>
  <c r="AB1371" i="2" a="1"/>
  <c r="AB1371" i="2" s="1"/>
  <c r="AA1371" i="2" a="1"/>
  <c r="AA1371" i="2" s="1"/>
  <c r="Z1371" i="2" a="1"/>
  <c r="Z1371" i="2" s="1"/>
  <c r="Y1371" i="2" a="1"/>
  <c r="Y1371" i="2" s="1"/>
  <c r="X1371" i="2" a="1"/>
  <c r="X1371" i="2" s="1"/>
  <c r="AC1370" i="2" a="1"/>
  <c r="AC1370" i="2" s="1"/>
  <c r="AG1367" i="2" a="1"/>
  <c r="AG1367" i="2" s="1"/>
  <c r="AC1368" i="2" a="1"/>
  <c r="AC1368" i="2" s="1"/>
  <c r="AI1370" i="2" a="1"/>
  <c r="AI1370" i="2" s="1"/>
  <c r="AH1370" i="2" a="1"/>
  <c r="AH1370" i="2" s="1"/>
  <c r="W1368" i="2" a="1"/>
  <c r="W1368" i="2" s="1"/>
  <c r="Z1369" i="2" a="1"/>
  <c r="Z1369" i="2" s="1"/>
  <c r="AH1368" i="2" a="1"/>
  <c r="AH1368" i="2" s="1"/>
  <c r="AF1370" i="2" a="1"/>
  <c r="AF1370" i="2" s="1"/>
  <c r="Y1370" i="2" a="1"/>
  <c r="Y1370" i="2" s="1"/>
  <c r="AI1369" i="2" a="1"/>
  <c r="AI1369" i="2" s="1"/>
  <c r="AC1369" i="2" a="1"/>
  <c r="AC1369" i="2" s="1"/>
  <c r="AB1370" i="2" a="1"/>
  <c r="AB1370" i="2" s="1"/>
  <c r="AH1369" i="2" a="1"/>
  <c r="AH1369" i="2" s="1"/>
  <c r="AB1368" i="2" a="1"/>
  <c r="AB1368" i="2" s="1"/>
  <c r="AG1369" i="2" a="1"/>
  <c r="AG1369" i="2" s="1"/>
  <c r="AD1369" i="2" a="1"/>
  <c r="AD1369" i="2" s="1"/>
  <c r="AA1370" i="2" a="1"/>
  <c r="AA1370" i="2" s="1"/>
  <c r="Z1370" i="2" a="1"/>
  <c r="Z1370" i="2" s="1"/>
  <c r="AA1369" i="2" a="1"/>
  <c r="AA1369" i="2" s="1"/>
  <c r="Y1368" i="2" a="1"/>
  <c r="Y1368" i="2" s="1"/>
  <c r="X1370" i="2" a="1"/>
  <c r="X1370" i="2" s="1"/>
  <c r="W1370" i="2" a="1"/>
  <c r="W1370" i="2" s="1"/>
  <c r="AB1369" i="2" a="1"/>
  <c r="AB1369" i="2" s="1"/>
  <c r="AA1368" i="2" a="1"/>
  <c r="AA1368" i="2" s="1"/>
  <c r="Z1368" i="2" a="1"/>
  <c r="Z1368" i="2" s="1"/>
  <c r="Z1367" i="2" a="1"/>
  <c r="Z1367" i="2" s="1"/>
  <c r="AF1369" i="2" a="1"/>
  <c r="AF1369" i="2" s="1"/>
  <c r="AE1369" i="2" a="1"/>
  <c r="AE1369" i="2" s="1"/>
  <c r="AE1367" i="2" a="1"/>
  <c r="AE1367" i="2" s="1"/>
  <c r="AJ1368" i="2" a="1"/>
  <c r="AJ1368" i="2" s="1"/>
  <c r="X1368" i="2" a="1"/>
  <c r="X1368" i="2" s="1"/>
  <c r="AD1368" i="2" a="1"/>
  <c r="AD1368" i="2" s="1"/>
  <c r="AB1367" i="2" a="1"/>
  <c r="AB1367" i="2" s="1"/>
  <c r="W1371" i="2" a="1"/>
  <c r="W1371" i="2" s="1"/>
  <c r="AI1368" i="2" a="1"/>
  <c r="AI1368" i="2" s="1"/>
  <c r="AH1367" i="2" a="1"/>
  <c r="AH1367" i="2" s="1"/>
  <c r="AD1367" i="2" a="1"/>
  <c r="AD1367" i="2" s="1"/>
  <c r="AJ1370" i="2" a="1"/>
  <c r="AJ1370" i="2" s="1"/>
  <c r="AF1368" i="2" a="1"/>
  <c r="AF1368" i="2" s="1"/>
  <c r="AI1367" i="2" a="1"/>
  <c r="AI1367" i="2" s="1"/>
  <c r="AG1370" i="2" a="1"/>
  <c r="AG1370" i="2" s="1"/>
  <c r="AA1367" i="2" a="1"/>
  <c r="AA1367" i="2" s="1"/>
  <c r="X1369" i="2" a="1"/>
  <c r="X1369" i="2" s="1"/>
  <c r="AE1370" i="2" a="1"/>
  <c r="AE1370" i="2" s="1"/>
  <c r="AE1368" i="2" a="1"/>
  <c r="AE1368" i="2" s="1"/>
  <c r="AJ1367" i="2" a="1"/>
  <c r="AJ1367" i="2" s="1"/>
  <c r="AF1367" i="2" a="1"/>
  <c r="AF1367" i="2" s="1"/>
  <c r="X1485" i="2" a="1"/>
  <c r="X1485" i="2" s="1"/>
  <c r="AF1371" i="2" a="1"/>
  <c r="AF1371" i="2" s="1"/>
  <c r="AD1370" i="2" a="1"/>
  <c r="AD1370" i="2" s="1"/>
  <c r="AJ1369" i="2" a="1"/>
  <c r="AJ1369" i="2" s="1"/>
  <c r="Y1369" i="2" a="1"/>
  <c r="Y1369" i="2" s="1"/>
  <c r="AE1371" i="2" a="1"/>
  <c r="AE1371" i="2" s="1"/>
  <c r="AG1368" i="2" a="1"/>
  <c r="AG1368" i="2" s="1"/>
  <c r="AD1371" i="2" a="1"/>
  <c r="AD1371" i="2" s="1"/>
  <c r="AI1366" i="2" a="1"/>
  <c r="AI1366" i="2" s="1"/>
  <c r="AH1366" i="2" a="1"/>
  <c r="AH1366" i="2" s="1"/>
  <c r="X1363" i="2" a="1"/>
  <c r="X1363" i="2" s="1"/>
  <c r="AE1366" i="2" a="1"/>
  <c r="AE1366" i="2" s="1"/>
  <c r="AH1364" i="2" a="1"/>
  <c r="AH1364" i="2" s="1"/>
  <c r="AG1366" i="2" a="1"/>
  <c r="AG1366" i="2" s="1"/>
  <c r="AE1365" i="2" a="1"/>
  <c r="AE1365" i="2" s="1"/>
  <c r="AD1364" i="2" a="1"/>
  <c r="AD1364" i="2" s="1"/>
  <c r="W1364" i="2" a="1"/>
  <c r="W1364" i="2" s="1"/>
  <c r="AD1363" i="2" a="1"/>
  <c r="AD1363" i="2" s="1"/>
  <c r="AH1362" i="2" a="1"/>
  <c r="AH1362" i="2" s="1"/>
  <c r="Y1366" i="2" a="1"/>
  <c r="Y1366" i="2" s="1"/>
  <c r="Z1366" i="2" a="1"/>
  <c r="Z1366" i="2" s="1"/>
  <c r="AB1364" i="2" a="1"/>
  <c r="AB1364" i="2" s="1"/>
  <c r="AA1363" i="2" a="1"/>
  <c r="AA1363" i="2" s="1"/>
  <c r="AI1363" i="2" a="1"/>
  <c r="AI1363" i="2" s="1"/>
  <c r="X1366" i="2" a="1"/>
  <c r="X1366" i="2" s="1"/>
  <c r="AB1365" i="2" a="1"/>
  <c r="AB1365" i="2" s="1"/>
  <c r="AA1365" i="2" a="1"/>
  <c r="AA1365" i="2" s="1"/>
  <c r="AF1366" i="2" a="1"/>
  <c r="AF1366" i="2" s="1"/>
  <c r="AI1365" i="2" a="1"/>
  <c r="AI1365" i="2" s="1"/>
  <c r="AD1365" i="2" a="1"/>
  <c r="AD1365" i="2" s="1"/>
  <c r="AG1362" i="2" a="1"/>
  <c r="AG1362" i="2" s="1"/>
  <c r="AC1364" i="2" a="1"/>
  <c r="AC1364" i="2" s="1"/>
  <c r="AC1365" i="2" a="1"/>
  <c r="AC1365" i="2" s="1"/>
  <c r="AD1366" i="2" a="1"/>
  <c r="AD1366" i="2" s="1"/>
  <c r="AC1366" i="2" a="1"/>
  <c r="AC1366" i="2" s="1"/>
  <c r="AA1366" i="2" a="1"/>
  <c r="AA1366" i="2" s="1"/>
  <c r="AG1363" i="2" a="1"/>
  <c r="AG1363" i="2" s="1"/>
  <c r="AJ1364" i="2" a="1"/>
  <c r="AJ1364" i="2" s="1"/>
  <c r="W1366" i="2" a="1"/>
  <c r="W1366" i="2" s="1"/>
  <c r="X1364" i="2" a="1"/>
  <c r="X1364" i="2" s="1"/>
  <c r="AJ1365" i="2" a="1"/>
  <c r="AJ1365" i="2" s="1"/>
  <c r="Y1365" i="2" a="1"/>
  <c r="Y1365" i="2" s="1"/>
  <c r="Y1364" i="2" a="1"/>
  <c r="Y1364" i="2" s="1"/>
  <c r="AC1363" i="2" a="1"/>
  <c r="AC1363" i="2" s="1"/>
  <c r="AG1365" i="2" a="1"/>
  <c r="AG1365" i="2" s="1"/>
  <c r="Z1365" i="2" a="1"/>
  <c r="Z1365" i="2" s="1"/>
  <c r="W1363" i="2" a="1"/>
  <c r="W1363" i="2" s="1"/>
  <c r="AF1363" i="2" a="1"/>
  <c r="AF1363" i="2" s="1"/>
  <c r="AI1364" i="2" a="1"/>
  <c r="AI1364" i="2" s="1"/>
  <c r="AH1365" i="2" a="1"/>
  <c r="AH1365" i="2" s="1"/>
  <c r="AF1365" i="2" a="1"/>
  <c r="AF1365" i="2" s="1"/>
  <c r="AH1363" i="2" a="1"/>
  <c r="AH1363" i="2" s="1"/>
  <c r="AE1363" i="2" a="1"/>
  <c r="AE1363" i="2" s="1"/>
  <c r="AJ1362" i="2" a="1"/>
  <c r="AJ1362" i="2" s="1"/>
  <c r="AE1364" i="2" a="1"/>
  <c r="AE1364" i="2" s="1"/>
  <c r="AB1363" i="2" a="1"/>
  <c r="AB1363" i="2" s="1"/>
  <c r="Z1364" i="2" a="1"/>
  <c r="Z1364" i="2" s="1"/>
  <c r="X1365" i="2" a="1"/>
  <c r="X1365" i="2" s="1"/>
  <c r="AF1364" i="2" a="1"/>
  <c r="AF1364" i="2" s="1"/>
  <c r="Y1363" i="2" a="1"/>
  <c r="Y1363" i="2" s="1"/>
  <c r="W1484" i="2" a="1"/>
  <c r="W1484" i="2" s="1"/>
  <c r="AJ1363" i="2" a="1"/>
  <c r="AJ1363" i="2" s="1"/>
  <c r="AA1364" i="2" a="1"/>
  <c r="AA1364" i="2" s="1"/>
  <c r="Y1367" i="2" a="1"/>
  <c r="Y1367" i="2" s="1"/>
  <c r="AG1364" i="2" a="1"/>
  <c r="AG1364" i="2" s="1"/>
  <c r="W1367" i="2" a="1"/>
  <c r="W1367" i="2" s="1"/>
  <c r="AB1366" i="2" a="1"/>
  <c r="AB1366" i="2" s="1"/>
  <c r="Z1363" i="2" a="1"/>
  <c r="Z1363" i="2" s="1"/>
  <c r="AI1362" i="2" a="1"/>
  <c r="AI1362" i="2" s="1"/>
  <c r="W1365" i="2" a="1"/>
  <c r="W1365" i="2" s="1"/>
  <c r="X1367" i="2" a="1"/>
  <c r="X1367" i="2" s="1"/>
  <c r="AJ1366" i="2" a="1"/>
  <c r="AJ1366" i="2" s="1"/>
  <c r="AC1362" i="2" a="1"/>
  <c r="AC1362" i="2" s="1"/>
  <c r="AB1362" i="2" a="1"/>
  <c r="AB1362" i="2" s="1"/>
  <c r="AI1361" i="2" a="1"/>
  <c r="AI1361" i="2" s="1"/>
  <c r="AE1360" i="2" a="1"/>
  <c r="AE1360" i="2" s="1"/>
  <c r="AF1359" i="2" a="1"/>
  <c r="AF1359" i="2" s="1"/>
  <c r="Y1362" i="2" a="1"/>
  <c r="Y1362" i="2" s="1"/>
  <c r="AG1358" i="2" a="1"/>
  <c r="AG1358" i="2" s="1"/>
  <c r="AB1360" i="2" a="1"/>
  <c r="AB1360" i="2" s="1"/>
  <c r="AC1361" i="2" a="1"/>
  <c r="AC1361" i="2" s="1"/>
  <c r="X1361" i="2" a="1"/>
  <c r="X1361" i="2" s="1"/>
  <c r="W1360" i="2" a="1"/>
  <c r="W1360" i="2" s="1"/>
  <c r="AA1362" i="2" a="1"/>
  <c r="AA1362" i="2" s="1"/>
  <c r="AA1361" i="2" a="1"/>
  <c r="AA1361" i="2" s="1"/>
  <c r="AJ1360" i="2" a="1"/>
  <c r="AJ1360" i="2" s="1"/>
  <c r="AG1360" i="2" a="1"/>
  <c r="AG1360" i="2" s="1"/>
  <c r="X1359" i="2" a="1"/>
  <c r="X1359" i="2" s="1"/>
  <c r="Z1362" i="2" a="1"/>
  <c r="Z1362" i="2" s="1"/>
  <c r="W1362" i="2" a="1"/>
  <c r="W1362" i="2" s="1"/>
  <c r="Z1359" i="2" a="1"/>
  <c r="Z1359" i="2" s="1"/>
  <c r="Z1358" i="2" a="1"/>
  <c r="Z1358" i="2" s="1"/>
  <c r="AJ1361" i="2" a="1"/>
  <c r="AJ1361" i="2" s="1"/>
  <c r="X1360" i="2" a="1"/>
  <c r="X1360" i="2" s="1"/>
  <c r="AB1361" i="2" a="1"/>
  <c r="AB1361" i="2" s="1"/>
  <c r="AD1358" i="2" a="1"/>
  <c r="AD1358" i="2" s="1"/>
  <c r="AA1358" i="2" a="1"/>
  <c r="AA1358" i="2" s="1"/>
  <c r="AF1361" i="2" a="1"/>
  <c r="AF1361" i="2" s="1"/>
  <c r="AF1360" i="2" a="1"/>
  <c r="AF1360" i="2" s="1"/>
  <c r="AD1359" i="2" a="1"/>
  <c r="AD1359" i="2" s="1"/>
  <c r="Y1360" i="2" a="1"/>
  <c r="Y1360" i="2" s="1"/>
  <c r="AH1359" i="2" a="1"/>
  <c r="AH1359" i="2" s="1"/>
  <c r="AE1361" i="2" a="1"/>
  <c r="AE1361" i="2" s="1"/>
  <c r="W1361" i="2" a="1"/>
  <c r="W1361" i="2" s="1"/>
  <c r="Y1359" i="2" a="1"/>
  <c r="Y1359" i="2" s="1"/>
  <c r="AJ1358" i="2" a="1"/>
  <c r="AJ1358" i="2" s="1"/>
  <c r="AH1360" i="2" a="1"/>
  <c r="AH1360" i="2" s="1"/>
  <c r="AH1358" i="2" a="1"/>
  <c r="AH1358" i="2" s="1"/>
  <c r="AC1358" i="2" a="1"/>
  <c r="AC1358" i="2" s="1"/>
  <c r="AB1359" i="2" a="1"/>
  <c r="AB1359" i="2" s="1"/>
  <c r="AC1360" i="2" a="1"/>
  <c r="AC1360" i="2" s="1"/>
  <c r="AJ1359" i="2" a="1"/>
  <c r="AJ1359" i="2" s="1"/>
  <c r="AG1359" i="2" a="1"/>
  <c r="AG1359" i="2" s="1"/>
  <c r="AB1358" i="2" a="1"/>
  <c r="AB1358" i="2" s="1"/>
  <c r="Z1360" i="2" a="1"/>
  <c r="Z1360" i="2" s="1"/>
  <c r="AA1359" i="2" a="1"/>
  <c r="AA1359" i="2" s="1"/>
  <c r="W1359" i="2" a="1"/>
  <c r="W1359" i="2" s="1"/>
  <c r="AE1358" i="2" a="1"/>
  <c r="AE1358" i="2" s="1"/>
  <c r="Z1361" i="2" a="1"/>
  <c r="Z1361" i="2" s="1"/>
  <c r="Y1361" i="2" a="1"/>
  <c r="Y1361" i="2" s="1"/>
  <c r="AD1361" i="2" a="1"/>
  <c r="AD1361" i="2" s="1"/>
  <c r="AE1485" i="2" a="1"/>
  <c r="AE1485" i="2" s="1"/>
  <c r="AG1361" i="2" a="1"/>
  <c r="AG1361" i="2" s="1"/>
  <c r="AD1360" i="2" a="1"/>
  <c r="AD1360" i="2" s="1"/>
  <c r="AF1362" i="2" a="1"/>
  <c r="AF1362" i="2" s="1"/>
  <c r="AA1360" i="2" a="1"/>
  <c r="AA1360" i="2" s="1"/>
  <c r="AH1361" i="2" a="1"/>
  <c r="AH1361" i="2" s="1"/>
  <c r="AE1359" i="2" a="1"/>
  <c r="AE1359" i="2" s="1"/>
  <c r="AF1358" i="2" a="1"/>
  <c r="AF1358" i="2" s="1"/>
  <c r="AE1362" i="2" a="1"/>
  <c r="AE1362" i="2" s="1"/>
  <c r="X1362" i="2" a="1"/>
  <c r="X1362" i="2" s="1"/>
  <c r="AI1358" i="2" a="1"/>
  <c r="AI1358" i="2" s="1"/>
  <c r="AI1360" i="2" a="1"/>
  <c r="AI1360" i="2" s="1"/>
  <c r="AI1359" i="2" a="1"/>
  <c r="AI1359" i="2" s="1"/>
  <c r="AD1362" i="2" a="1"/>
  <c r="AD1362" i="2" s="1"/>
  <c r="AC1359" i="2" a="1"/>
  <c r="AC1359" i="2" s="1"/>
  <c r="Z1355" i="2" a="1"/>
  <c r="Z1355" i="2" s="1"/>
  <c r="W1356" i="2" a="1"/>
  <c r="W1356" i="2" s="1"/>
  <c r="AE1354" i="2" a="1"/>
  <c r="AE1354" i="2" s="1"/>
  <c r="X1358" i="2" a="1"/>
  <c r="X1358" i="2" s="1"/>
  <c r="AJ1357" i="2" a="1"/>
  <c r="AJ1357" i="2" s="1"/>
  <c r="AI1357" i="2" a="1"/>
  <c r="AI1357" i="2" s="1"/>
  <c r="X1357" i="2" a="1"/>
  <c r="X1357" i="2" s="1"/>
  <c r="AA1354" i="2" a="1"/>
  <c r="AA1354" i="2" s="1"/>
  <c r="AI1353" i="2" a="1"/>
  <c r="AI1353" i="2" s="1"/>
  <c r="AF1357" i="2" a="1"/>
  <c r="AF1357" i="2" s="1"/>
  <c r="AF1356" i="2" a="1"/>
  <c r="AF1356" i="2" s="1"/>
  <c r="AD1355" i="2" a="1"/>
  <c r="AD1355" i="2" s="1"/>
  <c r="AH1354" i="2" a="1"/>
  <c r="AH1354" i="2" s="1"/>
  <c r="Y1354" i="2" a="1"/>
  <c r="Y1354" i="2" s="1"/>
  <c r="AG1353" i="2" a="1"/>
  <c r="AG1353" i="2" s="1"/>
  <c r="X1354" i="2" a="1"/>
  <c r="X1354" i="2" s="1"/>
  <c r="W1358" i="2" a="1"/>
  <c r="W1358" i="2" s="1"/>
  <c r="AE1357" i="2" a="1"/>
  <c r="AE1357" i="2" s="1"/>
  <c r="AB1357" i="2" a="1"/>
  <c r="AB1357" i="2" s="1"/>
  <c r="W1357" i="2" a="1"/>
  <c r="W1357" i="2" s="1"/>
  <c r="AI1356" i="2" a="1"/>
  <c r="AI1356" i="2" s="1"/>
  <c r="AA1355" i="2" a="1"/>
  <c r="AA1355" i="2" s="1"/>
  <c r="AB1354" i="2" a="1"/>
  <c r="AB1354" i="2" s="1"/>
  <c r="AJ1353" i="2" a="1"/>
  <c r="AJ1353" i="2" s="1"/>
  <c r="AC1354" i="2" a="1"/>
  <c r="AC1354" i="2" s="1"/>
  <c r="AD1357" i="2" a="1"/>
  <c r="AD1357" i="2" s="1"/>
  <c r="AC1357" i="2" a="1"/>
  <c r="AC1357" i="2" s="1"/>
  <c r="AC1355" i="2" a="1"/>
  <c r="AC1355" i="2" s="1"/>
  <c r="AG1355" i="2" a="1"/>
  <c r="AG1355" i="2" s="1"/>
  <c r="AA1357" i="2" a="1"/>
  <c r="AA1357" i="2" s="1"/>
  <c r="Z1357" i="2" a="1"/>
  <c r="Z1357" i="2" s="1"/>
  <c r="AJ1356" i="2" a="1"/>
  <c r="AJ1356" i="2" s="1"/>
  <c r="Z1356" i="2" a="1"/>
  <c r="Z1356" i="2" s="1"/>
  <c r="AH1355" i="2" a="1"/>
  <c r="AH1355" i="2" s="1"/>
  <c r="Y1355" i="2" a="1"/>
  <c r="Y1355" i="2" s="1"/>
  <c r="AG1356" i="2" a="1"/>
  <c r="AG1356" i="2" s="1"/>
  <c r="AD1356" i="2" a="1"/>
  <c r="AD1356" i="2" s="1"/>
  <c r="AC1356" i="2" a="1"/>
  <c r="AC1356" i="2" s="1"/>
  <c r="AD1354" i="2" a="1"/>
  <c r="AD1354" i="2" s="1"/>
  <c r="W1354" i="2" a="1"/>
  <c r="W1354" i="2" s="1"/>
  <c r="AJ1355" i="2" a="1"/>
  <c r="AJ1355" i="2" s="1"/>
  <c r="AI1354" i="2" a="1"/>
  <c r="AI1354" i="2" s="1"/>
  <c r="Y1356" i="2" a="1"/>
  <c r="Y1356" i="2" s="1"/>
  <c r="X1355" i="2" a="1"/>
  <c r="X1355" i="2" s="1"/>
  <c r="AE1356" i="2" a="1"/>
  <c r="AE1356" i="2" s="1"/>
  <c r="X1356" i="2" a="1"/>
  <c r="X1356" i="2" s="1"/>
  <c r="AE1355" i="2" a="1"/>
  <c r="AE1355" i="2" s="1"/>
  <c r="AJ1354" i="2" a="1"/>
  <c r="AJ1354" i="2" s="1"/>
  <c r="Y1357" i="2" a="1"/>
  <c r="Y1357" i="2" s="1"/>
  <c r="AH1357" i="2" a="1"/>
  <c r="AH1357" i="2" s="1"/>
  <c r="AI1355" i="2" a="1"/>
  <c r="AI1355" i="2" s="1"/>
  <c r="AF1354" i="2" a="1"/>
  <c r="AF1354" i="2" s="1"/>
  <c r="AH1356" i="2" a="1"/>
  <c r="AH1356" i="2" s="1"/>
  <c r="AF1355" i="2" a="1"/>
  <c r="AF1355" i="2" s="1"/>
  <c r="AB1355" i="2" a="1"/>
  <c r="AB1355" i="2" s="1"/>
  <c r="AG1357" i="2" a="1"/>
  <c r="AG1357" i="2" s="1"/>
  <c r="AB1356" i="2" a="1"/>
  <c r="AB1356" i="2" s="1"/>
  <c r="W1355" i="2" a="1"/>
  <c r="W1355" i="2" s="1"/>
  <c r="AG1354" i="2" a="1"/>
  <c r="AG1354" i="2" s="1"/>
  <c r="Z1354" i="2" a="1"/>
  <c r="Z1354" i="2" s="1"/>
  <c r="AH1353" i="2" a="1"/>
  <c r="AH1353" i="2" s="1"/>
  <c r="AJ1483" i="2" a="1"/>
  <c r="AJ1483" i="2" s="1"/>
  <c r="Y1358" i="2" a="1"/>
  <c r="Y1358" i="2" s="1"/>
  <c r="AA1356" i="2" a="1"/>
  <c r="AA1356" i="2" s="1"/>
  <c r="W1485" i="2" a="1"/>
  <c r="W1485" i="2" s="1"/>
  <c r="AF1353" i="2" a="1"/>
  <c r="AF1353" i="2" s="1"/>
  <c r="W1352" i="2" a="1"/>
  <c r="W1352" i="2" s="1"/>
  <c r="AE1353" i="2" a="1"/>
  <c r="AE1353" i="2" s="1"/>
  <c r="AG1351" i="2" a="1"/>
  <c r="AG1351" i="2" s="1"/>
  <c r="AD1353" i="2" a="1"/>
  <c r="AD1353" i="2" s="1"/>
  <c r="Z1351" i="2" a="1"/>
  <c r="Z1351" i="2" s="1"/>
  <c r="AB1353" i="2" a="1"/>
  <c r="AB1353" i="2" s="1"/>
  <c r="AA1353" i="2" a="1"/>
  <c r="AA1353" i="2" s="1"/>
  <c r="AD1352" i="2" a="1"/>
  <c r="AD1352" i="2" s="1"/>
  <c r="Y1351" i="2" a="1"/>
  <c r="Y1351" i="2" s="1"/>
  <c r="Z1353" i="2" a="1"/>
  <c r="Z1353" i="2" s="1"/>
  <c r="AF1351" i="2" a="1"/>
  <c r="AF1351" i="2" s="1"/>
  <c r="AJ1350" i="2" a="1"/>
  <c r="AJ1350" i="2" s="1"/>
  <c r="AG1350" i="2" a="1"/>
  <c r="AG1350" i="2" s="1"/>
  <c r="W1350" i="2" a="1"/>
  <c r="W1350" i="2" s="1"/>
  <c r="AA1352" i="2" a="1"/>
  <c r="AA1352" i="2" s="1"/>
  <c r="AF1352" i="2" a="1"/>
  <c r="AF1352" i="2" s="1"/>
  <c r="AD1351" i="2" a="1"/>
  <c r="AD1351" i="2" s="1"/>
  <c r="AE1352" i="2" a="1"/>
  <c r="AE1352" i="2" s="1"/>
  <c r="AC1352" i="2" a="1"/>
  <c r="AC1352" i="2" s="1"/>
  <c r="AB1352" i="2" a="1"/>
  <c r="AB1352" i="2" s="1"/>
  <c r="Y1353" i="2" a="1"/>
  <c r="Y1353" i="2" s="1"/>
  <c r="X1353" i="2" a="1"/>
  <c r="X1353" i="2" s="1"/>
  <c r="W1353" i="2" a="1"/>
  <c r="W1353" i="2" s="1"/>
  <c r="AH1352" i="2" a="1"/>
  <c r="AH1352" i="2" s="1"/>
  <c r="Z1350" i="2" a="1"/>
  <c r="Z1350" i="2" s="1"/>
  <c r="AC1349" i="2" a="1"/>
  <c r="AC1349" i="2" s="1"/>
  <c r="AH1351" i="2" a="1"/>
  <c r="AH1351" i="2" s="1"/>
  <c r="AC1350" i="2" a="1"/>
  <c r="AC1350" i="2" s="1"/>
  <c r="AF1349" i="2" a="1"/>
  <c r="AF1349" i="2" s="1"/>
  <c r="AJ1352" i="2" a="1"/>
  <c r="AJ1352" i="2" s="1"/>
  <c r="W1351" i="2" a="1"/>
  <c r="W1351" i="2" s="1"/>
  <c r="AC1351" i="2" a="1"/>
  <c r="AC1351" i="2" s="1"/>
  <c r="AI1352" i="2" a="1"/>
  <c r="AI1352" i="2" s="1"/>
  <c r="AA1351" i="2" a="1"/>
  <c r="AA1351" i="2" s="1"/>
  <c r="AG1352" i="2" a="1"/>
  <c r="AG1352" i="2" s="1"/>
  <c r="Y1352" i="2" a="1"/>
  <c r="Y1352" i="2" s="1"/>
  <c r="Z1352" i="2" a="1"/>
  <c r="Z1352" i="2" s="1"/>
  <c r="AJ1351" i="2" a="1"/>
  <c r="AJ1351" i="2" s="1"/>
  <c r="AA1349" i="2" a="1"/>
  <c r="AA1349" i="2" s="1"/>
  <c r="Z1349" i="2" a="1"/>
  <c r="Z1349" i="2" s="1"/>
  <c r="X1352" i="2" a="1"/>
  <c r="X1352" i="2" s="1"/>
  <c r="AH1350" i="2" a="1"/>
  <c r="AH1350" i="2" s="1"/>
  <c r="X1350" i="2" a="1"/>
  <c r="X1350" i="2" s="1"/>
  <c r="AI1351" i="2" a="1"/>
  <c r="AI1351" i="2" s="1"/>
  <c r="X1351" i="2" a="1"/>
  <c r="X1351" i="2" s="1"/>
  <c r="AE1350" i="2" a="1"/>
  <c r="AE1350" i="2" s="1"/>
  <c r="AI1349" i="2" a="1"/>
  <c r="AI1349" i="2" s="1"/>
  <c r="AD1350" i="2" a="1"/>
  <c r="AD1350" i="2" s="1"/>
  <c r="AG1349" i="2" a="1"/>
  <c r="AG1349" i="2" s="1"/>
  <c r="AB1350" i="2" a="1"/>
  <c r="AB1350" i="2" s="1"/>
  <c r="AE1349" i="2" a="1"/>
  <c r="AE1349" i="2" s="1"/>
  <c r="AE1351" i="2" a="1"/>
  <c r="AE1351" i="2" s="1"/>
  <c r="AB1349" i="2" a="1"/>
  <c r="AB1349" i="2" s="1"/>
  <c r="AH1349" i="2" a="1"/>
  <c r="AH1349" i="2" s="1"/>
  <c r="AA1350" i="2" a="1"/>
  <c r="AA1350" i="2" s="1"/>
  <c r="AD1349" i="2" a="1"/>
  <c r="AD1349" i="2" s="1"/>
  <c r="AB1351" i="2" a="1"/>
  <c r="AB1351" i="2" s="1"/>
  <c r="AI1350" i="2" a="1"/>
  <c r="AI1350" i="2" s="1"/>
  <c r="Y1350" i="2" a="1"/>
  <c r="Y1350" i="2" s="1"/>
  <c r="AF1350" i="2" a="1"/>
  <c r="AF1350" i="2" s="1"/>
  <c r="AJ1349" i="2" a="1"/>
  <c r="AJ1349" i="2" s="1"/>
  <c r="AC1353" i="2" a="1"/>
  <c r="AC1353" i="2" s="1"/>
  <c r="AI1346" i="2" a="1"/>
  <c r="AI1346" i="2" s="1"/>
  <c r="AE1347" i="2" a="1"/>
  <c r="AE1347" i="2" s="1"/>
  <c r="AA1346" i="2" a="1"/>
  <c r="AA1346" i="2" s="1"/>
  <c r="X1346" i="2" a="1"/>
  <c r="X1346" i="2" s="1"/>
  <c r="AJ1345" i="2" a="1"/>
  <c r="AJ1345" i="2" s="1"/>
  <c r="AI1345" i="2" a="1"/>
  <c r="AI1345" i="2" s="1"/>
  <c r="AF1345" i="2" a="1"/>
  <c r="AF1345" i="2" s="1"/>
  <c r="AD1345" i="2" a="1"/>
  <c r="AD1345" i="2" s="1"/>
  <c r="AF1346" i="2" a="1"/>
  <c r="AF1346" i="2" s="1"/>
  <c r="Z1346" i="2" a="1"/>
  <c r="Z1346" i="2" s="1"/>
  <c r="AH1345" i="2" a="1"/>
  <c r="AH1345" i="2" s="1"/>
  <c r="AI1347" i="2" a="1"/>
  <c r="AI1347" i="2" s="1"/>
  <c r="AI1344" i="2" a="1"/>
  <c r="AI1344" i="2" s="1"/>
  <c r="AC1347" i="2" a="1"/>
  <c r="AC1347" i="2" s="1"/>
  <c r="Z1347" i="2" a="1"/>
  <c r="Z1347" i="2" s="1"/>
  <c r="AD1346" i="2" a="1"/>
  <c r="AD1346" i="2" s="1"/>
  <c r="Y1347" i="2" a="1"/>
  <c r="Y1347" i="2" s="1"/>
  <c r="AC1345" i="2" a="1"/>
  <c r="AC1345" i="2" s="1"/>
  <c r="Y1348" i="2" a="1"/>
  <c r="Y1348" i="2" s="1"/>
  <c r="W1347" i="2" a="1"/>
  <c r="W1347" i="2" s="1"/>
  <c r="AA1345" i="2" a="1"/>
  <c r="AA1345" i="2" s="1"/>
  <c r="AI1483" i="2" a="1"/>
  <c r="AI1483" i="2" s="1"/>
  <c r="AJ1347" i="2" a="1"/>
  <c r="AJ1347" i="2" s="1"/>
  <c r="AG1344" i="2" a="1"/>
  <c r="AG1344" i="2" s="1"/>
  <c r="X1349" i="2" a="1"/>
  <c r="X1349" i="2" s="1"/>
  <c r="AH1348" i="2" a="1"/>
  <c r="AH1348" i="2" s="1"/>
  <c r="Z1345" i="2" a="1"/>
  <c r="Z1345" i="2" s="1"/>
  <c r="AD1348" i="2" a="1"/>
  <c r="AD1348" i="2" s="1"/>
  <c r="W1346" i="2" a="1"/>
  <c r="W1346" i="2" s="1"/>
  <c r="AE1345" i="2" a="1"/>
  <c r="AE1345" i="2" s="1"/>
  <c r="X1348" i="2" a="1"/>
  <c r="X1348" i="2" s="1"/>
  <c r="AG1346" i="2" a="1"/>
  <c r="AG1346" i="2" s="1"/>
  <c r="AD1347" i="2" a="1"/>
  <c r="AD1347" i="2" s="1"/>
  <c r="AB1346" i="2" a="1"/>
  <c r="AB1346" i="2" s="1"/>
  <c r="AE1348" i="2" a="1"/>
  <c r="AE1348" i="2" s="1"/>
  <c r="AC1348" i="2" a="1"/>
  <c r="AC1348" i="2" s="1"/>
  <c r="AB1348" i="2" a="1"/>
  <c r="AB1348" i="2" s="1"/>
  <c r="X1345" i="2" a="1"/>
  <c r="X1345" i="2" s="1"/>
  <c r="AG1347" i="2" a="1"/>
  <c r="AG1347" i="2" s="1"/>
  <c r="AF1347" i="2" a="1"/>
  <c r="AF1347" i="2" s="1"/>
  <c r="AA1347" i="2" a="1"/>
  <c r="AA1347" i="2" s="1"/>
  <c r="X1347" i="2" a="1"/>
  <c r="X1347" i="2" s="1"/>
  <c r="AJ1344" i="2" a="1"/>
  <c r="AJ1344" i="2" s="1"/>
  <c r="AC1346" i="2" a="1"/>
  <c r="AC1346" i="2" s="1"/>
  <c r="Y1345" i="2" a="1"/>
  <c r="Y1345" i="2" s="1"/>
  <c r="AB1345" i="2" a="1"/>
  <c r="AB1345" i="2" s="1"/>
  <c r="AH1344" i="2" a="1"/>
  <c r="AH1344" i="2" s="1"/>
  <c r="Y1346" i="2" a="1"/>
  <c r="Y1346" i="2" s="1"/>
  <c r="AG1345" i="2" a="1"/>
  <c r="AG1345" i="2" s="1"/>
  <c r="AJ1348" i="2" a="1"/>
  <c r="AJ1348" i="2" s="1"/>
  <c r="AF1348" i="2" a="1"/>
  <c r="AF1348" i="2" s="1"/>
  <c r="AH1346" i="2" a="1"/>
  <c r="AH1346" i="2" s="1"/>
  <c r="AE1346" i="2" a="1"/>
  <c r="AE1346" i="2" s="1"/>
  <c r="W1345" i="2" a="1"/>
  <c r="W1345" i="2" s="1"/>
  <c r="AH1347" i="2" a="1"/>
  <c r="AH1347" i="2" s="1"/>
  <c r="Y1349" i="2" a="1"/>
  <c r="Y1349" i="2" s="1"/>
  <c r="W1349" i="2" a="1"/>
  <c r="W1349" i="2" s="1"/>
  <c r="AI1348" i="2" a="1"/>
  <c r="AI1348" i="2" s="1"/>
  <c r="AG1348" i="2" a="1"/>
  <c r="AG1348" i="2" s="1"/>
  <c r="AA1348" i="2" a="1"/>
  <c r="AA1348" i="2" s="1"/>
  <c r="AB1347" i="2" a="1"/>
  <c r="AB1347" i="2" s="1"/>
  <c r="Z1348" i="2" a="1"/>
  <c r="Z1348" i="2" s="1"/>
  <c r="W1348" i="2" a="1"/>
  <c r="W1348" i="2" s="1"/>
  <c r="AJ1346" i="2" a="1"/>
  <c r="AJ1346" i="2" s="1"/>
  <c r="AC1343" i="2" a="1"/>
  <c r="AC1343" i="2" s="1"/>
  <c r="AB1343" i="2" a="1"/>
  <c r="AB1343" i="2" s="1"/>
  <c r="AA1343" i="2" a="1"/>
  <c r="AA1343" i="2" s="1"/>
  <c r="Z1343" i="2" a="1"/>
  <c r="Z1343" i="2" s="1"/>
  <c r="Y1343" i="2" a="1"/>
  <c r="Y1343" i="2" s="1"/>
  <c r="W1343" i="2" a="1"/>
  <c r="W1343" i="2" s="1"/>
  <c r="AH1341" i="2" a="1"/>
  <c r="AH1341" i="2" s="1"/>
  <c r="AG1340" i="2" a="1"/>
  <c r="AG1340" i="2" s="1"/>
  <c r="AI1340" i="2" a="1"/>
  <c r="AI1340" i="2" s="1"/>
  <c r="Y1341" i="2" a="1"/>
  <c r="Y1341" i="2" s="1"/>
  <c r="AI1342" i="2" a="1"/>
  <c r="AI1342" i="2" s="1"/>
  <c r="AB1341" i="2" a="1"/>
  <c r="AB1341" i="2" s="1"/>
  <c r="AD1342" i="2" a="1"/>
  <c r="AD1342" i="2" s="1"/>
  <c r="X1342" i="2" a="1"/>
  <c r="X1342" i="2" s="1"/>
  <c r="AC1341" i="2" a="1"/>
  <c r="AC1341" i="2" s="1"/>
  <c r="AA1340" i="2" a="1"/>
  <c r="AA1340" i="2" s="1"/>
  <c r="AA1341" i="2" a="1"/>
  <c r="AA1341" i="2" s="1"/>
  <c r="AF1341" i="2" a="1"/>
  <c r="AF1341" i="2" s="1"/>
  <c r="AF1340" i="2" a="1"/>
  <c r="AF1340" i="2" s="1"/>
  <c r="Z1341" i="2" a="1"/>
  <c r="Z1341" i="2" s="1"/>
  <c r="X1341" i="2" a="1"/>
  <c r="X1341" i="2" s="1"/>
  <c r="W1341" i="2" a="1"/>
  <c r="W1341" i="2" s="1"/>
  <c r="AJ1340" i="2" a="1"/>
  <c r="AJ1340" i="2" s="1"/>
  <c r="AC1340" i="2" a="1"/>
  <c r="AC1340" i="2" s="1"/>
  <c r="X1486" i="2" a="1"/>
  <c r="X1486" i="2" s="1"/>
  <c r="AF1344" i="2" a="1"/>
  <c r="AF1344" i="2" s="1"/>
  <c r="AE1344" i="2" a="1"/>
  <c r="AE1344" i="2" s="1"/>
  <c r="X1344" i="2" a="1"/>
  <c r="X1344" i="2" s="1"/>
  <c r="Z1340" i="2" a="1"/>
  <c r="Z1340" i="2" s="1"/>
  <c r="AD1344" i="2" a="1"/>
  <c r="AD1344" i="2" s="1"/>
  <c r="AA1342" i="2" a="1"/>
  <c r="AA1342" i="2" s="1"/>
  <c r="AD1341" i="2" a="1"/>
  <c r="AD1341" i="2" s="1"/>
  <c r="AG1343" i="2" a="1"/>
  <c r="AG1343" i="2" s="1"/>
  <c r="AC1344" i="2" a="1"/>
  <c r="AC1344" i="2" s="1"/>
  <c r="AB1344" i="2" a="1"/>
  <c r="AB1344" i="2" s="1"/>
  <c r="AE1341" i="2" a="1"/>
  <c r="AE1341" i="2" s="1"/>
  <c r="AA1344" i="2" a="1"/>
  <c r="AA1344" i="2" s="1"/>
  <c r="AJ1343" i="2" a="1"/>
  <c r="AJ1343" i="2" s="1"/>
  <c r="AI1343" i="2" a="1"/>
  <c r="AI1343" i="2" s="1"/>
  <c r="AD1343" i="2" a="1"/>
  <c r="AD1343" i="2" s="1"/>
  <c r="AE1342" i="2" a="1"/>
  <c r="AE1342" i="2" s="1"/>
  <c r="AB1340" i="2" a="1"/>
  <c r="AB1340" i="2" s="1"/>
  <c r="AD1340" i="2" a="1"/>
  <c r="AD1340" i="2" s="1"/>
  <c r="AJ1342" i="2" a="1"/>
  <c r="AJ1342" i="2" s="1"/>
  <c r="AI1341" i="2" a="1"/>
  <c r="AI1341" i="2" s="1"/>
  <c r="Z1344" i="2" a="1"/>
  <c r="Z1344" i="2" s="1"/>
  <c r="AG1342" i="2" a="1"/>
  <c r="AG1342" i="2" s="1"/>
  <c r="AJ1341" i="2" a="1"/>
  <c r="AJ1341" i="2" s="1"/>
  <c r="AE1340" i="2" a="1"/>
  <c r="AE1340" i="2" s="1"/>
  <c r="AF1342" i="2" a="1"/>
  <c r="AF1342" i="2" s="1"/>
  <c r="AB1342" i="2" a="1"/>
  <c r="AB1342" i="2" s="1"/>
  <c r="AC1342" i="2" a="1"/>
  <c r="AC1342" i="2" s="1"/>
  <c r="Z1342" i="2" a="1"/>
  <c r="Z1342" i="2" s="1"/>
  <c r="AH1340" i="2" a="1"/>
  <c r="AH1340" i="2" s="1"/>
  <c r="W1342" i="2" a="1"/>
  <c r="W1342" i="2" s="1"/>
  <c r="AG1341" i="2" a="1"/>
  <c r="AG1341" i="2" s="1"/>
  <c r="Y1344" i="2" a="1"/>
  <c r="Y1344" i="2" s="1"/>
  <c r="Y1342" i="2" a="1"/>
  <c r="Y1342" i="2" s="1"/>
  <c r="W1344" i="2" a="1"/>
  <c r="W1344" i="2" s="1"/>
  <c r="AE1343" i="2" a="1"/>
  <c r="AE1343" i="2" s="1"/>
  <c r="X1343" i="2" a="1"/>
  <c r="X1343" i="2" s="1"/>
  <c r="AH1343" i="2" a="1"/>
  <c r="AH1343" i="2" s="1"/>
  <c r="AH1342" i="2" a="1"/>
  <c r="AH1342" i="2" s="1"/>
  <c r="AF1343" i="2" a="1"/>
  <c r="AF1343" i="2" s="1"/>
  <c r="AF1339" i="2" a="1"/>
  <c r="AF1339" i="2" s="1"/>
  <c r="AD1339" i="2" a="1"/>
  <c r="AD1339" i="2" s="1"/>
  <c r="AC1339" i="2" a="1"/>
  <c r="AC1339" i="2" s="1"/>
  <c r="Z1339" i="2" a="1"/>
  <c r="Z1339" i="2" s="1"/>
  <c r="AH1338" i="2" a="1"/>
  <c r="AH1338" i="2" s="1"/>
  <c r="AE1338" i="2" a="1"/>
  <c r="AE1338" i="2" s="1"/>
  <c r="AG1335" i="2" a="1"/>
  <c r="AG1335" i="2" s="1"/>
  <c r="AB1338" i="2" a="1"/>
  <c r="AB1338" i="2" s="1"/>
  <c r="AD1338" i="2" a="1"/>
  <c r="AD1338" i="2" s="1"/>
  <c r="AH1336" i="2" a="1"/>
  <c r="AH1336" i="2" s="1"/>
  <c r="AC1337" i="2" a="1"/>
  <c r="AC1337" i="2" s="1"/>
  <c r="AJ1335" i="2" a="1"/>
  <c r="AJ1335" i="2" s="1"/>
  <c r="AG1338" i="2" a="1"/>
  <c r="AG1338" i="2" s="1"/>
  <c r="Y1338" i="2" a="1"/>
  <c r="Y1338" i="2" s="1"/>
  <c r="AB1337" i="2" a="1"/>
  <c r="AB1337" i="2" s="1"/>
  <c r="AA1337" i="2" a="1"/>
  <c r="AA1337" i="2" s="1"/>
  <c r="AJ1336" i="2" a="1"/>
  <c r="AJ1336" i="2" s="1"/>
  <c r="Z1336" i="2" a="1"/>
  <c r="Z1336" i="2" s="1"/>
  <c r="AH1335" i="2" a="1"/>
  <c r="AH1335" i="2" s="1"/>
  <c r="AI1336" i="2" a="1"/>
  <c r="AI1336" i="2" s="1"/>
  <c r="AG1336" i="2" a="1"/>
  <c r="AG1336" i="2" s="1"/>
  <c r="AF1336" i="2" a="1"/>
  <c r="AF1336" i="2" s="1"/>
  <c r="AE1336" i="2" a="1"/>
  <c r="AE1336" i="2" s="1"/>
  <c r="W1336" i="2" a="1"/>
  <c r="W1336" i="2" s="1"/>
  <c r="AG1339" i="2" a="1"/>
  <c r="AG1339" i="2" s="1"/>
  <c r="AE1339" i="2" a="1"/>
  <c r="AE1339" i="2" s="1"/>
  <c r="X1338" i="2" a="1"/>
  <c r="X1338" i="2" s="1"/>
  <c r="AA1339" i="2" a="1"/>
  <c r="AA1339" i="2" s="1"/>
  <c r="X1339" i="2" a="1"/>
  <c r="X1339" i="2" s="1"/>
  <c r="AA1338" i="2" a="1"/>
  <c r="AA1338" i="2" s="1"/>
  <c r="W1337" i="2" a="1"/>
  <c r="W1337" i="2" s="1"/>
  <c r="AI1335" i="2" a="1"/>
  <c r="AI1335" i="2" s="1"/>
  <c r="AG1337" i="2" a="1"/>
  <c r="AG1337" i="2" s="1"/>
  <c r="Y1336" i="2" a="1"/>
  <c r="Y1336" i="2" s="1"/>
  <c r="AF1338" i="2" a="1"/>
  <c r="AF1338" i="2" s="1"/>
  <c r="X1337" i="2" a="1"/>
  <c r="X1337" i="2" s="1"/>
  <c r="AH1483" i="2" a="1"/>
  <c r="AH1483" i="2" s="1"/>
  <c r="AC1336" i="2" a="1"/>
  <c r="AC1336" i="2" s="1"/>
  <c r="AB1339" i="2" a="1"/>
  <c r="AB1339" i="2" s="1"/>
  <c r="Z1337" i="2" a="1"/>
  <c r="Z1337" i="2" s="1"/>
  <c r="W1340" i="2" a="1"/>
  <c r="W1340" i="2" s="1"/>
  <c r="AJ1339" i="2" a="1"/>
  <c r="AJ1339" i="2" s="1"/>
  <c r="X1336" i="2" a="1"/>
  <c r="X1336" i="2" s="1"/>
  <c r="W1338" i="2" a="1"/>
  <c r="W1338" i="2" s="1"/>
  <c r="AD1336" i="2" a="1"/>
  <c r="AD1336" i="2" s="1"/>
  <c r="Z1338" i="2" a="1"/>
  <c r="Z1338" i="2" s="1"/>
  <c r="AI1337" i="2" a="1"/>
  <c r="AI1337" i="2" s="1"/>
  <c r="Y1340" i="2" a="1"/>
  <c r="Y1340" i="2" s="1"/>
  <c r="AC1338" i="2" a="1"/>
  <c r="AC1338" i="2" s="1"/>
  <c r="X1340" i="2" a="1"/>
  <c r="X1340" i="2" s="1"/>
  <c r="AJ1338" i="2" a="1"/>
  <c r="AJ1338" i="2" s="1"/>
  <c r="AE1337" i="2" a="1"/>
  <c r="AE1337" i="2" s="1"/>
  <c r="Y1337" i="2" a="1"/>
  <c r="Y1337" i="2" s="1"/>
  <c r="AJ1337" i="2" a="1"/>
  <c r="AJ1337" i="2" s="1"/>
  <c r="Y1339" i="2" a="1"/>
  <c r="Y1339" i="2" s="1"/>
  <c r="W1339" i="2" a="1"/>
  <c r="W1339" i="2" s="1"/>
  <c r="AI1338" i="2" a="1"/>
  <c r="AI1338" i="2" s="1"/>
  <c r="AH1337" i="2" a="1"/>
  <c r="AH1337" i="2" s="1"/>
  <c r="AF1337" i="2" a="1"/>
  <c r="AF1337" i="2" s="1"/>
  <c r="AD1337" i="2" a="1"/>
  <c r="AD1337" i="2" s="1"/>
  <c r="AB1336" i="2" a="1"/>
  <c r="AB1336" i="2" s="1"/>
  <c r="AA1336" i="2" a="1"/>
  <c r="AA1336" i="2" s="1"/>
  <c r="AI1339" i="2" a="1"/>
  <c r="AI1339" i="2" s="1"/>
  <c r="AH1339" i="2" a="1"/>
  <c r="AH1339" i="2" s="1"/>
  <c r="AD986" i="2" a="1"/>
  <c r="AD986" i="2" s="1"/>
  <c r="AJ985" i="2" a="1"/>
  <c r="AJ985" i="2" s="1"/>
  <c r="AC985" i="2" a="1"/>
  <c r="AC985" i="2" s="1"/>
  <c r="W985" i="2" a="1"/>
  <c r="W985" i="2" s="1"/>
  <c r="AH983" i="2" a="1"/>
  <c r="AH983" i="2" s="1"/>
  <c r="AD985" i="2" a="1"/>
  <c r="AD985" i="2" s="1"/>
  <c r="AA986" i="2" a="1"/>
  <c r="AA986" i="2" s="1"/>
  <c r="AD984" i="2" a="1"/>
  <c r="AD984" i="2" s="1"/>
  <c r="AH984" i="2" a="1"/>
  <c r="AH984" i="2" s="1"/>
  <c r="AE983" i="2" a="1"/>
  <c r="AE983" i="2" s="1"/>
  <c r="AJ983" i="2" a="1"/>
  <c r="AJ983" i="2" s="1"/>
  <c r="AJ982" i="2" a="1"/>
  <c r="AJ982" i="2" s="1"/>
  <c r="AE985" i="2" a="1"/>
  <c r="AE985" i="2" s="1"/>
  <c r="X986" i="2" a="1"/>
  <c r="X986" i="2" s="1"/>
  <c r="AF985" i="2" a="1"/>
  <c r="AF985" i="2" s="1"/>
  <c r="AB983" i="2" a="1"/>
  <c r="AB983" i="2" s="1"/>
  <c r="AJ984" i="2" a="1"/>
  <c r="AJ984" i="2" s="1"/>
  <c r="AH985" i="2" a="1"/>
  <c r="AH985" i="2" s="1"/>
  <c r="W986" i="2" a="1"/>
  <c r="W986" i="2" s="1"/>
  <c r="Y988" i="2" a="1"/>
  <c r="Y988" i="2" s="1"/>
  <c r="AJ986" i="2" a="1"/>
  <c r="AJ986" i="2" s="1"/>
  <c r="AI984" i="2" a="1"/>
  <c r="AI984" i="2" s="1"/>
  <c r="AI986" i="2" a="1"/>
  <c r="AI986" i="2" s="1"/>
  <c r="AH986" i="2" a="1"/>
  <c r="AH986" i="2" s="1"/>
  <c r="AG986" i="2" a="1"/>
  <c r="AG986" i="2" s="1"/>
  <c r="AC984" i="2" a="1"/>
  <c r="AC984" i="2" s="1"/>
  <c r="AC986" i="2" a="1"/>
  <c r="AC986" i="2" s="1"/>
  <c r="Z985" i="2" a="1"/>
  <c r="Z985" i="2" s="1"/>
  <c r="Y983" i="2" a="1"/>
  <c r="Y983" i="2" s="1"/>
  <c r="Y984" i="2" a="1"/>
  <c r="Y984" i="2" s="1"/>
  <c r="Y986" i="2" a="1"/>
  <c r="Y986" i="2" s="1"/>
  <c r="W983" i="2" a="1"/>
  <c r="W983" i="2" s="1"/>
  <c r="AF986" i="2" a="1"/>
  <c r="AF986" i="2" s="1"/>
  <c r="AG985" i="2" a="1"/>
  <c r="AG985" i="2" s="1"/>
  <c r="AD983" i="2" a="1"/>
  <c r="AD983" i="2" s="1"/>
  <c r="AB985" i="2" a="1"/>
  <c r="AB985" i="2" s="1"/>
  <c r="Z986" i="2" a="1"/>
  <c r="Z986" i="2" s="1"/>
  <c r="AI985" i="2" a="1"/>
  <c r="AI985" i="2" s="1"/>
  <c r="AF984" i="2" a="1"/>
  <c r="AF984" i="2" s="1"/>
  <c r="Z984" i="2" a="1"/>
  <c r="Z984" i="2" s="1"/>
  <c r="X983" i="2" a="1"/>
  <c r="X983" i="2" s="1"/>
  <c r="W984" i="2" a="1"/>
  <c r="W984" i="2" s="1"/>
  <c r="X984" i="2" a="1"/>
  <c r="X984" i="2" s="1"/>
  <c r="AC983" i="2" a="1"/>
  <c r="AC983" i="2" s="1"/>
  <c r="AA985" i="2" a="1"/>
  <c r="AA985" i="2" s="1"/>
  <c r="X985" i="2" a="1"/>
  <c r="X985" i="2" s="1"/>
  <c r="AB984" i="2" a="1"/>
  <c r="AB984" i="2" s="1"/>
  <c r="AI983" i="2" a="1"/>
  <c r="AI983" i="2" s="1"/>
  <c r="AA983" i="2" a="1"/>
  <c r="AA983" i="2" s="1"/>
  <c r="AE986" i="2" a="1"/>
  <c r="AE986" i="2" s="1"/>
  <c r="AE984" i="2" a="1"/>
  <c r="AE984" i="2" s="1"/>
  <c r="Z983" i="2" a="1"/>
  <c r="Z983" i="2" s="1"/>
  <c r="AF983" i="2" a="1"/>
  <c r="AF983" i="2" s="1"/>
  <c r="AB986" i="2" a="1"/>
  <c r="AB986" i="2" s="1"/>
  <c r="AG984" i="2" a="1"/>
  <c r="AG984" i="2" s="1"/>
  <c r="AA984" i="2" a="1"/>
  <c r="AA984" i="2" s="1"/>
  <c r="Y985" i="2" a="1"/>
  <c r="Y985" i="2" s="1"/>
  <c r="AG983" i="2" a="1"/>
  <c r="AG983" i="2" s="1"/>
  <c r="AE978" i="2" a="1"/>
  <c r="AE978" i="2" s="1"/>
  <c r="AC982" i="2" a="1"/>
  <c r="AC982" i="2" s="1"/>
  <c r="AG982" i="2" a="1"/>
  <c r="AG982" i="2" s="1"/>
  <c r="AE982" i="2" a="1"/>
  <c r="AE982" i="2" s="1"/>
  <c r="AB980" i="2" a="1"/>
  <c r="AB980" i="2" s="1"/>
  <c r="AD982" i="2" a="1"/>
  <c r="AD982" i="2" s="1"/>
  <c r="W982" i="2" a="1"/>
  <c r="W982" i="2" s="1"/>
  <c r="Y981" i="2" a="1"/>
  <c r="Y981" i="2" s="1"/>
  <c r="AJ981" i="2" a="1"/>
  <c r="AJ981" i="2" s="1"/>
  <c r="X981" i="2" a="1"/>
  <c r="X981" i="2" s="1"/>
  <c r="AB982" i="2" a="1"/>
  <c r="AB982" i="2" s="1"/>
  <c r="AA982" i="2" a="1"/>
  <c r="AA982" i="2" s="1"/>
  <c r="Z982" i="2" a="1"/>
  <c r="Z982" i="2" s="1"/>
  <c r="Y982" i="2" a="1"/>
  <c r="Y982" i="2" s="1"/>
  <c r="X982" i="2" a="1"/>
  <c r="X982" i="2" s="1"/>
  <c r="AC979" i="2" a="1"/>
  <c r="AC979" i="2" s="1"/>
  <c r="AJ980" i="2" a="1"/>
  <c r="AJ980" i="2" s="1"/>
  <c r="Y980" i="2" a="1"/>
  <c r="Y980" i="2" s="1"/>
  <c r="AJ978" i="2" a="1"/>
  <c r="AJ978" i="2" s="1"/>
  <c r="Y979" i="2" a="1"/>
  <c r="Y979" i="2" s="1"/>
  <c r="AH981" i="2" a="1"/>
  <c r="AH981" i="2" s="1"/>
  <c r="AA981" i="2" a="1"/>
  <c r="AA981" i="2" s="1"/>
  <c r="AE980" i="2" a="1"/>
  <c r="AE980" i="2" s="1"/>
  <c r="AB979" i="2" a="1"/>
  <c r="AB979" i="2" s="1"/>
  <c r="AF979" i="2" a="1"/>
  <c r="AF979" i="2" s="1"/>
  <c r="AE979" i="2" a="1"/>
  <c r="AE979" i="2" s="1"/>
  <c r="AD978" i="2" a="1"/>
  <c r="AD978" i="2" s="1"/>
  <c r="AI978" i="2" a="1"/>
  <c r="AI978" i="2" s="1"/>
  <c r="AG981" i="2" a="1"/>
  <c r="AG981" i="2" s="1"/>
  <c r="AF981" i="2" a="1"/>
  <c r="AF981" i="2" s="1"/>
  <c r="AE981" i="2" a="1"/>
  <c r="AE981" i="2" s="1"/>
  <c r="X980" i="2" a="1"/>
  <c r="X980" i="2" s="1"/>
  <c r="AB981" i="2" a="1"/>
  <c r="AB981" i="2" s="1"/>
  <c r="AC981" i="2" a="1"/>
  <c r="AC981" i="2" s="1"/>
  <c r="Z980" i="2" a="1"/>
  <c r="Z980" i="2" s="1"/>
  <c r="Z981" i="2" a="1"/>
  <c r="Z981" i="2" s="1"/>
  <c r="AH979" i="2" a="1"/>
  <c r="AH979" i="2" s="1"/>
  <c r="AD979" i="2" a="1"/>
  <c r="AD979" i="2" s="1"/>
  <c r="AF978" i="2" a="1"/>
  <c r="AF978" i="2" s="1"/>
  <c r="W980" i="2" a="1"/>
  <c r="W980" i="2" s="1"/>
  <c r="AJ979" i="2" a="1"/>
  <c r="AJ979" i="2" s="1"/>
  <c r="Z979" i="2" a="1"/>
  <c r="Z979" i="2" s="1"/>
  <c r="X979" i="2" a="1"/>
  <c r="X979" i="2" s="1"/>
  <c r="W979" i="2" a="1"/>
  <c r="W979" i="2" s="1"/>
  <c r="AH978" i="2" a="1"/>
  <c r="AH978" i="2" s="1"/>
  <c r="AC978" i="2" a="1"/>
  <c r="AC978" i="2" s="1"/>
  <c r="AI980" i="2" a="1"/>
  <c r="AI980" i="2" s="1"/>
  <c r="AI979" i="2" a="1"/>
  <c r="AI979" i="2" s="1"/>
  <c r="AD980" i="2" a="1"/>
  <c r="AD980" i="2" s="1"/>
  <c r="AH980" i="2" a="1"/>
  <c r="AH980" i="2" s="1"/>
  <c r="AG980" i="2" a="1"/>
  <c r="AG980" i="2" s="1"/>
  <c r="AA980" i="2" a="1"/>
  <c r="AA980" i="2" s="1"/>
  <c r="AF980" i="2" a="1"/>
  <c r="AF980" i="2" s="1"/>
  <c r="AG979" i="2" a="1"/>
  <c r="AG979" i="2" s="1"/>
  <c r="AA979" i="2" a="1"/>
  <c r="AA979" i="2" s="1"/>
  <c r="AG978" i="2" a="1"/>
  <c r="AG978" i="2" s="1"/>
  <c r="AG988" i="2" a="1"/>
  <c r="AG988" i="2" s="1"/>
  <c r="AI981" i="2" a="1"/>
  <c r="AI981" i="2" s="1"/>
  <c r="W981" i="2" a="1"/>
  <c r="W981" i="2" s="1"/>
  <c r="AI982" i="2" a="1"/>
  <c r="AI982" i="2" s="1"/>
  <c r="AD981" i="2" a="1"/>
  <c r="AD981" i="2" s="1"/>
  <c r="AH982" i="2" a="1"/>
  <c r="AH982" i="2" s="1"/>
  <c r="AF982" i="2" a="1"/>
  <c r="AF982" i="2" s="1"/>
  <c r="AC980" i="2" a="1"/>
  <c r="AC980" i="2" s="1"/>
  <c r="Y978" i="2" a="1"/>
  <c r="Y978" i="2" s="1"/>
  <c r="AJ976" i="2" a="1"/>
  <c r="AJ976" i="2" s="1"/>
  <c r="X978" i="2" a="1"/>
  <c r="X978" i="2" s="1"/>
  <c r="AD975" i="2" a="1"/>
  <c r="AD975" i="2" s="1"/>
  <c r="W978" i="2" a="1"/>
  <c r="W978" i="2" s="1"/>
  <c r="AH977" i="2" a="1"/>
  <c r="AH977" i="2" s="1"/>
  <c r="AG977" i="2" a="1"/>
  <c r="AG977" i="2" s="1"/>
  <c r="X974" i="2" a="1"/>
  <c r="X974" i="2" s="1"/>
  <c r="X977" i="2" a="1"/>
  <c r="X977" i="2" s="1"/>
  <c r="AH976" i="2" a="1"/>
  <c r="AH976" i="2" s="1"/>
  <c r="AA976" i="2" a="1"/>
  <c r="AA976" i="2" s="1"/>
  <c r="Z976" i="2" a="1"/>
  <c r="Z976" i="2" s="1"/>
  <c r="AC975" i="2" a="1"/>
  <c r="AC975" i="2" s="1"/>
  <c r="AH974" i="2" a="1"/>
  <c r="AH974" i="2" s="1"/>
  <c r="AF974" i="2" a="1"/>
  <c r="AF974" i="2" s="1"/>
  <c r="AC974" i="2" a="1"/>
  <c r="AC974" i="2" s="1"/>
  <c r="AG976" i="2" a="1"/>
  <c r="AG976" i="2" s="1"/>
  <c r="AG974" i="2" a="1"/>
  <c r="AG974" i="2" s="1"/>
  <c r="AI977" i="2" a="1"/>
  <c r="AI977" i="2" s="1"/>
  <c r="W974" i="2" a="1"/>
  <c r="W974" i="2" s="1"/>
  <c r="AJ977" i="2" a="1"/>
  <c r="AJ977" i="2" s="1"/>
  <c r="AF975" i="2" a="1"/>
  <c r="AF975" i="2" s="1"/>
  <c r="Z974" i="2" a="1"/>
  <c r="Z974" i="2" s="1"/>
  <c r="Z977" i="2" a="1"/>
  <c r="Z977" i="2" s="1"/>
  <c r="AI976" i="2" a="1"/>
  <c r="AI976" i="2" s="1"/>
  <c r="AJ975" i="2" a="1"/>
  <c r="AJ975" i="2" s="1"/>
  <c r="AG975" i="2" a="1"/>
  <c r="AG975" i="2" s="1"/>
  <c r="AA974" i="2" a="1"/>
  <c r="AA974" i="2" s="1"/>
  <c r="AB976" i="2" a="1"/>
  <c r="AB976" i="2" s="1"/>
  <c r="AJ974" i="2" a="1"/>
  <c r="AJ974" i="2" s="1"/>
  <c r="Y976" i="2" a="1"/>
  <c r="Y976" i="2" s="1"/>
  <c r="AB975" i="2" a="1"/>
  <c r="AB975" i="2" s="1"/>
  <c r="AD976" i="2" a="1"/>
  <c r="AD976" i="2" s="1"/>
  <c r="X976" i="2" a="1"/>
  <c r="X976" i="2" s="1"/>
  <c r="W976" i="2" a="1"/>
  <c r="W976" i="2" s="1"/>
  <c r="AE975" i="2" a="1"/>
  <c r="AE975" i="2" s="1"/>
  <c r="Y974" i="2" a="1"/>
  <c r="Y974" i="2" s="1"/>
  <c r="AD974" i="2" a="1"/>
  <c r="AD974" i="2" s="1"/>
  <c r="X975" i="2" a="1"/>
  <c r="X975" i="2" s="1"/>
  <c r="AF977" i="2" a="1"/>
  <c r="AF977" i="2" s="1"/>
  <c r="AD977" i="2" a="1"/>
  <c r="AD977" i="2" s="1"/>
  <c r="AA977" i="2" a="1"/>
  <c r="AA977" i="2" s="1"/>
  <c r="Y977" i="2" a="1"/>
  <c r="Y977" i="2" s="1"/>
  <c r="Z975" i="2" a="1"/>
  <c r="Z975" i="2" s="1"/>
  <c r="AA975" i="2" a="1"/>
  <c r="AA975" i="2" s="1"/>
  <c r="AE976" i="2" a="1"/>
  <c r="AE976" i="2" s="1"/>
  <c r="Y975" i="2" a="1"/>
  <c r="Y975" i="2" s="1"/>
  <c r="AE974" i="2" a="1"/>
  <c r="AE974" i="2" s="1"/>
  <c r="AC976" i="2" a="1"/>
  <c r="AC976" i="2" s="1"/>
  <c r="AA978" i="2" a="1"/>
  <c r="AA978" i="2" s="1"/>
  <c r="Z978" i="2" a="1"/>
  <c r="Z978" i="2" s="1"/>
  <c r="W977" i="2" a="1"/>
  <c r="W977" i="2" s="1"/>
  <c r="W975" i="2" a="1"/>
  <c r="W975" i="2" s="1"/>
  <c r="AI974" i="2" a="1"/>
  <c r="AI974" i="2" s="1"/>
  <c r="AE977" i="2" a="1"/>
  <c r="AE977" i="2" s="1"/>
  <c r="AC977" i="2" a="1"/>
  <c r="AC977" i="2" s="1"/>
  <c r="AB977" i="2" a="1"/>
  <c r="AB977" i="2" s="1"/>
  <c r="AJ973" i="2" a="1"/>
  <c r="AJ973" i="2" s="1"/>
  <c r="AF976" i="2" a="1"/>
  <c r="AF976" i="2" s="1"/>
  <c r="AI975" i="2" a="1"/>
  <c r="AI975" i="2" s="1"/>
  <c r="AH975" i="2" a="1"/>
  <c r="AH975" i="2" s="1"/>
  <c r="AB974" i="2" a="1"/>
  <c r="AB974" i="2" s="1"/>
  <c r="X988" i="2" a="1"/>
  <c r="X988" i="2" s="1"/>
  <c r="AB978" i="2" a="1"/>
  <c r="AB978" i="2" s="1"/>
  <c r="AI971" i="2" a="1"/>
  <c r="AI971" i="2" s="1"/>
  <c r="AC969" i="2" a="1"/>
  <c r="AC969" i="2" s="1"/>
  <c r="AD971" i="2" a="1"/>
  <c r="AD971" i="2" s="1"/>
  <c r="AF969" i="2" a="1"/>
  <c r="AF969" i="2" s="1"/>
  <c r="Y971" i="2" a="1"/>
  <c r="Y971" i="2" s="1"/>
  <c r="Y973" i="2" a="1"/>
  <c r="Y973" i="2" s="1"/>
  <c r="X970" i="2" a="1"/>
  <c r="X970" i="2" s="1"/>
  <c r="X973" i="2" a="1"/>
  <c r="X973" i="2" s="1"/>
  <c r="AJ972" i="2" a="1"/>
  <c r="AJ972" i="2" s="1"/>
  <c r="AG972" i="2" a="1"/>
  <c r="AG972" i="2" s="1"/>
  <c r="AF972" i="2" a="1"/>
  <c r="AF972" i="2" s="1"/>
  <c r="X972" i="2" a="1"/>
  <c r="X972" i="2" s="1"/>
  <c r="AE972" i="2" a="1"/>
  <c r="AE972" i="2" s="1"/>
  <c r="AC971" i="2" a="1"/>
  <c r="AC971" i="2" s="1"/>
  <c r="AE969" i="2" a="1"/>
  <c r="AE969" i="2" s="1"/>
  <c r="Z972" i="2" a="1"/>
  <c r="Z972" i="2" s="1"/>
  <c r="AC972" i="2" a="1"/>
  <c r="AC972" i="2" s="1"/>
  <c r="AI970" i="2" a="1"/>
  <c r="AI970" i="2" s="1"/>
  <c r="W972" i="2" a="1"/>
  <c r="W972" i="2" s="1"/>
  <c r="AD972" i="2" a="1"/>
  <c r="AD972" i="2" s="1"/>
  <c r="AA972" i="2" a="1"/>
  <c r="AA972" i="2" s="1"/>
  <c r="AJ971" i="2" a="1"/>
  <c r="AJ971" i="2" s="1"/>
  <c r="Z971" i="2" a="1"/>
  <c r="Z971" i="2" s="1"/>
  <c r="AG971" i="2" a="1"/>
  <c r="AG971" i="2" s="1"/>
  <c r="AB971" i="2" a="1"/>
  <c r="AB971" i="2" s="1"/>
  <c r="AH970" i="2" a="1"/>
  <c r="AH970" i="2" s="1"/>
  <c r="AG970" i="2" a="1"/>
  <c r="AG970" i="2" s="1"/>
  <c r="AD969" i="2" a="1"/>
  <c r="AD969" i="2" s="1"/>
  <c r="AF970" i="2" a="1"/>
  <c r="AF970" i="2" s="1"/>
  <c r="Y970" i="2" a="1"/>
  <c r="Y970" i="2" s="1"/>
  <c r="Z970" i="2" a="1"/>
  <c r="Z970" i="2" s="1"/>
  <c r="AI969" i="2" a="1"/>
  <c r="AI969" i="2" s="1"/>
  <c r="AB970" i="2" a="1"/>
  <c r="AB970" i="2" s="1"/>
  <c r="W989" i="2" a="1"/>
  <c r="W989" i="2" s="1"/>
  <c r="AH971" i="2" a="1"/>
  <c r="AH971" i="2" s="1"/>
  <c r="AI973" i="2" a="1"/>
  <c r="AI973" i="2" s="1"/>
  <c r="AH973" i="2" a="1"/>
  <c r="AH973" i="2" s="1"/>
  <c r="AF971" i="2" a="1"/>
  <c r="AF971" i="2" s="1"/>
  <c r="AH972" i="2" a="1"/>
  <c r="AH972" i="2" s="1"/>
  <c r="W970" i="2" a="1"/>
  <c r="W970" i="2" s="1"/>
  <c r="AG973" i="2" a="1"/>
  <c r="AG973" i="2" s="1"/>
  <c r="AF973" i="2" a="1"/>
  <c r="AF973" i="2" s="1"/>
  <c r="AE973" i="2" a="1"/>
  <c r="AE973" i="2" s="1"/>
  <c r="Z973" i="2" a="1"/>
  <c r="Z973" i="2" s="1"/>
  <c r="AD973" i="2" a="1"/>
  <c r="AD973" i="2" s="1"/>
  <c r="AI972" i="2" a="1"/>
  <c r="AI972" i="2" s="1"/>
  <c r="AJ970" i="2" a="1"/>
  <c r="AJ970" i="2" s="1"/>
  <c r="W973" i="2" a="1"/>
  <c r="W973" i="2" s="1"/>
  <c r="Y972" i="2" a="1"/>
  <c r="Y972" i="2" s="1"/>
  <c r="AA970" i="2" a="1"/>
  <c r="AA970" i="2" s="1"/>
  <c r="X971" i="2" a="1"/>
  <c r="X971" i="2" s="1"/>
  <c r="AE971" i="2" a="1"/>
  <c r="AE971" i="2" s="1"/>
  <c r="W971" i="2" a="1"/>
  <c r="W971" i="2" s="1"/>
  <c r="AG969" i="2" a="1"/>
  <c r="AG969" i="2" s="1"/>
  <c r="AA971" i="2" a="1"/>
  <c r="AA971" i="2" s="1"/>
  <c r="AJ969" i="2" a="1"/>
  <c r="AJ969" i="2" s="1"/>
  <c r="AH969" i="2" a="1"/>
  <c r="AH969" i="2" s="1"/>
  <c r="AC973" i="2" a="1"/>
  <c r="AC973" i="2" s="1"/>
  <c r="AD970" i="2" a="1"/>
  <c r="AD970" i="2" s="1"/>
  <c r="AB973" i="2" a="1"/>
  <c r="AB973" i="2" s="1"/>
  <c r="AA973" i="2" a="1"/>
  <c r="AA973" i="2" s="1"/>
  <c r="AB972" i="2" a="1"/>
  <c r="AB972" i="2" s="1"/>
  <c r="AE970" i="2" a="1"/>
  <c r="AE970" i="2" s="1"/>
  <c r="AC970" i="2" a="1"/>
  <c r="AC970" i="2" s="1"/>
  <c r="AH965" i="2" a="1"/>
  <c r="AH965" i="2" s="1"/>
  <c r="AB968" i="2" a="1"/>
  <c r="AB968" i="2" s="1"/>
  <c r="AG966" i="2" a="1"/>
  <c r="AG966" i="2" s="1"/>
  <c r="AE966" i="2" a="1"/>
  <c r="AE966" i="2" s="1"/>
  <c r="Z966" i="2" a="1"/>
  <c r="Z966" i="2" s="1"/>
  <c r="AA965" i="2" a="1"/>
  <c r="AA965" i="2" s="1"/>
  <c r="X965" i="2" a="1"/>
  <c r="X965" i="2" s="1"/>
  <c r="AA968" i="2" a="1"/>
  <c r="AA968" i="2" s="1"/>
  <c r="Z968" i="2" a="1"/>
  <c r="Z968" i="2" s="1"/>
  <c r="Y968" i="2" a="1"/>
  <c r="Y968" i="2" s="1"/>
  <c r="AG967" i="2" a="1"/>
  <c r="AG967" i="2" s="1"/>
  <c r="Y966" i="2" a="1"/>
  <c r="Y966" i="2" s="1"/>
  <c r="X968" i="2" a="1"/>
  <c r="X968" i="2" s="1"/>
  <c r="AH967" i="2" a="1"/>
  <c r="AH967" i="2" s="1"/>
  <c r="AI967" i="2" a="1"/>
  <c r="AI967" i="2" s="1"/>
  <c r="AF967" i="2" a="1"/>
  <c r="AF967" i="2" s="1"/>
  <c r="AJ964" i="2" a="1"/>
  <c r="AJ964" i="2" s="1"/>
  <c r="AA967" i="2" a="1"/>
  <c r="AA967" i="2" s="1"/>
  <c r="AJ965" i="2" a="1"/>
  <c r="AJ965" i="2" s="1"/>
  <c r="AB966" i="2" a="1"/>
  <c r="AB966" i="2" s="1"/>
  <c r="AF966" i="2" a="1"/>
  <c r="AF966" i="2" s="1"/>
  <c r="AB967" i="2" a="1"/>
  <c r="AB967" i="2" s="1"/>
  <c r="Z967" i="2" a="1"/>
  <c r="Z967" i="2" s="1"/>
  <c r="W967" i="2" a="1"/>
  <c r="W967" i="2" s="1"/>
  <c r="AI966" i="2" a="1"/>
  <c r="AI966" i="2" s="1"/>
  <c r="AH966" i="2" a="1"/>
  <c r="AH966" i="2" s="1"/>
  <c r="AD966" i="2" a="1"/>
  <c r="AD966" i="2" s="1"/>
  <c r="AI965" i="2" a="1"/>
  <c r="AI965" i="2" s="1"/>
  <c r="AF965" i="2" a="1"/>
  <c r="AF965" i="2" s="1"/>
  <c r="AA966" i="2" a="1"/>
  <c r="AA966" i="2" s="1"/>
  <c r="Z965" i="2" a="1"/>
  <c r="Z965" i="2" s="1"/>
  <c r="W965" i="2" a="1"/>
  <c r="W965" i="2" s="1"/>
  <c r="W968" i="2" a="1"/>
  <c r="W968" i="2" s="1"/>
  <c r="X967" i="2" a="1"/>
  <c r="X967" i="2" s="1"/>
  <c r="AG965" i="2" a="1"/>
  <c r="AG965" i="2" s="1"/>
  <c r="AE967" i="2" a="1"/>
  <c r="AE967" i="2" s="1"/>
  <c r="AJ966" i="2" a="1"/>
  <c r="AJ966" i="2" s="1"/>
  <c r="W966" i="2" a="1"/>
  <c r="W966" i="2" s="1"/>
  <c r="AD965" i="2" a="1"/>
  <c r="AD965" i="2" s="1"/>
  <c r="AJ967" i="2" a="1"/>
  <c r="AJ967" i="2" s="1"/>
  <c r="AC966" i="2" a="1"/>
  <c r="AC966" i="2" s="1"/>
  <c r="AE965" i="2" a="1"/>
  <c r="AE965" i="2" s="1"/>
  <c r="W988" i="2" a="1"/>
  <c r="W988" i="2" s="1"/>
  <c r="AB969" i="2" a="1"/>
  <c r="AB969" i="2" s="1"/>
  <c r="AA969" i="2" a="1"/>
  <c r="AA969" i="2" s="1"/>
  <c r="Z969" i="2" a="1"/>
  <c r="Z969" i="2" s="1"/>
  <c r="Y969" i="2" a="1"/>
  <c r="Y969" i="2" s="1"/>
  <c r="AD967" i="2" a="1"/>
  <c r="AD967" i="2" s="1"/>
  <c r="X969" i="2" a="1"/>
  <c r="X969" i="2" s="1"/>
  <c r="W969" i="2" a="1"/>
  <c r="W969" i="2" s="1"/>
  <c r="X966" i="2" a="1"/>
  <c r="X966" i="2" s="1"/>
  <c r="AJ968" i="2" a="1"/>
  <c r="AJ968" i="2" s="1"/>
  <c r="AB965" i="2" a="1"/>
  <c r="AB965" i="2" s="1"/>
  <c r="Y965" i="2" a="1"/>
  <c r="Y965" i="2" s="1"/>
  <c r="AI968" i="2" a="1"/>
  <c r="AI968" i="2" s="1"/>
  <c r="AC965" i="2" a="1"/>
  <c r="AC965" i="2" s="1"/>
  <c r="AH968" i="2" a="1"/>
  <c r="AH968" i="2" s="1"/>
  <c r="AG968" i="2" a="1"/>
  <c r="AG968" i="2" s="1"/>
  <c r="AF968" i="2" a="1"/>
  <c r="AF968" i="2" s="1"/>
  <c r="AE968" i="2" a="1"/>
  <c r="AE968" i="2" s="1"/>
  <c r="AC967" i="2" a="1"/>
  <c r="AC967" i="2" s="1"/>
  <c r="AC968" i="2" a="1"/>
  <c r="AC968" i="2" s="1"/>
  <c r="AD968" i="2" a="1"/>
  <c r="AD968" i="2" s="1"/>
  <c r="Y967" i="2" a="1"/>
  <c r="Y967" i="2" s="1"/>
  <c r="AH960" i="2" a="1"/>
  <c r="AH960" i="2" s="1"/>
  <c r="AH964" i="2" a="1"/>
  <c r="AH964" i="2" s="1"/>
  <c r="X964" i="2" a="1"/>
  <c r="X964" i="2" s="1"/>
  <c r="AC962" i="2" a="1"/>
  <c r="AC962" i="2" s="1"/>
  <c r="AD964" i="2" a="1"/>
  <c r="AD964" i="2" s="1"/>
  <c r="AJ962" i="2" a="1"/>
  <c r="AJ962" i="2" s="1"/>
  <c r="AG962" i="2" a="1"/>
  <c r="AG962" i="2" s="1"/>
  <c r="AJ961" i="2" a="1"/>
  <c r="AJ961" i="2" s="1"/>
  <c r="AD961" i="2" a="1"/>
  <c r="AD961" i="2" s="1"/>
  <c r="AG961" i="2" a="1"/>
  <c r="AG961" i="2" s="1"/>
  <c r="X961" i="2" a="1"/>
  <c r="X961" i="2" s="1"/>
  <c r="AE962" i="2" a="1"/>
  <c r="AE962" i="2" s="1"/>
  <c r="AB962" i="2" a="1"/>
  <c r="AB962" i="2" s="1"/>
  <c r="AA961" i="2" a="1"/>
  <c r="AA961" i="2" s="1"/>
  <c r="Z962" i="2" a="1"/>
  <c r="Z962" i="2" s="1"/>
  <c r="AH961" i="2" a="1"/>
  <c r="AH961" i="2" s="1"/>
  <c r="AF961" i="2" a="1"/>
  <c r="AF961" i="2" s="1"/>
  <c r="AC961" i="2" a="1"/>
  <c r="AC961" i="2" s="1"/>
  <c r="AJ960" i="2" a="1"/>
  <c r="AJ960" i="2" s="1"/>
  <c r="AG964" i="2" a="1"/>
  <c r="AG964" i="2" s="1"/>
  <c r="AF964" i="2" a="1"/>
  <c r="AF964" i="2" s="1"/>
  <c r="AC964" i="2" a="1"/>
  <c r="AC964" i="2" s="1"/>
  <c r="AH962" i="2" a="1"/>
  <c r="AH962" i="2" s="1"/>
  <c r="Y964" i="2" a="1"/>
  <c r="Y964" i="2" s="1"/>
  <c r="Y962" i="2" a="1"/>
  <c r="Y962" i="2" s="1"/>
  <c r="AJ963" i="2" a="1"/>
  <c r="AJ963" i="2" s="1"/>
  <c r="AF962" i="2" a="1"/>
  <c r="AF962" i="2" s="1"/>
  <c r="AI960" i="2" a="1"/>
  <c r="AI960" i="2" s="1"/>
  <c r="AF960" i="2" a="1"/>
  <c r="AF960" i="2" s="1"/>
  <c r="AH963" i="2" a="1"/>
  <c r="AH963" i="2" s="1"/>
  <c r="AD963" i="2" a="1"/>
  <c r="AD963" i="2" s="1"/>
  <c r="W963" i="2" a="1"/>
  <c r="W963" i="2" s="1"/>
  <c r="W964" i="2" a="1"/>
  <c r="W964" i="2" s="1"/>
  <c r="AG963" i="2" a="1"/>
  <c r="AG963" i="2" s="1"/>
  <c r="AG960" i="2" a="1"/>
  <c r="AG960" i="2" s="1"/>
  <c r="AF963" i="2" a="1"/>
  <c r="AF963" i="2" s="1"/>
  <c r="AE963" i="2" a="1"/>
  <c r="AE963" i="2" s="1"/>
  <c r="AE960" i="2" a="1"/>
  <c r="AE960" i="2" s="1"/>
  <c r="Z963" i="2" a="1"/>
  <c r="Z963" i="2" s="1"/>
  <c r="AC963" i="2" a="1"/>
  <c r="AC963" i="2" s="1"/>
  <c r="AD962" i="2" a="1"/>
  <c r="AD962" i="2" s="1"/>
  <c r="AA963" i="2" a="1"/>
  <c r="AA963" i="2" s="1"/>
  <c r="AA962" i="2" a="1"/>
  <c r="AA962" i="2" s="1"/>
  <c r="Z961" i="2" a="1"/>
  <c r="Z961" i="2" s="1"/>
  <c r="Y961" i="2" a="1"/>
  <c r="Y961" i="2" s="1"/>
  <c r="W961" i="2" a="1"/>
  <c r="W961" i="2" s="1"/>
  <c r="W962" i="2" a="1"/>
  <c r="W962" i="2" s="1"/>
  <c r="AC960" i="2" a="1"/>
  <c r="AC960" i="2" s="1"/>
  <c r="AE961" i="2" a="1"/>
  <c r="AE961" i="2" s="1"/>
  <c r="AI961" i="2" a="1"/>
  <c r="AI961" i="2" s="1"/>
  <c r="AB961" i="2" a="1"/>
  <c r="AB961" i="2" s="1"/>
  <c r="AF988" i="2" a="1"/>
  <c r="AF988" i="2" s="1"/>
  <c r="AI962" i="2" a="1"/>
  <c r="AI962" i="2" s="1"/>
  <c r="X962" i="2" a="1"/>
  <c r="X962" i="2" s="1"/>
  <c r="AI964" i="2" a="1"/>
  <c r="AI964" i="2" s="1"/>
  <c r="Y963" i="2" a="1"/>
  <c r="Y963" i="2" s="1"/>
  <c r="AI963" i="2" a="1"/>
  <c r="AI963" i="2" s="1"/>
  <c r="AE964" i="2" a="1"/>
  <c r="AE964" i="2" s="1"/>
  <c r="AA964" i="2" a="1"/>
  <c r="AA964" i="2" s="1"/>
  <c r="AB964" i="2" a="1"/>
  <c r="AB964" i="2" s="1"/>
  <c r="X963" i="2" a="1"/>
  <c r="X963" i="2" s="1"/>
  <c r="AD960" i="2" a="1"/>
  <c r="AD960" i="2" s="1"/>
  <c r="Z964" i="2" a="1"/>
  <c r="Z964" i="2" s="1"/>
  <c r="AB963" i="2" a="1"/>
  <c r="AB963" i="2" s="1"/>
  <c r="AB956" i="2" a="1"/>
  <c r="AB956" i="2" s="1"/>
  <c r="AF958" i="2" a="1"/>
  <c r="AF958" i="2" s="1"/>
  <c r="Y960" i="2" a="1"/>
  <c r="Y960" i="2" s="1"/>
  <c r="AJ959" i="2" a="1"/>
  <c r="AJ959" i="2" s="1"/>
  <c r="AF959" i="2" a="1"/>
  <c r="AF959" i="2" s="1"/>
  <c r="AJ957" i="2" a="1"/>
  <c r="AJ957" i="2" s="1"/>
  <c r="W956" i="2" a="1"/>
  <c r="W956" i="2" s="1"/>
  <c r="X960" i="2" a="1"/>
  <c r="X960" i="2" s="1"/>
  <c r="Y959" i="2" a="1"/>
  <c r="Y959" i="2" s="1"/>
  <c r="AI959" i="2" a="1"/>
  <c r="AI959" i="2" s="1"/>
  <c r="AD959" i="2" a="1"/>
  <c r="AD959" i="2" s="1"/>
  <c r="X957" i="2" a="1"/>
  <c r="X957" i="2" s="1"/>
  <c r="AI956" i="2" a="1"/>
  <c r="AI956" i="2" s="1"/>
  <c r="W959" i="2" a="1"/>
  <c r="W959" i="2" s="1"/>
  <c r="AI958" i="2" a="1"/>
  <c r="AI958" i="2" s="1"/>
  <c r="AD958" i="2" a="1"/>
  <c r="AD958" i="2" s="1"/>
  <c r="AJ958" i="2" a="1"/>
  <c r="AJ958" i="2" s="1"/>
  <c r="AG958" i="2" a="1"/>
  <c r="AG958" i="2" s="1"/>
  <c r="AD956" i="2" a="1"/>
  <c r="AD956" i="2" s="1"/>
  <c r="AE958" i="2" a="1"/>
  <c r="AE958" i="2" s="1"/>
  <c r="AJ955" i="2" a="1"/>
  <c r="AJ955" i="2" s="1"/>
  <c r="AF956" i="2" a="1"/>
  <c r="AF956" i="2" s="1"/>
  <c r="AE957" i="2" a="1"/>
  <c r="AE957" i="2" s="1"/>
  <c r="Z960" i="2" a="1"/>
  <c r="Z960" i="2" s="1"/>
  <c r="AH959" i="2" a="1"/>
  <c r="AH959" i="2" s="1"/>
  <c r="AH957" i="2" a="1"/>
  <c r="AH957" i="2" s="1"/>
  <c r="AG959" i="2" a="1"/>
  <c r="AG959" i="2" s="1"/>
  <c r="AC956" i="2" a="1"/>
  <c r="AC956" i="2" s="1"/>
  <c r="AE959" i="2" a="1"/>
  <c r="AE959" i="2" s="1"/>
  <c r="X956" i="2" a="1"/>
  <c r="X956" i="2" s="1"/>
  <c r="AB958" i="2" a="1"/>
  <c r="AB958" i="2" s="1"/>
  <c r="Y956" i="2" a="1"/>
  <c r="Y956" i="2" s="1"/>
  <c r="AC957" i="2" a="1"/>
  <c r="AC957" i="2" s="1"/>
  <c r="AJ956" i="2" a="1"/>
  <c r="AJ956" i="2" s="1"/>
  <c r="AA956" i="2" a="1"/>
  <c r="AA956" i="2" s="1"/>
  <c r="W960" i="2" a="1"/>
  <c r="W960" i="2" s="1"/>
  <c r="X958" i="2" a="1"/>
  <c r="X958" i="2" s="1"/>
  <c r="AE956" i="2" a="1"/>
  <c r="AE956" i="2" s="1"/>
  <c r="AI957" i="2" a="1"/>
  <c r="AI957" i="2" s="1"/>
  <c r="AC959" i="2" a="1"/>
  <c r="AC959" i="2" s="1"/>
  <c r="AB959" i="2" a="1"/>
  <c r="AB959" i="2" s="1"/>
  <c r="Z958" i="2" a="1"/>
  <c r="Z958" i="2" s="1"/>
  <c r="AF957" i="2" a="1"/>
  <c r="AF957" i="2" s="1"/>
  <c r="Y957" i="2" a="1"/>
  <c r="Y957" i="2" s="1"/>
  <c r="AA958" i="2" a="1"/>
  <c r="AA958" i="2" s="1"/>
  <c r="Z959" i="2" a="1"/>
  <c r="Z959" i="2" s="1"/>
  <c r="AG957" i="2" a="1"/>
  <c r="AG957" i="2" s="1"/>
  <c r="Y958" i="2" a="1"/>
  <c r="Y958" i="2" s="1"/>
  <c r="Z957" i="2" a="1"/>
  <c r="Z957" i="2" s="1"/>
  <c r="Z956" i="2" a="1"/>
  <c r="Z956" i="2" s="1"/>
  <c r="X959" i="2" a="1"/>
  <c r="X959" i="2" s="1"/>
  <c r="AH958" i="2" a="1"/>
  <c r="AH958" i="2" s="1"/>
  <c r="AC958" i="2" a="1"/>
  <c r="AC958" i="2" s="1"/>
  <c r="W958" i="2" a="1"/>
  <c r="W958" i="2" s="1"/>
  <c r="AG956" i="2" a="1"/>
  <c r="AG956" i="2" s="1"/>
  <c r="AD957" i="2" a="1"/>
  <c r="AD957" i="2" s="1"/>
  <c r="W957" i="2" a="1"/>
  <c r="W957" i="2" s="1"/>
  <c r="AJ987" i="2" a="1"/>
  <c r="AJ987" i="2" s="1"/>
  <c r="AB960" i="2" a="1"/>
  <c r="AB960" i="2" s="1"/>
  <c r="AA957" i="2" a="1"/>
  <c r="AA957" i="2" s="1"/>
  <c r="AA959" i="2" a="1"/>
  <c r="AA959" i="2" s="1"/>
  <c r="AB957" i="2" a="1"/>
  <c r="AB957" i="2" s="1"/>
  <c r="AA960" i="2" a="1"/>
  <c r="AA960" i="2" s="1"/>
  <c r="AH956" i="2" a="1"/>
  <c r="AH956" i="2" s="1"/>
  <c r="Y989" i="2" a="1"/>
  <c r="Y989" i="2" s="1"/>
  <c r="AI955" i="2" a="1"/>
  <c r="AI955" i="2" s="1"/>
  <c r="AG954" i="2" a="1"/>
  <c r="AG954" i="2" s="1"/>
  <c r="W954" i="2" a="1"/>
  <c r="W954" i="2" s="1"/>
  <c r="AJ953" i="2" a="1"/>
  <c r="AJ953" i="2" s="1"/>
  <c r="Z953" i="2" a="1"/>
  <c r="Z953" i="2" s="1"/>
  <c r="AF951" i="2" a="1"/>
  <c r="AF951" i="2" s="1"/>
  <c r="AH955" i="2" a="1"/>
  <c r="AH955" i="2" s="1"/>
  <c r="AB952" i="2" a="1"/>
  <c r="AB952" i="2" s="1"/>
  <c r="AG955" i="2" a="1"/>
  <c r="AG955" i="2" s="1"/>
  <c r="AF955" i="2" a="1"/>
  <c r="AF955" i="2" s="1"/>
  <c r="AE955" i="2" a="1"/>
  <c r="AE955" i="2" s="1"/>
  <c r="AE953" i="2" a="1"/>
  <c r="AE953" i="2" s="1"/>
  <c r="AD955" i="2" a="1"/>
  <c r="AD955" i="2" s="1"/>
  <c r="X952" i="2" a="1"/>
  <c r="X952" i="2" s="1"/>
  <c r="AF954" i="2" a="1"/>
  <c r="AF954" i="2" s="1"/>
  <c r="AA953" i="2" a="1"/>
  <c r="AA953" i="2" s="1"/>
  <c r="AC954" i="2" a="1"/>
  <c r="AC954" i="2" s="1"/>
  <c r="Z952" i="2" a="1"/>
  <c r="Z952" i="2" s="1"/>
  <c r="AI952" i="2" a="1"/>
  <c r="AI952" i="2" s="1"/>
  <c r="AD952" i="2" a="1"/>
  <c r="AD952" i="2" s="1"/>
  <c r="Y952" i="2" a="1"/>
  <c r="Y952" i="2" s="1"/>
  <c r="X954" i="2" a="1"/>
  <c r="X954" i="2" s="1"/>
  <c r="AC955" i="2" a="1"/>
  <c r="AC955" i="2" s="1"/>
  <c r="AA955" i="2" a="1"/>
  <c r="AA955" i="2" s="1"/>
  <c r="Z955" i="2" a="1"/>
  <c r="Z955" i="2" s="1"/>
  <c r="Y955" i="2" a="1"/>
  <c r="Y955" i="2" s="1"/>
  <c r="AH952" i="2" a="1"/>
  <c r="AH952" i="2" s="1"/>
  <c r="X955" i="2" a="1"/>
  <c r="X955" i="2" s="1"/>
  <c r="AH954" i="2" a="1"/>
  <c r="AH954" i="2" s="1"/>
  <c r="AI954" i="2" a="1"/>
  <c r="AI954" i="2" s="1"/>
  <c r="AB954" i="2" a="1"/>
  <c r="AB954" i="2" s="1"/>
  <c r="W955" i="2" a="1"/>
  <c r="W955" i="2" s="1"/>
  <c r="AB953" i="2" a="1"/>
  <c r="AB953" i="2" s="1"/>
  <c r="AF953" i="2" a="1"/>
  <c r="AF953" i="2" s="1"/>
  <c r="AD951" i="2" a="1"/>
  <c r="AD951" i="2" s="1"/>
  <c r="AG952" i="2" a="1"/>
  <c r="AG952" i="2" s="1"/>
  <c r="AI951" i="2" a="1"/>
  <c r="AI951" i="2" s="1"/>
  <c r="AC951" i="2" a="1"/>
  <c r="AC951" i="2" s="1"/>
  <c r="AE954" i="2" a="1"/>
  <c r="AE954" i="2" s="1"/>
  <c r="AA954" i="2" a="1"/>
  <c r="AA954" i="2" s="1"/>
  <c r="AJ951" i="2" a="1"/>
  <c r="AJ951" i="2" s="1"/>
  <c r="AD954" i="2" a="1"/>
  <c r="AD954" i="2" s="1"/>
  <c r="Y954" i="2" a="1"/>
  <c r="Y954" i="2" s="1"/>
  <c r="AE951" i="2" a="1"/>
  <c r="AE951" i="2" s="1"/>
  <c r="W953" i="2" a="1"/>
  <c r="W953" i="2" s="1"/>
  <c r="AF952" i="2" a="1"/>
  <c r="AF952" i="2" s="1"/>
  <c r="AC952" i="2" a="1"/>
  <c r="AC952" i="2" s="1"/>
  <c r="AJ954" i="2" a="1"/>
  <c r="AJ954" i="2" s="1"/>
  <c r="AI953" i="2" a="1"/>
  <c r="AI953" i="2" s="1"/>
  <c r="AA952" i="2" a="1"/>
  <c r="AA952" i="2" s="1"/>
  <c r="AB955" i="2" a="1"/>
  <c r="AB955" i="2" s="1"/>
  <c r="Y953" i="2" a="1"/>
  <c r="Y953" i="2" s="1"/>
  <c r="AG951" i="2" a="1"/>
  <c r="AG951" i="2" s="1"/>
  <c r="AC953" i="2" a="1"/>
  <c r="AC953" i="2" s="1"/>
  <c r="AH951" i="2" a="1"/>
  <c r="AH951" i="2" s="1"/>
  <c r="AG953" i="2" a="1"/>
  <c r="AG953" i="2" s="1"/>
  <c r="X953" i="2" a="1"/>
  <c r="X953" i="2" s="1"/>
  <c r="Z954" i="2" a="1"/>
  <c r="Z954" i="2" s="1"/>
  <c r="AH953" i="2" a="1"/>
  <c r="AH953" i="2" s="1"/>
  <c r="AE952" i="2" a="1"/>
  <c r="AE952" i="2" s="1"/>
  <c r="AD953" i="2" a="1"/>
  <c r="AD953" i="2" s="1"/>
  <c r="AJ952" i="2" a="1"/>
  <c r="AJ952" i="2" s="1"/>
  <c r="W952" i="2" a="1"/>
  <c r="W952" i="2" s="1"/>
  <c r="AH949" i="2" a="1"/>
  <c r="AH949" i="2" s="1"/>
  <c r="AF949" i="2" a="1"/>
  <c r="AF949" i="2" s="1"/>
  <c r="AD949" i="2" a="1"/>
  <c r="AD949" i="2" s="1"/>
  <c r="AE947" i="2" a="1"/>
  <c r="AE947" i="2" s="1"/>
  <c r="AH948" i="2" a="1"/>
  <c r="AH948" i="2" s="1"/>
  <c r="AJ946" i="2" a="1"/>
  <c r="AJ946" i="2" s="1"/>
  <c r="AA949" i="2" a="1"/>
  <c r="AA949" i="2" s="1"/>
  <c r="X949" i="2" a="1"/>
  <c r="X949" i="2" s="1"/>
  <c r="AB947" i="2" a="1"/>
  <c r="AB947" i="2" s="1"/>
  <c r="W949" i="2" a="1"/>
  <c r="W949" i="2" s="1"/>
  <c r="AA948" i="2" a="1"/>
  <c r="AA948" i="2" s="1"/>
  <c r="AI947" i="2" a="1"/>
  <c r="AI947" i="2" s="1"/>
  <c r="AG947" i="2" a="1"/>
  <c r="AG947" i="2" s="1"/>
  <c r="AC948" i="2" a="1"/>
  <c r="AC948" i="2" s="1"/>
  <c r="AE948" i="2" a="1"/>
  <c r="AE948" i="2" s="1"/>
  <c r="AJ949" i="2" a="1"/>
  <c r="AJ949" i="2" s="1"/>
  <c r="AI949" i="2" a="1"/>
  <c r="AI949" i="2" s="1"/>
  <c r="AI948" i="2" a="1"/>
  <c r="AI948" i="2" s="1"/>
  <c r="AD947" i="2" a="1"/>
  <c r="AD947" i="2" s="1"/>
  <c r="AB949" i="2" a="1"/>
  <c r="AB949" i="2" s="1"/>
  <c r="AD948" i="2" a="1"/>
  <c r="AD948" i="2" s="1"/>
  <c r="W948" i="2" a="1"/>
  <c r="W948" i="2" s="1"/>
  <c r="AJ948" i="2" a="1"/>
  <c r="AJ948" i="2" s="1"/>
  <c r="AJ947" i="2" a="1"/>
  <c r="AJ947" i="2" s="1"/>
  <c r="AG949" i="2" a="1"/>
  <c r="AG949" i="2" s="1"/>
  <c r="AB948" i="2" a="1"/>
  <c r="AB948" i="2" s="1"/>
  <c r="Y947" i="2" a="1"/>
  <c r="Y947" i="2" s="1"/>
  <c r="AI987" i="2" a="1"/>
  <c r="AI987" i="2" s="1"/>
  <c r="AB951" i="2" a="1"/>
  <c r="AB951" i="2" s="1"/>
  <c r="Z951" i="2" a="1"/>
  <c r="Z951" i="2" s="1"/>
  <c r="AI950" i="2" a="1"/>
  <c r="AI950" i="2" s="1"/>
  <c r="AC950" i="2" a="1"/>
  <c r="AC950" i="2" s="1"/>
  <c r="AH947" i="2" a="1"/>
  <c r="AH947" i="2" s="1"/>
  <c r="W951" i="2" a="1"/>
  <c r="W951" i="2" s="1"/>
  <c r="Z950" i="2" a="1"/>
  <c r="Z950" i="2" s="1"/>
  <c r="AE949" i="2" a="1"/>
  <c r="AE949" i="2" s="1"/>
  <c r="X948" i="2" a="1"/>
  <c r="X948" i="2" s="1"/>
  <c r="AA947" i="2" a="1"/>
  <c r="AA947" i="2" s="1"/>
  <c r="W947" i="2" a="1"/>
  <c r="W947" i="2" s="1"/>
  <c r="Z948" i="2" a="1"/>
  <c r="Z948" i="2" s="1"/>
  <c r="AF947" i="2" a="1"/>
  <c r="AF947" i="2" s="1"/>
  <c r="Z947" i="2" a="1"/>
  <c r="Z947" i="2" s="1"/>
  <c r="Y951" i="2" a="1"/>
  <c r="Y951" i="2" s="1"/>
  <c r="AB950" i="2" a="1"/>
  <c r="AB950" i="2" s="1"/>
  <c r="Y948" i="2" a="1"/>
  <c r="Y948" i="2" s="1"/>
  <c r="X947" i="2" a="1"/>
  <c r="X947" i="2" s="1"/>
  <c r="AC947" i="2" a="1"/>
  <c r="AC947" i="2" s="1"/>
  <c r="AA951" i="2" a="1"/>
  <c r="AA951" i="2" s="1"/>
  <c r="Y950" i="2" a="1"/>
  <c r="Y950" i="2" s="1"/>
  <c r="Y949" i="2" a="1"/>
  <c r="Y949" i="2" s="1"/>
  <c r="AG948" i="2" a="1"/>
  <c r="AG948" i="2" s="1"/>
  <c r="Z949" i="2" a="1"/>
  <c r="Z949" i="2" s="1"/>
  <c r="AC949" i="2" a="1"/>
  <c r="AC949" i="2" s="1"/>
  <c r="X951" i="2" a="1"/>
  <c r="X951" i="2" s="1"/>
  <c r="AJ950" i="2" a="1"/>
  <c r="AJ950" i="2" s="1"/>
  <c r="AH950" i="2" a="1"/>
  <c r="AH950" i="2" s="1"/>
  <c r="AG950" i="2" a="1"/>
  <c r="AG950" i="2" s="1"/>
  <c r="AF950" i="2" a="1"/>
  <c r="AF950" i="2" s="1"/>
  <c r="AE950" i="2" a="1"/>
  <c r="AE950" i="2" s="1"/>
  <c r="AD950" i="2" a="1"/>
  <c r="AD950" i="2" s="1"/>
  <c r="AA950" i="2" a="1"/>
  <c r="AA950" i="2" s="1"/>
  <c r="AF948" i="2" a="1"/>
  <c r="AF948" i="2" s="1"/>
  <c r="X950" i="2" a="1"/>
  <c r="X950" i="2" s="1"/>
  <c r="W950" i="2" a="1"/>
  <c r="W950" i="2" s="1"/>
  <c r="AE946" i="2" a="1"/>
  <c r="AE946" i="2" s="1"/>
  <c r="AD946" i="2" a="1"/>
  <c r="AD946" i="2" s="1"/>
  <c r="AC946" i="2" a="1"/>
  <c r="AC946" i="2" s="1"/>
  <c r="Y946" i="2" a="1"/>
  <c r="Y946" i="2" s="1"/>
  <c r="AF945" i="2" a="1"/>
  <c r="AF945" i="2" s="1"/>
  <c r="Y945" i="2" a="1"/>
  <c r="Y945" i="2" s="1"/>
  <c r="X945" i="2" a="1"/>
  <c r="X945" i="2" s="1"/>
  <c r="AJ944" i="2" a="1"/>
  <c r="AJ944" i="2" s="1"/>
  <c r="AB943" i="2" a="1"/>
  <c r="AB943" i="2" s="1"/>
  <c r="AG944" i="2" a="1"/>
  <c r="AG944" i="2" s="1"/>
  <c r="AG943" i="2" a="1"/>
  <c r="AG943" i="2" s="1"/>
  <c r="Z944" i="2" a="1"/>
  <c r="Z944" i="2" s="1"/>
  <c r="AJ943" i="2" a="1"/>
  <c r="AJ943" i="2" s="1"/>
  <c r="W943" i="2" a="1"/>
  <c r="W943" i="2" s="1"/>
  <c r="AF942" i="2" a="1"/>
  <c r="AF942" i="2" s="1"/>
  <c r="AE942" i="2" a="1"/>
  <c r="AE942" i="2" s="1"/>
  <c r="AD943" i="2" a="1"/>
  <c r="AD943" i="2" s="1"/>
  <c r="AA943" i="2" a="1"/>
  <c r="AA943" i="2" s="1"/>
  <c r="AH945" i="2" a="1"/>
  <c r="AH945" i="2" s="1"/>
  <c r="AB946" i="2" a="1"/>
  <c r="AB946" i="2" s="1"/>
  <c r="X946" i="2" a="1"/>
  <c r="X946" i="2" s="1"/>
  <c r="AJ945" i="2" a="1"/>
  <c r="AJ945" i="2" s="1"/>
  <c r="AH942" i="2" a="1"/>
  <c r="AH942" i="2" s="1"/>
  <c r="AH944" i="2" a="1"/>
  <c r="AH944" i="2" s="1"/>
  <c r="AI944" i="2" a="1"/>
  <c r="AI944" i="2" s="1"/>
  <c r="AG945" i="2" a="1"/>
  <c r="AG945" i="2" s="1"/>
  <c r="Z943" i="2" a="1"/>
  <c r="Z943" i="2" s="1"/>
  <c r="AI942" i="2" a="1"/>
  <c r="AI942" i="2" s="1"/>
  <c r="AA945" i="2" a="1"/>
  <c r="AA945" i="2" s="1"/>
  <c r="Z945" i="2" a="1"/>
  <c r="Z945" i="2" s="1"/>
  <c r="AD944" i="2" a="1"/>
  <c r="AD944" i="2" s="1"/>
  <c r="AD942" i="2" a="1"/>
  <c r="AD942" i="2" s="1"/>
  <c r="AF944" i="2" a="1"/>
  <c r="AF944" i="2" s="1"/>
  <c r="W944" i="2" a="1"/>
  <c r="W944" i="2" s="1"/>
  <c r="AA944" i="2" a="1"/>
  <c r="AA944" i="2" s="1"/>
  <c r="AI945" i="2" a="1"/>
  <c r="AI945" i="2" s="1"/>
  <c r="AG942" i="2" a="1"/>
  <c r="AG942" i="2" s="1"/>
  <c r="X943" i="2" a="1"/>
  <c r="X943" i="2" s="1"/>
  <c r="AE944" i="2" a="1"/>
  <c r="AE944" i="2" s="1"/>
  <c r="AF946" i="2" a="1"/>
  <c r="AF946" i="2" s="1"/>
  <c r="AC945" i="2" a="1"/>
  <c r="AC945" i="2" s="1"/>
  <c r="AI943" i="2" a="1"/>
  <c r="AI943" i="2" s="1"/>
  <c r="AH943" i="2" a="1"/>
  <c r="AH943" i="2" s="1"/>
  <c r="AE943" i="2" a="1"/>
  <c r="AE943" i="2" s="1"/>
  <c r="AC942" i="2" a="1"/>
  <c r="AC942" i="2" s="1"/>
  <c r="AF943" i="2" a="1"/>
  <c r="AF943" i="2" s="1"/>
  <c r="Z946" i="2" a="1"/>
  <c r="Z946" i="2" s="1"/>
  <c r="AD945" i="2" a="1"/>
  <c r="AD945" i="2" s="1"/>
  <c r="AC943" i="2" a="1"/>
  <c r="AC943" i="2" s="1"/>
  <c r="AE988" i="2" a="1"/>
  <c r="AE988" i="2" s="1"/>
  <c r="W945" i="2" a="1"/>
  <c r="W945" i="2" s="1"/>
  <c r="AG946" i="2" a="1"/>
  <c r="AG946" i="2" s="1"/>
  <c r="AA946" i="2" a="1"/>
  <c r="AA946" i="2" s="1"/>
  <c r="AC944" i="2" a="1"/>
  <c r="AC944" i="2" s="1"/>
  <c r="X944" i="2" a="1"/>
  <c r="X944" i="2" s="1"/>
  <c r="AB944" i="2" a="1"/>
  <c r="AB944" i="2" s="1"/>
  <c r="Y943" i="2" a="1"/>
  <c r="Y943" i="2" s="1"/>
  <c r="AB945" i="2" a="1"/>
  <c r="AB945" i="2" s="1"/>
  <c r="W946" i="2" a="1"/>
  <c r="W946" i="2" s="1"/>
  <c r="AE945" i="2" a="1"/>
  <c r="AE945" i="2" s="1"/>
  <c r="AI946" i="2" a="1"/>
  <c r="AI946" i="2" s="1"/>
  <c r="AJ942" i="2" a="1"/>
  <c r="AJ942" i="2" s="1"/>
  <c r="AH946" i="2" a="1"/>
  <c r="AH946" i="2" s="1"/>
  <c r="Y944" i="2" a="1"/>
  <c r="Y944" i="2" s="1"/>
  <c r="AD938" i="2" a="1"/>
  <c r="AD938" i="2" s="1"/>
  <c r="X941" i="2" a="1"/>
  <c r="X941" i="2" s="1"/>
  <c r="AE941" i="2" a="1"/>
  <c r="AE941" i="2" s="1"/>
  <c r="AD941" i="2" a="1"/>
  <c r="AD941" i="2" s="1"/>
  <c r="W941" i="2" a="1"/>
  <c r="W941" i="2" s="1"/>
  <c r="W938" i="2" a="1"/>
  <c r="W938" i="2" s="1"/>
  <c r="AB938" i="2" a="1"/>
  <c r="AB938" i="2" s="1"/>
  <c r="Z941" i="2" a="1"/>
  <c r="Z941" i="2" s="1"/>
  <c r="AJ940" i="2" a="1"/>
  <c r="AJ940" i="2" s="1"/>
  <c r="AH940" i="2" a="1"/>
  <c r="AH940" i="2" s="1"/>
  <c r="AI940" i="2" a="1"/>
  <c r="AI940" i="2" s="1"/>
  <c r="AE940" i="2" a="1"/>
  <c r="AE940" i="2" s="1"/>
  <c r="AB939" i="2" a="1"/>
  <c r="AB939" i="2" s="1"/>
  <c r="AD940" i="2" a="1"/>
  <c r="AD940" i="2" s="1"/>
  <c r="AC940" i="2" a="1"/>
  <c r="AC940" i="2" s="1"/>
  <c r="X938" i="2" a="1"/>
  <c r="X938" i="2" s="1"/>
  <c r="AA938" i="2" a="1"/>
  <c r="AA938" i="2" s="1"/>
  <c r="AB940" i="2" a="1"/>
  <c r="AB940" i="2" s="1"/>
  <c r="X940" i="2" a="1"/>
  <c r="X940" i="2" s="1"/>
  <c r="AG939" i="2" a="1"/>
  <c r="AG939" i="2" s="1"/>
  <c r="AD939" i="2" a="1"/>
  <c r="AD939" i="2" s="1"/>
  <c r="AH938" i="2" a="1"/>
  <c r="AH938" i="2" s="1"/>
  <c r="Z938" i="2" a="1"/>
  <c r="Z938" i="2" s="1"/>
  <c r="AC939" i="2" a="1"/>
  <c r="AC939" i="2" s="1"/>
  <c r="W940" i="2" a="1"/>
  <c r="W940" i="2" s="1"/>
  <c r="W939" i="2" a="1"/>
  <c r="W939" i="2" s="1"/>
  <c r="AG938" i="2" a="1"/>
  <c r="AG938" i="2" s="1"/>
  <c r="AC938" i="2" a="1"/>
  <c r="AC938" i="2" s="1"/>
  <c r="Y940" i="2" a="1"/>
  <c r="Y940" i="2" s="1"/>
  <c r="AF938" i="2" a="1"/>
  <c r="AF938" i="2" s="1"/>
  <c r="Z940" i="2" a="1"/>
  <c r="Z940" i="2" s="1"/>
  <c r="AJ939" i="2" a="1"/>
  <c r="AJ939" i="2" s="1"/>
  <c r="AA939" i="2" a="1"/>
  <c r="AA939" i="2" s="1"/>
  <c r="AE939" i="2" a="1"/>
  <c r="AE939" i="2" s="1"/>
  <c r="Z939" i="2" a="1"/>
  <c r="Z939" i="2" s="1"/>
  <c r="Y939" i="2" a="1"/>
  <c r="Y939" i="2" s="1"/>
  <c r="AI938" i="2" a="1"/>
  <c r="AI938" i="2" s="1"/>
  <c r="Y938" i="2" a="1"/>
  <c r="Y938" i="2" s="1"/>
  <c r="AJ937" i="2" a="1"/>
  <c r="AJ937" i="2" s="1"/>
  <c r="AH987" i="2" a="1"/>
  <c r="AH987" i="2" s="1"/>
  <c r="AC941" i="2" a="1"/>
  <c r="AC941" i="2" s="1"/>
  <c r="X939" i="2" a="1"/>
  <c r="X939" i="2" s="1"/>
  <c r="AB942" i="2" a="1"/>
  <c r="AB942" i="2" s="1"/>
  <c r="AA942" i="2" a="1"/>
  <c r="AA942" i="2" s="1"/>
  <c r="AF939" i="2" a="1"/>
  <c r="AF939" i="2" s="1"/>
  <c r="AJ938" i="2" a="1"/>
  <c r="AJ938" i="2" s="1"/>
  <c r="AB941" i="2" a="1"/>
  <c r="AB941" i="2" s="1"/>
  <c r="AI939" i="2" a="1"/>
  <c r="AI939" i="2" s="1"/>
  <c r="Z942" i="2" a="1"/>
  <c r="Z942" i="2" s="1"/>
  <c r="Y942" i="2" a="1"/>
  <c r="Y942" i="2" s="1"/>
  <c r="X942" i="2" a="1"/>
  <c r="X942" i="2" s="1"/>
  <c r="W942" i="2" a="1"/>
  <c r="W942" i="2" s="1"/>
  <c r="AE938" i="2" a="1"/>
  <c r="AE938" i="2" s="1"/>
  <c r="AJ941" i="2" a="1"/>
  <c r="AJ941" i="2" s="1"/>
  <c r="AI941" i="2" a="1"/>
  <c r="AI941" i="2" s="1"/>
  <c r="AH941" i="2" a="1"/>
  <c r="AH941" i="2" s="1"/>
  <c r="AF940" i="2" a="1"/>
  <c r="AF940" i="2" s="1"/>
  <c r="AG941" i="2" a="1"/>
  <c r="AG941" i="2" s="1"/>
  <c r="AG940" i="2" a="1"/>
  <c r="AG940" i="2" s="1"/>
  <c r="AA941" i="2" a="1"/>
  <c r="AA941" i="2" s="1"/>
  <c r="AH939" i="2" a="1"/>
  <c r="AH939" i="2" s="1"/>
  <c r="AF941" i="2" a="1"/>
  <c r="AF941" i="2" s="1"/>
  <c r="Y941" i="2" a="1"/>
  <c r="Y941" i="2" s="1"/>
  <c r="AA940" i="2" a="1"/>
  <c r="AA940" i="2" s="1"/>
  <c r="AH935" i="2" a="1"/>
  <c r="AH935" i="2" s="1"/>
  <c r="AJ934" i="2" a="1"/>
  <c r="AJ934" i="2" s="1"/>
  <c r="Y937" i="2" a="1"/>
  <c r="Y937" i="2" s="1"/>
  <c r="AD936" i="2" a="1"/>
  <c r="AD936" i="2" s="1"/>
  <c r="X937" i="2" a="1"/>
  <c r="X937" i="2" s="1"/>
  <c r="AC934" i="2" a="1"/>
  <c r="AC934" i="2" s="1"/>
  <c r="AG935" i="2" a="1"/>
  <c r="AG935" i="2" s="1"/>
  <c r="Y936" i="2" a="1"/>
  <c r="Y936" i="2" s="1"/>
  <c r="AH933" i="2" a="1"/>
  <c r="AH933" i="2" s="1"/>
  <c r="AC936" i="2" a="1"/>
  <c r="AC936" i="2" s="1"/>
  <c r="Z936" i="2" a="1"/>
  <c r="Z936" i="2" s="1"/>
  <c r="AJ935" i="2" a="1"/>
  <c r="AJ935" i="2" s="1"/>
  <c r="AG933" i="2" a="1"/>
  <c r="AG933" i="2" s="1"/>
  <c r="AI933" i="2" a="1"/>
  <c r="AI933" i="2" s="1"/>
  <c r="AC935" i="2" a="1"/>
  <c r="AC935" i="2" s="1"/>
  <c r="AH934" i="2" a="1"/>
  <c r="AH934" i="2" s="1"/>
  <c r="AD934" i="2" a="1"/>
  <c r="AD934" i="2" s="1"/>
  <c r="AA936" i="2" a="1"/>
  <c r="AA936" i="2" s="1"/>
  <c r="W935" i="2" a="1"/>
  <c r="W935" i="2" s="1"/>
  <c r="AI937" i="2" a="1"/>
  <c r="AI937" i="2" s="1"/>
  <c r="AB937" i="2" a="1"/>
  <c r="AB937" i="2" s="1"/>
  <c r="AI934" i="2" a="1"/>
  <c r="AI934" i="2" s="1"/>
  <c r="Z935" i="2" a="1"/>
  <c r="Z935" i="2" s="1"/>
  <c r="AE937" i="2" a="1"/>
  <c r="AE937" i="2" s="1"/>
  <c r="AB936" i="2" a="1"/>
  <c r="AB936" i="2" s="1"/>
  <c r="AE935" i="2" a="1"/>
  <c r="AE935" i="2" s="1"/>
  <c r="Y935" i="2" a="1"/>
  <c r="Y935" i="2" s="1"/>
  <c r="AB935" i="2" a="1"/>
  <c r="AB935" i="2" s="1"/>
  <c r="AG936" i="2" a="1"/>
  <c r="AG936" i="2" s="1"/>
  <c r="X935" i="2" a="1"/>
  <c r="X935" i="2" s="1"/>
  <c r="AJ933" i="2" a="1"/>
  <c r="AJ933" i="2" s="1"/>
  <c r="AD933" i="2" a="1"/>
  <c r="AD933" i="2" s="1"/>
  <c r="AF933" i="2" a="1"/>
  <c r="AF933" i="2" s="1"/>
  <c r="AH937" i="2" a="1"/>
  <c r="AH937" i="2" s="1"/>
  <c r="AG937" i="2" a="1"/>
  <c r="AG937" i="2" s="1"/>
  <c r="AC937" i="2" a="1"/>
  <c r="AC937" i="2" s="1"/>
  <c r="Z937" i="2" a="1"/>
  <c r="Z937" i="2" s="1"/>
  <c r="AF935" i="2" a="1"/>
  <c r="AF935" i="2" s="1"/>
  <c r="AE933" i="2" a="1"/>
  <c r="AE933" i="2" s="1"/>
  <c r="W937" i="2" a="1"/>
  <c r="W937" i="2" s="1"/>
  <c r="AJ936" i="2" a="1"/>
  <c r="AJ936" i="2" s="1"/>
  <c r="AI936" i="2" a="1"/>
  <c r="AI936" i="2" s="1"/>
  <c r="AH936" i="2" a="1"/>
  <c r="AH936" i="2" s="1"/>
  <c r="X936" i="2" a="1"/>
  <c r="X936" i="2" s="1"/>
  <c r="AF936" i="2" a="1"/>
  <c r="AF936" i="2" s="1"/>
  <c r="AD935" i="2" a="1"/>
  <c r="AD935" i="2" s="1"/>
  <c r="Z934" i="2" a="1"/>
  <c r="Z934" i="2" s="1"/>
  <c r="Y934" i="2" a="1"/>
  <c r="Y934" i="2" s="1"/>
  <c r="W934" i="2" a="1"/>
  <c r="W934" i="2" s="1"/>
  <c r="AE936" i="2" a="1"/>
  <c r="AE936" i="2" s="1"/>
  <c r="AF934" i="2" a="1"/>
  <c r="AF934" i="2" s="1"/>
  <c r="W936" i="2" a="1"/>
  <c r="W936" i="2" s="1"/>
  <c r="AB934" i="2" a="1"/>
  <c r="AB934" i="2" s="1"/>
  <c r="AG934" i="2" a="1"/>
  <c r="AG934" i="2" s="1"/>
  <c r="AA935" i="2" a="1"/>
  <c r="AA935" i="2" s="1"/>
  <c r="AE934" i="2" a="1"/>
  <c r="AE934" i="2" s="1"/>
  <c r="AC933" i="2" a="1"/>
  <c r="AC933" i="2" s="1"/>
  <c r="AA934" i="2" a="1"/>
  <c r="AA934" i="2" s="1"/>
  <c r="AJ988" i="2" a="1"/>
  <c r="AJ988" i="2" s="1"/>
  <c r="AF937" i="2" a="1"/>
  <c r="AF937" i="2" s="1"/>
  <c r="AD937" i="2" a="1"/>
  <c r="AD937" i="2" s="1"/>
  <c r="X934" i="2" a="1"/>
  <c r="X934" i="2" s="1"/>
  <c r="AA937" i="2" a="1"/>
  <c r="AA937" i="2" s="1"/>
  <c r="AI935" i="2" a="1"/>
  <c r="AI935" i="2" s="1"/>
  <c r="AF932" i="2" a="1"/>
  <c r="AF932" i="2" s="1"/>
  <c r="AD932" i="2" a="1"/>
  <c r="AD932" i="2" s="1"/>
  <c r="AJ928" i="2" a="1"/>
  <c r="AJ928" i="2" s="1"/>
  <c r="AC932" i="2" a="1"/>
  <c r="AC932" i="2" s="1"/>
  <c r="AA932" i="2" a="1"/>
  <c r="AA932" i="2" s="1"/>
  <c r="AF929" i="2" a="1"/>
  <c r="AF929" i="2" s="1"/>
  <c r="X931" i="2" a="1"/>
  <c r="X931" i="2" s="1"/>
  <c r="AB931" i="2" a="1"/>
  <c r="AB931" i="2" s="1"/>
  <c r="AF930" i="2" a="1"/>
  <c r="AF930" i="2" s="1"/>
  <c r="AA930" i="2" a="1"/>
  <c r="AA930" i="2" s="1"/>
  <c r="X930" i="2" a="1"/>
  <c r="X930" i="2" s="1"/>
  <c r="AC931" i="2" a="1"/>
  <c r="AC931" i="2" s="1"/>
  <c r="AJ930" i="2" a="1"/>
  <c r="AJ930" i="2" s="1"/>
  <c r="AC930" i="2" a="1"/>
  <c r="AC930" i="2" s="1"/>
  <c r="AC929" i="2" a="1"/>
  <c r="AC929" i="2" s="1"/>
  <c r="AB929" i="2" a="1"/>
  <c r="AB929" i="2" s="1"/>
  <c r="X932" i="2" a="1"/>
  <c r="X932" i="2" s="1"/>
  <c r="AJ929" i="2" a="1"/>
  <c r="AJ929" i="2" s="1"/>
  <c r="AJ931" i="2" a="1"/>
  <c r="AJ931" i="2" s="1"/>
  <c r="Y931" i="2" a="1"/>
  <c r="Y931" i="2" s="1"/>
  <c r="W930" i="2" a="1"/>
  <c r="W930" i="2" s="1"/>
  <c r="AD929" i="2" a="1"/>
  <c r="AD929" i="2" s="1"/>
  <c r="AG929" i="2" a="1"/>
  <c r="AG929" i="2" s="1"/>
  <c r="Z933" i="2" a="1"/>
  <c r="Z933" i="2" s="1"/>
  <c r="X933" i="2" a="1"/>
  <c r="X933" i="2" s="1"/>
  <c r="W933" i="2" a="1"/>
  <c r="W933" i="2" s="1"/>
  <c r="Y932" i="2" a="1"/>
  <c r="Y932" i="2" s="1"/>
  <c r="AI931" i="2" a="1"/>
  <c r="AI931" i="2" s="1"/>
  <c r="AE932" i="2" a="1"/>
  <c r="AE932" i="2" s="1"/>
  <c r="W931" i="2" a="1"/>
  <c r="W931" i="2" s="1"/>
  <c r="AD931" i="2" a="1"/>
  <c r="AD931" i="2" s="1"/>
  <c r="AA929" i="2" a="1"/>
  <c r="AA929" i="2" s="1"/>
  <c r="W929" i="2" a="1"/>
  <c r="W929" i="2" s="1"/>
  <c r="AJ932" i="2" a="1"/>
  <c r="AJ932" i="2" s="1"/>
  <c r="Z931" i="2" a="1"/>
  <c r="Z931" i="2" s="1"/>
  <c r="AI932" i="2" a="1"/>
  <c r="AI932" i="2" s="1"/>
  <c r="AB932" i="2" a="1"/>
  <c r="AB932" i="2" s="1"/>
  <c r="W932" i="2" a="1"/>
  <c r="W932" i="2" s="1"/>
  <c r="AH931" i="2" a="1"/>
  <c r="AH931" i="2" s="1"/>
  <c r="AG930" i="2" a="1"/>
  <c r="AG930" i="2" s="1"/>
  <c r="AD930" i="2" a="1"/>
  <c r="AD930" i="2" s="1"/>
  <c r="AB930" i="2" a="1"/>
  <c r="AB930" i="2" s="1"/>
  <c r="AH929" i="2" a="1"/>
  <c r="AH929" i="2" s="1"/>
  <c r="Y929" i="2" a="1"/>
  <c r="Y929" i="2" s="1"/>
  <c r="Z929" i="2" a="1"/>
  <c r="Z929" i="2" s="1"/>
  <c r="AE930" i="2" a="1"/>
  <c r="AE930" i="2" s="1"/>
  <c r="AI929" i="2" a="1"/>
  <c r="AI929" i="2" s="1"/>
  <c r="AG931" i="2" a="1"/>
  <c r="AG931" i="2" s="1"/>
  <c r="AE931" i="2" a="1"/>
  <c r="AE931" i="2" s="1"/>
  <c r="Y930" i="2" a="1"/>
  <c r="Y930" i="2" s="1"/>
  <c r="AH932" i="2" a="1"/>
  <c r="AH932" i="2" s="1"/>
  <c r="Z930" i="2" a="1"/>
  <c r="Z930" i="2" s="1"/>
  <c r="AG932" i="2" a="1"/>
  <c r="AG932" i="2" s="1"/>
  <c r="AA931" i="2" a="1"/>
  <c r="AA931" i="2" s="1"/>
  <c r="AH930" i="2" a="1"/>
  <c r="AH930" i="2" s="1"/>
  <c r="AE929" i="2" a="1"/>
  <c r="AE929" i="2" s="1"/>
  <c r="AG987" i="2" a="1"/>
  <c r="AG987" i="2" s="1"/>
  <c r="AB933" i="2" a="1"/>
  <c r="AB933" i="2" s="1"/>
  <c r="AA933" i="2" a="1"/>
  <c r="AA933" i="2" s="1"/>
  <c r="Y933" i="2" a="1"/>
  <c r="Y933" i="2" s="1"/>
  <c r="AF931" i="2" a="1"/>
  <c r="AF931" i="2" s="1"/>
  <c r="Z932" i="2" a="1"/>
  <c r="Z932" i="2" s="1"/>
  <c r="AI930" i="2" a="1"/>
  <c r="AI930" i="2" s="1"/>
  <c r="X929" i="2" a="1"/>
  <c r="X929" i="2" s="1"/>
  <c r="X928" i="2" a="1"/>
  <c r="X928" i="2" s="1"/>
  <c r="AC928" i="2" a="1"/>
  <c r="AC928" i="2" s="1"/>
  <c r="AB927" i="2" a="1"/>
  <c r="AB927" i="2" s="1"/>
  <c r="Y927" i="2" a="1"/>
  <c r="Y927" i="2" s="1"/>
  <c r="AG926" i="2" a="1"/>
  <c r="AG926" i="2" s="1"/>
  <c r="AE926" i="2" a="1"/>
  <c r="AE926" i="2" s="1"/>
  <c r="AH924" i="2" a="1"/>
  <c r="AH924" i="2" s="1"/>
  <c r="W927" i="2" a="1"/>
  <c r="W927" i="2" s="1"/>
  <c r="W926" i="2" a="1"/>
  <c r="W926" i="2" s="1"/>
  <c r="AJ925" i="2" a="1"/>
  <c r="AJ925" i="2" s="1"/>
  <c r="Y926" i="2" a="1"/>
  <c r="Y926" i="2" s="1"/>
  <c r="AI925" i="2" a="1"/>
  <c r="AI925" i="2" s="1"/>
  <c r="AG925" i="2" a="1"/>
  <c r="AG925" i="2" s="1"/>
  <c r="AC925" i="2" a="1"/>
  <c r="AC925" i="2" s="1"/>
  <c r="W925" i="2" a="1"/>
  <c r="W925" i="2" s="1"/>
  <c r="AE924" i="2" a="1"/>
  <c r="AE924" i="2" s="1"/>
  <c r="Y925" i="2" a="1"/>
  <c r="Y925" i="2" s="1"/>
  <c r="AD924" i="2" a="1"/>
  <c r="AD924" i="2" s="1"/>
  <c r="Z925" i="2" a="1"/>
  <c r="Z925" i="2" s="1"/>
  <c r="AF926" i="2" a="1"/>
  <c r="AF926" i="2" s="1"/>
  <c r="AH925" i="2" a="1"/>
  <c r="AH925" i="2" s="1"/>
  <c r="X925" i="2" a="1"/>
  <c r="X925" i="2" s="1"/>
  <c r="X927" i="2" a="1"/>
  <c r="X927" i="2" s="1"/>
  <c r="AH928" i="2" a="1"/>
  <c r="AH928" i="2" s="1"/>
  <c r="AB928" i="2" a="1"/>
  <c r="AB928" i="2" s="1"/>
  <c r="AA928" i="2" a="1"/>
  <c r="AA928" i="2" s="1"/>
  <c r="AH926" i="2" a="1"/>
  <c r="AH926" i="2" s="1"/>
  <c r="AD925" i="2" a="1"/>
  <c r="AD925" i="2" s="1"/>
  <c r="AB925" i="2" a="1"/>
  <c r="AB925" i="2" s="1"/>
  <c r="AG924" i="2" a="1"/>
  <c r="AG924" i="2" s="1"/>
  <c r="AC927" i="2" a="1"/>
  <c r="AC927" i="2" s="1"/>
  <c r="AI926" i="2" a="1"/>
  <c r="AI926" i="2" s="1"/>
  <c r="AG928" i="2" a="1"/>
  <c r="AG928" i="2" s="1"/>
  <c r="AE928" i="2" a="1"/>
  <c r="AE928" i="2" s="1"/>
  <c r="Y928" i="2" a="1"/>
  <c r="Y928" i="2" s="1"/>
  <c r="W928" i="2" a="1"/>
  <c r="W928" i="2" s="1"/>
  <c r="AJ927" i="2" a="1"/>
  <c r="AJ927" i="2" s="1"/>
  <c r="AI927" i="2" a="1"/>
  <c r="AI927" i="2" s="1"/>
  <c r="AA926" i="2" a="1"/>
  <c r="AA926" i="2" s="1"/>
  <c r="AF927" i="2" a="1"/>
  <c r="AF927" i="2" s="1"/>
  <c r="AD927" i="2" a="1"/>
  <c r="AD927" i="2" s="1"/>
  <c r="AA927" i="2" a="1"/>
  <c r="AA927" i="2" s="1"/>
  <c r="Z927" i="2" a="1"/>
  <c r="Z927" i="2" s="1"/>
  <c r="AC926" i="2" a="1"/>
  <c r="AC926" i="2" s="1"/>
  <c r="AB926" i="2" a="1"/>
  <c r="AB926" i="2" s="1"/>
  <c r="AF925" i="2" a="1"/>
  <c r="AF925" i="2" s="1"/>
  <c r="X926" i="2" a="1"/>
  <c r="X926" i="2" s="1"/>
  <c r="AC924" i="2" a="1"/>
  <c r="AC924" i="2" s="1"/>
  <c r="AD926" i="2" a="1"/>
  <c r="AD926" i="2" s="1"/>
  <c r="AJ926" i="2" a="1"/>
  <c r="AJ926" i="2" s="1"/>
  <c r="AI924" i="2" a="1"/>
  <c r="AI924" i="2" s="1"/>
  <c r="Z926" i="2" a="1"/>
  <c r="Z926" i="2" s="1"/>
  <c r="AJ924" i="2" a="1"/>
  <c r="AJ924" i="2" s="1"/>
  <c r="AF924" i="2" a="1"/>
  <c r="AF924" i="2" s="1"/>
  <c r="AD988" i="2" a="1"/>
  <c r="AD988" i="2" s="1"/>
  <c r="AI928" i="2" a="1"/>
  <c r="AI928" i="2" s="1"/>
  <c r="AH927" i="2" a="1"/>
  <c r="AH927" i="2" s="1"/>
  <c r="AE925" i="2" a="1"/>
  <c r="AE925" i="2" s="1"/>
  <c r="AF928" i="2" a="1"/>
  <c r="AF928" i="2" s="1"/>
  <c r="Z928" i="2" a="1"/>
  <c r="Z928" i="2" s="1"/>
  <c r="AG927" i="2" a="1"/>
  <c r="AG927" i="2" s="1"/>
  <c r="AE927" i="2" a="1"/>
  <c r="AE927" i="2" s="1"/>
  <c r="AA925" i="2" a="1"/>
  <c r="AA925" i="2" s="1"/>
  <c r="AD928" i="2" a="1"/>
  <c r="AD928" i="2" s="1"/>
  <c r="AF923" i="2" a="1"/>
  <c r="AF923" i="2" s="1"/>
  <c r="AD923" i="2" a="1"/>
  <c r="AD923" i="2" s="1"/>
  <c r="Y923" i="2" a="1"/>
  <c r="Y923" i="2" s="1"/>
  <c r="W923" i="2" a="1"/>
  <c r="W923" i="2" s="1"/>
  <c r="AI922" i="2" a="1"/>
  <c r="AI922" i="2" s="1"/>
  <c r="AG921" i="2" a="1"/>
  <c r="AG921" i="2" s="1"/>
  <c r="AD920" i="2" a="1"/>
  <c r="AD920" i="2" s="1"/>
  <c r="AA920" i="2" a="1"/>
  <c r="AA920" i="2" s="1"/>
  <c r="W920" i="2" a="1"/>
  <c r="W920" i="2" s="1"/>
  <c r="AJ922" i="2" a="1"/>
  <c r="AJ922" i="2" s="1"/>
  <c r="X920" i="2" a="1"/>
  <c r="X920" i="2" s="1"/>
  <c r="AC920" i="2" a="1"/>
  <c r="AC920" i="2" s="1"/>
  <c r="AC922" i="2" a="1"/>
  <c r="AC922" i="2" s="1"/>
  <c r="AE922" i="2" a="1"/>
  <c r="AE922" i="2" s="1"/>
  <c r="X922" i="2" a="1"/>
  <c r="X922" i="2" s="1"/>
  <c r="W922" i="2" a="1"/>
  <c r="W922" i="2" s="1"/>
  <c r="AH920" i="2" a="1"/>
  <c r="AH920" i="2" s="1"/>
  <c r="AG920" i="2" a="1"/>
  <c r="AG920" i="2" s="1"/>
  <c r="Y920" i="2" a="1"/>
  <c r="Y920" i="2" s="1"/>
  <c r="AI921" i="2" a="1"/>
  <c r="AI921" i="2" s="1"/>
  <c r="AB921" i="2" a="1"/>
  <c r="AB921" i="2" s="1"/>
  <c r="AF920" i="2" a="1"/>
  <c r="AF920" i="2" s="1"/>
  <c r="AC923" i="2" a="1"/>
  <c r="AC923" i="2" s="1"/>
  <c r="AD922" i="2" a="1"/>
  <c r="AD922" i="2" s="1"/>
  <c r="Z920" i="2" a="1"/>
  <c r="Z920" i="2" s="1"/>
  <c r="AB924" i="2" a="1"/>
  <c r="AB924" i="2" s="1"/>
  <c r="AA924" i="2" a="1"/>
  <c r="AA924" i="2" s="1"/>
  <c r="AH921" i="2" a="1"/>
  <c r="AH921" i="2" s="1"/>
  <c r="Z924" i="2" a="1"/>
  <c r="Z924" i="2" s="1"/>
  <c r="Z922" i="2" a="1"/>
  <c r="Z922" i="2" s="1"/>
  <c r="AE920" i="2" a="1"/>
  <c r="AE920" i="2" s="1"/>
  <c r="AA921" i="2" a="1"/>
  <c r="AA921" i="2" s="1"/>
  <c r="AB922" i="2" a="1"/>
  <c r="AB922" i="2" s="1"/>
  <c r="AJ921" i="2" a="1"/>
  <c r="AJ921" i="2" s="1"/>
  <c r="Y924" i="2" a="1"/>
  <c r="Y924" i="2" s="1"/>
  <c r="AB923" i="2" a="1"/>
  <c r="AB923" i="2" s="1"/>
  <c r="AF922" i="2" a="1"/>
  <c r="AF922" i="2" s="1"/>
  <c r="AA922" i="2" a="1"/>
  <c r="AA922" i="2" s="1"/>
  <c r="AJ920" i="2" a="1"/>
  <c r="AJ920" i="2" s="1"/>
  <c r="AI923" i="2" a="1"/>
  <c r="AI923" i="2" s="1"/>
  <c r="Z921" i="2" a="1"/>
  <c r="Z921" i="2" s="1"/>
  <c r="X921" i="2" a="1"/>
  <c r="X921" i="2" s="1"/>
  <c r="AH922" i="2" a="1"/>
  <c r="AH922" i="2" s="1"/>
  <c r="AJ919" i="2" a="1"/>
  <c r="AJ919" i="2" s="1"/>
  <c r="X924" i="2" a="1"/>
  <c r="X924" i="2" s="1"/>
  <c r="AD921" i="2" a="1"/>
  <c r="AD921" i="2" s="1"/>
  <c r="AE921" i="2" a="1"/>
  <c r="AE921" i="2" s="1"/>
  <c r="W921" i="2" a="1"/>
  <c r="W921" i="2" s="1"/>
  <c r="AE923" i="2" a="1"/>
  <c r="AE923" i="2" s="1"/>
  <c r="AA923" i="2" a="1"/>
  <c r="AA923" i="2" s="1"/>
  <c r="AB920" i="2" a="1"/>
  <c r="AB920" i="2" s="1"/>
  <c r="X923" i="2" a="1"/>
  <c r="X923" i="2" s="1"/>
  <c r="Y922" i="2" a="1"/>
  <c r="Y922" i="2" s="1"/>
  <c r="AI920" i="2" a="1"/>
  <c r="AI920" i="2" s="1"/>
  <c r="AF987" i="2" a="1"/>
  <c r="AF987" i="2" s="1"/>
  <c r="AH923" i="2" a="1"/>
  <c r="AH923" i="2" s="1"/>
  <c r="AG922" i="2" a="1"/>
  <c r="AG922" i="2" s="1"/>
  <c r="AC921" i="2" a="1"/>
  <c r="AC921" i="2" s="1"/>
  <c r="W924" i="2" a="1"/>
  <c r="W924" i="2" s="1"/>
  <c r="AF921" i="2" a="1"/>
  <c r="AF921" i="2" s="1"/>
  <c r="AJ923" i="2" a="1"/>
  <c r="AJ923" i="2" s="1"/>
  <c r="AG923" i="2" a="1"/>
  <c r="AG923" i="2" s="1"/>
  <c r="Z923" i="2" a="1"/>
  <c r="Z923" i="2" s="1"/>
  <c r="Y921" i="2" a="1"/>
  <c r="Y921" i="2" s="1"/>
  <c r="Z918" i="2" a="1"/>
  <c r="Z918" i="2" s="1"/>
  <c r="Y919" i="2" a="1"/>
  <c r="Y919" i="2" s="1"/>
  <c r="X917" i="2" a="1"/>
  <c r="X917" i="2" s="1"/>
  <c r="AH918" i="2" a="1"/>
  <c r="AH918" i="2" s="1"/>
  <c r="AD918" i="2" a="1"/>
  <c r="AD918" i="2" s="1"/>
  <c r="W918" i="2" a="1"/>
  <c r="W918" i="2" s="1"/>
  <c r="AD917" i="2" a="1"/>
  <c r="AD917" i="2" s="1"/>
  <c r="AA917" i="2" a="1"/>
  <c r="AA917" i="2" s="1"/>
  <c r="AF915" i="2" a="1"/>
  <c r="AF915" i="2" s="1"/>
  <c r="AH917" i="2" a="1"/>
  <c r="AH917" i="2" s="1"/>
  <c r="AC917" i="2" a="1"/>
  <c r="AC917" i="2" s="1"/>
  <c r="AB916" i="2" a="1"/>
  <c r="AB916" i="2" s="1"/>
  <c r="AG918" i="2" a="1"/>
  <c r="AG918" i="2" s="1"/>
  <c r="Z916" i="2" a="1"/>
  <c r="Z916" i="2" s="1"/>
  <c r="Y916" i="2" a="1"/>
  <c r="Y916" i="2" s="1"/>
  <c r="AC915" i="2" a="1"/>
  <c r="AC915" i="2" s="1"/>
  <c r="AB919" i="2" a="1"/>
  <c r="AB919" i="2" s="1"/>
  <c r="AF917" i="2" a="1"/>
  <c r="AF917" i="2" s="1"/>
  <c r="AB918" i="2" a="1"/>
  <c r="AB918" i="2" s="1"/>
  <c r="Z919" i="2" a="1"/>
  <c r="Z919" i="2" s="1"/>
  <c r="AH916" i="2" a="1"/>
  <c r="AH916" i="2" s="1"/>
  <c r="AA916" i="2" a="1"/>
  <c r="AA916" i="2" s="1"/>
  <c r="AG917" i="2" a="1"/>
  <c r="AG917" i="2" s="1"/>
  <c r="AJ918" i="2" a="1"/>
  <c r="AJ918" i="2" s="1"/>
  <c r="Z917" i="2" a="1"/>
  <c r="Z917" i="2" s="1"/>
  <c r="AA918" i="2" a="1"/>
  <c r="AA918" i="2" s="1"/>
  <c r="X918" i="2" a="1"/>
  <c r="X918" i="2" s="1"/>
  <c r="AG915" i="2" a="1"/>
  <c r="AG915" i="2" s="1"/>
  <c r="AC916" i="2" a="1"/>
  <c r="AC916" i="2" s="1"/>
  <c r="AE917" i="2" a="1"/>
  <c r="AE917" i="2" s="1"/>
  <c r="Y917" i="2" a="1"/>
  <c r="Y917" i="2" s="1"/>
  <c r="X916" i="2" a="1"/>
  <c r="X916" i="2" s="1"/>
  <c r="AI916" i="2" a="1"/>
  <c r="AI916" i="2" s="1"/>
  <c r="AE919" i="2" a="1"/>
  <c r="AE919" i="2" s="1"/>
  <c r="Y918" i="2" a="1"/>
  <c r="Y918" i="2" s="1"/>
  <c r="X919" i="2" a="1"/>
  <c r="X919" i="2" s="1"/>
  <c r="AI918" i="2" a="1"/>
  <c r="AI918" i="2" s="1"/>
  <c r="AC918" i="2" a="1"/>
  <c r="AC918" i="2" s="1"/>
  <c r="W919" i="2" a="1"/>
  <c r="W919" i="2" s="1"/>
  <c r="AH915" i="2" a="1"/>
  <c r="AH915" i="2" s="1"/>
  <c r="AE918" i="2" a="1"/>
  <c r="AE918" i="2" s="1"/>
  <c r="AI917" i="2" a="1"/>
  <c r="AI917" i="2" s="1"/>
  <c r="AD916" i="2" a="1"/>
  <c r="AD916" i="2" s="1"/>
  <c r="AJ915" i="2" a="1"/>
  <c r="AJ915" i="2" s="1"/>
  <c r="W917" i="2" a="1"/>
  <c r="W917" i="2" s="1"/>
  <c r="AJ916" i="2" a="1"/>
  <c r="AJ916" i="2" s="1"/>
  <c r="AI915" i="2" a="1"/>
  <c r="AI915" i="2" s="1"/>
  <c r="AD915" i="2" a="1"/>
  <c r="AD915" i="2" s="1"/>
  <c r="W916" i="2" a="1"/>
  <c r="W916" i="2" s="1"/>
  <c r="AE916" i="2" a="1"/>
  <c r="AE916" i="2" s="1"/>
  <c r="AB917" i="2" a="1"/>
  <c r="AB917" i="2" s="1"/>
  <c r="AJ917" i="2" a="1"/>
  <c r="AJ917" i="2" s="1"/>
  <c r="Z989" i="2" a="1"/>
  <c r="Z989" i="2" s="1"/>
  <c r="AF918" i="2" a="1"/>
  <c r="AF918" i="2" s="1"/>
  <c r="AI919" i="2" a="1"/>
  <c r="AI919" i="2" s="1"/>
  <c r="AH919" i="2" a="1"/>
  <c r="AH919" i="2" s="1"/>
  <c r="AG919" i="2" a="1"/>
  <c r="AG919" i="2" s="1"/>
  <c r="AF919" i="2" a="1"/>
  <c r="AF919" i="2" s="1"/>
  <c r="AF916" i="2" a="1"/>
  <c r="AF916" i="2" s="1"/>
  <c r="AE915" i="2" a="1"/>
  <c r="AE915" i="2" s="1"/>
  <c r="AD919" i="2" a="1"/>
  <c r="AD919" i="2" s="1"/>
  <c r="AG916" i="2" a="1"/>
  <c r="AG916" i="2" s="1"/>
  <c r="AC919" i="2" a="1"/>
  <c r="AC919" i="2" s="1"/>
  <c r="AA919" i="2" a="1"/>
  <c r="AA919" i="2" s="1"/>
  <c r="AA915" i="2" a="1"/>
  <c r="AA915" i="2" s="1"/>
  <c r="Z915" i="2" a="1"/>
  <c r="Z915" i="2" s="1"/>
  <c r="Y915" i="2" a="1"/>
  <c r="Y915" i="2" s="1"/>
  <c r="X915" i="2" a="1"/>
  <c r="X915" i="2" s="1"/>
  <c r="W915" i="2" a="1"/>
  <c r="W915" i="2" s="1"/>
  <c r="AJ914" i="2" a="1"/>
  <c r="AJ914" i="2" s="1"/>
  <c r="AC914" i="2" a="1"/>
  <c r="AC914" i="2" s="1"/>
  <c r="W914" i="2" a="1"/>
  <c r="W914" i="2" s="1"/>
  <c r="X911" i="2" a="1"/>
  <c r="X911" i="2" s="1"/>
  <c r="AH911" i="2" a="1"/>
  <c r="AH911" i="2" s="1"/>
  <c r="Z914" i="2" a="1"/>
  <c r="Z914" i="2" s="1"/>
  <c r="W912" i="2" a="1"/>
  <c r="W912" i="2" s="1"/>
  <c r="AI914" i="2" a="1"/>
  <c r="AI914" i="2" s="1"/>
  <c r="AF914" i="2" a="1"/>
  <c r="AF914" i="2" s="1"/>
  <c r="AG913" i="2" a="1"/>
  <c r="AG913" i="2" s="1"/>
  <c r="Y913" i="2" a="1"/>
  <c r="Y913" i="2" s="1"/>
  <c r="AD914" i="2" a="1"/>
  <c r="AD914" i="2" s="1"/>
  <c r="AE912" i="2" a="1"/>
  <c r="AE912" i="2" s="1"/>
  <c r="AD913" i="2" a="1"/>
  <c r="AD913" i="2" s="1"/>
  <c r="AB911" i="2" a="1"/>
  <c r="AB911" i="2" s="1"/>
  <c r="AA913" i="2" a="1"/>
  <c r="AA913" i="2" s="1"/>
  <c r="AJ912" i="2" a="1"/>
  <c r="AJ912" i="2" s="1"/>
  <c r="AI911" i="2" a="1"/>
  <c r="AI911" i="2" s="1"/>
  <c r="X914" i="2" a="1"/>
  <c r="X914" i="2" s="1"/>
  <c r="AF913" i="2" a="1"/>
  <c r="AF913" i="2" s="1"/>
  <c r="AC913" i="2" a="1"/>
  <c r="AC913" i="2" s="1"/>
  <c r="W913" i="2" a="1"/>
  <c r="W913" i="2" s="1"/>
  <c r="Y911" i="2" a="1"/>
  <c r="Y911" i="2" s="1"/>
  <c r="X912" i="2" a="1"/>
  <c r="X912" i="2" s="1"/>
  <c r="AB913" i="2" a="1"/>
  <c r="AB913" i="2" s="1"/>
  <c r="AH914" i="2" a="1"/>
  <c r="AH914" i="2" s="1"/>
  <c r="AD912" i="2" a="1"/>
  <c r="AD912" i="2" s="1"/>
  <c r="AC912" i="2" a="1"/>
  <c r="AC912" i="2" s="1"/>
  <c r="AD911" i="2" a="1"/>
  <c r="AD911" i="2" s="1"/>
  <c r="AC911" i="2" a="1"/>
  <c r="AC911" i="2" s="1"/>
  <c r="AG914" i="2" a="1"/>
  <c r="AG914" i="2" s="1"/>
  <c r="Y914" i="2" a="1"/>
  <c r="Y914" i="2" s="1"/>
  <c r="Z913" i="2" a="1"/>
  <c r="Z913" i="2" s="1"/>
  <c r="AA911" i="2" a="1"/>
  <c r="AA911" i="2" s="1"/>
  <c r="Z911" i="2" a="1"/>
  <c r="Z911" i="2" s="1"/>
  <c r="AE914" i="2" a="1"/>
  <c r="AE914" i="2" s="1"/>
  <c r="AH912" i="2" a="1"/>
  <c r="AH912" i="2" s="1"/>
  <c r="AA914" i="2" a="1"/>
  <c r="AA914" i="2" s="1"/>
  <c r="Y912" i="2" a="1"/>
  <c r="Y912" i="2" s="1"/>
  <c r="AI913" i="2" a="1"/>
  <c r="AI913" i="2" s="1"/>
  <c r="AH913" i="2" a="1"/>
  <c r="AH913" i="2" s="1"/>
  <c r="AG912" i="2" a="1"/>
  <c r="AG912" i="2" s="1"/>
  <c r="AJ910" i="2" a="1"/>
  <c r="AJ910" i="2" s="1"/>
  <c r="AI912" i="2" a="1"/>
  <c r="AI912" i="2" s="1"/>
  <c r="Z912" i="2" a="1"/>
  <c r="Z912" i="2" s="1"/>
  <c r="AB914" i="2" a="1"/>
  <c r="AB914" i="2" s="1"/>
  <c r="AG911" i="2" a="1"/>
  <c r="AG911" i="2" s="1"/>
  <c r="AJ911" i="2" a="1"/>
  <c r="AJ911" i="2" s="1"/>
  <c r="AJ913" i="2" a="1"/>
  <c r="AJ913" i="2" s="1"/>
  <c r="AE913" i="2" a="1"/>
  <c r="AE913" i="2" s="1"/>
  <c r="AF912" i="2" a="1"/>
  <c r="AF912" i="2" s="1"/>
  <c r="AE911" i="2" a="1"/>
  <c r="AE911" i="2" s="1"/>
  <c r="AA912" i="2" a="1"/>
  <c r="AA912" i="2" s="1"/>
  <c r="AF911" i="2" a="1"/>
  <c r="AF911" i="2" s="1"/>
  <c r="W911" i="2" a="1"/>
  <c r="W911" i="2" s="1"/>
  <c r="X913" i="2" a="1"/>
  <c r="X913" i="2" s="1"/>
  <c r="AB912" i="2" a="1"/>
  <c r="AB912" i="2" s="1"/>
  <c r="AE987" i="2" a="1"/>
  <c r="AE987" i="2" s="1"/>
  <c r="AB915" i="2" a="1"/>
  <c r="AB915" i="2" s="1"/>
  <c r="AG909" i="2" a="1"/>
  <c r="AG909" i="2" s="1"/>
  <c r="AF909" i="2" a="1"/>
  <c r="AF909" i="2" s="1"/>
  <c r="AE908" i="2" a="1"/>
  <c r="AE908" i="2" s="1"/>
  <c r="AE909" i="2" a="1"/>
  <c r="AE909" i="2" s="1"/>
  <c r="AC909" i="2" a="1"/>
  <c r="AC909" i="2" s="1"/>
  <c r="W909" i="2" a="1"/>
  <c r="W909" i="2" s="1"/>
  <c r="Z908" i="2" a="1"/>
  <c r="Z908" i="2" s="1"/>
  <c r="AI908" i="2" a="1"/>
  <c r="AI908" i="2" s="1"/>
  <c r="AG908" i="2" a="1"/>
  <c r="AG908" i="2" s="1"/>
  <c r="AJ906" i="2" a="1"/>
  <c r="AJ906" i="2" s="1"/>
  <c r="AG906" i="2" a="1"/>
  <c r="AG906" i="2" s="1"/>
  <c r="AH908" i="2" a="1"/>
  <c r="AH908" i="2" s="1"/>
  <c r="AB909" i="2" a="1"/>
  <c r="AB909" i="2" s="1"/>
  <c r="AA909" i="2" a="1"/>
  <c r="AA909" i="2" s="1"/>
  <c r="Y908" i="2" a="1"/>
  <c r="Y908" i="2" s="1"/>
  <c r="AJ907" i="2" a="1"/>
  <c r="AJ907" i="2" s="1"/>
  <c r="AF907" i="2" a="1"/>
  <c r="AF907" i="2" s="1"/>
  <c r="AE906" i="2" a="1"/>
  <c r="AE906" i="2" s="1"/>
  <c r="Y909" i="2" a="1"/>
  <c r="Y909" i="2" s="1"/>
  <c r="AC906" i="2" a="1"/>
  <c r="AC906" i="2" s="1"/>
  <c r="AA908" i="2" a="1"/>
  <c r="AA908" i="2" s="1"/>
  <c r="AC907" i="2" a="1"/>
  <c r="AC907" i="2" s="1"/>
  <c r="X908" i="2" a="1"/>
  <c r="X908" i="2" s="1"/>
  <c r="AC988" i="2" a="1"/>
  <c r="AC988" i="2" s="1"/>
  <c r="AI910" i="2" a="1"/>
  <c r="AI910" i="2" s="1"/>
  <c r="AH910" i="2" a="1"/>
  <c r="AH910" i="2" s="1"/>
  <c r="X907" i="2" a="1"/>
  <c r="X907" i="2" s="1"/>
  <c r="AB910" i="2" a="1"/>
  <c r="AB910" i="2" s="1"/>
  <c r="AE910" i="2" a="1"/>
  <c r="AE910" i="2" s="1"/>
  <c r="AA910" i="2" a="1"/>
  <c r="AA910" i="2" s="1"/>
  <c r="W910" i="2" a="1"/>
  <c r="W910" i="2" s="1"/>
  <c r="AF908" i="2" a="1"/>
  <c r="AF908" i="2" s="1"/>
  <c r="AB908" i="2" a="1"/>
  <c r="AB908" i="2" s="1"/>
  <c r="AD910" i="2" a="1"/>
  <c r="AD910" i="2" s="1"/>
  <c r="AE907" i="2" a="1"/>
  <c r="AE907" i="2" s="1"/>
  <c r="AA907" i="2" a="1"/>
  <c r="AA907" i="2" s="1"/>
  <c r="X909" i="2" a="1"/>
  <c r="X909" i="2" s="1"/>
  <c r="W908" i="2" a="1"/>
  <c r="W908" i="2" s="1"/>
  <c r="Z907" i="2" a="1"/>
  <c r="Z907" i="2" s="1"/>
  <c r="AH909" i="2" a="1"/>
  <c r="AH909" i="2" s="1"/>
  <c r="Y907" i="2" a="1"/>
  <c r="Y907" i="2" s="1"/>
  <c r="AD906" i="2" a="1"/>
  <c r="AD906" i="2" s="1"/>
  <c r="AD908" i="2" a="1"/>
  <c r="AD908" i="2" s="1"/>
  <c r="AB907" i="2" a="1"/>
  <c r="AB907" i="2" s="1"/>
  <c r="W907" i="2" a="1"/>
  <c r="W907" i="2" s="1"/>
  <c r="AF906" i="2" a="1"/>
  <c r="AF906" i="2" s="1"/>
  <c r="AH907" i="2" a="1"/>
  <c r="AH907" i="2" s="1"/>
  <c r="AC908" i="2" a="1"/>
  <c r="AC908" i="2" s="1"/>
  <c r="Z909" i="2" a="1"/>
  <c r="Z909" i="2" s="1"/>
  <c r="AH906" i="2" a="1"/>
  <c r="AH906" i="2" s="1"/>
  <c r="AG910" i="2" a="1"/>
  <c r="AG910" i="2" s="1"/>
  <c r="AI906" i="2" a="1"/>
  <c r="AI906" i="2" s="1"/>
  <c r="AF910" i="2" a="1"/>
  <c r="AF910" i="2" s="1"/>
  <c r="AC910" i="2" a="1"/>
  <c r="AC910" i="2" s="1"/>
  <c r="Z910" i="2" a="1"/>
  <c r="Z910" i="2" s="1"/>
  <c r="AJ908" i="2" a="1"/>
  <c r="AJ908" i="2" s="1"/>
  <c r="AD909" i="2" a="1"/>
  <c r="AD909" i="2" s="1"/>
  <c r="AG907" i="2" a="1"/>
  <c r="AG907" i="2" s="1"/>
  <c r="AD907" i="2" a="1"/>
  <c r="AD907" i="2" s="1"/>
  <c r="Y910" i="2" a="1"/>
  <c r="Y910" i="2" s="1"/>
  <c r="X910" i="2" a="1"/>
  <c r="X910" i="2" s="1"/>
  <c r="AI907" i="2" a="1"/>
  <c r="AI907" i="2" s="1"/>
  <c r="AJ909" i="2" a="1"/>
  <c r="AJ909" i="2" s="1"/>
  <c r="AI909" i="2" a="1"/>
  <c r="AI909" i="2" s="1"/>
  <c r="W906" i="2" a="1"/>
  <c r="W906" i="2" s="1"/>
  <c r="AJ904" i="2" a="1"/>
  <c r="AJ904" i="2" s="1"/>
  <c r="AJ905" i="2" a="1"/>
  <c r="AJ905" i="2" s="1"/>
  <c r="AI905" i="2" a="1"/>
  <c r="AI905" i="2" s="1"/>
  <c r="X903" i="2" a="1"/>
  <c r="X903" i="2" s="1"/>
  <c r="AB904" i="2" a="1"/>
  <c r="AB904" i="2" s="1"/>
  <c r="AB902" i="2" a="1"/>
  <c r="AB902" i="2" s="1"/>
  <c r="AH905" i="2" a="1"/>
  <c r="AH905" i="2" s="1"/>
  <c r="AB905" i="2" a="1"/>
  <c r="AB905" i="2" s="1"/>
  <c r="AF905" i="2" a="1"/>
  <c r="AF905" i="2" s="1"/>
  <c r="AC905" i="2" a="1"/>
  <c r="AC905" i="2" s="1"/>
  <c r="W905" i="2" a="1"/>
  <c r="W905" i="2" s="1"/>
  <c r="AD905" i="2" a="1"/>
  <c r="AD905" i="2" s="1"/>
  <c r="AJ901" i="2" a="1"/>
  <c r="AJ901" i="2" s="1"/>
  <c r="Z903" i="2" a="1"/>
  <c r="Z903" i="2" s="1"/>
  <c r="W902" i="2" a="1"/>
  <c r="W902" i="2" s="1"/>
  <c r="X902" i="2" a="1"/>
  <c r="X902" i="2" s="1"/>
  <c r="Y903" i="2" a="1"/>
  <c r="Y903" i="2" s="1"/>
  <c r="AA903" i="2" a="1"/>
  <c r="AA903" i="2" s="1"/>
  <c r="AA905" i="2" a="1"/>
  <c r="AA905" i="2" s="1"/>
  <c r="AG904" i="2" a="1"/>
  <c r="AG904" i="2" s="1"/>
  <c r="AF903" i="2" a="1"/>
  <c r="AF903" i="2" s="1"/>
  <c r="AI904" i="2" a="1"/>
  <c r="AI904" i="2" s="1"/>
  <c r="Z905" i="2" a="1"/>
  <c r="Z905" i="2" s="1"/>
  <c r="X905" i="2" a="1"/>
  <c r="X905" i="2" s="1"/>
  <c r="Z904" i="2" a="1"/>
  <c r="Z904" i="2" s="1"/>
  <c r="AI903" i="2" a="1"/>
  <c r="AI903" i="2" s="1"/>
  <c r="AF904" i="2" a="1"/>
  <c r="AF904" i="2" s="1"/>
  <c r="AG902" i="2" a="1"/>
  <c r="AG902" i="2" s="1"/>
  <c r="AC902" i="2" a="1"/>
  <c r="AC902" i="2" s="1"/>
  <c r="Y905" i="2" a="1"/>
  <c r="Y905" i="2" s="1"/>
  <c r="AD902" i="2" a="1"/>
  <c r="AD902" i="2" s="1"/>
  <c r="AE904" i="2" a="1"/>
  <c r="AE904" i="2" s="1"/>
  <c r="AA904" i="2" a="1"/>
  <c r="AA904" i="2" s="1"/>
  <c r="W904" i="2" a="1"/>
  <c r="W904" i="2" s="1"/>
  <c r="AG903" i="2" a="1"/>
  <c r="AG903" i="2" s="1"/>
  <c r="AH902" i="2" a="1"/>
  <c r="AH902" i="2" s="1"/>
  <c r="AF902" i="2" a="1"/>
  <c r="AF902" i="2" s="1"/>
  <c r="AC903" i="2" a="1"/>
  <c r="AC903" i="2" s="1"/>
  <c r="AH904" i="2" a="1"/>
  <c r="AH904" i="2" s="1"/>
  <c r="AD904" i="2" a="1"/>
  <c r="AD904" i="2" s="1"/>
  <c r="AJ903" i="2" a="1"/>
  <c r="AJ903" i="2" s="1"/>
  <c r="X904" i="2" a="1"/>
  <c r="X904" i="2" s="1"/>
  <c r="AE903" i="2" a="1"/>
  <c r="AE903" i="2" s="1"/>
  <c r="Y904" i="2" a="1"/>
  <c r="Y904" i="2" s="1"/>
  <c r="AH903" i="2" a="1"/>
  <c r="AH903" i="2" s="1"/>
  <c r="AI902" i="2" a="1"/>
  <c r="AI902" i="2" s="1"/>
  <c r="AD903" i="2" a="1"/>
  <c r="AD903" i="2" s="1"/>
  <c r="W903" i="2" a="1"/>
  <c r="W903" i="2" s="1"/>
  <c r="AE902" i="2" a="1"/>
  <c r="AE902" i="2" s="1"/>
  <c r="Z902" i="2" a="1"/>
  <c r="Z902" i="2" s="1"/>
  <c r="AE905" i="2" a="1"/>
  <c r="AE905" i="2" s="1"/>
  <c r="AB903" i="2" a="1"/>
  <c r="AB903" i="2" s="1"/>
  <c r="AA902" i="2" a="1"/>
  <c r="AA902" i="2" s="1"/>
  <c r="AD987" i="2" a="1"/>
  <c r="AD987" i="2" s="1"/>
  <c r="AB906" i="2" a="1"/>
  <c r="AB906" i="2" s="1"/>
  <c r="AG905" i="2" a="1"/>
  <c r="AG905" i="2" s="1"/>
  <c r="Y902" i="2" a="1"/>
  <c r="Y902" i="2" s="1"/>
  <c r="AA906" i="2" a="1"/>
  <c r="AA906" i="2" s="1"/>
  <c r="Z906" i="2" a="1"/>
  <c r="Z906" i="2" s="1"/>
  <c r="AC904" i="2" a="1"/>
  <c r="AC904" i="2" s="1"/>
  <c r="AJ902" i="2" a="1"/>
  <c r="AJ902" i="2" s="1"/>
  <c r="Y906" i="2" a="1"/>
  <c r="Y906" i="2" s="1"/>
  <c r="X906" i="2" a="1"/>
  <c r="X906" i="2" s="1"/>
  <c r="AI899" i="2" a="1"/>
  <c r="AI899" i="2" s="1"/>
  <c r="AD901" i="2" a="1"/>
  <c r="AD901" i="2" s="1"/>
  <c r="AC901" i="2" a="1"/>
  <c r="AC901" i="2" s="1"/>
  <c r="AB901" i="2" a="1"/>
  <c r="AB901" i="2" s="1"/>
  <c r="AA901" i="2" a="1"/>
  <c r="AA901" i="2" s="1"/>
  <c r="W901" i="2" a="1"/>
  <c r="W901" i="2" s="1"/>
  <c r="AG898" i="2" a="1"/>
  <c r="AG898" i="2" s="1"/>
  <c r="AJ900" i="2" a="1"/>
  <c r="AJ900" i="2" s="1"/>
  <c r="AA900" i="2" a="1"/>
  <c r="AA900" i="2" s="1"/>
  <c r="AI900" i="2" a="1"/>
  <c r="AI900" i="2" s="1"/>
  <c r="AD900" i="2" a="1"/>
  <c r="AD900" i="2" s="1"/>
  <c r="Y900" i="2" a="1"/>
  <c r="Y900" i="2" s="1"/>
  <c r="AB898" i="2" a="1"/>
  <c r="AB898" i="2" s="1"/>
  <c r="AF899" i="2" a="1"/>
  <c r="AF899" i="2" s="1"/>
  <c r="AE899" i="2" a="1"/>
  <c r="AE899" i="2" s="1"/>
  <c r="W898" i="2" a="1"/>
  <c r="W898" i="2" s="1"/>
  <c r="AF898" i="2" a="1"/>
  <c r="AF898" i="2" s="1"/>
  <c r="AA899" i="2" a="1"/>
  <c r="AA899" i="2" s="1"/>
  <c r="W900" i="2" a="1"/>
  <c r="W900" i="2" s="1"/>
  <c r="X899" i="2" a="1"/>
  <c r="X899" i="2" s="1"/>
  <c r="AI898" i="2" a="1"/>
  <c r="AI898" i="2" s="1"/>
  <c r="AC897" i="2" a="1"/>
  <c r="AC897" i="2" s="1"/>
  <c r="AE898" i="2" a="1"/>
  <c r="AE898" i="2" s="1"/>
  <c r="AC898" i="2" a="1"/>
  <c r="AC898" i="2" s="1"/>
  <c r="AH900" i="2" a="1"/>
  <c r="AH900" i="2" s="1"/>
  <c r="AC900" i="2" a="1"/>
  <c r="AC900" i="2" s="1"/>
  <c r="AB900" i="2" a="1"/>
  <c r="AB900" i="2" s="1"/>
  <c r="AJ899" i="2" a="1"/>
  <c r="AJ899" i="2" s="1"/>
  <c r="X900" i="2" a="1"/>
  <c r="X900" i="2" s="1"/>
  <c r="AA898" i="2" a="1"/>
  <c r="AA898" i="2" s="1"/>
  <c r="Y898" i="2" a="1"/>
  <c r="Y898" i="2" s="1"/>
  <c r="AJ897" i="2" a="1"/>
  <c r="AJ897" i="2" s="1"/>
  <c r="AD897" i="2" a="1"/>
  <c r="AD897" i="2" s="1"/>
  <c r="AH899" i="2" a="1"/>
  <c r="AH899" i="2" s="1"/>
  <c r="Z899" i="2" a="1"/>
  <c r="Z899" i="2" s="1"/>
  <c r="W899" i="2" a="1"/>
  <c r="W899" i="2" s="1"/>
  <c r="AD898" i="2" a="1"/>
  <c r="AD898" i="2" s="1"/>
  <c r="Z898" i="2" a="1"/>
  <c r="Z898" i="2" s="1"/>
  <c r="AF897" i="2" a="1"/>
  <c r="AF897" i="2" s="1"/>
  <c r="AG901" i="2" a="1"/>
  <c r="AG901" i="2" s="1"/>
  <c r="AE901" i="2" a="1"/>
  <c r="AE901" i="2" s="1"/>
  <c r="AB899" i="2" a="1"/>
  <c r="AB899" i="2" s="1"/>
  <c r="AD899" i="2" a="1"/>
  <c r="AD899" i="2" s="1"/>
  <c r="AH897" i="2" a="1"/>
  <c r="AH897" i="2" s="1"/>
  <c r="AC899" i="2" a="1"/>
  <c r="AC899" i="2" s="1"/>
  <c r="AH898" i="2" a="1"/>
  <c r="AH898" i="2" s="1"/>
  <c r="AG897" i="2" a="1"/>
  <c r="AG897" i="2" s="1"/>
  <c r="AE897" i="2" a="1"/>
  <c r="AE897" i="2" s="1"/>
  <c r="AI897" i="2" a="1"/>
  <c r="AI897" i="2" s="1"/>
  <c r="AE900" i="2" a="1"/>
  <c r="AE900" i="2" s="1"/>
  <c r="AJ898" i="2" a="1"/>
  <c r="AJ898" i="2" s="1"/>
  <c r="AI988" i="2" a="1"/>
  <c r="AI988" i="2" s="1"/>
  <c r="AI901" i="2" a="1"/>
  <c r="AI901" i="2" s="1"/>
  <c r="AG899" i="2" a="1"/>
  <c r="AG899" i="2" s="1"/>
  <c r="AH901" i="2" a="1"/>
  <c r="AH901" i="2" s="1"/>
  <c r="AF901" i="2" a="1"/>
  <c r="AF901" i="2" s="1"/>
  <c r="X898" i="2" a="1"/>
  <c r="X898" i="2" s="1"/>
  <c r="Z901" i="2" a="1"/>
  <c r="Z901" i="2" s="1"/>
  <c r="Y899" i="2" a="1"/>
  <c r="Y899" i="2" s="1"/>
  <c r="Z900" i="2" a="1"/>
  <c r="Z900" i="2" s="1"/>
  <c r="AF900" i="2" a="1"/>
  <c r="AF900" i="2" s="1"/>
  <c r="Y901" i="2" a="1"/>
  <c r="Y901" i="2" s="1"/>
  <c r="AG900" i="2" a="1"/>
  <c r="AG900" i="2" s="1"/>
  <c r="X901" i="2" a="1"/>
  <c r="X901" i="2" s="1"/>
  <c r="AH895" i="2" a="1"/>
  <c r="AH895" i="2" s="1"/>
  <c r="AF895" i="2" a="1"/>
  <c r="AF895" i="2" s="1"/>
  <c r="AE895" i="2" a="1"/>
  <c r="AE895" i="2" s="1"/>
  <c r="AG894" i="2" a="1"/>
  <c r="AG894" i="2" s="1"/>
  <c r="Z894" i="2" a="1"/>
  <c r="Z894" i="2" s="1"/>
  <c r="AJ892" i="2" a="1"/>
  <c r="AJ892" i="2" s="1"/>
  <c r="AA893" i="2" a="1"/>
  <c r="AA893" i="2" s="1"/>
  <c r="W894" i="2" a="1"/>
  <c r="W894" i="2" s="1"/>
  <c r="AA894" i="2" a="1"/>
  <c r="AA894" i="2" s="1"/>
  <c r="AD895" i="2" a="1"/>
  <c r="AD895" i="2" s="1"/>
  <c r="AB894" i="2" a="1"/>
  <c r="AB894" i="2" s="1"/>
  <c r="Y894" i="2" a="1"/>
  <c r="Y894" i="2" s="1"/>
  <c r="AC893" i="2" a="1"/>
  <c r="AC893" i="2" s="1"/>
  <c r="AB897" i="2" a="1"/>
  <c r="AB897" i="2" s="1"/>
  <c r="AA897" i="2" a="1"/>
  <c r="AA897" i="2" s="1"/>
  <c r="Y897" i="2" a="1"/>
  <c r="Y897" i="2" s="1"/>
  <c r="X897" i="2" a="1"/>
  <c r="X897" i="2" s="1"/>
  <c r="AJ895" i="2" a="1"/>
  <c r="AJ895" i="2" s="1"/>
  <c r="AC894" i="2" a="1"/>
  <c r="AC894" i="2" s="1"/>
  <c r="AD896" i="2" a="1"/>
  <c r="AD896" i="2" s="1"/>
  <c r="AC895" i="2" a="1"/>
  <c r="AC895" i="2" s="1"/>
  <c r="AE893" i="2" a="1"/>
  <c r="AE893" i="2" s="1"/>
  <c r="AJ894" i="2" a="1"/>
  <c r="AJ894" i="2" s="1"/>
  <c r="AD893" i="2" a="1"/>
  <c r="AD893" i="2" s="1"/>
  <c r="AJ893" i="2" a="1"/>
  <c r="AJ893" i="2" s="1"/>
  <c r="Y893" i="2" a="1"/>
  <c r="Y893" i="2" s="1"/>
  <c r="AH893" i="2" a="1"/>
  <c r="AH893" i="2" s="1"/>
  <c r="W897" i="2" a="1"/>
  <c r="W897" i="2" s="1"/>
  <c r="AF896" i="2" a="1"/>
  <c r="AF896" i="2" s="1"/>
  <c r="AB896" i="2" a="1"/>
  <c r="AB896" i="2" s="1"/>
  <c r="AG896" i="2" a="1"/>
  <c r="AG896" i="2" s="1"/>
  <c r="AB895" i="2" a="1"/>
  <c r="AB895" i="2" s="1"/>
  <c r="AH896" i="2" a="1"/>
  <c r="AH896" i="2" s="1"/>
  <c r="X896" i="2" a="1"/>
  <c r="X896" i="2" s="1"/>
  <c r="AI895" i="2" a="1"/>
  <c r="AI895" i="2" s="1"/>
  <c r="AI893" i="2" a="1"/>
  <c r="AI893" i="2" s="1"/>
  <c r="AF894" i="2" a="1"/>
  <c r="AF894" i="2" s="1"/>
  <c r="AF893" i="2" a="1"/>
  <c r="AF893" i="2" s="1"/>
  <c r="Z893" i="2" a="1"/>
  <c r="Z893" i="2" s="1"/>
  <c r="AA895" i="2" a="1"/>
  <c r="AA895" i="2" s="1"/>
  <c r="Y895" i="2" a="1"/>
  <c r="Y895" i="2" s="1"/>
  <c r="W895" i="2" a="1"/>
  <c r="W895" i="2" s="1"/>
  <c r="Z896" i="2" a="1"/>
  <c r="Z896" i="2" s="1"/>
  <c r="W893" i="2" a="1"/>
  <c r="W893" i="2" s="1"/>
  <c r="AA896" i="2" a="1"/>
  <c r="AA896" i="2" s="1"/>
  <c r="AG893" i="2" a="1"/>
  <c r="AG893" i="2" s="1"/>
  <c r="X893" i="2" a="1"/>
  <c r="X893" i="2" s="1"/>
  <c r="Y896" i="2" a="1"/>
  <c r="Y896" i="2" s="1"/>
  <c r="W896" i="2" a="1"/>
  <c r="W896" i="2" s="1"/>
  <c r="AH894" i="2" a="1"/>
  <c r="AH894" i="2" s="1"/>
  <c r="X894" i="2" a="1"/>
  <c r="X894" i="2" s="1"/>
  <c r="AE894" i="2" a="1"/>
  <c r="AE894" i="2" s="1"/>
  <c r="AD894" i="2" a="1"/>
  <c r="AD894" i="2" s="1"/>
  <c r="AB893" i="2" a="1"/>
  <c r="AB893" i="2" s="1"/>
  <c r="AG895" i="2" a="1"/>
  <c r="AG895" i="2" s="1"/>
  <c r="AI894" i="2" a="1"/>
  <c r="AI894" i="2" s="1"/>
  <c r="AC987" i="2" a="1"/>
  <c r="AC987" i="2" s="1"/>
  <c r="Z897" i="2" a="1"/>
  <c r="Z897" i="2" s="1"/>
  <c r="AJ896" i="2" a="1"/>
  <c r="AJ896" i="2" s="1"/>
  <c r="AI896" i="2" a="1"/>
  <c r="AI896" i="2" s="1"/>
  <c r="AE896" i="2" a="1"/>
  <c r="AE896" i="2" s="1"/>
  <c r="AC896" i="2" a="1"/>
  <c r="AC896" i="2" s="1"/>
  <c r="Z895" i="2" a="1"/>
  <c r="Z895" i="2" s="1"/>
  <c r="X895" i="2" a="1"/>
  <c r="X895" i="2" s="1"/>
  <c r="AC891" i="2" a="1"/>
  <c r="AC891" i="2" s="1"/>
  <c r="X892" i="2" a="1"/>
  <c r="X892" i="2" s="1"/>
  <c r="AI891" i="2" a="1"/>
  <c r="AI891" i="2" s="1"/>
  <c r="AA889" i="2" a="1"/>
  <c r="AA889" i="2" s="1"/>
  <c r="AA891" i="2" a="1"/>
  <c r="AA891" i="2" s="1"/>
  <c r="AF890" i="2" a="1"/>
  <c r="AF890" i="2" s="1"/>
  <c r="W890" i="2" a="1"/>
  <c r="W890" i="2" s="1"/>
  <c r="AC890" i="2" a="1"/>
  <c r="AC890" i="2" s="1"/>
  <c r="Y891" i="2" a="1"/>
  <c r="Y891" i="2" s="1"/>
  <c r="AE890" i="2" a="1"/>
  <c r="AE890" i="2" s="1"/>
  <c r="AA890" i="2" a="1"/>
  <c r="AA890" i="2" s="1"/>
  <c r="AC889" i="2" a="1"/>
  <c r="AC889" i="2" s="1"/>
  <c r="W889" i="2" a="1"/>
  <c r="W889" i="2" s="1"/>
  <c r="AG889" i="2" a="1"/>
  <c r="AG889" i="2" s="1"/>
  <c r="AH891" i="2" a="1"/>
  <c r="AH891" i="2" s="1"/>
  <c r="W891" i="2" a="1"/>
  <c r="W891" i="2" s="1"/>
  <c r="AH890" i="2" a="1"/>
  <c r="AH890" i="2" s="1"/>
  <c r="Y890" i="2" a="1"/>
  <c r="Y890" i="2" s="1"/>
  <c r="Z889" i="2" a="1"/>
  <c r="Z889" i="2" s="1"/>
  <c r="AG888" i="2" a="1"/>
  <c r="AG888" i="2" s="1"/>
  <c r="Y892" i="2" a="1"/>
  <c r="Y892" i="2" s="1"/>
  <c r="W892" i="2" a="1"/>
  <c r="W892" i="2" s="1"/>
  <c r="AF891" i="2" a="1"/>
  <c r="AF891" i="2" s="1"/>
  <c r="AE891" i="2" a="1"/>
  <c r="AE891" i="2" s="1"/>
  <c r="AB891" i="2" a="1"/>
  <c r="AB891" i="2" s="1"/>
  <c r="X891" i="2" a="1"/>
  <c r="X891" i="2" s="1"/>
  <c r="AD889" i="2" a="1"/>
  <c r="AD889" i="2" s="1"/>
  <c r="AJ890" i="2" a="1"/>
  <c r="AJ890" i="2" s="1"/>
  <c r="AE888" i="2" a="1"/>
  <c r="AE888" i="2" s="1"/>
  <c r="AG890" i="2" a="1"/>
  <c r="AG890" i="2" s="1"/>
  <c r="X890" i="2" a="1"/>
  <c r="X890" i="2" s="1"/>
  <c r="AI889" i="2" a="1"/>
  <c r="AI889" i="2" s="1"/>
  <c r="X889" i="2" a="1"/>
  <c r="X889" i="2" s="1"/>
  <c r="AH888" i="2" a="1"/>
  <c r="AH888" i="2" s="1"/>
  <c r="AF888" i="2" a="1"/>
  <c r="AF888" i="2" s="1"/>
  <c r="AG892" i="2" a="1"/>
  <c r="AG892" i="2" s="1"/>
  <c r="Z892" i="2" a="1"/>
  <c r="Z892" i="2" s="1"/>
  <c r="AD888" i="2" a="1"/>
  <c r="AD888" i="2" s="1"/>
  <c r="AC892" i="2" a="1"/>
  <c r="AC892" i="2" s="1"/>
  <c r="AA892" i="2" a="1"/>
  <c r="AA892" i="2" s="1"/>
  <c r="AB889" i="2" a="1"/>
  <c r="AB889" i="2" s="1"/>
  <c r="Z890" i="2" a="1"/>
  <c r="Z890" i="2" s="1"/>
  <c r="Z891" i="2" a="1"/>
  <c r="Z891" i="2" s="1"/>
  <c r="AB890" i="2" a="1"/>
  <c r="AB890" i="2" s="1"/>
  <c r="AF889" i="2" a="1"/>
  <c r="AF889" i="2" s="1"/>
  <c r="AE889" i="2" a="1"/>
  <c r="AE889" i="2" s="1"/>
  <c r="Y889" i="2" a="1"/>
  <c r="Y889" i="2" s="1"/>
  <c r="AG891" i="2" a="1"/>
  <c r="AG891" i="2" s="1"/>
  <c r="AD890" i="2" a="1"/>
  <c r="AD890" i="2" s="1"/>
  <c r="AC888" i="2" a="1"/>
  <c r="AC888" i="2" s="1"/>
  <c r="AH889" i="2" a="1"/>
  <c r="AH889" i="2" s="1"/>
  <c r="AI892" i="2" a="1"/>
  <c r="AI892" i="2" s="1"/>
  <c r="AD891" i="2" a="1"/>
  <c r="AD891" i="2" s="1"/>
  <c r="AJ891" i="2" a="1"/>
  <c r="AJ891" i="2" s="1"/>
  <c r="AI888" i="2" a="1"/>
  <c r="AI888" i="2" s="1"/>
  <c r="AB988" i="2" a="1"/>
  <c r="AB988" i="2" s="1"/>
  <c r="AH892" i="2" a="1"/>
  <c r="AH892" i="2" s="1"/>
  <c r="AF892" i="2" a="1"/>
  <c r="AF892" i="2" s="1"/>
  <c r="AE892" i="2" a="1"/>
  <c r="AE892" i="2" s="1"/>
  <c r="AD892" i="2" a="1"/>
  <c r="AD892" i="2" s="1"/>
  <c r="AJ889" i="2" a="1"/>
  <c r="AJ889" i="2" s="1"/>
  <c r="AB892" i="2" a="1"/>
  <c r="AB892" i="2" s="1"/>
  <c r="AI890" i="2" a="1"/>
  <c r="AI890" i="2" s="1"/>
  <c r="AJ888" i="2" a="1"/>
  <c r="AJ888" i="2" s="1"/>
  <c r="AA885" i="2" a="1"/>
  <c r="AA885" i="2" s="1"/>
  <c r="AD884" i="2" a="1"/>
  <c r="AD884" i="2" s="1"/>
  <c r="X885" i="2" a="1"/>
  <c r="X885" i="2" s="1"/>
  <c r="Z887" i="2" a="1"/>
  <c r="Z887" i="2" s="1"/>
  <c r="AD885" i="2" a="1"/>
  <c r="AD885" i="2" s="1"/>
  <c r="AB884" i="2" a="1"/>
  <c r="AB884" i="2" s="1"/>
  <c r="AI885" i="2" a="1"/>
  <c r="AI885" i="2" s="1"/>
  <c r="X887" i="2" a="1"/>
  <c r="X887" i="2" s="1"/>
  <c r="Z886" i="2" a="1"/>
  <c r="Z886" i="2" s="1"/>
  <c r="AD886" i="2" a="1"/>
  <c r="AD886" i="2" s="1"/>
  <c r="AC886" i="2" a="1"/>
  <c r="AC886" i="2" s="1"/>
  <c r="AE884" i="2" a="1"/>
  <c r="AE884" i="2" s="1"/>
  <c r="AB886" i="2" a="1"/>
  <c r="AB886" i="2" s="1"/>
  <c r="AJ883" i="2" a="1"/>
  <c r="AJ883" i="2" s="1"/>
  <c r="Y886" i="2" a="1"/>
  <c r="Y886" i="2" s="1"/>
  <c r="AJ885" i="2" a="1"/>
  <c r="AJ885" i="2" s="1"/>
  <c r="AE885" i="2" a="1"/>
  <c r="AE885" i="2" s="1"/>
  <c r="AA888" i="2" a="1"/>
  <c r="AA888" i="2" s="1"/>
  <c r="AA884" i="2" a="1"/>
  <c r="AA884" i="2" s="1"/>
  <c r="AC887" i="2" a="1"/>
  <c r="AC887" i="2" s="1"/>
  <c r="W884" i="2" a="1"/>
  <c r="W884" i="2" s="1"/>
  <c r="Y888" i="2" a="1"/>
  <c r="Y888" i="2" s="1"/>
  <c r="AF887" i="2" a="1"/>
  <c r="AF887" i="2" s="1"/>
  <c r="W887" i="2" a="1"/>
  <c r="W887" i="2" s="1"/>
  <c r="Z884" i="2" a="1"/>
  <c r="Z884" i="2" s="1"/>
  <c r="AE887" i="2" a="1"/>
  <c r="AE887" i="2" s="1"/>
  <c r="AB887" i="2" a="1"/>
  <c r="AB887" i="2" s="1"/>
  <c r="AC884" i="2" a="1"/>
  <c r="AC884" i="2" s="1"/>
  <c r="AF884" i="2" a="1"/>
  <c r="AF884" i="2" s="1"/>
  <c r="AI886" i="2" a="1"/>
  <c r="AI886" i="2" s="1"/>
  <c r="AE886" i="2" a="1"/>
  <c r="AE886" i="2" s="1"/>
  <c r="X886" i="2" a="1"/>
  <c r="X886" i="2" s="1"/>
  <c r="Y885" i="2" a="1"/>
  <c r="Y885" i="2" s="1"/>
  <c r="AB987" i="2" a="1"/>
  <c r="AB987" i="2" s="1"/>
  <c r="AB888" i="2" a="1"/>
  <c r="AB888" i="2" s="1"/>
  <c r="X888" i="2" a="1"/>
  <c r="X888" i="2" s="1"/>
  <c r="Z888" i="2" a="1"/>
  <c r="Z888" i="2" s="1"/>
  <c r="AH887" i="2" a="1"/>
  <c r="AH887" i="2" s="1"/>
  <c r="W888" i="2" a="1"/>
  <c r="W888" i="2" s="1"/>
  <c r="AG887" i="2" a="1"/>
  <c r="AG887" i="2" s="1"/>
  <c r="AG886" i="2" a="1"/>
  <c r="AG886" i="2" s="1"/>
  <c r="AF886" i="2" a="1"/>
  <c r="AF886" i="2" s="1"/>
  <c r="AG885" i="2" a="1"/>
  <c r="AG885" i="2" s="1"/>
  <c r="AG884" i="2" a="1"/>
  <c r="AG884" i="2" s="1"/>
  <c r="W886" i="2" a="1"/>
  <c r="W886" i="2" s="1"/>
  <c r="W885" i="2" a="1"/>
  <c r="W885" i="2" s="1"/>
  <c r="AJ884" i="2" a="1"/>
  <c r="AJ884" i="2" s="1"/>
  <c r="X884" i="2" a="1"/>
  <c r="X884" i="2" s="1"/>
  <c r="AA886" i="2" a="1"/>
  <c r="AA886" i="2" s="1"/>
  <c r="AH884" i="2" a="1"/>
  <c r="AH884" i="2" s="1"/>
  <c r="Y887" i="2" a="1"/>
  <c r="Y887" i="2" s="1"/>
  <c r="AJ887" i="2" a="1"/>
  <c r="AJ887" i="2" s="1"/>
  <c r="AC885" i="2" a="1"/>
  <c r="AC885" i="2" s="1"/>
  <c r="Y884" i="2" a="1"/>
  <c r="Y884" i="2" s="1"/>
  <c r="AI887" i="2" a="1"/>
  <c r="AI887" i="2" s="1"/>
  <c r="AD887" i="2" a="1"/>
  <c r="AD887" i="2" s="1"/>
  <c r="AF885" i="2" a="1"/>
  <c r="AF885" i="2" s="1"/>
  <c r="AB885" i="2" a="1"/>
  <c r="AB885" i="2" s="1"/>
  <c r="AH885" i="2" a="1"/>
  <c r="AH885" i="2" s="1"/>
  <c r="AI884" i="2" a="1"/>
  <c r="AI884" i="2" s="1"/>
  <c r="AA887" i="2" a="1"/>
  <c r="AA887" i="2" s="1"/>
  <c r="AJ886" i="2" a="1"/>
  <c r="AJ886" i="2" s="1"/>
  <c r="AH886" i="2" a="1"/>
  <c r="AH886" i="2" s="1"/>
  <c r="Z885" i="2" a="1"/>
  <c r="Z885" i="2" s="1"/>
  <c r="AE882" i="2" a="1"/>
  <c r="AE882" i="2" s="1"/>
  <c r="AB882" i="2" a="1"/>
  <c r="AB882" i="2" s="1"/>
  <c r="Z882" i="2" a="1"/>
  <c r="Z882" i="2" s="1"/>
  <c r="Y882" i="2" a="1"/>
  <c r="Y882" i="2" s="1"/>
  <c r="X882" i="2" a="1"/>
  <c r="X882" i="2" s="1"/>
  <c r="AI880" i="2" a="1"/>
  <c r="AI880" i="2" s="1"/>
  <c r="AA880" i="2" a="1"/>
  <c r="AA880" i="2" s="1"/>
  <c r="AF880" i="2" a="1"/>
  <c r="AF880" i="2" s="1"/>
  <c r="W882" i="2" a="1"/>
  <c r="W882" i="2" s="1"/>
  <c r="AH881" i="2" a="1"/>
  <c r="AH881" i="2" s="1"/>
  <c r="AC881" i="2" a="1"/>
  <c r="AC881" i="2" s="1"/>
  <c r="AH880" i="2" a="1"/>
  <c r="AH880" i="2" s="1"/>
  <c r="AD881" i="2" a="1"/>
  <c r="AD881" i="2" s="1"/>
  <c r="AA881" i="2" a="1"/>
  <c r="AA881" i="2" s="1"/>
  <c r="AE880" i="2" a="1"/>
  <c r="AE880" i="2" s="1"/>
  <c r="AJ879" i="2" a="1"/>
  <c r="AJ879" i="2" s="1"/>
  <c r="AB880" i="2" a="1"/>
  <c r="AB880" i="2" s="1"/>
  <c r="X880" i="2" a="1"/>
  <c r="X880" i="2" s="1"/>
  <c r="Y880" i="2" a="1"/>
  <c r="Y880" i="2" s="1"/>
  <c r="W881" i="2" a="1"/>
  <c r="W881" i="2" s="1"/>
  <c r="AI881" i="2" a="1"/>
  <c r="AI881" i="2" s="1"/>
  <c r="W880" i="2" a="1"/>
  <c r="W880" i="2" s="1"/>
  <c r="X989" i="2" a="1"/>
  <c r="X989" i="2" s="1"/>
  <c r="AI883" i="2" a="1"/>
  <c r="AI883" i="2" s="1"/>
  <c r="AH883" i="2" a="1"/>
  <c r="AH883" i="2" s="1"/>
  <c r="AG883" i="2" a="1"/>
  <c r="AG883" i="2" s="1"/>
  <c r="AF883" i="2" a="1"/>
  <c r="AF883" i="2" s="1"/>
  <c r="AE883" i="2" a="1"/>
  <c r="AE883" i="2" s="1"/>
  <c r="AB881" i="2" a="1"/>
  <c r="AB881" i="2" s="1"/>
  <c r="Z881" i="2" a="1"/>
  <c r="Z881" i="2" s="1"/>
  <c r="AJ880" i="2" a="1"/>
  <c r="AJ880" i="2" s="1"/>
  <c r="AD880" i="2" a="1"/>
  <c r="AD880" i="2" s="1"/>
  <c r="AC883" i="2" a="1"/>
  <c r="AC883" i="2" s="1"/>
  <c r="AB883" i="2" a="1"/>
  <c r="AB883" i="2" s="1"/>
  <c r="AG879" i="2" a="1"/>
  <c r="AG879" i="2" s="1"/>
  <c r="AA883" i="2" a="1"/>
  <c r="AA883" i="2" s="1"/>
  <c r="W883" i="2" a="1"/>
  <c r="W883" i="2" s="1"/>
  <c r="AJ882" i="2" a="1"/>
  <c r="AJ882" i="2" s="1"/>
  <c r="AI882" i="2" a="1"/>
  <c r="AI882" i="2" s="1"/>
  <c r="AG882" i="2" a="1"/>
  <c r="AG882" i="2" s="1"/>
  <c r="AF882" i="2" a="1"/>
  <c r="AF882" i="2" s="1"/>
  <c r="AD882" i="2" a="1"/>
  <c r="AD882" i="2" s="1"/>
  <c r="AC882" i="2" a="1"/>
  <c r="AC882" i="2" s="1"/>
  <c r="AC879" i="2" a="1"/>
  <c r="AC879" i="2" s="1"/>
  <c r="AC880" i="2" a="1"/>
  <c r="AC880" i="2" s="1"/>
  <c r="AA882" i="2" a="1"/>
  <c r="AA882" i="2" s="1"/>
  <c r="AJ881" i="2" a="1"/>
  <c r="AJ881" i="2" s="1"/>
  <c r="AF881" i="2" a="1"/>
  <c r="AF881" i="2" s="1"/>
  <c r="AG880" i="2" a="1"/>
  <c r="AG880" i="2" s="1"/>
  <c r="AD879" i="2" a="1"/>
  <c r="AD879" i="2" s="1"/>
  <c r="AH879" i="2" a="1"/>
  <c r="AH879" i="2" s="1"/>
  <c r="AD883" i="2" a="1"/>
  <c r="AD883" i="2" s="1"/>
  <c r="AG881" i="2" a="1"/>
  <c r="AG881" i="2" s="1"/>
  <c r="AI879" i="2" a="1"/>
  <c r="AI879" i="2" s="1"/>
  <c r="Z883" i="2" a="1"/>
  <c r="Z883" i="2" s="1"/>
  <c r="Y883" i="2" a="1"/>
  <c r="Y883" i="2" s="1"/>
  <c r="X883" i="2" a="1"/>
  <c r="X883" i="2" s="1"/>
  <c r="AE881" i="2" a="1"/>
  <c r="AE881" i="2" s="1"/>
  <c r="Z880" i="2" a="1"/>
  <c r="Z880" i="2" s="1"/>
  <c r="AE879" i="2" a="1"/>
  <c r="AE879" i="2" s="1"/>
  <c r="X881" i="2" a="1"/>
  <c r="X881" i="2" s="1"/>
  <c r="AF879" i="2" a="1"/>
  <c r="AF879" i="2" s="1"/>
  <c r="Y881" i="2" a="1"/>
  <c r="Y881" i="2" s="1"/>
  <c r="AH882" i="2" a="1"/>
  <c r="AH882" i="2" s="1"/>
  <c r="AA878" i="2" a="1"/>
  <c r="AA878" i="2" s="1"/>
  <c r="AH877" i="2" a="1"/>
  <c r="AH877" i="2" s="1"/>
  <c r="X875" i="2" a="1"/>
  <c r="X875" i="2" s="1"/>
  <c r="AG877" i="2" a="1"/>
  <c r="AG877" i="2" s="1"/>
  <c r="AE877" i="2" a="1"/>
  <c r="AE877" i="2" s="1"/>
  <c r="X876" i="2" a="1"/>
  <c r="X876" i="2" s="1"/>
  <c r="AI875" i="2" a="1"/>
  <c r="AI875" i="2" s="1"/>
  <c r="AB877" i="2" a="1"/>
  <c r="AB877" i="2" s="1"/>
  <c r="AF876" i="2" a="1"/>
  <c r="AF876" i="2" s="1"/>
  <c r="Z877" i="2" a="1"/>
  <c r="Z877" i="2" s="1"/>
  <c r="Y877" i="2" a="1"/>
  <c r="Y877" i="2" s="1"/>
  <c r="AJ876" i="2" a="1"/>
  <c r="AJ876" i="2" s="1"/>
  <c r="AE876" i="2" a="1"/>
  <c r="AE876" i="2" s="1"/>
  <c r="AD876" i="2" a="1"/>
  <c r="AD876" i="2" s="1"/>
  <c r="AF875" i="2" a="1"/>
  <c r="AF875" i="2" s="1"/>
  <c r="AB875" i="2" a="1"/>
  <c r="AB875" i="2" s="1"/>
  <c r="AE875" i="2" a="1"/>
  <c r="AE875" i="2" s="1"/>
  <c r="AA875" i="2" a="1"/>
  <c r="AA875" i="2" s="1"/>
  <c r="AC876" i="2" a="1"/>
  <c r="AC876" i="2" s="1"/>
  <c r="W876" i="2" a="1"/>
  <c r="W876" i="2" s="1"/>
  <c r="AJ875" i="2" a="1"/>
  <c r="AJ875" i="2" s="1"/>
  <c r="Y879" i="2" a="1"/>
  <c r="Y879" i="2" s="1"/>
  <c r="X878" i="2" a="1"/>
  <c r="X878" i="2" s="1"/>
  <c r="AA987" i="2" a="1"/>
  <c r="AA987" i="2" s="1"/>
  <c r="AB879" i="2" a="1"/>
  <c r="AB879" i="2" s="1"/>
  <c r="AA879" i="2" a="1"/>
  <c r="AA879" i="2" s="1"/>
  <c r="Z878" i="2" a="1"/>
  <c r="Z878" i="2" s="1"/>
  <c r="Y876" i="2" a="1"/>
  <c r="Y876" i="2" s="1"/>
  <c r="AH875" i="2" a="1"/>
  <c r="AH875" i="2" s="1"/>
  <c r="AD875" i="2" a="1"/>
  <c r="AD875" i="2" s="1"/>
  <c r="AF877" i="2" a="1"/>
  <c r="AF877" i="2" s="1"/>
  <c r="Z876" i="2" a="1"/>
  <c r="Z876" i="2" s="1"/>
  <c r="X879" i="2" a="1"/>
  <c r="X879" i="2" s="1"/>
  <c r="AH878" i="2" a="1"/>
  <c r="AH878" i="2" s="1"/>
  <c r="W877" i="2" a="1"/>
  <c r="W877" i="2" s="1"/>
  <c r="AG878" i="2" a="1"/>
  <c r="AG878" i="2" s="1"/>
  <c r="AE878" i="2" a="1"/>
  <c r="AE878" i="2" s="1"/>
  <c r="AB876" i="2" a="1"/>
  <c r="AB876" i="2" s="1"/>
  <c r="W878" i="2" a="1"/>
  <c r="W878" i="2" s="1"/>
  <c r="AJ877" i="2" a="1"/>
  <c r="AJ877" i="2" s="1"/>
  <c r="AI877" i="2" a="1"/>
  <c r="AI877" i="2" s="1"/>
  <c r="AA877" i="2" a="1"/>
  <c r="AA877" i="2" s="1"/>
  <c r="AD877" i="2" a="1"/>
  <c r="AD877" i="2" s="1"/>
  <c r="AC877" i="2" a="1"/>
  <c r="AC877" i="2" s="1"/>
  <c r="Z875" i="2" a="1"/>
  <c r="Z875" i="2" s="1"/>
  <c r="Y875" i="2" a="1"/>
  <c r="Y875" i="2" s="1"/>
  <c r="W875" i="2" a="1"/>
  <c r="W875" i="2" s="1"/>
  <c r="AJ874" i="2" a="1"/>
  <c r="AJ874" i="2" s="1"/>
  <c r="Z879" i="2" a="1"/>
  <c r="Z879" i="2" s="1"/>
  <c r="AA876" i="2" a="1"/>
  <c r="AA876" i="2" s="1"/>
  <c r="AH876" i="2" a="1"/>
  <c r="AH876" i="2" s="1"/>
  <c r="AC878" i="2" a="1"/>
  <c r="AC878" i="2" s="1"/>
  <c r="AG875" i="2" a="1"/>
  <c r="AG875" i="2" s="1"/>
  <c r="AC875" i="2" a="1"/>
  <c r="AC875" i="2" s="1"/>
  <c r="W879" i="2" a="1"/>
  <c r="W879" i="2" s="1"/>
  <c r="Y878" i="2" a="1"/>
  <c r="Y878" i="2" s="1"/>
  <c r="X877" i="2" a="1"/>
  <c r="X877" i="2" s="1"/>
  <c r="AJ878" i="2" a="1"/>
  <c r="AJ878" i="2" s="1"/>
  <c r="AI878" i="2" a="1"/>
  <c r="AI878" i="2" s="1"/>
  <c r="AF878" i="2" a="1"/>
  <c r="AF878" i="2" s="1"/>
  <c r="AD878" i="2" a="1"/>
  <c r="AD878" i="2" s="1"/>
  <c r="AB878" i="2" a="1"/>
  <c r="AB878" i="2" s="1"/>
  <c r="AI876" i="2" a="1"/>
  <c r="AI876" i="2" s="1"/>
  <c r="AG876" i="2" a="1"/>
  <c r="AG876" i="2" s="1"/>
  <c r="AH870" i="2" a="1"/>
  <c r="AH870" i="2" s="1"/>
  <c r="AD874" i="2" a="1"/>
  <c r="AD874" i="2" s="1"/>
  <c r="X874" i="2" a="1"/>
  <c r="X874" i="2" s="1"/>
  <c r="W874" i="2" a="1"/>
  <c r="W874" i="2" s="1"/>
  <c r="AC873" i="2" a="1"/>
  <c r="AC873" i="2" s="1"/>
  <c r="Y873" i="2" a="1"/>
  <c r="Y873" i="2" s="1"/>
  <c r="Y872" i="2" a="1"/>
  <c r="Y872" i="2" s="1"/>
  <c r="X873" i="2" a="1"/>
  <c r="X873" i="2" s="1"/>
  <c r="AJ871" i="2" a="1"/>
  <c r="AJ871" i="2" s="1"/>
  <c r="W872" i="2" a="1"/>
  <c r="W872" i="2" s="1"/>
  <c r="AC870" i="2" a="1"/>
  <c r="AC870" i="2" s="1"/>
  <c r="W873" i="2" a="1"/>
  <c r="W873" i="2" s="1"/>
  <c r="AD871" i="2" a="1"/>
  <c r="AD871" i="2" s="1"/>
  <c r="X872" i="2" a="1"/>
  <c r="X872" i="2" s="1"/>
  <c r="AG871" i="2" a="1"/>
  <c r="AG871" i="2" s="1"/>
  <c r="W871" i="2" a="1"/>
  <c r="W871" i="2" s="1"/>
  <c r="Z871" i="2" a="1"/>
  <c r="Z871" i="2" s="1"/>
  <c r="Y871" i="2" a="1"/>
  <c r="Y871" i="2" s="1"/>
  <c r="AD870" i="2" a="1"/>
  <c r="AD870" i="2" s="1"/>
  <c r="Z873" i="2" a="1"/>
  <c r="Z873" i="2" s="1"/>
  <c r="AF871" i="2" a="1"/>
  <c r="AF871" i="2" s="1"/>
  <c r="X871" i="2" a="1"/>
  <c r="X871" i="2" s="1"/>
  <c r="AI873" i="2" a="1"/>
  <c r="AI873" i="2" s="1"/>
  <c r="AE871" i="2" a="1"/>
  <c r="AE871" i="2" s="1"/>
  <c r="AG873" i="2" a="1"/>
  <c r="AG873" i="2" s="1"/>
  <c r="AE872" i="2" a="1"/>
  <c r="AE872" i="2" s="1"/>
  <c r="AB872" i="2" a="1"/>
  <c r="AB872" i="2" s="1"/>
  <c r="AJ873" i="2" a="1"/>
  <c r="AJ873" i="2" s="1"/>
  <c r="AA874" i="2" a="1"/>
  <c r="AA874" i="2" s="1"/>
  <c r="AH873" i="2" a="1"/>
  <c r="AH873" i="2" s="1"/>
  <c r="AJ872" i="2" a="1"/>
  <c r="AJ872" i="2" s="1"/>
  <c r="AA871" i="2" a="1"/>
  <c r="AA871" i="2" s="1"/>
  <c r="AC871" i="2" a="1"/>
  <c r="AC871" i="2" s="1"/>
  <c r="AA873" i="2" a="1"/>
  <c r="AA873" i="2" s="1"/>
  <c r="AD873" i="2" a="1"/>
  <c r="AD873" i="2" s="1"/>
  <c r="AH872" i="2" a="1"/>
  <c r="AH872" i="2" s="1"/>
  <c r="AG872" i="2" a="1"/>
  <c r="AG872" i="2" s="1"/>
  <c r="AB871" i="2" a="1"/>
  <c r="AB871" i="2" s="1"/>
  <c r="AG870" i="2" a="1"/>
  <c r="AG870" i="2" s="1"/>
  <c r="AB874" i="2" a="1"/>
  <c r="AB874" i="2" s="1"/>
  <c r="AF872" i="2" a="1"/>
  <c r="AF872" i="2" s="1"/>
  <c r="AC872" i="2" a="1"/>
  <c r="AC872" i="2" s="1"/>
  <c r="AE873" i="2" a="1"/>
  <c r="AE873" i="2" s="1"/>
  <c r="AI871" i="2" a="1"/>
  <c r="AI871" i="2" s="1"/>
  <c r="AI872" i="2" a="1"/>
  <c r="AI872" i="2" s="1"/>
  <c r="AC874" i="2" a="1"/>
  <c r="AC874" i="2" s="1"/>
  <c r="AF873" i="2" a="1"/>
  <c r="AF873" i="2" s="1"/>
  <c r="AA988" i="2" a="1"/>
  <c r="AA988" i="2" s="1"/>
  <c r="Y874" i="2" a="1"/>
  <c r="Y874" i="2" s="1"/>
  <c r="Z872" i="2" a="1"/>
  <c r="Z872" i="2" s="1"/>
  <c r="AI870" i="2" a="1"/>
  <c r="AI870" i="2" s="1"/>
  <c r="AF870" i="2" a="1"/>
  <c r="AF870" i="2" s="1"/>
  <c r="AJ870" i="2" a="1"/>
  <c r="AJ870" i="2" s="1"/>
  <c r="AE870" i="2" a="1"/>
  <c r="AE870" i="2" s="1"/>
  <c r="AB873" i="2" a="1"/>
  <c r="AB873" i="2" s="1"/>
  <c r="AA872" i="2" a="1"/>
  <c r="AA872" i="2" s="1"/>
  <c r="Z874" i="2" a="1"/>
  <c r="Z874" i="2" s="1"/>
  <c r="AH871" i="2" a="1"/>
  <c r="AH871" i="2" s="1"/>
  <c r="AI874" i="2" a="1"/>
  <c r="AI874" i="2" s="1"/>
  <c r="AH874" i="2" a="1"/>
  <c r="AH874" i="2" s="1"/>
  <c r="AG874" i="2" a="1"/>
  <c r="AG874" i="2" s="1"/>
  <c r="AF874" i="2" a="1"/>
  <c r="AF874" i="2" s="1"/>
  <c r="AE874" i="2" a="1"/>
  <c r="AE874" i="2" s="1"/>
  <c r="AD872" i="2" a="1"/>
  <c r="AD872" i="2" s="1"/>
  <c r="Y867" i="2" a="1"/>
  <c r="Y867" i="2" s="1"/>
  <c r="W870" i="2" a="1"/>
  <c r="W870" i="2" s="1"/>
  <c r="AH869" i="2" a="1"/>
  <c r="AH869" i="2" s="1"/>
  <c r="AF869" i="2" a="1"/>
  <c r="AF869" i="2" s="1"/>
  <c r="AE869" i="2" a="1"/>
  <c r="AE869" i="2" s="1"/>
  <c r="AB869" i="2" a="1"/>
  <c r="AB869" i="2" s="1"/>
  <c r="AH866" i="2" a="1"/>
  <c r="AH866" i="2" s="1"/>
  <c r="X869" i="2" a="1"/>
  <c r="X869" i="2" s="1"/>
  <c r="W869" i="2" a="1"/>
  <c r="W869" i="2" s="1"/>
  <c r="AD868" i="2" a="1"/>
  <c r="AD868" i="2" s="1"/>
  <c r="AC868" i="2" a="1"/>
  <c r="AC868" i="2" s="1"/>
  <c r="AA868" i="2" a="1"/>
  <c r="AA868" i="2" s="1"/>
  <c r="AD866" i="2" a="1"/>
  <c r="AD866" i="2" s="1"/>
  <c r="AG867" i="2" a="1"/>
  <c r="AG867" i="2" s="1"/>
  <c r="Y868" i="2" a="1"/>
  <c r="Y868" i="2" s="1"/>
  <c r="AE867" i="2" a="1"/>
  <c r="AE867" i="2" s="1"/>
  <c r="AI866" i="2" a="1"/>
  <c r="AI866" i="2" s="1"/>
  <c r="W867" i="2" a="1"/>
  <c r="W867" i="2" s="1"/>
  <c r="AJ865" i="2" a="1"/>
  <c r="AJ865" i="2" s="1"/>
  <c r="Z866" i="2" a="1"/>
  <c r="Z866" i="2" s="1"/>
  <c r="Z868" i="2" a="1"/>
  <c r="Z868" i="2" s="1"/>
  <c r="Y866" i="2" a="1"/>
  <c r="Y866" i="2" s="1"/>
  <c r="AC867" i="2" a="1"/>
  <c r="AC867" i="2" s="1"/>
  <c r="AD869" i="2" a="1"/>
  <c r="AD869" i="2" s="1"/>
  <c r="AA869" i="2" a="1"/>
  <c r="AA869" i="2" s="1"/>
  <c r="AB867" i="2" a="1"/>
  <c r="AB867" i="2" s="1"/>
  <c r="X867" i="2" a="1"/>
  <c r="X867" i="2" s="1"/>
  <c r="AJ866" i="2" a="1"/>
  <c r="AJ866" i="2" s="1"/>
  <c r="Z869" i="2" a="1"/>
  <c r="Z869" i="2" s="1"/>
  <c r="AA867" i="2" a="1"/>
  <c r="AA867" i="2" s="1"/>
  <c r="AD867" i="2" a="1"/>
  <c r="AD867" i="2" s="1"/>
  <c r="AB868" i="2" a="1"/>
  <c r="AB868" i="2" s="1"/>
  <c r="AJ869" i="2" a="1"/>
  <c r="AJ869" i="2" s="1"/>
  <c r="AI868" i="2" a="1"/>
  <c r="AI868" i="2" s="1"/>
  <c r="AE866" i="2" a="1"/>
  <c r="AE866" i="2" s="1"/>
  <c r="Z987" i="2" a="1"/>
  <c r="Z987" i="2" s="1"/>
  <c r="AB870" i="2" a="1"/>
  <c r="AB870" i="2" s="1"/>
  <c r="AG869" i="2" a="1"/>
  <c r="AG869" i="2" s="1"/>
  <c r="AA866" i="2" a="1"/>
  <c r="AA866" i="2" s="1"/>
  <c r="Y870" i="2" a="1"/>
  <c r="Y870" i="2" s="1"/>
  <c r="AE868" i="2" a="1"/>
  <c r="AE868" i="2" s="1"/>
  <c r="AF867" i="2" a="1"/>
  <c r="AF867" i="2" s="1"/>
  <c r="X870" i="2" a="1"/>
  <c r="X870" i="2" s="1"/>
  <c r="AH867" i="2" a="1"/>
  <c r="AH867" i="2" s="1"/>
  <c r="AI869" i="2" a="1"/>
  <c r="AI869" i="2" s="1"/>
  <c r="AI867" i="2" a="1"/>
  <c r="AI867" i="2" s="1"/>
  <c r="Y869" i="2" a="1"/>
  <c r="Y869" i="2" s="1"/>
  <c r="AF868" i="2" a="1"/>
  <c r="AF868" i="2" s="1"/>
  <c r="AF866" i="2" a="1"/>
  <c r="AF866" i="2" s="1"/>
  <c r="X868" i="2" a="1"/>
  <c r="X868" i="2" s="1"/>
  <c r="W868" i="2" a="1"/>
  <c r="W868" i="2" s="1"/>
  <c r="X866" i="2" a="1"/>
  <c r="X866" i="2" s="1"/>
  <c r="Z867" i="2" a="1"/>
  <c r="Z867" i="2" s="1"/>
  <c r="W866" i="2" a="1"/>
  <c r="W866" i="2" s="1"/>
  <c r="AB866" i="2" a="1"/>
  <c r="AB866" i="2" s="1"/>
  <c r="AJ868" i="2" a="1"/>
  <c r="AJ868" i="2" s="1"/>
  <c r="AC869" i="2" a="1"/>
  <c r="AC869" i="2" s="1"/>
  <c r="AJ867" i="2" a="1"/>
  <c r="AJ867" i="2" s="1"/>
  <c r="AG868" i="2" a="1"/>
  <c r="AG868" i="2" s="1"/>
  <c r="AG866" i="2" a="1"/>
  <c r="AG866" i="2" s="1"/>
  <c r="AA870" i="2" a="1"/>
  <c r="AA870" i="2" s="1"/>
  <c r="AH868" i="2" a="1"/>
  <c r="AH868" i="2" s="1"/>
  <c r="Z870" i="2" a="1"/>
  <c r="Z870" i="2" s="1"/>
  <c r="AC866" i="2" a="1"/>
  <c r="AC866" i="2" s="1"/>
  <c r="AE863" i="2" a="1"/>
  <c r="AE863" i="2" s="1"/>
  <c r="AB865" i="2" a="1"/>
  <c r="AB865" i="2" s="1"/>
  <c r="Y864" i="2" a="1"/>
  <c r="Y864" i="2" s="1"/>
  <c r="AF861" i="2" a="1"/>
  <c r="AF861" i="2" s="1"/>
  <c r="AH864" i="2" a="1"/>
  <c r="AH864" i="2" s="1"/>
  <c r="AG864" i="2" a="1"/>
  <c r="AG864" i="2" s="1"/>
  <c r="W862" i="2" a="1"/>
  <c r="W862" i="2" s="1"/>
  <c r="AF864" i="2" a="1"/>
  <c r="AF864" i="2" s="1"/>
  <c r="AE864" i="2" a="1"/>
  <c r="AE864" i="2" s="1"/>
  <c r="X864" i="2" a="1"/>
  <c r="X864" i="2" s="1"/>
  <c r="Z863" i="2" a="1"/>
  <c r="Z863" i="2" s="1"/>
  <c r="W864" i="2" a="1"/>
  <c r="W864" i="2" s="1"/>
  <c r="AB862" i="2" a="1"/>
  <c r="AB862" i="2" s="1"/>
  <c r="AJ863" i="2" a="1"/>
  <c r="AJ863" i="2" s="1"/>
  <c r="AE861" i="2" a="1"/>
  <c r="AE861" i="2" s="1"/>
  <c r="AC861" i="2" a="1"/>
  <c r="AC861" i="2" s="1"/>
  <c r="AJ861" i="2" a="1"/>
  <c r="AJ861" i="2" s="1"/>
  <c r="AG862" i="2" a="1"/>
  <c r="AG862" i="2" s="1"/>
  <c r="AA863" i="2" a="1"/>
  <c r="AA863" i="2" s="1"/>
  <c r="AH863" i="2" a="1"/>
  <c r="AH863" i="2" s="1"/>
  <c r="AD863" i="2" a="1"/>
  <c r="AD863" i="2" s="1"/>
  <c r="X863" i="2" a="1"/>
  <c r="X863" i="2" s="1"/>
  <c r="Y862" i="2" a="1"/>
  <c r="Y862" i="2" s="1"/>
  <c r="AA865" i="2" a="1"/>
  <c r="AA865" i="2" s="1"/>
  <c r="W865" i="2" a="1"/>
  <c r="W865" i="2" s="1"/>
  <c r="AG863" i="2" a="1"/>
  <c r="AG863" i="2" s="1"/>
  <c r="AF862" i="2" a="1"/>
  <c r="AF862" i="2" s="1"/>
  <c r="AD861" i="2" a="1"/>
  <c r="AD861" i="2" s="1"/>
  <c r="AB864" i="2" a="1"/>
  <c r="AB864" i="2" s="1"/>
  <c r="W863" i="2" a="1"/>
  <c r="W863" i="2" s="1"/>
  <c r="AD862" i="2" a="1"/>
  <c r="AD862" i="2" s="1"/>
  <c r="AI861" i="2" a="1"/>
  <c r="AI861" i="2" s="1"/>
  <c r="Y863" i="2" a="1"/>
  <c r="Y863" i="2" s="1"/>
  <c r="AH988" i="2" a="1"/>
  <c r="AH988" i="2" s="1"/>
  <c r="AG865" i="2" a="1"/>
  <c r="AG865" i="2" s="1"/>
  <c r="Z865" i="2" a="1"/>
  <c r="Z865" i="2" s="1"/>
  <c r="AI864" i="2" a="1"/>
  <c r="AI864" i="2" s="1"/>
  <c r="AC864" i="2" a="1"/>
  <c r="AC864" i="2" s="1"/>
  <c r="AF863" i="2" a="1"/>
  <c r="AF863" i="2" s="1"/>
  <c r="X865" i="2" a="1"/>
  <c r="X865" i="2" s="1"/>
  <c r="AJ862" i="2" a="1"/>
  <c r="AJ862" i="2" s="1"/>
  <c r="AH862" i="2" a="1"/>
  <c r="AH862" i="2" s="1"/>
  <c r="AE865" i="2" a="1"/>
  <c r="AE865" i="2" s="1"/>
  <c r="AD865" i="2" a="1"/>
  <c r="AD865" i="2" s="1"/>
  <c r="AC862" i="2" a="1"/>
  <c r="AC862" i="2" s="1"/>
  <c r="AD864" i="2" a="1"/>
  <c r="AD864" i="2" s="1"/>
  <c r="X862" i="2" a="1"/>
  <c r="X862" i="2" s="1"/>
  <c r="AA862" i="2" a="1"/>
  <c r="AA862" i="2" s="1"/>
  <c r="AI863" i="2" a="1"/>
  <c r="AI863" i="2" s="1"/>
  <c r="AJ864" i="2" a="1"/>
  <c r="AJ864" i="2" s="1"/>
  <c r="Z864" i="2" a="1"/>
  <c r="Z864" i="2" s="1"/>
  <c r="AC863" i="2" a="1"/>
  <c r="AC863" i="2" s="1"/>
  <c r="AB863" i="2" a="1"/>
  <c r="AB863" i="2" s="1"/>
  <c r="AG861" i="2" a="1"/>
  <c r="AG861" i="2" s="1"/>
  <c r="AA864" i="2" a="1"/>
  <c r="AA864" i="2" s="1"/>
  <c r="AE862" i="2" a="1"/>
  <c r="AE862" i="2" s="1"/>
  <c r="AH861" i="2" a="1"/>
  <c r="AH861" i="2" s="1"/>
  <c r="AI865" i="2" a="1"/>
  <c r="AI865" i="2" s="1"/>
  <c r="AH865" i="2" a="1"/>
  <c r="AH865" i="2" s="1"/>
  <c r="AF865" i="2" a="1"/>
  <c r="AF865" i="2" s="1"/>
  <c r="AC865" i="2" a="1"/>
  <c r="AC865" i="2" s="1"/>
  <c r="Y865" i="2" a="1"/>
  <c r="Y865" i="2" s="1"/>
  <c r="Z862" i="2" a="1"/>
  <c r="Z862" i="2" s="1"/>
  <c r="AI862" i="2" a="1"/>
  <c r="AI862" i="2" s="1"/>
  <c r="Z860" i="2" a="1"/>
  <c r="Z860" i="2" s="1"/>
  <c r="AI858" i="2" a="1"/>
  <c r="AI858" i="2" s="1"/>
  <c r="AE859" i="2" a="1"/>
  <c r="AE859" i="2" s="1"/>
  <c r="AC859" i="2" a="1"/>
  <c r="AC859" i="2" s="1"/>
  <c r="Z859" i="2" a="1"/>
  <c r="Z859" i="2" s="1"/>
  <c r="X859" i="2" a="1"/>
  <c r="X859" i="2" s="1"/>
  <c r="AJ858" i="2" a="1"/>
  <c r="AJ858" i="2" s="1"/>
  <c r="AG858" i="2" a="1"/>
  <c r="AG858" i="2" s="1"/>
  <c r="AH857" i="2" a="1"/>
  <c r="AH857" i="2" s="1"/>
  <c r="AA858" i="2" a="1"/>
  <c r="AA858" i="2" s="1"/>
  <c r="AD857" i="2" a="1"/>
  <c r="AD857" i="2" s="1"/>
  <c r="AI857" i="2" a="1"/>
  <c r="AI857" i="2" s="1"/>
  <c r="AA857" i="2" a="1"/>
  <c r="AA857" i="2" s="1"/>
  <c r="AJ856" i="2" a="1"/>
  <c r="AJ856" i="2" s="1"/>
  <c r="Y987" i="2" a="1"/>
  <c r="Y987" i="2" s="1"/>
  <c r="AB861" i="2" a="1"/>
  <c r="AB861" i="2" s="1"/>
  <c r="Z861" i="2" a="1"/>
  <c r="Z861" i="2" s="1"/>
  <c r="AI859" i="2" a="1"/>
  <c r="AI859" i="2" s="1"/>
  <c r="AH860" i="2" a="1"/>
  <c r="AH860" i="2" s="1"/>
  <c r="AB859" i="2" a="1"/>
  <c r="AB859" i="2" s="1"/>
  <c r="Y859" i="2" a="1"/>
  <c r="Y859" i="2" s="1"/>
  <c r="AD860" i="2" a="1"/>
  <c r="AD860" i="2" s="1"/>
  <c r="AH858" i="2" a="1"/>
  <c r="AH858" i="2" s="1"/>
  <c r="AA861" i="2" a="1"/>
  <c r="AA861" i="2" s="1"/>
  <c r="Y861" i="2" a="1"/>
  <c r="Y861" i="2" s="1"/>
  <c r="X861" i="2" a="1"/>
  <c r="X861" i="2" s="1"/>
  <c r="W859" i="2" a="1"/>
  <c r="W859" i="2" s="1"/>
  <c r="W861" i="2" a="1"/>
  <c r="W861" i="2" s="1"/>
  <c r="AJ860" i="2" a="1"/>
  <c r="AJ860" i="2" s="1"/>
  <c r="AJ857" i="2" a="1"/>
  <c r="AJ857" i="2" s="1"/>
  <c r="W857" i="2" a="1"/>
  <c r="W857" i="2" s="1"/>
  <c r="AF860" i="2" a="1"/>
  <c r="AF860" i="2" s="1"/>
  <c r="AB860" i="2" a="1"/>
  <c r="AB860" i="2" s="1"/>
  <c r="AA860" i="2" a="1"/>
  <c r="AA860" i="2" s="1"/>
  <c r="AB858" i="2" a="1"/>
  <c r="AB858" i="2" s="1"/>
  <c r="Y860" i="2" a="1"/>
  <c r="Y860" i="2" s="1"/>
  <c r="X860" i="2" a="1"/>
  <c r="X860" i="2" s="1"/>
  <c r="AF859" i="2" a="1"/>
  <c r="AF859" i="2" s="1"/>
  <c r="W860" i="2" a="1"/>
  <c r="W860" i="2" s="1"/>
  <c r="AA859" i="2" a="1"/>
  <c r="AA859" i="2" s="1"/>
  <c r="AG859" i="2" a="1"/>
  <c r="AG859" i="2" s="1"/>
  <c r="AD858" i="2" a="1"/>
  <c r="AD858" i="2" s="1"/>
  <c r="AF857" i="2" a="1"/>
  <c r="AF857" i="2" s="1"/>
  <c r="AB857" i="2" a="1"/>
  <c r="AB857" i="2" s="1"/>
  <c r="AE857" i="2" a="1"/>
  <c r="AE857" i="2" s="1"/>
  <c r="AC857" i="2" a="1"/>
  <c r="AC857" i="2" s="1"/>
  <c r="AH859" i="2" a="1"/>
  <c r="AH859" i="2" s="1"/>
  <c r="Z857" i="2" a="1"/>
  <c r="Z857" i="2" s="1"/>
  <c r="X857" i="2" a="1"/>
  <c r="X857" i="2" s="1"/>
  <c r="AE858" i="2" a="1"/>
  <c r="AE858" i="2" s="1"/>
  <c r="X858" i="2" a="1"/>
  <c r="X858" i="2" s="1"/>
  <c r="AF858" i="2" a="1"/>
  <c r="AF858" i="2" s="1"/>
  <c r="AI860" i="2" a="1"/>
  <c r="AI860" i="2" s="1"/>
  <c r="AD859" i="2" a="1"/>
  <c r="AD859" i="2" s="1"/>
  <c r="Y858" i="2" a="1"/>
  <c r="Y858" i="2" s="1"/>
  <c r="AG857" i="2" a="1"/>
  <c r="AG857" i="2" s="1"/>
  <c r="AC858" i="2" a="1"/>
  <c r="AC858" i="2" s="1"/>
  <c r="W858" i="2" a="1"/>
  <c r="W858" i="2" s="1"/>
  <c r="AJ859" i="2" a="1"/>
  <c r="AJ859" i="2" s="1"/>
  <c r="AG860" i="2" a="1"/>
  <c r="AG860" i="2" s="1"/>
  <c r="AE860" i="2" a="1"/>
  <c r="AE860" i="2" s="1"/>
  <c r="Y857" i="2" a="1"/>
  <c r="Y857" i="2" s="1"/>
  <c r="AC860" i="2" a="1"/>
  <c r="AC860" i="2" s="1"/>
  <c r="Z858" i="2" a="1"/>
  <c r="Z858" i="2" s="1"/>
  <c r="AI854" i="2" a="1"/>
  <c r="AI854" i="2" s="1"/>
  <c r="AF856" i="2" a="1"/>
  <c r="AF856" i="2" s="1"/>
  <c r="AE856" i="2" a="1"/>
  <c r="AE856" i="2" s="1"/>
  <c r="AC856" i="2" a="1"/>
  <c r="AC856" i="2" s="1"/>
  <c r="X856" i="2" a="1"/>
  <c r="X856" i="2" s="1"/>
  <c r="X854" i="2" a="1"/>
  <c r="X854" i="2" s="1"/>
  <c r="AJ853" i="2" a="1"/>
  <c r="AJ853" i="2" s="1"/>
  <c r="W856" i="2" a="1"/>
  <c r="W856" i="2" s="1"/>
  <c r="AI855" i="2" a="1"/>
  <c r="AI855" i="2" s="1"/>
  <c r="AD855" i="2" a="1"/>
  <c r="AD855" i="2" s="1"/>
  <c r="Y855" i="2" a="1"/>
  <c r="Y855" i="2" s="1"/>
  <c r="AI852" i="2" a="1"/>
  <c r="AI852" i="2" s="1"/>
  <c r="AC854" i="2" a="1"/>
  <c r="AC854" i="2" s="1"/>
  <c r="X853" i="2" a="1"/>
  <c r="X853" i="2" s="1"/>
  <c r="W854" i="2" a="1"/>
  <c r="W854" i="2" s="1"/>
  <c r="AE853" i="2" a="1"/>
  <c r="AE853" i="2" s="1"/>
  <c r="AG853" i="2" a="1"/>
  <c r="AG853" i="2" s="1"/>
  <c r="AG852" i="2" a="1"/>
  <c r="AG852" i="2" s="1"/>
  <c r="AH853" i="2" a="1"/>
  <c r="AH853" i="2" s="1"/>
  <c r="AF855" i="2" a="1"/>
  <c r="AF855" i="2" s="1"/>
  <c r="Z855" i="2" a="1"/>
  <c r="Z855" i="2" s="1"/>
  <c r="AF853" i="2" a="1"/>
  <c r="AF853" i="2" s="1"/>
  <c r="AC855" i="2" a="1"/>
  <c r="AC855" i="2" s="1"/>
  <c r="X855" i="2" a="1"/>
  <c r="X855" i="2" s="1"/>
  <c r="W855" i="2" a="1"/>
  <c r="W855" i="2" s="1"/>
  <c r="AE854" i="2" a="1"/>
  <c r="AE854" i="2" s="1"/>
  <c r="Y854" i="2" a="1"/>
  <c r="Y854" i="2" s="1"/>
  <c r="AI853" i="2" a="1"/>
  <c r="AI853" i="2" s="1"/>
  <c r="AH852" i="2" a="1"/>
  <c r="AH852" i="2" s="1"/>
  <c r="AF852" i="2" a="1"/>
  <c r="AF852" i="2" s="1"/>
  <c r="Z854" i="2" a="1"/>
  <c r="Z854" i="2" s="1"/>
  <c r="Z853" i="2" a="1"/>
  <c r="Z853" i="2" s="1"/>
  <c r="AG854" i="2" a="1"/>
  <c r="AG854" i="2" s="1"/>
  <c r="AH856" i="2" a="1"/>
  <c r="AH856" i="2" s="1"/>
  <c r="AD856" i="2" a="1"/>
  <c r="AD856" i="2" s="1"/>
  <c r="Z856" i="2" a="1"/>
  <c r="Z856" i="2" s="1"/>
  <c r="Y856" i="2" a="1"/>
  <c r="Y856" i="2" s="1"/>
  <c r="AJ855" i="2" a="1"/>
  <c r="AJ855" i="2" s="1"/>
  <c r="AH855" i="2" a="1"/>
  <c r="AH855" i="2" s="1"/>
  <c r="AG855" i="2" a="1"/>
  <c r="AG855" i="2" s="1"/>
  <c r="AE855" i="2" a="1"/>
  <c r="AE855" i="2" s="1"/>
  <c r="AA855" i="2" a="1"/>
  <c r="AA855" i="2" s="1"/>
  <c r="AB854" i="2" a="1"/>
  <c r="AB854" i="2" s="1"/>
  <c r="AA854" i="2" a="1"/>
  <c r="AA854" i="2" s="1"/>
  <c r="W853" i="2" a="1"/>
  <c r="W853" i="2" s="1"/>
  <c r="AJ852" i="2" a="1"/>
  <c r="AJ852" i="2" s="1"/>
  <c r="AB855" i="2" a="1"/>
  <c r="AB855" i="2" s="1"/>
  <c r="AD854" i="2" a="1"/>
  <c r="AD854" i="2" s="1"/>
  <c r="AC853" i="2" a="1"/>
  <c r="AC853" i="2" s="1"/>
  <c r="Y853" i="2" a="1"/>
  <c r="Y853" i="2" s="1"/>
  <c r="AD852" i="2" a="1"/>
  <c r="AD852" i="2" s="1"/>
  <c r="Z988" i="2" a="1"/>
  <c r="Z988" i="2" s="1"/>
  <c r="AI856" i="2" a="1"/>
  <c r="AI856" i="2" s="1"/>
  <c r="AD853" i="2" a="1"/>
  <c r="AD853" i="2" s="1"/>
  <c r="AG856" i="2" a="1"/>
  <c r="AG856" i="2" s="1"/>
  <c r="AB856" i="2" a="1"/>
  <c r="AB856" i="2" s="1"/>
  <c r="AA856" i="2" a="1"/>
  <c r="AA856" i="2" s="1"/>
  <c r="AJ854" i="2" a="1"/>
  <c r="AJ854" i="2" s="1"/>
  <c r="AF854" i="2" a="1"/>
  <c r="AF854" i="2" s="1"/>
  <c r="AB853" i="2" a="1"/>
  <c r="AB853" i="2" s="1"/>
  <c r="AA853" i="2" a="1"/>
  <c r="AA853" i="2" s="1"/>
  <c r="AC852" i="2" a="1"/>
  <c r="AC852" i="2" s="1"/>
  <c r="AE852" i="2" a="1"/>
  <c r="AE852" i="2" s="1"/>
  <c r="AH854" i="2" a="1"/>
  <c r="AH854" i="2" s="1"/>
  <c r="AB849" i="2" a="1"/>
  <c r="AB849" i="2" s="1"/>
  <c r="AJ850" i="2" a="1"/>
  <c r="AJ850" i="2" s="1"/>
  <c r="AC850" i="2" a="1"/>
  <c r="AC850" i="2" s="1"/>
  <c r="AI848" i="2" a="1"/>
  <c r="AI848" i="2" s="1"/>
  <c r="Y848" i="2" a="1"/>
  <c r="Y848" i="2" s="1"/>
  <c r="Z849" i="2" a="1"/>
  <c r="Z849" i="2" s="1"/>
  <c r="AF851" i="2" a="1"/>
  <c r="AF851" i="2" s="1"/>
  <c r="AE851" i="2" a="1"/>
  <c r="AE851" i="2" s="1"/>
  <c r="AD848" i="2" a="1"/>
  <c r="AD848" i="2" s="1"/>
  <c r="AC848" i="2" a="1"/>
  <c r="AC848" i="2" s="1"/>
  <c r="AC851" i="2" a="1"/>
  <c r="AC851" i="2" s="1"/>
  <c r="Y851" i="2" a="1"/>
  <c r="Y851" i="2" s="1"/>
  <c r="AD850" i="2" a="1"/>
  <c r="AD850" i="2" s="1"/>
  <c r="AB850" i="2" a="1"/>
  <c r="AB850" i="2" s="1"/>
  <c r="AH848" i="2" a="1"/>
  <c r="AH848" i="2" s="1"/>
  <c r="W850" i="2" a="1"/>
  <c r="W850" i="2" s="1"/>
  <c r="AJ849" i="2" a="1"/>
  <c r="AJ849" i="2" s="1"/>
  <c r="Z848" i="2" a="1"/>
  <c r="Z848" i="2" s="1"/>
  <c r="AB848" i="2" a="1"/>
  <c r="AB848" i="2" s="1"/>
  <c r="AD851" i="2" a="1"/>
  <c r="AD851" i="2" s="1"/>
  <c r="AF849" i="2" a="1"/>
  <c r="AF849" i="2" s="1"/>
  <c r="AH851" i="2" a="1"/>
  <c r="AH851" i="2" s="1"/>
  <c r="Y850" i="2" a="1"/>
  <c r="Y850" i="2" s="1"/>
  <c r="AA850" i="2" a="1"/>
  <c r="AA850" i="2" s="1"/>
  <c r="AG848" i="2" a="1"/>
  <c r="AG848" i="2" s="1"/>
  <c r="X850" i="2" a="1"/>
  <c r="X850" i="2" s="1"/>
  <c r="AE849" i="2" a="1"/>
  <c r="AE849" i="2" s="1"/>
  <c r="AA849" i="2" a="1"/>
  <c r="AA849" i="2" s="1"/>
  <c r="AI850" i="2" a="1"/>
  <c r="AI850" i="2" s="1"/>
  <c r="AD849" i="2" a="1"/>
  <c r="AD849" i="2" s="1"/>
  <c r="AF850" i="2" a="1"/>
  <c r="AF850" i="2" s="1"/>
  <c r="X849" i="2" a="1"/>
  <c r="X849" i="2" s="1"/>
  <c r="AI849" i="2" a="1"/>
  <c r="AI849" i="2" s="1"/>
  <c r="X987" i="2" a="1"/>
  <c r="X987" i="2" s="1"/>
  <c r="AB852" i="2" a="1"/>
  <c r="AB852" i="2" s="1"/>
  <c r="AA852" i="2" a="1"/>
  <c r="AA852" i="2" s="1"/>
  <c r="Z852" i="2" a="1"/>
  <c r="Z852" i="2" s="1"/>
  <c r="X851" i="2" a="1"/>
  <c r="X851" i="2" s="1"/>
  <c r="Y849" i="2" a="1"/>
  <c r="Y849" i="2" s="1"/>
  <c r="AB851" i="2" a="1"/>
  <c r="AB851" i="2" s="1"/>
  <c r="W851" i="2" a="1"/>
  <c r="W851" i="2" s="1"/>
  <c r="AG849" i="2" a="1"/>
  <c r="AG849" i="2" s="1"/>
  <c r="AI851" i="2" a="1"/>
  <c r="AI851" i="2" s="1"/>
  <c r="Z851" i="2" a="1"/>
  <c r="Z851" i="2" s="1"/>
  <c r="AH849" i="2" a="1"/>
  <c r="AH849" i="2" s="1"/>
  <c r="AA848" i="2" a="1"/>
  <c r="AA848" i="2" s="1"/>
  <c r="AJ847" i="2" a="1"/>
  <c r="AJ847" i="2" s="1"/>
  <c r="AE848" i="2" a="1"/>
  <c r="AE848" i="2" s="1"/>
  <c r="AJ851" i="2" a="1"/>
  <c r="AJ851" i="2" s="1"/>
  <c r="AE850" i="2" a="1"/>
  <c r="AE850" i="2" s="1"/>
  <c r="X848" i="2" a="1"/>
  <c r="X848" i="2" s="1"/>
  <c r="AC849" i="2" a="1"/>
  <c r="AC849" i="2" s="1"/>
  <c r="AJ848" i="2" a="1"/>
  <c r="AJ848" i="2" s="1"/>
  <c r="AF848" i="2" a="1"/>
  <c r="AF848" i="2" s="1"/>
  <c r="AA851" i="2" a="1"/>
  <c r="AA851" i="2" s="1"/>
  <c r="Z850" i="2" a="1"/>
  <c r="Z850" i="2" s="1"/>
  <c r="W849" i="2" a="1"/>
  <c r="W849" i="2" s="1"/>
  <c r="Y852" i="2" a="1"/>
  <c r="Y852" i="2" s="1"/>
  <c r="X852" i="2" a="1"/>
  <c r="X852" i="2" s="1"/>
  <c r="W852" i="2" a="1"/>
  <c r="W852" i="2" s="1"/>
  <c r="AG850" i="2" a="1"/>
  <c r="AG850" i="2" s="1"/>
  <c r="W848" i="2" a="1"/>
  <c r="W848" i="2" s="1"/>
  <c r="AH850" i="2" a="1"/>
  <c r="AH850" i="2" s="1"/>
  <c r="AG851" i="2" a="1"/>
  <c r="AG851" i="2" s="1"/>
  <c r="AF843" i="2" a="1"/>
  <c r="AF843" i="2" s="1"/>
  <c r="W847" i="2" a="1"/>
  <c r="W847" i="2" s="1"/>
  <c r="AA845" i="2" a="1"/>
  <c r="AA845" i="2" s="1"/>
  <c r="AI846" i="2" a="1"/>
  <c r="AI846" i="2" s="1"/>
  <c r="AH846" i="2" a="1"/>
  <c r="AH846" i="2" s="1"/>
  <c r="AA846" i="2" a="1"/>
  <c r="AA846" i="2" s="1"/>
  <c r="AI843" i="2" a="1"/>
  <c r="AI843" i="2" s="1"/>
  <c r="Z846" i="2" a="1"/>
  <c r="Z846" i="2" s="1"/>
  <c r="W846" i="2" a="1"/>
  <c r="W846" i="2" s="1"/>
  <c r="AJ845" i="2" a="1"/>
  <c r="AJ845" i="2" s="1"/>
  <c r="AI845" i="2" a="1"/>
  <c r="AI845" i="2" s="1"/>
  <c r="AD845" i="2" a="1"/>
  <c r="AD845" i="2" s="1"/>
  <c r="AC845" i="2" a="1"/>
  <c r="AC845" i="2" s="1"/>
  <c r="AD843" i="2" a="1"/>
  <c r="AD843" i="2" s="1"/>
  <c r="AB845" i="2" a="1"/>
  <c r="AB845" i="2" s="1"/>
  <c r="W845" i="2" a="1"/>
  <c r="W845" i="2" s="1"/>
  <c r="AJ843" i="2" a="1"/>
  <c r="AJ843" i="2" s="1"/>
  <c r="AE844" i="2" a="1"/>
  <c r="AE844" i="2" s="1"/>
  <c r="AF844" i="2" a="1"/>
  <c r="AF844" i="2" s="1"/>
  <c r="Z844" i="2" a="1"/>
  <c r="Z844" i="2" s="1"/>
  <c r="AE843" i="2" a="1"/>
  <c r="AE843" i="2" s="1"/>
  <c r="AD844" i="2" a="1"/>
  <c r="AD844" i="2" s="1"/>
  <c r="AG846" i="2" a="1"/>
  <c r="AG846" i="2" s="1"/>
  <c r="AA989" i="2" a="1"/>
  <c r="AA989" i="2" s="1"/>
  <c r="AI847" i="2" a="1"/>
  <c r="AI847" i="2" s="1"/>
  <c r="AG847" i="2" a="1"/>
  <c r="AG847" i="2" s="1"/>
  <c r="AC843" i="2" a="1"/>
  <c r="AC843" i="2" s="1"/>
  <c r="W844" i="2" a="1"/>
  <c r="W844" i="2" s="1"/>
  <c r="AE847" i="2" a="1"/>
  <c r="AE847" i="2" s="1"/>
  <c r="AB846" i="2" a="1"/>
  <c r="AB846" i="2" s="1"/>
  <c r="AH845" i="2" a="1"/>
  <c r="AH845" i="2" s="1"/>
  <c r="AJ844" i="2" a="1"/>
  <c r="AJ844" i="2" s="1"/>
  <c r="X845" i="2" a="1"/>
  <c r="X845" i="2" s="1"/>
  <c r="Z847" i="2" a="1"/>
  <c r="Z847" i="2" s="1"/>
  <c r="Y847" i="2" a="1"/>
  <c r="Y847" i="2" s="1"/>
  <c r="AF846" i="2" a="1"/>
  <c r="AF846" i="2" s="1"/>
  <c r="AF845" i="2" a="1"/>
  <c r="AF845" i="2" s="1"/>
  <c r="AH844" i="2" a="1"/>
  <c r="AH844" i="2" s="1"/>
  <c r="AC844" i="2" a="1"/>
  <c r="AC844" i="2" s="1"/>
  <c r="AJ846" i="2" a="1"/>
  <c r="AJ846" i="2" s="1"/>
  <c r="AE846" i="2" a="1"/>
  <c r="AE846" i="2" s="1"/>
  <c r="AC846" i="2" a="1"/>
  <c r="AC846" i="2" s="1"/>
  <c r="X846" i="2" a="1"/>
  <c r="X846" i="2" s="1"/>
  <c r="AG845" i="2" a="1"/>
  <c r="AG845" i="2" s="1"/>
  <c r="Z845" i="2" a="1"/>
  <c r="Z845" i="2" s="1"/>
  <c r="Y845" i="2" a="1"/>
  <c r="Y845" i="2" s="1"/>
  <c r="AI844" i="2" a="1"/>
  <c r="AI844" i="2" s="1"/>
  <c r="AB844" i="2" a="1"/>
  <c r="AB844" i="2" s="1"/>
  <c r="AG843" i="2" a="1"/>
  <c r="AG843" i="2" s="1"/>
  <c r="AB847" i="2" a="1"/>
  <c r="AB847" i="2" s="1"/>
  <c r="Y846" i="2" a="1"/>
  <c r="Y846" i="2" s="1"/>
  <c r="AE845" i="2" a="1"/>
  <c r="AE845" i="2" s="1"/>
  <c r="AG844" i="2" a="1"/>
  <c r="AG844" i="2" s="1"/>
  <c r="X844" i="2" a="1"/>
  <c r="X844" i="2" s="1"/>
  <c r="AH847" i="2" a="1"/>
  <c r="AH847" i="2" s="1"/>
  <c r="AF847" i="2" a="1"/>
  <c r="AF847" i="2" s="1"/>
  <c r="AA847" i="2" a="1"/>
  <c r="AA847" i="2" s="1"/>
  <c r="AD847" i="2" a="1"/>
  <c r="AD847" i="2" s="1"/>
  <c r="AC847" i="2" a="1"/>
  <c r="AC847" i="2" s="1"/>
  <c r="AH843" i="2" a="1"/>
  <c r="AH843" i="2" s="1"/>
  <c r="AA844" i="2" a="1"/>
  <c r="AA844" i="2" s="1"/>
  <c r="AD846" i="2" a="1"/>
  <c r="AD846" i="2" s="1"/>
  <c r="X847" i="2" a="1"/>
  <c r="X847" i="2" s="1"/>
  <c r="Y844" i="2" a="1"/>
  <c r="Y844" i="2" s="1"/>
  <c r="AD841" i="2" a="1"/>
  <c r="AD841" i="2" s="1"/>
  <c r="X843" i="2" a="1"/>
  <c r="X843" i="2" s="1"/>
  <c r="AF842" i="2" a="1"/>
  <c r="AF842" i="2" s="1"/>
  <c r="W843" i="2" a="1"/>
  <c r="W843" i="2" s="1"/>
  <c r="AJ842" i="2" a="1"/>
  <c r="AJ842" i="2" s="1"/>
  <c r="Z842" i="2" a="1"/>
  <c r="Z842" i="2" s="1"/>
  <c r="AB841" i="2" a="1"/>
  <c r="AB841" i="2" s="1"/>
  <c r="AI839" i="2" a="1"/>
  <c r="AI839" i="2" s="1"/>
  <c r="AD839" i="2" a="1"/>
  <c r="AD839" i="2" s="1"/>
  <c r="AJ841" i="2" a="1"/>
  <c r="AJ841" i="2" s="1"/>
  <c r="AD840" i="2" a="1"/>
  <c r="AD840" i="2" s="1"/>
  <c r="AJ839" i="2" a="1"/>
  <c r="AJ839" i="2" s="1"/>
  <c r="Y839" i="2" a="1"/>
  <c r="Y839" i="2" s="1"/>
  <c r="AE839" i="2" a="1"/>
  <c r="AE839" i="2" s="1"/>
  <c r="AE840" i="2" a="1"/>
  <c r="AE840" i="2" s="1"/>
  <c r="AC840" i="2" a="1"/>
  <c r="AC840" i="2" s="1"/>
  <c r="AJ838" i="2" a="1"/>
  <c r="AJ838" i="2" s="1"/>
  <c r="Y843" i="2" a="1"/>
  <c r="Y843" i="2" s="1"/>
  <c r="AE841" i="2" a="1"/>
  <c r="AE841" i="2" s="1"/>
  <c r="AF840" i="2" a="1"/>
  <c r="AF840" i="2" s="1"/>
  <c r="AI842" i="2" a="1"/>
  <c r="AI842" i="2" s="1"/>
  <c r="AH842" i="2" a="1"/>
  <c r="AH842" i="2" s="1"/>
  <c r="AG842" i="2" a="1"/>
  <c r="AG842" i="2" s="1"/>
  <c r="AE842" i="2" a="1"/>
  <c r="AE842" i="2" s="1"/>
  <c r="AA842" i="2" a="1"/>
  <c r="AA842" i="2" s="1"/>
  <c r="Z841" i="2" a="1"/>
  <c r="Z841" i="2" s="1"/>
  <c r="AI840" i="2" a="1"/>
  <c r="AI840" i="2" s="1"/>
  <c r="AA840" i="2" a="1"/>
  <c r="AA840" i="2" s="1"/>
  <c r="AD842" i="2" a="1"/>
  <c r="AD842" i="2" s="1"/>
  <c r="W840" i="2" a="1"/>
  <c r="W840" i="2" s="1"/>
  <c r="AF839" i="2" a="1"/>
  <c r="AF839" i="2" s="1"/>
  <c r="AA839" i="2" a="1"/>
  <c r="AA839" i="2" s="1"/>
  <c r="AC842" i="2" a="1"/>
  <c r="AC842" i="2" s="1"/>
  <c r="AG841" i="2" a="1"/>
  <c r="AG841" i="2" s="1"/>
  <c r="AF841" i="2" a="1"/>
  <c r="AF841" i="2" s="1"/>
  <c r="AB842" i="2" a="1"/>
  <c r="AB842" i="2" s="1"/>
  <c r="X842" i="2" a="1"/>
  <c r="X842" i="2" s="1"/>
  <c r="AA841" i="2" a="1"/>
  <c r="AA841" i="2" s="1"/>
  <c r="X839" i="2" a="1"/>
  <c r="X839" i="2" s="1"/>
  <c r="X841" i="2" a="1"/>
  <c r="X841" i="2" s="1"/>
  <c r="AJ840" i="2" a="1"/>
  <c r="AJ840" i="2" s="1"/>
  <c r="W839" i="2" a="1"/>
  <c r="W839" i="2" s="1"/>
  <c r="W842" i="2" a="1"/>
  <c r="W842" i="2" s="1"/>
  <c r="Y841" i="2" a="1"/>
  <c r="Y841" i="2" s="1"/>
  <c r="Z839" i="2" a="1"/>
  <c r="Z839" i="2" s="1"/>
  <c r="AB840" i="2" a="1"/>
  <c r="AB840" i="2" s="1"/>
  <c r="Z840" i="2" a="1"/>
  <c r="Z840" i="2" s="1"/>
  <c r="X840" i="2" a="1"/>
  <c r="X840" i="2" s="1"/>
  <c r="AG839" i="2" a="1"/>
  <c r="AG839" i="2" s="1"/>
  <c r="W987" i="2" a="1"/>
  <c r="W987" i="2" s="1"/>
  <c r="AI841" i="2" a="1"/>
  <c r="AI841" i="2" s="1"/>
  <c r="AH841" i="2" a="1"/>
  <c r="AH841" i="2" s="1"/>
  <c r="AC841" i="2" a="1"/>
  <c r="AC841" i="2" s="1"/>
  <c r="AG840" i="2" a="1"/>
  <c r="AG840" i="2" s="1"/>
  <c r="AH840" i="2" a="1"/>
  <c r="AH840" i="2" s="1"/>
  <c r="AC839" i="2" a="1"/>
  <c r="AC839" i="2" s="1"/>
  <c r="AB839" i="2" a="1"/>
  <c r="AB839" i="2" s="1"/>
  <c r="AB843" i="2" a="1"/>
  <c r="AB843" i="2" s="1"/>
  <c r="AA843" i="2" a="1"/>
  <c r="AA843" i="2" s="1"/>
  <c r="Y842" i="2" a="1"/>
  <c r="Y842" i="2" s="1"/>
  <c r="Y840" i="2" a="1"/>
  <c r="Y840" i="2" s="1"/>
  <c r="AH839" i="2" a="1"/>
  <c r="AH839" i="2" s="1"/>
  <c r="Z843" i="2" a="1"/>
  <c r="Z843" i="2" s="1"/>
  <c r="W841" i="2" a="1"/>
  <c r="W841" i="2" s="1"/>
  <c r="AE1209" i="2" a="1"/>
  <c r="AE1209" i="2" s="1"/>
  <c r="AD1208" i="2" a="1"/>
  <c r="AD1208" i="2" s="1"/>
  <c r="Y1207" i="2" a="1"/>
  <c r="Y1207" i="2" s="1"/>
  <c r="AH1208" i="2" a="1"/>
  <c r="AH1208" i="2" s="1"/>
  <c r="Y1206" i="2" a="1"/>
  <c r="Y1206" i="2" s="1"/>
  <c r="AJ1208" i="2" a="1"/>
  <c r="AJ1208" i="2" s="1"/>
  <c r="Y1208" i="2" a="1"/>
  <c r="Y1208" i="2" s="1"/>
  <c r="AB1207" i="2" a="1"/>
  <c r="AB1207" i="2" s="1"/>
  <c r="AI1207" i="2" a="1"/>
  <c r="AI1207" i="2" s="1"/>
  <c r="AA1206" i="2" a="1"/>
  <c r="AA1206" i="2" s="1"/>
  <c r="AF1209" i="2" a="1"/>
  <c r="AF1209" i="2" s="1"/>
  <c r="AI1206" i="2" a="1"/>
  <c r="AI1206" i="2" s="1"/>
  <c r="AD1209" i="2" a="1"/>
  <c r="AD1209" i="2" s="1"/>
  <c r="AC1209" i="2" a="1"/>
  <c r="AC1209" i="2" s="1"/>
  <c r="AB1209" i="2" a="1"/>
  <c r="AB1209" i="2" s="1"/>
  <c r="AA1209" i="2" a="1"/>
  <c r="AA1209" i="2" s="1"/>
  <c r="AJ1206" i="2" a="1"/>
  <c r="AJ1206" i="2" s="1"/>
  <c r="AF1208" i="2" a="1"/>
  <c r="AF1208" i="2" s="1"/>
  <c r="Y1209" i="2" a="1"/>
  <c r="Y1209" i="2" s="1"/>
  <c r="AF1206" i="2" a="1"/>
  <c r="AF1206" i="2" s="1"/>
  <c r="X1209" i="2" a="1"/>
  <c r="X1209" i="2" s="1"/>
  <c r="AG1206" i="2" a="1"/>
  <c r="AG1206" i="2" s="1"/>
  <c r="W1207" i="2" a="1"/>
  <c r="W1207" i="2" s="1"/>
  <c r="W1209" i="2" a="1"/>
  <c r="W1209" i="2" s="1"/>
  <c r="X1207" i="2" a="1"/>
  <c r="X1207" i="2" s="1"/>
  <c r="Z1206" i="2" a="1"/>
  <c r="Z1206" i="2" s="1"/>
  <c r="AI1208" i="2" a="1"/>
  <c r="AI1208" i="2" s="1"/>
  <c r="AE1208" i="2" a="1"/>
  <c r="AE1208" i="2" s="1"/>
  <c r="W1206" i="2" a="1"/>
  <c r="W1206" i="2" s="1"/>
  <c r="AJ1205" i="2" a="1"/>
  <c r="AJ1205" i="2" s="1"/>
  <c r="AA1208" i="2" a="1"/>
  <c r="AA1208" i="2" s="1"/>
  <c r="AG1207" i="2" a="1"/>
  <c r="AG1207" i="2" s="1"/>
  <c r="X1208" i="2" a="1"/>
  <c r="X1208" i="2" s="1"/>
  <c r="AC1208" i="2" a="1"/>
  <c r="AC1208" i="2" s="1"/>
  <c r="Z1208" i="2" a="1"/>
  <c r="Z1208" i="2" s="1"/>
  <c r="AC1207" i="2" a="1"/>
  <c r="AC1207" i="2" s="1"/>
  <c r="AD1206" i="2" a="1"/>
  <c r="AD1206" i="2" s="1"/>
  <c r="AC1206" i="2" a="1"/>
  <c r="AC1206" i="2" s="1"/>
  <c r="AB1206" i="2" a="1"/>
  <c r="AB1206" i="2" s="1"/>
  <c r="AF1207" i="2" a="1"/>
  <c r="AF1207" i="2" s="1"/>
  <c r="AJ1207" i="2" a="1"/>
  <c r="AJ1207" i="2" s="1"/>
  <c r="AH1207" i="2" a="1"/>
  <c r="AH1207" i="2" s="1"/>
  <c r="AH1206" i="2" a="1"/>
  <c r="AH1206" i="2" s="1"/>
  <c r="AD1207" i="2" a="1"/>
  <c r="AD1207" i="2" s="1"/>
  <c r="W1208" i="2" a="1"/>
  <c r="W1208" i="2" s="1"/>
  <c r="AB1208" i="2" a="1"/>
  <c r="AB1208" i="2" s="1"/>
  <c r="Z1207" i="2" a="1"/>
  <c r="Z1207" i="2" s="1"/>
  <c r="X1206" i="2" a="1"/>
  <c r="X1206" i="2" s="1"/>
  <c r="Y1211" i="2" a="1"/>
  <c r="Y1211" i="2" s="1"/>
  <c r="AJ1209" i="2" a="1"/>
  <c r="AJ1209" i="2" s="1"/>
  <c r="Z1209" i="2" a="1"/>
  <c r="Z1209" i="2" s="1"/>
  <c r="AG1209" i="2" a="1"/>
  <c r="AG1209" i="2" s="1"/>
  <c r="AG1208" i="2" a="1"/>
  <c r="AG1208" i="2" s="1"/>
  <c r="AE1207" i="2" a="1"/>
  <c r="AE1207" i="2" s="1"/>
  <c r="AA1207" i="2" a="1"/>
  <c r="AA1207" i="2" s="1"/>
  <c r="AE1206" i="2" a="1"/>
  <c r="AE1206" i="2" s="1"/>
  <c r="AI1209" i="2" a="1"/>
  <c r="AI1209" i="2" s="1"/>
  <c r="AH1209" i="2" a="1"/>
  <c r="AH1209" i="2" s="1"/>
  <c r="AB1204" i="2" a="1"/>
  <c r="AB1204" i="2" s="1"/>
  <c r="Y1204" i="2" a="1"/>
  <c r="Y1204" i="2" s="1"/>
  <c r="AI1203" i="2" a="1"/>
  <c r="AI1203" i="2" s="1"/>
  <c r="Y1203" i="2" a="1"/>
  <c r="Y1203" i="2" s="1"/>
  <c r="AC1202" i="2" a="1"/>
  <c r="AC1202" i="2" s="1"/>
  <c r="W1204" i="2" a="1"/>
  <c r="W1204" i="2" s="1"/>
  <c r="AD1203" i="2" a="1"/>
  <c r="AD1203" i="2" s="1"/>
  <c r="AC1203" i="2" a="1"/>
  <c r="AC1203" i="2" s="1"/>
  <c r="AG1202" i="2" a="1"/>
  <c r="AG1202" i="2" s="1"/>
  <c r="Y1202" i="2" a="1"/>
  <c r="Y1202" i="2" s="1"/>
  <c r="AD1202" i="2" a="1"/>
  <c r="AD1202" i="2" s="1"/>
  <c r="X1202" i="2" a="1"/>
  <c r="X1202" i="2" s="1"/>
  <c r="AG1201" i="2" a="1"/>
  <c r="AG1201" i="2" s="1"/>
  <c r="AE1201" i="2" a="1"/>
  <c r="AE1201" i="2" s="1"/>
  <c r="AC1201" i="2" a="1"/>
  <c r="AC1201" i="2" s="1"/>
  <c r="AF1201" i="2" a="1"/>
  <c r="AF1201" i="2" s="1"/>
  <c r="AC1204" i="2" a="1"/>
  <c r="AC1204" i="2" s="1"/>
  <c r="Z1204" i="2" a="1"/>
  <c r="Z1204" i="2" s="1"/>
  <c r="AJ1203" i="2" a="1"/>
  <c r="AJ1203" i="2" s="1"/>
  <c r="AH1203" i="2" a="1"/>
  <c r="AH1203" i="2" s="1"/>
  <c r="Z1203" i="2" a="1"/>
  <c r="Z1203" i="2" s="1"/>
  <c r="AI1201" i="2" a="1"/>
  <c r="AI1201" i="2" s="1"/>
  <c r="AH1202" i="2" a="1"/>
  <c r="AH1202" i="2" s="1"/>
  <c r="AA1203" i="2" a="1"/>
  <c r="AA1203" i="2" s="1"/>
  <c r="AF1202" i="2" a="1"/>
  <c r="AF1202" i="2" s="1"/>
  <c r="AJ1201" i="2" a="1"/>
  <c r="AJ1201" i="2" s="1"/>
  <c r="X1203" i="2" a="1"/>
  <c r="X1203" i="2" s="1"/>
  <c r="AI1202" i="2" a="1"/>
  <c r="AI1202" i="2" s="1"/>
  <c r="AD1201" i="2" a="1"/>
  <c r="AD1201" i="2" s="1"/>
  <c r="X1204" i="2" a="1"/>
  <c r="X1204" i="2" s="1"/>
  <c r="AE1203" i="2" a="1"/>
  <c r="AE1203" i="2" s="1"/>
  <c r="AB1203" i="2" a="1"/>
  <c r="AB1203" i="2" s="1"/>
  <c r="W1202" i="2" a="1"/>
  <c r="W1202" i="2" s="1"/>
  <c r="AG1211" i="2" a="1"/>
  <c r="AG1211" i="2" s="1"/>
  <c r="AI1205" i="2" a="1"/>
  <c r="AI1205" i="2" s="1"/>
  <c r="AH1205" i="2" a="1"/>
  <c r="AH1205" i="2" s="1"/>
  <c r="AG1205" i="2" a="1"/>
  <c r="AG1205" i="2" s="1"/>
  <c r="Y1205" i="2" a="1"/>
  <c r="Y1205" i="2" s="1"/>
  <c r="AF1205" i="2" a="1"/>
  <c r="AF1205" i="2" s="1"/>
  <c r="AE1205" i="2" a="1"/>
  <c r="AE1205" i="2" s="1"/>
  <c r="AD1205" i="2" a="1"/>
  <c r="AD1205" i="2" s="1"/>
  <c r="X1205" i="2" a="1"/>
  <c r="X1205" i="2" s="1"/>
  <c r="Z1202" i="2" a="1"/>
  <c r="Z1202" i="2" s="1"/>
  <c r="AC1205" i="2" a="1"/>
  <c r="AC1205" i="2" s="1"/>
  <c r="AB1205" i="2" a="1"/>
  <c r="AB1205" i="2" s="1"/>
  <c r="W1203" i="2" a="1"/>
  <c r="W1203" i="2" s="1"/>
  <c r="AJ1202" i="2" a="1"/>
  <c r="AJ1202" i="2" s="1"/>
  <c r="AB1202" i="2" a="1"/>
  <c r="AB1202" i="2" s="1"/>
  <c r="AA1205" i="2" a="1"/>
  <c r="AA1205" i="2" s="1"/>
  <c r="AE1204" i="2" a="1"/>
  <c r="AE1204" i="2" s="1"/>
  <c r="AF1203" i="2" a="1"/>
  <c r="AF1203" i="2" s="1"/>
  <c r="Z1205" i="2" a="1"/>
  <c r="Z1205" i="2" s="1"/>
  <c r="AG1203" i="2" a="1"/>
  <c r="AG1203" i="2" s="1"/>
  <c r="W1205" i="2" a="1"/>
  <c r="W1205" i="2" s="1"/>
  <c r="AJ1204" i="2" a="1"/>
  <c r="AJ1204" i="2" s="1"/>
  <c r="AI1204" i="2" a="1"/>
  <c r="AI1204" i="2" s="1"/>
  <c r="AA1204" i="2" a="1"/>
  <c r="AA1204" i="2" s="1"/>
  <c r="AA1202" i="2" a="1"/>
  <c r="AA1202" i="2" s="1"/>
  <c r="AH1204" i="2" a="1"/>
  <c r="AH1204" i="2" s="1"/>
  <c r="AG1204" i="2" a="1"/>
  <c r="AG1204" i="2" s="1"/>
  <c r="AH1201" i="2" a="1"/>
  <c r="AH1201" i="2" s="1"/>
  <c r="AF1204" i="2" a="1"/>
  <c r="AF1204" i="2" s="1"/>
  <c r="AD1204" i="2" a="1"/>
  <c r="AD1204" i="2" s="1"/>
  <c r="AE1202" i="2" a="1"/>
  <c r="AE1202" i="2" s="1"/>
  <c r="AF1200" i="2" a="1"/>
  <c r="AF1200" i="2" s="1"/>
  <c r="AA1200" i="2" a="1"/>
  <c r="AA1200" i="2" s="1"/>
  <c r="AC1197" i="2" a="1"/>
  <c r="AC1197" i="2" s="1"/>
  <c r="AE1200" i="2" a="1"/>
  <c r="AE1200" i="2" s="1"/>
  <c r="AD1200" i="2" a="1"/>
  <c r="AD1200" i="2" s="1"/>
  <c r="Y1199" i="2" a="1"/>
  <c r="Y1199" i="2" s="1"/>
  <c r="Z1200" i="2" a="1"/>
  <c r="Z1200" i="2" s="1"/>
  <c r="W1197" i="2" a="1"/>
  <c r="W1197" i="2" s="1"/>
  <c r="Y1200" i="2" a="1"/>
  <c r="Y1200" i="2" s="1"/>
  <c r="X1198" i="2" a="1"/>
  <c r="X1198" i="2" s="1"/>
  <c r="AI1199" i="2" a="1"/>
  <c r="AI1199" i="2" s="1"/>
  <c r="AH1199" i="2" a="1"/>
  <c r="AH1199" i="2" s="1"/>
  <c r="AC1199" i="2" a="1"/>
  <c r="AC1199" i="2" s="1"/>
  <c r="AB1198" i="2" a="1"/>
  <c r="AB1198" i="2" s="1"/>
  <c r="Z1199" i="2" a="1"/>
  <c r="Z1199" i="2" s="1"/>
  <c r="W1199" i="2" a="1"/>
  <c r="W1199" i="2" s="1"/>
  <c r="AI1197" i="2" a="1"/>
  <c r="AI1197" i="2" s="1"/>
  <c r="Z1197" i="2" a="1"/>
  <c r="Z1197" i="2" s="1"/>
  <c r="Y1197" i="2" a="1"/>
  <c r="Y1197" i="2" s="1"/>
  <c r="AI1198" i="2" a="1"/>
  <c r="AI1198" i="2" s="1"/>
  <c r="AG1197" i="2" a="1"/>
  <c r="AG1197" i="2" s="1"/>
  <c r="AD1198" i="2" a="1"/>
  <c r="AD1198" i="2" s="1"/>
  <c r="AJ1197" i="2" a="1"/>
  <c r="AJ1197" i="2" s="1"/>
  <c r="AJ1198" i="2" a="1"/>
  <c r="AJ1198" i="2" s="1"/>
  <c r="AA1197" i="2" a="1"/>
  <c r="AA1197" i="2" s="1"/>
  <c r="AF1197" i="2" a="1"/>
  <c r="AF1197" i="2" s="1"/>
  <c r="AB1197" i="2" a="1"/>
  <c r="AB1197" i="2" s="1"/>
  <c r="AH1198" i="2" a="1"/>
  <c r="AH1198" i="2" s="1"/>
  <c r="AE1198" i="2" a="1"/>
  <c r="AE1198" i="2" s="1"/>
  <c r="AJ1196" i="2" a="1"/>
  <c r="AJ1196" i="2" s="1"/>
  <c r="X1211" i="2" a="1"/>
  <c r="X1211" i="2" s="1"/>
  <c r="Y1201" i="2" a="1"/>
  <c r="Y1201" i="2" s="1"/>
  <c r="AB1199" i="2" a="1"/>
  <c r="AB1199" i="2" s="1"/>
  <c r="AB1201" i="2" a="1"/>
  <c r="AB1201" i="2" s="1"/>
  <c r="AA1201" i="2" a="1"/>
  <c r="AA1201" i="2" s="1"/>
  <c r="Z1201" i="2" a="1"/>
  <c r="Z1201" i="2" s="1"/>
  <c r="X1201" i="2" a="1"/>
  <c r="X1201" i="2" s="1"/>
  <c r="AJ1200" i="2" a="1"/>
  <c r="AJ1200" i="2" s="1"/>
  <c r="AH1200" i="2" a="1"/>
  <c r="AH1200" i="2" s="1"/>
  <c r="AG1199" i="2" a="1"/>
  <c r="AG1199" i="2" s="1"/>
  <c r="AE1199" i="2" a="1"/>
  <c r="AE1199" i="2" s="1"/>
  <c r="AD1199" i="2" a="1"/>
  <c r="AD1199" i="2" s="1"/>
  <c r="AF1198" i="2" a="1"/>
  <c r="AF1198" i="2" s="1"/>
  <c r="Y1198" i="2" a="1"/>
  <c r="Y1198" i="2" s="1"/>
  <c r="AE1197" i="2" a="1"/>
  <c r="AE1197" i="2" s="1"/>
  <c r="AC1198" i="2" a="1"/>
  <c r="AC1198" i="2" s="1"/>
  <c r="AH1197" i="2" a="1"/>
  <c r="AH1197" i="2" s="1"/>
  <c r="Z1198" i="2" a="1"/>
  <c r="Z1198" i="2" s="1"/>
  <c r="X1197" i="2" a="1"/>
  <c r="X1197" i="2" s="1"/>
  <c r="AJ1199" i="2" a="1"/>
  <c r="AJ1199" i="2" s="1"/>
  <c r="AB1200" i="2" a="1"/>
  <c r="AB1200" i="2" s="1"/>
  <c r="AD1197" i="2" a="1"/>
  <c r="AD1197" i="2" s="1"/>
  <c r="W1201" i="2" a="1"/>
  <c r="W1201" i="2" s="1"/>
  <c r="AG1198" i="2" a="1"/>
  <c r="AG1198" i="2" s="1"/>
  <c r="AA1198" i="2" a="1"/>
  <c r="AA1198" i="2" s="1"/>
  <c r="W1198" i="2" a="1"/>
  <c r="W1198" i="2" s="1"/>
  <c r="AA1199" i="2" a="1"/>
  <c r="AA1199" i="2" s="1"/>
  <c r="X1199" i="2" a="1"/>
  <c r="X1199" i="2" s="1"/>
  <c r="AI1200" i="2" a="1"/>
  <c r="AI1200" i="2" s="1"/>
  <c r="AG1200" i="2" a="1"/>
  <c r="AG1200" i="2" s="1"/>
  <c r="AC1200" i="2" a="1"/>
  <c r="AC1200" i="2" s="1"/>
  <c r="X1200" i="2" a="1"/>
  <c r="X1200" i="2" s="1"/>
  <c r="W1200" i="2" a="1"/>
  <c r="W1200" i="2" s="1"/>
  <c r="AF1199" i="2" a="1"/>
  <c r="AF1199" i="2" s="1"/>
  <c r="AE1195" i="2" a="1"/>
  <c r="AE1195" i="2" s="1"/>
  <c r="AG1196" i="2" a="1"/>
  <c r="AG1196" i="2" s="1"/>
  <c r="AE1196" i="2" a="1"/>
  <c r="AE1196" i="2" s="1"/>
  <c r="AG1194" i="2" a="1"/>
  <c r="AG1194" i="2" s="1"/>
  <c r="Y1194" i="2" a="1"/>
  <c r="Y1194" i="2" s="1"/>
  <c r="AD1196" i="2" a="1"/>
  <c r="AD1196" i="2" s="1"/>
  <c r="AC1196" i="2" a="1"/>
  <c r="AC1196" i="2" s="1"/>
  <c r="Y1195" i="2" a="1"/>
  <c r="Y1195" i="2" s="1"/>
  <c r="AI1194" i="2" a="1"/>
  <c r="AI1194" i="2" s="1"/>
  <c r="AJ1192" i="2" a="1"/>
  <c r="AJ1192" i="2" s="1"/>
  <c r="Z1193" i="2" a="1"/>
  <c r="Z1193" i="2" s="1"/>
  <c r="AF1195" i="2" a="1"/>
  <c r="AF1195" i="2" s="1"/>
  <c r="AA1194" i="2" a="1"/>
  <c r="AA1194" i="2" s="1"/>
  <c r="AB1196" i="2" a="1"/>
  <c r="AB1196" i="2" s="1"/>
  <c r="AA1196" i="2" a="1"/>
  <c r="AA1196" i="2" s="1"/>
  <c r="Z1196" i="2" a="1"/>
  <c r="Z1196" i="2" s="1"/>
  <c r="Y1196" i="2" a="1"/>
  <c r="Y1196" i="2" s="1"/>
  <c r="X1196" i="2" a="1"/>
  <c r="X1196" i="2" s="1"/>
  <c r="AH1195" i="2" a="1"/>
  <c r="AH1195" i="2" s="1"/>
  <c r="AG1195" i="2" a="1"/>
  <c r="AG1195" i="2" s="1"/>
  <c r="AD1195" i="2" a="1"/>
  <c r="AD1195" i="2" s="1"/>
  <c r="AB1195" i="2" a="1"/>
  <c r="AB1195" i="2" s="1"/>
  <c r="AD1194" i="2" a="1"/>
  <c r="AD1194" i="2" s="1"/>
  <c r="AD1192" i="2" a="1"/>
  <c r="AD1192" i="2" s="1"/>
  <c r="AD1193" i="2" a="1"/>
  <c r="AD1193" i="2" s="1"/>
  <c r="AG1192" i="2" a="1"/>
  <c r="AG1192" i="2" s="1"/>
  <c r="AH1194" i="2" a="1"/>
  <c r="AH1194" i="2" s="1"/>
  <c r="AC1193" i="2" a="1"/>
  <c r="AC1193" i="2" s="1"/>
  <c r="AF1192" i="2" a="1"/>
  <c r="AF1192" i="2" s="1"/>
  <c r="AA1193" i="2" a="1"/>
  <c r="AA1193" i="2" s="1"/>
  <c r="W1196" i="2" a="1"/>
  <c r="W1196" i="2" s="1"/>
  <c r="AI1195" i="2" a="1"/>
  <c r="AI1195" i="2" s="1"/>
  <c r="X1195" i="2" a="1"/>
  <c r="X1195" i="2" s="1"/>
  <c r="AA1195" i="2" a="1"/>
  <c r="AA1195" i="2" s="1"/>
  <c r="AF1193" i="2" a="1"/>
  <c r="AF1193" i="2" s="1"/>
  <c r="Y1193" i="2" a="1"/>
  <c r="Y1193" i="2" s="1"/>
  <c r="AI1192" i="2" a="1"/>
  <c r="AI1192" i="2" s="1"/>
  <c r="AI1193" i="2" a="1"/>
  <c r="AI1193" i="2" s="1"/>
  <c r="AG1193" i="2" a="1"/>
  <c r="AG1193" i="2" s="1"/>
  <c r="W1195" i="2" a="1"/>
  <c r="W1195" i="2" s="1"/>
  <c r="AJ1194" i="2" a="1"/>
  <c r="AJ1194" i="2" s="1"/>
  <c r="AE1194" i="2" a="1"/>
  <c r="AE1194" i="2" s="1"/>
  <c r="AB1194" i="2" a="1"/>
  <c r="AB1194" i="2" s="1"/>
  <c r="AJ1193" i="2" a="1"/>
  <c r="AJ1193" i="2" s="1"/>
  <c r="W1193" i="2" a="1"/>
  <c r="W1193" i="2" s="1"/>
  <c r="Z1195" i="2" a="1"/>
  <c r="Z1195" i="2" s="1"/>
  <c r="Z1194" i="2" a="1"/>
  <c r="Z1194" i="2" s="1"/>
  <c r="X1194" i="2" a="1"/>
  <c r="X1194" i="2" s="1"/>
  <c r="X1193" i="2" a="1"/>
  <c r="X1193" i="2" s="1"/>
  <c r="AH1196" i="2" a="1"/>
  <c r="AH1196" i="2" s="1"/>
  <c r="AF1194" i="2" a="1"/>
  <c r="AF1194" i="2" s="1"/>
  <c r="AC1194" i="2" a="1"/>
  <c r="AC1194" i="2" s="1"/>
  <c r="AH1193" i="2" a="1"/>
  <c r="AH1193" i="2" s="1"/>
  <c r="AC1192" i="2" a="1"/>
  <c r="AC1192" i="2" s="1"/>
  <c r="AE1193" i="2" a="1"/>
  <c r="AE1193" i="2" s="1"/>
  <c r="AH1192" i="2" a="1"/>
  <c r="AH1192" i="2" s="1"/>
  <c r="AC1195" i="2" a="1"/>
  <c r="AC1195" i="2" s="1"/>
  <c r="W1194" i="2" a="1"/>
  <c r="W1194" i="2" s="1"/>
  <c r="W1212" i="2" a="1"/>
  <c r="W1212" i="2" s="1"/>
  <c r="AJ1195" i="2" a="1"/>
  <c r="AJ1195" i="2" s="1"/>
  <c r="AF1196" i="2" a="1"/>
  <c r="AF1196" i="2" s="1"/>
  <c r="AI1196" i="2" a="1"/>
  <c r="AI1196" i="2" s="1"/>
  <c r="AB1193" i="2" a="1"/>
  <c r="AB1193" i="2" s="1"/>
  <c r="AE1192" i="2" a="1"/>
  <c r="AE1192" i="2" s="1"/>
  <c r="AD1191" i="2" a="1"/>
  <c r="AD1191" i="2" s="1"/>
  <c r="AC1191" i="2" a="1"/>
  <c r="AC1191" i="2" s="1"/>
  <c r="AH1190" i="2" a="1"/>
  <c r="AH1190" i="2" s="1"/>
  <c r="AB1191" i="2" a="1"/>
  <c r="AB1191" i="2" s="1"/>
  <c r="Z1191" i="2" a="1"/>
  <c r="Z1191" i="2" s="1"/>
  <c r="W1190" i="2" a="1"/>
  <c r="W1190" i="2" s="1"/>
  <c r="AE1189" i="2" a="1"/>
  <c r="AE1189" i="2" s="1"/>
  <c r="X1189" i="2" a="1"/>
  <c r="X1189" i="2" s="1"/>
  <c r="Z1188" i="2" a="1"/>
  <c r="Z1188" i="2" s="1"/>
  <c r="AD1188" i="2" a="1"/>
  <c r="AD1188" i="2" s="1"/>
  <c r="X1191" i="2" a="1"/>
  <c r="X1191" i="2" s="1"/>
  <c r="AD1190" i="2" a="1"/>
  <c r="AD1190" i="2" s="1"/>
  <c r="AG1190" i="2" a="1"/>
  <c r="AG1190" i="2" s="1"/>
  <c r="AJ1187" i="2" a="1"/>
  <c r="AJ1187" i="2" s="1"/>
  <c r="AE1190" i="2" a="1"/>
  <c r="AE1190" i="2" s="1"/>
  <c r="AA1190" i="2" a="1"/>
  <c r="AA1190" i="2" s="1"/>
  <c r="AI1189" i="2" a="1"/>
  <c r="AI1189" i="2" s="1"/>
  <c r="AC1189" i="2" a="1"/>
  <c r="AC1189" i="2" s="1"/>
  <c r="AB1189" i="2" a="1"/>
  <c r="AB1189" i="2" s="1"/>
  <c r="AE1188" i="2" a="1"/>
  <c r="AE1188" i="2" s="1"/>
  <c r="AC1188" i="2" a="1"/>
  <c r="AC1188" i="2" s="1"/>
  <c r="AB1188" i="2" a="1"/>
  <c r="AB1188" i="2" s="1"/>
  <c r="W1191" i="2" a="1"/>
  <c r="W1191" i="2" s="1"/>
  <c r="AA1188" i="2" a="1"/>
  <c r="AA1188" i="2" s="1"/>
  <c r="AI1190" i="2" a="1"/>
  <c r="AI1190" i="2" s="1"/>
  <c r="AF1190" i="2" a="1"/>
  <c r="AF1190" i="2" s="1"/>
  <c r="AC1190" i="2" a="1"/>
  <c r="AC1190" i="2" s="1"/>
  <c r="Z1190" i="2" a="1"/>
  <c r="Z1190" i="2" s="1"/>
  <c r="AH1189" i="2" a="1"/>
  <c r="AH1189" i="2" s="1"/>
  <c r="AB1190" i="2" a="1"/>
  <c r="AB1190" i="2" s="1"/>
  <c r="W1188" i="2" a="1"/>
  <c r="W1188" i="2" s="1"/>
  <c r="AJ1189" i="2" a="1"/>
  <c r="AJ1189" i="2" s="1"/>
  <c r="AI1188" i="2" a="1"/>
  <c r="AI1188" i="2" s="1"/>
  <c r="Y1188" i="2" a="1"/>
  <c r="Y1188" i="2" s="1"/>
  <c r="AD1189" i="2" a="1"/>
  <c r="AD1189" i="2" s="1"/>
  <c r="AG1188" i="2" a="1"/>
  <c r="AG1188" i="2" s="1"/>
  <c r="AF1188" i="2" a="1"/>
  <c r="AF1188" i="2" s="1"/>
  <c r="Y1190" i="2" a="1"/>
  <c r="Y1190" i="2" s="1"/>
  <c r="AG1189" i="2" a="1"/>
  <c r="AG1189" i="2" s="1"/>
  <c r="AA1189" i="2" a="1"/>
  <c r="AA1189" i="2" s="1"/>
  <c r="Z1189" i="2" a="1"/>
  <c r="Z1189" i="2" s="1"/>
  <c r="Y1189" i="2" a="1"/>
  <c r="Y1189" i="2" s="1"/>
  <c r="X1190" i="2" a="1"/>
  <c r="X1190" i="2" s="1"/>
  <c r="W1189" i="2" a="1"/>
  <c r="W1189" i="2" s="1"/>
  <c r="AF1189" i="2" a="1"/>
  <c r="AF1189" i="2" s="1"/>
  <c r="AJ1188" i="2" a="1"/>
  <c r="AJ1188" i="2" s="1"/>
  <c r="Z1192" i="2" a="1"/>
  <c r="Z1192" i="2" s="1"/>
  <c r="AA1191" i="2" a="1"/>
  <c r="AA1191" i="2" s="1"/>
  <c r="X1188" i="2" a="1"/>
  <c r="X1188" i="2" s="1"/>
  <c r="W1211" i="2" a="1"/>
  <c r="W1211" i="2" s="1"/>
  <c r="AB1192" i="2" a="1"/>
  <c r="AB1192" i="2" s="1"/>
  <c r="AG1191" i="2" a="1"/>
  <c r="AG1191" i="2" s="1"/>
  <c r="AA1192" i="2" a="1"/>
  <c r="AA1192" i="2" s="1"/>
  <c r="AE1191" i="2" a="1"/>
  <c r="AE1191" i="2" s="1"/>
  <c r="Y1191" i="2" a="1"/>
  <c r="Y1191" i="2" s="1"/>
  <c r="Y1192" i="2" a="1"/>
  <c r="Y1192" i="2" s="1"/>
  <c r="X1192" i="2" a="1"/>
  <c r="X1192" i="2" s="1"/>
  <c r="W1192" i="2" a="1"/>
  <c r="W1192" i="2" s="1"/>
  <c r="AJ1191" i="2" a="1"/>
  <c r="AJ1191" i="2" s="1"/>
  <c r="AH1188" i="2" a="1"/>
  <c r="AH1188" i="2" s="1"/>
  <c r="AH1191" i="2" a="1"/>
  <c r="AH1191" i="2" s="1"/>
  <c r="AJ1190" i="2" a="1"/>
  <c r="AJ1190" i="2" s="1"/>
  <c r="AI1191" i="2" a="1"/>
  <c r="AI1191" i="2" s="1"/>
  <c r="AF1191" i="2" a="1"/>
  <c r="AF1191" i="2" s="1"/>
  <c r="AG1187" i="2" a="1"/>
  <c r="AG1187" i="2" s="1"/>
  <c r="AE1187" i="2" a="1"/>
  <c r="AE1187" i="2" s="1"/>
  <c r="Z1186" i="2" a="1"/>
  <c r="Z1186" i="2" s="1"/>
  <c r="AD1187" i="2" a="1"/>
  <c r="AD1187" i="2" s="1"/>
  <c r="Z1187" i="2" a="1"/>
  <c r="Z1187" i="2" s="1"/>
  <c r="Y1187" i="2" a="1"/>
  <c r="Y1187" i="2" s="1"/>
  <c r="W1187" i="2" a="1"/>
  <c r="W1187" i="2" s="1"/>
  <c r="AI1186" i="2" a="1"/>
  <c r="AI1186" i="2" s="1"/>
  <c r="AH1186" i="2" a="1"/>
  <c r="AH1186" i="2" s="1"/>
  <c r="AI1183" i="2" a="1"/>
  <c r="AI1183" i="2" s="1"/>
  <c r="AA1185" i="2" a="1"/>
  <c r="AA1185" i="2" s="1"/>
  <c r="W1186" i="2" a="1"/>
  <c r="W1186" i="2" s="1"/>
  <c r="AE1183" i="2" a="1"/>
  <c r="AE1183" i="2" s="1"/>
  <c r="AB1184" i="2" a="1"/>
  <c r="AB1184" i="2" s="1"/>
  <c r="AI1185" i="2" a="1"/>
  <c r="AI1185" i="2" s="1"/>
  <c r="X1186" i="2" a="1"/>
  <c r="X1186" i="2" s="1"/>
  <c r="AG1186" i="2" a="1"/>
  <c r="AG1186" i="2" s="1"/>
  <c r="Z1185" i="2" a="1"/>
  <c r="Z1185" i="2" s="1"/>
  <c r="Z1184" i="2" a="1"/>
  <c r="Z1184" i="2" s="1"/>
  <c r="AE1186" i="2" a="1"/>
  <c r="AE1186" i="2" s="1"/>
  <c r="AJ1185" i="2" a="1"/>
  <c r="AJ1185" i="2" s="1"/>
  <c r="AF1184" i="2" a="1"/>
  <c r="AF1184" i="2" s="1"/>
  <c r="AF1183" i="2" a="1"/>
  <c r="AF1183" i="2" s="1"/>
  <c r="AG1184" i="2" a="1"/>
  <c r="AG1184" i="2" s="1"/>
  <c r="AF1185" i="2" a="1"/>
  <c r="AF1185" i="2" s="1"/>
  <c r="AJ1184" i="2" a="1"/>
  <c r="AJ1184" i="2" s="1"/>
  <c r="AD1185" i="2" a="1"/>
  <c r="AD1185" i="2" s="1"/>
  <c r="AG1183" i="2" a="1"/>
  <c r="AG1183" i="2" s="1"/>
  <c r="AI1184" i="2" a="1"/>
  <c r="AI1184" i="2" s="1"/>
  <c r="AA1186" i="2" a="1"/>
  <c r="AA1186" i="2" s="1"/>
  <c r="AA1187" i="2" a="1"/>
  <c r="AA1187" i="2" s="1"/>
  <c r="AD1186" i="2" a="1"/>
  <c r="AD1186" i="2" s="1"/>
  <c r="AC1183" i="2" a="1"/>
  <c r="AC1183" i="2" s="1"/>
  <c r="AF1187" i="2" a="1"/>
  <c r="AF1187" i="2" s="1"/>
  <c r="AC1187" i="2" a="1"/>
  <c r="AC1187" i="2" s="1"/>
  <c r="AB1187" i="2" a="1"/>
  <c r="AB1187" i="2" s="1"/>
  <c r="X1185" i="2" a="1"/>
  <c r="X1185" i="2" s="1"/>
  <c r="Y1186" i="2" a="1"/>
  <c r="Y1186" i="2" s="1"/>
  <c r="Y1185" i="2" a="1"/>
  <c r="Y1185" i="2" s="1"/>
  <c r="AC1186" i="2" a="1"/>
  <c r="AC1186" i="2" s="1"/>
  <c r="AD1184" i="2" a="1"/>
  <c r="AD1184" i="2" s="1"/>
  <c r="X1187" i="2" a="1"/>
  <c r="X1187" i="2" s="1"/>
  <c r="AF1186" i="2" a="1"/>
  <c r="AF1186" i="2" s="1"/>
  <c r="AC1185" i="2" a="1"/>
  <c r="AC1185" i="2" s="1"/>
  <c r="AJ1183" i="2" a="1"/>
  <c r="AJ1183" i="2" s="1"/>
  <c r="AH1184" i="2" a="1"/>
  <c r="AH1184" i="2" s="1"/>
  <c r="AH1183" i="2" a="1"/>
  <c r="AH1183" i="2" s="1"/>
  <c r="AB1185" i="2" a="1"/>
  <c r="AB1185" i="2" s="1"/>
  <c r="AF1211" i="2" a="1"/>
  <c r="AF1211" i="2" s="1"/>
  <c r="W1184" i="2" a="1"/>
  <c r="W1184" i="2" s="1"/>
  <c r="AH1187" i="2" a="1"/>
  <c r="AH1187" i="2" s="1"/>
  <c r="AG1185" i="2" a="1"/>
  <c r="AG1185" i="2" s="1"/>
  <c r="AJ1186" i="2" a="1"/>
  <c r="AJ1186" i="2" s="1"/>
  <c r="AB1186" i="2" a="1"/>
  <c r="AB1186" i="2" s="1"/>
  <c r="AH1185" i="2" a="1"/>
  <c r="AH1185" i="2" s="1"/>
  <c r="W1185" i="2" a="1"/>
  <c r="W1185" i="2" s="1"/>
  <c r="AC1184" i="2" a="1"/>
  <c r="AC1184" i="2" s="1"/>
  <c r="AE1185" i="2" a="1"/>
  <c r="AE1185" i="2" s="1"/>
  <c r="AA1184" i="2" a="1"/>
  <c r="AA1184" i="2" s="1"/>
  <c r="AD1183" i="2" a="1"/>
  <c r="AD1183" i="2" s="1"/>
  <c r="AE1184" i="2" a="1"/>
  <c r="AE1184" i="2" s="1"/>
  <c r="Y1184" i="2" a="1"/>
  <c r="Y1184" i="2" s="1"/>
  <c r="AI1187" i="2" a="1"/>
  <c r="AI1187" i="2" s="1"/>
  <c r="X1184" i="2" a="1"/>
  <c r="X1184" i="2" s="1"/>
  <c r="AD1182" i="2" a="1"/>
  <c r="AD1182" i="2" s="1"/>
  <c r="W1181" i="2" a="1"/>
  <c r="W1181" i="2" s="1"/>
  <c r="AH1180" i="2" a="1"/>
  <c r="AH1180" i="2" s="1"/>
  <c r="AC1180" i="2" a="1"/>
  <c r="AC1180" i="2" s="1"/>
  <c r="AI1179" i="2" a="1"/>
  <c r="AI1179" i="2" s="1"/>
  <c r="AJ1182" i="2" a="1"/>
  <c r="AJ1182" i="2" s="1"/>
  <c r="AF1182" i="2" a="1"/>
  <c r="AF1182" i="2" s="1"/>
  <c r="AF1180" i="2" a="1"/>
  <c r="AF1180" i="2" s="1"/>
  <c r="AA1182" i="2" a="1"/>
  <c r="AA1182" i="2" s="1"/>
  <c r="AB1179" i="2" a="1"/>
  <c r="AB1179" i="2" s="1"/>
  <c r="Y1182" i="2" a="1"/>
  <c r="Y1182" i="2" s="1"/>
  <c r="AJ1181" i="2" a="1"/>
  <c r="AJ1181" i="2" s="1"/>
  <c r="AD1181" i="2" a="1"/>
  <c r="AD1181" i="2" s="1"/>
  <c r="AD1180" i="2" a="1"/>
  <c r="AD1180" i="2" s="1"/>
  <c r="W1182" i="2" a="1"/>
  <c r="W1182" i="2" s="1"/>
  <c r="Z1180" i="2" a="1"/>
  <c r="Z1180" i="2" s="1"/>
  <c r="Z1182" i="2" a="1"/>
  <c r="Z1182" i="2" s="1"/>
  <c r="X1181" i="2" a="1"/>
  <c r="X1181" i="2" s="1"/>
  <c r="AJ1178" i="2" a="1"/>
  <c r="AJ1178" i="2" s="1"/>
  <c r="AJ1179" i="2" a="1"/>
  <c r="AJ1179" i="2" s="1"/>
  <c r="AH1179" i="2" a="1"/>
  <c r="AH1179" i="2" s="1"/>
  <c r="AF1179" i="2" a="1"/>
  <c r="AF1179" i="2" s="1"/>
  <c r="Z1179" i="2" a="1"/>
  <c r="Z1179" i="2" s="1"/>
  <c r="AG1181" i="2" a="1"/>
  <c r="AG1181" i="2" s="1"/>
  <c r="AE1182" i="2" a="1"/>
  <c r="AE1182" i="2" s="1"/>
  <c r="W1180" i="2" a="1"/>
  <c r="W1180" i="2" s="1"/>
  <c r="X1182" i="2" a="1"/>
  <c r="X1182" i="2" s="1"/>
  <c r="AI1181" i="2" a="1"/>
  <c r="AI1181" i="2" s="1"/>
  <c r="AE1179" i="2" a="1"/>
  <c r="AE1179" i="2" s="1"/>
  <c r="AE1180" i="2" a="1"/>
  <c r="AE1180" i="2" s="1"/>
  <c r="W1179" i="2" a="1"/>
  <c r="W1179" i="2" s="1"/>
  <c r="Y1181" i="2" a="1"/>
  <c r="Y1181" i="2" s="1"/>
  <c r="X1180" i="2" a="1"/>
  <c r="X1180" i="2" s="1"/>
  <c r="AG1182" i="2" a="1"/>
  <c r="AG1182" i="2" s="1"/>
  <c r="AJ1180" i="2" a="1"/>
  <c r="AJ1180" i="2" s="1"/>
  <c r="AA1179" i="2" a="1"/>
  <c r="AA1179" i="2" s="1"/>
  <c r="AI1180" i="2" a="1"/>
  <c r="AI1180" i="2" s="1"/>
  <c r="AA1181" i="2" a="1"/>
  <c r="AA1181" i="2" s="1"/>
  <c r="AH1182" i="2" a="1"/>
  <c r="AH1182" i="2" s="1"/>
  <c r="AD1179" i="2" a="1"/>
  <c r="AD1179" i="2" s="1"/>
  <c r="AB1182" i="2" a="1"/>
  <c r="AB1182" i="2" s="1"/>
  <c r="Z1181" i="2" a="1"/>
  <c r="Z1181" i="2" s="1"/>
  <c r="AE1181" i="2" a="1"/>
  <c r="AE1181" i="2" s="1"/>
  <c r="AH1181" i="2" a="1"/>
  <c r="AH1181" i="2" s="1"/>
  <c r="AC1179" i="2" a="1"/>
  <c r="AC1179" i="2" s="1"/>
  <c r="AC1181" i="2" a="1"/>
  <c r="AC1181" i="2" s="1"/>
  <c r="AB1181" i="2" a="1"/>
  <c r="AB1181" i="2" s="1"/>
  <c r="AB1180" i="2" a="1"/>
  <c r="AB1180" i="2" s="1"/>
  <c r="AG1180" i="2" a="1"/>
  <c r="AG1180" i="2" s="1"/>
  <c r="AC1182" i="2" a="1"/>
  <c r="AC1182" i="2" s="1"/>
  <c r="X1179" i="2" a="1"/>
  <c r="X1179" i="2" s="1"/>
  <c r="AG1179" i="2" a="1"/>
  <c r="AG1179" i="2" s="1"/>
  <c r="Y1179" i="2" a="1"/>
  <c r="Y1179" i="2" s="1"/>
  <c r="AF1181" i="2" a="1"/>
  <c r="AF1181" i="2" s="1"/>
  <c r="AJ1210" i="2" a="1"/>
  <c r="AJ1210" i="2" s="1"/>
  <c r="AB1183" i="2" a="1"/>
  <c r="AB1183" i="2" s="1"/>
  <c r="AI1182" i="2" a="1"/>
  <c r="AI1182" i="2" s="1"/>
  <c r="AA1180" i="2" a="1"/>
  <c r="AA1180" i="2" s="1"/>
  <c r="Z1183" i="2" a="1"/>
  <c r="Z1183" i="2" s="1"/>
  <c r="Y1180" i="2" a="1"/>
  <c r="Y1180" i="2" s="1"/>
  <c r="W1183" i="2" a="1"/>
  <c r="W1183" i="2" s="1"/>
  <c r="AA1183" i="2" a="1"/>
  <c r="AA1183" i="2" s="1"/>
  <c r="Y1183" i="2" a="1"/>
  <c r="Y1183" i="2" s="1"/>
  <c r="X1183" i="2" a="1"/>
  <c r="X1183" i="2" s="1"/>
  <c r="AE1175" i="2" a="1"/>
  <c r="AE1175" i="2" s="1"/>
  <c r="AE1178" i="2" a="1"/>
  <c r="AE1178" i="2" s="1"/>
  <c r="AA1178" i="2" a="1"/>
  <c r="AA1178" i="2" s="1"/>
  <c r="AI1175" i="2" a="1"/>
  <c r="AI1175" i="2" s="1"/>
  <c r="AF1174" i="2" a="1"/>
  <c r="AF1174" i="2" s="1"/>
  <c r="AB1178" i="2" a="1"/>
  <c r="AB1178" i="2" s="1"/>
  <c r="Y1178" i="2" a="1"/>
  <c r="Y1178" i="2" s="1"/>
  <c r="AF1177" i="2" a="1"/>
  <c r="AF1177" i="2" s="1"/>
  <c r="W1177" i="2" a="1"/>
  <c r="W1177" i="2" s="1"/>
  <c r="AH1174" i="2" a="1"/>
  <c r="AH1174" i="2" s="1"/>
  <c r="AD1177" i="2" a="1"/>
  <c r="AD1177" i="2" s="1"/>
  <c r="AC1177" i="2" a="1"/>
  <c r="AC1177" i="2" s="1"/>
  <c r="AB1177" i="2" a="1"/>
  <c r="AB1177" i="2" s="1"/>
  <c r="AH1176" i="2" a="1"/>
  <c r="AH1176" i="2" s="1"/>
  <c r="Z1177" i="2" a="1"/>
  <c r="Z1177" i="2" s="1"/>
  <c r="AD1174" i="2" a="1"/>
  <c r="AD1174" i="2" s="1"/>
  <c r="AF1176" i="2" a="1"/>
  <c r="AF1176" i="2" s="1"/>
  <c r="Y1175" i="2" a="1"/>
  <c r="Y1175" i="2" s="1"/>
  <c r="W1178" i="2" a="1"/>
  <c r="W1178" i="2" s="1"/>
  <c r="AH1177" i="2" a="1"/>
  <c r="AH1177" i="2" s="1"/>
  <c r="AD1176" i="2" a="1"/>
  <c r="AD1176" i="2" s="1"/>
  <c r="AG1176" i="2" a="1"/>
  <c r="AG1176" i="2" s="1"/>
  <c r="Z1175" i="2" a="1"/>
  <c r="Z1175" i="2" s="1"/>
  <c r="X1178" i="2" a="1"/>
  <c r="X1178" i="2" s="1"/>
  <c r="AJ1177" i="2" a="1"/>
  <c r="AJ1177" i="2" s="1"/>
  <c r="AJ1176" i="2" a="1"/>
  <c r="AJ1176" i="2" s="1"/>
  <c r="AC1176" i="2" a="1"/>
  <c r="AC1176" i="2" s="1"/>
  <c r="AA1177" i="2" a="1"/>
  <c r="AA1177" i="2" s="1"/>
  <c r="AG1174" i="2" a="1"/>
  <c r="AG1174" i="2" s="1"/>
  <c r="AI1177" i="2" a="1"/>
  <c r="AI1177" i="2" s="1"/>
  <c r="X1177" i="2" a="1"/>
  <c r="X1177" i="2" s="1"/>
  <c r="X1176" i="2" a="1"/>
  <c r="X1176" i="2" s="1"/>
  <c r="W1176" i="2" a="1"/>
  <c r="W1176" i="2" s="1"/>
  <c r="Z1176" i="2" a="1"/>
  <c r="Z1176" i="2" s="1"/>
  <c r="AD1175" i="2" a="1"/>
  <c r="AD1175" i="2" s="1"/>
  <c r="Y1176" i="2" a="1"/>
  <c r="Y1176" i="2" s="1"/>
  <c r="AJ1175" i="2" a="1"/>
  <c r="AJ1175" i="2" s="1"/>
  <c r="AH1175" i="2" a="1"/>
  <c r="AH1175" i="2" s="1"/>
  <c r="AB1175" i="2" a="1"/>
  <c r="AB1175" i="2" s="1"/>
  <c r="W1175" i="2" a="1"/>
  <c r="W1175" i="2" s="1"/>
  <c r="AJ1174" i="2" a="1"/>
  <c r="AJ1174" i="2" s="1"/>
  <c r="AI1174" i="2" a="1"/>
  <c r="AI1174" i="2" s="1"/>
  <c r="AD1178" i="2" a="1"/>
  <c r="AD1178" i="2" s="1"/>
  <c r="AG1175" i="2" a="1"/>
  <c r="AG1175" i="2" s="1"/>
  <c r="AB1176" i="2" a="1"/>
  <c r="AB1176" i="2" s="1"/>
  <c r="AE1176" i="2" a="1"/>
  <c r="AE1176" i="2" s="1"/>
  <c r="X1175" i="2" a="1"/>
  <c r="X1175" i="2" s="1"/>
  <c r="Y1177" i="2" a="1"/>
  <c r="Y1177" i="2" s="1"/>
  <c r="Z1178" i="2" a="1"/>
  <c r="Z1178" i="2" s="1"/>
  <c r="Y1212" i="2" a="1"/>
  <c r="Y1212" i="2" s="1"/>
  <c r="AA1176" i="2" a="1"/>
  <c r="AA1176" i="2" s="1"/>
  <c r="AC1175" i="2" a="1"/>
  <c r="AC1175" i="2" s="1"/>
  <c r="AI1178" i="2" a="1"/>
  <c r="AI1178" i="2" s="1"/>
  <c r="AH1178" i="2" a="1"/>
  <c r="AH1178" i="2" s="1"/>
  <c r="AC1178" i="2" a="1"/>
  <c r="AC1178" i="2" s="1"/>
  <c r="AA1175" i="2" a="1"/>
  <c r="AA1175" i="2" s="1"/>
  <c r="AG1177" i="2" a="1"/>
  <c r="AG1177" i="2" s="1"/>
  <c r="AE1174" i="2" a="1"/>
  <c r="AE1174" i="2" s="1"/>
  <c r="AE1177" i="2" a="1"/>
  <c r="AE1177" i="2" s="1"/>
  <c r="AC1174" i="2" a="1"/>
  <c r="AC1174" i="2" s="1"/>
  <c r="AF1175" i="2" a="1"/>
  <c r="AF1175" i="2" s="1"/>
  <c r="AG1178" i="2" a="1"/>
  <c r="AG1178" i="2" s="1"/>
  <c r="AF1178" i="2" a="1"/>
  <c r="AF1178" i="2" s="1"/>
  <c r="AI1176" i="2" a="1"/>
  <c r="AI1176" i="2" s="1"/>
  <c r="AE1173" i="2" a="1"/>
  <c r="AE1173" i="2" s="1"/>
  <c r="AA1171" i="2" a="1"/>
  <c r="AA1171" i="2" s="1"/>
  <c r="AF1173" i="2" a="1"/>
  <c r="AF1173" i="2" s="1"/>
  <c r="AD1173" i="2" a="1"/>
  <c r="AD1173" i="2" s="1"/>
  <c r="X1173" i="2" a="1"/>
  <c r="X1173" i="2" s="1"/>
  <c r="AB1173" i="2" a="1"/>
  <c r="AB1173" i="2" s="1"/>
  <c r="AA1173" i="2" a="1"/>
  <c r="AA1173" i="2" s="1"/>
  <c r="Z1173" i="2" a="1"/>
  <c r="Z1173" i="2" s="1"/>
  <c r="AD1172" i="2" a="1"/>
  <c r="AD1172" i="2" s="1"/>
  <c r="AD1170" i="2" a="1"/>
  <c r="AD1170" i="2" s="1"/>
  <c r="Z1172" i="2" a="1"/>
  <c r="Z1172" i="2" s="1"/>
  <c r="AB1172" i="2" a="1"/>
  <c r="AB1172" i="2" s="1"/>
  <c r="AH1171" i="2" a="1"/>
  <c r="AH1171" i="2" s="1"/>
  <c r="AG1171" i="2" a="1"/>
  <c r="AG1171" i="2" s="1"/>
  <c r="Y1172" i="2" a="1"/>
  <c r="Y1172" i="2" s="1"/>
  <c r="AD1171" i="2" a="1"/>
  <c r="AD1171" i="2" s="1"/>
  <c r="AB1171" i="2" a="1"/>
  <c r="AB1171" i="2" s="1"/>
  <c r="W1171" i="2" a="1"/>
  <c r="W1171" i="2" s="1"/>
  <c r="AF1170" i="2" a="1"/>
  <c r="AF1170" i="2" s="1"/>
  <c r="AE1170" i="2" a="1"/>
  <c r="AE1170" i="2" s="1"/>
  <c r="AC1170" i="2" a="1"/>
  <c r="AC1170" i="2" s="1"/>
  <c r="AB1170" i="2" a="1"/>
  <c r="AB1170" i="2" s="1"/>
  <c r="AJ1169" i="2" a="1"/>
  <c r="AJ1169" i="2" s="1"/>
  <c r="Y1173" i="2" a="1"/>
  <c r="Y1173" i="2" s="1"/>
  <c r="AI1172" i="2" a="1"/>
  <c r="AI1172" i="2" s="1"/>
  <c r="AG1172" i="2" a="1"/>
  <c r="AG1172" i="2" s="1"/>
  <c r="AE1172" i="2" a="1"/>
  <c r="AE1172" i="2" s="1"/>
  <c r="X1172" i="2" a="1"/>
  <c r="X1172" i="2" s="1"/>
  <c r="AI1171" i="2" a="1"/>
  <c r="AI1171" i="2" s="1"/>
  <c r="X1171" i="2" a="1"/>
  <c r="X1171" i="2" s="1"/>
  <c r="AH1170" i="2" a="1"/>
  <c r="AH1170" i="2" s="1"/>
  <c r="W1170" i="2" a="1"/>
  <c r="W1170" i="2" s="1"/>
  <c r="Z1171" i="2" a="1"/>
  <c r="Z1171" i="2" s="1"/>
  <c r="W1172" i="2" a="1"/>
  <c r="W1172" i="2" s="1"/>
  <c r="AC1172" i="2" a="1"/>
  <c r="AC1172" i="2" s="1"/>
  <c r="AA1170" i="2" a="1"/>
  <c r="AA1170" i="2" s="1"/>
  <c r="AJ1170" i="2" a="1"/>
  <c r="AJ1170" i="2" s="1"/>
  <c r="Y1170" i="2" a="1"/>
  <c r="Y1170" i="2" s="1"/>
  <c r="AG1170" i="2" a="1"/>
  <c r="AG1170" i="2" s="1"/>
  <c r="AF1172" i="2" a="1"/>
  <c r="AF1172" i="2" s="1"/>
  <c r="AI1170" i="2" a="1"/>
  <c r="AI1170" i="2" s="1"/>
  <c r="X1170" i="2" a="1"/>
  <c r="X1170" i="2" s="1"/>
  <c r="AI1210" i="2" a="1"/>
  <c r="AI1210" i="2" s="1"/>
  <c r="AJ1172" i="2" a="1"/>
  <c r="AJ1172" i="2" s="1"/>
  <c r="AB1174" i="2" a="1"/>
  <c r="AB1174" i="2" s="1"/>
  <c r="AA1174" i="2" a="1"/>
  <c r="AA1174" i="2" s="1"/>
  <c r="AH1172" i="2" a="1"/>
  <c r="AH1172" i="2" s="1"/>
  <c r="Z1170" i="2" a="1"/>
  <c r="Z1170" i="2" s="1"/>
  <c r="AJ1171" i="2" a="1"/>
  <c r="AJ1171" i="2" s="1"/>
  <c r="AI1173" i="2" a="1"/>
  <c r="AI1173" i="2" s="1"/>
  <c r="Y1171" i="2" a="1"/>
  <c r="Y1171" i="2" s="1"/>
  <c r="W1173" i="2" a="1"/>
  <c r="W1173" i="2" s="1"/>
  <c r="Z1174" i="2" a="1"/>
  <c r="Z1174" i="2" s="1"/>
  <c r="Y1174" i="2" a="1"/>
  <c r="Y1174" i="2" s="1"/>
  <c r="X1174" i="2" a="1"/>
  <c r="X1174" i="2" s="1"/>
  <c r="W1174" i="2" a="1"/>
  <c r="W1174" i="2" s="1"/>
  <c r="AG1173" i="2" a="1"/>
  <c r="AG1173" i="2" s="1"/>
  <c r="AE1171" i="2" a="1"/>
  <c r="AE1171" i="2" s="1"/>
  <c r="AF1171" i="2" a="1"/>
  <c r="AF1171" i="2" s="1"/>
  <c r="AC1171" i="2" a="1"/>
  <c r="AC1171" i="2" s="1"/>
  <c r="AA1172" i="2" a="1"/>
  <c r="AA1172" i="2" s="1"/>
  <c r="AJ1173" i="2" a="1"/>
  <c r="AJ1173" i="2" s="1"/>
  <c r="AH1173" i="2" a="1"/>
  <c r="AH1173" i="2" s="1"/>
  <c r="AC1173" i="2" a="1"/>
  <c r="AC1173" i="2" s="1"/>
  <c r="AC1169" i="2" a="1"/>
  <c r="AC1169" i="2" s="1"/>
  <c r="AI1169" i="2" a="1"/>
  <c r="AI1169" i="2" s="1"/>
  <c r="AI1165" i="2" a="1"/>
  <c r="AI1165" i="2" s="1"/>
  <c r="AH1169" i="2" a="1"/>
  <c r="AH1169" i="2" s="1"/>
  <c r="Y1168" i="2" a="1"/>
  <c r="Y1168" i="2" s="1"/>
  <c r="AG1169" i="2" a="1"/>
  <c r="AG1169" i="2" s="1"/>
  <c r="AF1169" i="2" a="1"/>
  <c r="AF1169" i="2" s="1"/>
  <c r="AD1169" i="2" a="1"/>
  <c r="AD1169" i="2" s="1"/>
  <c r="X1169" i="2" a="1"/>
  <c r="X1169" i="2" s="1"/>
  <c r="AJ1168" i="2" a="1"/>
  <c r="AJ1168" i="2" s="1"/>
  <c r="AA1168" i="2" a="1"/>
  <c r="AA1168" i="2" s="1"/>
  <c r="Z1167" i="2" a="1"/>
  <c r="Z1167" i="2" s="1"/>
  <c r="AF1166" i="2" a="1"/>
  <c r="AF1166" i="2" s="1"/>
  <c r="AE1169" i="2" a="1"/>
  <c r="AE1169" i="2" s="1"/>
  <c r="AG1168" i="2" a="1"/>
  <c r="AG1168" i="2" s="1"/>
  <c r="AC1168" i="2" a="1"/>
  <c r="AC1168" i="2" s="1"/>
  <c r="Z1168" i="2" a="1"/>
  <c r="Z1168" i="2" s="1"/>
  <c r="X1168" i="2" a="1"/>
  <c r="X1168" i="2" s="1"/>
  <c r="Z1166" i="2" a="1"/>
  <c r="Z1166" i="2" s="1"/>
  <c r="AH1167" i="2" a="1"/>
  <c r="AH1167" i="2" s="1"/>
  <c r="AG1167" i="2" a="1"/>
  <c r="AG1167" i="2" s="1"/>
  <c r="W1167" i="2" a="1"/>
  <c r="W1167" i="2" s="1"/>
  <c r="X1167" i="2" a="1"/>
  <c r="X1167" i="2" s="1"/>
  <c r="AI1166" i="2" a="1"/>
  <c r="AI1166" i="2" s="1"/>
  <c r="AB1169" i="2" a="1"/>
  <c r="AB1169" i="2" s="1"/>
  <c r="Z1169" i="2" a="1"/>
  <c r="Z1169" i="2" s="1"/>
  <c r="Y1169" i="2" a="1"/>
  <c r="Y1169" i="2" s="1"/>
  <c r="AH1168" i="2" a="1"/>
  <c r="AH1168" i="2" s="1"/>
  <c r="W1169" i="2" a="1"/>
  <c r="W1169" i="2" s="1"/>
  <c r="AJ1165" i="2" a="1"/>
  <c r="AJ1165" i="2" s="1"/>
  <c r="AI1167" i="2" a="1"/>
  <c r="AI1167" i="2" s="1"/>
  <c r="AE1168" i="2" a="1"/>
  <c r="AE1168" i="2" s="1"/>
  <c r="AE1165" i="2" a="1"/>
  <c r="AE1165" i="2" s="1"/>
  <c r="Y1166" i="2" a="1"/>
  <c r="Y1166" i="2" s="1"/>
  <c r="AI1168" i="2" a="1"/>
  <c r="AI1168" i="2" s="1"/>
  <c r="AD1168" i="2" a="1"/>
  <c r="AD1168" i="2" s="1"/>
  <c r="AE1167" i="2" a="1"/>
  <c r="AE1167" i="2" s="1"/>
  <c r="AC1166" i="2" a="1"/>
  <c r="AC1166" i="2" s="1"/>
  <c r="AH1165" i="2" a="1"/>
  <c r="AH1165" i="2" s="1"/>
  <c r="X1166" i="2" a="1"/>
  <c r="X1166" i="2" s="1"/>
  <c r="AA1167" i="2" a="1"/>
  <c r="AA1167" i="2" s="1"/>
  <c r="Y1167" i="2" a="1"/>
  <c r="Y1167" i="2" s="1"/>
  <c r="AG1166" i="2" a="1"/>
  <c r="AG1166" i="2" s="1"/>
  <c r="AJ1166" i="2" a="1"/>
  <c r="AJ1166" i="2" s="1"/>
  <c r="AD1166" i="2" a="1"/>
  <c r="AD1166" i="2" s="1"/>
  <c r="AC1165" i="2" a="1"/>
  <c r="AC1165" i="2" s="1"/>
  <c r="AE1166" i="2" a="1"/>
  <c r="AE1166" i="2" s="1"/>
  <c r="W1168" i="2" a="1"/>
  <c r="W1168" i="2" s="1"/>
  <c r="AJ1167" i="2" a="1"/>
  <c r="AJ1167" i="2" s="1"/>
  <c r="AD1167" i="2" a="1"/>
  <c r="AD1167" i="2" s="1"/>
  <c r="AC1167" i="2" a="1"/>
  <c r="AC1167" i="2" s="1"/>
  <c r="AB1167" i="2" a="1"/>
  <c r="AB1167" i="2" s="1"/>
  <c r="AH1166" i="2" a="1"/>
  <c r="AH1166" i="2" s="1"/>
  <c r="AF1165" i="2" a="1"/>
  <c r="AF1165" i="2" s="1"/>
  <c r="AB1166" i="2" a="1"/>
  <c r="AB1166" i="2" s="1"/>
  <c r="AG1165" i="2" a="1"/>
  <c r="AG1165" i="2" s="1"/>
  <c r="AD1165" i="2" a="1"/>
  <c r="AD1165" i="2" s="1"/>
  <c r="AF1168" i="2" a="1"/>
  <c r="AF1168" i="2" s="1"/>
  <c r="AB1168" i="2" a="1"/>
  <c r="AB1168" i="2" s="1"/>
  <c r="AF1167" i="2" a="1"/>
  <c r="AF1167" i="2" s="1"/>
  <c r="AA1166" i="2" a="1"/>
  <c r="AA1166" i="2" s="1"/>
  <c r="W1166" i="2" a="1"/>
  <c r="W1166" i="2" s="1"/>
  <c r="AE1211" i="2" a="1"/>
  <c r="AE1211" i="2" s="1"/>
  <c r="AA1169" i="2" a="1"/>
  <c r="AA1169" i="2" s="1"/>
  <c r="AF1164" i="2" a="1"/>
  <c r="AF1164" i="2" s="1"/>
  <c r="AC1162" i="2" a="1"/>
  <c r="AC1162" i="2" s="1"/>
  <c r="Y1161" i="2" a="1"/>
  <c r="Y1161" i="2" s="1"/>
  <c r="X1164" i="2" a="1"/>
  <c r="X1164" i="2" s="1"/>
  <c r="AI1163" i="2" a="1"/>
  <c r="AI1163" i="2" s="1"/>
  <c r="AE1163" i="2" a="1"/>
  <c r="AE1163" i="2" s="1"/>
  <c r="AG1163" i="2" a="1"/>
  <c r="AG1163" i="2" s="1"/>
  <c r="AI1161" i="2" a="1"/>
  <c r="AI1161" i="2" s="1"/>
  <c r="W1163" i="2" a="1"/>
  <c r="W1163" i="2" s="1"/>
  <c r="AE1161" i="2" a="1"/>
  <c r="AE1161" i="2" s="1"/>
  <c r="AG1161" i="2" a="1"/>
  <c r="AG1161" i="2" s="1"/>
  <c r="W1162" i="2" a="1"/>
  <c r="W1162" i="2" s="1"/>
  <c r="AA1164" i="2" a="1"/>
  <c r="AA1164" i="2" s="1"/>
  <c r="Y1164" i="2" a="1"/>
  <c r="Y1164" i="2" s="1"/>
  <c r="AF1162" i="2" a="1"/>
  <c r="AF1162" i="2" s="1"/>
  <c r="AJ1160" i="2" a="1"/>
  <c r="AJ1160" i="2" s="1"/>
  <c r="AD1164" i="2" a="1"/>
  <c r="AD1164" i="2" s="1"/>
  <c r="AB1164" i="2" a="1"/>
  <c r="AB1164" i="2" s="1"/>
  <c r="Z1164" i="2" a="1"/>
  <c r="Z1164" i="2" s="1"/>
  <c r="W1164" i="2" a="1"/>
  <c r="W1164" i="2" s="1"/>
  <c r="AJ1163" i="2" a="1"/>
  <c r="AJ1163" i="2" s="1"/>
  <c r="Y1163" i="2" a="1"/>
  <c r="Y1163" i="2" s="1"/>
  <c r="X1162" i="2" a="1"/>
  <c r="X1162" i="2" s="1"/>
  <c r="AF1163" i="2" a="1"/>
  <c r="AF1163" i="2" s="1"/>
  <c r="AA1162" i="2" a="1"/>
  <c r="AA1162" i="2" s="1"/>
  <c r="AB1162" i="2" a="1"/>
  <c r="AB1162" i="2" s="1"/>
  <c r="Y1162" i="2" a="1"/>
  <c r="Y1162" i="2" s="1"/>
  <c r="AC1161" i="2" a="1"/>
  <c r="AC1161" i="2" s="1"/>
  <c r="AD1163" i="2" a="1"/>
  <c r="AD1163" i="2" s="1"/>
  <c r="AC1163" i="2" a="1"/>
  <c r="AC1163" i="2" s="1"/>
  <c r="AB1163" i="2" a="1"/>
  <c r="AB1163" i="2" s="1"/>
  <c r="Z1163" i="2" a="1"/>
  <c r="Z1163" i="2" s="1"/>
  <c r="AA1163" i="2" a="1"/>
  <c r="AA1163" i="2" s="1"/>
  <c r="X1163" i="2" a="1"/>
  <c r="X1163" i="2" s="1"/>
  <c r="AJ1162" i="2" a="1"/>
  <c r="AJ1162" i="2" s="1"/>
  <c r="AH1161" i="2" a="1"/>
  <c r="AH1161" i="2" s="1"/>
  <c r="AI1162" i="2" a="1"/>
  <c r="AI1162" i="2" s="1"/>
  <c r="AH1162" i="2" a="1"/>
  <c r="AH1162" i="2" s="1"/>
  <c r="AG1162" i="2" a="1"/>
  <c r="AG1162" i="2" s="1"/>
  <c r="AB1161" i="2" a="1"/>
  <c r="AB1161" i="2" s="1"/>
  <c r="AJ1161" i="2" a="1"/>
  <c r="AJ1161" i="2" s="1"/>
  <c r="X1161" i="2" a="1"/>
  <c r="X1161" i="2" s="1"/>
  <c r="Z1162" i="2" a="1"/>
  <c r="Z1162" i="2" s="1"/>
  <c r="AF1161" i="2" a="1"/>
  <c r="AF1161" i="2" s="1"/>
  <c r="W1161" i="2" a="1"/>
  <c r="W1161" i="2" s="1"/>
  <c r="Z1161" i="2" a="1"/>
  <c r="Z1161" i="2" s="1"/>
  <c r="AD1161" i="2" a="1"/>
  <c r="AD1161" i="2" s="1"/>
  <c r="AA1161" i="2" a="1"/>
  <c r="AA1161" i="2" s="1"/>
  <c r="AH1163" i="2" a="1"/>
  <c r="AH1163" i="2" s="1"/>
  <c r="AH1210" i="2" a="1"/>
  <c r="AH1210" i="2" s="1"/>
  <c r="AH1164" i="2" a="1"/>
  <c r="AH1164" i="2" s="1"/>
  <c r="AD1162" i="2" a="1"/>
  <c r="AD1162" i="2" s="1"/>
  <c r="AB1165" i="2" a="1"/>
  <c r="AB1165" i="2" s="1"/>
  <c r="AA1165" i="2" a="1"/>
  <c r="AA1165" i="2" s="1"/>
  <c r="AC1164" i="2" a="1"/>
  <c r="AC1164" i="2" s="1"/>
  <c r="Z1165" i="2" a="1"/>
  <c r="Z1165" i="2" s="1"/>
  <c r="Y1165" i="2" a="1"/>
  <c r="Y1165" i="2" s="1"/>
  <c r="AE1164" i="2" a="1"/>
  <c r="AE1164" i="2" s="1"/>
  <c r="X1165" i="2" a="1"/>
  <c r="X1165" i="2" s="1"/>
  <c r="W1165" i="2" a="1"/>
  <c r="W1165" i="2" s="1"/>
  <c r="AE1162" i="2" a="1"/>
  <c r="AE1162" i="2" s="1"/>
  <c r="AJ1164" i="2" a="1"/>
  <c r="AJ1164" i="2" s="1"/>
  <c r="AI1164" i="2" a="1"/>
  <c r="AI1164" i="2" s="1"/>
  <c r="AG1164" i="2" a="1"/>
  <c r="AG1164" i="2" s="1"/>
  <c r="X1158" i="2" a="1"/>
  <c r="X1158" i="2" s="1"/>
  <c r="AA1158" i="2" a="1"/>
  <c r="AA1158" i="2" s="1"/>
  <c r="AF1159" i="2" a="1"/>
  <c r="AF1159" i="2" s="1"/>
  <c r="AG1160" i="2" a="1"/>
  <c r="AG1160" i="2" s="1"/>
  <c r="Y1157" i="2" a="1"/>
  <c r="Y1157" i="2" s="1"/>
  <c r="AE1160" i="2" a="1"/>
  <c r="AE1160" i="2" s="1"/>
  <c r="AJ1158" i="2" a="1"/>
  <c r="AJ1158" i="2" s="1"/>
  <c r="AD1160" i="2" a="1"/>
  <c r="AD1160" i="2" s="1"/>
  <c r="AG1157" i="2" a="1"/>
  <c r="AG1157" i="2" s="1"/>
  <c r="W1158" i="2" a="1"/>
  <c r="W1158" i="2" s="1"/>
  <c r="Y1160" i="2" a="1"/>
  <c r="Y1160" i="2" s="1"/>
  <c r="Y1159" i="2" a="1"/>
  <c r="Y1159" i="2" s="1"/>
  <c r="AI1158" i="2" a="1"/>
  <c r="AI1158" i="2" s="1"/>
  <c r="AF1156" i="2" a="1"/>
  <c r="AF1156" i="2" s="1"/>
  <c r="AD1156" i="2" a="1"/>
  <c r="AD1156" i="2" s="1"/>
  <c r="AE1156" i="2" a="1"/>
  <c r="AE1156" i="2" s="1"/>
  <c r="AG1158" i="2" a="1"/>
  <c r="AG1158" i="2" s="1"/>
  <c r="AB1158" i="2" a="1"/>
  <c r="AB1158" i="2" s="1"/>
  <c r="AH1156" i="2" a="1"/>
  <c r="AH1156" i="2" s="1"/>
  <c r="AJ1157" i="2" a="1"/>
  <c r="AJ1157" i="2" s="1"/>
  <c r="AD1157" i="2" a="1"/>
  <c r="AD1157" i="2" s="1"/>
  <c r="AI1157" i="2" a="1"/>
  <c r="AI1157" i="2" s="1"/>
  <c r="X1157" i="2" a="1"/>
  <c r="X1157" i="2" s="1"/>
  <c r="AH1157" i="2" a="1"/>
  <c r="AH1157" i="2" s="1"/>
  <c r="AA1159" i="2" a="1"/>
  <c r="AA1159" i="2" s="1"/>
  <c r="W1160" i="2" a="1"/>
  <c r="W1160" i="2" s="1"/>
  <c r="AC1157" i="2" a="1"/>
  <c r="AC1157" i="2" s="1"/>
  <c r="AH1159" i="2" a="1"/>
  <c r="AH1159" i="2" s="1"/>
  <c r="AC1156" i="2" a="1"/>
  <c r="AC1156" i="2" s="1"/>
  <c r="X1159" i="2" a="1"/>
  <c r="X1159" i="2" s="1"/>
  <c r="AI1156" i="2" a="1"/>
  <c r="AI1156" i="2" s="1"/>
  <c r="AE1158" i="2" a="1"/>
  <c r="AE1158" i="2" s="1"/>
  <c r="Z1158" i="2" a="1"/>
  <c r="Z1158" i="2" s="1"/>
  <c r="AJ1211" i="2" a="1"/>
  <c r="AJ1211" i="2" s="1"/>
  <c r="AC1159" i="2" a="1"/>
  <c r="AC1159" i="2" s="1"/>
  <c r="AI1160" i="2" a="1"/>
  <c r="AI1160" i="2" s="1"/>
  <c r="AH1160" i="2" a="1"/>
  <c r="AH1160" i="2" s="1"/>
  <c r="AA1157" i="2" a="1"/>
  <c r="AA1157" i="2" s="1"/>
  <c r="AB1159" i="2" a="1"/>
  <c r="AB1159" i="2" s="1"/>
  <c r="AF1160" i="2" a="1"/>
  <c r="AF1160" i="2" s="1"/>
  <c r="AB1160" i="2" a="1"/>
  <c r="AB1160" i="2" s="1"/>
  <c r="AE1159" i="2" a="1"/>
  <c r="AE1159" i="2" s="1"/>
  <c r="AI1159" i="2" a="1"/>
  <c r="AI1159" i="2" s="1"/>
  <c r="Z1159" i="2" a="1"/>
  <c r="Z1159" i="2" s="1"/>
  <c r="AB1157" i="2" a="1"/>
  <c r="AB1157" i="2" s="1"/>
  <c r="AG1159" i="2" a="1"/>
  <c r="AG1159" i="2" s="1"/>
  <c r="AE1157" i="2" a="1"/>
  <c r="AE1157" i="2" s="1"/>
  <c r="AC1160" i="2" a="1"/>
  <c r="AC1160" i="2" s="1"/>
  <c r="W1159" i="2" a="1"/>
  <c r="W1159" i="2" s="1"/>
  <c r="AD1159" i="2" a="1"/>
  <c r="AD1159" i="2" s="1"/>
  <c r="AJ1156" i="2" a="1"/>
  <c r="AJ1156" i="2" s="1"/>
  <c r="Z1160" i="2" a="1"/>
  <c r="Z1160" i="2" s="1"/>
  <c r="W1157" i="2" a="1"/>
  <c r="W1157" i="2" s="1"/>
  <c r="AA1160" i="2" a="1"/>
  <c r="AA1160" i="2" s="1"/>
  <c r="AJ1159" i="2" a="1"/>
  <c r="AJ1159" i="2" s="1"/>
  <c r="Z1157" i="2" a="1"/>
  <c r="Z1157" i="2" s="1"/>
  <c r="X1160" i="2" a="1"/>
  <c r="X1160" i="2" s="1"/>
  <c r="AH1158" i="2" a="1"/>
  <c r="AH1158" i="2" s="1"/>
  <c r="AC1158" i="2" a="1"/>
  <c r="AC1158" i="2" s="1"/>
  <c r="AF1157" i="2" a="1"/>
  <c r="AF1157" i="2" s="1"/>
  <c r="AG1156" i="2" a="1"/>
  <c r="AG1156" i="2" s="1"/>
  <c r="AF1158" i="2" a="1"/>
  <c r="AF1158" i="2" s="1"/>
  <c r="AD1158" i="2" a="1"/>
  <c r="AD1158" i="2" s="1"/>
  <c r="Y1158" i="2" a="1"/>
  <c r="Y1158" i="2" s="1"/>
  <c r="W1153" i="2" a="1"/>
  <c r="W1153" i="2" s="1"/>
  <c r="Z1156" i="2" a="1"/>
  <c r="Z1156" i="2" s="1"/>
  <c r="Y1156" i="2" a="1"/>
  <c r="Y1156" i="2" s="1"/>
  <c r="AJ1154" i="2" a="1"/>
  <c r="AJ1154" i="2" s="1"/>
  <c r="AD1153" i="2" a="1"/>
  <c r="AD1153" i="2" s="1"/>
  <c r="X1156" i="2" a="1"/>
  <c r="X1156" i="2" s="1"/>
  <c r="W1156" i="2" a="1"/>
  <c r="W1156" i="2" s="1"/>
  <c r="AH1155" i="2" a="1"/>
  <c r="AH1155" i="2" s="1"/>
  <c r="AC1154" i="2" a="1"/>
  <c r="AC1154" i="2" s="1"/>
  <c r="AB1154" i="2" a="1"/>
  <c r="AB1154" i="2" s="1"/>
  <c r="AF1153" i="2" a="1"/>
  <c r="AF1153" i="2" s="1"/>
  <c r="X1153" i="2" a="1"/>
  <c r="X1153" i="2" s="1"/>
  <c r="AG1155" i="2" a="1"/>
  <c r="AG1155" i="2" s="1"/>
  <c r="Z1152" i="2" a="1"/>
  <c r="Z1152" i="2" s="1"/>
  <c r="AG1154" i="2" a="1"/>
  <c r="AG1154" i="2" s="1"/>
  <c r="AE1154" i="2" a="1"/>
  <c r="AE1154" i="2" s="1"/>
  <c r="AD1155" i="2" a="1"/>
  <c r="AD1155" i="2" s="1"/>
  <c r="AF1152" i="2" a="1"/>
  <c r="AF1152" i="2" s="1"/>
  <c r="AC1155" i="2" a="1"/>
  <c r="AC1155" i="2" s="1"/>
  <c r="Y1154" i="2" a="1"/>
  <c r="Y1154" i="2" s="1"/>
  <c r="AD1152" i="2" a="1"/>
  <c r="AD1152" i="2" s="1"/>
  <c r="AA1155" i="2" a="1"/>
  <c r="AA1155" i="2" s="1"/>
  <c r="Y1155" i="2" a="1"/>
  <c r="Y1155" i="2" s="1"/>
  <c r="AA1153" i="2" a="1"/>
  <c r="AA1153" i="2" s="1"/>
  <c r="Z1154" i="2" a="1"/>
  <c r="Z1154" i="2" s="1"/>
  <c r="X1154" i="2" a="1"/>
  <c r="X1154" i="2" s="1"/>
  <c r="AC1152" i="2" a="1"/>
  <c r="AC1152" i="2" s="1"/>
  <c r="AJ1152" i="2" a="1"/>
  <c r="AJ1152" i="2" s="1"/>
  <c r="Z1155" i="2" a="1"/>
  <c r="Z1155" i="2" s="1"/>
  <c r="AF1155" i="2" a="1"/>
  <c r="AF1155" i="2" s="1"/>
  <c r="AB1155" i="2" a="1"/>
  <c r="AB1155" i="2" s="1"/>
  <c r="AA1154" i="2" a="1"/>
  <c r="AA1154" i="2" s="1"/>
  <c r="AE1153" i="2" a="1"/>
  <c r="AE1153" i="2" s="1"/>
  <c r="AI1154" i="2" a="1"/>
  <c r="AI1154" i="2" s="1"/>
  <c r="AD1154" i="2" a="1"/>
  <c r="AD1154" i="2" s="1"/>
  <c r="AJ1153" i="2" a="1"/>
  <c r="AJ1153" i="2" s="1"/>
  <c r="AA1152" i="2" a="1"/>
  <c r="AA1152" i="2" s="1"/>
  <c r="AB1153" i="2" a="1"/>
  <c r="AB1153" i="2" s="1"/>
  <c r="AH1152" i="2" a="1"/>
  <c r="AH1152" i="2" s="1"/>
  <c r="Y1153" i="2" a="1"/>
  <c r="Y1153" i="2" s="1"/>
  <c r="AG1152" i="2" a="1"/>
  <c r="AG1152" i="2" s="1"/>
  <c r="W1154" i="2" a="1"/>
  <c r="W1154" i="2" s="1"/>
  <c r="AE1152" i="2" a="1"/>
  <c r="AE1152" i="2" s="1"/>
  <c r="AG1153" i="2" a="1"/>
  <c r="AG1153" i="2" s="1"/>
  <c r="AG1210" i="2" a="1"/>
  <c r="AG1210" i="2" s="1"/>
  <c r="AB1156" i="2" a="1"/>
  <c r="AB1156" i="2" s="1"/>
  <c r="AA1156" i="2" a="1"/>
  <c r="AA1156" i="2" s="1"/>
  <c r="AC1153" i="2" a="1"/>
  <c r="AC1153" i="2" s="1"/>
  <c r="AJ1155" i="2" a="1"/>
  <c r="AJ1155" i="2" s="1"/>
  <c r="AI1155" i="2" a="1"/>
  <c r="AI1155" i="2" s="1"/>
  <c r="X1155" i="2" a="1"/>
  <c r="X1155" i="2" s="1"/>
  <c r="AI1153" i="2" a="1"/>
  <c r="AI1153" i="2" s="1"/>
  <c r="AE1155" i="2" a="1"/>
  <c r="AE1155" i="2" s="1"/>
  <c r="AH1154" i="2" a="1"/>
  <c r="AH1154" i="2" s="1"/>
  <c r="W1155" i="2" a="1"/>
  <c r="W1155" i="2" s="1"/>
  <c r="AF1154" i="2" a="1"/>
  <c r="AF1154" i="2" s="1"/>
  <c r="AB1152" i="2" a="1"/>
  <c r="AB1152" i="2" s="1"/>
  <c r="AH1153" i="2" a="1"/>
  <c r="AH1153" i="2" s="1"/>
  <c r="Z1153" i="2" a="1"/>
  <c r="Z1153" i="2" s="1"/>
  <c r="AI1152" i="2" a="1"/>
  <c r="AI1152" i="2" s="1"/>
  <c r="AJ1148" i="2" a="1"/>
  <c r="AJ1148" i="2" s="1"/>
  <c r="AA1151" i="2" a="1"/>
  <c r="AA1151" i="2" s="1"/>
  <c r="AJ1150" i="2" a="1"/>
  <c r="AJ1150" i="2" s="1"/>
  <c r="AH1150" i="2" a="1"/>
  <c r="AH1150" i="2" s="1"/>
  <c r="AF1150" i="2" a="1"/>
  <c r="AF1150" i="2" s="1"/>
  <c r="AD1150" i="2" a="1"/>
  <c r="AD1150" i="2" s="1"/>
  <c r="AB1150" i="2" a="1"/>
  <c r="AB1150" i="2" s="1"/>
  <c r="AH1148" i="2" a="1"/>
  <c r="AH1148" i="2" s="1"/>
  <c r="Y1149" i="2" a="1"/>
  <c r="Y1149" i="2" s="1"/>
  <c r="AI1148" i="2" a="1"/>
  <c r="AI1148" i="2" s="1"/>
  <c r="W1149" i="2" a="1"/>
  <c r="W1149" i="2" s="1"/>
  <c r="AF1151" i="2" a="1"/>
  <c r="AF1151" i="2" s="1"/>
  <c r="AC1149" i="2" a="1"/>
  <c r="AC1149" i="2" s="1"/>
  <c r="AE1151" i="2" a="1"/>
  <c r="AE1151" i="2" s="1"/>
  <c r="AB1151" i="2" a="1"/>
  <c r="AB1151" i="2" s="1"/>
  <c r="W1150" i="2" a="1"/>
  <c r="W1150" i="2" s="1"/>
  <c r="AG1149" i="2" a="1"/>
  <c r="AG1149" i="2" s="1"/>
  <c r="AF1148" i="2" a="1"/>
  <c r="AF1148" i="2" s="1"/>
  <c r="AE1148" i="2" a="1"/>
  <c r="AE1148" i="2" s="1"/>
  <c r="AA1149" i="2" a="1"/>
  <c r="AA1149" i="2" s="1"/>
  <c r="Y1150" i="2" a="1"/>
  <c r="Y1150" i="2" s="1"/>
  <c r="AD1148" i="2" a="1"/>
  <c r="AD1148" i="2" s="1"/>
  <c r="X1148" i="2" a="1"/>
  <c r="X1148" i="2" s="1"/>
  <c r="AD1211" i="2" a="1"/>
  <c r="AD1211" i="2" s="1"/>
  <c r="AH1149" i="2" a="1"/>
  <c r="AH1149" i="2" s="1"/>
  <c r="Z1151" i="2" a="1"/>
  <c r="Z1151" i="2" s="1"/>
  <c r="Z1150" i="2" a="1"/>
  <c r="Z1150" i="2" s="1"/>
  <c r="AB1148" i="2" a="1"/>
  <c r="AB1148" i="2" s="1"/>
  <c r="Y1148" i="2" a="1"/>
  <c r="Y1148" i="2" s="1"/>
  <c r="Z1149" i="2" a="1"/>
  <c r="Z1149" i="2" s="1"/>
  <c r="AI1147" i="2" a="1"/>
  <c r="AI1147" i="2" s="1"/>
  <c r="AD1149" i="2" a="1"/>
  <c r="AD1149" i="2" s="1"/>
  <c r="AI1150" i="2" a="1"/>
  <c r="AI1150" i="2" s="1"/>
  <c r="AF1149" i="2" a="1"/>
  <c r="AF1149" i="2" s="1"/>
  <c r="AH1147" i="2" a="1"/>
  <c r="AH1147" i="2" s="1"/>
  <c r="X1149" i="2" a="1"/>
  <c r="X1149" i="2" s="1"/>
  <c r="AJ1149" i="2" a="1"/>
  <c r="AJ1149" i="2" s="1"/>
  <c r="AE1149" i="2" a="1"/>
  <c r="AE1149" i="2" s="1"/>
  <c r="AB1149" i="2" a="1"/>
  <c r="AB1149" i="2" s="1"/>
  <c r="AD1151" i="2" a="1"/>
  <c r="AD1151" i="2" s="1"/>
  <c r="AC1151" i="2" a="1"/>
  <c r="AC1151" i="2" s="1"/>
  <c r="Y1151" i="2" a="1"/>
  <c r="Y1151" i="2" s="1"/>
  <c r="AC1148" i="2" a="1"/>
  <c r="AC1148" i="2" s="1"/>
  <c r="Z1148" i="2" a="1"/>
  <c r="Z1148" i="2" s="1"/>
  <c r="AE1150" i="2" a="1"/>
  <c r="AE1150" i="2" s="1"/>
  <c r="X1150" i="2" a="1"/>
  <c r="X1150" i="2" s="1"/>
  <c r="AA1150" i="2" a="1"/>
  <c r="AA1150" i="2" s="1"/>
  <c r="Y1152" i="2" a="1"/>
  <c r="Y1152" i="2" s="1"/>
  <c r="W1148" i="2" a="1"/>
  <c r="W1148" i="2" s="1"/>
  <c r="AG1151" i="2" a="1"/>
  <c r="AG1151" i="2" s="1"/>
  <c r="AJ1147" i="2" a="1"/>
  <c r="AJ1147" i="2" s="1"/>
  <c r="X1152" i="2" a="1"/>
  <c r="X1152" i="2" s="1"/>
  <c r="W1152" i="2" a="1"/>
  <c r="W1152" i="2" s="1"/>
  <c r="AG1148" i="2" a="1"/>
  <c r="AG1148" i="2" s="1"/>
  <c r="AA1148" i="2" a="1"/>
  <c r="AA1148" i="2" s="1"/>
  <c r="AJ1151" i="2" a="1"/>
  <c r="AJ1151" i="2" s="1"/>
  <c r="AI1149" i="2" a="1"/>
  <c r="AI1149" i="2" s="1"/>
  <c r="AG1147" i="2" a="1"/>
  <c r="AG1147" i="2" s="1"/>
  <c r="AI1151" i="2" a="1"/>
  <c r="AI1151" i="2" s="1"/>
  <c r="AH1151" i="2" a="1"/>
  <c r="AH1151" i="2" s="1"/>
  <c r="X1151" i="2" a="1"/>
  <c r="X1151" i="2" s="1"/>
  <c r="W1151" i="2" a="1"/>
  <c r="W1151" i="2" s="1"/>
  <c r="AG1150" i="2" a="1"/>
  <c r="AG1150" i="2" s="1"/>
  <c r="AC1150" i="2" a="1"/>
  <c r="AC1150" i="2" s="1"/>
  <c r="AD1145" i="2" a="1"/>
  <c r="AD1145" i="2" s="1"/>
  <c r="AC1147" i="2" a="1"/>
  <c r="AC1147" i="2" s="1"/>
  <c r="AB1147" i="2" a="1"/>
  <c r="AB1147" i="2" s="1"/>
  <c r="AH1143" i="2" a="1"/>
  <c r="AH1143" i="2" s="1"/>
  <c r="AA1147" i="2" a="1"/>
  <c r="AA1147" i="2" s="1"/>
  <c r="Z1147" i="2" a="1"/>
  <c r="Z1147" i="2" s="1"/>
  <c r="AH1146" i="2" a="1"/>
  <c r="AH1146" i="2" s="1"/>
  <c r="AE1144" i="2" a="1"/>
  <c r="AE1144" i="2" s="1"/>
  <c r="Z1144" i="2" a="1"/>
  <c r="Z1144" i="2" s="1"/>
  <c r="Y1146" i="2" a="1"/>
  <c r="Y1146" i="2" s="1"/>
  <c r="X1147" i="2" a="1"/>
  <c r="X1147" i="2" s="1"/>
  <c r="W1147" i="2" a="1"/>
  <c r="W1147" i="2" s="1"/>
  <c r="X1146" i="2" a="1"/>
  <c r="X1146" i="2" s="1"/>
  <c r="AC1144" i="2" a="1"/>
  <c r="AC1144" i="2" s="1"/>
  <c r="AA1143" i="2" a="1"/>
  <c r="AA1143" i="2" s="1"/>
  <c r="AJ1146" i="2" a="1"/>
  <c r="AJ1146" i="2" s="1"/>
  <c r="AG1146" i="2" a="1"/>
  <c r="AG1146" i="2" s="1"/>
  <c r="AF1146" i="2" a="1"/>
  <c r="AF1146" i="2" s="1"/>
  <c r="AD1146" i="2" a="1"/>
  <c r="AD1146" i="2" s="1"/>
  <c r="AG1144" i="2" a="1"/>
  <c r="AG1144" i="2" s="1"/>
  <c r="Z1143" i="2" a="1"/>
  <c r="Z1143" i="2" s="1"/>
  <c r="AI1146" i="2" a="1"/>
  <c r="AI1146" i="2" s="1"/>
  <c r="AI1143" i="2" a="1"/>
  <c r="AI1143" i="2" s="1"/>
  <c r="AB1146" i="2" a="1"/>
  <c r="AB1146" i="2" s="1"/>
  <c r="AA1146" i="2" a="1"/>
  <c r="AA1146" i="2" s="1"/>
  <c r="W1146" i="2" a="1"/>
  <c r="W1146" i="2" s="1"/>
  <c r="AG1145" i="2" a="1"/>
  <c r="AG1145" i="2" s="1"/>
  <c r="AG1143" i="2" a="1"/>
  <c r="AG1143" i="2" s="1"/>
  <c r="AJ1145" i="2" a="1"/>
  <c r="AJ1145" i="2" s="1"/>
  <c r="AD1144" i="2" a="1"/>
  <c r="AD1144" i="2" s="1"/>
  <c r="AI1144" i="2" a="1"/>
  <c r="AI1144" i="2" s="1"/>
  <c r="AJ1143" i="2" a="1"/>
  <c r="AJ1143" i="2" s="1"/>
  <c r="AB1143" i="2" a="1"/>
  <c r="AB1143" i="2" s="1"/>
  <c r="Z1145" i="2" a="1"/>
  <c r="Z1145" i="2" s="1"/>
  <c r="Z1146" i="2" a="1"/>
  <c r="Z1146" i="2" s="1"/>
  <c r="AH1145" i="2" a="1"/>
  <c r="AH1145" i="2" s="1"/>
  <c r="AE1145" i="2" a="1"/>
  <c r="AE1145" i="2" s="1"/>
  <c r="X1144" i="2" a="1"/>
  <c r="X1144" i="2" s="1"/>
  <c r="AC1145" i="2" a="1"/>
  <c r="AC1145" i="2" s="1"/>
  <c r="Y1145" i="2" a="1"/>
  <c r="Y1145" i="2" s="1"/>
  <c r="W1144" i="2" a="1"/>
  <c r="W1144" i="2" s="1"/>
  <c r="AE1143" i="2" a="1"/>
  <c r="AE1143" i="2" s="1"/>
  <c r="AI1145" i="2" a="1"/>
  <c r="AI1145" i="2" s="1"/>
  <c r="AD1143" i="2" a="1"/>
  <c r="AD1143" i="2" s="1"/>
  <c r="AA1145" i="2" a="1"/>
  <c r="AA1145" i="2" s="1"/>
  <c r="AA1144" i="2" a="1"/>
  <c r="AA1144" i="2" s="1"/>
  <c r="AB1145" i="2" a="1"/>
  <c r="AB1145" i="2" s="1"/>
  <c r="Y1144" i="2" a="1"/>
  <c r="Y1144" i="2" s="1"/>
  <c r="X1145" i="2" a="1"/>
  <c r="X1145" i="2" s="1"/>
  <c r="AH1144" i="2" a="1"/>
  <c r="AH1144" i="2" s="1"/>
  <c r="W1145" i="2" a="1"/>
  <c r="W1145" i="2" s="1"/>
  <c r="AF1210" i="2" a="1"/>
  <c r="AF1210" i="2" s="1"/>
  <c r="AC1146" i="2" a="1"/>
  <c r="AC1146" i="2" s="1"/>
  <c r="AC1143" i="2" a="1"/>
  <c r="AC1143" i="2" s="1"/>
  <c r="AE1147" i="2" a="1"/>
  <c r="AE1147" i="2" s="1"/>
  <c r="AF1147" i="2" a="1"/>
  <c r="AF1147" i="2" s="1"/>
  <c r="AE1146" i="2" a="1"/>
  <c r="AE1146" i="2" s="1"/>
  <c r="AB1144" i="2" a="1"/>
  <c r="AB1144" i="2" s="1"/>
  <c r="AF1145" i="2" a="1"/>
  <c r="AF1145" i="2" s="1"/>
  <c r="AJ1144" i="2" a="1"/>
  <c r="AJ1144" i="2" s="1"/>
  <c r="AF1144" i="2" a="1"/>
  <c r="AF1144" i="2" s="1"/>
  <c r="AD1147" i="2" a="1"/>
  <c r="AD1147" i="2" s="1"/>
  <c r="Y1147" i="2" a="1"/>
  <c r="Y1147" i="2" s="1"/>
  <c r="AF1143" i="2" a="1"/>
  <c r="AF1143" i="2" s="1"/>
  <c r="Y1141" i="2" a="1"/>
  <c r="Y1141" i="2" s="1"/>
  <c r="AE1140" i="2" a="1"/>
  <c r="AE1140" i="2" s="1"/>
  <c r="AA1142" i="2" a="1"/>
  <c r="AA1142" i="2" s="1"/>
  <c r="AD1140" i="2" a="1"/>
  <c r="AD1140" i="2" s="1"/>
  <c r="AF1139" i="2" a="1"/>
  <c r="AF1139" i="2" s="1"/>
  <c r="AB1139" i="2" a="1"/>
  <c r="AB1139" i="2" s="1"/>
  <c r="AJ1139" i="2" a="1"/>
  <c r="AJ1139" i="2" s="1"/>
  <c r="AG1139" i="2" a="1"/>
  <c r="AG1139" i="2" s="1"/>
  <c r="AG1138" i="2" a="1"/>
  <c r="AG1138" i="2" s="1"/>
  <c r="AF1142" i="2" a="1"/>
  <c r="AF1142" i="2" s="1"/>
  <c r="AI1142" i="2" a="1"/>
  <c r="AI1142" i="2" s="1"/>
  <c r="AJ1142" i="2" a="1"/>
  <c r="AJ1142" i="2" s="1"/>
  <c r="AE1142" i="2" a="1"/>
  <c r="AE1142" i="2" s="1"/>
  <c r="AI1141" i="2" a="1"/>
  <c r="AI1141" i="2" s="1"/>
  <c r="Z1141" i="2" a="1"/>
  <c r="Z1141" i="2" s="1"/>
  <c r="Y1140" i="2" a="1"/>
  <c r="Y1140" i="2" s="1"/>
  <c r="AA1141" i="2" a="1"/>
  <c r="AA1141" i="2" s="1"/>
  <c r="AD1142" i="2" a="1"/>
  <c r="AD1142" i="2" s="1"/>
  <c r="AH1140" i="2" a="1"/>
  <c r="AH1140" i="2" s="1"/>
  <c r="Z1142" i="2" a="1"/>
  <c r="Z1142" i="2" s="1"/>
  <c r="AG1140" i="2" a="1"/>
  <c r="AG1140" i="2" s="1"/>
  <c r="AA1140" i="2" a="1"/>
  <c r="AA1140" i="2" s="1"/>
  <c r="AE1139" i="2" a="1"/>
  <c r="AE1139" i="2" s="1"/>
  <c r="W1142" i="2" a="1"/>
  <c r="W1142" i="2" s="1"/>
  <c r="AF1141" i="2" a="1"/>
  <c r="AF1141" i="2" s="1"/>
  <c r="AH1139" i="2" a="1"/>
  <c r="AH1139" i="2" s="1"/>
  <c r="AC1141" i="2" a="1"/>
  <c r="AC1141" i="2" s="1"/>
  <c r="W1141" i="2" a="1"/>
  <c r="W1141" i="2" s="1"/>
  <c r="AA1139" i="2" a="1"/>
  <c r="AA1139" i="2" s="1"/>
  <c r="AI1140" i="2" a="1"/>
  <c r="AI1140" i="2" s="1"/>
  <c r="AB1140" i="2" a="1"/>
  <c r="AB1140" i="2" s="1"/>
  <c r="X1140" i="2" a="1"/>
  <c r="X1140" i="2" s="1"/>
  <c r="AI1139" i="2" a="1"/>
  <c r="AI1139" i="2" s="1"/>
  <c r="AJ1140" i="2" a="1"/>
  <c r="AJ1140" i="2" s="1"/>
  <c r="AJ1138" i="2" a="1"/>
  <c r="AJ1138" i="2" s="1"/>
  <c r="AG1141" i="2" a="1"/>
  <c r="AG1141" i="2" s="1"/>
  <c r="AC1142" i="2" a="1"/>
  <c r="AC1142" i="2" s="1"/>
  <c r="Z1212" i="2" a="1"/>
  <c r="Z1212" i="2" s="1"/>
  <c r="Y1143" i="2" a="1"/>
  <c r="Y1143" i="2" s="1"/>
  <c r="AG1142" i="2" a="1"/>
  <c r="AG1142" i="2" s="1"/>
  <c r="AJ1141" i="2" a="1"/>
  <c r="AJ1141" i="2" s="1"/>
  <c r="AD1139" i="2" a="1"/>
  <c r="AD1139" i="2" s="1"/>
  <c r="Y1142" i="2" a="1"/>
  <c r="Y1142" i="2" s="1"/>
  <c r="AH1138" i="2" a="1"/>
  <c r="AH1138" i="2" s="1"/>
  <c r="Z1140" i="2" a="1"/>
  <c r="Z1140" i="2" s="1"/>
  <c r="W1139" i="2" a="1"/>
  <c r="W1139" i="2" s="1"/>
  <c r="Z1139" i="2" a="1"/>
  <c r="Z1139" i="2" s="1"/>
  <c r="AE1141" i="2" a="1"/>
  <c r="AE1141" i="2" s="1"/>
  <c r="W1140" i="2" a="1"/>
  <c r="W1140" i="2" s="1"/>
  <c r="X1143" i="2" a="1"/>
  <c r="X1143" i="2" s="1"/>
  <c r="AH1142" i="2" a="1"/>
  <c r="AH1142" i="2" s="1"/>
  <c r="AB1141" i="2" a="1"/>
  <c r="AB1141" i="2" s="1"/>
  <c r="W1143" i="2" a="1"/>
  <c r="W1143" i="2" s="1"/>
  <c r="AF1140" i="2" a="1"/>
  <c r="AF1140" i="2" s="1"/>
  <c r="X1139" i="2" a="1"/>
  <c r="X1139" i="2" s="1"/>
  <c r="AB1142" i="2" a="1"/>
  <c r="AB1142" i="2" s="1"/>
  <c r="X1142" i="2" a="1"/>
  <c r="X1142" i="2" s="1"/>
  <c r="AC1139" i="2" a="1"/>
  <c r="AC1139" i="2" s="1"/>
  <c r="Y1139" i="2" a="1"/>
  <c r="Y1139" i="2" s="1"/>
  <c r="AH1141" i="2" a="1"/>
  <c r="AH1141" i="2" s="1"/>
  <c r="X1141" i="2" a="1"/>
  <c r="X1141" i="2" s="1"/>
  <c r="AC1140" i="2" a="1"/>
  <c r="AC1140" i="2" s="1"/>
  <c r="AD1141" i="2" a="1"/>
  <c r="AD1141" i="2" s="1"/>
  <c r="AI1138" i="2" a="1"/>
  <c r="AI1138" i="2" s="1"/>
  <c r="AI1134" i="2" a="1"/>
  <c r="AI1134" i="2" s="1"/>
  <c r="AC1137" i="2" a="1"/>
  <c r="AC1137" i="2" s="1"/>
  <c r="AC1134" i="2" a="1"/>
  <c r="AC1134" i="2" s="1"/>
  <c r="W1138" i="2" a="1"/>
  <c r="W1138" i="2" s="1"/>
  <c r="AF1136" i="2" a="1"/>
  <c r="AF1136" i="2" s="1"/>
  <c r="AB1135" i="2" a="1"/>
  <c r="AB1135" i="2" s="1"/>
  <c r="AJ1137" i="2" a="1"/>
  <c r="AJ1137" i="2" s="1"/>
  <c r="AJ1136" i="2" a="1"/>
  <c r="AJ1136" i="2" s="1"/>
  <c r="W1135" i="2" a="1"/>
  <c r="W1135" i="2" s="1"/>
  <c r="AI1137" i="2" a="1"/>
  <c r="AI1137" i="2" s="1"/>
  <c r="X1135" i="2" a="1"/>
  <c r="X1135" i="2" s="1"/>
  <c r="AH1137" i="2" a="1"/>
  <c r="AH1137" i="2" s="1"/>
  <c r="AG1136" i="2" a="1"/>
  <c r="AG1136" i="2" s="1"/>
  <c r="AB1134" i="2" a="1"/>
  <c r="AB1134" i="2" s="1"/>
  <c r="AG1137" i="2" a="1"/>
  <c r="AG1137" i="2" s="1"/>
  <c r="AE1137" i="2" a="1"/>
  <c r="AE1137" i="2" s="1"/>
  <c r="AI1135" i="2" a="1"/>
  <c r="AI1135" i="2" s="1"/>
  <c r="AD1134" i="2" a="1"/>
  <c r="AD1134" i="2" s="1"/>
  <c r="Z1134" i="2" a="1"/>
  <c r="Z1134" i="2" s="1"/>
  <c r="AA1137" i="2" a="1"/>
  <c r="AA1137" i="2" s="1"/>
  <c r="Y1137" i="2" a="1"/>
  <c r="Y1137" i="2" s="1"/>
  <c r="X1137" i="2" a="1"/>
  <c r="X1137" i="2" s="1"/>
  <c r="AH1134" i="2" a="1"/>
  <c r="AH1134" i="2" s="1"/>
  <c r="AA1136" i="2" a="1"/>
  <c r="AA1136" i="2" s="1"/>
  <c r="W1137" i="2" a="1"/>
  <c r="W1137" i="2" s="1"/>
  <c r="Z1136" i="2" a="1"/>
  <c r="Z1136" i="2" s="1"/>
  <c r="Y1136" i="2" a="1"/>
  <c r="Y1136" i="2" s="1"/>
  <c r="AE1135" i="2" a="1"/>
  <c r="AE1135" i="2" s="1"/>
  <c r="AJ1135" i="2" a="1"/>
  <c r="AJ1135" i="2" s="1"/>
  <c r="AH1135" i="2" a="1"/>
  <c r="AH1135" i="2" s="1"/>
  <c r="AF1137" i="2" a="1"/>
  <c r="AF1137" i="2" s="1"/>
  <c r="AI1136" i="2" a="1"/>
  <c r="AI1136" i="2" s="1"/>
  <c r="AJ1134" i="2" a="1"/>
  <c r="AJ1134" i="2" s="1"/>
  <c r="W1136" i="2" a="1"/>
  <c r="W1136" i="2" s="1"/>
  <c r="AG1135" i="2" a="1"/>
  <c r="AG1135" i="2" s="1"/>
  <c r="AF1135" i="2" a="1"/>
  <c r="AF1135" i="2" s="1"/>
  <c r="AA1135" i="2" a="1"/>
  <c r="AA1135" i="2" s="1"/>
  <c r="AF1134" i="2" a="1"/>
  <c r="AF1134" i="2" s="1"/>
  <c r="AB1137" i="2" a="1"/>
  <c r="AB1137" i="2" s="1"/>
  <c r="Z1137" i="2" a="1"/>
  <c r="Z1137" i="2" s="1"/>
  <c r="AD1136" i="2" a="1"/>
  <c r="AD1136" i="2" s="1"/>
  <c r="AC1136" i="2" a="1"/>
  <c r="AC1136" i="2" s="1"/>
  <c r="X1136" i="2" a="1"/>
  <c r="X1136" i="2" s="1"/>
  <c r="AB1136" i="2" a="1"/>
  <c r="AB1136" i="2" s="1"/>
  <c r="AD1135" i="2" a="1"/>
  <c r="AD1135" i="2" s="1"/>
  <c r="Y1135" i="2" a="1"/>
  <c r="Y1135" i="2" s="1"/>
  <c r="AA1134" i="2" a="1"/>
  <c r="AA1134" i="2" s="1"/>
  <c r="AG1134" i="2" a="1"/>
  <c r="AG1134" i="2" s="1"/>
  <c r="AE1134" i="2" a="1"/>
  <c r="AE1134" i="2" s="1"/>
  <c r="AE1210" i="2" a="1"/>
  <c r="AE1210" i="2" s="1"/>
  <c r="AC1135" i="2" a="1"/>
  <c r="AC1135" i="2" s="1"/>
  <c r="AF1138" i="2" a="1"/>
  <c r="AF1138" i="2" s="1"/>
  <c r="AE1136" i="2" a="1"/>
  <c r="AE1136" i="2" s="1"/>
  <c r="AD1137" i="2" a="1"/>
  <c r="AD1137" i="2" s="1"/>
  <c r="AE1138" i="2" a="1"/>
  <c r="AE1138" i="2" s="1"/>
  <c r="AD1138" i="2" a="1"/>
  <c r="AD1138" i="2" s="1"/>
  <c r="AC1138" i="2" a="1"/>
  <c r="AC1138" i="2" s="1"/>
  <c r="AB1138" i="2" a="1"/>
  <c r="AB1138" i="2" s="1"/>
  <c r="Z1135" i="2" a="1"/>
  <c r="Z1135" i="2" s="1"/>
  <c r="AA1138" i="2" a="1"/>
  <c r="AA1138" i="2" s="1"/>
  <c r="Z1138" i="2" a="1"/>
  <c r="Z1138" i="2" s="1"/>
  <c r="Y1138" i="2" a="1"/>
  <c r="Y1138" i="2" s="1"/>
  <c r="X1138" i="2" a="1"/>
  <c r="X1138" i="2" s="1"/>
  <c r="AH1136" i="2" a="1"/>
  <c r="AH1136" i="2" s="1"/>
  <c r="AC1130" i="2" a="1"/>
  <c r="AC1130" i="2" s="1"/>
  <c r="X1134" i="2" a="1"/>
  <c r="X1134" i="2" s="1"/>
  <c r="Y1133" i="2" a="1"/>
  <c r="Y1133" i="2" s="1"/>
  <c r="AF1130" i="2" a="1"/>
  <c r="AF1130" i="2" s="1"/>
  <c r="AA1133" i="2" a="1"/>
  <c r="AA1133" i="2" s="1"/>
  <c r="X1133" i="2" a="1"/>
  <c r="X1133" i="2" s="1"/>
  <c r="AE1130" i="2" a="1"/>
  <c r="AE1130" i="2" s="1"/>
  <c r="W1134" i="2" a="1"/>
  <c r="W1134" i="2" s="1"/>
  <c r="AJ1133" i="2" a="1"/>
  <c r="AJ1133" i="2" s="1"/>
  <c r="AI1133" i="2" a="1"/>
  <c r="AI1133" i="2" s="1"/>
  <c r="AH1133" i="2" a="1"/>
  <c r="AH1133" i="2" s="1"/>
  <c r="AD1130" i="2" a="1"/>
  <c r="AD1130" i="2" s="1"/>
  <c r="Y1132" i="2" a="1"/>
  <c r="Y1132" i="2" s="1"/>
  <c r="X1131" i="2" a="1"/>
  <c r="X1131" i="2" s="1"/>
  <c r="AG1133" i="2" a="1"/>
  <c r="AG1133" i="2" s="1"/>
  <c r="AD1133" i="2" a="1"/>
  <c r="AD1133" i="2" s="1"/>
  <c r="AC1133" i="2" a="1"/>
  <c r="AC1133" i="2" s="1"/>
  <c r="AG1129" i="2" a="1"/>
  <c r="AG1129" i="2" s="1"/>
  <c r="AJ1132" i="2" a="1"/>
  <c r="AJ1132" i="2" s="1"/>
  <c r="W1132" i="2" a="1"/>
  <c r="W1132" i="2" s="1"/>
  <c r="Z1133" i="2" a="1"/>
  <c r="Z1133" i="2" s="1"/>
  <c r="AI1132" i="2" a="1"/>
  <c r="AI1132" i="2" s="1"/>
  <c r="AH1132" i="2" a="1"/>
  <c r="AH1132" i="2" s="1"/>
  <c r="AC1132" i="2" a="1"/>
  <c r="AC1132" i="2" s="1"/>
  <c r="W1130" i="2" a="1"/>
  <c r="W1130" i="2" s="1"/>
  <c r="AA1132" i="2" a="1"/>
  <c r="AA1132" i="2" s="1"/>
  <c r="Y1131" i="2" a="1"/>
  <c r="Y1131" i="2" s="1"/>
  <c r="AB1130" i="2" a="1"/>
  <c r="AB1130" i="2" s="1"/>
  <c r="AI1129" i="2" a="1"/>
  <c r="AI1129" i="2" s="1"/>
  <c r="AJ1129" i="2" a="1"/>
  <c r="AJ1129" i="2" s="1"/>
  <c r="AH1131" i="2" a="1"/>
  <c r="AH1131" i="2" s="1"/>
  <c r="AF1131" i="2" a="1"/>
  <c r="AF1131" i="2" s="1"/>
  <c r="AI1130" i="2" a="1"/>
  <c r="AI1130" i="2" s="1"/>
  <c r="AE1131" i="2" a="1"/>
  <c r="AE1131" i="2" s="1"/>
  <c r="Z1131" i="2" a="1"/>
  <c r="Z1131" i="2" s="1"/>
  <c r="W1131" i="2" a="1"/>
  <c r="W1131" i="2" s="1"/>
  <c r="AG1130" i="2" a="1"/>
  <c r="AG1130" i="2" s="1"/>
  <c r="AJ1130" i="2" a="1"/>
  <c r="AJ1130" i="2" s="1"/>
  <c r="Y1130" i="2" a="1"/>
  <c r="Y1130" i="2" s="1"/>
  <c r="AH1129" i="2" a="1"/>
  <c r="AH1129" i="2" s="1"/>
  <c r="AG1132" i="2" a="1"/>
  <c r="AG1132" i="2" s="1"/>
  <c r="Z1130" i="2" a="1"/>
  <c r="Z1130" i="2" s="1"/>
  <c r="AF1133" i="2" a="1"/>
  <c r="AF1133" i="2" s="1"/>
  <c r="Z1132" i="2" a="1"/>
  <c r="Z1132" i="2" s="1"/>
  <c r="AF1132" i="2" a="1"/>
  <c r="AF1132" i="2" s="1"/>
  <c r="X1132" i="2" a="1"/>
  <c r="X1132" i="2" s="1"/>
  <c r="AD1131" i="2" a="1"/>
  <c r="AD1131" i="2" s="1"/>
  <c r="AE1133" i="2" a="1"/>
  <c r="AE1133" i="2" s="1"/>
  <c r="AB1133" i="2" a="1"/>
  <c r="AB1133" i="2" s="1"/>
  <c r="W1133" i="2" a="1"/>
  <c r="W1133" i="2" s="1"/>
  <c r="AB1132" i="2" a="1"/>
  <c r="AB1132" i="2" s="1"/>
  <c r="AC1211" i="2" a="1"/>
  <c r="AC1211" i="2" s="1"/>
  <c r="AE1132" i="2" a="1"/>
  <c r="AE1132" i="2" s="1"/>
  <c r="AD1132" i="2" a="1"/>
  <c r="AD1132" i="2" s="1"/>
  <c r="AA1131" i="2" a="1"/>
  <c r="AA1131" i="2" s="1"/>
  <c r="AI1131" i="2" a="1"/>
  <c r="AI1131" i="2" s="1"/>
  <c r="AC1131" i="2" a="1"/>
  <c r="AC1131" i="2" s="1"/>
  <c r="AB1131" i="2" a="1"/>
  <c r="AB1131" i="2" s="1"/>
  <c r="X1130" i="2" a="1"/>
  <c r="X1130" i="2" s="1"/>
  <c r="AJ1131" i="2" a="1"/>
  <c r="AJ1131" i="2" s="1"/>
  <c r="AH1130" i="2" a="1"/>
  <c r="AH1130" i="2" s="1"/>
  <c r="Y1134" i="2" a="1"/>
  <c r="Y1134" i="2" s="1"/>
  <c r="AG1131" i="2" a="1"/>
  <c r="AG1131" i="2" s="1"/>
  <c r="AA1130" i="2" a="1"/>
  <c r="AA1130" i="2" s="1"/>
  <c r="AB1126" i="2" a="1"/>
  <c r="AB1126" i="2" s="1"/>
  <c r="AD1129" i="2" a="1"/>
  <c r="AD1129" i="2" s="1"/>
  <c r="AH1127" i="2" a="1"/>
  <c r="AH1127" i="2" s="1"/>
  <c r="W1127" i="2" a="1"/>
  <c r="W1127" i="2" s="1"/>
  <c r="AA1129" i="2" a="1"/>
  <c r="AA1129" i="2" s="1"/>
  <c r="AC1129" i="2" a="1"/>
  <c r="AC1129" i="2" s="1"/>
  <c r="AB1129" i="2" a="1"/>
  <c r="AB1129" i="2" s="1"/>
  <c r="X1129" i="2" a="1"/>
  <c r="X1129" i="2" s="1"/>
  <c r="AD1125" i="2" a="1"/>
  <c r="AD1125" i="2" s="1"/>
  <c r="AH1125" i="2" a="1"/>
  <c r="AH1125" i="2" s="1"/>
  <c r="AG1127" i="2" a="1"/>
  <c r="AG1127" i="2" s="1"/>
  <c r="AH1126" i="2" a="1"/>
  <c r="AH1126" i="2" s="1"/>
  <c r="Z1126" i="2" a="1"/>
  <c r="Z1126" i="2" s="1"/>
  <c r="Z1125" i="2" a="1"/>
  <c r="Z1125" i="2" s="1"/>
  <c r="W1128" i="2" a="1"/>
  <c r="W1128" i="2" s="1"/>
  <c r="Z1129" i="2" a="1"/>
  <c r="Z1129" i="2" s="1"/>
  <c r="AI1128" i="2" a="1"/>
  <c r="AI1128" i="2" s="1"/>
  <c r="AD1127" i="2" a="1"/>
  <c r="AD1127" i="2" s="1"/>
  <c r="X1126" i="2" a="1"/>
  <c r="X1126" i="2" s="1"/>
  <c r="AD1126" i="2" a="1"/>
  <c r="AD1126" i="2" s="1"/>
  <c r="AJ1127" i="2" a="1"/>
  <c r="AJ1127" i="2" s="1"/>
  <c r="W1129" i="2" a="1"/>
  <c r="W1129" i="2" s="1"/>
  <c r="AJ1128" i="2" a="1"/>
  <c r="AJ1128" i="2" s="1"/>
  <c r="AA1126" i="2" a="1"/>
  <c r="AA1126" i="2" s="1"/>
  <c r="AE1125" i="2" a="1"/>
  <c r="AE1125" i="2" s="1"/>
  <c r="AI1125" i="2" a="1"/>
  <c r="AI1125" i="2" s="1"/>
  <c r="AA1125" i="2" a="1"/>
  <c r="AA1125" i="2" s="1"/>
  <c r="AH1128" i="2" a="1"/>
  <c r="AH1128" i="2" s="1"/>
  <c r="AC1127" i="2" a="1"/>
  <c r="AC1127" i="2" s="1"/>
  <c r="AE1128" i="2" a="1"/>
  <c r="AE1128" i="2" s="1"/>
  <c r="AI1126" i="2" a="1"/>
  <c r="AI1126" i="2" s="1"/>
  <c r="AF1126" i="2" a="1"/>
  <c r="AF1126" i="2" s="1"/>
  <c r="AB1128" i="2" a="1"/>
  <c r="AB1128" i="2" s="1"/>
  <c r="X1128" i="2" a="1"/>
  <c r="X1128" i="2" s="1"/>
  <c r="AB1125" i="2" a="1"/>
  <c r="AB1125" i="2" s="1"/>
  <c r="AF1128" i="2" a="1"/>
  <c r="AF1128" i="2" s="1"/>
  <c r="AC1128" i="2" a="1"/>
  <c r="AC1128" i="2" s="1"/>
  <c r="Y1126" i="2" a="1"/>
  <c r="Y1126" i="2" s="1"/>
  <c r="AJ1126" i="2" a="1"/>
  <c r="AJ1126" i="2" s="1"/>
  <c r="AF1127" i="2" a="1"/>
  <c r="AF1127" i="2" s="1"/>
  <c r="AE1127" i="2" a="1"/>
  <c r="AE1127" i="2" s="1"/>
  <c r="Y1127" i="2" a="1"/>
  <c r="Y1127" i="2" s="1"/>
  <c r="AB1127" i="2" a="1"/>
  <c r="AB1127" i="2" s="1"/>
  <c r="Z1127" i="2" a="1"/>
  <c r="Z1127" i="2" s="1"/>
  <c r="AE1126" i="2" a="1"/>
  <c r="AE1126" i="2" s="1"/>
  <c r="Y1129" i="2" a="1"/>
  <c r="Y1129" i="2" s="1"/>
  <c r="AA1128" i="2" a="1"/>
  <c r="AA1128" i="2" s="1"/>
  <c r="AA1127" i="2" a="1"/>
  <c r="AA1127" i="2" s="1"/>
  <c r="AG1128" i="2" a="1"/>
  <c r="AG1128" i="2" s="1"/>
  <c r="AC1126" i="2" a="1"/>
  <c r="AC1126" i="2" s="1"/>
  <c r="X1127" i="2" a="1"/>
  <c r="X1127" i="2" s="1"/>
  <c r="AD1128" i="2" a="1"/>
  <c r="AD1128" i="2" s="1"/>
  <c r="Y1128" i="2" a="1"/>
  <c r="Y1128" i="2" s="1"/>
  <c r="AG1126" i="2" a="1"/>
  <c r="AG1126" i="2" s="1"/>
  <c r="AC1125" i="2" a="1"/>
  <c r="AC1125" i="2" s="1"/>
  <c r="Z1128" i="2" a="1"/>
  <c r="Z1128" i="2" s="1"/>
  <c r="AJ1125" i="2" a="1"/>
  <c r="AJ1125" i="2" s="1"/>
  <c r="AG1125" i="2" a="1"/>
  <c r="AG1125" i="2" s="1"/>
  <c r="AF1125" i="2" a="1"/>
  <c r="AF1125" i="2" s="1"/>
  <c r="W1126" i="2" a="1"/>
  <c r="W1126" i="2" s="1"/>
  <c r="AI1127" i="2" a="1"/>
  <c r="AI1127" i="2" s="1"/>
  <c r="AD1210" i="2" a="1"/>
  <c r="AD1210" i="2" s="1"/>
  <c r="AF1129" i="2" a="1"/>
  <c r="AF1129" i="2" s="1"/>
  <c r="AE1129" i="2" a="1"/>
  <c r="AE1129" i="2" s="1"/>
  <c r="X1125" i="2" a="1"/>
  <c r="X1125" i="2" s="1"/>
  <c r="AA1124" i="2" a="1"/>
  <c r="AA1124" i="2" s="1"/>
  <c r="AH1122" i="2" a="1"/>
  <c r="AH1122" i="2" s="1"/>
  <c r="AA1121" i="2" a="1"/>
  <c r="AA1121" i="2" s="1"/>
  <c r="W1125" i="2" a="1"/>
  <c r="W1125" i="2" s="1"/>
  <c r="AG1120" i="2" a="1"/>
  <c r="AG1120" i="2" s="1"/>
  <c r="Z1121" i="2" a="1"/>
  <c r="Z1121" i="2" s="1"/>
  <c r="AJ1122" i="2" a="1"/>
  <c r="AJ1122" i="2" s="1"/>
  <c r="AJ1124" i="2" a="1"/>
  <c r="AJ1124" i="2" s="1"/>
  <c r="AI1124" i="2" a="1"/>
  <c r="AI1124" i="2" s="1"/>
  <c r="AH1124" i="2" a="1"/>
  <c r="AH1124" i="2" s="1"/>
  <c r="Y1124" i="2" a="1"/>
  <c r="Y1124" i="2" s="1"/>
  <c r="AG1122" i="2" a="1"/>
  <c r="AG1122" i="2" s="1"/>
  <c r="W1122" i="2" a="1"/>
  <c r="W1122" i="2" s="1"/>
  <c r="AG1124" i="2" a="1"/>
  <c r="AG1124" i="2" s="1"/>
  <c r="AF1124" i="2" a="1"/>
  <c r="AF1124" i="2" s="1"/>
  <c r="W1124" i="2" a="1"/>
  <c r="W1124" i="2" s="1"/>
  <c r="AB1123" i="2" a="1"/>
  <c r="AB1123" i="2" s="1"/>
  <c r="AD1122" i="2" a="1"/>
  <c r="AD1122" i="2" s="1"/>
  <c r="AI1121" i="2" a="1"/>
  <c r="AI1121" i="2" s="1"/>
  <c r="Y1123" i="2" a="1"/>
  <c r="Y1123" i="2" s="1"/>
  <c r="AE1124" i="2" a="1"/>
  <c r="AE1124" i="2" s="1"/>
  <c r="AD1124" i="2" a="1"/>
  <c r="AD1124" i="2" s="1"/>
  <c r="AF1121" i="2" a="1"/>
  <c r="AF1121" i="2" s="1"/>
  <c r="AC1124" i="2" a="1"/>
  <c r="AC1124" i="2" s="1"/>
  <c r="Z1124" i="2" a="1"/>
  <c r="Z1124" i="2" s="1"/>
  <c r="X1121" i="2" a="1"/>
  <c r="X1121" i="2" s="1"/>
  <c r="Y1121" i="2" a="1"/>
  <c r="Y1121" i="2" s="1"/>
  <c r="AJ1123" i="2" a="1"/>
  <c r="AJ1123" i="2" s="1"/>
  <c r="X1124" i="2" a="1"/>
  <c r="X1124" i="2" s="1"/>
  <c r="AI1123" i="2" a="1"/>
  <c r="AI1123" i="2" s="1"/>
  <c r="AH1123" i="2" a="1"/>
  <c r="AH1123" i="2" s="1"/>
  <c r="AD1121" i="2" a="1"/>
  <c r="AD1121" i="2" s="1"/>
  <c r="AE1123" i="2" a="1"/>
  <c r="AE1123" i="2" s="1"/>
  <c r="AD1123" i="2" a="1"/>
  <c r="AD1123" i="2" s="1"/>
  <c r="AC1123" i="2" a="1"/>
  <c r="AC1123" i="2" s="1"/>
  <c r="AB1121" i="2" a="1"/>
  <c r="AB1121" i="2" s="1"/>
  <c r="AA1123" i="2" a="1"/>
  <c r="AA1123" i="2" s="1"/>
  <c r="AE1121" i="2" a="1"/>
  <c r="AE1121" i="2" s="1"/>
  <c r="AH1120" i="2" a="1"/>
  <c r="AH1120" i="2" s="1"/>
  <c r="W1121" i="2" a="1"/>
  <c r="W1121" i="2" s="1"/>
  <c r="AF1122" i="2" a="1"/>
  <c r="AF1122" i="2" s="1"/>
  <c r="AI1120" i="2" a="1"/>
  <c r="AI1120" i="2" s="1"/>
  <c r="Z1123" i="2" a="1"/>
  <c r="Z1123" i="2" s="1"/>
  <c r="Z1122" i="2" a="1"/>
  <c r="Z1122" i="2" s="1"/>
  <c r="AJ1121" i="2" a="1"/>
  <c r="AJ1121" i="2" s="1"/>
  <c r="W1123" i="2" a="1"/>
  <c r="W1123" i="2" s="1"/>
  <c r="AJ1120" i="2" a="1"/>
  <c r="AJ1120" i="2" s="1"/>
  <c r="Y1122" i="2" a="1"/>
  <c r="Y1122" i="2" s="1"/>
  <c r="X1122" i="2" a="1"/>
  <c r="X1122" i="2" s="1"/>
  <c r="AB1124" i="2" a="1"/>
  <c r="AB1124" i="2" s="1"/>
  <c r="AG1123" i="2" a="1"/>
  <c r="AG1123" i="2" s="1"/>
  <c r="AF1123" i="2" a="1"/>
  <c r="AF1123" i="2" s="1"/>
  <c r="X1123" i="2" a="1"/>
  <c r="X1123" i="2" s="1"/>
  <c r="AI1122" i="2" a="1"/>
  <c r="AI1122" i="2" s="1"/>
  <c r="AC1122" i="2" a="1"/>
  <c r="AC1122" i="2" s="1"/>
  <c r="AB1122" i="2" a="1"/>
  <c r="AB1122" i="2" s="1"/>
  <c r="AA1122" i="2" a="1"/>
  <c r="AA1122" i="2" s="1"/>
  <c r="AG1121" i="2" a="1"/>
  <c r="AG1121" i="2" s="1"/>
  <c r="AH1121" i="2" a="1"/>
  <c r="AH1121" i="2" s="1"/>
  <c r="AC1121" i="2" a="1"/>
  <c r="AC1121" i="2" s="1"/>
  <c r="AE1122" i="2" a="1"/>
  <c r="AE1122" i="2" s="1"/>
  <c r="AI1211" i="2" a="1"/>
  <c r="AI1211" i="2" s="1"/>
  <c r="Y1125" i="2" a="1"/>
  <c r="Y1125" i="2" s="1"/>
  <c r="AJ1116" i="2" a="1"/>
  <c r="AJ1116" i="2" s="1"/>
  <c r="AC1210" i="2" a="1"/>
  <c r="AC1210" i="2" s="1"/>
  <c r="AE1120" i="2" a="1"/>
  <c r="AE1120" i="2" s="1"/>
  <c r="AC1116" i="2" a="1"/>
  <c r="AC1116" i="2" s="1"/>
  <c r="AA1120" i="2" a="1"/>
  <c r="AA1120" i="2" s="1"/>
  <c r="AF1120" i="2" a="1"/>
  <c r="AF1120" i="2" s="1"/>
  <c r="X1120" i="2" a="1"/>
  <c r="X1120" i="2" s="1"/>
  <c r="AD1120" i="2" a="1"/>
  <c r="AD1120" i="2" s="1"/>
  <c r="X1118" i="2" a="1"/>
  <c r="X1118" i="2" s="1"/>
  <c r="Y1118" i="2" a="1"/>
  <c r="Y1118" i="2" s="1"/>
  <c r="AA1117" i="2" a="1"/>
  <c r="AA1117" i="2" s="1"/>
  <c r="AH1119" i="2" a="1"/>
  <c r="AH1119" i="2" s="1"/>
  <c r="Z1116" i="2" a="1"/>
  <c r="Z1116" i="2" s="1"/>
  <c r="AF1119" i="2" a="1"/>
  <c r="AF1119" i="2" s="1"/>
  <c r="AG1116" i="2" a="1"/>
  <c r="AG1116" i="2" s="1"/>
  <c r="AC1118" i="2" a="1"/>
  <c r="AC1118" i="2" s="1"/>
  <c r="W1117" i="2" a="1"/>
  <c r="W1117" i="2" s="1"/>
  <c r="AD1119" i="2" a="1"/>
  <c r="AD1119" i="2" s="1"/>
  <c r="AD1118" i="2" a="1"/>
  <c r="AD1118" i="2" s="1"/>
  <c r="AI1116" i="2" a="1"/>
  <c r="AI1116" i="2" s="1"/>
  <c r="AF1116" i="2" a="1"/>
  <c r="AF1116" i="2" s="1"/>
  <c r="AE1118" i="2" a="1"/>
  <c r="AE1118" i="2" s="1"/>
  <c r="Z1120" i="2" a="1"/>
  <c r="Z1120" i="2" s="1"/>
  <c r="AC1120" i="2" a="1"/>
  <c r="AC1120" i="2" s="1"/>
  <c r="AB1120" i="2" a="1"/>
  <c r="AB1120" i="2" s="1"/>
  <c r="Y1120" i="2" a="1"/>
  <c r="Y1120" i="2" s="1"/>
  <c r="W1120" i="2" a="1"/>
  <c r="W1120" i="2" s="1"/>
  <c r="AJ1119" i="2" a="1"/>
  <c r="AJ1119" i="2" s="1"/>
  <c r="AI1119" i="2" a="1"/>
  <c r="AI1119" i="2" s="1"/>
  <c r="AG1119" i="2" a="1"/>
  <c r="AG1119" i="2" s="1"/>
  <c r="AB1118" i="2" a="1"/>
  <c r="AB1118" i="2" s="1"/>
  <c r="W1118" i="2" a="1"/>
  <c r="W1118" i="2" s="1"/>
  <c r="AI1117" i="2" a="1"/>
  <c r="AI1117" i="2" s="1"/>
  <c r="X1117" i="2" a="1"/>
  <c r="X1117" i="2" s="1"/>
  <c r="AG1117" i="2" a="1"/>
  <c r="AG1117" i="2" s="1"/>
  <c r="AE1119" i="2" a="1"/>
  <c r="AE1119" i="2" s="1"/>
  <c r="AH1116" i="2" a="1"/>
  <c r="AH1116" i="2" s="1"/>
  <c r="Y1117" i="2" a="1"/>
  <c r="Y1117" i="2" s="1"/>
  <c r="AB1116" i="2" a="1"/>
  <c r="AB1116" i="2" s="1"/>
  <c r="AA1116" i="2" a="1"/>
  <c r="AA1116" i="2" s="1"/>
  <c r="AI1118" i="2" a="1"/>
  <c r="AI1118" i="2" s="1"/>
  <c r="Z1119" i="2" a="1"/>
  <c r="Z1119" i="2" s="1"/>
  <c r="AC1117" i="2" a="1"/>
  <c r="AC1117" i="2" s="1"/>
  <c r="X1119" i="2" a="1"/>
  <c r="X1119" i="2" s="1"/>
  <c r="AA1118" i="2" a="1"/>
  <c r="AA1118" i="2" s="1"/>
  <c r="Z1117" i="2" a="1"/>
  <c r="Z1117" i="2" s="1"/>
  <c r="Y1119" i="2" a="1"/>
  <c r="Y1119" i="2" s="1"/>
  <c r="Z1118" i="2" a="1"/>
  <c r="Z1118" i="2" s="1"/>
  <c r="W1119" i="2" a="1"/>
  <c r="W1119" i="2" s="1"/>
  <c r="AH1118" i="2" a="1"/>
  <c r="AH1118" i="2" s="1"/>
  <c r="AD1116" i="2" a="1"/>
  <c r="AD1116" i="2" s="1"/>
  <c r="AC1119" i="2" a="1"/>
  <c r="AC1119" i="2" s="1"/>
  <c r="AE1117" i="2" a="1"/>
  <c r="AE1117" i="2" s="1"/>
  <c r="AB1119" i="2" a="1"/>
  <c r="AB1119" i="2" s="1"/>
  <c r="AA1119" i="2" a="1"/>
  <c r="AA1119" i="2" s="1"/>
  <c r="AJ1118" i="2" a="1"/>
  <c r="AJ1118" i="2" s="1"/>
  <c r="AF1118" i="2" a="1"/>
  <c r="AF1118" i="2" s="1"/>
  <c r="AD1117" i="2" a="1"/>
  <c r="AD1117" i="2" s="1"/>
  <c r="AG1118" i="2" a="1"/>
  <c r="AG1118" i="2" s="1"/>
  <c r="AJ1117" i="2" a="1"/>
  <c r="AJ1117" i="2" s="1"/>
  <c r="AE1116" i="2" a="1"/>
  <c r="AE1116" i="2" s="1"/>
  <c r="AF1117" i="2" a="1"/>
  <c r="AF1117" i="2" s="1"/>
  <c r="AH1117" i="2" a="1"/>
  <c r="AH1117" i="2" s="1"/>
  <c r="AB1117" i="2" a="1"/>
  <c r="AB1117" i="2" s="1"/>
  <c r="W1116" i="2" a="1"/>
  <c r="W1116" i="2" s="1"/>
  <c r="AI1115" i="2" a="1"/>
  <c r="AI1115" i="2" s="1"/>
  <c r="AA1113" i="2" a="1"/>
  <c r="AA1113" i="2" s="1"/>
  <c r="AE1115" i="2" a="1"/>
  <c r="AE1115" i="2" s="1"/>
  <c r="AJ1114" i="2" a="1"/>
  <c r="AJ1114" i="2" s="1"/>
  <c r="AC1113" i="2" a="1"/>
  <c r="AC1113" i="2" s="1"/>
  <c r="AA1115" i="2" a="1"/>
  <c r="AA1115" i="2" s="1"/>
  <c r="X1113" i="2" a="1"/>
  <c r="X1113" i="2" s="1"/>
  <c r="AE1114" i="2" a="1"/>
  <c r="AE1114" i="2" s="1"/>
  <c r="AH1115" i="2" a="1"/>
  <c r="AH1115" i="2" s="1"/>
  <c r="Y1114" i="2" a="1"/>
  <c r="Y1114" i="2" s="1"/>
  <c r="AF1112" i="2" a="1"/>
  <c r="AF1112" i="2" s="1"/>
  <c r="AF1115" i="2" a="1"/>
  <c r="AF1115" i="2" s="1"/>
  <c r="AC1115" i="2" a="1"/>
  <c r="AC1115" i="2" s="1"/>
  <c r="Z1115" i="2" a="1"/>
  <c r="Z1115" i="2" s="1"/>
  <c r="Y1115" i="2" a="1"/>
  <c r="Y1115" i="2" s="1"/>
  <c r="X1115" i="2" a="1"/>
  <c r="X1115" i="2" s="1"/>
  <c r="W1115" i="2" a="1"/>
  <c r="W1115" i="2" s="1"/>
  <c r="AC1114" i="2" a="1"/>
  <c r="AC1114" i="2" s="1"/>
  <c r="W1112" i="2" a="1"/>
  <c r="W1112" i="2" s="1"/>
  <c r="AA1114" i="2" a="1"/>
  <c r="AA1114" i="2" s="1"/>
  <c r="AF1113" i="2" a="1"/>
  <c r="AF1113" i="2" s="1"/>
  <c r="Z1113" i="2" a="1"/>
  <c r="Z1113" i="2" s="1"/>
  <c r="AI1112" i="2" a="1"/>
  <c r="AI1112" i="2" s="1"/>
  <c r="AF1114" i="2" a="1"/>
  <c r="AF1114" i="2" s="1"/>
  <c r="AH1112" i="2" a="1"/>
  <c r="AH1112" i="2" s="1"/>
  <c r="AG1112" i="2" a="1"/>
  <c r="AG1112" i="2" s="1"/>
  <c r="AE1112" i="2" a="1"/>
  <c r="AE1112" i="2" s="1"/>
  <c r="AJ1112" i="2" a="1"/>
  <c r="AJ1112" i="2" s="1"/>
  <c r="AD1115" i="2" a="1"/>
  <c r="AD1115" i="2" s="1"/>
  <c r="AI1114" i="2" a="1"/>
  <c r="AI1114" i="2" s="1"/>
  <c r="X1114" i="2" a="1"/>
  <c r="X1114" i="2" s="1"/>
  <c r="AB1113" i="2" a="1"/>
  <c r="AB1113" i="2" s="1"/>
  <c r="AA1112" i="2" a="1"/>
  <c r="AA1112" i="2" s="1"/>
  <c r="AD1114" i="2" a="1"/>
  <c r="AD1114" i="2" s="1"/>
  <c r="X1112" i="2" a="1"/>
  <c r="X1112" i="2" s="1"/>
  <c r="AJ1111" i="2" a="1"/>
  <c r="AJ1111" i="2" s="1"/>
  <c r="AB1114" i="2" a="1"/>
  <c r="AB1114" i="2" s="1"/>
  <c r="AI1113" i="2" a="1"/>
  <c r="AI1113" i="2" s="1"/>
  <c r="AD1113" i="2" a="1"/>
  <c r="AD1113" i="2" s="1"/>
  <c r="AJ1113" i="2" a="1"/>
  <c r="AJ1113" i="2" s="1"/>
  <c r="Y1113" i="2" a="1"/>
  <c r="Y1113" i="2" s="1"/>
  <c r="AG1111" i="2" a="1"/>
  <c r="AG1111" i="2" s="1"/>
  <c r="Z1114" i="2" a="1"/>
  <c r="Z1114" i="2" s="1"/>
  <c r="AE1113" i="2" a="1"/>
  <c r="AE1113" i="2" s="1"/>
  <c r="Z1112" i="2" a="1"/>
  <c r="Z1112" i="2" s="1"/>
  <c r="W1113" i="2" a="1"/>
  <c r="W1113" i="2" s="1"/>
  <c r="AC1112" i="2" a="1"/>
  <c r="AC1112" i="2" s="1"/>
  <c r="AG1115" i="2" a="1"/>
  <c r="AG1115" i="2" s="1"/>
  <c r="AB1115" i="2" a="1"/>
  <c r="AB1115" i="2" s="1"/>
  <c r="AH1113" i="2" a="1"/>
  <c r="AH1113" i="2" s="1"/>
  <c r="AD1112" i="2" a="1"/>
  <c r="AD1112" i="2" s="1"/>
  <c r="AI1111" i="2" a="1"/>
  <c r="AI1111" i="2" s="1"/>
  <c r="AG1113" i="2" a="1"/>
  <c r="AG1113" i="2" s="1"/>
  <c r="AB1211" i="2" a="1"/>
  <c r="AB1211" i="2" s="1"/>
  <c r="AH1114" i="2" a="1"/>
  <c r="AH1114" i="2" s="1"/>
  <c r="Y1112" i="2" a="1"/>
  <c r="Y1112" i="2" s="1"/>
  <c r="AH1111" i="2" a="1"/>
  <c r="AH1111" i="2" s="1"/>
  <c r="AG1114" i="2" a="1"/>
  <c r="AG1114" i="2" s="1"/>
  <c r="Y1116" i="2" a="1"/>
  <c r="Y1116" i="2" s="1"/>
  <c r="AB1112" i="2" a="1"/>
  <c r="AB1112" i="2" s="1"/>
  <c r="X1116" i="2" a="1"/>
  <c r="X1116" i="2" s="1"/>
  <c r="AJ1115" i="2" a="1"/>
  <c r="AJ1115" i="2" s="1"/>
  <c r="W1114" i="2" a="1"/>
  <c r="W1114" i="2" s="1"/>
  <c r="AF1108" i="2" a="1"/>
  <c r="AF1108" i="2" s="1"/>
  <c r="AE1111" i="2" a="1"/>
  <c r="AE1111" i="2" s="1"/>
  <c r="AD1111" i="2" a="1"/>
  <c r="AD1111" i="2" s="1"/>
  <c r="AC1111" i="2" a="1"/>
  <c r="AC1111" i="2" s="1"/>
  <c r="AJ1108" i="2" a="1"/>
  <c r="AJ1108" i="2" s="1"/>
  <c r="AA1107" i="2" a="1"/>
  <c r="AA1107" i="2" s="1"/>
  <c r="AB1111" i="2" a="1"/>
  <c r="AB1111" i="2" s="1"/>
  <c r="AA1111" i="2" a="1"/>
  <c r="AA1111" i="2" s="1"/>
  <c r="AE1107" i="2" a="1"/>
  <c r="AE1107" i="2" s="1"/>
  <c r="Z1111" i="2" a="1"/>
  <c r="Z1111" i="2" s="1"/>
  <c r="Y1111" i="2" a="1"/>
  <c r="Y1111" i="2" s="1"/>
  <c r="X1111" i="2" a="1"/>
  <c r="X1111" i="2" s="1"/>
  <c r="W1111" i="2" a="1"/>
  <c r="W1111" i="2" s="1"/>
  <c r="AJ1110" i="2" a="1"/>
  <c r="AJ1110" i="2" s="1"/>
  <c r="AI1110" i="2" a="1"/>
  <c r="AI1110" i="2" s="1"/>
  <c r="X1110" i="2" a="1"/>
  <c r="X1110" i="2" s="1"/>
  <c r="AC1108" i="2" a="1"/>
  <c r="AC1108" i="2" s="1"/>
  <c r="Z1108" i="2" a="1"/>
  <c r="Z1108" i="2" s="1"/>
  <c r="AA1108" i="2" a="1"/>
  <c r="AA1108" i="2" s="1"/>
  <c r="AH1107" i="2" a="1"/>
  <c r="AH1107" i="2" s="1"/>
  <c r="AH1110" i="2" a="1"/>
  <c r="AH1110" i="2" s="1"/>
  <c r="AF1109" i="2" a="1"/>
  <c r="AF1109" i="2" s="1"/>
  <c r="W1110" i="2" a="1"/>
  <c r="W1110" i="2" s="1"/>
  <c r="AG1107" i="2" a="1"/>
  <c r="AG1107" i="2" s="1"/>
  <c r="AE1110" i="2" a="1"/>
  <c r="AE1110" i="2" s="1"/>
  <c r="AD1110" i="2" a="1"/>
  <c r="AD1110" i="2" s="1"/>
  <c r="AI1108" i="2" a="1"/>
  <c r="AI1108" i="2" s="1"/>
  <c r="AC1110" i="2" a="1"/>
  <c r="AC1110" i="2" s="1"/>
  <c r="AH1108" i="2" a="1"/>
  <c r="AH1108" i="2" s="1"/>
  <c r="AD1107" i="2" a="1"/>
  <c r="AD1107" i="2" s="1"/>
  <c r="AE1109" i="2" a="1"/>
  <c r="AE1109" i="2" s="1"/>
  <c r="Y1108" i="2" a="1"/>
  <c r="Y1108" i="2" s="1"/>
  <c r="Z1107" i="2" a="1"/>
  <c r="Z1107" i="2" s="1"/>
  <c r="AG1110" i="2" a="1"/>
  <c r="AG1110" i="2" s="1"/>
  <c r="AA1109" i="2" a="1"/>
  <c r="AA1109" i="2" s="1"/>
  <c r="AJ1109" i="2" a="1"/>
  <c r="AJ1109" i="2" s="1"/>
  <c r="AG1108" i="2" a="1"/>
  <c r="AG1108" i="2" s="1"/>
  <c r="AI1109" i="2" a="1"/>
  <c r="AI1109" i="2" s="1"/>
  <c r="AG1109" i="2" a="1"/>
  <c r="AG1109" i="2" s="1"/>
  <c r="AB1107" i="2" a="1"/>
  <c r="AB1107" i="2" s="1"/>
  <c r="AB1109" i="2" a="1"/>
  <c r="AB1109" i="2" s="1"/>
  <c r="AF1107" i="2" a="1"/>
  <c r="AF1107" i="2" s="1"/>
  <c r="W1109" i="2" a="1"/>
  <c r="W1109" i="2" s="1"/>
  <c r="AC1107" i="2" a="1"/>
  <c r="AC1107" i="2" s="1"/>
  <c r="AF1110" i="2" a="1"/>
  <c r="AF1110" i="2" s="1"/>
  <c r="AB1110" i="2" a="1"/>
  <c r="AB1110" i="2" s="1"/>
  <c r="Z1110" i="2" a="1"/>
  <c r="Z1110" i="2" s="1"/>
  <c r="AH1109" i="2" a="1"/>
  <c r="AH1109" i="2" s="1"/>
  <c r="Y1110" i="2" a="1"/>
  <c r="Y1110" i="2" s="1"/>
  <c r="AI1107" i="2" a="1"/>
  <c r="AI1107" i="2" s="1"/>
  <c r="AJ1107" i="2" a="1"/>
  <c r="AJ1107" i="2" s="1"/>
  <c r="AD1108" i="2" a="1"/>
  <c r="AD1108" i="2" s="1"/>
  <c r="Y1109" i="2" a="1"/>
  <c r="Y1109" i="2" s="1"/>
  <c r="AE1108" i="2" a="1"/>
  <c r="AE1108" i="2" s="1"/>
  <c r="AB1210" i="2" a="1"/>
  <c r="AB1210" i="2" s="1"/>
  <c r="AF1111" i="2" a="1"/>
  <c r="AF1111" i="2" s="1"/>
  <c r="AA1110" i="2" a="1"/>
  <c r="AA1110" i="2" s="1"/>
  <c r="X1109" i="2" a="1"/>
  <c r="X1109" i="2" s="1"/>
  <c r="AD1109" i="2" a="1"/>
  <c r="AD1109" i="2" s="1"/>
  <c r="Z1109" i="2" a="1"/>
  <c r="Z1109" i="2" s="1"/>
  <c r="AB1108" i="2" a="1"/>
  <c r="AB1108" i="2" s="1"/>
  <c r="W1108" i="2" a="1"/>
  <c r="W1108" i="2" s="1"/>
  <c r="AC1109" i="2" a="1"/>
  <c r="AC1109" i="2" s="1"/>
  <c r="X1108" i="2" a="1"/>
  <c r="X1108" i="2" s="1"/>
  <c r="AG1106" i="2" a="1"/>
  <c r="AG1106" i="2" s="1"/>
  <c r="AF1106" i="2" a="1"/>
  <c r="AF1106" i="2" s="1"/>
  <c r="AG1104" i="2" a="1"/>
  <c r="AG1104" i="2" s="1"/>
  <c r="W1106" i="2" a="1"/>
  <c r="W1106" i="2" s="1"/>
  <c r="AE1106" i="2" a="1"/>
  <c r="AE1106" i="2" s="1"/>
  <c r="AA1106" i="2" a="1"/>
  <c r="AA1106" i="2" s="1"/>
  <c r="Y1106" i="2" a="1"/>
  <c r="Y1106" i="2" s="1"/>
  <c r="AJ1105" i="2" a="1"/>
  <c r="AJ1105" i="2" s="1"/>
  <c r="AI1102" i="2" a="1"/>
  <c r="AI1102" i="2" s="1"/>
  <c r="AI1105" i="2" a="1"/>
  <c r="AI1105" i="2" s="1"/>
  <c r="AG1105" i="2" a="1"/>
  <c r="AG1105" i="2" s="1"/>
  <c r="AB1105" i="2" a="1"/>
  <c r="AB1105" i="2" s="1"/>
  <c r="AA1105" i="2" a="1"/>
  <c r="AA1105" i="2" s="1"/>
  <c r="AF1105" i="2" a="1"/>
  <c r="AF1105" i="2" s="1"/>
  <c r="X1103" i="2" a="1"/>
  <c r="X1103" i="2" s="1"/>
  <c r="W1104" i="2" a="1"/>
  <c r="W1104" i="2" s="1"/>
  <c r="AF1103" i="2" a="1"/>
  <c r="AF1103" i="2" s="1"/>
  <c r="Z1105" i="2" a="1"/>
  <c r="Z1105" i="2" s="1"/>
  <c r="X1105" i="2" a="1"/>
  <c r="X1105" i="2" s="1"/>
  <c r="Z1103" i="2" a="1"/>
  <c r="Z1103" i="2" s="1"/>
  <c r="W1103" i="2" a="1"/>
  <c r="W1103" i="2" s="1"/>
  <c r="Y1104" i="2" a="1"/>
  <c r="Y1104" i="2" s="1"/>
  <c r="AE1105" i="2" a="1"/>
  <c r="AE1105" i="2" s="1"/>
  <c r="AD1105" i="2" a="1"/>
  <c r="AD1105" i="2" s="1"/>
  <c r="W1105" i="2" a="1"/>
  <c r="W1105" i="2" s="1"/>
  <c r="X1104" i="2" a="1"/>
  <c r="X1104" i="2" s="1"/>
  <c r="AJ1104" i="2" a="1"/>
  <c r="AJ1104" i="2" s="1"/>
  <c r="AB1104" i="2" a="1"/>
  <c r="AB1104" i="2" s="1"/>
  <c r="AE1104" i="2" a="1"/>
  <c r="AE1104" i="2" s="1"/>
  <c r="AH1102" i="2" a="1"/>
  <c r="AH1102" i="2" s="1"/>
  <c r="AJ1103" i="2" a="1"/>
  <c r="AJ1103" i="2" s="1"/>
  <c r="AE1103" i="2" a="1"/>
  <c r="AE1103" i="2" s="1"/>
  <c r="AC1104" i="2" a="1"/>
  <c r="AC1104" i="2" s="1"/>
  <c r="AG1103" i="2" a="1"/>
  <c r="AG1103" i="2" s="1"/>
  <c r="AD1103" i="2" a="1"/>
  <c r="AD1103" i="2" s="1"/>
  <c r="AA1103" i="2" a="1"/>
  <c r="AA1103" i="2" s="1"/>
  <c r="Y1103" i="2" a="1"/>
  <c r="Y1103" i="2" s="1"/>
  <c r="AC1103" i="2" a="1"/>
  <c r="AC1103" i="2" s="1"/>
  <c r="AB1103" i="2" a="1"/>
  <c r="AB1103" i="2" s="1"/>
  <c r="AI1106" i="2" a="1"/>
  <c r="AI1106" i="2" s="1"/>
  <c r="Z1106" i="2" a="1"/>
  <c r="Z1106" i="2" s="1"/>
  <c r="AH1105" i="2" a="1"/>
  <c r="AH1105" i="2" s="1"/>
  <c r="AH1103" i="2" a="1"/>
  <c r="AH1103" i="2" s="1"/>
  <c r="AG1102" i="2" a="1"/>
  <c r="AG1102" i="2" s="1"/>
  <c r="AI1103" i="2" a="1"/>
  <c r="AI1103" i="2" s="1"/>
  <c r="AI1104" i="2" a="1"/>
  <c r="AI1104" i="2" s="1"/>
  <c r="AA1104" i="2" a="1"/>
  <c r="AA1104" i="2" s="1"/>
  <c r="AJ1102" i="2" a="1"/>
  <c r="AJ1102" i="2" s="1"/>
  <c r="Z1104" i="2" a="1"/>
  <c r="Z1104" i="2" s="1"/>
  <c r="X1212" i="2" a="1"/>
  <c r="X1212" i="2" s="1"/>
  <c r="AH1104" i="2" a="1"/>
  <c r="AH1104" i="2" s="1"/>
  <c r="AD1104" i="2" a="1"/>
  <c r="AD1104" i="2" s="1"/>
  <c r="AF1104" i="2" a="1"/>
  <c r="AF1104" i="2" s="1"/>
  <c r="X1106" i="2" a="1"/>
  <c r="X1106" i="2" s="1"/>
  <c r="AH1106" i="2" a="1"/>
  <c r="AH1106" i="2" s="1"/>
  <c r="Y1107" i="2" a="1"/>
  <c r="Y1107" i="2" s="1"/>
  <c r="X1107" i="2" a="1"/>
  <c r="X1107" i="2" s="1"/>
  <c r="W1107" i="2" a="1"/>
  <c r="W1107" i="2" s="1"/>
  <c r="AC1106" i="2" a="1"/>
  <c r="AC1106" i="2" s="1"/>
  <c r="AD1106" i="2" a="1"/>
  <c r="AD1106" i="2" s="1"/>
  <c r="AC1105" i="2" a="1"/>
  <c r="AC1105" i="2" s="1"/>
  <c r="Y1105" i="2" a="1"/>
  <c r="Y1105" i="2" s="1"/>
  <c r="AJ1106" i="2" a="1"/>
  <c r="AJ1106" i="2" s="1"/>
  <c r="AB1106" i="2" a="1"/>
  <c r="AB1106" i="2" s="1"/>
  <c r="AC1101" i="2" a="1"/>
  <c r="AC1101" i="2" s="1"/>
  <c r="AC1102" i="2" a="1"/>
  <c r="AC1102" i="2" s="1"/>
  <c r="AB1102" i="2" a="1"/>
  <c r="AB1102" i="2" s="1"/>
  <c r="AG1099" i="2" a="1"/>
  <c r="AG1099" i="2" s="1"/>
  <c r="AC1098" i="2" a="1"/>
  <c r="AC1098" i="2" s="1"/>
  <c r="Z1098" i="2" a="1"/>
  <c r="Z1098" i="2" s="1"/>
  <c r="AH1099" i="2" a="1"/>
  <c r="AH1099" i="2" s="1"/>
  <c r="AA1102" i="2" a="1"/>
  <c r="AA1102" i="2" s="1"/>
  <c r="AC1099" i="2" a="1"/>
  <c r="AC1099" i="2" s="1"/>
  <c r="Z1102" i="2" a="1"/>
  <c r="Z1102" i="2" s="1"/>
  <c r="X1101" i="2" a="1"/>
  <c r="X1101" i="2" s="1"/>
  <c r="AI1099" i="2" a="1"/>
  <c r="AI1099" i="2" s="1"/>
  <c r="W1100" i="2" a="1"/>
  <c r="W1100" i="2" s="1"/>
  <c r="AD1099" i="2" a="1"/>
  <c r="AD1099" i="2" s="1"/>
  <c r="AB1098" i="2" a="1"/>
  <c r="AB1098" i="2" s="1"/>
  <c r="Y1102" i="2" a="1"/>
  <c r="Y1102" i="2" s="1"/>
  <c r="X1102" i="2" a="1"/>
  <c r="X1102" i="2" s="1"/>
  <c r="AJ1100" i="2" a="1"/>
  <c r="AJ1100" i="2" s="1"/>
  <c r="AA1099" i="2" a="1"/>
  <c r="AA1099" i="2" s="1"/>
  <c r="AJ1101" i="2" a="1"/>
  <c r="AJ1101" i="2" s="1"/>
  <c r="AH1101" i="2" a="1"/>
  <c r="AH1101" i="2" s="1"/>
  <c r="AF1101" i="2" a="1"/>
  <c r="AF1101" i="2" s="1"/>
  <c r="AJ1099" i="2" a="1"/>
  <c r="AJ1099" i="2" s="1"/>
  <c r="AE1100" i="2" a="1"/>
  <c r="AE1100" i="2" s="1"/>
  <c r="AE1098" i="2" a="1"/>
  <c r="AE1098" i="2" s="1"/>
  <c r="Y1101" i="2" a="1"/>
  <c r="Y1101" i="2" s="1"/>
  <c r="AF1099" i="2" a="1"/>
  <c r="AF1099" i="2" s="1"/>
  <c r="AI1101" i="2" a="1"/>
  <c r="AI1101" i="2" s="1"/>
  <c r="W1102" i="2" a="1"/>
  <c r="W1102" i="2" s="1"/>
  <c r="AE1101" i="2" a="1"/>
  <c r="AE1101" i="2" s="1"/>
  <c r="AG1101" i="2" a="1"/>
  <c r="AG1101" i="2" s="1"/>
  <c r="AD1101" i="2" a="1"/>
  <c r="AD1101" i="2" s="1"/>
  <c r="AB1101" i="2" a="1"/>
  <c r="AB1101" i="2" s="1"/>
  <c r="AJ1098" i="2" a="1"/>
  <c r="AJ1098" i="2" s="1"/>
  <c r="Z1101" i="2" a="1"/>
  <c r="Z1101" i="2" s="1"/>
  <c r="W1101" i="2" a="1"/>
  <c r="W1101" i="2" s="1"/>
  <c r="AG1100" i="2" a="1"/>
  <c r="AG1100" i="2" s="1"/>
  <c r="AD1100" i="2" a="1"/>
  <c r="AD1100" i="2" s="1"/>
  <c r="Y1100" i="2" a="1"/>
  <c r="Y1100" i="2" s="1"/>
  <c r="AC1100" i="2" a="1"/>
  <c r="AC1100" i="2" s="1"/>
  <c r="AB1100" i="2" a="1"/>
  <c r="AB1100" i="2" s="1"/>
  <c r="AI1098" i="2" a="1"/>
  <c r="AI1098" i="2" s="1"/>
  <c r="AA1100" i="2" a="1"/>
  <c r="AA1100" i="2" s="1"/>
  <c r="AF1098" i="2" a="1"/>
  <c r="AF1098" i="2" s="1"/>
  <c r="X1100" i="2" a="1"/>
  <c r="X1100" i="2" s="1"/>
  <c r="AA1098" i="2" a="1"/>
  <c r="AA1098" i="2" s="1"/>
  <c r="AB1099" i="2" a="1"/>
  <c r="AB1099" i="2" s="1"/>
  <c r="X1099" i="2" a="1"/>
  <c r="X1099" i="2" s="1"/>
  <c r="Y1099" i="2" a="1"/>
  <c r="Y1099" i="2" s="1"/>
  <c r="AH1098" i="2" a="1"/>
  <c r="AH1098" i="2" s="1"/>
  <c r="AD1098" i="2" a="1"/>
  <c r="AD1098" i="2" s="1"/>
  <c r="AA1101" i="2" a="1"/>
  <c r="AA1101" i="2" s="1"/>
  <c r="AH1100" i="2" a="1"/>
  <c r="AH1100" i="2" s="1"/>
  <c r="AE1099" i="2" a="1"/>
  <c r="AE1099" i="2" s="1"/>
  <c r="AA1210" i="2" a="1"/>
  <c r="AA1210" i="2" s="1"/>
  <c r="AF1102" i="2" a="1"/>
  <c r="AF1102" i="2" s="1"/>
  <c r="AI1100" i="2" a="1"/>
  <c r="AI1100" i="2" s="1"/>
  <c r="AF1100" i="2" a="1"/>
  <c r="AF1100" i="2" s="1"/>
  <c r="Z1100" i="2" a="1"/>
  <c r="Z1100" i="2" s="1"/>
  <c r="Z1099" i="2" a="1"/>
  <c r="Z1099" i="2" s="1"/>
  <c r="W1099" i="2" a="1"/>
  <c r="W1099" i="2" s="1"/>
  <c r="AG1098" i="2" a="1"/>
  <c r="AG1098" i="2" s="1"/>
  <c r="AE1102" i="2" a="1"/>
  <c r="AE1102" i="2" s="1"/>
  <c r="AD1102" i="2" a="1"/>
  <c r="AD1102" i="2" s="1"/>
  <c r="AJ1097" i="2" a="1"/>
  <c r="AJ1097" i="2" s="1"/>
  <c r="AI1097" i="2" a="1"/>
  <c r="AI1097" i="2" s="1"/>
  <c r="AH1097" i="2" a="1"/>
  <c r="AH1097" i="2" s="1"/>
  <c r="Y1097" i="2" a="1"/>
  <c r="Y1097" i="2" s="1"/>
  <c r="W1097" i="2" a="1"/>
  <c r="W1097" i="2" s="1"/>
  <c r="Y1095" i="2" a="1"/>
  <c r="Y1095" i="2" s="1"/>
  <c r="AG1097" i="2" a="1"/>
  <c r="AG1097" i="2" s="1"/>
  <c r="AE1094" i="2" a="1"/>
  <c r="AE1094" i="2" s="1"/>
  <c r="AH1093" i="2" a="1"/>
  <c r="AH1093" i="2" s="1"/>
  <c r="W1096" i="2" a="1"/>
  <c r="W1096" i="2" s="1"/>
  <c r="AE1095" i="2" a="1"/>
  <c r="AE1095" i="2" s="1"/>
  <c r="AA1095" i="2" a="1"/>
  <c r="AA1095" i="2" s="1"/>
  <c r="Z1094" i="2" a="1"/>
  <c r="Z1094" i="2" s="1"/>
  <c r="AI1093" i="2" a="1"/>
  <c r="AI1093" i="2" s="1"/>
  <c r="X1097" i="2" a="1"/>
  <c r="X1097" i="2" s="1"/>
  <c r="Z1095" i="2" a="1"/>
  <c r="Z1095" i="2" s="1"/>
  <c r="AD1096" i="2" a="1"/>
  <c r="AD1096" i="2" s="1"/>
  <c r="AB1095" i="2" a="1"/>
  <c r="AB1095" i="2" s="1"/>
  <c r="X1094" i="2" a="1"/>
  <c r="X1094" i="2" s="1"/>
  <c r="AH1095" i="2" a="1"/>
  <c r="AH1095" i="2" s="1"/>
  <c r="AF1097" i="2" a="1"/>
  <c r="AF1097" i="2" s="1"/>
  <c r="AG1094" i="2" a="1"/>
  <c r="AG1094" i="2" s="1"/>
  <c r="AD1094" i="2" a="1"/>
  <c r="AD1094" i="2" s="1"/>
  <c r="AE1097" i="2" a="1"/>
  <c r="AE1097" i="2" s="1"/>
  <c r="AA1097" i="2" a="1"/>
  <c r="AA1097" i="2" s="1"/>
  <c r="AD1097" i="2" a="1"/>
  <c r="AD1097" i="2" s="1"/>
  <c r="AA1094" i="2" a="1"/>
  <c r="AA1094" i="2" s="1"/>
  <c r="AB1097" i="2" a="1"/>
  <c r="AB1097" i="2" s="1"/>
  <c r="AC1095" i="2" a="1"/>
  <c r="AC1095" i="2" s="1"/>
  <c r="X1095" i="2" a="1"/>
  <c r="X1095" i="2" s="1"/>
  <c r="AJ1096" i="2" a="1"/>
  <c r="AJ1096" i="2" s="1"/>
  <c r="AJ1095" i="2" a="1"/>
  <c r="AJ1095" i="2" s="1"/>
  <c r="AC1097" i="2" a="1"/>
  <c r="AC1097" i="2" s="1"/>
  <c r="Y1096" i="2" a="1"/>
  <c r="Y1096" i="2" s="1"/>
  <c r="AB1094" i="2" a="1"/>
  <c r="AB1094" i="2" s="1"/>
  <c r="AD1095" i="2" a="1"/>
  <c r="AD1095" i="2" s="1"/>
  <c r="Z1097" i="2" a="1"/>
  <c r="Z1097" i="2" s="1"/>
  <c r="Y1094" i="2" a="1"/>
  <c r="Y1094" i="2" s="1"/>
  <c r="AF1096" i="2" a="1"/>
  <c r="AF1096" i="2" s="1"/>
  <c r="AG1096" i="2" a="1"/>
  <c r="AG1096" i="2" s="1"/>
  <c r="AC1096" i="2" a="1"/>
  <c r="AC1096" i="2" s="1"/>
  <c r="Z1096" i="2" a="1"/>
  <c r="Z1096" i="2" s="1"/>
  <c r="AI1095" i="2" a="1"/>
  <c r="AI1095" i="2" s="1"/>
  <c r="AG1095" i="2" a="1"/>
  <c r="AG1095" i="2" s="1"/>
  <c r="AF1095" i="2" a="1"/>
  <c r="AF1095" i="2" s="1"/>
  <c r="AJ1093" i="2" a="1"/>
  <c r="AJ1093" i="2" s="1"/>
  <c r="AG1093" i="2" a="1"/>
  <c r="AG1093" i="2" s="1"/>
  <c r="AH1094" i="2" a="1"/>
  <c r="AH1094" i="2" s="1"/>
  <c r="W1094" i="2" a="1"/>
  <c r="W1094" i="2" s="1"/>
  <c r="AF1094" i="2" a="1"/>
  <c r="AF1094" i="2" s="1"/>
  <c r="AA1211" i="2" a="1"/>
  <c r="AA1211" i="2" s="1"/>
  <c r="Y1098" i="2" a="1"/>
  <c r="Y1098" i="2" s="1"/>
  <c r="X1096" i="2" a="1"/>
  <c r="X1096" i="2" s="1"/>
  <c r="X1098" i="2" a="1"/>
  <c r="X1098" i="2" s="1"/>
  <c r="AC1094" i="2" a="1"/>
  <c r="AC1094" i="2" s="1"/>
  <c r="AE1096" i="2" a="1"/>
  <c r="AE1096" i="2" s="1"/>
  <c r="AB1096" i="2" a="1"/>
  <c r="AB1096" i="2" s="1"/>
  <c r="W1098" i="2" a="1"/>
  <c r="W1098" i="2" s="1"/>
  <c r="AJ1094" i="2" a="1"/>
  <c r="AJ1094" i="2" s="1"/>
  <c r="W1095" i="2" a="1"/>
  <c r="W1095" i="2" s="1"/>
  <c r="AI1096" i="2" a="1"/>
  <c r="AI1096" i="2" s="1"/>
  <c r="AA1096" i="2" a="1"/>
  <c r="AA1096" i="2" s="1"/>
  <c r="AH1096" i="2" a="1"/>
  <c r="AH1096" i="2" s="1"/>
  <c r="AI1094" i="2" a="1"/>
  <c r="AI1094" i="2" s="1"/>
  <c r="AF1093" i="2" a="1"/>
  <c r="AF1093" i="2" s="1"/>
  <c r="AH1092" i="2" a="1"/>
  <c r="AH1092" i="2" s="1"/>
  <c r="AB1092" i="2" a="1"/>
  <c r="AB1092" i="2" s="1"/>
  <c r="AE1093" i="2" a="1"/>
  <c r="AE1093" i="2" s="1"/>
  <c r="AD1093" i="2" a="1"/>
  <c r="AD1093" i="2" s="1"/>
  <c r="AC1093" i="2" a="1"/>
  <c r="AC1093" i="2" s="1"/>
  <c r="Y1093" i="2" a="1"/>
  <c r="Y1093" i="2" s="1"/>
  <c r="X1093" i="2" a="1"/>
  <c r="X1093" i="2" s="1"/>
  <c r="AJ1091" i="2" a="1"/>
  <c r="AJ1091" i="2" s="1"/>
  <c r="AJ1092" i="2" a="1"/>
  <c r="AJ1092" i="2" s="1"/>
  <c r="AI1091" i="2" a="1"/>
  <c r="AI1091" i="2" s="1"/>
  <c r="AH1091" i="2" a="1"/>
  <c r="AH1091" i="2" s="1"/>
  <c r="AA1089" i="2" a="1"/>
  <c r="AA1089" i="2" s="1"/>
  <c r="AB1090" i="2" a="1"/>
  <c r="AB1090" i="2" s="1"/>
  <c r="AJ1090" i="2" a="1"/>
  <c r="AJ1090" i="2" s="1"/>
  <c r="AB1089" i="2" a="1"/>
  <c r="AB1089" i="2" s="1"/>
  <c r="AI1089" i="2" a="1"/>
  <c r="AI1089" i="2" s="1"/>
  <c r="AC1090" i="2" a="1"/>
  <c r="AC1090" i="2" s="1"/>
  <c r="AE1089" i="2" a="1"/>
  <c r="AE1089" i="2" s="1"/>
  <c r="Z1092" i="2" a="1"/>
  <c r="Z1092" i="2" s="1"/>
  <c r="AE1091" i="2" a="1"/>
  <c r="AE1091" i="2" s="1"/>
  <c r="AD1089" i="2" a="1"/>
  <c r="AD1089" i="2" s="1"/>
  <c r="AB1091" i="2" a="1"/>
  <c r="AB1091" i="2" s="1"/>
  <c r="W1090" i="2" a="1"/>
  <c r="W1090" i="2" s="1"/>
  <c r="AG1090" i="2" a="1"/>
  <c r="AG1090" i="2" s="1"/>
  <c r="AC1089" i="2" a="1"/>
  <c r="AC1089" i="2" s="1"/>
  <c r="AI1090" i="2" a="1"/>
  <c r="AI1090" i="2" s="1"/>
  <c r="AH1090" i="2" a="1"/>
  <c r="AH1090" i="2" s="1"/>
  <c r="AA1093" i="2" a="1"/>
  <c r="AA1093" i="2" s="1"/>
  <c r="AD1090" i="2" a="1"/>
  <c r="AD1090" i="2" s="1"/>
  <c r="W1093" i="2" a="1"/>
  <c r="W1093" i="2" s="1"/>
  <c r="AG1091" i="2" a="1"/>
  <c r="AG1091" i="2" s="1"/>
  <c r="AD1091" i="2" a="1"/>
  <c r="AD1091" i="2" s="1"/>
  <c r="AA1091" i="2" a="1"/>
  <c r="AA1091" i="2" s="1"/>
  <c r="Z1089" i="2" a="1"/>
  <c r="Z1089" i="2" s="1"/>
  <c r="AE1090" i="2" a="1"/>
  <c r="AE1090" i="2" s="1"/>
  <c r="W1091" i="2" a="1"/>
  <c r="W1091" i="2" s="1"/>
  <c r="AE1092" i="2" a="1"/>
  <c r="AE1092" i="2" s="1"/>
  <c r="AF1092" i="2" a="1"/>
  <c r="AF1092" i="2" s="1"/>
  <c r="AD1092" i="2" a="1"/>
  <c r="AD1092" i="2" s="1"/>
  <c r="AC1092" i="2" a="1"/>
  <c r="AC1092" i="2" s="1"/>
  <c r="AF1090" i="2" a="1"/>
  <c r="AF1090" i="2" s="1"/>
  <c r="Z1090" i="2" a="1"/>
  <c r="Z1090" i="2" s="1"/>
  <c r="AH1089" i="2" a="1"/>
  <c r="AH1089" i="2" s="1"/>
  <c r="AG1089" i="2" a="1"/>
  <c r="AG1089" i="2" s="1"/>
  <c r="AJ1089" i="2" a="1"/>
  <c r="AJ1089" i="2" s="1"/>
  <c r="Z1091" i="2" a="1"/>
  <c r="Z1091" i="2" s="1"/>
  <c r="W1092" i="2" a="1"/>
  <c r="W1092" i="2" s="1"/>
  <c r="X1092" i="2" a="1"/>
  <c r="X1092" i="2" s="1"/>
  <c r="AA1092" i="2" a="1"/>
  <c r="AA1092" i="2" s="1"/>
  <c r="AF1089" i="2" a="1"/>
  <c r="AF1089" i="2" s="1"/>
  <c r="Z1210" i="2" a="1"/>
  <c r="Z1210" i="2" s="1"/>
  <c r="AB1093" i="2" a="1"/>
  <c r="AB1093" i="2" s="1"/>
  <c r="X1090" i="2" a="1"/>
  <c r="X1090" i="2" s="1"/>
  <c r="X1091" i="2" a="1"/>
  <c r="X1091" i="2" s="1"/>
  <c r="Y1090" i="2" a="1"/>
  <c r="Y1090" i="2" s="1"/>
  <c r="AI1092" i="2" a="1"/>
  <c r="AI1092" i="2" s="1"/>
  <c r="AG1092" i="2" a="1"/>
  <c r="AG1092" i="2" s="1"/>
  <c r="Y1091" i="2" a="1"/>
  <c r="Y1091" i="2" s="1"/>
  <c r="Z1093" i="2" a="1"/>
  <c r="Z1093" i="2" s="1"/>
  <c r="Y1092" i="2" a="1"/>
  <c r="Y1092" i="2" s="1"/>
  <c r="AF1091" i="2" a="1"/>
  <c r="AF1091" i="2" s="1"/>
  <c r="AA1090" i="2" a="1"/>
  <c r="AA1090" i="2" s="1"/>
  <c r="AC1091" i="2" a="1"/>
  <c r="AC1091" i="2" s="1"/>
  <c r="AD1086" i="2" a="1"/>
  <c r="AD1086" i="2" s="1"/>
  <c r="W1086" i="2" a="1"/>
  <c r="W1086" i="2" s="1"/>
  <c r="AI1085" i="2" a="1"/>
  <c r="AI1085" i="2" s="1"/>
  <c r="X1085" i="2" a="1"/>
  <c r="X1085" i="2" s="1"/>
  <c r="Z1088" i="2" a="1"/>
  <c r="Z1088" i="2" s="1"/>
  <c r="W1087" i="2" a="1"/>
  <c r="W1087" i="2" s="1"/>
  <c r="Y1088" i="2" a="1"/>
  <c r="Y1088" i="2" s="1"/>
  <c r="AH1087" i="2" a="1"/>
  <c r="AH1087" i="2" s="1"/>
  <c r="AH1085" i="2" a="1"/>
  <c r="AH1085" i="2" s="1"/>
  <c r="Y1085" i="2" a="1"/>
  <c r="Y1085" i="2" s="1"/>
  <c r="AC1087" i="2" a="1"/>
  <c r="AC1087" i="2" s="1"/>
  <c r="AF1086" i="2" a="1"/>
  <c r="AF1086" i="2" s="1"/>
  <c r="AE1087" i="2" a="1"/>
  <c r="AE1087" i="2" s="1"/>
  <c r="AB1086" i="2" a="1"/>
  <c r="AB1086" i="2" s="1"/>
  <c r="X1087" i="2" a="1"/>
  <c r="X1087" i="2" s="1"/>
  <c r="AC1086" i="2" a="1"/>
  <c r="AC1086" i="2" s="1"/>
  <c r="X1088" i="2" a="1"/>
  <c r="X1088" i="2" s="1"/>
  <c r="AD1087" i="2" a="1"/>
  <c r="AD1087" i="2" s="1"/>
  <c r="X1086" i="2" a="1"/>
  <c r="X1086" i="2" s="1"/>
  <c r="W1088" i="2" a="1"/>
  <c r="W1088" i="2" s="1"/>
  <c r="AF1087" i="2" a="1"/>
  <c r="AF1087" i="2" s="1"/>
  <c r="AJ1085" i="2" a="1"/>
  <c r="AJ1085" i="2" s="1"/>
  <c r="AB1085" i="2" a="1"/>
  <c r="AB1085" i="2" s="1"/>
  <c r="AG1084" i="2" a="1"/>
  <c r="AG1084" i="2" s="1"/>
  <c r="AJ1084" i="2" a="1"/>
  <c r="AJ1084" i="2" s="1"/>
  <c r="AB1087" i="2" a="1"/>
  <c r="AB1087" i="2" s="1"/>
  <c r="Z1085" i="2" a="1"/>
  <c r="Z1085" i="2" s="1"/>
  <c r="W1085" i="2" a="1"/>
  <c r="W1085" i="2" s="1"/>
  <c r="AH1084" i="2" a="1"/>
  <c r="AH1084" i="2" s="1"/>
  <c r="AJ1086" i="2" a="1"/>
  <c r="AJ1086" i="2" s="1"/>
  <c r="AH1211" i="2" a="1"/>
  <c r="AH1211" i="2" s="1"/>
  <c r="Y1089" i="2" a="1"/>
  <c r="Y1089" i="2" s="1"/>
  <c r="AJ1088" i="2" a="1"/>
  <c r="AJ1088" i="2" s="1"/>
  <c r="X1089" i="2" a="1"/>
  <c r="X1089" i="2" s="1"/>
  <c r="W1089" i="2" a="1"/>
  <c r="W1089" i="2" s="1"/>
  <c r="AG1087" i="2" a="1"/>
  <c r="AG1087" i="2" s="1"/>
  <c r="AE1085" i="2" a="1"/>
  <c r="AE1085" i="2" s="1"/>
  <c r="AI1088" i="2" a="1"/>
  <c r="AI1088" i="2" s="1"/>
  <c r="AG1088" i="2" a="1"/>
  <c r="AG1088" i="2" s="1"/>
  <c r="AJ1087" i="2" a="1"/>
  <c r="AJ1087" i="2" s="1"/>
  <c r="AD1088" i="2" a="1"/>
  <c r="AD1088" i="2" s="1"/>
  <c r="AA1088" i="2" a="1"/>
  <c r="AA1088" i="2" s="1"/>
  <c r="AI1087" i="2" a="1"/>
  <c r="AI1087" i="2" s="1"/>
  <c r="Z1087" i="2" a="1"/>
  <c r="Z1087" i="2" s="1"/>
  <c r="AG1086" i="2" a="1"/>
  <c r="AG1086" i="2" s="1"/>
  <c r="AG1085" i="2" a="1"/>
  <c r="AG1085" i="2" s="1"/>
  <c r="AA1086" i="2" a="1"/>
  <c r="AA1086" i="2" s="1"/>
  <c r="AI1084" i="2" a="1"/>
  <c r="AI1084" i="2" s="1"/>
  <c r="AH1088" i="2" a="1"/>
  <c r="AH1088" i="2" s="1"/>
  <c r="AF1088" i="2" a="1"/>
  <c r="AF1088" i="2" s="1"/>
  <c r="AA1085" i="2" a="1"/>
  <c r="AA1085" i="2" s="1"/>
  <c r="AE1088" i="2" a="1"/>
  <c r="AE1088" i="2" s="1"/>
  <c r="AA1087" i="2" a="1"/>
  <c r="AA1087" i="2" s="1"/>
  <c r="Y1086" i="2" a="1"/>
  <c r="Y1086" i="2" s="1"/>
  <c r="Z1086" i="2" a="1"/>
  <c r="Z1086" i="2" s="1"/>
  <c r="AH1086" i="2" a="1"/>
  <c r="AH1086" i="2" s="1"/>
  <c r="AE1086" i="2" a="1"/>
  <c r="AE1086" i="2" s="1"/>
  <c r="AF1085" i="2" a="1"/>
  <c r="AF1085" i="2" s="1"/>
  <c r="AC1085" i="2" a="1"/>
  <c r="AC1085" i="2" s="1"/>
  <c r="AI1086" i="2" a="1"/>
  <c r="AI1086" i="2" s="1"/>
  <c r="AD1085" i="2" a="1"/>
  <c r="AD1085" i="2" s="1"/>
  <c r="AC1088" i="2" a="1"/>
  <c r="AC1088" i="2" s="1"/>
  <c r="AB1088" i="2" a="1"/>
  <c r="AB1088" i="2" s="1"/>
  <c r="Y1087" i="2" a="1"/>
  <c r="Y1087" i="2" s="1"/>
  <c r="AA1080" i="2" a="1"/>
  <c r="AA1080" i="2" s="1"/>
  <c r="Z1084" i="2" a="1"/>
  <c r="Z1084" i="2" s="1"/>
  <c r="Y1210" i="2" a="1"/>
  <c r="Y1210" i="2" s="1"/>
  <c r="AB1084" i="2" a="1"/>
  <c r="AB1084" i="2" s="1"/>
  <c r="AF1084" i="2" a="1"/>
  <c r="AF1084" i="2" s="1"/>
  <c r="AE1084" i="2" a="1"/>
  <c r="AE1084" i="2" s="1"/>
  <c r="AD1084" i="2" a="1"/>
  <c r="AD1084" i="2" s="1"/>
  <c r="AJ1082" i="2" a="1"/>
  <c r="AJ1082" i="2" s="1"/>
  <c r="AC1084" i="2" a="1"/>
  <c r="AC1084" i="2" s="1"/>
  <c r="AA1084" i="2" a="1"/>
  <c r="AA1084" i="2" s="1"/>
  <c r="Y1084" i="2" a="1"/>
  <c r="Y1084" i="2" s="1"/>
  <c r="AJ1083" i="2" a="1"/>
  <c r="AJ1083" i="2" s="1"/>
  <c r="AG1082" i="2" a="1"/>
  <c r="AG1082" i="2" s="1"/>
  <c r="X1084" i="2" a="1"/>
  <c r="X1084" i="2" s="1"/>
  <c r="AD1082" i="2" a="1"/>
  <c r="AD1082" i="2" s="1"/>
  <c r="AB1081" i="2" a="1"/>
  <c r="AB1081" i="2" s="1"/>
  <c r="W1082" i="2" a="1"/>
  <c r="W1082" i="2" s="1"/>
  <c r="AE1081" i="2" a="1"/>
  <c r="AE1081" i="2" s="1"/>
  <c r="Y1081" i="2" a="1"/>
  <c r="Y1081" i="2" s="1"/>
  <c r="AI1080" i="2" a="1"/>
  <c r="AI1080" i="2" s="1"/>
  <c r="AC1082" i="2" a="1"/>
  <c r="AC1082" i="2" s="1"/>
  <c r="AD1081" i="2" a="1"/>
  <c r="AD1081" i="2" s="1"/>
  <c r="AI1082" i="2" a="1"/>
  <c r="AI1082" i="2" s="1"/>
  <c r="W1084" i="2" a="1"/>
  <c r="W1084" i="2" s="1"/>
  <c r="AI1083" i="2" a="1"/>
  <c r="AI1083" i="2" s="1"/>
  <c r="AC1081" i="2" a="1"/>
  <c r="AC1081" i="2" s="1"/>
  <c r="AH1083" i="2" a="1"/>
  <c r="AH1083" i="2" s="1"/>
  <c r="AF1082" i="2" a="1"/>
  <c r="AF1082" i="2" s="1"/>
  <c r="AG1083" i="2" a="1"/>
  <c r="AG1083" i="2" s="1"/>
  <c r="AF1083" i="2" a="1"/>
  <c r="AF1083" i="2" s="1"/>
  <c r="AB1083" i="2" a="1"/>
  <c r="AB1083" i="2" s="1"/>
  <c r="AA1081" i="2" a="1"/>
  <c r="AA1081" i="2" s="1"/>
  <c r="AA1083" i="2" a="1"/>
  <c r="AA1083" i="2" s="1"/>
  <c r="AH1082" i="2" a="1"/>
  <c r="AH1082" i="2" s="1"/>
  <c r="AG1080" i="2" a="1"/>
  <c r="AG1080" i="2" s="1"/>
  <c r="Z1083" i="2" a="1"/>
  <c r="Z1083" i="2" s="1"/>
  <c r="X1083" i="2" a="1"/>
  <c r="X1083" i="2" s="1"/>
  <c r="W1083" i="2" a="1"/>
  <c r="W1083" i="2" s="1"/>
  <c r="Y1082" i="2" a="1"/>
  <c r="Y1082" i="2" s="1"/>
  <c r="Z1082" i="2" a="1"/>
  <c r="Z1082" i="2" s="1"/>
  <c r="Z1080" i="2" a="1"/>
  <c r="Z1080" i="2" s="1"/>
  <c r="X1082" i="2" a="1"/>
  <c r="X1082" i="2" s="1"/>
  <c r="AC1080" i="2" a="1"/>
  <c r="AC1080" i="2" s="1"/>
  <c r="AI1081" i="2" a="1"/>
  <c r="AI1081" i="2" s="1"/>
  <c r="AH1081" i="2" a="1"/>
  <c r="AH1081" i="2" s="1"/>
  <c r="AG1081" i="2" a="1"/>
  <c r="AG1081" i="2" s="1"/>
  <c r="Z1081" i="2" a="1"/>
  <c r="Z1081" i="2" s="1"/>
  <c r="AF1081" i="2" a="1"/>
  <c r="AF1081" i="2" s="1"/>
  <c r="AB1080" i="2" a="1"/>
  <c r="AB1080" i="2" s="1"/>
  <c r="AJ1080" i="2" a="1"/>
  <c r="AJ1080" i="2" s="1"/>
  <c r="W1081" i="2" a="1"/>
  <c r="W1081" i="2" s="1"/>
  <c r="AD1083" i="2" a="1"/>
  <c r="AD1083" i="2" s="1"/>
  <c r="AE1080" i="2" a="1"/>
  <c r="AE1080" i="2" s="1"/>
  <c r="AE1083" i="2" a="1"/>
  <c r="AE1083" i="2" s="1"/>
  <c r="AE1082" i="2" a="1"/>
  <c r="AE1082" i="2" s="1"/>
  <c r="AC1083" i="2" a="1"/>
  <c r="AC1083" i="2" s="1"/>
  <c r="AF1080" i="2" a="1"/>
  <c r="AF1080" i="2" s="1"/>
  <c r="AD1080" i="2" a="1"/>
  <c r="AD1080" i="2" s="1"/>
  <c r="Y1083" i="2" a="1"/>
  <c r="Y1083" i="2" s="1"/>
  <c r="AJ1081" i="2" a="1"/>
  <c r="AJ1081" i="2" s="1"/>
  <c r="AB1082" i="2" a="1"/>
  <c r="AB1082" i="2" s="1"/>
  <c r="X1081" i="2" a="1"/>
  <c r="X1081" i="2" s="1"/>
  <c r="AA1082" i="2" a="1"/>
  <c r="AA1082" i="2" s="1"/>
  <c r="AH1080" i="2" a="1"/>
  <c r="AH1080" i="2" s="1"/>
  <c r="AH1077" i="2" a="1"/>
  <c r="AH1077" i="2" s="1"/>
  <c r="AB1076" i="2" a="1"/>
  <c r="AB1076" i="2" s="1"/>
  <c r="Z1211" i="2" a="1"/>
  <c r="Z1211" i="2" s="1"/>
  <c r="AJ1076" i="2" a="1"/>
  <c r="AJ1076" i="2" s="1"/>
  <c r="Y1080" i="2" a="1"/>
  <c r="Y1080" i="2" s="1"/>
  <c r="AJ1078" i="2" a="1"/>
  <c r="AJ1078" i="2" s="1"/>
  <c r="X1080" i="2" a="1"/>
  <c r="X1080" i="2" s="1"/>
  <c r="W1080" i="2" a="1"/>
  <c r="W1080" i="2" s="1"/>
  <c r="AJ1075" i="2" a="1"/>
  <c r="AJ1075" i="2" s="1"/>
  <c r="AI1079" i="2" a="1"/>
  <c r="AI1079" i="2" s="1"/>
  <c r="AH1079" i="2" a="1"/>
  <c r="AH1079" i="2" s="1"/>
  <c r="AG1079" i="2" a="1"/>
  <c r="AG1079" i="2" s="1"/>
  <c r="AF1079" i="2" a="1"/>
  <c r="AF1079" i="2" s="1"/>
  <c r="AG1077" i="2" a="1"/>
  <c r="AG1077" i="2" s="1"/>
  <c r="AE1078" i="2" a="1"/>
  <c r="AE1078" i="2" s="1"/>
  <c r="Z1076" i="2" a="1"/>
  <c r="Z1076" i="2" s="1"/>
  <c r="AC1077" i="2" a="1"/>
  <c r="AC1077" i="2" s="1"/>
  <c r="Z1078" i="2" a="1"/>
  <c r="Z1078" i="2" s="1"/>
  <c r="AC1076" i="2" a="1"/>
  <c r="AC1076" i="2" s="1"/>
  <c r="Z1079" i="2" a="1"/>
  <c r="Z1079" i="2" s="1"/>
  <c r="Y1079" i="2" a="1"/>
  <c r="Y1079" i="2" s="1"/>
  <c r="AA1076" i="2" a="1"/>
  <c r="AA1076" i="2" s="1"/>
  <c r="W1079" i="2" a="1"/>
  <c r="W1079" i="2" s="1"/>
  <c r="AH1078" i="2" a="1"/>
  <c r="AH1078" i="2" s="1"/>
  <c r="W1078" i="2" a="1"/>
  <c r="W1078" i="2" s="1"/>
  <c r="Y1078" i="2" a="1"/>
  <c r="Y1078" i="2" s="1"/>
  <c r="Y1077" i="2" a="1"/>
  <c r="Y1077" i="2" s="1"/>
  <c r="AH1076" i="2" a="1"/>
  <c r="AH1076" i="2" s="1"/>
  <c r="AG1076" i="2" a="1"/>
  <c r="AG1076" i="2" s="1"/>
  <c r="AI1075" i="2" a="1"/>
  <c r="AI1075" i="2" s="1"/>
  <c r="AB1077" i="2" a="1"/>
  <c r="AB1077" i="2" s="1"/>
  <c r="AF1076" i="2" a="1"/>
  <c r="AF1076" i="2" s="1"/>
  <c r="AI1078" i="2" a="1"/>
  <c r="AI1078" i="2" s="1"/>
  <c r="AD1077" i="2" a="1"/>
  <c r="AD1077" i="2" s="1"/>
  <c r="AJ1077" i="2" a="1"/>
  <c r="AJ1077" i="2" s="1"/>
  <c r="AG1078" i="2" a="1"/>
  <c r="AG1078" i="2" s="1"/>
  <c r="AF1078" i="2" a="1"/>
  <c r="AF1078" i="2" s="1"/>
  <c r="AE1077" i="2" a="1"/>
  <c r="AE1077" i="2" s="1"/>
  <c r="Z1077" i="2" a="1"/>
  <c r="Z1077" i="2" s="1"/>
  <c r="AD1078" i="2" a="1"/>
  <c r="AD1078" i="2" s="1"/>
  <c r="AA1078" i="2" a="1"/>
  <c r="AA1078" i="2" s="1"/>
  <c r="AI1077" i="2" a="1"/>
  <c r="AI1077" i="2" s="1"/>
  <c r="AF1077" i="2" a="1"/>
  <c r="AF1077" i="2" s="1"/>
  <c r="AH1075" i="2" a="1"/>
  <c r="AH1075" i="2" s="1"/>
  <c r="X1077" i="2" a="1"/>
  <c r="X1077" i="2" s="1"/>
  <c r="W1077" i="2" a="1"/>
  <c r="W1077" i="2" s="1"/>
  <c r="X1076" i="2" a="1"/>
  <c r="X1076" i="2" s="1"/>
  <c r="W1076" i="2" a="1"/>
  <c r="W1076" i="2" s="1"/>
  <c r="AG1075" i="2" a="1"/>
  <c r="AG1075" i="2" s="1"/>
  <c r="AJ1079" i="2" a="1"/>
  <c r="AJ1079" i="2" s="1"/>
  <c r="AE1079" i="2" a="1"/>
  <c r="AE1079" i="2" s="1"/>
  <c r="AA1077" i="2" a="1"/>
  <c r="AA1077" i="2" s="1"/>
  <c r="AD1079" i="2" a="1"/>
  <c r="AD1079" i="2" s="1"/>
  <c r="AD1076" i="2" a="1"/>
  <c r="AD1076" i="2" s="1"/>
  <c r="AE1076" i="2" a="1"/>
  <c r="AE1076" i="2" s="1"/>
  <c r="AC1079" i="2" a="1"/>
  <c r="AC1079" i="2" s="1"/>
  <c r="AC1078" i="2" a="1"/>
  <c r="AC1078" i="2" s="1"/>
  <c r="AA1079" i="2" a="1"/>
  <c r="AA1079" i="2" s="1"/>
  <c r="AB1079" i="2" a="1"/>
  <c r="AB1079" i="2" s="1"/>
  <c r="AB1078" i="2" a="1"/>
  <c r="AB1078" i="2" s="1"/>
  <c r="Y1076" i="2" a="1"/>
  <c r="Y1076" i="2" s="1"/>
  <c r="AI1076" i="2" a="1"/>
  <c r="AI1076" i="2" s="1"/>
  <c r="X1079" i="2" a="1"/>
  <c r="X1079" i="2" s="1"/>
  <c r="X1078" i="2" a="1"/>
  <c r="X1078" i="2" s="1"/>
  <c r="Z1072" i="2" a="1"/>
  <c r="Z1072" i="2" s="1"/>
  <c r="AC1075" i="2" a="1"/>
  <c r="AC1075" i="2" s="1"/>
  <c r="AB1075" i="2" a="1"/>
  <c r="AB1075" i="2" s="1"/>
  <c r="AF1071" i="2" a="1"/>
  <c r="AF1071" i="2" s="1"/>
  <c r="AI1073" i="2" a="1"/>
  <c r="AI1073" i="2" s="1"/>
  <c r="AA1075" i="2" a="1"/>
  <c r="AA1075" i="2" s="1"/>
  <c r="AF1073" i="2" a="1"/>
  <c r="AF1073" i="2" s="1"/>
  <c r="AC1073" i="2" a="1"/>
  <c r="AC1073" i="2" s="1"/>
  <c r="AH1072" i="2" a="1"/>
  <c r="AH1072" i="2" s="1"/>
  <c r="AI1072" i="2" a="1"/>
  <c r="AI1072" i="2" s="1"/>
  <c r="AG1072" i="2" a="1"/>
  <c r="AG1072" i="2" s="1"/>
  <c r="AG1073" i="2" a="1"/>
  <c r="AG1073" i="2" s="1"/>
  <c r="X1073" i="2" a="1"/>
  <c r="X1073" i="2" s="1"/>
  <c r="AC1072" i="2" a="1"/>
  <c r="AC1072" i="2" s="1"/>
  <c r="Z1075" i="2" a="1"/>
  <c r="Z1075" i="2" s="1"/>
  <c r="Z1073" i="2" a="1"/>
  <c r="Z1073" i="2" s="1"/>
  <c r="AJ1072" i="2" a="1"/>
  <c r="AJ1072" i="2" s="1"/>
  <c r="AD1072" i="2" a="1"/>
  <c r="AD1072" i="2" s="1"/>
  <c r="W1072" i="2" a="1"/>
  <c r="W1072" i="2" s="1"/>
  <c r="X1075" i="2" a="1"/>
  <c r="X1075" i="2" s="1"/>
  <c r="W1075" i="2" a="1"/>
  <c r="W1075" i="2" s="1"/>
  <c r="AJ1074" i="2" a="1"/>
  <c r="AJ1074" i="2" s="1"/>
  <c r="AH1073" i="2" a="1"/>
  <c r="AH1073" i="2" s="1"/>
  <c r="AE1074" i="2" a="1"/>
  <c r="AE1074" i="2" s="1"/>
  <c r="AJ1071" i="2" a="1"/>
  <c r="AJ1071" i="2" s="1"/>
  <c r="AD1074" i="2" a="1"/>
  <c r="AD1074" i="2" s="1"/>
  <c r="AB1073" i="2" a="1"/>
  <c r="AB1073" i="2" s="1"/>
  <c r="AD1071" i="2" a="1"/>
  <c r="AD1071" i="2" s="1"/>
  <c r="AA1073" i="2" a="1"/>
  <c r="AA1073" i="2" s="1"/>
  <c r="AE1072" i="2" a="1"/>
  <c r="AE1072" i="2" s="1"/>
  <c r="W1073" i="2" a="1"/>
  <c r="W1073" i="2" s="1"/>
  <c r="AC1071" i="2" a="1"/>
  <c r="AC1071" i="2" s="1"/>
  <c r="AF1072" i="2" a="1"/>
  <c r="AF1072" i="2" s="1"/>
  <c r="AA1072" i="2" a="1"/>
  <c r="AA1072" i="2" s="1"/>
  <c r="AI1071" i="2" a="1"/>
  <c r="AI1071" i="2" s="1"/>
  <c r="AG1071" i="2" a="1"/>
  <c r="AG1071" i="2" s="1"/>
  <c r="AB1071" i="2" a="1"/>
  <c r="AB1071" i="2" s="1"/>
  <c r="AA1071" i="2" a="1"/>
  <c r="AA1071" i="2" s="1"/>
  <c r="Z1071" i="2" a="1"/>
  <c r="Z1071" i="2" s="1"/>
  <c r="AE1073" i="2" a="1"/>
  <c r="AE1073" i="2" s="1"/>
  <c r="Y1073" i="2" a="1"/>
  <c r="Y1073" i="2" s="1"/>
  <c r="X1210" i="2" a="1"/>
  <c r="X1210" i="2" s="1"/>
  <c r="AJ1073" i="2" a="1"/>
  <c r="AJ1073" i="2" s="1"/>
  <c r="AF1075" i="2" a="1"/>
  <c r="AF1075" i="2" s="1"/>
  <c r="Z1074" i="2" a="1"/>
  <c r="Z1074" i="2" s="1"/>
  <c r="Y1075" i="2" a="1"/>
  <c r="Y1075" i="2" s="1"/>
  <c r="AE1075" i="2" a="1"/>
  <c r="AE1075" i="2" s="1"/>
  <c r="AD1073" i="2" a="1"/>
  <c r="AD1073" i="2" s="1"/>
  <c r="Y1074" i="2" a="1"/>
  <c r="Y1074" i="2" s="1"/>
  <c r="X1074" i="2" a="1"/>
  <c r="X1074" i="2" s="1"/>
  <c r="AD1075" i="2" a="1"/>
  <c r="AD1075" i="2" s="1"/>
  <c r="X1072" i="2" a="1"/>
  <c r="X1072" i="2" s="1"/>
  <c r="AI1074" i="2" a="1"/>
  <c r="AI1074" i="2" s="1"/>
  <c r="Y1072" i="2" a="1"/>
  <c r="Y1072" i="2" s="1"/>
  <c r="AH1074" i="2" a="1"/>
  <c r="AH1074" i="2" s="1"/>
  <c r="AF1074" i="2" a="1"/>
  <c r="AF1074" i="2" s="1"/>
  <c r="AB1074" i="2" a="1"/>
  <c r="AB1074" i="2" s="1"/>
  <c r="W1074" i="2" a="1"/>
  <c r="W1074" i="2" s="1"/>
  <c r="AC1074" i="2" a="1"/>
  <c r="AC1074" i="2" s="1"/>
  <c r="AA1074" i="2" a="1"/>
  <c r="AA1074" i="2" s="1"/>
  <c r="AH1071" i="2" a="1"/>
  <c r="AH1071" i="2" s="1"/>
  <c r="AE1071" i="2" a="1"/>
  <c r="AE1071" i="2" s="1"/>
  <c r="AB1072" i="2" a="1"/>
  <c r="AB1072" i="2" s="1"/>
  <c r="AG1074" i="2" a="1"/>
  <c r="AG1074" i="2" s="1"/>
  <c r="W1069" i="2" a="1"/>
  <c r="W1069" i="2" s="1"/>
  <c r="AC1070" i="2" a="1"/>
  <c r="AC1070" i="2" s="1"/>
  <c r="AB1070" i="2" a="1"/>
  <c r="AB1070" i="2" s="1"/>
  <c r="AH1066" i="2" a="1"/>
  <c r="AH1066" i="2" s="1"/>
  <c r="AJ1066" i="2" a="1"/>
  <c r="AJ1066" i="2" s="1"/>
  <c r="Z1070" i="2" a="1"/>
  <c r="Z1070" i="2" s="1"/>
  <c r="AC1069" i="2" a="1"/>
  <c r="AC1069" i="2" s="1"/>
  <c r="AG1068" i="2" a="1"/>
  <c r="AG1068" i="2" s="1"/>
  <c r="Z1068" i="2" a="1"/>
  <c r="Z1068" i="2" s="1"/>
  <c r="AG1069" i="2" a="1"/>
  <c r="AG1069" i="2" s="1"/>
  <c r="X1070" i="2" a="1"/>
  <c r="X1070" i="2" s="1"/>
  <c r="AJ1068" i="2" a="1"/>
  <c r="AJ1068" i="2" s="1"/>
  <c r="AD1068" i="2" a="1"/>
  <c r="AD1068" i="2" s="1"/>
  <c r="AA1068" i="2" a="1"/>
  <c r="AA1068" i="2" s="1"/>
  <c r="AG1067" i="2" a="1"/>
  <c r="AG1067" i="2" s="1"/>
  <c r="W1070" i="2" a="1"/>
  <c r="W1070" i="2" s="1"/>
  <c r="AH1069" i="2" a="1"/>
  <c r="AH1069" i="2" s="1"/>
  <c r="Y1069" i="2" a="1"/>
  <c r="Y1069" i="2" s="1"/>
  <c r="X1068" i="2" a="1"/>
  <c r="X1068" i="2" s="1"/>
  <c r="AI1067" i="2" a="1"/>
  <c r="AI1067" i="2" s="1"/>
  <c r="AI1068" i="2" a="1"/>
  <c r="AI1068" i="2" s="1"/>
  <c r="AF1068" i="2" a="1"/>
  <c r="AF1068" i="2" s="1"/>
  <c r="AI1066" i="2" a="1"/>
  <c r="AI1066" i="2" s="1"/>
  <c r="AB1067" i="2" a="1"/>
  <c r="AB1067" i="2" s="1"/>
  <c r="AD1069" i="2" a="1"/>
  <c r="AD1069" i="2" s="1"/>
  <c r="AE1335" i="2" a="1"/>
  <c r="AE1335" i="2" s="1"/>
  <c r="Y1071" i="2" a="1"/>
  <c r="Y1071" i="2" s="1"/>
  <c r="X1071" i="2" a="1"/>
  <c r="X1071" i="2" s="1"/>
  <c r="AG1066" i="2" a="1"/>
  <c r="AG1066" i="2" s="1"/>
  <c r="W1071" i="2" a="1"/>
  <c r="W1071" i="2" s="1"/>
  <c r="AJ1069" i="2" a="1"/>
  <c r="AJ1069" i="2" s="1"/>
  <c r="AA1069" i="2" a="1"/>
  <c r="AA1069" i="2" s="1"/>
  <c r="AJ1070" i="2" a="1"/>
  <c r="AJ1070" i="2" s="1"/>
  <c r="AH1070" i="2" a="1"/>
  <c r="AH1070" i="2" s="1"/>
  <c r="AE1068" i="2" a="1"/>
  <c r="AE1068" i="2" s="1"/>
  <c r="AJ1067" i="2" a="1"/>
  <c r="AJ1067" i="2" s="1"/>
  <c r="AH1067" i="2" a="1"/>
  <c r="AH1067" i="2" s="1"/>
  <c r="AF1070" i="2" a="1"/>
  <c r="AF1070" i="2" s="1"/>
  <c r="AE1067" i="2" a="1"/>
  <c r="AE1067" i="2" s="1"/>
  <c r="AA1070" i="2" a="1"/>
  <c r="AA1070" i="2" s="1"/>
  <c r="AB1069" i="2" a="1"/>
  <c r="AB1069" i="2" s="1"/>
  <c r="AF1067" i="2" a="1"/>
  <c r="AF1067" i="2" s="1"/>
  <c r="W1067" i="2" a="1"/>
  <c r="W1067" i="2" s="1"/>
  <c r="Z1069" i="2" a="1"/>
  <c r="Z1069" i="2" s="1"/>
  <c r="AB1068" i="2" a="1"/>
  <c r="AB1068" i="2" s="1"/>
  <c r="AA1067" i="2" a="1"/>
  <c r="AA1067" i="2" s="1"/>
  <c r="Y1068" i="2" a="1"/>
  <c r="Y1068" i="2" s="1"/>
  <c r="X1069" i="2" a="1"/>
  <c r="X1069" i="2" s="1"/>
  <c r="AC1068" i="2" a="1"/>
  <c r="AC1068" i="2" s="1"/>
  <c r="AH1068" i="2" a="1"/>
  <c r="AH1068" i="2" s="1"/>
  <c r="AI1070" i="2" a="1"/>
  <c r="AI1070" i="2" s="1"/>
  <c r="AF1069" i="2" a="1"/>
  <c r="AF1069" i="2" s="1"/>
  <c r="Y1067" i="2" a="1"/>
  <c r="Y1067" i="2" s="1"/>
  <c r="AC1067" i="2" a="1"/>
  <c r="AC1067" i="2" s="1"/>
  <c r="W1068" i="2" a="1"/>
  <c r="W1068" i="2" s="1"/>
  <c r="AD1067" i="2" a="1"/>
  <c r="AD1067" i="2" s="1"/>
  <c r="Z1067" i="2" a="1"/>
  <c r="Z1067" i="2" s="1"/>
  <c r="X1067" i="2" a="1"/>
  <c r="X1067" i="2" s="1"/>
  <c r="AE1069" i="2" a="1"/>
  <c r="AE1069" i="2" s="1"/>
  <c r="AG1070" i="2" a="1"/>
  <c r="AG1070" i="2" s="1"/>
  <c r="AE1070" i="2" a="1"/>
  <c r="AE1070" i="2" s="1"/>
  <c r="Y1070" i="2" a="1"/>
  <c r="Y1070" i="2" s="1"/>
  <c r="AD1070" i="2" a="1"/>
  <c r="AD1070" i="2" s="1"/>
  <c r="AI1069" i="2" a="1"/>
  <c r="AI1069" i="2" s="1"/>
  <c r="AF1066" i="2" a="1"/>
  <c r="AF1066" i="2" s="1"/>
  <c r="AE1066" i="2" a="1"/>
  <c r="AE1066" i="2" s="1"/>
  <c r="AD1066" i="2" a="1"/>
  <c r="AD1066" i="2" s="1"/>
  <c r="AC1066" i="2" a="1"/>
  <c r="AC1066" i="2" s="1"/>
  <c r="AB1066" i="2" a="1"/>
  <c r="AB1066" i="2" s="1"/>
  <c r="Y1066" i="2" a="1"/>
  <c r="Y1066" i="2" s="1"/>
  <c r="W1066" i="2" a="1"/>
  <c r="W1066" i="2" s="1"/>
  <c r="AJ1065" i="2" a="1"/>
  <c r="AJ1065" i="2" s="1"/>
  <c r="AE1065" i="2" a="1"/>
  <c r="AE1065" i="2" s="1"/>
  <c r="AH1064" i="2" a="1"/>
  <c r="AH1064" i="2" s="1"/>
  <c r="AC1062" i="2" a="1"/>
  <c r="AC1062" i="2" s="1"/>
  <c r="AC1064" i="2" a="1"/>
  <c r="AC1064" i="2" s="1"/>
  <c r="Y1064" i="2" a="1"/>
  <c r="Y1064" i="2" s="1"/>
  <c r="AG1063" i="2" a="1"/>
  <c r="AG1063" i="2" s="1"/>
  <c r="AH1065" i="2" a="1"/>
  <c r="AH1065" i="2" s="1"/>
  <c r="AC1065" i="2" a="1"/>
  <c r="AC1065" i="2" s="1"/>
  <c r="W1065" i="2" a="1"/>
  <c r="W1065" i="2" s="1"/>
  <c r="AD1064" i="2" a="1"/>
  <c r="AD1064" i="2" s="1"/>
  <c r="AE1063" i="2" a="1"/>
  <c r="AE1063" i="2" s="1"/>
  <c r="Z1062" i="2" a="1"/>
  <c r="Z1062" i="2" s="1"/>
  <c r="AG1065" i="2" a="1"/>
  <c r="AG1065" i="2" s="1"/>
  <c r="Y1063" i="2" a="1"/>
  <c r="Y1063" i="2" s="1"/>
  <c r="AB1065" i="2" a="1"/>
  <c r="AB1065" i="2" s="1"/>
  <c r="AA1063" i="2" a="1"/>
  <c r="AA1063" i="2" s="1"/>
  <c r="AJ1064" i="2" a="1"/>
  <c r="AJ1064" i="2" s="1"/>
  <c r="AA1064" i="2" a="1"/>
  <c r="AA1064" i="2" s="1"/>
  <c r="AH1063" i="2" a="1"/>
  <c r="AH1063" i="2" s="1"/>
  <c r="X1064" i="2" a="1"/>
  <c r="X1064" i="2" s="1"/>
  <c r="AE1064" i="2" a="1"/>
  <c r="AE1064" i="2" s="1"/>
  <c r="X1063" i="2" a="1"/>
  <c r="X1063" i="2" s="1"/>
  <c r="AJ1062" i="2" a="1"/>
  <c r="AJ1062" i="2" s="1"/>
  <c r="AB1062" i="2" a="1"/>
  <c r="AB1062" i="2" s="1"/>
  <c r="Z1066" i="2" a="1"/>
  <c r="Z1066" i="2" s="1"/>
  <c r="X1066" i="2" a="1"/>
  <c r="X1066" i="2" s="1"/>
  <c r="Z1064" i="2" a="1"/>
  <c r="Z1064" i="2" s="1"/>
  <c r="AF1064" i="2" a="1"/>
  <c r="AF1064" i="2" s="1"/>
  <c r="AI1065" i="2" a="1"/>
  <c r="AI1065" i="2" s="1"/>
  <c r="AF1063" i="2" a="1"/>
  <c r="AF1063" i="2" s="1"/>
  <c r="AF1062" i="2" a="1"/>
  <c r="AF1062" i="2" s="1"/>
  <c r="AA1065" i="2" a="1"/>
  <c r="AA1065" i="2" s="1"/>
  <c r="Z1065" i="2" a="1"/>
  <c r="Z1065" i="2" s="1"/>
  <c r="AG1062" i="2" a="1"/>
  <c r="AG1062" i="2" s="1"/>
  <c r="AI1064" i="2" a="1"/>
  <c r="AI1064" i="2" s="1"/>
  <c r="Z1063" i="2" a="1"/>
  <c r="Z1063" i="2" s="1"/>
  <c r="AA1062" i="2" a="1"/>
  <c r="AA1062" i="2" s="1"/>
  <c r="AG1064" i="2" a="1"/>
  <c r="AG1064" i="2" s="1"/>
  <c r="AB1063" i="2" a="1"/>
  <c r="AB1063" i="2" s="1"/>
  <c r="Y1065" i="2" a="1"/>
  <c r="Y1065" i="2" s="1"/>
  <c r="W1210" i="2" a="1"/>
  <c r="W1210" i="2" s="1"/>
  <c r="AD1065" i="2" a="1"/>
  <c r="AD1065" i="2" s="1"/>
  <c r="AA1066" i="2" a="1"/>
  <c r="AA1066" i="2" s="1"/>
  <c r="AF1065" i="2" a="1"/>
  <c r="AF1065" i="2" s="1"/>
  <c r="AD1062" i="2" a="1"/>
  <c r="AD1062" i="2" s="1"/>
  <c r="X1065" i="2" a="1"/>
  <c r="X1065" i="2" s="1"/>
  <c r="W1064" i="2" a="1"/>
  <c r="W1064" i="2" s="1"/>
  <c r="AE1062" i="2" a="1"/>
  <c r="AE1062" i="2" s="1"/>
  <c r="AC1063" i="2" a="1"/>
  <c r="AC1063" i="2" s="1"/>
  <c r="AB1064" i="2" a="1"/>
  <c r="AB1064" i="2" s="1"/>
  <c r="AJ1063" i="2" a="1"/>
  <c r="AJ1063" i="2" s="1"/>
  <c r="AD1063" i="2" a="1"/>
  <c r="AD1063" i="2" s="1"/>
  <c r="AI1063" i="2" a="1"/>
  <c r="AI1063" i="2" s="1"/>
  <c r="W1063" i="2" a="1"/>
  <c r="W1063" i="2" s="1"/>
  <c r="AI1062" i="2" a="1"/>
  <c r="AI1062" i="2" s="1"/>
  <c r="AH1062" i="2" a="1"/>
  <c r="AH1062" i="2" s="1"/>
  <c r="AI532" i="2" a="1"/>
  <c r="AI532" i="2" s="1"/>
  <c r="Y539" i="2" a="1"/>
  <c r="Y539" i="2" s="1"/>
  <c r="Z530" i="2" a="1"/>
  <c r="Z530" i="2" s="1"/>
  <c r="W530" i="2" a="1"/>
  <c r="W530" i="2" s="1"/>
  <c r="AH529" i="2" a="1"/>
  <c r="AH529" i="2" s="1"/>
  <c r="AG529" i="2" a="1"/>
  <c r="AG529" i="2" s="1"/>
  <c r="AE529" i="2" a="1"/>
  <c r="AE529" i="2" s="1"/>
  <c r="AC529" i="2" a="1"/>
  <c r="AC529" i="2" s="1"/>
  <c r="Z529" i="2" a="1"/>
  <c r="Z529" i="2" s="1"/>
  <c r="W529" i="2" a="1"/>
  <c r="W529" i="2" s="1"/>
  <c r="AB528" i="2" a="1"/>
  <c r="AB528" i="2" s="1"/>
  <c r="AI528" i="2" a="1"/>
  <c r="AI528" i="2" s="1"/>
  <c r="AD532" i="2" a="1"/>
  <c r="AD532" i="2" s="1"/>
  <c r="AB532" i="2" a="1"/>
  <c r="AB532" i="2" s="1"/>
  <c r="AI531" i="2" a="1"/>
  <c r="AI531" i="2" s="1"/>
  <c r="Y531" i="2" a="1"/>
  <c r="Y531" i="2" s="1"/>
  <c r="AI530" i="2" a="1"/>
  <c r="AI530" i="2" s="1"/>
  <c r="AG530" i="2" a="1"/>
  <c r="AG530" i="2" s="1"/>
  <c r="AD530" i="2" a="1"/>
  <c r="AD530" i="2" s="1"/>
  <c r="AF529" i="2" a="1"/>
  <c r="AF529" i="2" s="1"/>
  <c r="AJ528" i="2" a="1"/>
  <c r="AJ528" i="2" s="1"/>
  <c r="AA531" i="2" a="1"/>
  <c r="AA531" i="2" s="1"/>
  <c r="Y532" i="2" a="1"/>
  <c r="Y532" i="2" s="1"/>
  <c r="Y530" i="2" a="1"/>
  <c r="Y530" i="2" s="1"/>
  <c r="X532" i="2" a="1"/>
  <c r="X532" i="2" s="1"/>
  <c r="AG528" i="2" a="1"/>
  <c r="AG528" i="2" s="1"/>
  <c r="W532" i="2" a="1"/>
  <c r="W532" i="2" s="1"/>
  <c r="AE530" i="2" a="1"/>
  <c r="AE530" i="2" s="1"/>
  <c r="AD528" i="2" a="1"/>
  <c r="AD528" i="2" s="1"/>
  <c r="AJ529" i="2" a="1"/>
  <c r="AJ529" i="2" s="1"/>
  <c r="X529" i="2" a="1"/>
  <c r="X529" i="2" s="1"/>
  <c r="AC531" i="2" a="1"/>
  <c r="AC531" i="2" s="1"/>
  <c r="AF530" i="2" a="1"/>
  <c r="AF530" i="2" s="1"/>
  <c r="AF528" i="2" a="1"/>
  <c r="AF528" i="2" s="1"/>
  <c r="AA530" i="2" a="1"/>
  <c r="AA530" i="2" s="1"/>
  <c r="AD529" i="2" a="1"/>
  <c r="AD529" i="2" s="1"/>
  <c r="AH528" i="2" a="1"/>
  <c r="AH528" i="2" s="1"/>
  <c r="AC532" i="2" a="1"/>
  <c r="AC532" i="2" s="1"/>
  <c r="AH531" i="2" a="1"/>
  <c r="AH531" i="2" s="1"/>
  <c r="X530" i="2" a="1"/>
  <c r="X530" i="2" s="1"/>
  <c r="AG531" i="2" a="1"/>
  <c r="AG531" i="2" s="1"/>
  <c r="AF531" i="2" a="1"/>
  <c r="AF531" i="2" s="1"/>
  <c r="X531" i="2" a="1"/>
  <c r="X531" i="2" s="1"/>
  <c r="AI529" i="2" a="1"/>
  <c r="AI529" i="2" s="1"/>
  <c r="AC530" i="2" a="1"/>
  <c r="AC530" i="2" s="1"/>
  <c r="AB529" i="2" a="1"/>
  <c r="AB529" i="2" s="1"/>
  <c r="AD531" i="2" a="1"/>
  <c r="AD531" i="2" s="1"/>
  <c r="Y529" i="2" a="1"/>
  <c r="Y529" i="2" s="1"/>
  <c r="AB531" i="2" a="1"/>
  <c r="AB531" i="2" s="1"/>
  <c r="AD538" i="2" a="1"/>
  <c r="AD538" i="2" s="1"/>
  <c r="AH532" i="2" a="1"/>
  <c r="AH532" i="2" s="1"/>
  <c r="Z532" i="2" a="1"/>
  <c r="Z532" i="2" s="1"/>
  <c r="AJ531" i="2" a="1"/>
  <c r="AJ531" i="2" s="1"/>
  <c r="AE531" i="2" a="1"/>
  <c r="AE531" i="2" s="1"/>
  <c r="AG532" i="2" a="1"/>
  <c r="AG532" i="2" s="1"/>
  <c r="AE528" i="2" a="1"/>
  <c r="AE528" i="2" s="1"/>
  <c r="AF532" i="2" a="1"/>
  <c r="AF532" i="2" s="1"/>
  <c r="AC528" i="2" a="1"/>
  <c r="AC528" i="2" s="1"/>
  <c r="AE532" i="2" a="1"/>
  <c r="AE532" i="2" s="1"/>
  <c r="AA529" i="2" a="1"/>
  <c r="AA529" i="2" s="1"/>
  <c r="AA532" i="2" a="1"/>
  <c r="AA532" i="2" s="1"/>
  <c r="Z531" i="2" a="1"/>
  <c r="Z531" i="2" s="1"/>
  <c r="W531" i="2" a="1"/>
  <c r="W531" i="2" s="1"/>
  <c r="AJ530" i="2" a="1"/>
  <c r="AJ530" i="2" s="1"/>
  <c r="AH530" i="2" a="1"/>
  <c r="AH530" i="2" s="1"/>
  <c r="AB530" i="2" a="1"/>
  <c r="AB530" i="2" s="1"/>
  <c r="AH526" i="2" a="1"/>
  <c r="AH526" i="2" s="1"/>
  <c r="AE526" i="2" a="1"/>
  <c r="AE526" i="2" s="1"/>
  <c r="AC526" i="2" a="1"/>
  <c r="AC526" i="2" s="1"/>
  <c r="AB526" i="2" a="1"/>
  <c r="AB526" i="2" s="1"/>
  <c r="Z522" i="2" a="1"/>
  <c r="Z522" i="2" s="1"/>
  <c r="AH525" i="2" a="1"/>
  <c r="AH525" i="2" s="1"/>
  <c r="AF525" i="2" a="1"/>
  <c r="AF525" i="2" s="1"/>
  <c r="AE525" i="2" a="1"/>
  <c r="AE525" i="2" s="1"/>
  <c r="AF522" i="2" a="1"/>
  <c r="AF522" i="2" s="1"/>
  <c r="W522" i="2" a="1"/>
  <c r="W522" i="2" s="1"/>
  <c r="X525" i="2" a="1"/>
  <c r="X525" i="2" s="1"/>
  <c r="AD522" i="2" a="1"/>
  <c r="AD522" i="2" s="1"/>
  <c r="AD526" i="2" a="1"/>
  <c r="AD526" i="2" s="1"/>
  <c r="Z526" i="2" a="1"/>
  <c r="Z526" i="2" s="1"/>
  <c r="AJ525" i="2" a="1"/>
  <c r="AJ525" i="2" s="1"/>
  <c r="AC525" i="2" a="1"/>
  <c r="AC525" i="2" s="1"/>
  <c r="AC522" i="2" a="1"/>
  <c r="AC522" i="2" s="1"/>
  <c r="AB522" i="2" a="1"/>
  <c r="AB522" i="2" s="1"/>
  <c r="AA527" i="2" a="1"/>
  <c r="AA527" i="2" s="1"/>
  <c r="X527" i="2" a="1"/>
  <c r="X527" i="2" s="1"/>
  <c r="AI522" i="2" a="1"/>
  <c r="AI522" i="2" s="1"/>
  <c r="Y522" i="2" a="1"/>
  <c r="Y522" i="2" s="1"/>
  <c r="AH527" i="2" a="1"/>
  <c r="AH527" i="2" s="1"/>
  <c r="AG527" i="2" a="1"/>
  <c r="AG527" i="2" s="1"/>
  <c r="Y526" i="2" a="1"/>
  <c r="Y526" i="2" s="1"/>
  <c r="AB525" i="2" a="1"/>
  <c r="AB525" i="2" s="1"/>
  <c r="AJ526" i="2" a="1"/>
  <c r="AJ526" i="2" s="1"/>
  <c r="W526" i="2" a="1"/>
  <c r="W526" i="2" s="1"/>
  <c r="AE522" i="2" a="1"/>
  <c r="AE522" i="2" s="1"/>
  <c r="X526" i="2" a="1"/>
  <c r="X526" i="2" s="1"/>
  <c r="AG525" i="2" a="1"/>
  <c r="AG525" i="2" s="1"/>
  <c r="AA525" i="2" a="1"/>
  <c r="AA525" i="2" s="1"/>
  <c r="Z525" i="2" a="1"/>
  <c r="Z525" i="2" s="1"/>
  <c r="AA522" i="2" a="1"/>
  <c r="AA522" i="2" s="1"/>
  <c r="AI521" i="2" a="1"/>
  <c r="AI521" i="2" s="1"/>
  <c r="Y525" i="2" a="1"/>
  <c r="Y525" i="2" s="1"/>
  <c r="W525" i="2" a="1"/>
  <c r="W525" i="2" s="1"/>
  <c r="X522" i="2" a="1"/>
  <c r="X522" i="2" s="1"/>
  <c r="AJ522" i="2" a="1"/>
  <c r="AJ522" i="2" s="1"/>
  <c r="AC539" i="2" a="1"/>
  <c r="AC539" i="2" s="1"/>
  <c r="AG526" i="2" a="1"/>
  <c r="AG526" i="2" s="1"/>
  <c r="X528" i="2" a="1"/>
  <c r="X528" i="2" s="1"/>
  <c r="AA528" i="2" a="1"/>
  <c r="AA528" i="2" s="1"/>
  <c r="AI525" i="2" a="1"/>
  <c r="AI525" i="2" s="1"/>
  <c r="AF526" i="2" a="1"/>
  <c r="AF526" i="2" s="1"/>
  <c r="Z528" i="2" a="1"/>
  <c r="Z528" i="2" s="1"/>
  <c r="AH522" i="2" a="1"/>
  <c r="AH522" i="2" s="1"/>
  <c r="AJ521" i="2" a="1"/>
  <c r="AJ521" i="2" s="1"/>
  <c r="Y528" i="2" a="1"/>
  <c r="Y528" i="2" s="1"/>
  <c r="W528" i="2" a="1"/>
  <c r="W528" i="2" s="1"/>
  <c r="AJ527" i="2" a="1"/>
  <c r="AJ527" i="2" s="1"/>
  <c r="AI527" i="2" a="1"/>
  <c r="AI527" i="2" s="1"/>
  <c r="AF527" i="2" a="1"/>
  <c r="AF527" i="2" s="1"/>
  <c r="AB527" i="2" a="1"/>
  <c r="AB527" i="2" s="1"/>
  <c r="AA526" i="2" a="1"/>
  <c r="AA526" i="2" s="1"/>
  <c r="AD525" i="2" a="1"/>
  <c r="AD525" i="2" s="1"/>
  <c r="AE527" i="2" a="1"/>
  <c r="AE527" i="2" s="1"/>
  <c r="AD527" i="2" a="1"/>
  <c r="AD527" i="2" s="1"/>
  <c r="AC527" i="2" a="1"/>
  <c r="AC527" i="2" s="1"/>
  <c r="Z527" i="2" a="1"/>
  <c r="Z527" i="2" s="1"/>
  <c r="Y527" i="2" a="1"/>
  <c r="Y527" i="2" s="1"/>
  <c r="W527" i="2" a="1"/>
  <c r="W527" i="2" s="1"/>
  <c r="AG522" i="2" a="1"/>
  <c r="AG522" i="2" s="1"/>
  <c r="AI526" i="2" a="1"/>
  <c r="AI526" i="2" s="1"/>
  <c r="Z521" i="2" a="1"/>
  <c r="Z521" i="2" s="1"/>
  <c r="Y521" i="2" a="1"/>
  <c r="Y521" i="2" s="1"/>
  <c r="AJ520" i="2" a="1"/>
  <c r="AJ520" i="2" s="1"/>
  <c r="AB520" i="2" a="1"/>
  <c r="AB520" i="2" s="1"/>
  <c r="AJ511" i="2" a="1"/>
  <c r="AJ511" i="2" s="1"/>
  <c r="AJ517" i="2" a="1"/>
  <c r="AJ517" i="2" s="1"/>
  <c r="AG517" i="2" a="1"/>
  <c r="AG517" i="2" s="1"/>
  <c r="AD517" i="2" a="1"/>
  <c r="AD517" i="2" s="1"/>
  <c r="Z517" i="2" a="1"/>
  <c r="Z517" i="2" s="1"/>
  <c r="AG511" i="2" a="1"/>
  <c r="AG511" i="2" s="1"/>
  <c r="AI520" i="2" a="1"/>
  <c r="AI520" i="2" s="1"/>
  <c r="AH520" i="2" a="1"/>
  <c r="AH520" i="2" s="1"/>
  <c r="AG520" i="2" a="1"/>
  <c r="AG520" i="2" s="1"/>
  <c r="Y514" i="2" a="1"/>
  <c r="Y514" i="2" s="1"/>
  <c r="AD520" i="2" a="1"/>
  <c r="AD520" i="2" s="1"/>
  <c r="AG514" i="2" a="1"/>
  <c r="AG514" i="2" s="1"/>
  <c r="X514" i="2" a="1"/>
  <c r="X514" i="2" s="1"/>
  <c r="AB511" i="2" a="1"/>
  <c r="AB511" i="2" s="1"/>
  <c r="AB517" i="2" a="1"/>
  <c r="AB517" i="2" s="1"/>
  <c r="AE514" i="2" a="1"/>
  <c r="AE514" i="2" s="1"/>
  <c r="AF520" i="2" a="1"/>
  <c r="AF520" i="2" s="1"/>
  <c r="AI511" i="2" a="1"/>
  <c r="AI511" i="2" s="1"/>
  <c r="AE520" i="2" a="1"/>
  <c r="AE520" i="2" s="1"/>
  <c r="AC520" i="2" a="1"/>
  <c r="AC520" i="2" s="1"/>
  <c r="AA520" i="2" a="1"/>
  <c r="AA520" i="2" s="1"/>
  <c r="Z520" i="2" a="1"/>
  <c r="Z520" i="2" s="1"/>
  <c r="Y520" i="2" a="1"/>
  <c r="Y520" i="2" s="1"/>
  <c r="AI517" i="2" a="1"/>
  <c r="AI517" i="2" s="1"/>
  <c r="AB514" i="2" a="1"/>
  <c r="AB514" i="2" s="1"/>
  <c r="AD514" i="2" a="1"/>
  <c r="AD514" i="2" s="1"/>
  <c r="X520" i="2" a="1"/>
  <c r="X520" i="2" s="1"/>
  <c r="AA514" i="2" a="1"/>
  <c r="AA514" i="2" s="1"/>
  <c r="W520" i="2" a="1"/>
  <c r="W520" i="2" s="1"/>
  <c r="AF517" i="2" a="1"/>
  <c r="AF517" i="2" s="1"/>
  <c r="W514" i="2" a="1"/>
  <c r="W514" i="2" s="1"/>
  <c r="AC517" i="2" a="1"/>
  <c r="AC517" i="2" s="1"/>
  <c r="W517" i="2" a="1"/>
  <c r="W517" i="2" s="1"/>
  <c r="AH511" i="2" a="1"/>
  <c r="AH511" i="2" s="1"/>
  <c r="AJ514" i="2" a="1"/>
  <c r="AJ514" i="2" s="1"/>
  <c r="AI514" i="2" a="1"/>
  <c r="AI514" i="2" s="1"/>
  <c r="AH514" i="2" a="1"/>
  <c r="AH514" i="2" s="1"/>
  <c r="AF514" i="2" a="1"/>
  <c r="AF514" i="2" s="1"/>
  <c r="AE511" i="2" a="1"/>
  <c r="AE511" i="2" s="1"/>
  <c r="AC511" i="2" a="1"/>
  <c r="AC511" i="2" s="1"/>
  <c r="AF511" i="2" a="1"/>
  <c r="AF511" i="2" s="1"/>
  <c r="AD511" i="2" a="1"/>
  <c r="AD511" i="2" s="1"/>
  <c r="AA517" i="2" a="1"/>
  <c r="AA517" i="2" s="1"/>
  <c r="AC538" i="2" a="1"/>
  <c r="AC538" i="2" s="1"/>
  <c r="X521" i="2" a="1"/>
  <c r="X521" i="2" s="1"/>
  <c r="X517" i="2" a="1"/>
  <c r="X517" i="2" s="1"/>
  <c r="Z514" i="2" a="1"/>
  <c r="Z514" i="2" s="1"/>
  <c r="AH521" i="2" a="1"/>
  <c r="AH521" i="2" s="1"/>
  <c r="AG521" i="2" a="1"/>
  <c r="AG521" i="2" s="1"/>
  <c r="AF521" i="2" a="1"/>
  <c r="AF521" i="2" s="1"/>
  <c r="AH517" i="2" a="1"/>
  <c r="AH517" i="2" s="1"/>
  <c r="AE521" i="2" a="1"/>
  <c r="AE521" i="2" s="1"/>
  <c r="W521" i="2" a="1"/>
  <c r="W521" i="2" s="1"/>
  <c r="AE517" i="2" a="1"/>
  <c r="AE517" i="2" s="1"/>
  <c r="AD521" i="2" a="1"/>
  <c r="AD521" i="2" s="1"/>
  <c r="AC521" i="2" a="1"/>
  <c r="AC521" i="2" s="1"/>
  <c r="AB521" i="2" a="1"/>
  <c r="AB521" i="2" s="1"/>
  <c r="AA521" i="2" a="1"/>
  <c r="AA521" i="2" s="1"/>
  <c r="AC514" i="2" a="1"/>
  <c r="AC514" i="2" s="1"/>
  <c r="Y517" i="2" a="1"/>
  <c r="Y517" i="2" s="1"/>
  <c r="AI498" i="2" a="1"/>
  <c r="AI498" i="2" s="1"/>
  <c r="AB508" i="2" a="1"/>
  <c r="AB508" i="2" s="1"/>
  <c r="Z508" i="2" a="1"/>
  <c r="Z508" i="2" s="1"/>
  <c r="AA502" i="2" a="1"/>
  <c r="AA502" i="2" s="1"/>
  <c r="AD501" i="2" a="1"/>
  <c r="AD501" i="2" s="1"/>
  <c r="AB505" i="2" a="1"/>
  <c r="AB505" i="2" s="1"/>
  <c r="AH502" i="2" a="1"/>
  <c r="AH502" i="2" s="1"/>
  <c r="X505" i="2" a="1"/>
  <c r="X505" i="2" s="1"/>
  <c r="Z501" i="2" a="1"/>
  <c r="Z501" i="2" s="1"/>
  <c r="Z505" i="2" a="1"/>
  <c r="Z505" i="2" s="1"/>
  <c r="Y505" i="2" a="1"/>
  <c r="Y505" i="2" s="1"/>
  <c r="X501" i="2" a="1"/>
  <c r="X501" i="2" s="1"/>
  <c r="AC502" i="2" a="1"/>
  <c r="AC502" i="2" s="1"/>
  <c r="Z502" i="2" a="1"/>
  <c r="Z502" i="2" s="1"/>
  <c r="AG505" i="2" a="1"/>
  <c r="AG505" i="2" s="1"/>
  <c r="AF505" i="2" a="1"/>
  <c r="AF505" i="2" s="1"/>
  <c r="AC505" i="2" a="1"/>
  <c r="AC505" i="2" s="1"/>
  <c r="AD505" i="2" a="1"/>
  <c r="AD505" i="2" s="1"/>
  <c r="AJ501" i="2" a="1"/>
  <c r="AJ501" i="2" s="1"/>
  <c r="AE501" i="2" a="1"/>
  <c r="AE501" i="2" s="1"/>
  <c r="AA505" i="2" a="1"/>
  <c r="AA505" i="2" s="1"/>
  <c r="Y511" i="2" a="1"/>
  <c r="Y511" i="2" s="1"/>
  <c r="X539" i="2" a="1"/>
  <c r="X539" i="2" s="1"/>
  <c r="AA511" i="2" a="1"/>
  <c r="AA511" i="2" s="1"/>
  <c r="X511" i="2" a="1"/>
  <c r="X511" i="2" s="1"/>
  <c r="AG508" i="2" a="1"/>
  <c r="AG508" i="2" s="1"/>
  <c r="AE508" i="2" a="1"/>
  <c r="AE508" i="2" s="1"/>
  <c r="AA508" i="2" a="1"/>
  <c r="AA508" i="2" s="1"/>
  <c r="Y501" i="2" a="1"/>
  <c r="Y501" i="2" s="1"/>
  <c r="AG501" i="2" a="1"/>
  <c r="AG501" i="2" s="1"/>
  <c r="AD508" i="2" a="1"/>
  <c r="AD508" i="2" s="1"/>
  <c r="AH505" i="2" a="1"/>
  <c r="AH505" i="2" s="1"/>
  <c r="AE505" i="2" a="1"/>
  <c r="AE505" i="2" s="1"/>
  <c r="AJ502" i="2" a="1"/>
  <c r="AJ502" i="2" s="1"/>
  <c r="AG502" i="2" a="1"/>
  <c r="AG502" i="2" s="1"/>
  <c r="AE502" i="2" a="1"/>
  <c r="AE502" i="2" s="1"/>
  <c r="AB502" i="2" a="1"/>
  <c r="AB502" i="2" s="1"/>
  <c r="W502" i="2" a="1"/>
  <c r="W502" i="2" s="1"/>
  <c r="W501" i="2" a="1"/>
  <c r="W501" i="2" s="1"/>
  <c r="Z511" i="2" a="1"/>
  <c r="Z511" i="2" s="1"/>
  <c r="W511" i="2" a="1"/>
  <c r="W511" i="2" s="1"/>
  <c r="AI505" i="2" a="1"/>
  <c r="AI505" i="2" s="1"/>
  <c r="AJ508" i="2" a="1"/>
  <c r="AJ508" i="2" s="1"/>
  <c r="X508" i="2" a="1"/>
  <c r="X508" i="2" s="1"/>
  <c r="AD502" i="2" a="1"/>
  <c r="AD502" i="2" s="1"/>
  <c r="AH501" i="2" a="1"/>
  <c r="AH501" i="2" s="1"/>
  <c r="AF501" i="2" a="1"/>
  <c r="AF501" i="2" s="1"/>
  <c r="AB501" i="2" a="1"/>
  <c r="AB501" i="2" s="1"/>
  <c r="AI508" i="2" a="1"/>
  <c r="AI508" i="2" s="1"/>
  <c r="AH508" i="2" a="1"/>
  <c r="AH508" i="2" s="1"/>
  <c r="AC508" i="2" a="1"/>
  <c r="AC508" i="2" s="1"/>
  <c r="AI501" i="2" a="1"/>
  <c r="AI501" i="2" s="1"/>
  <c r="AJ505" i="2" a="1"/>
  <c r="AJ505" i="2" s="1"/>
  <c r="AF502" i="2" a="1"/>
  <c r="AF502" i="2" s="1"/>
  <c r="X502" i="2" a="1"/>
  <c r="X502" i="2" s="1"/>
  <c r="W508" i="2" a="1"/>
  <c r="W508" i="2" s="1"/>
  <c r="AF508" i="2" a="1"/>
  <c r="AF508" i="2" s="1"/>
  <c r="AC501" i="2" a="1"/>
  <c r="AC501" i="2" s="1"/>
  <c r="Y508" i="2" a="1"/>
  <c r="Y508" i="2" s="1"/>
  <c r="W505" i="2" a="1"/>
  <c r="W505" i="2" s="1"/>
  <c r="AI502" i="2" a="1"/>
  <c r="AI502" i="2" s="1"/>
  <c r="AA501" i="2" a="1"/>
  <c r="AA501" i="2" s="1"/>
  <c r="AJ498" i="2" a="1"/>
  <c r="AJ498" i="2" s="1"/>
  <c r="Y502" i="2" a="1"/>
  <c r="Y502" i="2" s="1"/>
  <c r="Z498" i="2" a="1"/>
  <c r="Z498" i="2" s="1"/>
  <c r="Y498" i="2" a="1"/>
  <c r="Y498" i="2" s="1"/>
  <c r="AD494" i="2" a="1"/>
  <c r="AD494" i="2" s="1"/>
  <c r="AJ491" i="2" a="1"/>
  <c r="AJ491" i="2" s="1"/>
  <c r="AH490" i="2" a="1"/>
  <c r="AH490" i="2" s="1"/>
  <c r="X498" i="2" a="1"/>
  <c r="X498" i="2" s="1"/>
  <c r="W498" i="2" a="1"/>
  <c r="W498" i="2" s="1"/>
  <c r="AE490" i="2" a="1"/>
  <c r="AE490" i="2" s="1"/>
  <c r="AA495" i="2" a="1"/>
  <c r="AA495" i="2" s="1"/>
  <c r="Z495" i="2" a="1"/>
  <c r="Z495" i="2" s="1"/>
  <c r="AI490" i="2" a="1"/>
  <c r="AI490" i="2" s="1"/>
  <c r="AD490" i="2" a="1"/>
  <c r="AD490" i="2" s="1"/>
  <c r="Y494" i="2" a="1"/>
  <c r="Y494" i="2" s="1"/>
  <c r="Y495" i="2" a="1"/>
  <c r="Y495" i="2" s="1"/>
  <c r="AI494" i="2" a="1"/>
  <c r="AI494" i="2" s="1"/>
  <c r="AE491" i="2" a="1"/>
  <c r="AE491" i="2" s="1"/>
  <c r="Y491" i="2" a="1"/>
  <c r="Y491" i="2" s="1"/>
  <c r="AB491" i="2" a="1"/>
  <c r="AB491" i="2" s="1"/>
  <c r="AH494" i="2" a="1"/>
  <c r="AH494" i="2" s="1"/>
  <c r="AF491" i="2" a="1"/>
  <c r="AF491" i="2" s="1"/>
  <c r="W495" i="2" a="1"/>
  <c r="W495" i="2" s="1"/>
  <c r="W494" i="2" a="1"/>
  <c r="W494" i="2" s="1"/>
  <c r="X491" i="2" a="1"/>
  <c r="X491" i="2" s="1"/>
  <c r="AG494" i="2" a="1"/>
  <c r="AG494" i="2" s="1"/>
  <c r="AI491" i="2" a="1"/>
  <c r="AI491" i="2" s="1"/>
  <c r="AE495" i="2" a="1"/>
  <c r="AE495" i="2" s="1"/>
  <c r="AJ494" i="2" a="1"/>
  <c r="AJ494" i="2" s="1"/>
  <c r="AC491" i="2" a="1"/>
  <c r="AC491" i="2" s="1"/>
  <c r="AI495" i="2" a="1"/>
  <c r="AI495" i="2" s="1"/>
  <c r="AF495" i="2" a="1"/>
  <c r="AF495" i="2" s="1"/>
  <c r="AC495" i="2" a="1"/>
  <c r="AC495" i="2" s="1"/>
  <c r="X495" i="2" a="1"/>
  <c r="X495" i="2" s="1"/>
  <c r="AC494" i="2" a="1"/>
  <c r="AC494" i="2" s="1"/>
  <c r="AH491" i="2" a="1"/>
  <c r="AH491" i="2" s="1"/>
  <c r="AG491" i="2" a="1"/>
  <c r="AG491" i="2" s="1"/>
  <c r="AA491" i="2" a="1"/>
  <c r="AA491" i="2" s="1"/>
  <c r="AA494" i="2" a="1"/>
  <c r="AA494" i="2" s="1"/>
  <c r="W491" i="2" a="1"/>
  <c r="W491" i="2" s="1"/>
  <c r="X494" i="2" a="1"/>
  <c r="X494" i="2" s="1"/>
  <c r="AF494" i="2" a="1"/>
  <c r="AF494" i="2" s="1"/>
  <c r="AC490" i="2" a="1"/>
  <c r="AC490" i="2" s="1"/>
  <c r="AJ490" i="2" a="1"/>
  <c r="AJ490" i="2" s="1"/>
  <c r="Z494" i="2" a="1"/>
  <c r="Z494" i="2" s="1"/>
  <c r="AF490" i="2" a="1"/>
  <c r="AF490" i="2" s="1"/>
  <c r="AB490" i="2" a="1"/>
  <c r="AB490" i="2" s="1"/>
  <c r="AD495" i="2" a="1"/>
  <c r="AD495" i="2" s="1"/>
  <c r="AB538" i="2" a="1"/>
  <c r="AB538" i="2" s="1"/>
  <c r="AH498" i="2" a="1"/>
  <c r="AH498" i="2" s="1"/>
  <c r="AD491" i="2" a="1"/>
  <c r="AD491" i="2" s="1"/>
  <c r="AG490" i="2" a="1"/>
  <c r="AG490" i="2" s="1"/>
  <c r="AG498" i="2" a="1"/>
  <c r="AG498" i="2" s="1"/>
  <c r="AF498" i="2" a="1"/>
  <c r="AF498" i="2" s="1"/>
  <c r="AB495" i="2" a="1"/>
  <c r="AB495" i="2" s="1"/>
  <c r="AB494" i="2" a="1"/>
  <c r="AB494" i="2" s="1"/>
  <c r="Z491" i="2" a="1"/>
  <c r="Z491" i="2" s="1"/>
  <c r="AE498" i="2" a="1"/>
  <c r="AE498" i="2" s="1"/>
  <c r="AE494" i="2" a="1"/>
  <c r="AE494" i="2" s="1"/>
  <c r="AD498" i="2" a="1"/>
  <c r="AD498" i="2" s="1"/>
  <c r="AC498" i="2" a="1"/>
  <c r="AC498" i="2" s="1"/>
  <c r="AB498" i="2" a="1"/>
  <c r="AB498" i="2" s="1"/>
  <c r="AH495" i="2" a="1"/>
  <c r="AH495" i="2" s="1"/>
  <c r="AG495" i="2" a="1"/>
  <c r="AG495" i="2" s="1"/>
  <c r="AA498" i="2" a="1"/>
  <c r="AA498" i="2" s="1"/>
  <c r="AJ495" i="2" a="1"/>
  <c r="AJ495" i="2" s="1"/>
  <c r="AJ485" i="2" a="1"/>
  <c r="AJ485" i="2" s="1"/>
  <c r="AH489" i="2" a="1"/>
  <c r="AH489" i="2" s="1"/>
  <c r="AF489" i="2" a="1"/>
  <c r="AF489" i="2" s="1"/>
  <c r="AC486" i="2" a="1"/>
  <c r="AC486" i="2" s="1"/>
  <c r="AB489" i="2" a="1"/>
  <c r="AB489" i="2" s="1"/>
  <c r="Y489" i="2" a="1"/>
  <c r="Y489" i="2" s="1"/>
  <c r="AG488" i="2" a="1"/>
  <c r="AG488" i="2" s="1"/>
  <c r="X488" i="2" a="1"/>
  <c r="X488" i="2" s="1"/>
  <c r="AD488" i="2" a="1"/>
  <c r="AD488" i="2" s="1"/>
  <c r="AA487" i="2" a="1"/>
  <c r="AA487" i="2" s="1"/>
  <c r="W488" i="2" a="1"/>
  <c r="W488" i="2" s="1"/>
  <c r="AJ486" i="2" a="1"/>
  <c r="AJ486" i="2" s="1"/>
  <c r="AB488" i="2" a="1"/>
  <c r="AB488" i="2" s="1"/>
  <c r="AA488" i="2" a="1"/>
  <c r="AA488" i="2" s="1"/>
  <c r="AE487" i="2" a="1"/>
  <c r="AE487" i="2" s="1"/>
  <c r="AI486" i="2" a="1"/>
  <c r="AI486" i="2" s="1"/>
  <c r="AH487" i="2" a="1"/>
  <c r="AH487" i="2" s="1"/>
  <c r="AG487" i="2" a="1"/>
  <c r="AG487" i="2" s="1"/>
  <c r="AH486" i="2" a="1"/>
  <c r="AH486" i="2" s="1"/>
  <c r="Y486" i="2" a="1"/>
  <c r="Y486" i="2" s="1"/>
  <c r="X489" i="2" a="1"/>
  <c r="X489" i="2" s="1"/>
  <c r="AF487" i="2" a="1"/>
  <c r="AF487" i="2" s="1"/>
  <c r="AD486" i="2" a="1"/>
  <c r="AD486" i="2" s="1"/>
  <c r="AG486" i="2" a="1"/>
  <c r="AG486" i="2" s="1"/>
  <c r="AB486" i="2" a="1"/>
  <c r="AB486" i="2" s="1"/>
  <c r="AG489" i="2" a="1"/>
  <c r="AG489" i="2" s="1"/>
  <c r="X487" i="2" a="1"/>
  <c r="X487" i="2" s="1"/>
  <c r="W486" i="2" a="1"/>
  <c r="W486" i="2" s="1"/>
  <c r="AC488" i="2" a="1"/>
  <c r="AC488" i="2" s="1"/>
  <c r="AE489" i="2" a="1"/>
  <c r="AE489" i="2" s="1"/>
  <c r="AD489" i="2" a="1"/>
  <c r="AD489" i="2" s="1"/>
  <c r="AB487" i="2" a="1"/>
  <c r="AB487" i="2" s="1"/>
  <c r="AC489" i="2" a="1"/>
  <c r="AC489" i="2" s="1"/>
  <c r="AA486" i="2" a="1"/>
  <c r="AA486" i="2" s="1"/>
  <c r="Z486" i="2" a="1"/>
  <c r="Z486" i="2" s="1"/>
  <c r="AA489" i="2" a="1"/>
  <c r="AA489" i="2" s="1"/>
  <c r="AI488" i="2" a="1"/>
  <c r="AI488" i="2" s="1"/>
  <c r="Z489" i="2" a="1"/>
  <c r="Z489" i="2" s="1"/>
  <c r="AH488" i="2" a="1"/>
  <c r="AH488" i="2" s="1"/>
  <c r="AJ487" i="2" a="1"/>
  <c r="AJ487" i="2" s="1"/>
  <c r="Y487" i="2" a="1"/>
  <c r="Y487" i="2" s="1"/>
  <c r="AF486" i="2" a="1"/>
  <c r="AF486" i="2" s="1"/>
  <c r="AF488" i="2" a="1"/>
  <c r="AF488" i="2" s="1"/>
  <c r="Y488" i="2" a="1"/>
  <c r="Y488" i="2" s="1"/>
  <c r="AI487" i="2" a="1"/>
  <c r="AI487" i="2" s="1"/>
  <c r="Y490" i="2" a="1"/>
  <c r="Y490" i="2" s="1"/>
  <c r="X490" i="2" a="1"/>
  <c r="X490" i="2" s="1"/>
  <c r="AE488" i="2" a="1"/>
  <c r="AE488" i="2" s="1"/>
  <c r="AI489" i="2" a="1"/>
  <c r="AI489" i="2" s="1"/>
  <c r="Z488" i="2" a="1"/>
  <c r="Z488" i="2" s="1"/>
  <c r="AC487" i="2" a="1"/>
  <c r="AC487" i="2" s="1"/>
  <c r="W489" i="2" a="1"/>
  <c r="W489" i="2" s="1"/>
  <c r="AJ488" i="2" a="1"/>
  <c r="AJ488" i="2" s="1"/>
  <c r="AD487" i="2" a="1"/>
  <c r="AD487" i="2" s="1"/>
  <c r="X486" i="2" a="1"/>
  <c r="X486" i="2" s="1"/>
  <c r="W487" i="2" a="1"/>
  <c r="W487" i="2" s="1"/>
  <c r="AE486" i="2" a="1"/>
  <c r="AE486" i="2" s="1"/>
  <c r="W490" i="2" a="1"/>
  <c r="W490" i="2" s="1"/>
  <c r="AE539" i="2" a="1"/>
  <c r="AE539" i="2" s="1"/>
  <c r="AA490" i="2" a="1"/>
  <c r="AA490" i="2" s="1"/>
  <c r="Z490" i="2" a="1"/>
  <c r="Z490" i="2" s="1"/>
  <c r="AJ489" i="2" a="1"/>
  <c r="AJ489" i="2" s="1"/>
  <c r="Z487" i="2" a="1"/>
  <c r="Z487" i="2" s="1"/>
  <c r="AI485" i="2" a="1"/>
  <c r="AI485" i="2" s="1"/>
  <c r="AI484" i="2" a="1"/>
  <c r="AI484" i="2" s="1"/>
  <c r="AF484" i="2" a="1"/>
  <c r="AF484" i="2" s="1"/>
  <c r="AC484" i="2" a="1"/>
  <c r="AC484" i="2" s="1"/>
  <c r="Z484" i="2" a="1"/>
  <c r="Z484" i="2" s="1"/>
  <c r="W484" i="2" a="1"/>
  <c r="W484" i="2" s="1"/>
  <c r="AH483" i="2" a="1"/>
  <c r="AH483" i="2" s="1"/>
  <c r="AB461" i="2" a="1"/>
  <c r="AB461" i="2" s="1"/>
  <c r="Z483" i="2" a="1"/>
  <c r="Z483" i="2" s="1"/>
  <c r="W461" i="2" a="1"/>
  <c r="W461" i="2" s="1"/>
  <c r="Y483" i="2" a="1"/>
  <c r="Y483" i="2" s="1"/>
  <c r="AF483" i="2" a="1"/>
  <c r="AF483" i="2" s="1"/>
  <c r="X483" i="2" a="1"/>
  <c r="X483" i="2" s="1"/>
  <c r="AA461" i="2" a="1"/>
  <c r="AA461" i="2" s="1"/>
  <c r="AE460" i="2" a="1"/>
  <c r="AE460" i="2" s="1"/>
  <c r="AG483" i="2" a="1"/>
  <c r="AG483" i="2" s="1"/>
  <c r="W483" i="2" a="1"/>
  <c r="W483" i="2" s="1"/>
  <c r="AD483" i="2" a="1"/>
  <c r="AD483" i="2" s="1"/>
  <c r="AB483" i="2" a="1"/>
  <c r="AB483" i="2" s="1"/>
  <c r="AC483" i="2" a="1"/>
  <c r="AC483" i="2" s="1"/>
  <c r="AJ461" i="2" a="1"/>
  <c r="AJ461" i="2" s="1"/>
  <c r="X485" i="2" a="1"/>
  <c r="X485" i="2" s="1"/>
  <c r="AG484" i="2" a="1"/>
  <c r="AG484" i="2" s="1"/>
  <c r="AI460" i="2" a="1"/>
  <c r="AI460" i="2" s="1"/>
  <c r="AI461" i="2" a="1"/>
  <c r="AI461" i="2" s="1"/>
  <c r="AJ484" i="2" a="1"/>
  <c r="AJ484" i="2" s="1"/>
  <c r="AD484" i="2" a="1"/>
  <c r="AD484" i="2" s="1"/>
  <c r="Y461" i="2" a="1"/>
  <c r="Y461" i="2" s="1"/>
  <c r="AE461" i="2" a="1"/>
  <c r="AE461" i="2" s="1"/>
  <c r="AH460" i="2" a="1"/>
  <c r="AH460" i="2" s="1"/>
  <c r="AD485" i="2" a="1"/>
  <c r="AD485" i="2" s="1"/>
  <c r="AA485" i="2" a="1"/>
  <c r="AA485" i="2" s="1"/>
  <c r="AG460" i="2" a="1"/>
  <c r="AG460" i="2" s="1"/>
  <c r="AA538" i="2" a="1"/>
  <c r="AA538" i="2" s="1"/>
  <c r="AH485" i="2" a="1"/>
  <c r="AH485" i="2" s="1"/>
  <c r="AB484" i="2" a="1"/>
  <c r="AB484" i="2" s="1"/>
  <c r="AG485" i="2" a="1"/>
  <c r="AG485" i="2" s="1"/>
  <c r="AF485" i="2" a="1"/>
  <c r="AF485" i="2" s="1"/>
  <c r="AE485" i="2" a="1"/>
  <c r="AE485" i="2" s="1"/>
  <c r="AC485" i="2" a="1"/>
  <c r="AC485" i="2" s="1"/>
  <c r="AE483" i="2" a="1"/>
  <c r="AE483" i="2" s="1"/>
  <c r="AA483" i="2" a="1"/>
  <c r="AA483" i="2" s="1"/>
  <c r="AH461" i="2" a="1"/>
  <c r="AH461" i="2" s="1"/>
  <c r="AE484" i="2" a="1"/>
  <c r="AE484" i="2" s="1"/>
  <c r="X484" i="2" a="1"/>
  <c r="X484" i="2" s="1"/>
  <c r="AD460" i="2" a="1"/>
  <c r="AD460" i="2" s="1"/>
  <c r="AC460" i="2" a="1"/>
  <c r="AC460" i="2" s="1"/>
  <c r="Y484" i="2" a="1"/>
  <c r="Y484" i="2" s="1"/>
  <c r="AJ460" i="2" a="1"/>
  <c r="AJ460" i="2" s="1"/>
  <c r="AC461" i="2" a="1"/>
  <c r="AC461" i="2" s="1"/>
  <c r="AJ483" i="2" a="1"/>
  <c r="AJ483" i="2" s="1"/>
  <c r="AF460" i="2" a="1"/>
  <c r="AF460" i="2" s="1"/>
  <c r="AB485" i="2" a="1"/>
  <c r="AB485" i="2" s="1"/>
  <c r="AH484" i="2" a="1"/>
  <c r="AH484" i="2" s="1"/>
  <c r="Z461" i="2" a="1"/>
  <c r="Z461" i="2" s="1"/>
  <c r="X461" i="2" a="1"/>
  <c r="X461" i="2" s="1"/>
  <c r="AB460" i="2" a="1"/>
  <c r="AB460" i="2" s="1"/>
  <c r="AG461" i="2" a="1"/>
  <c r="AG461" i="2" s="1"/>
  <c r="AI483" i="2" a="1"/>
  <c r="AI483" i="2" s="1"/>
  <c r="Z485" i="2" a="1"/>
  <c r="Z485" i="2" s="1"/>
  <c r="AA484" i="2" a="1"/>
  <c r="AA484" i="2" s="1"/>
  <c r="AF461" i="2" a="1"/>
  <c r="AF461" i="2" s="1"/>
  <c r="AD461" i="2" a="1"/>
  <c r="AD461" i="2" s="1"/>
  <c r="Y485" i="2" a="1"/>
  <c r="Y485" i="2" s="1"/>
  <c r="W485" i="2" a="1"/>
  <c r="W485" i="2" s="1"/>
  <c r="AF408" i="2" a="1"/>
  <c r="AF408" i="2" s="1"/>
  <c r="AE408" i="2" a="1"/>
  <c r="AE408" i="2" s="1"/>
  <c r="AC408" i="2" a="1"/>
  <c r="AC408" i="2" s="1"/>
  <c r="Y408" i="2" a="1"/>
  <c r="Y408" i="2" s="1"/>
  <c r="AB408" i="2" a="1"/>
  <c r="AB408" i="2" s="1"/>
  <c r="Z404" i="2" a="1"/>
  <c r="Z404" i="2" s="1"/>
  <c r="X404" i="2" a="1"/>
  <c r="X404" i="2" s="1"/>
  <c r="W402" i="2" a="1"/>
  <c r="W402" i="2" s="1"/>
  <c r="AG402" i="2" a="1"/>
  <c r="AG402" i="2" s="1"/>
  <c r="AG401" i="2" a="1"/>
  <c r="AG401" i="2" s="1"/>
  <c r="X408" i="2" a="1"/>
  <c r="X408" i="2" s="1"/>
  <c r="AJ401" i="2" a="1"/>
  <c r="AJ401" i="2" s="1"/>
  <c r="AI404" i="2" a="1"/>
  <c r="AI404" i="2" s="1"/>
  <c r="Y404" i="2" a="1"/>
  <c r="Y404" i="2" s="1"/>
  <c r="AC404" i="2" a="1"/>
  <c r="AC404" i="2" s="1"/>
  <c r="AA402" i="2" a="1"/>
  <c r="AA402" i="2" s="1"/>
  <c r="AC401" i="2" a="1"/>
  <c r="AC401" i="2" s="1"/>
  <c r="Z401" i="2" a="1"/>
  <c r="Z401" i="2" s="1"/>
  <c r="AF404" i="2" a="1"/>
  <c r="AF404" i="2" s="1"/>
  <c r="AA401" i="2" a="1"/>
  <c r="AA401" i="2" s="1"/>
  <c r="AD408" i="2" a="1"/>
  <c r="AD408" i="2" s="1"/>
  <c r="AA408" i="2" a="1"/>
  <c r="AA408" i="2" s="1"/>
  <c r="Z408" i="2" a="1"/>
  <c r="Z408" i="2" s="1"/>
  <c r="AD404" i="2" a="1"/>
  <c r="AD404" i="2" s="1"/>
  <c r="AJ404" i="2" a="1"/>
  <c r="AJ404" i="2" s="1"/>
  <c r="W401" i="2" a="1"/>
  <c r="W401" i="2" s="1"/>
  <c r="AD402" i="2" a="1"/>
  <c r="AD402" i="2" s="1"/>
  <c r="AB402" i="2" a="1"/>
  <c r="AB402" i="2" s="1"/>
  <c r="X402" i="2" a="1"/>
  <c r="X402" i="2" s="1"/>
  <c r="Z402" i="2" a="1"/>
  <c r="Z402" i="2" s="1"/>
  <c r="W408" i="2" a="1"/>
  <c r="W408" i="2" s="1"/>
  <c r="AH404" i="2" a="1"/>
  <c r="AH404" i="2" s="1"/>
  <c r="AG404" i="2" a="1"/>
  <c r="AG404" i="2" s="1"/>
  <c r="AJ402" i="2" a="1"/>
  <c r="AJ402" i="2" s="1"/>
  <c r="AI402" i="2" a="1"/>
  <c r="AI402" i="2" s="1"/>
  <c r="AH402" i="2" a="1"/>
  <c r="AH402" i="2" s="1"/>
  <c r="AE402" i="2" a="1"/>
  <c r="AE402" i="2" s="1"/>
  <c r="AC402" i="2" a="1"/>
  <c r="AC402" i="2" s="1"/>
  <c r="X401" i="2" a="1"/>
  <c r="X401" i="2" s="1"/>
  <c r="AI401" i="2" a="1"/>
  <c r="AI401" i="2" s="1"/>
  <c r="AH401" i="2" a="1"/>
  <c r="AH401" i="2" s="1"/>
  <c r="AB401" i="2" a="1"/>
  <c r="AB401" i="2" s="1"/>
  <c r="AD401" i="2" a="1"/>
  <c r="AD401" i="2" s="1"/>
  <c r="AI400" i="2" a="1"/>
  <c r="AI400" i="2" s="1"/>
  <c r="AE401" i="2" a="1"/>
  <c r="AE401" i="2" s="1"/>
  <c r="AJ400" i="2" a="1"/>
  <c r="AJ400" i="2" s="1"/>
  <c r="Z460" i="2" a="1"/>
  <c r="Z460" i="2" s="1"/>
  <c r="AB404" i="2" a="1"/>
  <c r="AB404" i="2" s="1"/>
  <c r="AA404" i="2" a="1"/>
  <c r="AA404" i="2" s="1"/>
  <c r="W539" i="2" a="1"/>
  <c r="W539" i="2" s="1"/>
  <c r="AF402" i="2" a="1"/>
  <c r="AF402" i="2" s="1"/>
  <c r="AF401" i="2" a="1"/>
  <c r="AF401" i="2" s="1"/>
  <c r="AA460" i="2" a="1"/>
  <c r="AA460" i="2" s="1"/>
  <c r="Y460" i="2" a="1"/>
  <c r="Y460" i="2" s="1"/>
  <c r="X460" i="2" a="1"/>
  <c r="X460" i="2" s="1"/>
  <c r="AE404" i="2" a="1"/>
  <c r="AE404" i="2" s="1"/>
  <c r="W460" i="2" a="1"/>
  <c r="W460" i="2" s="1"/>
  <c r="AJ408" i="2" a="1"/>
  <c r="AJ408" i="2" s="1"/>
  <c r="AI408" i="2" a="1"/>
  <c r="AI408" i="2" s="1"/>
  <c r="AH408" i="2" a="1"/>
  <c r="AH408" i="2" s="1"/>
  <c r="AG408" i="2" a="1"/>
  <c r="AG408" i="2" s="1"/>
  <c r="Y401" i="2" a="1"/>
  <c r="Y401" i="2" s="1"/>
  <c r="Y402" i="2" a="1"/>
  <c r="Y402" i="2" s="1"/>
  <c r="W404" i="2" a="1"/>
  <c r="W404" i="2" s="1"/>
  <c r="Y399" i="2" a="1"/>
  <c r="Y399" i="2" s="1"/>
  <c r="AG398" i="2" a="1"/>
  <c r="AG398" i="2" s="1"/>
  <c r="AH397" i="2" a="1"/>
  <c r="AH397" i="2" s="1"/>
  <c r="AB397" i="2" a="1"/>
  <c r="AB397" i="2" s="1"/>
  <c r="AE398" i="2" a="1"/>
  <c r="AE398" i="2" s="1"/>
  <c r="AD398" i="2" a="1"/>
  <c r="AD398" i="2" s="1"/>
  <c r="Y397" i="2" a="1"/>
  <c r="Y397" i="2" s="1"/>
  <c r="AJ394" i="2" a="1"/>
  <c r="AJ394" i="2" s="1"/>
  <c r="AC398" i="2" a="1"/>
  <c r="AC398" i="2" s="1"/>
  <c r="AB398" i="2" a="1"/>
  <c r="AB398" i="2" s="1"/>
  <c r="Z398" i="2" a="1"/>
  <c r="Z398" i="2" s="1"/>
  <c r="X397" i="2" a="1"/>
  <c r="X397" i="2" s="1"/>
  <c r="AD397" i="2" a="1"/>
  <c r="AD397" i="2" s="1"/>
  <c r="AF397" i="2" a="1"/>
  <c r="AF397" i="2" s="1"/>
  <c r="Y398" i="2" a="1"/>
  <c r="Y398" i="2" s="1"/>
  <c r="AD394" i="2" a="1"/>
  <c r="AD394" i="2" s="1"/>
  <c r="X398" i="2" a="1"/>
  <c r="X398" i="2" s="1"/>
  <c r="Z397" i="2" a="1"/>
  <c r="Z397" i="2" s="1"/>
  <c r="AB394" i="2" a="1"/>
  <c r="AB394" i="2" s="1"/>
  <c r="AA397" i="2" a="1"/>
  <c r="AA397" i="2" s="1"/>
  <c r="AG397" i="2" a="1"/>
  <c r="AG397" i="2" s="1"/>
  <c r="AH399" i="2" a="1"/>
  <c r="AH399" i="2" s="1"/>
  <c r="AC399" i="2" a="1"/>
  <c r="AC399" i="2" s="1"/>
  <c r="W398" i="2" a="1"/>
  <c r="W398" i="2" s="1"/>
  <c r="AA398" i="2" a="1"/>
  <c r="AA398" i="2" s="1"/>
  <c r="AI394" i="2" a="1"/>
  <c r="AI394" i="2" s="1"/>
  <c r="AE397" i="2" a="1"/>
  <c r="AE397" i="2" s="1"/>
  <c r="Z399" i="2" a="1"/>
  <c r="Z399" i="2" s="1"/>
  <c r="Z538" i="2" a="1"/>
  <c r="Z538" i="2" s="1"/>
  <c r="AH400" i="2" a="1"/>
  <c r="AH400" i="2" s="1"/>
  <c r="W399" i="2" a="1"/>
  <c r="W399" i="2" s="1"/>
  <c r="AF398" i="2" a="1"/>
  <c r="AF398" i="2" s="1"/>
  <c r="AH394" i="2" a="1"/>
  <c r="AH394" i="2" s="1"/>
  <c r="AG400" i="2" a="1"/>
  <c r="AG400" i="2" s="1"/>
  <c r="AG399" i="2" a="1"/>
  <c r="AG399" i="2" s="1"/>
  <c r="X399" i="2" a="1"/>
  <c r="X399" i="2" s="1"/>
  <c r="AH398" i="2" a="1"/>
  <c r="AH398" i="2" s="1"/>
  <c r="AE394" i="2" a="1"/>
  <c r="AE394" i="2" s="1"/>
  <c r="AF400" i="2" a="1"/>
  <c r="AF400" i="2" s="1"/>
  <c r="AE400" i="2" a="1"/>
  <c r="AE400" i="2" s="1"/>
  <c r="AF399" i="2" a="1"/>
  <c r="AF399" i="2" s="1"/>
  <c r="AJ397" i="2" a="1"/>
  <c r="AJ397" i="2" s="1"/>
  <c r="AD400" i="2" a="1"/>
  <c r="AD400" i="2" s="1"/>
  <c r="X400" i="2" a="1"/>
  <c r="X400" i="2" s="1"/>
  <c r="AJ398" i="2" a="1"/>
  <c r="AJ398" i="2" s="1"/>
  <c r="AC397" i="2" a="1"/>
  <c r="AC397" i="2" s="1"/>
  <c r="W397" i="2" a="1"/>
  <c r="W397" i="2" s="1"/>
  <c r="AG394" i="2" a="1"/>
  <c r="AG394" i="2" s="1"/>
  <c r="AA399" i="2" a="1"/>
  <c r="AA399" i="2" s="1"/>
  <c r="AC400" i="2" a="1"/>
  <c r="AC400" i="2" s="1"/>
  <c r="AB400" i="2" a="1"/>
  <c r="AB400" i="2" s="1"/>
  <c r="AC394" i="2" a="1"/>
  <c r="AC394" i="2" s="1"/>
  <c r="AA400" i="2" a="1"/>
  <c r="AA400" i="2" s="1"/>
  <c r="Z400" i="2" a="1"/>
  <c r="Z400" i="2" s="1"/>
  <c r="AI398" i="2" a="1"/>
  <c r="AI398" i="2" s="1"/>
  <c r="AF394" i="2" a="1"/>
  <c r="AF394" i="2" s="1"/>
  <c r="AI397" i="2" a="1"/>
  <c r="AI397" i="2" s="1"/>
  <c r="Y400" i="2" a="1"/>
  <c r="Y400" i="2" s="1"/>
  <c r="W400" i="2" a="1"/>
  <c r="W400" i="2" s="1"/>
  <c r="AJ399" i="2" a="1"/>
  <c r="AJ399" i="2" s="1"/>
  <c r="AI399" i="2" a="1"/>
  <c r="AI399" i="2" s="1"/>
  <c r="AE399" i="2" a="1"/>
  <c r="AE399" i="2" s="1"/>
  <c r="AD399" i="2" a="1"/>
  <c r="AD399" i="2" s="1"/>
  <c r="AB399" i="2" a="1"/>
  <c r="AB399" i="2" s="1"/>
  <c r="AC389" i="2" a="1"/>
  <c r="AC389" i="2" s="1"/>
  <c r="Y394" i="2" a="1"/>
  <c r="Y394" i="2" s="1"/>
  <c r="AI393" i="2" a="1"/>
  <c r="AI393" i="2" s="1"/>
  <c r="X389" i="2" a="1"/>
  <c r="X389" i="2" s="1"/>
  <c r="AH393" i="2" a="1"/>
  <c r="AH393" i="2" s="1"/>
  <c r="AG393" i="2" a="1"/>
  <c r="AG393" i="2" s="1"/>
  <c r="Y391" i="2" a="1"/>
  <c r="Y391" i="2" s="1"/>
  <c r="X391" i="2" a="1"/>
  <c r="X391" i="2" s="1"/>
  <c r="AJ389" i="2" a="1"/>
  <c r="AJ389" i="2" s="1"/>
  <c r="AF393" i="2" a="1"/>
  <c r="AF393" i="2" s="1"/>
  <c r="AE393" i="2" a="1"/>
  <c r="AE393" i="2" s="1"/>
  <c r="AD393" i="2" a="1"/>
  <c r="AD393" i="2" s="1"/>
  <c r="AF389" i="2" a="1"/>
  <c r="AF389" i="2" s="1"/>
  <c r="W389" i="2" a="1"/>
  <c r="W389" i="2" s="1"/>
  <c r="Z391" i="2" a="1"/>
  <c r="Z391" i="2" s="1"/>
  <c r="AA391" i="2" a="1"/>
  <c r="AA391" i="2" s="1"/>
  <c r="AJ390" i="2" a="1"/>
  <c r="AJ390" i="2" s="1"/>
  <c r="Y390" i="2" a="1"/>
  <c r="Y390" i="2" s="1"/>
  <c r="AC393" i="2" a="1"/>
  <c r="AC393" i="2" s="1"/>
  <c r="AA389" i="2" a="1"/>
  <c r="AA389" i="2" s="1"/>
  <c r="AB539" i="2" a="1"/>
  <c r="AB539" i="2" s="1"/>
  <c r="Z394" i="2" a="1"/>
  <c r="Z394" i="2" s="1"/>
  <c r="X394" i="2" a="1"/>
  <c r="X394" i="2" s="1"/>
  <c r="AB393" i="2" a="1"/>
  <c r="AB393" i="2" s="1"/>
  <c r="AJ393" i="2" a="1"/>
  <c r="AJ393" i="2" s="1"/>
  <c r="AJ391" i="2" a="1"/>
  <c r="AJ391" i="2" s="1"/>
  <c r="AG390" i="2" a="1"/>
  <c r="AG390" i="2" s="1"/>
  <c r="W390" i="2" a="1"/>
  <c r="W390" i="2" s="1"/>
  <c r="W394" i="2" a="1"/>
  <c r="W394" i="2" s="1"/>
  <c r="AB391" i="2" a="1"/>
  <c r="AB391" i="2" s="1"/>
  <c r="AA393" i="2" a="1"/>
  <c r="AA393" i="2" s="1"/>
  <c r="AF391" i="2" a="1"/>
  <c r="AF391" i="2" s="1"/>
  <c r="Y393" i="2" a="1"/>
  <c r="Y393" i="2" s="1"/>
  <c r="X393" i="2" a="1"/>
  <c r="X393" i="2" s="1"/>
  <c r="AG389" i="2" a="1"/>
  <c r="AG389" i="2" s="1"/>
  <c r="X390" i="2" a="1"/>
  <c r="X390" i="2" s="1"/>
  <c r="AC391" i="2" a="1"/>
  <c r="AC391" i="2" s="1"/>
  <c r="AH391" i="2" a="1"/>
  <c r="AH391" i="2" s="1"/>
  <c r="AE389" i="2" a="1"/>
  <c r="AE389" i="2" s="1"/>
  <c r="AG391" i="2" a="1"/>
  <c r="AG391" i="2" s="1"/>
  <c r="AD390" i="2" a="1"/>
  <c r="AD390" i="2" s="1"/>
  <c r="Z389" i="2" a="1"/>
  <c r="Z389" i="2" s="1"/>
  <c r="AB390" i="2" a="1"/>
  <c r="AB390" i="2" s="1"/>
  <c r="Z390" i="2" a="1"/>
  <c r="Z390" i="2" s="1"/>
  <c r="AC390" i="2" a="1"/>
  <c r="AC390" i="2" s="1"/>
  <c r="AA390" i="2" a="1"/>
  <c r="AA390" i="2" s="1"/>
  <c r="Z393" i="2" a="1"/>
  <c r="Z393" i="2" s="1"/>
  <c r="AH389" i="2" a="1"/>
  <c r="AH389" i="2" s="1"/>
  <c r="AE390" i="2" a="1"/>
  <c r="AE390" i="2" s="1"/>
  <c r="W393" i="2" a="1"/>
  <c r="W393" i="2" s="1"/>
  <c r="AI391" i="2" a="1"/>
  <c r="AI391" i="2" s="1"/>
  <c r="AE391" i="2" a="1"/>
  <c r="AE391" i="2" s="1"/>
  <c r="AD391" i="2" a="1"/>
  <c r="AD391" i="2" s="1"/>
  <c r="W391" i="2" a="1"/>
  <c r="W391" i="2" s="1"/>
  <c r="AI388" i="2" a="1"/>
  <c r="AI388" i="2" s="1"/>
  <c r="AI390" i="2" a="1"/>
  <c r="AI390" i="2" s="1"/>
  <c r="Y389" i="2" a="1"/>
  <c r="Y389" i="2" s="1"/>
  <c r="AA394" i="2" a="1"/>
  <c r="AA394" i="2" s="1"/>
  <c r="AH390" i="2" a="1"/>
  <c r="AH390" i="2" s="1"/>
  <c r="AI389" i="2" a="1"/>
  <c r="AI389" i="2" s="1"/>
  <c r="AF390" i="2" a="1"/>
  <c r="AF390" i="2" s="1"/>
  <c r="AD389" i="2" a="1"/>
  <c r="AD389" i="2" s="1"/>
  <c r="AB389" i="2" a="1"/>
  <c r="AB389" i="2" s="1"/>
  <c r="AJ388" i="2" a="1"/>
  <c r="AJ388" i="2" s="1"/>
  <c r="Z385" i="2" a="1"/>
  <c r="Z385" i="2" s="1"/>
  <c r="AG384" i="2" a="1"/>
  <c r="AG384" i="2" s="1"/>
  <c r="AF387" i="2" a="1"/>
  <c r="AF387" i="2" s="1"/>
  <c r="AC385" i="2" a="1"/>
  <c r="AC385" i="2" s="1"/>
  <c r="AE387" i="2" a="1"/>
  <c r="AE387" i="2" s="1"/>
  <c r="AC387" i="2" a="1"/>
  <c r="AC387" i="2" s="1"/>
  <c r="Z387" i="2" a="1"/>
  <c r="Z387" i="2" s="1"/>
  <c r="Y387" i="2" a="1"/>
  <c r="Y387" i="2" s="1"/>
  <c r="W387" i="2" a="1"/>
  <c r="W387" i="2" s="1"/>
  <c r="AB385" i="2" a="1"/>
  <c r="AB385" i="2" s="1"/>
  <c r="AF386" i="2" a="1"/>
  <c r="AF386" i="2" s="1"/>
  <c r="X386" i="2" a="1"/>
  <c r="X386" i="2" s="1"/>
  <c r="AE385" i="2" a="1"/>
  <c r="AE385" i="2" s="1"/>
  <c r="AG385" i="2" a="1"/>
  <c r="AG385" i="2" s="1"/>
  <c r="AJ386" i="2" a="1"/>
  <c r="AJ386" i="2" s="1"/>
  <c r="AI386" i="2" a="1"/>
  <c r="AI386" i="2" s="1"/>
  <c r="AH386" i="2" a="1"/>
  <c r="AH386" i="2" s="1"/>
  <c r="AI385" i="2" a="1"/>
  <c r="AI385" i="2" s="1"/>
  <c r="AJ385" i="2" a="1"/>
  <c r="AJ385" i="2" s="1"/>
  <c r="AD386" i="2" a="1"/>
  <c r="AD386" i="2" s="1"/>
  <c r="AH385" i="2" a="1"/>
  <c r="AH385" i="2" s="1"/>
  <c r="AI384" i="2" a="1"/>
  <c r="AI384" i="2" s="1"/>
  <c r="AC386" i="2" a="1"/>
  <c r="AC386" i="2" s="1"/>
  <c r="AH384" i="2" a="1"/>
  <c r="AH384" i="2" s="1"/>
  <c r="W386" i="2" a="1"/>
  <c r="W386" i="2" s="1"/>
  <c r="AF385" i="2" a="1"/>
  <c r="AF385" i="2" s="1"/>
  <c r="AA385" i="2" a="1"/>
  <c r="AA385" i="2" s="1"/>
  <c r="X385" i="2" a="1"/>
  <c r="X385" i="2" s="1"/>
  <c r="AD384" i="2" a="1"/>
  <c r="AD384" i="2" s="1"/>
  <c r="AB387" i="2" a="1"/>
  <c r="AB387" i="2" s="1"/>
  <c r="Y538" i="2" a="1"/>
  <c r="Y538" i="2" s="1"/>
  <c r="AH388" i="2" a="1"/>
  <c r="AH388" i="2" s="1"/>
  <c r="AG388" i="2" a="1"/>
  <c r="AG388" i="2" s="1"/>
  <c r="AF388" i="2" a="1"/>
  <c r="AF388" i="2" s="1"/>
  <c r="AG387" i="2" a="1"/>
  <c r="AG387" i="2" s="1"/>
  <c r="AA387" i="2" a="1"/>
  <c r="AA387" i="2" s="1"/>
  <c r="AE388" i="2" a="1"/>
  <c r="AE388" i="2" s="1"/>
  <c r="W385" i="2" a="1"/>
  <c r="W385" i="2" s="1"/>
  <c r="AJ384" i="2" a="1"/>
  <c r="AJ384" i="2" s="1"/>
  <c r="AA388" i="2" a="1"/>
  <c r="AA388" i="2" s="1"/>
  <c r="AG386" i="2" a="1"/>
  <c r="AG386" i="2" s="1"/>
  <c r="AF384" i="2" a="1"/>
  <c r="AF384" i="2" s="1"/>
  <c r="AE384" i="2" a="1"/>
  <c r="AE384" i="2" s="1"/>
  <c r="Z386" i="2" a="1"/>
  <c r="Z386" i="2" s="1"/>
  <c r="AB386" i="2" a="1"/>
  <c r="AB386" i="2" s="1"/>
  <c r="Y386" i="2" a="1"/>
  <c r="Y386" i="2" s="1"/>
  <c r="AD385" i="2" a="1"/>
  <c r="AD385" i="2" s="1"/>
  <c r="AB384" i="2" a="1"/>
  <c r="AB384" i="2" s="1"/>
  <c r="AJ387" i="2" a="1"/>
  <c r="AJ387" i="2" s="1"/>
  <c r="AD387" i="2" a="1"/>
  <c r="AD387" i="2" s="1"/>
  <c r="Y385" i="2" a="1"/>
  <c r="Y385" i="2" s="1"/>
  <c r="AD388" i="2" a="1"/>
  <c r="AD388" i="2" s="1"/>
  <c r="AC388" i="2" a="1"/>
  <c r="AC388" i="2" s="1"/>
  <c r="AA386" i="2" a="1"/>
  <c r="AA386" i="2" s="1"/>
  <c r="AB388" i="2" a="1"/>
  <c r="AB388" i="2" s="1"/>
  <c r="Z388" i="2" a="1"/>
  <c r="Z388" i="2" s="1"/>
  <c r="AE386" i="2" a="1"/>
  <c r="AE386" i="2" s="1"/>
  <c r="AC384" i="2" a="1"/>
  <c r="AC384" i="2" s="1"/>
  <c r="Y388" i="2" a="1"/>
  <c r="Y388" i="2" s="1"/>
  <c r="X388" i="2" a="1"/>
  <c r="X388" i="2" s="1"/>
  <c r="W388" i="2" a="1"/>
  <c r="W388" i="2" s="1"/>
  <c r="AI387" i="2" a="1"/>
  <c r="AI387" i="2" s="1"/>
  <c r="AH387" i="2" a="1"/>
  <c r="AH387" i="2" s="1"/>
  <c r="X387" i="2" a="1"/>
  <c r="X387" i="2" s="1"/>
  <c r="AA382" i="2" a="1"/>
  <c r="AA382" i="2" s="1"/>
  <c r="AI381" i="2" a="1"/>
  <c r="AI381" i="2" s="1"/>
  <c r="AC381" i="2" a="1"/>
  <c r="AC381" i="2" s="1"/>
  <c r="Z381" i="2" a="1"/>
  <c r="Z381" i="2" s="1"/>
  <c r="AH380" i="2" a="1"/>
  <c r="AH380" i="2" s="1"/>
  <c r="AF380" i="2" a="1"/>
  <c r="AF380" i="2" s="1"/>
  <c r="Z380" i="2" a="1"/>
  <c r="Z380" i="2" s="1"/>
  <c r="AD380" i="2" a="1"/>
  <c r="AD380" i="2" s="1"/>
  <c r="X382" i="2" a="1"/>
  <c r="X382" i="2" s="1"/>
  <c r="AD383" i="2" a="1"/>
  <c r="AD383" i="2" s="1"/>
  <c r="AB381" i="2" a="1"/>
  <c r="AB381" i="2" s="1"/>
  <c r="AH382" i="2" a="1"/>
  <c r="AH382" i="2" s="1"/>
  <c r="AE380" i="2" a="1"/>
  <c r="AE380" i="2" s="1"/>
  <c r="Y384" i="2" a="1"/>
  <c r="Y384" i="2" s="1"/>
  <c r="X384" i="2" a="1"/>
  <c r="X384" i="2" s="1"/>
  <c r="AC382" i="2" a="1"/>
  <c r="AC382" i="2" s="1"/>
  <c r="AD381" i="2" a="1"/>
  <c r="AD381" i="2" s="1"/>
  <c r="AE383" i="2" a="1"/>
  <c r="AE383" i="2" s="1"/>
  <c r="AE381" i="2" a="1"/>
  <c r="AE381" i="2" s="1"/>
  <c r="W384" i="2" a="1"/>
  <c r="W384" i="2" s="1"/>
  <c r="Z382" i="2" a="1"/>
  <c r="Z382" i="2" s="1"/>
  <c r="AJ381" i="2" a="1"/>
  <c r="AJ381" i="2" s="1"/>
  <c r="AH381" i="2" a="1"/>
  <c r="AH381" i="2" s="1"/>
  <c r="Y380" i="2" a="1"/>
  <c r="Y380" i="2" s="1"/>
  <c r="AA383" i="2" a="1"/>
  <c r="AA383" i="2" s="1"/>
  <c r="X380" i="2" a="1"/>
  <c r="X380" i="2" s="1"/>
  <c r="W381" i="2" a="1"/>
  <c r="W381" i="2" s="1"/>
  <c r="AI383" i="2" a="1"/>
  <c r="AI383" i="2" s="1"/>
  <c r="W383" i="2" a="1"/>
  <c r="W383" i="2" s="1"/>
  <c r="AB382" i="2" a="1"/>
  <c r="AB382" i="2" s="1"/>
  <c r="AG381" i="2" a="1"/>
  <c r="AG381" i="2" s="1"/>
  <c r="AF381" i="2" a="1"/>
  <c r="AF381" i="2" s="1"/>
  <c r="AB380" i="2" a="1"/>
  <c r="AB380" i="2" s="1"/>
  <c r="AH383" i="2" a="1"/>
  <c r="AH383" i="2" s="1"/>
  <c r="X383" i="2" a="1"/>
  <c r="X383" i="2" s="1"/>
  <c r="Y382" i="2" a="1"/>
  <c r="Y382" i="2" s="1"/>
  <c r="AJ382" i="2" a="1"/>
  <c r="AJ382" i="2" s="1"/>
  <c r="AG382" i="2" a="1"/>
  <c r="AG382" i="2" s="1"/>
  <c r="AF382" i="2" a="1"/>
  <c r="AF382" i="2" s="1"/>
  <c r="AE382" i="2" a="1"/>
  <c r="AE382" i="2" s="1"/>
  <c r="AD382" i="2" a="1"/>
  <c r="AD382" i="2" s="1"/>
  <c r="W382" i="2" a="1"/>
  <c r="W382" i="2" s="1"/>
  <c r="AA381" i="2" a="1"/>
  <c r="AA381" i="2" s="1"/>
  <c r="AA380" i="2" a="1"/>
  <c r="AA380" i="2" s="1"/>
  <c r="AI380" i="2" a="1"/>
  <c r="AI380" i="2" s="1"/>
  <c r="AG380" i="2" a="1"/>
  <c r="AG380" i="2" s="1"/>
  <c r="AJ383" i="2" a="1"/>
  <c r="AJ383" i="2" s="1"/>
  <c r="AI382" i="2" a="1"/>
  <c r="AI382" i="2" s="1"/>
  <c r="AF383" i="2" a="1"/>
  <c r="AF383" i="2" s="1"/>
  <c r="AJ538" i="2" a="1"/>
  <c r="AJ538" i="2" s="1"/>
  <c r="AA384" i="2" a="1"/>
  <c r="AA384" i="2" s="1"/>
  <c r="AC383" i="2" a="1"/>
  <c r="AC383" i="2" s="1"/>
  <c r="Z383" i="2" a="1"/>
  <c r="Z383" i="2" s="1"/>
  <c r="Y381" i="2" a="1"/>
  <c r="Y381" i="2" s="1"/>
  <c r="Z384" i="2" a="1"/>
  <c r="Z384" i="2" s="1"/>
  <c r="AG383" i="2" a="1"/>
  <c r="AG383" i="2" s="1"/>
  <c r="AB383" i="2" a="1"/>
  <c r="AB383" i="2" s="1"/>
  <c r="X381" i="2" a="1"/>
  <c r="X381" i="2" s="1"/>
  <c r="AJ380" i="2" a="1"/>
  <c r="AJ380" i="2" s="1"/>
  <c r="Y383" i="2" a="1"/>
  <c r="Y383" i="2" s="1"/>
  <c r="AC380" i="2" a="1"/>
  <c r="AC380" i="2" s="1"/>
  <c r="AD379" i="2" a="1"/>
  <c r="AD379" i="2" s="1"/>
  <c r="AA379" i="2" a="1"/>
  <c r="AA379" i="2" s="1"/>
  <c r="Z379" i="2" a="1"/>
  <c r="Z379" i="2" s="1"/>
  <c r="AF378" i="2" a="1"/>
  <c r="AF378" i="2" s="1"/>
  <c r="AH368" i="2" a="1"/>
  <c r="AH368" i="2" s="1"/>
  <c r="AC378" i="2" a="1"/>
  <c r="AC378" i="2" s="1"/>
  <c r="Y378" i="2" a="1"/>
  <c r="Y378" i="2" s="1"/>
  <c r="Y377" i="2" a="1"/>
  <c r="Y377" i="2" s="1"/>
  <c r="AC377" i="2" a="1"/>
  <c r="AC377" i="2" s="1"/>
  <c r="AE368" i="2" a="1"/>
  <c r="AE368" i="2" s="1"/>
  <c r="AA377" i="2" a="1"/>
  <c r="AA377" i="2" s="1"/>
  <c r="AH367" i="2" a="1"/>
  <c r="AH367" i="2" s="1"/>
  <c r="AJ367" i="2" a="1"/>
  <c r="AJ367" i="2" s="1"/>
  <c r="X379" i="2" a="1"/>
  <c r="X379" i="2" s="1"/>
  <c r="Z378" i="2" a="1"/>
  <c r="Z378" i="2" s="1"/>
  <c r="Y368" i="2" a="1"/>
  <c r="Y368" i="2" s="1"/>
  <c r="AJ378" i="2" a="1"/>
  <c r="AJ378" i="2" s="1"/>
  <c r="AE378" i="2" a="1"/>
  <c r="AE378" i="2" s="1"/>
  <c r="AB368" i="2" a="1"/>
  <c r="AB368" i="2" s="1"/>
  <c r="AG377" i="2" a="1"/>
  <c r="AG377" i="2" s="1"/>
  <c r="AG368" i="2" a="1"/>
  <c r="AG368" i="2" s="1"/>
  <c r="X377" i="2" a="1"/>
  <c r="X377" i="2" s="1"/>
  <c r="Z368" i="2" a="1"/>
  <c r="Z368" i="2" s="1"/>
  <c r="W368" i="2" a="1"/>
  <c r="W368" i="2" s="1"/>
  <c r="W377" i="2" a="1"/>
  <c r="W377" i="2" s="1"/>
  <c r="AI367" i="2" a="1"/>
  <c r="AI367" i="2" s="1"/>
  <c r="AD368" i="2" a="1"/>
  <c r="AD368" i="2" s="1"/>
  <c r="AB377" i="2" a="1"/>
  <c r="AB377" i="2" s="1"/>
  <c r="AA378" i="2" a="1"/>
  <c r="AA378" i="2" s="1"/>
  <c r="Y379" i="2" a="1"/>
  <c r="Y379" i="2" s="1"/>
  <c r="AB378" i="2" a="1"/>
  <c r="AB378" i="2" s="1"/>
  <c r="AD378" i="2" a="1"/>
  <c r="AD378" i="2" s="1"/>
  <c r="X378" i="2" a="1"/>
  <c r="X378" i="2" s="1"/>
  <c r="AI368" i="2" a="1"/>
  <c r="AI368" i="2" s="1"/>
  <c r="W378" i="2" a="1"/>
  <c r="W378" i="2" s="1"/>
  <c r="AH377" i="2" a="1"/>
  <c r="AH377" i="2" s="1"/>
  <c r="AF368" i="2" a="1"/>
  <c r="AF368" i="2" s="1"/>
  <c r="AC368" i="2" a="1"/>
  <c r="AC368" i="2" s="1"/>
  <c r="X538" i="2" a="1"/>
  <c r="X538" i="2" s="1"/>
  <c r="W380" i="2" a="1"/>
  <c r="W380" i="2" s="1"/>
  <c r="AG379" i="2" a="1"/>
  <c r="AG379" i="2" s="1"/>
  <c r="AC379" i="2" a="1"/>
  <c r="AC379" i="2" s="1"/>
  <c r="W379" i="2" a="1"/>
  <c r="W379" i="2" s="1"/>
  <c r="AH378" i="2" a="1"/>
  <c r="AH378" i="2" s="1"/>
  <c r="Z377" i="2" a="1"/>
  <c r="Z377" i="2" s="1"/>
  <c r="AG367" i="2" a="1"/>
  <c r="AG367" i="2" s="1"/>
  <c r="AE377" i="2" a="1"/>
  <c r="AE377" i="2" s="1"/>
  <c r="X368" i="2" a="1"/>
  <c r="X368" i="2" s="1"/>
  <c r="AF379" i="2" a="1"/>
  <c r="AF379" i="2" s="1"/>
  <c r="AJ368" i="2" a="1"/>
  <c r="AJ368" i="2" s="1"/>
  <c r="AB379" i="2" a="1"/>
  <c r="AB379" i="2" s="1"/>
  <c r="AI378" i="2" a="1"/>
  <c r="AI378" i="2" s="1"/>
  <c r="AI377" i="2" a="1"/>
  <c r="AI377" i="2" s="1"/>
  <c r="AA368" i="2" a="1"/>
  <c r="AA368" i="2" s="1"/>
  <c r="AJ377" i="2" a="1"/>
  <c r="AJ377" i="2" s="1"/>
  <c r="AF377" i="2" a="1"/>
  <c r="AF377" i="2" s="1"/>
  <c r="AJ379" i="2" a="1"/>
  <c r="AJ379" i="2" s="1"/>
  <c r="AI379" i="2" a="1"/>
  <c r="AI379" i="2" s="1"/>
  <c r="AH379" i="2" a="1"/>
  <c r="AH379" i="2" s="1"/>
  <c r="AG378" i="2" a="1"/>
  <c r="AG378" i="2" s="1"/>
  <c r="AD377" i="2" a="1"/>
  <c r="AD377" i="2" s="1"/>
  <c r="AE379" i="2" a="1"/>
  <c r="AE379" i="2" s="1"/>
  <c r="AA364" i="2" a="1"/>
  <c r="AA364" i="2" s="1"/>
  <c r="AF365" i="2" a="1"/>
  <c r="AF365" i="2" s="1"/>
  <c r="AG364" i="2" a="1"/>
  <c r="AG364" i="2" s="1"/>
  <c r="AF364" i="2" a="1"/>
  <c r="AF364" i="2" s="1"/>
  <c r="Z365" i="2" a="1"/>
  <c r="Z365" i="2" s="1"/>
  <c r="AE364" i="2" a="1"/>
  <c r="AE364" i="2" s="1"/>
  <c r="AG363" i="2" a="1"/>
  <c r="AG363" i="2" s="1"/>
  <c r="AD363" i="2" a="1"/>
  <c r="AD363" i="2" s="1"/>
  <c r="AJ364" i="2" a="1"/>
  <c r="AJ364" i="2" s="1"/>
  <c r="W364" i="2" a="1"/>
  <c r="W364" i="2" s="1"/>
  <c r="Z364" i="2" a="1"/>
  <c r="Z364" i="2" s="1"/>
  <c r="AF363" i="2" a="1"/>
  <c r="AF363" i="2" s="1"/>
  <c r="AF539" i="2" a="1"/>
  <c r="AF539" i="2" s="1"/>
  <c r="AD364" i="2" a="1"/>
  <c r="AD364" i="2" s="1"/>
  <c r="AE367" i="2" a="1"/>
  <c r="AE367" i="2" s="1"/>
  <c r="AD367" i="2" a="1"/>
  <c r="AD367" i="2" s="1"/>
  <c r="AH365" i="2" a="1"/>
  <c r="AH365" i="2" s="1"/>
  <c r="AH363" i="2" a="1"/>
  <c r="AH363" i="2" s="1"/>
  <c r="AB366" i="2" a="1"/>
  <c r="AB366" i="2" s="1"/>
  <c r="AI365" i="2" a="1"/>
  <c r="AI365" i="2" s="1"/>
  <c r="AA367" i="2" a="1"/>
  <c r="AA367" i="2" s="1"/>
  <c r="AB365" i="2" a="1"/>
  <c r="AB365" i="2" s="1"/>
  <c r="AH364" i="2" a="1"/>
  <c r="AH364" i="2" s="1"/>
  <c r="AI366" i="2" a="1"/>
  <c r="AI366" i="2" s="1"/>
  <c r="AC363" i="2" a="1"/>
  <c r="AC363" i="2" s="1"/>
  <c r="AI363" i="2" a="1"/>
  <c r="AI363" i="2" s="1"/>
  <c r="X365" i="2" a="1"/>
  <c r="X365" i="2" s="1"/>
  <c r="Y367" i="2" a="1"/>
  <c r="Y367" i="2" s="1"/>
  <c r="X367" i="2" a="1"/>
  <c r="X367" i="2" s="1"/>
  <c r="AA365" i="2" a="1"/>
  <c r="AA365" i="2" s="1"/>
  <c r="AC365" i="2" a="1"/>
  <c r="AC365" i="2" s="1"/>
  <c r="W367" i="2" a="1"/>
  <c r="W367" i="2" s="1"/>
  <c r="AH366" i="2" a="1"/>
  <c r="AH366" i="2" s="1"/>
  <c r="AJ366" i="2" a="1"/>
  <c r="AJ366" i="2" s="1"/>
  <c r="AD366" i="2" a="1"/>
  <c r="AD366" i="2" s="1"/>
  <c r="AA366" i="2" a="1"/>
  <c r="AA366" i="2" s="1"/>
  <c r="AC364" i="2" a="1"/>
  <c r="AC364" i="2" s="1"/>
  <c r="W366" i="2" a="1"/>
  <c r="W366" i="2" s="1"/>
  <c r="Y364" i="2" a="1"/>
  <c r="Y364" i="2" s="1"/>
  <c r="AJ365" i="2" a="1"/>
  <c r="AJ365" i="2" s="1"/>
  <c r="AE365" i="2" a="1"/>
  <c r="AE365" i="2" s="1"/>
  <c r="X364" i="2" a="1"/>
  <c r="X364" i="2" s="1"/>
  <c r="AD365" i="2" a="1"/>
  <c r="AD365" i="2" s="1"/>
  <c r="AE363" i="2" a="1"/>
  <c r="AE363" i="2" s="1"/>
  <c r="AI364" i="2" a="1"/>
  <c r="AI364" i="2" s="1"/>
  <c r="AE366" i="2" a="1"/>
  <c r="AE366" i="2" s="1"/>
  <c r="X366" i="2" a="1"/>
  <c r="X366" i="2" s="1"/>
  <c r="AJ363" i="2" a="1"/>
  <c r="AJ363" i="2" s="1"/>
  <c r="AB367" i="2" a="1"/>
  <c r="AB367" i="2" s="1"/>
  <c r="AF367" i="2" a="1"/>
  <c r="AF367" i="2" s="1"/>
  <c r="AC367" i="2" a="1"/>
  <c r="AC367" i="2" s="1"/>
  <c r="Z367" i="2" a="1"/>
  <c r="Z367" i="2" s="1"/>
  <c r="W365" i="2" a="1"/>
  <c r="W365" i="2" s="1"/>
  <c r="AG366" i="2" a="1"/>
  <c r="AG366" i="2" s="1"/>
  <c r="AF366" i="2" a="1"/>
  <c r="AF366" i="2" s="1"/>
  <c r="AC366" i="2" a="1"/>
  <c r="AC366" i="2" s="1"/>
  <c r="Z366" i="2" a="1"/>
  <c r="Z366" i="2" s="1"/>
  <c r="Y366" i="2" a="1"/>
  <c r="Y366" i="2" s="1"/>
  <c r="AG365" i="2" a="1"/>
  <c r="AG365" i="2" s="1"/>
  <c r="AB364" i="2" a="1"/>
  <c r="AB364" i="2" s="1"/>
  <c r="Y365" i="2" a="1"/>
  <c r="Y365" i="2" s="1"/>
  <c r="AC361" i="2" a="1"/>
  <c r="AC361" i="2" s="1"/>
  <c r="AB361" i="2" a="1"/>
  <c r="AB361" i="2" s="1"/>
  <c r="Y361" i="2" a="1"/>
  <c r="Y361" i="2" s="1"/>
  <c r="AH360" i="2" a="1"/>
  <c r="AH360" i="2" s="1"/>
  <c r="AA360" i="2" a="1"/>
  <c r="AA360" i="2" s="1"/>
  <c r="AG360" i="2" a="1"/>
  <c r="AG360" i="2" s="1"/>
  <c r="AD359" i="2" a="1"/>
  <c r="AD359" i="2" s="1"/>
  <c r="X361" i="2" a="1"/>
  <c r="X361" i="2" s="1"/>
  <c r="AC359" i="2" a="1"/>
  <c r="AC359" i="2" s="1"/>
  <c r="X360" i="2" a="1"/>
  <c r="X360" i="2" s="1"/>
  <c r="AA361" i="2" a="1"/>
  <c r="AA361" i="2" s="1"/>
  <c r="Z361" i="2" a="1"/>
  <c r="Z361" i="2" s="1"/>
  <c r="AJ360" i="2" a="1"/>
  <c r="AJ360" i="2" s="1"/>
  <c r="AF360" i="2" a="1"/>
  <c r="AF360" i="2" s="1"/>
  <c r="AE359" i="2" a="1"/>
  <c r="AE359" i="2" s="1"/>
  <c r="AA359" i="2" a="1"/>
  <c r="AA359" i="2" s="1"/>
  <c r="AF359" i="2" a="1"/>
  <c r="AF359" i="2" s="1"/>
  <c r="AC360" i="2" a="1"/>
  <c r="AC360" i="2" s="1"/>
  <c r="AG361" i="2" a="1"/>
  <c r="AG361" i="2" s="1"/>
  <c r="AG359" i="2" a="1"/>
  <c r="AG359" i="2" s="1"/>
  <c r="AI361" i="2" a="1"/>
  <c r="AI361" i="2" s="1"/>
  <c r="Z360" i="2" a="1"/>
  <c r="Z360" i="2" s="1"/>
  <c r="X363" i="2" a="1"/>
  <c r="X363" i="2" s="1"/>
  <c r="W363" i="2" a="1"/>
  <c r="W363" i="2" s="1"/>
  <c r="AJ359" i="2" a="1"/>
  <c r="AJ359" i="2" s="1"/>
  <c r="Z359" i="2" a="1"/>
  <c r="Z359" i="2" s="1"/>
  <c r="AJ362" i="2" a="1"/>
  <c r="AJ362" i="2" s="1"/>
  <c r="AH362" i="2" a="1"/>
  <c r="AH362" i="2" s="1"/>
  <c r="AF362" i="2" a="1"/>
  <c r="AF362" i="2" s="1"/>
  <c r="AD362" i="2" a="1"/>
  <c r="AD362" i="2" s="1"/>
  <c r="Y362" i="2" a="1"/>
  <c r="Y362" i="2" s="1"/>
  <c r="AB360" i="2" a="1"/>
  <c r="AB360" i="2" s="1"/>
  <c r="AI359" i="2" a="1"/>
  <c r="AI359" i="2" s="1"/>
  <c r="AH359" i="2" a="1"/>
  <c r="AH359" i="2" s="1"/>
  <c r="W362" i="2" a="1"/>
  <c r="W362" i="2" s="1"/>
  <c r="AI360" i="2" a="1"/>
  <c r="AI360" i="2" s="1"/>
  <c r="Y360" i="2" a="1"/>
  <c r="Y360" i="2" s="1"/>
  <c r="AE360" i="2" a="1"/>
  <c r="AE360" i="2" s="1"/>
  <c r="W538" i="2" a="1"/>
  <c r="W538" i="2" s="1"/>
  <c r="AB363" i="2" a="1"/>
  <c r="AB363" i="2" s="1"/>
  <c r="Z363" i="2" a="1"/>
  <c r="Z363" i="2" s="1"/>
  <c r="AA363" i="2" a="1"/>
  <c r="AA363" i="2" s="1"/>
  <c r="AE362" i="2" a="1"/>
  <c r="AE362" i="2" s="1"/>
  <c r="Y363" i="2" a="1"/>
  <c r="Y363" i="2" s="1"/>
  <c r="Y359" i="2" a="1"/>
  <c r="Y359" i="2" s="1"/>
  <c r="AI362" i="2" a="1"/>
  <c r="AI362" i="2" s="1"/>
  <c r="AG362" i="2" a="1"/>
  <c r="AG362" i="2" s="1"/>
  <c r="AC362" i="2" a="1"/>
  <c r="AC362" i="2" s="1"/>
  <c r="AE361" i="2" a="1"/>
  <c r="AE361" i="2" s="1"/>
  <c r="AH361" i="2" a="1"/>
  <c r="AH361" i="2" s="1"/>
  <c r="AF361" i="2" a="1"/>
  <c r="AF361" i="2" s="1"/>
  <c r="W360" i="2" a="1"/>
  <c r="W360" i="2" s="1"/>
  <c r="W361" i="2" a="1"/>
  <c r="W361" i="2" s="1"/>
  <c r="AB359" i="2" a="1"/>
  <c r="AB359" i="2" s="1"/>
  <c r="AB362" i="2" a="1"/>
  <c r="AB362" i="2" s="1"/>
  <c r="AD361" i="2" a="1"/>
  <c r="AD361" i="2" s="1"/>
  <c r="AA362" i="2" a="1"/>
  <c r="AA362" i="2" s="1"/>
  <c r="Z362" i="2" a="1"/>
  <c r="Z362" i="2" s="1"/>
  <c r="X362" i="2" a="1"/>
  <c r="X362" i="2" s="1"/>
  <c r="AD360" i="2" a="1"/>
  <c r="AD360" i="2" s="1"/>
  <c r="AJ361" i="2" a="1"/>
  <c r="AJ361" i="2" s="1"/>
  <c r="AB338" i="2" a="1"/>
  <c r="AB338" i="2" s="1"/>
  <c r="AD341" i="2" a="1"/>
  <c r="AD341" i="2" s="1"/>
  <c r="AC339" i="2" a="1"/>
  <c r="AC339" i="2" s="1"/>
  <c r="AG338" i="2" a="1"/>
  <c r="AG338" i="2" s="1"/>
  <c r="AA341" i="2" a="1"/>
  <c r="AA341" i="2" s="1"/>
  <c r="X340" i="2" a="1"/>
  <c r="X340" i="2" s="1"/>
  <c r="AF338" i="2" a="1"/>
  <c r="AF338" i="2" s="1"/>
  <c r="AE340" i="2" a="1"/>
  <c r="AE340" i="2" s="1"/>
  <c r="AG339" i="2" a="1"/>
  <c r="AG339" i="2" s="1"/>
  <c r="AI338" i="2" a="1"/>
  <c r="AI338" i="2" s="1"/>
  <c r="AG337" i="2" a="1"/>
  <c r="AG337" i="2" s="1"/>
  <c r="AI340" i="2" a="1"/>
  <c r="AI340" i="2" s="1"/>
  <c r="AB339" i="2" a="1"/>
  <c r="AB339" i="2" s="1"/>
  <c r="AE338" i="2" a="1"/>
  <c r="AE338" i="2" s="1"/>
  <c r="AB340" i="2" a="1"/>
  <c r="AB340" i="2" s="1"/>
  <c r="Y340" i="2" a="1"/>
  <c r="Y340" i="2" s="1"/>
  <c r="AJ338" i="2" a="1"/>
  <c r="AJ338" i="2" s="1"/>
  <c r="AJ337" i="2" a="1"/>
  <c r="AJ337" i="2" s="1"/>
  <c r="AI538" i="2" a="1"/>
  <c r="AI538" i="2" s="1"/>
  <c r="Z338" i="2" a="1"/>
  <c r="Z338" i="2" s="1"/>
  <c r="AH338" i="2" a="1"/>
  <c r="AH338" i="2" s="1"/>
  <c r="AG340" i="2" a="1"/>
  <c r="AG340" i="2" s="1"/>
  <c r="X359" i="2" a="1"/>
  <c r="X359" i="2" s="1"/>
  <c r="W359" i="2" a="1"/>
  <c r="W359" i="2" s="1"/>
  <c r="AG341" i="2" a="1"/>
  <c r="AG341" i="2" s="1"/>
  <c r="AE341" i="2" a="1"/>
  <c r="AE341" i="2" s="1"/>
  <c r="AC341" i="2" a="1"/>
  <c r="AC341" i="2" s="1"/>
  <c r="AF340" i="2" a="1"/>
  <c r="AF340" i="2" s="1"/>
  <c r="AJ340" i="2" a="1"/>
  <c r="AJ340" i="2" s="1"/>
  <c r="W338" i="2" a="1"/>
  <c r="W338" i="2" s="1"/>
  <c r="AH340" i="2" a="1"/>
  <c r="AH340" i="2" s="1"/>
  <c r="AI339" i="2" a="1"/>
  <c r="AI339" i="2" s="1"/>
  <c r="Y339" i="2" a="1"/>
  <c r="Y339" i="2" s="1"/>
  <c r="X339" i="2" a="1"/>
  <c r="X339" i="2" s="1"/>
  <c r="Y338" i="2" a="1"/>
  <c r="Y338" i="2" s="1"/>
  <c r="AH337" i="2" a="1"/>
  <c r="AH337" i="2" s="1"/>
  <c r="AF337" i="2" a="1"/>
  <c r="AF337" i="2" s="1"/>
  <c r="AD338" i="2" a="1"/>
  <c r="AD338" i="2" s="1"/>
  <c r="AI337" i="2" a="1"/>
  <c r="AI337" i="2" s="1"/>
  <c r="AA340" i="2" a="1"/>
  <c r="AA340" i="2" s="1"/>
  <c r="X338" i="2" a="1"/>
  <c r="X338" i="2" s="1"/>
  <c r="AE339" i="2" a="1"/>
  <c r="AE339" i="2" s="1"/>
  <c r="AH339" i="2" a="1"/>
  <c r="AH339" i="2" s="1"/>
  <c r="AC340" i="2" a="1"/>
  <c r="AC340" i="2" s="1"/>
  <c r="AJ341" i="2" a="1"/>
  <c r="AJ341" i="2" s="1"/>
  <c r="AI341" i="2" a="1"/>
  <c r="AI341" i="2" s="1"/>
  <c r="AH341" i="2" a="1"/>
  <c r="AH341" i="2" s="1"/>
  <c r="Z341" i="2" a="1"/>
  <c r="Z341" i="2" s="1"/>
  <c r="AF341" i="2" a="1"/>
  <c r="AF341" i="2" s="1"/>
  <c r="AD340" i="2" a="1"/>
  <c r="AD340" i="2" s="1"/>
  <c r="X341" i="2" a="1"/>
  <c r="X341" i="2" s="1"/>
  <c r="Z340" i="2" a="1"/>
  <c r="Z340" i="2" s="1"/>
  <c r="W340" i="2" a="1"/>
  <c r="W340" i="2" s="1"/>
  <c r="AJ339" i="2" a="1"/>
  <c r="AJ339" i="2" s="1"/>
  <c r="Z339" i="2" a="1"/>
  <c r="Z339" i="2" s="1"/>
  <c r="AF339" i="2" a="1"/>
  <c r="AF339" i="2" s="1"/>
  <c r="AD339" i="2" a="1"/>
  <c r="AD339" i="2" s="1"/>
  <c r="W339" i="2" a="1"/>
  <c r="W339" i="2" s="1"/>
  <c r="AB341" i="2" a="1"/>
  <c r="AB341" i="2" s="1"/>
  <c r="AA338" i="2" a="1"/>
  <c r="AA338" i="2" s="1"/>
  <c r="Y341" i="2" a="1"/>
  <c r="Y341" i="2" s="1"/>
  <c r="W341" i="2" a="1"/>
  <c r="W341" i="2" s="1"/>
  <c r="AC338" i="2" a="1"/>
  <c r="AC338" i="2" s="1"/>
  <c r="AA339" i="2" a="1"/>
  <c r="AA339" i="2" s="1"/>
  <c r="AG336" i="2" a="1"/>
  <c r="AG336" i="2" s="1"/>
  <c r="AH333" i="2" a="1"/>
  <c r="AH333" i="2" s="1"/>
  <c r="AE336" i="2" a="1"/>
  <c r="AE336" i="2" s="1"/>
  <c r="AD336" i="2" a="1"/>
  <c r="AD336" i="2" s="1"/>
  <c r="AC336" i="2" a="1"/>
  <c r="AC336" i="2" s="1"/>
  <c r="AA336" i="2" a="1"/>
  <c r="AA336" i="2" s="1"/>
  <c r="Z336" i="2" a="1"/>
  <c r="Z336" i="2" s="1"/>
  <c r="AB335" i="2" a="1"/>
  <c r="AB335" i="2" s="1"/>
  <c r="W334" i="2" a="1"/>
  <c r="W334" i="2" s="1"/>
  <c r="X336" i="2" a="1"/>
  <c r="X336" i="2" s="1"/>
  <c r="AH334" i="2" a="1"/>
  <c r="AH334" i="2" s="1"/>
  <c r="Z334" i="2" a="1"/>
  <c r="Z334" i="2" s="1"/>
  <c r="Y336" i="2" a="1"/>
  <c r="Y336" i="2" s="1"/>
  <c r="AE335" i="2" a="1"/>
  <c r="AE335" i="2" s="1"/>
  <c r="AC335" i="2" a="1"/>
  <c r="AC335" i="2" s="1"/>
  <c r="Y334" i="2" a="1"/>
  <c r="Y334" i="2" s="1"/>
  <c r="Z335" i="2" a="1"/>
  <c r="Z335" i="2" s="1"/>
  <c r="AB333" i="2" a="1"/>
  <c r="AB333" i="2" s="1"/>
  <c r="AF334" i="2" a="1"/>
  <c r="AF334" i="2" s="1"/>
  <c r="AF333" i="2" a="1"/>
  <c r="AF333" i="2" s="1"/>
  <c r="AE334" i="2" a="1"/>
  <c r="AE334" i="2" s="1"/>
  <c r="AJ333" i="2" a="1"/>
  <c r="AJ333" i="2" s="1"/>
  <c r="Z333" i="2" a="1"/>
  <c r="Z333" i="2" s="1"/>
  <c r="AI333" i="2" a="1"/>
  <c r="AI333" i="2" s="1"/>
  <c r="AD334" i="2" a="1"/>
  <c r="AD334" i="2" s="1"/>
  <c r="AC334" i="2" a="1"/>
  <c r="AC334" i="2" s="1"/>
  <c r="Y333" i="2" a="1"/>
  <c r="Y333" i="2" s="1"/>
  <c r="W335" i="2" a="1"/>
  <c r="W335" i="2" s="1"/>
  <c r="AC333" i="2" a="1"/>
  <c r="AC333" i="2" s="1"/>
  <c r="AA333" i="2" a="1"/>
  <c r="AA333" i="2" s="1"/>
  <c r="AA337" i="2" a="1"/>
  <c r="AA337" i="2" s="1"/>
  <c r="AD335" i="2" a="1"/>
  <c r="AD335" i="2" s="1"/>
  <c r="AJ537" i="2" a="1"/>
  <c r="AJ537" i="2" s="1"/>
  <c r="Y335" i="2" a="1"/>
  <c r="Y335" i="2" s="1"/>
  <c r="AE333" i="2" a="1"/>
  <c r="AE333" i="2" s="1"/>
  <c r="AE337" i="2" a="1"/>
  <c r="AE337" i="2" s="1"/>
  <c r="AJ334" i="2" a="1"/>
  <c r="AJ334" i="2" s="1"/>
  <c r="AF335" i="2" a="1"/>
  <c r="AF335" i="2" s="1"/>
  <c r="X337" i="2" a="1"/>
  <c r="X337" i="2" s="1"/>
  <c r="X335" i="2" a="1"/>
  <c r="X335" i="2" s="1"/>
  <c r="AD333" i="2" a="1"/>
  <c r="AD333" i="2" s="1"/>
  <c r="AI334" i="2" a="1"/>
  <c r="AI334" i="2" s="1"/>
  <c r="AG333" i="2" a="1"/>
  <c r="AG333" i="2" s="1"/>
  <c r="W337" i="2" a="1"/>
  <c r="W337" i="2" s="1"/>
  <c r="AF336" i="2" a="1"/>
  <c r="AF336" i="2" s="1"/>
  <c r="AB336" i="2" a="1"/>
  <c r="AB336" i="2" s="1"/>
  <c r="W336" i="2" a="1"/>
  <c r="W336" i="2" s="1"/>
  <c r="AH335" i="2" a="1"/>
  <c r="AH335" i="2" s="1"/>
  <c r="AD337" i="2" a="1"/>
  <c r="AD337" i="2" s="1"/>
  <c r="Z337" i="2" a="1"/>
  <c r="Z337" i="2" s="1"/>
  <c r="AB334" i="2" a="1"/>
  <c r="AB334" i="2" s="1"/>
  <c r="AJ336" i="2" a="1"/>
  <c r="AJ336" i="2" s="1"/>
  <c r="AH336" i="2" a="1"/>
  <c r="AH336" i="2" s="1"/>
  <c r="AI335" i="2" a="1"/>
  <c r="AI335" i="2" s="1"/>
  <c r="X334" i="2" a="1"/>
  <c r="X334" i="2" s="1"/>
  <c r="AG335" i="2" a="1"/>
  <c r="AG335" i="2" s="1"/>
  <c r="AG334" i="2" a="1"/>
  <c r="AG334" i="2" s="1"/>
  <c r="AC337" i="2" a="1"/>
  <c r="AC337" i="2" s="1"/>
  <c r="AB337" i="2" a="1"/>
  <c r="AB337" i="2" s="1"/>
  <c r="AA335" i="2" a="1"/>
  <c r="AA335" i="2" s="1"/>
  <c r="AJ335" i="2" a="1"/>
  <c r="AJ335" i="2" s="1"/>
  <c r="Y337" i="2" a="1"/>
  <c r="Y337" i="2" s="1"/>
  <c r="AI336" i="2" a="1"/>
  <c r="AI336" i="2" s="1"/>
  <c r="AA334" i="2" a="1"/>
  <c r="AA334" i="2" s="1"/>
  <c r="AA331" i="2" a="1"/>
  <c r="AA331" i="2" s="1"/>
  <c r="Y331" i="2" a="1"/>
  <c r="Y331" i="2" s="1"/>
  <c r="W331" i="2" a="1"/>
  <c r="W331" i="2" s="1"/>
  <c r="AF329" i="2" a="1"/>
  <c r="AF329" i="2" s="1"/>
  <c r="AI328" i="2" a="1"/>
  <c r="AI328" i="2" s="1"/>
  <c r="AG330" i="2" a="1"/>
  <c r="AG330" i="2" s="1"/>
  <c r="AF330" i="2" a="1"/>
  <c r="AF330" i="2" s="1"/>
  <c r="Y330" i="2" a="1"/>
  <c r="Y330" i="2" s="1"/>
  <c r="AC329" i="2" a="1"/>
  <c r="AC329" i="2" s="1"/>
  <c r="AA330" i="2" a="1"/>
  <c r="AA330" i="2" s="1"/>
  <c r="AJ328" i="2" a="1"/>
  <c r="AJ328" i="2" s="1"/>
  <c r="W330" i="2" a="1"/>
  <c r="W330" i="2" s="1"/>
  <c r="AE330" i="2" a="1"/>
  <c r="AE330" i="2" s="1"/>
  <c r="AC330" i="2" a="1"/>
  <c r="AC330" i="2" s="1"/>
  <c r="AJ329" i="2" a="1"/>
  <c r="AJ329" i="2" s="1"/>
  <c r="X329" i="2" a="1"/>
  <c r="X329" i="2" s="1"/>
  <c r="AE329" i="2" a="1"/>
  <c r="AE329" i="2" s="1"/>
  <c r="Z329" i="2" a="1"/>
  <c r="Z329" i="2" s="1"/>
  <c r="AA329" i="2" a="1"/>
  <c r="AA329" i="2" s="1"/>
  <c r="AH329" i="2" a="1"/>
  <c r="AH329" i="2" s="1"/>
  <c r="AI329" i="2" a="1"/>
  <c r="AI329" i="2" s="1"/>
  <c r="Y329" i="2" a="1"/>
  <c r="Y329" i="2" s="1"/>
  <c r="AH328" i="2" a="1"/>
  <c r="AH328" i="2" s="1"/>
  <c r="Z332" i="2" a="1"/>
  <c r="Z332" i="2" s="1"/>
  <c r="AB331" i="2" a="1"/>
  <c r="AB331" i="2" s="1"/>
  <c r="Z331" i="2" a="1"/>
  <c r="Z331" i="2" s="1"/>
  <c r="AB330" i="2" a="1"/>
  <c r="AB330" i="2" s="1"/>
  <c r="X330" i="2" a="1"/>
  <c r="X330" i="2" s="1"/>
  <c r="AB329" i="2" a="1"/>
  <c r="AB329" i="2" s="1"/>
  <c r="AH330" i="2" a="1"/>
  <c r="AH330" i="2" s="1"/>
  <c r="AA539" i="2" a="1"/>
  <c r="AA539" i="2" s="1"/>
  <c r="X333" i="2" a="1"/>
  <c r="X333" i="2" s="1"/>
  <c r="W333" i="2" a="1"/>
  <c r="W333" i="2" s="1"/>
  <c r="AD331" i="2" a="1"/>
  <c r="AD331" i="2" s="1"/>
  <c r="AJ330" i="2" a="1"/>
  <c r="AJ330" i="2" s="1"/>
  <c r="AG328" i="2" a="1"/>
  <c r="AG328" i="2" s="1"/>
  <c r="AJ332" i="2" a="1"/>
  <c r="AJ332" i="2" s="1"/>
  <c r="AC331" i="2" a="1"/>
  <c r="AC331" i="2" s="1"/>
  <c r="AI330" i="2" a="1"/>
  <c r="AI330" i="2" s="1"/>
  <c r="AD330" i="2" a="1"/>
  <c r="AD330" i="2" s="1"/>
  <c r="AH331" i="2" a="1"/>
  <c r="AH331" i="2" s="1"/>
  <c r="AI332" i="2" a="1"/>
  <c r="AI332" i="2" s="1"/>
  <c r="AH332" i="2" a="1"/>
  <c r="AH332" i="2" s="1"/>
  <c r="Y332" i="2" a="1"/>
  <c r="Y332" i="2" s="1"/>
  <c r="AG329" i="2" a="1"/>
  <c r="AG329" i="2" s="1"/>
  <c r="AD329" i="2" a="1"/>
  <c r="AD329" i="2" s="1"/>
  <c r="AG332" i="2" a="1"/>
  <c r="AG332" i="2" s="1"/>
  <c r="AF332" i="2" a="1"/>
  <c r="AF332" i="2" s="1"/>
  <c r="AE332" i="2" a="1"/>
  <c r="AE332" i="2" s="1"/>
  <c r="AD332" i="2" a="1"/>
  <c r="AD332" i="2" s="1"/>
  <c r="AC332" i="2" a="1"/>
  <c r="AC332" i="2" s="1"/>
  <c r="AB332" i="2" a="1"/>
  <c r="AB332" i="2" s="1"/>
  <c r="X332" i="2" a="1"/>
  <c r="X332" i="2" s="1"/>
  <c r="W332" i="2" a="1"/>
  <c r="W332" i="2" s="1"/>
  <c r="W329" i="2" a="1"/>
  <c r="W329" i="2" s="1"/>
  <c r="AA332" i="2" a="1"/>
  <c r="AA332" i="2" s="1"/>
  <c r="AJ331" i="2" a="1"/>
  <c r="AJ331" i="2" s="1"/>
  <c r="AI331" i="2" a="1"/>
  <c r="AI331" i="2" s="1"/>
  <c r="X331" i="2" a="1"/>
  <c r="X331" i="2" s="1"/>
  <c r="AG331" i="2" a="1"/>
  <c r="AG331" i="2" s="1"/>
  <c r="AF331" i="2" a="1"/>
  <c r="AF331" i="2" s="1"/>
  <c r="Z330" i="2" a="1"/>
  <c r="Z330" i="2" s="1"/>
  <c r="AE331" i="2" a="1"/>
  <c r="AE331" i="2" s="1"/>
  <c r="AJ327" i="2" a="1"/>
  <c r="AJ327" i="2" s="1"/>
  <c r="AF327" i="2" a="1"/>
  <c r="AF327" i="2" s="1"/>
  <c r="AB327" i="2" a="1"/>
  <c r="AB327" i="2" s="1"/>
  <c r="AD326" i="2" a="1"/>
  <c r="AD326" i="2" s="1"/>
  <c r="AA326" i="2" a="1"/>
  <c r="AA326" i="2" s="1"/>
  <c r="Y326" i="2" a="1"/>
  <c r="Y326" i="2" s="1"/>
  <c r="AA325" i="2" a="1"/>
  <c r="AA325" i="2" s="1"/>
  <c r="AJ325" i="2" a="1"/>
  <c r="AJ325" i="2" s="1"/>
  <c r="Z325" i="2" a="1"/>
  <c r="Z325" i="2" s="1"/>
  <c r="AI324" i="2" a="1"/>
  <c r="AI324" i="2" s="1"/>
  <c r="AA324" i="2" a="1"/>
  <c r="AA324" i="2" s="1"/>
  <c r="AG325" i="2" a="1"/>
  <c r="AG325" i="2" s="1"/>
  <c r="AF325" i="2" a="1"/>
  <c r="AF325" i="2" s="1"/>
  <c r="AC324" i="2" a="1"/>
  <c r="AC324" i="2" s="1"/>
  <c r="AB325" i="2" a="1"/>
  <c r="AB325" i="2" s="1"/>
  <c r="AC325" i="2" a="1"/>
  <c r="AC325" i="2" s="1"/>
  <c r="W325" i="2" a="1"/>
  <c r="W325" i="2" s="1"/>
  <c r="W327" i="2" a="1"/>
  <c r="W327" i="2" s="1"/>
  <c r="AB326" i="2" a="1"/>
  <c r="AB326" i="2" s="1"/>
  <c r="X327" i="2" a="1"/>
  <c r="X327" i="2" s="1"/>
  <c r="AJ326" i="2" a="1"/>
  <c r="AJ326" i="2" s="1"/>
  <c r="AF326" i="2" a="1"/>
  <c r="AF326" i="2" s="1"/>
  <c r="AE326" i="2" a="1"/>
  <c r="AE326" i="2" s="1"/>
  <c r="AI325" i="2" a="1"/>
  <c r="AI325" i="2" s="1"/>
  <c r="AH325" i="2" a="1"/>
  <c r="AH325" i="2" s="1"/>
  <c r="AE325" i="2" a="1"/>
  <c r="AE325" i="2" s="1"/>
  <c r="X325" i="2" a="1"/>
  <c r="X325" i="2" s="1"/>
  <c r="AF324" i="2" a="1"/>
  <c r="AF324" i="2" s="1"/>
  <c r="AD325" i="2" a="1"/>
  <c r="AD325" i="2" s="1"/>
  <c r="Y325" i="2" a="1"/>
  <c r="Y325" i="2" s="1"/>
  <c r="AE324" i="2" a="1"/>
  <c r="AE324" i="2" s="1"/>
  <c r="AG326" i="2" a="1"/>
  <c r="AG326" i="2" s="1"/>
  <c r="AH327" i="2" a="1"/>
  <c r="AH327" i="2" s="1"/>
  <c r="Z327" i="2" a="1"/>
  <c r="Z327" i="2" s="1"/>
  <c r="AH324" i="2" a="1"/>
  <c r="AH324" i="2" s="1"/>
  <c r="AG327" i="2" a="1"/>
  <c r="AG327" i="2" s="1"/>
  <c r="W326" i="2" a="1"/>
  <c r="W326" i="2" s="1"/>
  <c r="AE327" i="2" a="1"/>
  <c r="AE327" i="2" s="1"/>
  <c r="AD327" i="2" a="1"/>
  <c r="AD327" i="2" s="1"/>
  <c r="Y327" i="2" a="1"/>
  <c r="Y327" i="2" s="1"/>
  <c r="AC327" i="2" a="1"/>
  <c r="AC327" i="2" s="1"/>
  <c r="X326" i="2" a="1"/>
  <c r="X326" i="2" s="1"/>
  <c r="AJ324" i="2" a="1"/>
  <c r="AJ324" i="2" s="1"/>
  <c r="AI326" i="2" a="1"/>
  <c r="AI326" i="2" s="1"/>
  <c r="AB324" i="2" a="1"/>
  <c r="AB324" i="2" s="1"/>
  <c r="AI537" i="2" a="1"/>
  <c r="AI537" i="2" s="1"/>
  <c r="AH326" i="2" a="1"/>
  <c r="AH326" i="2" s="1"/>
  <c r="AF328" i="2" a="1"/>
  <c r="AF328" i="2" s="1"/>
  <c r="AE328" i="2" a="1"/>
  <c r="AE328" i="2" s="1"/>
  <c r="AD324" i="2" a="1"/>
  <c r="AD324" i="2" s="1"/>
  <c r="AC326" i="2" a="1"/>
  <c r="AC326" i="2" s="1"/>
  <c r="AD328" i="2" a="1"/>
  <c r="AD328" i="2" s="1"/>
  <c r="Z326" i="2" a="1"/>
  <c r="Z326" i="2" s="1"/>
  <c r="AG324" i="2" a="1"/>
  <c r="AG324" i="2" s="1"/>
  <c r="AC328" i="2" a="1"/>
  <c r="AC328" i="2" s="1"/>
  <c r="AB328" i="2" a="1"/>
  <c r="AB328" i="2" s="1"/>
  <c r="AA328" i="2" a="1"/>
  <c r="AA328" i="2" s="1"/>
  <c r="Z328" i="2" a="1"/>
  <c r="Z328" i="2" s="1"/>
  <c r="Y328" i="2" a="1"/>
  <c r="Y328" i="2" s="1"/>
  <c r="X328" i="2" a="1"/>
  <c r="X328" i="2" s="1"/>
  <c r="W328" i="2" a="1"/>
  <c r="W328" i="2" s="1"/>
  <c r="AA327" i="2" a="1"/>
  <c r="AA327" i="2" s="1"/>
  <c r="AI327" i="2" a="1"/>
  <c r="AI327" i="2" s="1"/>
  <c r="AD323" i="2" a="1"/>
  <c r="AD323" i="2" s="1"/>
  <c r="AJ322" i="2" a="1"/>
  <c r="AJ322" i="2" s="1"/>
  <c r="AH322" i="2" a="1"/>
  <c r="AH322" i="2" s="1"/>
  <c r="AB322" i="2" a="1"/>
  <c r="AB322" i="2" s="1"/>
  <c r="AE322" i="2" a="1"/>
  <c r="AE322" i="2" s="1"/>
  <c r="X321" i="2" a="1"/>
  <c r="X321" i="2" s="1"/>
  <c r="AA322" i="2" a="1"/>
  <c r="AA322" i="2" s="1"/>
  <c r="AI320" i="2" a="1"/>
  <c r="AI320" i="2" s="1"/>
  <c r="AD320" i="2" a="1"/>
  <c r="AD320" i="2" s="1"/>
  <c r="AJ321" i="2" a="1"/>
  <c r="AJ321" i="2" s="1"/>
  <c r="AA320" i="2" a="1"/>
  <c r="AA320" i="2" s="1"/>
  <c r="AC323" i="2" a="1"/>
  <c r="AC323" i="2" s="1"/>
  <c r="AI322" i="2" a="1"/>
  <c r="AI322" i="2" s="1"/>
  <c r="Z322" i="2" a="1"/>
  <c r="Z322" i="2" s="1"/>
  <c r="AE321" i="2" a="1"/>
  <c r="AE321" i="2" s="1"/>
  <c r="AD321" i="2" a="1"/>
  <c r="AD321" i="2" s="1"/>
  <c r="AJ319" i="2" a="1"/>
  <c r="AJ319" i="2" s="1"/>
  <c r="AH319" i="2" a="1"/>
  <c r="AH319" i="2" s="1"/>
  <c r="W321" i="2" a="1"/>
  <c r="W321" i="2" s="1"/>
  <c r="AJ320" i="2" a="1"/>
  <c r="AJ320" i="2" s="1"/>
  <c r="AD322" i="2" a="1"/>
  <c r="AD322" i="2" s="1"/>
  <c r="X322" i="2" a="1"/>
  <c r="X322" i="2" s="1"/>
  <c r="Y320" i="2" a="1"/>
  <c r="Y320" i="2" s="1"/>
  <c r="AB323" i="2" a="1"/>
  <c r="AB323" i="2" s="1"/>
  <c r="X323" i="2" a="1"/>
  <c r="X323" i="2" s="1"/>
  <c r="W322" i="2" a="1"/>
  <c r="W322" i="2" s="1"/>
  <c r="AF320" i="2" a="1"/>
  <c r="AF320" i="2" s="1"/>
  <c r="Y321" i="2" a="1"/>
  <c r="Y321" i="2" s="1"/>
  <c r="X324" i="2" a="1"/>
  <c r="X324" i="2" s="1"/>
  <c r="AF323" i="2" a="1"/>
  <c r="AF323" i="2" s="1"/>
  <c r="AG323" i="2" a="1"/>
  <c r="AG323" i="2" s="1"/>
  <c r="AF321" i="2" a="1"/>
  <c r="AF321" i="2" s="1"/>
  <c r="AJ323" i="2" a="1"/>
  <c r="AJ323" i="2" s="1"/>
  <c r="AI323" i="2" a="1"/>
  <c r="AI323" i="2" s="1"/>
  <c r="AF322" i="2" a="1"/>
  <c r="AF322" i="2" s="1"/>
  <c r="AC322" i="2" a="1"/>
  <c r="AC322" i="2" s="1"/>
  <c r="AC320" i="2" a="1"/>
  <c r="AC320" i="2" s="1"/>
  <c r="AG322" i="2" a="1"/>
  <c r="AG322" i="2" s="1"/>
  <c r="Y322" i="2" a="1"/>
  <c r="Y322" i="2" s="1"/>
  <c r="AG321" i="2" a="1"/>
  <c r="AG321" i="2" s="1"/>
  <c r="AH320" i="2" a="1"/>
  <c r="AH320" i="2" s="1"/>
  <c r="AI319" i="2" a="1"/>
  <c r="AI319" i="2" s="1"/>
  <c r="AB320" i="2" a="1"/>
  <c r="AB320" i="2" s="1"/>
  <c r="W320" i="2" a="1"/>
  <c r="W320" i="2" s="1"/>
  <c r="Z324" i="2" a="1"/>
  <c r="Z324" i="2" s="1"/>
  <c r="X320" i="2" a="1"/>
  <c r="X320" i="2" s="1"/>
  <c r="AA323" i="2" a="1"/>
  <c r="AA323" i="2" s="1"/>
  <c r="AI321" i="2" a="1"/>
  <c r="AI321" i="2" s="1"/>
  <c r="W323" i="2" a="1"/>
  <c r="W323" i="2" s="1"/>
  <c r="Z323" i="2" a="1"/>
  <c r="Z323" i="2" s="1"/>
  <c r="Y323" i="2" a="1"/>
  <c r="Y323" i="2" s="1"/>
  <c r="AC321" i="2" a="1"/>
  <c r="AC321" i="2" s="1"/>
  <c r="AA321" i="2" a="1"/>
  <c r="AA321" i="2" s="1"/>
  <c r="AG320" i="2" a="1"/>
  <c r="AG320" i="2" s="1"/>
  <c r="Z321" i="2" a="1"/>
  <c r="Z321" i="2" s="1"/>
  <c r="AE320" i="2" a="1"/>
  <c r="AE320" i="2" s="1"/>
  <c r="Z320" i="2" a="1"/>
  <c r="Z320" i="2" s="1"/>
  <c r="AH538" i="2" a="1"/>
  <c r="AH538" i="2" s="1"/>
  <c r="Y324" i="2" a="1"/>
  <c r="Y324" i="2" s="1"/>
  <c r="W324" i="2" a="1"/>
  <c r="W324" i="2" s="1"/>
  <c r="AH321" i="2" a="1"/>
  <c r="AH321" i="2" s="1"/>
  <c r="AB321" i="2" a="1"/>
  <c r="AB321" i="2" s="1"/>
  <c r="AH323" i="2" a="1"/>
  <c r="AH323" i="2" s="1"/>
  <c r="AE323" i="2" a="1"/>
  <c r="AE323" i="2" s="1"/>
  <c r="AI316" i="2" a="1"/>
  <c r="AI316" i="2" s="1"/>
  <c r="AF319" i="2" a="1"/>
  <c r="AF319" i="2" s="1"/>
  <c r="X319" i="2" a="1"/>
  <c r="X319" i="2" s="1"/>
  <c r="Y318" i="2" a="1"/>
  <c r="Y318" i="2" s="1"/>
  <c r="AJ318" i="2" a="1"/>
  <c r="AJ318" i="2" s="1"/>
  <c r="AC317" i="2" a="1"/>
  <c r="AC317" i="2" s="1"/>
  <c r="AD317" i="2" a="1"/>
  <c r="AD317" i="2" s="1"/>
  <c r="AG315" i="2" a="1"/>
  <c r="AG315" i="2" s="1"/>
  <c r="AB315" i="2" a="1"/>
  <c r="AB315" i="2" s="1"/>
  <c r="AC319" i="2" a="1"/>
  <c r="AC319" i="2" s="1"/>
  <c r="AA316" i="2" a="1"/>
  <c r="AA316" i="2" s="1"/>
  <c r="AA319" i="2" a="1"/>
  <c r="AA319" i="2" s="1"/>
  <c r="W319" i="2" a="1"/>
  <c r="W319" i="2" s="1"/>
  <c r="X317" i="2" a="1"/>
  <c r="X317" i="2" s="1"/>
  <c r="AF318" i="2" a="1"/>
  <c r="AF318" i="2" s="1"/>
  <c r="AI317" i="2" a="1"/>
  <c r="AI317" i="2" s="1"/>
  <c r="Y316" i="2" a="1"/>
  <c r="Y316" i="2" s="1"/>
  <c r="AJ315" i="2" a="1"/>
  <c r="AJ315" i="2" s="1"/>
  <c r="X318" i="2" a="1"/>
  <c r="X318" i="2" s="1"/>
  <c r="AG316" i="2" a="1"/>
  <c r="AG316" i="2" s="1"/>
  <c r="AI318" i="2" a="1"/>
  <c r="AI318" i="2" s="1"/>
  <c r="AB318" i="2" a="1"/>
  <c r="AB318" i="2" s="1"/>
  <c r="AH317" i="2" a="1"/>
  <c r="AH317" i="2" s="1"/>
  <c r="Z316" i="2" a="1"/>
  <c r="Z316" i="2" s="1"/>
  <c r="Y317" i="2" a="1"/>
  <c r="Y317" i="2" s="1"/>
  <c r="AH315" i="2" a="1"/>
  <c r="AH315" i="2" s="1"/>
  <c r="AD315" i="2" a="1"/>
  <c r="AD315" i="2" s="1"/>
  <c r="W316" i="2" a="1"/>
  <c r="W316" i="2" s="1"/>
  <c r="AE319" i="2" a="1"/>
  <c r="AE319" i="2" s="1"/>
  <c r="AE318" i="2" a="1"/>
  <c r="AE318" i="2" s="1"/>
  <c r="AF316" i="2" a="1"/>
  <c r="AF316" i="2" s="1"/>
  <c r="AG317" i="2" a="1"/>
  <c r="AG317" i="2" s="1"/>
  <c r="AB319" i="2" a="1"/>
  <c r="AB319" i="2" s="1"/>
  <c r="Z319" i="2" a="1"/>
  <c r="Z319" i="2" s="1"/>
  <c r="AI315" i="2" a="1"/>
  <c r="AI315" i="2" s="1"/>
  <c r="AC316" i="2" a="1"/>
  <c r="AC316" i="2" s="1"/>
  <c r="AD318" i="2" a="1"/>
  <c r="AD318" i="2" s="1"/>
  <c r="W317" i="2" a="1"/>
  <c r="W317" i="2" s="1"/>
  <c r="AC318" i="2" a="1"/>
  <c r="AC318" i="2" s="1"/>
  <c r="AA318" i="2" a="1"/>
  <c r="AA318" i="2" s="1"/>
  <c r="AA317" i="2" a="1"/>
  <c r="AA317" i="2" s="1"/>
  <c r="AB316" i="2" a="1"/>
  <c r="AB316" i="2" s="1"/>
  <c r="AF315" i="2" a="1"/>
  <c r="AF315" i="2" s="1"/>
  <c r="Z318" i="2" a="1"/>
  <c r="Z318" i="2" s="1"/>
  <c r="W318" i="2" a="1"/>
  <c r="W318" i="2" s="1"/>
  <c r="Z317" i="2" a="1"/>
  <c r="Z317" i="2" s="1"/>
  <c r="AF317" i="2" a="1"/>
  <c r="AF317" i="2" s="1"/>
  <c r="X316" i="2" a="1"/>
  <c r="X316" i="2" s="1"/>
  <c r="AH537" i="2" a="1"/>
  <c r="AH537" i="2" s="1"/>
  <c r="AB317" i="2" a="1"/>
  <c r="AB317" i="2" s="1"/>
  <c r="AJ317" i="2" a="1"/>
  <c r="AJ317" i="2" s="1"/>
  <c r="AD316" i="2" a="1"/>
  <c r="AD316" i="2" s="1"/>
  <c r="AE315" i="2" a="1"/>
  <c r="AE315" i="2" s="1"/>
  <c r="AE317" i="2" a="1"/>
  <c r="AE317" i="2" s="1"/>
  <c r="AC315" i="2" a="1"/>
  <c r="AC315" i="2" s="1"/>
  <c r="AE316" i="2" a="1"/>
  <c r="AE316" i="2" s="1"/>
  <c r="AD319" i="2" a="1"/>
  <c r="AD319" i="2" s="1"/>
  <c r="AG319" i="2" a="1"/>
  <c r="AG319" i="2" s="1"/>
  <c r="Y319" i="2" a="1"/>
  <c r="Y319" i="2" s="1"/>
  <c r="AH318" i="2" a="1"/>
  <c r="AH318" i="2" s="1"/>
  <c r="AG318" i="2" a="1"/>
  <c r="AG318" i="2" s="1"/>
  <c r="AJ316" i="2" a="1"/>
  <c r="AJ316" i="2" s="1"/>
  <c r="AH316" i="2" a="1"/>
  <c r="AH316" i="2" s="1"/>
  <c r="Z314" i="2" a="1"/>
  <c r="Z314" i="2" s="1"/>
  <c r="AI313" i="2" a="1"/>
  <c r="AI313" i="2" s="1"/>
  <c r="AH313" i="2" a="1"/>
  <c r="AH313" i="2" s="1"/>
  <c r="AB313" i="2" a="1"/>
  <c r="AB313" i="2" s="1"/>
  <c r="AA313" i="2" a="1"/>
  <c r="AA313" i="2" s="1"/>
  <c r="AC312" i="2" a="1"/>
  <c r="AC312" i="2" s="1"/>
  <c r="Y313" i="2" a="1"/>
  <c r="Y313" i="2" s="1"/>
  <c r="X313" i="2" a="1"/>
  <c r="X313" i="2" s="1"/>
  <c r="W313" i="2" a="1"/>
  <c r="W313" i="2" s="1"/>
  <c r="Z312" i="2" a="1"/>
  <c r="Z312" i="2" s="1"/>
  <c r="Z311" i="2" a="1"/>
  <c r="Z311" i="2" s="1"/>
  <c r="AB312" i="2" a="1"/>
  <c r="AB312" i="2" s="1"/>
  <c r="AJ311" i="2" a="1"/>
  <c r="AJ311" i="2" s="1"/>
  <c r="AG311" i="2" a="1"/>
  <c r="AG311" i="2" s="1"/>
  <c r="Y311" i="2" a="1"/>
  <c r="Y311" i="2" s="1"/>
  <c r="W311" i="2" a="1"/>
  <c r="W311" i="2" s="1"/>
  <c r="AJ310" i="2" a="1"/>
  <c r="AJ310" i="2" s="1"/>
  <c r="AH311" i="2" a="1"/>
  <c r="AH311" i="2" s="1"/>
  <c r="X314" i="2" a="1"/>
  <c r="X314" i="2" s="1"/>
  <c r="AI312" i="2" a="1"/>
  <c r="AI312" i="2" s="1"/>
  <c r="AF311" i="2" a="1"/>
  <c r="AF311" i="2" s="1"/>
  <c r="AG313" i="2" a="1"/>
  <c r="AG313" i="2" s="1"/>
  <c r="AG314" i="2" a="1"/>
  <c r="AG314" i="2" s="1"/>
  <c r="AF313" i="2" a="1"/>
  <c r="AF313" i="2" s="1"/>
  <c r="AA314" i="2" a="1"/>
  <c r="AA314" i="2" s="1"/>
  <c r="AH312" i="2" a="1"/>
  <c r="AH312" i="2" s="1"/>
  <c r="AD312" i="2" a="1"/>
  <c r="AD312" i="2" s="1"/>
  <c r="AI311" i="2" a="1"/>
  <c r="AI311" i="2" s="1"/>
  <c r="X315" i="2" a="1"/>
  <c r="X315" i="2" s="1"/>
  <c r="AE314" i="2" a="1"/>
  <c r="AE314" i="2" s="1"/>
  <c r="AE311" i="2" a="1"/>
  <c r="AE311" i="2" s="1"/>
  <c r="AC314" i="2" a="1"/>
  <c r="AC314" i="2" s="1"/>
  <c r="AE313" i="2" a="1"/>
  <c r="AE313" i="2" s="1"/>
  <c r="AD313" i="2" a="1"/>
  <c r="AD313" i="2" s="1"/>
  <c r="W314" i="2" a="1"/>
  <c r="W314" i="2" s="1"/>
  <c r="AB311" i="2" a="1"/>
  <c r="AB311" i="2" s="1"/>
  <c r="AJ313" i="2" a="1"/>
  <c r="AJ313" i="2" s="1"/>
  <c r="AC313" i="2" a="1"/>
  <c r="AC313" i="2" s="1"/>
  <c r="AJ312" i="2" a="1"/>
  <c r="AJ312" i="2" s="1"/>
  <c r="Y312" i="2" a="1"/>
  <c r="Y312" i="2" s="1"/>
  <c r="X311" i="2" a="1"/>
  <c r="X311" i="2" s="1"/>
  <c r="AA311" i="2" a="1"/>
  <c r="AA311" i="2" s="1"/>
  <c r="W312" i="2" a="1"/>
  <c r="W312" i="2" s="1"/>
  <c r="AA312" i="2" a="1"/>
  <c r="AA312" i="2" s="1"/>
  <c r="X312" i="2" a="1"/>
  <c r="X312" i="2" s="1"/>
  <c r="AG312" i="2" a="1"/>
  <c r="AG312" i="2" s="1"/>
  <c r="W315" i="2" a="1"/>
  <c r="W315" i="2" s="1"/>
  <c r="AH314" i="2" a="1"/>
  <c r="AH314" i="2" s="1"/>
  <c r="AD539" i="2" a="1"/>
  <c r="AD539" i="2" s="1"/>
  <c r="Y314" i="2" a="1"/>
  <c r="Y314" i="2" s="1"/>
  <c r="AA315" i="2" a="1"/>
  <c r="AA315" i="2" s="1"/>
  <c r="AF312" i="2" a="1"/>
  <c r="AF312" i="2" s="1"/>
  <c r="AC311" i="2" a="1"/>
  <c r="AC311" i="2" s="1"/>
  <c r="AE312" i="2" a="1"/>
  <c r="AE312" i="2" s="1"/>
  <c r="Z315" i="2" a="1"/>
  <c r="Z315" i="2" s="1"/>
  <c r="AD311" i="2" a="1"/>
  <c r="AD311" i="2" s="1"/>
  <c r="Z313" i="2" a="1"/>
  <c r="Z313" i="2" s="1"/>
  <c r="Y315" i="2" a="1"/>
  <c r="Y315" i="2" s="1"/>
  <c r="AJ314" i="2" a="1"/>
  <c r="AJ314" i="2" s="1"/>
  <c r="AI314" i="2" a="1"/>
  <c r="AI314" i="2" s="1"/>
  <c r="AF314" i="2" a="1"/>
  <c r="AF314" i="2" s="1"/>
  <c r="AD314" i="2" a="1"/>
  <c r="AD314" i="2" s="1"/>
  <c r="AB314" i="2" a="1"/>
  <c r="AB314" i="2" s="1"/>
  <c r="Z307" i="2" a="1"/>
  <c r="Z307" i="2" s="1"/>
  <c r="Y310" i="2" a="1"/>
  <c r="Y310" i="2" s="1"/>
  <c r="AG309" i="2" a="1"/>
  <c r="AG309" i="2" s="1"/>
  <c r="AG308" i="2" a="1"/>
  <c r="AG308" i="2" s="1"/>
  <c r="AD307" i="2" a="1"/>
  <c r="AD307" i="2" s="1"/>
  <c r="Y308" i="2" a="1"/>
  <c r="Y308" i="2" s="1"/>
  <c r="AE306" i="2" a="1"/>
  <c r="AE306" i="2" s="1"/>
  <c r="AH307" i="2" a="1"/>
  <c r="AH307" i="2" s="1"/>
  <c r="AD306" i="2" a="1"/>
  <c r="AD306" i="2" s="1"/>
  <c r="Z308" i="2" a="1"/>
  <c r="Z308" i="2" s="1"/>
  <c r="AE307" i="2" a="1"/>
  <c r="AE307" i="2" s="1"/>
  <c r="Z310" i="2" a="1"/>
  <c r="Z310" i="2" s="1"/>
  <c r="AJ309" i="2" a="1"/>
  <c r="AJ309" i="2" s="1"/>
  <c r="AI308" i="2" a="1"/>
  <c r="AI308" i="2" s="1"/>
  <c r="AF306" i="2" a="1"/>
  <c r="AF306" i="2" s="1"/>
  <c r="AA308" i="2" a="1"/>
  <c r="AA308" i="2" s="1"/>
  <c r="AG306" i="2" a="1"/>
  <c r="AG306" i="2" s="1"/>
  <c r="AH309" i="2" a="1"/>
  <c r="AH309" i="2" s="1"/>
  <c r="AC306" i="2" a="1"/>
  <c r="AC306" i="2" s="1"/>
  <c r="X307" i="2" a="1"/>
  <c r="X307" i="2" s="1"/>
  <c r="AF309" i="2" a="1"/>
  <c r="AF309" i="2" s="1"/>
  <c r="AE309" i="2" a="1"/>
  <c r="AE309" i="2" s="1"/>
  <c r="AC307" i="2" a="1"/>
  <c r="AC307" i="2" s="1"/>
  <c r="AB309" i="2" a="1"/>
  <c r="AB309" i="2" s="1"/>
  <c r="AE308" i="2" a="1"/>
  <c r="AE308" i="2" s="1"/>
  <c r="AD309" i="2" a="1"/>
  <c r="AD309" i="2" s="1"/>
  <c r="AJ307" i="2" a="1"/>
  <c r="AJ307" i="2" s="1"/>
  <c r="AA309" i="2" a="1"/>
  <c r="AA309" i="2" s="1"/>
  <c r="W309" i="2" a="1"/>
  <c r="W309" i="2" s="1"/>
  <c r="AH306" i="2" a="1"/>
  <c r="AH306" i="2" s="1"/>
  <c r="W307" i="2" a="1"/>
  <c r="W307" i="2" s="1"/>
  <c r="AI306" i="2" a="1"/>
  <c r="AI306" i="2" s="1"/>
  <c r="AC309" i="2" a="1"/>
  <c r="AC309" i="2" s="1"/>
  <c r="AD308" i="2" a="1"/>
  <c r="AD308" i="2" s="1"/>
  <c r="AC308" i="2" a="1"/>
  <c r="AC308" i="2" s="1"/>
  <c r="X310" i="2" a="1"/>
  <c r="X310" i="2" s="1"/>
  <c r="AB307" i="2" a="1"/>
  <c r="AB307" i="2" s="1"/>
  <c r="AG307" i="2" a="1"/>
  <c r="AG307" i="2" s="1"/>
  <c r="W310" i="2" a="1"/>
  <c r="W310" i="2" s="1"/>
  <c r="Y309" i="2" a="1"/>
  <c r="Y309" i="2" s="1"/>
  <c r="AF308" i="2" a="1"/>
  <c r="AF308" i="2" s="1"/>
  <c r="AF307" i="2" a="1"/>
  <c r="AF307" i="2" s="1"/>
  <c r="AB308" i="2" a="1"/>
  <c r="AB308" i="2" s="1"/>
  <c r="X308" i="2" a="1"/>
  <c r="X308" i="2" s="1"/>
  <c r="AH308" i="2" a="1"/>
  <c r="AH308" i="2" s="1"/>
  <c r="AJ306" i="2" a="1"/>
  <c r="AJ306" i="2" s="1"/>
  <c r="AG537" i="2" a="1"/>
  <c r="AG537" i="2" s="1"/>
  <c r="X309" i="2" a="1"/>
  <c r="X309" i="2" s="1"/>
  <c r="Z309" i="2" a="1"/>
  <c r="Z309" i="2" s="1"/>
  <c r="AI310" i="2" a="1"/>
  <c r="AI310" i="2" s="1"/>
  <c r="AJ308" i="2" a="1"/>
  <c r="AJ308" i="2" s="1"/>
  <c r="AH310" i="2" a="1"/>
  <c r="AH310" i="2" s="1"/>
  <c r="AG310" i="2" a="1"/>
  <c r="AG310" i="2" s="1"/>
  <c r="W308" i="2" a="1"/>
  <c r="W308" i="2" s="1"/>
  <c r="AF310" i="2" a="1"/>
  <c r="AF310" i="2" s="1"/>
  <c r="AI307" i="2" a="1"/>
  <c r="AI307" i="2" s="1"/>
  <c r="AD310" i="2" a="1"/>
  <c r="AD310" i="2" s="1"/>
  <c r="AE310" i="2" a="1"/>
  <c r="AE310" i="2" s="1"/>
  <c r="AC310" i="2" a="1"/>
  <c r="AC310" i="2" s="1"/>
  <c r="AB310" i="2" a="1"/>
  <c r="AB310" i="2" s="1"/>
  <c r="AA310" i="2" a="1"/>
  <c r="AA310" i="2" s="1"/>
  <c r="AI309" i="2" a="1"/>
  <c r="AI309" i="2" s="1"/>
  <c r="AA307" i="2" a="1"/>
  <c r="AA307" i="2" s="1"/>
  <c r="Y307" i="2" a="1"/>
  <c r="Y307" i="2" s="1"/>
  <c r="AC302" i="2" a="1"/>
  <c r="AC302" i="2" s="1"/>
  <c r="AG304" i="2" a="1"/>
  <c r="AG304" i="2" s="1"/>
  <c r="AF304" i="2" a="1"/>
  <c r="AF304" i="2" s="1"/>
  <c r="X304" i="2" a="1"/>
  <c r="X304" i="2" s="1"/>
  <c r="AA304" i="2" a="1"/>
  <c r="AA304" i="2" s="1"/>
  <c r="W304" i="2" a="1"/>
  <c r="W304" i="2" s="1"/>
  <c r="AH303" i="2" a="1"/>
  <c r="AH303" i="2" s="1"/>
  <c r="Y303" i="2" a="1"/>
  <c r="Y303" i="2" s="1"/>
  <c r="AI302" i="2" a="1"/>
  <c r="AI302" i="2" s="1"/>
  <c r="AH302" i="2" a="1"/>
  <c r="AH302" i="2" s="1"/>
  <c r="AE305" i="2" a="1"/>
  <c r="AE305" i="2" s="1"/>
  <c r="AA306" i="2" a="1"/>
  <c r="AA306" i="2" s="1"/>
  <c r="AE304" i="2" a="1"/>
  <c r="AE304" i="2" s="1"/>
  <c r="AF302" i="2" a="1"/>
  <c r="AF302" i="2" s="1"/>
  <c r="Z306" i="2" a="1"/>
  <c r="Z306" i="2" s="1"/>
  <c r="Y302" i="2" a="1"/>
  <c r="Y302" i="2" s="1"/>
  <c r="AI305" i="2" a="1"/>
  <c r="AI305" i="2" s="1"/>
  <c r="X303" i="2" a="1"/>
  <c r="X303" i="2" s="1"/>
  <c r="AG302" i="2" a="1"/>
  <c r="AG302" i="2" s="1"/>
  <c r="AA302" i="2" a="1"/>
  <c r="AA302" i="2" s="1"/>
  <c r="AI304" i="2" a="1"/>
  <c r="AI304" i="2" s="1"/>
  <c r="Z302" i="2" a="1"/>
  <c r="Z302" i="2" s="1"/>
  <c r="Z304" i="2" a="1"/>
  <c r="Z304" i="2" s="1"/>
  <c r="AJ305" i="2" a="1"/>
  <c r="AJ305" i="2" s="1"/>
  <c r="W305" i="2" a="1"/>
  <c r="W305" i="2" s="1"/>
  <c r="AI303" i="2" a="1"/>
  <c r="AI303" i="2" s="1"/>
  <c r="AE303" i="2" a="1"/>
  <c r="AE303" i="2" s="1"/>
  <c r="AG538" i="2" a="1"/>
  <c r="AG538" i="2" s="1"/>
  <c r="AC303" i="2" a="1"/>
  <c r="AC303" i="2" s="1"/>
  <c r="AB306" i="2" a="1"/>
  <c r="AB306" i="2" s="1"/>
  <c r="Y306" i="2" a="1"/>
  <c r="Y306" i="2" s="1"/>
  <c r="AG305" i="2" a="1"/>
  <c r="AG305" i="2" s="1"/>
  <c r="AB304" i="2" a="1"/>
  <c r="AB304" i="2" s="1"/>
  <c r="AD305" i="2" a="1"/>
  <c r="AD305" i="2" s="1"/>
  <c r="AB305" i="2" a="1"/>
  <c r="AB305" i="2" s="1"/>
  <c r="X305" i="2" a="1"/>
  <c r="X305" i="2" s="1"/>
  <c r="Y304" i="2" a="1"/>
  <c r="Y304" i="2" s="1"/>
  <c r="AJ303" i="2" a="1"/>
  <c r="AJ303" i="2" s="1"/>
  <c r="AE302" i="2" a="1"/>
  <c r="AE302" i="2" s="1"/>
  <c r="Z305" i="2" a="1"/>
  <c r="Z305" i="2" s="1"/>
  <c r="AJ302" i="2" a="1"/>
  <c r="AJ302" i="2" s="1"/>
  <c r="X302" i="2" a="1"/>
  <c r="X302" i="2" s="1"/>
  <c r="AG303" i="2" a="1"/>
  <c r="AG303" i="2" s="1"/>
  <c r="AD304" i="2" a="1"/>
  <c r="AD304" i="2" s="1"/>
  <c r="AD303" i="2" a="1"/>
  <c r="AD303" i="2" s="1"/>
  <c r="AC304" i="2" a="1"/>
  <c r="AC304" i="2" s="1"/>
  <c r="AA303" i="2" a="1"/>
  <c r="AA303" i="2" s="1"/>
  <c r="AH305" i="2" a="1"/>
  <c r="AH305" i="2" s="1"/>
  <c r="X306" i="2" a="1"/>
  <c r="X306" i="2" s="1"/>
  <c r="W302" i="2" a="1"/>
  <c r="W302" i="2" s="1"/>
  <c r="AF305" i="2" a="1"/>
  <c r="AF305" i="2" s="1"/>
  <c r="AF303" i="2" a="1"/>
  <c r="AF303" i="2" s="1"/>
  <c r="W303" i="2" a="1"/>
  <c r="W303" i="2" s="1"/>
  <c r="W306" i="2" a="1"/>
  <c r="W306" i="2" s="1"/>
  <c r="AC305" i="2" a="1"/>
  <c r="AC305" i="2" s="1"/>
  <c r="AA305" i="2" a="1"/>
  <c r="AA305" i="2" s="1"/>
  <c r="AB303" i="2" a="1"/>
  <c r="AB303" i="2" s="1"/>
  <c r="Y305" i="2" a="1"/>
  <c r="Y305" i="2" s="1"/>
  <c r="AJ304" i="2" a="1"/>
  <c r="AJ304" i="2" s="1"/>
  <c r="AH304" i="2" a="1"/>
  <c r="AH304" i="2" s="1"/>
  <c r="Z303" i="2" a="1"/>
  <c r="Z303" i="2" s="1"/>
  <c r="AD302" i="2" a="1"/>
  <c r="AD302" i="2" s="1"/>
  <c r="AB302" i="2" a="1"/>
  <c r="AB302" i="2" s="1"/>
  <c r="AG300" i="2" a="1"/>
  <c r="AG300" i="2" s="1"/>
  <c r="AD299" i="2" a="1"/>
  <c r="AD299" i="2" s="1"/>
  <c r="AB299" i="2" a="1"/>
  <c r="AB299" i="2" s="1"/>
  <c r="Z298" i="2" a="1"/>
  <c r="Z298" i="2" s="1"/>
  <c r="X299" i="2" a="1"/>
  <c r="X299" i="2" s="1"/>
  <c r="W299" i="2" a="1"/>
  <c r="W299" i="2" s="1"/>
  <c r="Y298" i="2" a="1"/>
  <c r="Y298" i="2" s="1"/>
  <c r="AI298" i="2" a="1"/>
  <c r="AI298" i="2" s="1"/>
  <c r="AH297" i="2" a="1"/>
  <c r="AH297" i="2" s="1"/>
  <c r="AD297" i="2" a="1"/>
  <c r="AD297" i="2" s="1"/>
  <c r="AG299" i="2" a="1"/>
  <c r="AG299" i="2" s="1"/>
  <c r="AF300" i="2" a="1"/>
  <c r="AF300" i="2" s="1"/>
  <c r="AC299" i="2" a="1"/>
  <c r="AC299" i="2" s="1"/>
  <c r="X298" i="2" a="1"/>
  <c r="X298" i="2" s="1"/>
  <c r="AC298" i="2" a="1"/>
  <c r="AC298" i="2" s="1"/>
  <c r="AH299" i="2" a="1"/>
  <c r="AH299" i="2" s="1"/>
  <c r="AE298" i="2" a="1"/>
  <c r="AE298" i="2" s="1"/>
  <c r="AB301" i="2" a="1"/>
  <c r="AB301" i="2" s="1"/>
  <c r="AJ298" i="2" a="1"/>
  <c r="AJ298" i="2" s="1"/>
  <c r="AH298" i="2" a="1"/>
  <c r="AH298" i="2" s="1"/>
  <c r="AE300" i="2" a="1"/>
  <c r="AE300" i="2" s="1"/>
  <c r="AA300" i="2" a="1"/>
  <c r="AA300" i="2" s="1"/>
  <c r="AB298" i="2" a="1"/>
  <c r="AB298" i="2" s="1"/>
  <c r="AF298" i="2" a="1"/>
  <c r="AF298" i="2" s="1"/>
  <c r="X300" i="2" a="1"/>
  <c r="X300" i="2" s="1"/>
  <c r="AF537" i="2" a="1"/>
  <c r="AF537" i="2" s="1"/>
  <c r="AJ301" i="2" a="1"/>
  <c r="AJ301" i="2" s="1"/>
  <c r="AI297" i="2" a="1"/>
  <c r="AI297" i="2" s="1"/>
  <c r="AH300" i="2" a="1"/>
  <c r="AH300" i="2" s="1"/>
  <c r="AB300" i="2" a="1"/>
  <c r="AB300" i="2" s="1"/>
  <c r="Z300" i="2" a="1"/>
  <c r="Z300" i="2" s="1"/>
  <c r="Y300" i="2" a="1"/>
  <c r="Y300" i="2" s="1"/>
  <c r="W300" i="2" a="1"/>
  <c r="W300" i="2" s="1"/>
  <c r="AJ299" i="2" a="1"/>
  <c r="AJ299" i="2" s="1"/>
  <c r="AE297" i="2" a="1"/>
  <c r="AE297" i="2" s="1"/>
  <c r="AJ297" i="2" a="1"/>
  <c r="AJ297" i="2" s="1"/>
  <c r="AA298" i="2" a="1"/>
  <c r="AA298" i="2" s="1"/>
  <c r="AA299" i="2" a="1"/>
  <c r="AA299" i="2" s="1"/>
  <c r="W298" i="2" a="1"/>
  <c r="W298" i="2" s="1"/>
  <c r="AI301" i="2" a="1"/>
  <c r="AI301" i="2" s="1"/>
  <c r="W301" i="2" a="1"/>
  <c r="W301" i="2" s="1"/>
  <c r="Y299" i="2" a="1"/>
  <c r="Y299" i="2" s="1"/>
  <c r="AD301" i="2" a="1"/>
  <c r="AD301" i="2" s="1"/>
  <c r="AI299" i="2" a="1"/>
  <c r="AI299" i="2" s="1"/>
  <c r="AA301" i="2" a="1"/>
  <c r="AA301" i="2" s="1"/>
  <c r="AD300" i="2" a="1"/>
  <c r="AD300" i="2" s="1"/>
  <c r="AC300" i="2" a="1"/>
  <c r="AC300" i="2" s="1"/>
  <c r="AE299" i="2" a="1"/>
  <c r="AE299" i="2" s="1"/>
  <c r="AD298" i="2" a="1"/>
  <c r="AD298" i="2" s="1"/>
  <c r="AH301" i="2" a="1"/>
  <c r="AH301" i="2" s="1"/>
  <c r="X301" i="2" a="1"/>
  <c r="X301" i="2" s="1"/>
  <c r="AG301" i="2" a="1"/>
  <c r="AG301" i="2" s="1"/>
  <c r="AF301" i="2" a="1"/>
  <c r="AF301" i="2" s="1"/>
  <c r="Z299" i="2" a="1"/>
  <c r="Z299" i="2" s="1"/>
  <c r="AE301" i="2" a="1"/>
  <c r="AE301" i="2" s="1"/>
  <c r="AG298" i="2" a="1"/>
  <c r="AG298" i="2" s="1"/>
  <c r="AC301" i="2" a="1"/>
  <c r="AC301" i="2" s="1"/>
  <c r="Z301" i="2" a="1"/>
  <c r="Z301" i="2" s="1"/>
  <c r="Y301" i="2" a="1"/>
  <c r="Y301" i="2" s="1"/>
  <c r="AG297" i="2" a="1"/>
  <c r="AG297" i="2" s="1"/>
  <c r="AJ300" i="2" a="1"/>
  <c r="AJ300" i="2" s="1"/>
  <c r="AF299" i="2" a="1"/>
  <c r="AF299" i="2" s="1"/>
  <c r="AF297" i="2" a="1"/>
  <c r="AF297" i="2" s="1"/>
  <c r="AI300" i="2" a="1"/>
  <c r="AI300" i="2" s="1"/>
  <c r="X294" i="2" a="1"/>
  <c r="X294" i="2" s="1"/>
  <c r="Z296" i="2" a="1"/>
  <c r="Z296" i="2" s="1"/>
  <c r="AH295" i="2" a="1"/>
  <c r="AH295" i="2" s="1"/>
  <c r="AE295" i="2" a="1"/>
  <c r="AE295" i="2" s="1"/>
  <c r="AF293" i="2" a="1"/>
  <c r="AF293" i="2" s="1"/>
  <c r="Y296" i="2" a="1"/>
  <c r="Y296" i="2" s="1"/>
  <c r="AD295" i="2" a="1"/>
  <c r="AD295" i="2" s="1"/>
  <c r="AJ294" i="2" a="1"/>
  <c r="AJ294" i="2" s="1"/>
  <c r="AH294" i="2" a="1"/>
  <c r="AH294" i="2" s="1"/>
  <c r="AC293" i="2" a="1"/>
  <c r="AC293" i="2" s="1"/>
  <c r="AI295" i="2" a="1"/>
  <c r="AI295" i="2" s="1"/>
  <c r="AG293" i="2" a="1"/>
  <c r="AG293" i="2" s="1"/>
  <c r="AJ295" i="2" a="1"/>
  <c r="AJ295" i="2" s="1"/>
  <c r="AC295" i="2" a="1"/>
  <c r="AC295" i="2" s="1"/>
  <c r="AA293" i="2" a="1"/>
  <c r="AA293" i="2" s="1"/>
  <c r="AA294" i="2" a="1"/>
  <c r="AA294" i="2" s="1"/>
  <c r="Z294" i="2" a="1"/>
  <c r="Z294" i="2" s="1"/>
  <c r="Z293" i="2" a="1"/>
  <c r="Z293" i="2" s="1"/>
  <c r="AI294" i="2" a="1"/>
  <c r="AI294" i="2" s="1"/>
  <c r="AG294" i="2" a="1"/>
  <c r="AG294" i="2" s="1"/>
  <c r="AE293" i="2" a="1"/>
  <c r="AE293" i="2" s="1"/>
  <c r="AG295" i="2" a="1"/>
  <c r="AG295" i="2" s="1"/>
  <c r="AF294" i="2" a="1"/>
  <c r="AF294" i="2" s="1"/>
  <c r="AB295" i="2" a="1"/>
  <c r="AB295" i="2" s="1"/>
  <c r="W295" i="2" a="1"/>
  <c r="W295" i="2" s="1"/>
  <c r="Y294" i="2" a="1"/>
  <c r="Y294" i="2" s="1"/>
  <c r="AB293" i="2" a="1"/>
  <c r="AB293" i="2" s="1"/>
  <c r="AE296" i="2" a="1"/>
  <c r="AE296" i="2" s="1"/>
  <c r="AA297" i="2" a="1"/>
  <c r="AA297" i="2" s="1"/>
  <c r="AC294" i="2" a="1"/>
  <c r="AC294" i="2" s="1"/>
  <c r="AB294" i="2" a="1"/>
  <c r="AB294" i="2" s="1"/>
  <c r="Z539" i="2" a="1"/>
  <c r="Z539" i="2" s="1"/>
  <c r="AC297" i="2" a="1"/>
  <c r="AC297" i="2" s="1"/>
  <c r="AF295" i="2" a="1"/>
  <c r="AF295" i="2" s="1"/>
  <c r="Y293" i="2" a="1"/>
  <c r="Y293" i="2" s="1"/>
  <c r="X295" i="2" a="1"/>
  <c r="X295" i="2" s="1"/>
  <c r="AD293" i="2" a="1"/>
  <c r="AD293" i="2" s="1"/>
  <c r="AA296" i="2" a="1"/>
  <c r="AA296" i="2" s="1"/>
  <c r="AB297" i="2" a="1"/>
  <c r="AB297" i="2" s="1"/>
  <c r="Z297" i="2" a="1"/>
  <c r="Z297" i="2" s="1"/>
  <c r="Y297" i="2" a="1"/>
  <c r="Y297" i="2" s="1"/>
  <c r="X297" i="2" a="1"/>
  <c r="X297" i="2" s="1"/>
  <c r="X296" i="2" a="1"/>
  <c r="X296" i="2" s="1"/>
  <c r="W297" i="2" a="1"/>
  <c r="W297" i="2" s="1"/>
  <c r="AJ296" i="2" a="1"/>
  <c r="AJ296" i="2" s="1"/>
  <c r="Z295" i="2" a="1"/>
  <c r="Z295" i="2" s="1"/>
  <c r="AI293" i="2" a="1"/>
  <c r="AI293" i="2" s="1"/>
  <c r="AI296" i="2" a="1"/>
  <c r="AI296" i="2" s="1"/>
  <c r="W296" i="2" a="1"/>
  <c r="W296" i="2" s="1"/>
  <c r="W294" i="2" a="1"/>
  <c r="W294" i="2" s="1"/>
  <c r="Y295" i="2" a="1"/>
  <c r="Y295" i="2" s="1"/>
  <c r="AE294" i="2" a="1"/>
  <c r="AE294" i="2" s="1"/>
  <c r="AD294" i="2" a="1"/>
  <c r="AD294" i="2" s="1"/>
  <c r="X293" i="2" a="1"/>
  <c r="X293" i="2" s="1"/>
  <c r="AH293" i="2" a="1"/>
  <c r="AH293" i="2" s="1"/>
  <c r="AH296" i="2" a="1"/>
  <c r="AH296" i="2" s="1"/>
  <c r="AG296" i="2" a="1"/>
  <c r="AG296" i="2" s="1"/>
  <c r="AF296" i="2" a="1"/>
  <c r="AF296" i="2" s="1"/>
  <c r="AD296" i="2" a="1"/>
  <c r="AD296" i="2" s="1"/>
  <c r="AC296" i="2" a="1"/>
  <c r="AC296" i="2" s="1"/>
  <c r="AB296" i="2" a="1"/>
  <c r="AB296" i="2" s="1"/>
  <c r="AA295" i="2" a="1"/>
  <c r="AA295" i="2" s="1"/>
  <c r="AJ293" i="2" a="1"/>
  <c r="AJ293" i="2" s="1"/>
  <c r="AB292" i="2" a="1"/>
  <c r="AB292" i="2" s="1"/>
  <c r="X289" i="2" a="1"/>
  <c r="X289" i="2" s="1"/>
  <c r="Y292" i="2" a="1"/>
  <c r="Y292" i="2" s="1"/>
  <c r="AJ291" i="2" a="1"/>
  <c r="AJ291" i="2" s="1"/>
  <c r="Y291" i="2" a="1"/>
  <c r="Y291" i="2" s="1"/>
  <c r="AH291" i="2" a="1"/>
  <c r="AH291" i="2" s="1"/>
  <c r="AE291" i="2" a="1"/>
  <c r="AE291" i="2" s="1"/>
  <c r="AD291" i="2" a="1"/>
  <c r="AD291" i="2" s="1"/>
  <c r="AF289" i="2" a="1"/>
  <c r="AF289" i="2" s="1"/>
  <c r="Z290" i="2" a="1"/>
  <c r="Z290" i="2" s="1"/>
  <c r="AJ288" i="2" a="1"/>
  <c r="AJ288" i="2" s="1"/>
  <c r="AG290" i="2" a="1"/>
  <c r="AG290" i="2" s="1"/>
  <c r="AF290" i="2" a="1"/>
  <c r="AF290" i="2" s="1"/>
  <c r="X290" i="2" a="1"/>
  <c r="X290" i="2" s="1"/>
  <c r="Y289" i="2" a="1"/>
  <c r="Y289" i="2" s="1"/>
  <c r="AA290" i="2" a="1"/>
  <c r="AA290" i="2" s="1"/>
  <c r="AA289" i="2" a="1"/>
  <c r="AA289" i="2" s="1"/>
  <c r="AI291" i="2" a="1"/>
  <c r="AI291" i="2" s="1"/>
  <c r="Z291" i="2" a="1"/>
  <c r="Z291" i="2" s="1"/>
  <c r="AD289" i="2" a="1"/>
  <c r="AD289" i="2" s="1"/>
  <c r="Y290" i="2" a="1"/>
  <c r="Y290" i="2" s="1"/>
  <c r="AG291" i="2" a="1"/>
  <c r="AG291" i="2" s="1"/>
  <c r="AE290" i="2" a="1"/>
  <c r="AE290" i="2" s="1"/>
  <c r="AB289" i="2" a="1"/>
  <c r="AB289" i="2" s="1"/>
  <c r="AJ290" i="2" a="1"/>
  <c r="AJ290" i="2" s="1"/>
  <c r="W290" i="2" a="1"/>
  <c r="W290" i="2" s="1"/>
  <c r="AG289" i="2" a="1"/>
  <c r="AG289" i="2" s="1"/>
  <c r="AH290" i="2" a="1"/>
  <c r="AH290" i="2" s="1"/>
  <c r="AI289" i="2" a="1"/>
  <c r="AI289" i="2" s="1"/>
  <c r="AI292" i="2" a="1"/>
  <c r="AI292" i="2" s="1"/>
  <c r="AI290" i="2" a="1"/>
  <c r="AI290" i="2" s="1"/>
  <c r="AC292" i="2" a="1"/>
  <c r="AC292" i="2" s="1"/>
  <c r="AA292" i="2" a="1"/>
  <c r="AA292" i="2" s="1"/>
  <c r="AB291" i="2" a="1"/>
  <c r="AB291" i="2" s="1"/>
  <c r="AH289" i="2" a="1"/>
  <c r="AH289" i="2" s="1"/>
  <c r="Z292" i="2" a="1"/>
  <c r="Z292" i="2" s="1"/>
  <c r="AD290" i="2" a="1"/>
  <c r="AD290" i="2" s="1"/>
  <c r="AC291" i="2" a="1"/>
  <c r="AC291" i="2" s="1"/>
  <c r="W292" i="2" a="1"/>
  <c r="W292" i="2" s="1"/>
  <c r="AC290" i="2" a="1"/>
  <c r="AC290" i="2" s="1"/>
  <c r="W289" i="2" a="1"/>
  <c r="W289" i="2" s="1"/>
  <c r="AB290" i="2" a="1"/>
  <c r="AB290" i="2" s="1"/>
  <c r="AF291" i="2" a="1"/>
  <c r="AF291" i="2" s="1"/>
  <c r="AE537" i="2" a="1"/>
  <c r="AE537" i="2" s="1"/>
  <c r="AH292" i="2" a="1"/>
  <c r="AH292" i="2" s="1"/>
  <c r="Z289" i="2" a="1"/>
  <c r="Z289" i="2" s="1"/>
  <c r="W293" i="2" a="1"/>
  <c r="W293" i="2" s="1"/>
  <c r="X291" i="2" a="1"/>
  <c r="X291" i="2" s="1"/>
  <c r="X292" i="2" a="1"/>
  <c r="X292" i="2" s="1"/>
  <c r="AJ292" i="2" a="1"/>
  <c r="AJ292" i="2" s="1"/>
  <c r="AC289" i="2" a="1"/>
  <c r="AC289" i="2" s="1"/>
  <c r="AG292" i="2" a="1"/>
  <c r="AG292" i="2" s="1"/>
  <c r="AF292" i="2" a="1"/>
  <c r="AF292" i="2" s="1"/>
  <c r="AE292" i="2" a="1"/>
  <c r="AE292" i="2" s="1"/>
  <c r="AE289" i="2" a="1"/>
  <c r="AE289" i="2" s="1"/>
  <c r="AD292" i="2" a="1"/>
  <c r="AD292" i="2" s="1"/>
  <c r="AA291" i="2" a="1"/>
  <c r="AA291" i="2" s="1"/>
  <c r="W291" i="2" a="1"/>
  <c r="W291" i="2" s="1"/>
  <c r="AJ289" i="2" a="1"/>
  <c r="AJ289" i="2" s="1"/>
  <c r="AE288" i="2" a="1"/>
  <c r="AE288" i="2" s="1"/>
  <c r="AD288" i="2" a="1"/>
  <c r="AD288" i="2" s="1"/>
  <c r="AC288" i="2" a="1"/>
  <c r="AC288" i="2" s="1"/>
  <c r="W288" i="2" a="1"/>
  <c r="W288" i="2" s="1"/>
  <c r="AC287" i="2" a="1"/>
  <c r="AC287" i="2" s="1"/>
  <c r="AB287" i="2" a="1"/>
  <c r="AB287" i="2" s="1"/>
  <c r="Y287" i="2" a="1"/>
  <c r="Y287" i="2" s="1"/>
  <c r="AD285" i="2" a="1"/>
  <c r="AD285" i="2" s="1"/>
  <c r="AF284" i="2" a="1"/>
  <c r="AF284" i="2" s="1"/>
  <c r="AJ287" i="2" a="1"/>
  <c r="AJ287" i="2" s="1"/>
  <c r="AG286" i="2" a="1"/>
  <c r="AG286" i="2" s="1"/>
  <c r="AA287" i="2" a="1"/>
  <c r="AA287" i="2" s="1"/>
  <c r="AI287" i="2" a="1"/>
  <c r="AI287" i="2" s="1"/>
  <c r="Z285" i="2" a="1"/>
  <c r="Z285" i="2" s="1"/>
  <c r="AC286" i="2" a="1"/>
  <c r="AC286" i="2" s="1"/>
  <c r="W285" i="2" a="1"/>
  <c r="W285" i="2" s="1"/>
  <c r="AB286" i="2" a="1"/>
  <c r="AB286" i="2" s="1"/>
  <c r="X288" i="2" a="1"/>
  <c r="X288" i="2" s="1"/>
  <c r="AA288" i="2" a="1"/>
  <c r="AA288" i="2" s="1"/>
  <c r="Y288" i="2" a="1"/>
  <c r="Y288" i="2" s="1"/>
  <c r="AE286" i="2" a="1"/>
  <c r="AE286" i="2" s="1"/>
  <c r="AD284" i="2" a="1"/>
  <c r="AD284" i="2" s="1"/>
  <c r="X287" i="2" a="1"/>
  <c r="X287" i="2" s="1"/>
  <c r="W287" i="2" a="1"/>
  <c r="W287" i="2" s="1"/>
  <c r="AE285" i="2" a="1"/>
  <c r="AE285" i="2" s="1"/>
  <c r="AH284" i="2" a="1"/>
  <c r="AH284" i="2" s="1"/>
  <c r="AD287" i="2" a="1"/>
  <c r="AD287" i="2" s="1"/>
  <c r="AF287" i="2" a="1"/>
  <c r="AF287" i="2" s="1"/>
  <c r="X285" i="2" a="1"/>
  <c r="X285" i="2" s="1"/>
  <c r="AF538" i="2" a="1"/>
  <c r="AF538" i="2" s="1"/>
  <c r="Y285" i="2" a="1"/>
  <c r="Y285" i="2" s="1"/>
  <c r="AI288" i="2" a="1"/>
  <c r="AI288" i="2" s="1"/>
  <c r="AH288" i="2" a="1"/>
  <c r="AH288" i="2" s="1"/>
  <c r="AE287" i="2" a="1"/>
  <c r="AE287" i="2" s="1"/>
  <c r="AA286" i="2" a="1"/>
  <c r="AA286" i="2" s="1"/>
  <c r="AI286" i="2" a="1"/>
  <c r="AI286" i="2" s="1"/>
  <c r="AA285" i="2" a="1"/>
  <c r="AA285" i="2" s="1"/>
  <c r="AF285" i="2" a="1"/>
  <c r="AF285" i="2" s="1"/>
  <c r="AB288" i="2" a="1"/>
  <c r="AB288" i="2" s="1"/>
  <c r="AH286" i="2" a="1"/>
  <c r="AH286" i="2" s="1"/>
  <c r="X286" i="2" a="1"/>
  <c r="X286" i="2" s="1"/>
  <c r="AJ285" i="2" a="1"/>
  <c r="AJ285" i="2" s="1"/>
  <c r="AC285" i="2" a="1"/>
  <c r="AC285" i="2" s="1"/>
  <c r="AF288" i="2" a="1"/>
  <c r="AF288" i="2" s="1"/>
  <c r="Z287" i="2" a="1"/>
  <c r="Z287" i="2" s="1"/>
  <c r="AD286" i="2" a="1"/>
  <c r="AD286" i="2" s="1"/>
  <c r="W286" i="2" a="1"/>
  <c r="W286" i="2" s="1"/>
  <c r="Y286" i="2" a="1"/>
  <c r="Y286" i="2" s="1"/>
  <c r="AH287" i="2" a="1"/>
  <c r="AH287" i="2" s="1"/>
  <c r="AI285" i="2" a="1"/>
  <c r="AI285" i="2" s="1"/>
  <c r="AJ286" i="2" a="1"/>
  <c r="AJ286" i="2" s="1"/>
  <c r="AB285" i="2" a="1"/>
  <c r="AB285" i="2" s="1"/>
  <c r="AI284" i="2" a="1"/>
  <c r="AI284" i="2" s="1"/>
  <c r="Z286" i="2" a="1"/>
  <c r="Z286" i="2" s="1"/>
  <c r="AG284" i="2" a="1"/>
  <c r="AG284" i="2" s="1"/>
  <c r="AF286" i="2" a="1"/>
  <c r="AF286" i="2" s="1"/>
  <c r="AH285" i="2" a="1"/>
  <c r="AH285" i="2" s="1"/>
  <c r="AG288" i="2" a="1"/>
  <c r="AG288" i="2" s="1"/>
  <c r="Z288" i="2" a="1"/>
  <c r="Z288" i="2" s="1"/>
  <c r="AG287" i="2" a="1"/>
  <c r="AG287" i="2" s="1"/>
  <c r="AG285" i="2" a="1"/>
  <c r="AG285" i="2" s="1"/>
  <c r="AJ284" i="2" a="1"/>
  <c r="AJ284" i="2" s="1"/>
  <c r="AE284" i="2" a="1"/>
  <c r="AE284" i="2" s="1"/>
  <c r="X284" i="2" a="1"/>
  <c r="X284" i="2" s="1"/>
  <c r="AH283" i="2" a="1"/>
  <c r="AH283" i="2" s="1"/>
  <c r="AB283" i="2" a="1"/>
  <c r="AB283" i="2" s="1"/>
  <c r="AC282" i="2" a="1"/>
  <c r="AC282" i="2" s="1"/>
  <c r="AD281" i="2" a="1"/>
  <c r="AD281" i="2" s="1"/>
  <c r="AD280" i="2" a="1"/>
  <c r="AD280" i="2" s="1"/>
  <c r="Z281" i="2" a="1"/>
  <c r="Z281" i="2" s="1"/>
  <c r="AE280" i="2" a="1"/>
  <c r="AE280" i="2" s="1"/>
  <c r="Y280" i="2" a="1"/>
  <c r="Y280" i="2" s="1"/>
  <c r="X282" i="2" a="1"/>
  <c r="X282" i="2" s="1"/>
  <c r="AE281" i="2" a="1"/>
  <c r="AE281" i="2" s="1"/>
  <c r="AF282" i="2" a="1"/>
  <c r="AF282" i="2" s="1"/>
  <c r="AA284" i="2" a="1"/>
  <c r="AA284" i="2" s="1"/>
  <c r="Z283" i="2" a="1"/>
  <c r="Z283" i="2" s="1"/>
  <c r="X283" i="2" a="1"/>
  <c r="X283" i="2" s="1"/>
  <c r="Y282" i="2" a="1"/>
  <c r="Y282" i="2" s="1"/>
  <c r="AF281" i="2" a="1"/>
  <c r="AF281" i="2" s="1"/>
  <c r="W283" i="2" a="1"/>
  <c r="W283" i="2" s="1"/>
  <c r="AB284" i="2" a="1"/>
  <c r="AB284" i="2" s="1"/>
  <c r="W282" i="2" a="1"/>
  <c r="W282" i="2" s="1"/>
  <c r="AJ283" i="2" a="1"/>
  <c r="AJ283" i="2" s="1"/>
  <c r="AI283" i="2" a="1"/>
  <c r="AI283" i="2" s="1"/>
  <c r="AF283" i="2" a="1"/>
  <c r="AF283" i="2" s="1"/>
  <c r="AJ281" i="2" a="1"/>
  <c r="AJ281" i="2" s="1"/>
  <c r="AD283" i="2" a="1"/>
  <c r="AD283" i="2" s="1"/>
  <c r="AJ280" i="2" a="1"/>
  <c r="AJ280" i="2" s="1"/>
  <c r="Y283" i="2" a="1"/>
  <c r="Y283" i="2" s="1"/>
  <c r="AH282" i="2" a="1"/>
  <c r="AH282" i="2" s="1"/>
  <c r="AB282" i="2" a="1"/>
  <c r="AB282" i="2" s="1"/>
  <c r="AA282" i="2" a="1"/>
  <c r="AA282" i="2" s="1"/>
  <c r="AG280" i="2" a="1"/>
  <c r="AG280" i="2" s="1"/>
  <c r="AI281" i="2" a="1"/>
  <c r="AI281" i="2" s="1"/>
  <c r="AH281" i="2" a="1"/>
  <c r="AH281" i="2" s="1"/>
  <c r="AB281" i="2" a="1"/>
  <c r="AB281" i="2" s="1"/>
  <c r="AG282" i="2" a="1"/>
  <c r="AG282" i="2" s="1"/>
  <c r="AC281" i="2" a="1"/>
  <c r="AC281" i="2" s="1"/>
  <c r="X281" i="2" a="1"/>
  <c r="X281" i="2" s="1"/>
  <c r="AE282" i="2" a="1"/>
  <c r="AE282" i="2" s="1"/>
  <c r="AB280" i="2" a="1"/>
  <c r="AB280" i="2" s="1"/>
  <c r="Z280" i="2" a="1"/>
  <c r="Z280" i="2" s="1"/>
  <c r="Z282" i="2" a="1"/>
  <c r="Z282" i="2" s="1"/>
  <c r="AG281" i="2" a="1"/>
  <c r="AG281" i="2" s="1"/>
  <c r="AD282" i="2" a="1"/>
  <c r="AD282" i="2" s="1"/>
  <c r="AF280" i="2" a="1"/>
  <c r="AF280" i="2" s="1"/>
  <c r="AA280" i="2" a="1"/>
  <c r="AA280" i="2" s="1"/>
  <c r="AG283" i="2" a="1"/>
  <c r="AG283" i="2" s="1"/>
  <c r="AJ282" i="2" a="1"/>
  <c r="AJ282" i="2" s="1"/>
  <c r="Y281" i="2" a="1"/>
  <c r="Y281" i="2" s="1"/>
  <c r="AC280" i="2" a="1"/>
  <c r="AC280" i="2" s="1"/>
  <c r="AD537" i="2" a="1"/>
  <c r="AD537" i="2" s="1"/>
  <c r="AE283" i="2" a="1"/>
  <c r="AE283" i="2" s="1"/>
  <c r="AH280" i="2" a="1"/>
  <c r="AH280" i="2" s="1"/>
  <c r="AC283" i="2" a="1"/>
  <c r="AC283" i="2" s="1"/>
  <c r="AI280" i="2" a="1"/>
  <c r="AI280" i="2" s="1"/>
  <c r="AC284" i="2" a="1"/>
  <c r="AC284" i="2" s="1"/>
  <c r="Z284" i="2" a="1"/>
  <c r="Z284" i="2" s="1"/>
  <c r="Y284" i="2" a="1"/>
  <c r="Y284" i="2" s="1"/>
  <c r="W284" i="2" a="1"/>
  <c r="W284" i="2" s="1"/>
  <c r="AA283" i="2" a="1"/>
  <c r="AA283" i="2" s="1"/>
  <c r="AA281" i="2" a="1"/>
  <c r="AA281" i="2" s="1"/>
  <c r="W281" i="2" a="1"/>
  <c r="W281" i="2" s="1"/>
  <c r="AI282" i="2" a="1"/>
  <c r="AI282" i="2" s="1"/>
  <c r="Y276" i="2" a="1"/>
  <c r="Y276" i="2" s="1"/>
  <c r="X279" i="2" a="1"/>
  <c r="X279" i="2" s="1"/>
  <c r="W279" i="2" a="1"/>
  <c r="W279" i="2" s="1"/>
  <c r="AJ278" i="2" a="1"/>
  <c r="AJ278" i="2" s="1"/>
  <c r="AI278" i="2" a="1"/>
  <c r="AI278" i="2" s="1"/>
  <c r="AH278" i="2" a="1"/>
  <c r="AH278" i="2" s="1"/>
  <c r="AG278" i="2" a="1"/>
  <c r="AG278" i="2" s="1"/>
  <c r="AD277" i="2" a="1"/>
  <c r="AD277" i="2" s="1"/>
  <c r="AI276" i="2" a="1"/>
  <c r="AI276" i="2" s="1"/>
  <c r="AA276" i="2" a="1"/>
  <c r="AA276" i="2" s="1"/>
  <c r="AH275" i="2" a="1"/>
  <c r="AH275" i="2" s="1"/>
  <c r="AF278" i="2" a="1"/>
  <c r="AF278" i="2" s="1"/>
  <c r="AC278" i="2" a="1"/>
  <c r="AC278" i="2" s="1"/>
  <c r="AF277" i="2" a="1"/>
  <c r="AF277" i="2" s="1"/>
  <c r="Z278" i="2" a="1"/>
  <c r="Z278" i="2" s="1"/>
  <c r="AI277" i="2" a="1"/>
  <c r="AI277" i="2" s="1"/>
  <c r="AC276" i="2" a="1"/>
  <c r="AC276" i="2" s="1"/>
  <c r="AE276" i="2" a="1"/>
  <c r="AE276" i="2" s="1"/>
  <c r="AJ277" i="2" a="1"/>
  <c r="AJ277" i="2" s="1"/>
  <c r="Y278" i="2" a="1"/>
  <c r="Y278" i="2" s="1"/>
  <c r="AA278" i="2" a="1"/>
  <c r="AA278" i="2" s="1"/>
  <c r="AH277" i="2" a="1"/>
  <c r="AH277" i="2" s="1"/>
  <c r="Z277" i="2" a="1"/>
  <c r="Z277" i="2" s="1"/>
  <c r="W276" i="2" a="1"/>
  <c r="W276" i="2" s="1"/>
  <c r="AG279" i="2" a="1"/>
  <c r="AG279" i="2" s="1"/>
  <c r="AF279" i="2" a="1"/>
  <c r="AF279" i="2" s="1"/>
  <c r="Y277" i="2" a="1"/>
  <c r="Y277" i="2" s="1"/>
  <c r="AD279" i="2" a="1"/>
  <c r="AD279" i="2" s="1"/>
  <c r="AC279" i="2" a="1"/>
  <c r="AC279" i="2" s="1"/>
  <c r="Y279" i="2" a="1"/>
  <c r="Y279" i="2" s="1"/>
  <c r="AD278" i="2" a="1"/>
  <c r="AD278" i="2" s="1"/>
  <c r="W278" i="2" a="1"/>
  <c r="W278" i="2" s="1"/>
  <c r="AE277" i="2" a="1"/>
  <c r="AE277" i="2" s="1"/>
  <c r="Z276" i="2" a="1"/>
  <c r="Z276" i="2" s="1"/>
  <c r="X276" i="2" a="1"/>
  <c r="X276" i="2" s="1"/>
  <c r="AJ275" i="2" a="1"/>
  <c r="AJ275" i="2" s="1"/>
  <c r="AC277" i="2" a="1"/>
  <c r="AC277" i="2" s="1"/>
  <c r="AJ276" i="2" a="1"/>
  <c r="AJ276" i="2" s="1"/>
  <c r="AH276" i="2" a="1"/>
  <c r="AH276" i="2" s="1"/>
  <c r="AF276" i="2" a="1"/>
  <c r="AF276" i="2" s="1"/>
  <c r="AD276" i="2" a="1"/>
  <c r="AD276" i="2" s="1"/>
  <c r="AI275" i="2" a="1"/>
  <c r="AI275" i="2" s="1"/>
  <c r="AB276" i="2" a="1"/>
  <c r="AB276" i="2" s="1"/>
  <c r="AB277" i="2" a="1"/>
  <c r="AB277" i="2" s="1"/>
  <c r="AG276" i="2" a="1"/>
  <c r="AG276" i="2" s="1"/>
  <c r="X277" i="2" a="1"/>
  <c r="X277" i="2" s="1"/>
  <c r="AJ279" i="2" a="1"/>
  <c r="AJ279" i="2" s="1"/>
  <c r="AG539" i="2" a="1"/>
  <c r="AG539" i="2" s="1"/>
  <c r="X280" i="2" a="1"/>
  <c r="X280" i="2" s="1"/>
  <c r="AG277" i="2" a="1"/>
  <c r="AG277" i="2" s="1"/>
  <c r="AE278" i="2" a="1"/>
  <c r="AE278" i="2" s="1"/>
  <c r="X278" i="2" a="1"/>
  <c r="X278" i="2" s="1"/>
  <c r="W277" i="2" a="1"/>
  <c r="W277" i="2" s="1"/>
  <c r="AB278" i="2" a="1"/>
  <c r="AB278" i="2" s="1"/>
  <c r="AA277" i="2" a="1"/>
  <c r="AA277" i="2" s="1"/>
  <c r="AG275" i="2" a="1"/>
  <c r="AG275" i="2" s="1"/>
  <c r="W280" i="2" a="1"/>
  <c r="W280" i="2" s="1"/>
  <c r="AI279" i="2" a="1"/>
  <c r="AI279" i="2" s="1"/>
  <c r="AH279" i="2" a="1"/>
  <c r="AH279" i="2" s="1"/>
  <c r="AE279" i="2" a="1"/>
  <c r="AE279" i="2" s="1"/>
  <c r="AB279" i="2" a="1"/>
  <c r="AB279" i="2" s="1"/>
  <c r="AA279" i="2" a="1"/>
  <c r="AA279" i="2" s="1"/>
  <c r="Z279" i="2" a="1"/>
  <c r="Z279" i="2" s="1"/>
  <c r="AF275" i="2" a="1"/>
  <c r="AF275" i="2" s="1"/>
  <c r="AD275" i="2" a="1"/>
  <c r="AD275" i="2" s="1"/>
  <c r="AH274" i="2" a="1"/>
  <c r="AH274" i="2" s="1"/>
  <c r="AB273" i="2" a="1"/>
  <c r="AB273" i="2" s="1"/>
  <c r="X273" i="2" a="1"/>
  <c r="X273" i="2" s="1"/>
  <c r="AJ272" i="2" a="1"/>
  <c r="AJ272" i="2" s="1"/>
  <c r="AG271" i="2" a="1"/>
  <c r="AG271" i="2" s="1"/>
  <c r="AI272" i="2" a="1"/>
  <c r="AI272" i="2" s="1"/>
  <c r="AD272" i="2" a="1"/>
  <c r="AD272" i="2" s="1"/>
  <c r="AE274" i="2" a="1"/>
  <c r="AE274" i="2" s="1"/>
  <c r="Y272" i="2" a="1"/>
  <c r="Y272" i="2" s="1"/>
  <c r="AC271" i="2" a="1"/>
  <c r="AC271" i="2" s="1"/>
  <c r="AC275" i="2" a="1"/>
  <c r="AC275" i="2" s="1"/>
  <c r="X274" i="2" a="1"/>
  <c r="X274" i="2" s="1"/>
  <c r="AH273" i="2" a="1"/>
  <c r="AH273" i="2" s="1"/>
  <c r="AG272" i="2" a="1"/>
  <c r="AG272" i="2" s="1"/>
  <c r="AB275" i="2" a="1"/>
  <c r="AB275" i="2" s="1"/>
  <c r="AG273" i="2" a="1"/>
  <c r="AG273" i="2" s="1"/>
  <c r="AA275" i="2" a="1"/>
  <c r="AA275" i="2" s="1"/>
  <c r="Z272" i="2" a="1"/>
  <c r="Z272" i="2" s="1"/>
  <c r="AG274" i="2" a="1"/>
  <c r="AG274" i="2" s="1"/>
  <c r="W273" i="2" a="1"/>
  <c r="W273" i="2" s="1"/>
  <c r="Z275" i="2" a="1"/>
  <c r="Z275" i="2" s="1"/>
  <c r="AF274" i="2" a="1"/>
  <c r="AF274" i="2" s="1"/>
  <c r="AJ273" i="2" a="1"/>
  <c r="AJ273" i="2" s="1"/>
  <c r="AC273" i="2" a="1"/>
  <c r="AC273" i="2" s="1"/>
  <c r="AJ271" i="2" a="1"/>
  <c r="AJ271" i="2" s="1"/>
  <c r="AE272" i="2" a="1"/>
  <c r="AE272" i="2" s="1"/>
  <c r="AA274" i="2" a="1"/>
  <c r="AA274" i="2" s="1"/>
  <c r="W275" i="2" a="1"/>
  <c r="W275" i="2" s="1"/>
  <c r="AJ274" i="2" a="1"/>
  <c r="AJ274" i="2" s="1"/>
  <c r="Z274" i="2" a="1"/>
  <c r="Z274" i="2" s="1"/>
  <c r="AF273" i="2" a="1"/>
  <c r="AF273" i="2" s="1"/>
  <c r="Y273" i="2" a="1"/>
  <c r="Y273" i="2" s="1"/>
  <c r="AA272" i="2" a="1"/>
  <c r="AA272" i="2" s="1"/>
  <c r="AF272" i="2" a="1"/>
  <c r="AF272" i="2" s="1"/>
  <c r="AD273" i="2" a="1"/>
  <c r="AD273" i="2" s="1"/>
  <c r="AC537" i="2" a="1"/>
  <c r="AC537" i="2" s="1"/>
  <c r="AB274" i="2" a="1"/>
  <c r="AB274" i="2" s="1"/>
  <c r="AD271" i="2" a="1"/>
  <c r="AD271" i="2" s="1"/>
  <c r="AE275" i="2" a="1"/>
  <c r="AE275" i="2" s="1"/>
  <c r="Y275" i="2" a="1"/>
  <c r="Y275" i="2" s="1"/>
  <c r="AD274" i="2" a="1"/>
  <c r="AD274" i="2" s="1"/>
  <c r="AE271" i="2" a="1"/>
  <c r="AE271" i="2" s="1"/>
  <c r="W274" i="2" a="1"/>
  <c r="W274" i="2" s="1"/>
  <c r="X272" i="2" a="1"/>
  <c r="X272" i="2" s="1"/>
  <c r="W272" i="2" a="1"/>
  <c r="W272" i="2" s="1"/>
  <c r="AI273" i="2" a="1"/>
  <c r="AI273" i="2" s="1"/>
  <c r="AF271" i="2" a="1"/>
  <c r="AF271" i="2" s="1"/>
  <c r="Y274" i="2" a="1"/>
  <c r="Y274" i="2" s="1"/>
  <c r="X275" i="2" a="1"/>
  <c r="X275" i="2" s="1"/>
  <c r="AE273" i="2" a="1"/>
  <c r="AE273" i="2" s="1"/>
  <c r="AH272" i="2" a="1"/>
  <c r="AH272" i="2" s="1"/>
  <c r="AI271" i="2" a="1"/>
  <c r="AI271" i="2" s="1"/>
  <c r="AI274" i="2" a="1"/>
  <c r="AI274" i="2" s="1"/>
  <c r="AC274" i="2" a="1"/>
  <c r="AC274" i="2" s="1"/>
  <c r="AA273" i="2" a="1"/>
  <c r="AA273" i="2" s="1"/>
  <c r="AC272" i="2" a="1"/>
  <c r="AC272" i="2" s="1"/>
  <c r="Z273" i="2" a="1"/>
  <c r="Z273" i="2" s="1"/>
  <c r="AH271" i="2" a="1"/>
  <c r="AH271" i="2" s="1"/>
  <c r="AB272" i="2" a="1"/>
  <c r="AB272" i="2" s="1"/>
  <c r="AJ536" i="2" a="1"/>
  <c r="AJ536" i="2" s="1"/>
  <c r="AH536" i="2" a="1"/>
  <c r="AH536" i="2" s="1"/>
  <c r="AG536" i="2" a="1"/>
  <c r="AG536" i="2" s="1"/>
  <c r="AF536" i="2" a="1"/>
  <c r="AF536" i="2" s="1"/>
  <c r="AC536" i="2" a="1"/>
  <c r="AC536" i="2" s="1"/>
  <c r="AB536" i="2" a="1"/>
  <c r="AB536" i="2" s="1"/>
  <c r="AA536" i="2" a="1"/>
  <c r="AA536" i="2" s="1"/>
  <c r="AF534" i="2" a="1"/>
  <c r="AF534" i="2" s="1"/>
  <c r="AB533" i="2" a="1"/>
  <c r="AB533" i="2" s="1"/>
  <c r="Y536" i="2" a="1"/>
  <c r="Y536" i="2" s="1"/>
  <c r="AH535" i="2" a="1"/>
  <c r="AH535" i="2" s="1"/>
  <c r="AF535" i="2" a="1"/>
  <c r="AF535" i="2" s="1"/>
  <c r="X535" i="2" a="1"/>
  <c r="X535" i="2" s="1"/>
  <c r="Z533" i="2" a="1"/>
  <c r="Z533" i="2" s="1"/>
  <c r="AJ532" i="2" a="1"/>
  <c r="AJ532" i="2" s="1"/>
  <c r="AE534" i="2" a="1"/>
  <c r="AE534" i="2" s="1"/>
  <c r="W533" i="2" a="1"/>
  <c r="W533" i="2" s="1"/>
  <c r="W534" i="2" a="1"/>
  <c r="W534" i="2" s="1"/>
  <c r="AI535" i="2" a="1"/>
  <c r="AI535" i="2" s="1"/>
  <c r="X536" i="2" a="1"/>
  <c r="X536" i="2" s="1"/>
  <c r="AJ535" i="2" a="1"/>
  <c r="AJ535" i="2" s="1"/>
  <c r="AG535" i="2" a="1"/>
  <c r="AG535" i="2" s="1"/>
  <c r="AC535" i="2" a="1"/>
  <c r="AC535" i="2" s="1"/>
  <c r="AB535" i="2" a="1"/>
  <c r="AB535" i="2" s="1"/>
  <c r="AJ534" i="2" a="1"/>
  <c r="AJ534" i="2" s="1"/>
  <c r="AD534" i="2" a="1"/>
  <c r="AD534" i="2" s="1"/>
  <c r="AD533" i="2" a="1"/>
  <c r="AD533" i="2" s="1"/>
  <c r="X534" i="2" a="1"/>
  <c r="X534" i="2" s="1"/>
  <c r="AB534" i="2" a="1"/>
  <c r="AB534" i="2" s="1"/>
  <c r="X533" i="2" a="1"/>
  <c r="X533" i="2" s="1"/>
  <c r="AA534" i="2" a="1"/>
  <c r="AA534" i="2" s="1"/>
  <c r="Y533" i="2" a="1"/>
  <c r="Y533" i="2" s="1"/>
  <c r="AE538" i="2" a="1"/>
  <c r="AE538" i="2" s="1"/>
  <c r="AD536" i="2" a="1"/>
  <c r="AD536" i="2" s="1"/>
  <c r="W536" i="2" a="1"/>
  <c r="W536" i="2" s="1"/>
  <c r="AJ533" i="2" a="1"/>
  <c r="AJ533" i="2" s="1"/>
  <c r="AH533" i="2" a="1"/>
  <c r="AH533" i="2" s="1"/>
  <c r="AA533" i="2" a="1"/>
  <c r="AA533" i="2" s="1"/>
  <c r="Y537" i="2" a="1"/>
  <c r="Y537" i="2" s="1"/>
  <c r="AI536" i="2" a="1"/>
  <c r="AI536" i="2" s="1"/>
  <c r="Z536" i="2" a="1"/>
  <c r="Z536" i="2" s="1"/>
  <c r="AA535" i="2" a="1"/>
  <c r="AA535" i="2" s="1"/>
  <c r="Z535" i="2" a="1"/>
  <c r="Z535" i="2" s="1"/>
  <c r="AF533" i="2" a="1"/>
  <c r="AF533" i="2" s="1"/>
  <c r="W535" i="2" a="1"/>
  <c r="W535" i="2" s="1"/>
  <c r="AG533" i="2" a="1"/>
  <c r="AG533" i="2" s="1"/>
  <c r="Y535" i="2" a="1"/>
  <c r="Y535" i="2" s="1"/>
  <c r="AH534" i="2" a="1"/>
  <c r="AH534" i="2" s="1"/>
  <c r="Y534" i="2" a="1"/>
  <c r="Y534" i="2" s="1"/>
  <c r="AD535" i="2" a="1"/>
  <c r="AD535" i="2" s="1"/>
  <c r="Z534" i="2" a="1"/>
  <c r="Z534" i="2" s="1"/>
  <c r="AE536" i="2" a="1"/>
  <c r="AE536" i="2" s="1"/>
  <c r="AE535" i="2" a="1"/>
  <c r="AE535" i="2" s="1"/>
  <c r="AE533" i="2" a="1"/>
  <c r="AE533" i="2" s="1"/>
  <c r="AI533" i="2" a="1"/>
  <c r="AI533" i="2" s="1"/>
  <c r="AC533" i="2" a="1"/>
  <c r="AC533" i="2" s="1"/>
  <c r="AB537" i="2" a="1"/>
  <c r="AB537" i="2" s="1"/>
  <c r="AI534" i="2" a="1"/>
  <c r="AI534" i="2" s="1"/>
  <c r="AA537" i="2" a="1"/>
  <c r="AA537" i="2" s="1"/>
  <c r="Z537" i="2" a="1"/>
  <c r="Z537" i="2" s="1"/>
  <c r="X537" i="2" a="1"/>
  <c r="X537" i="2" s="1"/>
  <c r="AG534" i="2" a="1"/>
  <c r="AG534" i="2" s="1"/>
  <c r="AC534" i="2" a="1"/>
  <c r="AC534" i="2" s="1"/>
  <c r="W537" i="2" a="1"/>
  <c r="W537" i="2" s="1"/>
  <c r="AF834" i="2" a="1"/>
  <c r="AF834" i="2" s="1"/>
  <c r="AF835" i="2" a="1"/>
  <c r="AF835" i="2" s="1"/>
  <c r="Z835" i="2" a="1"/>
  <c r="Z835" i="2" s="1"/>
  <c r="AG833" i="2" a="1"/>
  <c r="AG833" i="2" s="1"/>
  <c r="AJ834" i="2" a="1"/>
  <c r="AJ834" i="2" s="1"/>
  <c r="AE835" i="2" a="1"/>
  <c r="AE835" i="2" s="1"/>
  <c r="AC835" i="2" a="1"/>
  <c r="AC835" i="2" s="1"/>
  <c r="AI834" i="2" a="1"/>
  <c r="AI834" i="2" s="1"/>
  <c r="AH834" i="2" a="1"/>
  <c r="AH834" i="2" s="1"/>
  <c r="AA834" i="2" a="1"/>
  <c r="AA834" i="2" s="1"/>
  <c r="Y834" i="2" a="1"/>
  <c r="Y834" i="2" s="1"/>
  <c r="AH833" i="2" a="1"/>
  <c r="AH833" i="2" s="1"/>
  <c r="AB833" i="2" a="1"/>
  <c r="AB833" i="2" s="1"/>
  <c r="Y833" i="2" a="1"/>
  <c r="Y833" i="2" s="1"/>
  <c r="X833" i="2" a="1"/>
  <c r="X833" i="2" s="1"/>
  <c r="AJ832" i="2" a="1"/>
  <c r="AJ832" i="2" s="1"/>
  <c r="AB835" i="2" a="1"/>
  <c r="AB835" i="2" s="1"/>
  <c r="AE834" i="2" a="1"/>
  <c r="AE834" i="2" s="1"/>
  <c r="AD834" i="2" a="1"/>
  <c r="AD834" i="2" s="1"/>
  <c r="X834" i="2" a="1"/>
  <c r="X834" i="2" s="1"/>
  <c r="AC833" i="2" a="1"/>
  <c r="AC833" i="2" s="1"/>
  <c r="AB836" i="2" a="1"/>
  <c r="AB836" i="2" s="1"/>
  <c r="AD835" i="2" a="1"/>
  <c r="AD835" i="2" s="1"/>
  <c r="W835" i="2" a="1"/>
  <c r="W835" i="2" s="1"/>
  <c r="Z833" i="2" a="1"/>
  <c r="Z833" i="2" s="1"/>
  <c r="W833" i="2" a="1"/>
  <c r="W833" i="2" s="1"/>
  <c r="AI832" i="2" a="1"/>
  <c r="AI832" i="2" s="1"/>
  <c r="AG834" i="2" a="1"/>
  <c r="AG834" i="2" s="1"/>
  <c r="AF832" i="2" a="1"/>
  <c r="AF832" i="2" s="1"/>
  <c r="Z834" i="2" a="1"/>
  <c r="Z834" i="2" s="1"/>
  <c r="AJ833" i="2" a="1"/>
  <c r="AJ833" i="2" s="1"/>
  <c r="AG837" i="2" a="1"/>
  <c r="AG837" i="2" s="1"/>
  <c r="AD836" i="2" a="1"/>
  <c r="AD836" i="2" s="1"/>
  <c r="AJ835" i="2" a="1"/>
  <c r="AJ835" i="2" s="1"/>
  <c r="AG835" i="2" a="1"/>
  <c r="AG835" i="2" s="1"/>
  <c r="AC836" i="2" a="1"/>
  <c r="AC836" i="2" s="1"/>
  <c r="AA836" i="2" a="1"/>
  <c r="AA836" i="2" s="1"/>
  <c r="Z836" i="2" a="1"/>
  <c r="Z836" i="2" s="1"/>
  <c r="Y835" i="2" a="1"/>
  <c r="Y835" i="2" s="1"/>
  <c r="AI833" i="2" a="1"/>
  <c r="AI833" i="2" s="1"/>
  <c r="AD833" i="2" a="1"/>
  <c r="AD833" i="2" s="1"/>
  <c r="AA833" i="2" a="1"/>
  <c r="AA833" i="2" s="1"/>
  <c r="AE832" i="2" a="1"/>
  <c r="AE832" i="2" s="1"/>
  <c r="Y836" i="2" a="1"/>
  <c r="Y836" i="2" s="1"/>
  <c r="AF833" i="2" a="1"/>
  <c r="AF833" i="2" s="1"/>
  <c r="X836" i="2" a="1"/>
  <c r="X836" i="2" s="1"/>
  <c r="AI835" i="2" a="1"/>
  <c r="AI835" i="2" s="1"/>
  <c r="W836" i="2" a="1"/>
  <c r="W836" i="2" s="1"/>
  <c r="X835" i="2" a="1"/>
  <c r="X835" i="2" s="1"/>
  <c r="AH835" i="2" a="1"/>
  <c r="AH835" i="2" s="1"/>
  <c r="AC834" i="2" a="1"/>
  <c r="AC834" i="2" s="1"/>
  <c r="AA835" i="2" a="1"/>
  <c r="AA835" i="2" s="1"/>
  <c r="AB834" i="2" a="1"/>
  <c r="AB834" i="2" s="1"/>
  <c r="AD832" i="2" a="1"/>
  <c r="AD832" i="2" s="1"/>
  <c r="AE833" i="2" a="1"/>
  <c r="AE833" i="2" s="1"/>
  <c r="AG832" i="2" a="1"/>
  <c r="AG832" i="2" s="1"/>
  <c r="W834" i="2" a="1"/>
  <c r="W834" i="2" s="1"/>
  <c r="AH832" i="2" a="1"/>
  <c r="AH832" i="2" s="1"/>
  <c r="Z829" i="2" a="1"/>
  <c r="Z829" i="2" s="1"/>
  <c r="AJ831" i="2" a="1"/>
  <c r="AJ831" i="2" s="1"/>
  <c r="AG830" i="2" a="1"/>
  <c r="AG830" i="2" s="1"/>
  <c r="W830" i="2" a="1"/>
  <c r="W830" i="2" s="1"/>
  <c r="AF831" i="2" a="1"/>
  <c r="AF831" i="2" s="1"/>
  <c r="AF830" i="2" a="1"/>
  <c r="AF830" i="2" s="1"/>
  <c r="X830" i="2" a="1"/>
  <c r="X830" i="2" s="1"/>
  <c r="Y829" i="2" a="1"/>
  <c r="Y829" i="2" s="1"/>
  <c r="AH828" i="2" a="1"/>
  <c r="AH828" i="2" s="1"/>
  <c r="AI831" i="2" a="1"/>
  <c r="AI831" i="2" s="1"/>
  <c r="AH831" i="2" a="1"/>
  <c r="AH831" i="2" s="1"/>
  <c r="AG831" i="2" a="1"/>
  <c r="AG831" i="2" s="1"/>
  <c r="AF828" i="2" a="1"/>
  <c r="AF828" i="2" s="1"/>
  <c r="AB830" i="2" a="1"/>
  <c r="AB830" i="2" s="1"/>
  <c r="AE831" i="2" a="1"/>
  <c r="AE831" i="2" s="1"/>
  <c r="AD828" i="2" a="1"/>
  <c r="AD828" i="2" s="1"/>
  <c r="AI829" i="2" a="1"/>
  <c r="AI829" i="2" s="1"/>
  <c r="AF829" i="2" a="1"/>
  <c r="AF829" i="2" s="1"/>
  <c r="AI830" i="2" a="1"/>
  <c r="AI830" i="2" s="1"/>
  <c r="Z830" i="2" a="1"/>
  <c r="Z830" i="2" s="1"/>
  <c r="AA829" i="2" a="1"/>
  <c r="AA829" i="2" s="1"/>
  <c r="AA828" i="2" a="1"/>
  <c r="AA828" i="2" s="1"/>
  <c r="AE830" i="2" a="1"/>
  <c r="AE830" i="2" s="1"/>
  <c r="AJ829" i="2" a="1"/>
  <c r="AJ829" i="2" s="1"/>
  <c r="X829" i="2" a="1"/>
  <c r="X829" i="2" s="1"/>
  <c r="AG829" i="2" a="1"/>
  <c r="AG829" i="2" s="1"/>
  <c r="AC828" i="2" a="1"/>
  <c r="AC828" i="2" s="1"/>
  <c r="AE829" i="2" a="1"/>
  <c r="AE829" i="2" s="1"/>
  <c r="AA831" i="2" a="1"/>
  <c r="AA831" i="2" s="1"/>
  <c r="AD830" i="2" a="1"/>
  <c r="AD830" i="2" s="1"/>
  <c r="Y830" i="2" a="1"/>
  <c r="Y830" i="2" s="1"/>
  <c r="Z828" i="2" a="1"/>
  <c r="Z828" i="2" s="1"/>
  <c r="AC831" i="2" a="1"/>
  <c r="AC831" i="2" s="1"/>
  <c r="W831" i="2" a="1"/>
  <c r="W831" i="2" s="1"/>
  <c r="AH830" i="2" a="1"/>
  <c r="AH830" i="2" s="1"/>
  <c r="W829" i="2" a="1"/>
  <c r="W829" i="2" s="1"/>
  <c r="AB828" i="2" a="1"/>
  <c r="AB828" i="2" s="1"/>
  <c r="AD829" i="2" a="1"/>
  <c r="AD829" i="2" s="1"/>
  <c r="AE828" i="2" a="1"/>
  <c r="AE828" i="2" s="1"/>
  <c r="AA830" i="2" a="1"/>
  <c r="AA830" i="2" s="1"/>
  <c r="Y828" i="2" a="1"/>
  <c r="Y828" i="2" s="1"/>
  <c r="W828" i="2" a="1"/>
  <c r="W828" i="2" s="1"/>
  <c r="Y831" i="2" a="1"/>
  <c r="Y831" i="2" s="1"/>
  <c r="AC830" i="2" a="1"/>
  <c r="AC830" i="2" s="1"/>
  <c r="AG828" i="2" a="1"/>
  <c r="AG828" i="2" s="1"/>
  <c r="Z831" i="2" a="1"/>
  <c r="Z831" i="2" s="1"/>
  <c r="X831" i="2" a="1"/>
  <c r="X831" i="2" s="1"/>
  <c r="AC829" i="2" a="1"/>
  <c r="AC829" i="2" s="1"/>
  <c r="AH829" i="2" a="1"/>
  <c r="AH829" i="2" s="1"/>
  <c r="AA838" i="2" a="1"/>
  <c r="AA838" i="2" s="1"/>
  <c r="AJ828" i="2" a="1"/>
  <c r="AJ828" i="2" s="1"/>
  <c r="AC832" i="2" a="1"/>
  <c r="AC832" i="2" s="1"/>
  <c r="AB832" i="2" a="1"/>
  <c r="AB832" i="2" s="1"/>
  <c r="AJ830" i="2" a="1"/>
  <c r="AJ830" i="2" s="1"/>
  <c r="AA832" i="2" a="1"/>
  <c r="AA832" i="2" s="1"/>
  <c r="Z832" i="2" a="1"/>
  <c r="Z832" i="2" s="1"/>
  <c r="Y832" i="2" a="1"/>
  <c r="Y832" i="2" s="1"/>
  <c r="AD831" i="2" a="1"/>
  <c r="AD831" i="2" s="1"/>
  <c r="X832" i="2" a="1"/>
  <c r="X832" i="2" s="1"/>
  <c r="W832" i="2" a="1"/>
  <c r="W832" i="2" s="1"/>
  <c r="AB829" i="2" a="1"/>
  <c r="AB829" i="2" s="1"/>
  <c r="AB831" i="2" a="1"/>
  <c r="AB831" i="2" s="1"/>
  <c r="AI828" i="2" a="1"/>
  <c r="AI828" i="2" s="1"/>
  <c r="X828" i="2" a="1"/>
  <c r="X828" i="2" s="1"/>
  <c r="W826" i="2" a="1"/>
  <c r="W826" i="2" s="1"/>
  <c r="AD826" i="2" a="1"/>
  <c r="AD826" i="2" s="1"/>
  <c r="AC826" i="2" a="1"/>
  <c r="AC826" i="2" s="1"/>
  <c r="AA826" i="2" a="1"/>
  <c r="AA826" i="2" s="1"/>
  <c r="Z826" i="2" a="1"/>
  <c r="Z826" i="2" s="1"/>
  <c r="AG823" i="2" a="1"/>
  <c r="AG823" i="2" s="1"/>
  <c r="AB824" i="2" a="1"/>
  <c r="AB824" i="2" s="1"/>
  <c r="AA825" i="2" a="1"/>
  <c r="AA825" i="2" s="1"/>
  <c r="AH824" i="2" a="1"/>
  <c r="AH824" i="2" s="1"/>
  <c r="AE823" i="2" a="1"/>
  <c r="AE823" i="2" s="1"/>
  <c r="AF824" i="2" a="1"/>
  <c r="AF824" i="2" s="1"/>
  <c r="AF823" i="2" a="1"/>
  <c r="AF823" i="2" s="1"/>
  <c r="AF825" i="2" a="1"/>
  <c r="AF825" i="2" s="1"/>
  <c r="Z825" i="2" a="1"/>
  <c r="Z825" i="2" s="1"/>
  <c r="AE824" i="2" a="1"/>
  <c r="AE824" i="2" s="1"/>
  <c r="Z824" i="2" a="1"/>
  <c r="Z824" i="2" s="1"/>
  <c r="Y824" i="2" a="1"/>
  <c r="Y824" i="2" s="1"/>
  <c r="AB826" i="2" a="1"/>
  <c r="AB826" i="2" s="1"/>
  <c r="Y826" i="2" a="1"/>
  <c r="Y826" i="2" s="1"/>
  <c r="AI823" i="2" a="1"/>
  <c r="AI823" i="2" s="1"/>
  <c r="AF837" i="2" a="1"/>
  <c r="AF837" i="2" s="1"/>
  <c r="AB827" i="2" a="1"/>
  <c r="AB827" i="2" s="1"/>
  <c r="Y825" i="2" a="1"/>
  <c r="Y825" i="2" s="1"/>
  <c r="AJ827" i="2" a="1"/>
  <c r="AJ827" i="2" s="1"/>
  <c r="AI827" i="2" a="1"/>
  <c r="AI827" i="2" s="1"/>
  <c r="AC827" i="2" a="1"/>
  <c r="AC827" i="2" s="1"/>
  <c r="X827" i="2" a="1"/>
  <c r="X827" i="2" s="1"/>
  <c r="X826" i="2" a="1"/>
  <c r="X826" i="2" s="1"/>
  <c r="AH827" i="2" a="1"/>
  <c r="AH827" i="2" s="1"/>
  <c r="AG827" i="2" a="1"/>
  <c r="AG827" i="2" s="1"/>
  <c r="AF827" i="2" a="1"/>
  <c r="AF827" i="2" s="1"/>
  <c r="AA824" i="2" a="1"/>
  <c r="AA824" i="2" s="1"/>
  <c r="AG825" i="2" a="1"/>
  <c r="AG825" i="2" s="1"/>
  <c r="W824" i="2" a="1"/>
  <c r="W824" i="2" s="1"/>
  <c r="AJ823" i="2" a="1"/>
  <c r="AJ823" i="2" s="1"/>
  <c r="AJ825" i="2" a="1"/>
  <c r="AJ825" i="2" s="1"/>
  <c r="AA827" i="2" a="1"/>
  <c r="AA827" i="2" s="1"/>
  <c r="X825" i="2" a="1"/>
  <c r="X825" i="2" s="1"/>
  <c r="AC825" i="2" a="1"/>
  <c r="AC825" i="2" s="1"/>
  <c r="AH823" i="2" a="1"/>
  <c r="AH823" i="2" s="1"/>
  <c r="AE827" i="2" a="1"/>
  <c r="AE827" i="2" s="1"/>
  <c r="W825" i="2" a="1"/>
  <c r="W825" i="2" s="1"/>
  <c r="W827" i="2" a="1"/>
  <c r="W827" i="2" s="1"/>
  <c r="AH826" i="2" a="1"/>
  <c r="AH826" i="2" s="1"/>
  <c r="AE826" i="2" a="1"/>
  <c r="AE826" i="2" s="1"/>
  <c r="AB825" i="2" a="1"/>
  <c r="AB825" i="2" s="1"/>
  <c r="AG824" i="2" a="1"/>
  <c r="AG824" i="2" s="1"/>
  <c r="AJ824" i="2" a="1"/>
  <c r="AJ824" i="2" s="1"/>
  <c r="AD827" i="2" a="1"/>
  <c r="AD827" i="2" s="1"/>
  <c r="Z827" i="2" a="1"/>
  <c r="Z827" i="2" s="1"/>
  <c r="AI825" i="2" a="1"/>
  <c r="AI825" i="2" s="1"/>
  <c r="AH825" i="2" a="1"/>
  <c r="AH825" i="2" s="1"/>
  <c r="AD823" i="2" a="1"/>
  <c r="AD823" i="2" s="1"/>
  <c r="AC824" i="2" a="1"/>
  <c r="AC824" i="2" s="1"/>
  <c r="AD825" i="2" a="1"/>
  <c r="AD825" i="2" s="1"/>
  <c r="AD824" i="2" a="1"/>
  <c r="AD824" i="2" s="1"/>
  <c r="X824" i="2" a="1"/>
  <c r="X824" i="2" s="1"/>
  <c r="Y827" i="2" a="1"/>
  <c r="Y827" i="2" s="1"/>
  <c r="AJ826" i="2" a="1"/>
  <c r="AJ826" i="2" s="1"/>
  <c r="AI826" i="2" a="1"/>
  <c r="AI826" i="2" s="1"/>
  <c r="AG826" i="2" a="1"/>
  <c r="AG826" i="2" s="1"/>
  <c r="AF826" i="2" a="1"/>
  <c r="AF826" i="2" s="1"/>
  <c r="AI824" i="2" a="1"/>
  <c r="AI824" i="2" s="1"/>
  <c r="AE825" i="2" a="1"/>
  <c r="AE825" i="2" s="1"/>
  <c r="AF820" i="2" a="1"/>
  <c r="AF820" i="2" s="1"/>
  <c r="AH822" i="2" a="1"/>
  <c r="AH822" i="2" s="1"/>
  <c r="AF822" i="2" a="1"/>
  <c r="AF822" i="2" s="1"/>
  <c r="AI819" i="2" a="1"/>
  <c r="AI819" i="2" s="1"/>
  <c r="AE822" i="2" a="1"/>
  <c r="AE822" i="2" s="1"/>
  <c r="AD822" i="2" a="1"/>
  <c r="AD822" i="2" s="1"/>
  <c r="AB822" i="2" a="1"/>
  <c r="AB822" i="2" s="1"/>
  <c r="Z822" i="2" a="1"/>
  <c r="Z822" i="2" s="1"/>
  <c r="Y819" i="2" a="1"/>
  <c r="Y819" i="2" s="1"/>
  <c r="AF821" i="2" a="1"/>
  <c r="AF821" i="2" s="1"/>
  <c r="AG820" i="2" a="1"/>
  <c r="AG820" i="2" s="1"/>
  <c r="AD821" i="2" a="1"/>
  <c r="AD821" i="2" s="1"/>
  <c r="W820" i="2" a="1"/>
  <c r="W820" i="2" s="1"/>
  <c r="Y820" i="2" a="1"/>
  <c r="Y820" i="2" s="1"/>
  <c r="AH820" i="2" a="1"/>
  <c r="AH820" i="2" s="1"/>
  <c r="X819" i="2" a="1"/>
  <c r="X819" i="2" s="1"/>
  <c r="AB821" i="2" a="1"/>
  <c r="AB821" i="2" s="1"/>
  <c r="AG819" i="2" a="1"/>
  <c r="AG819" i="2" s="1"/>
  <c r="AF819" i="2" a="1"/>
  <c r="AF819" i="2" s="1"/>
  <c r="W819" i="2" a="1"/>
  <c r="W819" i="2" s="1"/>
  <c r="Z820" i="2" a="1"/>
  <c r="Z820" i="2" s="1"/>
  <c r="AH821" i="2" a="1"/>
  <c r="AH821" i="2" s="1"/>
  <c r="AC822" i="2" a="1"/>
  <c r="AC822" i="2" s="1"/>
  <c r="AJ821" i="2" a="1"/>
  <c r="AJ821" i="2" s="1"/>
  <c r="AE821" i="2" a="1"/>
  <c r="AE821" i="2" s="1"/>
  <c r="AC821" i="2" a="1"/>
  <c r="AC821" i="2" s="1"/>
  <c r="X820" i="2" a="1"/>
  <c r="X820" i="2" s="1"/>
  <c r="AH819" i="2" a="1"/>
  <c r="AH819" i="2" s="1"/>
  <c r="AD820" i="2" a="1"/>
  <c r="AD820" i="2" s="1"/>
  <c r="AA821" i="2" a="1"/>
  <c r="AA821" i="2" s="1"/>
  <c r="X821" i="2" a="1"/>
  <c r="X821" i="2" s="1"/>
  <c r="AA820" i="2" a="1"/>
  <c r="AA820" i="2" s="1"/>
  <c r="AG821" i="2" a="1"/>
  <c r="AG821" i="2" s="1"/>
  <c r="AI820" i="2" a="1"/>
  <c r="AI820" i="2" s="1"/>
  <c r="AE820" i="2" a="1"/>
  <c r="AE820" i="2" s="1"/>
  <c r="AB819" i="2" a="1"/>
  <c r="AB819" i="2" s="1"/>
  <c r="AD819" i="2" a="1"/>
  <c r="AD819" i="2" s="1"/>
  <c r="AC820" i="2" a="1"/>
  <c r="AC820" i="2" s="1"/>
  <c r="AE838" i="2" a="1"/>
  <c r="AE838" i="2" s="1"/>
  <c r="AC823" i="2" a="1"/>
  <c r="AC823" i="2" s="1"/>
  <c r="AJ819" i="2" a="1"/>
  <c r="AJ819" i="2" s="1"/>
  <c r="W822" i="2" a="1"/>
  <c r="W822" i="2" s="1"/>
  <c r="AB823" i="2" a="1"/>
  <c r="AB823" i="2" s="1"/>
  <c r="W823" i="2" a="1"/>
  <c r="W823" i="2" s="1"/>
  <c r="AC819" i="2" a="1"/>
  <c r="AC819" i="2" s="1"/>
  <c r="AG822" i="2" a="1"/>
  <c r="AG822" i="2" s="1"/>
  <c r="AA822" i="2" a="1"/>
  <c r="AA822" i="2" s="1"/>
  <c r="X823" i="2" a="1"/>
  <c r="X823" i="2" s="1"/>
  <c r="X822" i="2" a="1"/>
  <c r="X822" i="2" s="1"/>
  <c r="AB820" i="2" a="1"/>
  <c r="AB820" i="2" s="1"/>
  <c r="AA819" i="2" a="1"/>
  <c r="AA819" i="2" s="1"/>
  <c r="AA823" i="2" a="1"/>
  <c r="AA823" i="2" s="1"/>
  <c r="Z823" i="2" a="1"/>
  <c r="Z823" i="2" s="1"/>
  <c r="AJ820" i="2" a="1"/>
  <c r="AJ820" i="2" s="1"/>
  <c r="AE819" i="2" a="1"/>
  <c r="AE819" i="2" s="1"/>
  <c r="Y823" i="2" a="1"/>
  <c r="Y823" i="2" s="1"/>
  <c r="W821" i="2" a="1"/>
  <c r="W821" i="2" s="1"/>
  <c r="AJ822" i="2" a="1"/>
  <c r="AJ822" i="2" s="1"/>
  <c r="AI821" i="2" a="1"/>
  <c r="AI821" i="2" s="1"/>
  <c r="AI822" i="2" a="1"/>
  <c r="AI822" i="2" s="1"/>
  <c r="Y821" i="2" a="1"/>
  <c r="Y821" i="2" s="1"/>
  <c r="Y822" i="2" a="1"/>
  <c r="Y822" i="2" s="1"/>
  <c r="Z821" i="2" a="1"/>
  <c r="Z821" i="2" s="1"/>
  <c r="Z819" i="2" a="1"/>
  <c r="Z819" i="2" s="1"/>
  <c r="AC818" i="2" a="1"/>
  <c r="AC818" i="2" s="1"/>
  <c r="AB818" i="2" a="1"/>
  <c r="AB818" i="2" s="1"/>
  <c r="AI817" i="2" a="1"/>
  <c r="AI817" i="2" s="1"/>
  <c r="AB815" i="2" a="1"/>
  <c r="AB815" i="2" s="1"/>
  <c r="AB816" i="2" a="1"/>
  <c r="AB816" i="2" s="1"/>
  <c r="AD814" i="2" a="1"/>
  <c r="AD814" i="2" s="1"/>
  <c r="AA818" i="2" a="1"/>
  <c r="AA818" i="2" s="1"/>
  <c r="Z818" i="2" a="1"/>
  <c r="Z818" i="2" s="1"/>
  <c r="AI814" i="2" a="1"/>
  <c r="AI814" i="2" s="1"/>
  <c r="Y818" i="2" a="1"/>
  <c r="Y818" i="2" s="1"/>
  <c r="AJ817" i="2" a="1"/>
  <c r="AJ817" i="2" s="1"/>
  <c r="Y817" i="2" a="1"/>
  <c r="Y817" i="2" s="1"/>
  <c r="AG816" i="2" a="1"/>
  <c r="AG816" i="2" s="1"/>
  <c r="AF816" i="2" a="1"/>
  <c r="AF816" i="2" s="1"/>
  <c r="AC816" i="2" a="1"/>
  <c r="AC816" i="2" s="1"/>
  <c r="AH814" i="2" a="1"/>
  <c r="AH814" i="2" s="1"/>
  <c r="Z815" i="2" a="1"/>
  <c r="Z815" i="2" s="1"/>
  <c r="AG815" i="2" a="1"/>
  <c r="AG815" i="2" s="1"/>
  <c r="AC815" i="2" a="1"/>
  <c r="AC815" i="2" s="1"/>
  <c r="AF814" i="2" a="1"/>
  <c r="AF814" i="2" s="1"/>
  <c r="Z817" i="2" a="1"/>
  <c r="Z817" i="2" s="1"/>
  <c r="AI815" i="2" a="1"/>
  <c r="AI815" i="2" s="1"/>
  <c r="AH817" i="2" a="1"/>
  <c r="AH817" i="2" s="1"/>
  <c r="AA815" i="2" a="1"/>
  <c r="AA815" i="2" s="1"/>
  <c r="Y815" i="2" a="1"/>
  <c r="Y815" i="2" s="1"/>
  <c r="AF817" i="2" a="1"/>
  <c r="AF817" i="2" s="1"/>
  <c r="AH816" i="2" a="1"/>
  <c r="AH816" i="2" s="1"/>
  <c r="AF815" i="2" a="1"/>
  <c r="AF815" i="2" s="1"/>
  <c r="AE817" i="2" a="1"/>
  <c r="AE817" i="2" s="1"/>
  <c r="AA817" i="2" a="1"/>
  <c r="AA817" i="2" s="1"/>
  <c r="AD817" i="2" a="1"/>
  <c r="AD817" i="2" s="1"/>
  <c r="AB817" i="2" a="1"/>
  <c r="AB817" i="2" s="1"/>
  <c r="AD816" i="2" a="1"/>
  <c r="AD816" i="2" s="1"/>
  <c r="W816" i="2" a="1"/>
  <c r="W816" i="2" s="1"/>
  <c r="AG814" i="2" a="1"/>
  <c r="AG814" i="2" s="1"/>
  <c r="X815" i="2" a="1"/>
  <c r="X815" i="2" s="1"/>
  <c r="X816" i="2" a="1"/>
  <c r="X816" i="2" s="1"/>
  <c r="AH815" i="2" a="1"/>
  <c r="AH815" i="2" s="1"/>
  <c r="AD815" i="2" a="1"/>
  <c r="AD815" i="2" s="1"/>
  <c r="AE814" i="2" a="1"/>
  <c r="AE814" i="2" s="1"/>
  <c r="AE837" i="2" a="1"/>
  <c r="AE837" i="2" s="1"/>
  <c r="AJ818" i="2" a="1"/>
  <c r="AJ818" i="2" s="1"/>
  <c r="AI818" i="2" a="1"/>
  <c r="AI818" i="2" s="1"/>
  <c r="X818" i="2" a="1"/>
  <c r="X818" i="2" s="1"/>
  <c r="AH818" i="2" a="1"/>
  <c r="AH818" i="2" s="1"/>
  <c r="AC817" i="2" a="1"/>
  <c r="AC817" i="2" s="1"/>
  <c r="Y816" i="2" a="1"/>
  <c r="Y816" i="2" s="1"/>
  <c r="W817" i="2" a="1"/>
  <c r="W817" i="2" s="1"/>
  <c r="AI816" i="2" a="1"/>
  <c r="AI816" i="2" s="1"/>
  <c r="AA816" i="2" a="1"/>
  <c r="AA816" i="2" s="1"/>
  <c r="W815" i="2" a="1"/>
  <c r="W815" i="2" s="1"/>
  <c r="AF818" i="2" a="1"/>
  <c r="AF818" i="2" s="1"/>
  <c r="X817" i="2" a="1"/>
  <c r="X817" i="2" s="1"/>
  <c r="AE816" i="2" a="1"/>
  <c r="AE816" i="2" s="1"/>
  <c r="AE815" i="2" a="1"/>
  <c r="AE815" i="2" s="1"/>
  <c r="W818" i="2" a="1"/>
  <c r="W818" i="2" s="1"/>
  <c r="AG817" i="2" a="1"/>
  <c r="AG817" i="2" s="1"/>
  <c r="AJ816" i="2" a="1"/>
  <c r="AJ816" i="2" s="1"/>
  <c r="AJ815" i="2" a="1"/>
  <c r="AJ815" i="2" s="1"/>
  <c r="AG818" i="2" a="1"/>
  <c r="AG818" i="2" s="1"/>
  <c r="AE818" i="2" a="1"/>
  <c r="AE818" i="2" s="1"/>
  <c r="Z816" i="2" a="1"/>
  <c r="Z816" i="2" s="1"/>
  <c r="AD818" i="2" a="1"/>
  <c r="AD818" i="2" s="1"/>
  <c r="AJ814" i="2" a="1"/>
  <c r="AJ814" i="2" s="1"/>
  <c r="AC811" i="2" a="1"/>
  <c r="AC811" i="2" s="1"/>
  <c r="AC814" i="2" a="1"/>
  <c r="AC814" i="2" s="1"/>
  <c r="AB814" i="2" a="1"/>
  <c r="AB814" i="2" s="1"/>
  <c r="X814" i="2" a="1"/>
  <c r="X814" i="2" s="1"/>
  <c r="AF813" i="2" a="1"/>
  <c r="AF813" i="2" s="1"/>
  <c r="AJ810" i="2" a="1"/>
  <c r="AJ810" i="2" s="1"/>
  <c r="AE812" i="2" a="1"/>
  <c r="AE812" i="2" s="1"/>
  <c r="AH810" i="2" a="1"/>
  <c r="AH810" i="2" s="1"/>
  <c r="AC810" i="2" a="1"/>
  <c r="AC810" i="2" s="1"/>
  <c r="AA810" i="2" a="1"/>
  <c r="AA810" i="2" s="1"/>
  <c r="AA814" i="2" a="1"/>
  <c r="AA814" i="2" s="1"/>
  <c r="AI810" i="2" a="1"/>
  <c r="AI810" i="2" s="1"/>
  <c r="Y813" i="2" a="1"/>
  <c r="Y813" i="2" s="1"/>
  <c r="X813" i="2" a="1"/>
  <c r="X813" i="2" s="1"/>
  <c r="Z810" i="2" a="1"/>
  <c r="Z810" i="2" s="1"/>
  <c r="Y810" i="2" a="1"/>
  <c r="Y810" i="2" s="1"/>
  <c r="Z813" i="2" a="1"/>
  <c r="Z813" i="2" s="1"/>
  <c r="Y814" i="2" a="1"/>
  <c r="Y814" i="2" s="1"/>
  <c r="AB810" i="2" a="1"/>
  <c r="AB810" i="2" s="1"/>
  <c r="X811" i="2" a="1"/>
  <c r="X811" i="2" s="1"/>
  <c r="AD811" i="2" a="1"/>
  <c r="AD811" i="2" s="1"/>
  <c r="W810" i="2" a="1"/>
  <c r="W810" i="2" s="1"/>
  <c r="W813" i="2" a="1"/>
  <c r="W813" i="2" s="1"/>
  <c r="AA811" i="2" a="1"/>
  <c r="AA811" i="2" s="1"/>
  <c r="AF810" i="2" a="1"/>
  <c r="AF810" i="2" s="1"/>
  <c r="AG813" i="2" a="1"/>
  <c r="AG813" i="2" s="1"/>
  <c r="AI812" i="2" a="1"/>
  <c r="AI812" i="2" s="1"/>
  <c r="AG812" i="2" a="1"/>
  <c r="AG812" i="2" s="1"/>
  <c r="AH811" i="2" a="1"/>
  <c r="AH811" i="2" s="1"/>
  <c r="Y812" i="2" a="1"/>
  <c r="Y812" i="2" s="1"/>
  <c r="Z811" i="2" a="1"/>
  <c r="Z811" i="2" s="1"/>
  <c r="X810" i="2" a="1"/>
  <c r="X810" i="2" s="1"/>
  <c r="Y811" i="2" a="1"/>
  <c r="Y811" i="2" s="1"/>
  <c r="AE810" i="2" a="1"/>
  <c r="AE810" i="2" s="1"/>
  <c r="AD810" i="2" a="1"/>
  <c r="AD810" i="2" s="1"/>
  <c r="Z814" i="2" a="1"/>
  <c r="Z814" i="2" s="1"/>
  <c r="W814" i="2" a="1"/>
  <c r="W814" i="2" s="1"/>
  <c r="AH813" i="2" a="1"/>
  <c r="AH813" i="2" s="1"/>
  <c r="AG811" i="2" a="1"/>
  <c r="AG811" i="2" s="1"/>
  <c r="W811" i="2" a="1"/>
  <c r="W811" i="2" s="1"/>
  <c r="AJ813" i="2" a="1"/>
  <c r="AJ813" i="2" s="1"/>
  <c r="AB812" i="2" a="1"/>
  <c r="AB812" i="2" s="1"/>
  <c r="AH812" i="2" a="1"/>
  <c r="AH812" i="2" s="1"/>
  <c r="AI811" i="2" a="1"/>
  <c r="AI811" i="2" s="1"/>
  <c r="AI813" i="2" a="1"/>
  <c r="AI813" i="2" s="1"/>
  <c r="AD813" i="2" a="1"/>
  <c r="AD813" i="2" s="1"/>
  <c r="AA812" i="2" a="1"/>
  <c r="AA812" i="2" s="1"/>
  <c r="AF811" i="2" a="1"/>
  <c r="AF811" i="2" s="1"/>
  <c r="AC812" i="2" a="1"/>
  <c r="AC812" i="2" s="1"/>
  <c r="AJ811" i="2" a="1"/>
  <c r="AJ811" i="2" s="1"/>
  <c r="AB813" i="2" a="1"/>
  <c r="AB813" i="2" s="1"/>
  <c r="AC813" i="2" a="1"/>
  <c r="AC813" i="2" s="1"/>
  <c r="AG810" i="2" a="1"/>
  <c r="AG810" i="2" s="1"/>
  <c r="AB811" i="2" a="1"/>
  <c r="AB811" i="2" s="1"/>
  <c r="AE813" i="2" a="1"/>
  <c r="AE813" i="2" s="1"/>
  <c r="AA813" i="2" a="1"/>
  <c r="AA813" i="2" s="1"/>
  <c r="AF812" i="2" a="1"/>
  <c r="AF812" i="2" s="1"/>
  <c r="AJ812" i="2" a="1"/>
  <c r="AJ812" i="2" s="1"/>
  <c r="Z812" i="2" a="1"/>
  <c r="Z812" i="2" s="1"/>
  <c r="W812" i="2" a="1"/>
  <c r="W812" i="2" s="1"/>
  <c r="AE811" i="2" a="1"/>
  <c r="AE811" i="2" s="1"/>
  <c r="X812" i="2" a="1"/>
  <c r="X812" i="2" s="1"/>
  <c r="Z838" i="2" a="1"/>
  <c r="Z838" i="2" s="1"/>
  <c r="AD812" i="2" a="1"/>
  <c r="AD812" i="2" s="1"/>
  <c r="AH806" i="2" a="1"/>
  <c r="AH806" i="2" s="1"/>
  <c r="AA809" i="2" a="1"/>
  <c r="AA809" i="2" s="1"/>
  <c r="Y809" i="2" a="1"/>
  <c r="Y809" i="2" s="1"/>
  <c r="Z808" i="2" a="1"/>
  <c r="Z808" i="2" s="1"/>
  <c r="AF807" i="2" a="1"/>
  <c r="AF807" i="2" s="1"/>
  <c r="AJ806" i="2" a="1"/>
  <c r="AJ806" i="2" s="1"/>
  <c r="AB806" i="2" a="1"/>
  <c r="AB806" i="2" s="1"/>
  <c r="X806" i="2" a="1"/>
  <c r="X806" i="2" s="1"/>
  <c r="AJ805" i="2" a="1"/>
  <c r="AJ805" i="2" s="1"/>
  <c r="AH805" i="2" a="1"/>
  <c r="AH805" i="2" s="1"/>
  <c r="AE805" i="2" a="1"/>
  <c r="AE805" i="2" s="1"/>
  <c r="W806" i="2" a="1"/>
  <c r="W806" i="2" s="1"/>
  <c r="Y807" i="2" a="1"/>
  <c r="Y807" i="2" s="1"/>
  <c r="AE806" i="2" a="1"/>
  <c r="AE806" i="2" s="1"/>
  <c r="AJ808" i="2" a="1"/>
  <c r="AJ808" i="2" s="1"/>
  <c r="AE808" i="2" a="1"/>
  <c r="AE808" i="2" s="1"/>
  <c r="X807" i="2" a="1"/>
  <c r="X807" i="2" s="1"/>
  <c r="AG808" i="2" a="1"/>
  <c r="AG808" i="2" s="1"/>
  <c r="AH808" i="2" a="1"/>
  <c r="AH808" i="2" s="1"/>
  <c r="AB808" i="2" a="1"/>
  <c r="AB808" i="2" s="1"/>
  <c r="W808" i="2" a="1"/>
  <c r="W808" i="2" s="1"/>
  <c r="AG806" i="2" a="1"/>
  <c r="AG806" i="2" s="1"/>
  <c r="Z809" i="2" a="1"/>
  <c r="Z809" i="2" s="1"/>
  <c r="AC808" i="2" a="1"/>
  <c r="AC808" i="2" s="1"/>
  <c r="W807" i="2" a="1"/>
  <c r="W807" i="2" s="1"/>
  <c r="AI807" i="2" a="1"/>
  <c r="AI807" i="2" s="1"/>
  <c r="Z806" i="2" a="1"/>
  <c r="Z806" i="2" s="1"/>
  <c r="AA808" i="2" a="1"/>
  <c r="AA808" i="2" s="1"/>
  <c r="AD808" i="2" a="1"/>
  <c r="AD808" i="2" s="1"/>
  <c r="AD807" i="2" a="1"/>
  <c r="AD807" i="2" s="1"/>
  <c r="AE807" i="2" a="1"/>
  <c r="AE807" i="2" s="1"/>
  <c r="AA807" i="2" a="1"/>
  <c r="AA807" i="2" s="1"/>
  <c r="AE809" i="2" a="1"/>
  <c r="AE809" i="2" s="1"/>
  <c r="AD809" i="2" a="1"/>
  <c r="AD809" i="2" s="1"/>
  <c r="X809" i="2" a="1"/>
  <c r="X809" i="2" s="1"/>
  <c r="AI806" i="2" a="1"/>
  <c r="AI806" i="2" s="1"/>
  <c r="AI808" i="2" a="1"/>
  <c r="AI808" i="2" s="1"/>
  <c r="AF808" i="2" a="1"/>
  <c r="AF808" i="2" s="1"/>
  <c r="AD837" i="2" a="1"/>
  <c r="AD837" i="2" s="1"/>
  <c r="AI809" i="2" a="1"/>
  <c r="AI809" i="2" s="1"/>
  <c r="AB809" i="2" a="1"/>
  <c r="AB809" i="2" s="1"/>
  <c r="AJ807" i="2" a="1"/>
  <c r="AJ807" i="2" s="1"/>
  <c r="AD806" i="2" a="1"/>
  <c r="AD806" i="2" s="1"/>
  <c r="AC806" i="2" a="1"/>
  <c r="AC806" i="2" s="1"/>
  <c r="AA806" i="2" a="1"/>
  <c r="AA806" i="2" s="1"/>
  <c r="AD805" i="2" a="1"/>
  <c r="AD805" i="2" s="1"/>
  <c r="AC809" i="2" a="1"/>
  <c r="AC809" i="2" s="1"/>
  <c r="Y808" i="2" a="1"/>
  <c r="Y808" i="2" s="1"/>
  <c r="Z807" i="2" a="1"/>
  <c r="Z807" i="2" s="1"/>
  <c r="AF805" i="2" a="1"/>
  <c r="AF805" i="2" s="1"/>
  <c r="AF806" i="2" a="1"/>
  <c r="AF806" i="2" s="1"/>
  <c r="AG805" i="2" a="1"/>
  <c r="AG805" i="2" s="1"/>
  <c r="AI805" i="2" a="1"/>
  <c r="AI805" i="2" s="1"/>
  <c r="AG807" i="2" a="1"/>
  <c r="AG807" i="2" s="1"/>
  <c r="AH807" i="2" a="1"/>
  <c r="AH807" i="2" s="1"/>
  <c r="Y806" i="2" a="1"/>
  <c r="Y806" i="2" s="1"/>
  <c r="AJ809" i="2" a="1"/>
  <c r="AJ809" i="2" s="1"/>
  <c r="AH809" i="2" a="1"/>
  <c r="AH809" i="2" s="1"/>
  <c r="W809" i="2" a="1"/>
  <c r="W809" i="2" s="1"/>
  <c r="X808" i="2" a="1"/>
  <c r="X808" i="2" s="1"/>
  <c r="AB807" i="2" a="1"/>
  <c r="AB807" i="2" s="1"/>
  <c r="AG809" i="2" a="1"/>
  <c r="AG809" i="2" s="1"/>
  <c r="AC807" i="2" a="1"/>
  <c r="AC807" i="2" s="1"/>
  <c r="AF809" i="2" a="1"/>
  <c r="AF809" i="2" s="1"/>
  <c r="X805" i="2" a="1"/>
  <c r="X805" i="2" s="1"/>
  <c r="W805" i="2" a="1"/>
  <c r="W805" i="2" s="1"/>
  <c r="AJ804" i="2" a="1"/>
  <c r="AJ804" i="2" s="1"/>
  <c r="AD804" i="2" a="1"/>
  <c r="AD804" i="2" s="1"/>
  <c r="AC804" i="2" a="1"/>
  <c r="AC804" i="2" s="1"/>
  <c r="W803" i="2" a="1"/>
  <c r="W803" i="2" s="1"/>
  <c r="AG802" i="2" a="1"/>
  <c r="AG802" i="2" s="1"/>
  <c r="AB804" i="2" a="1"/>
  <c r="AB804" i="2" s="1"/>
  <c r="AJ803" i="2" a="1"/>
  <c r="AJ803" i="2" s="1"/>
  <c r="AE803" i="2" a="1"/>
  <c r="AE803" i="2" s="1"/>
  <c r="AD803" i="2" a="1"/>
  <c r="AD803" i="2" s="1"/>
  <c r="AC802" i="2" a="1"/>
  <c r="AC802" i="2" s="1"/>
  <c r="AC803" i="2" a="1"/>
  <c r="AC803" i="2" s="1"/>
  <c r="Z801" i="2" a="1"/>
  <c r="Z801" i="2" s="1"/>
  <c r="AJ801" i="2" a="1"/>
  <c r="AJ801" i="2" s="1"/>
  <c r="AI801" i="2" a="1"/>
  <c r="AI801" i="2" s="1"/>
  <c r="AG803" i="2" a="1"/>
  <c r="AG803" i="2" s="1"/>
  <c r="X804" i="2" a="1"/>
  <c r="X804" i="2" s="1"/>
  <c r="AF803" i="2" a="1"/>
  <c r="AF803" i="2" s="1"/>
  <c r="Y803" i="2" a="1"/>
  <c r="Y803" i="2" s="1"/>
  <c r="AI804" i="2" a="1"/>
  <c r="AI804" i="2" s="1"/>
  <c r="AA802" i="2" a="1"/>
  <c r="AA802" i="2" s="1"/>
  <c r="AE804" i="2" a="1"/>
  <c r="AE804" i="2" s="1"/>
  <c r="AI803" i="2" a="1"/>
  <c r="AI803" i="2" s="1"/>
  <c r="X801" i="2" a="1"/>
  <c r="X801" i="2" s="1"/>
  <c r="AH803" i="2" a="1"/>
  <c r="AH803" i="2" s="1"/>
  <c r="AB803" i="2" a="1"/>
  <c r="AB803" i="2" s="1"/>
  <c r="X803" i="2" a="1"/>
  <c r="X803" i="2" s="1"/>
  <c r="AD802" i="2" a="1"/>
  <c r="AD802" i="2" s="1"/>
  <c r="Z802" i="2" a="1"/>
  <c r="Z802" i="2" s="1"/>
  <c r="AH801" i="2" a="1"/>
  <c r="AH801" i="2" s="1"/>
  <c r="AB801" i="2" a="1"/>
  <c r="AB801" i="2" s="1"/>
  <c r="AB802" i="2" a="1"/>
  <c r="AB802" i="2" s="1"/>
  <c r="Z804" i="2" a="1"/>
  <c r="Z804" i="2" s="1"/>
  <c r="W801" i="2" a="1"/>
  <c r="W801" i="2" s="1"/>
  <c r="AH804" i="2" a="1"/>
  <c r="AH804" i="2" s="1"/>
  <c r="W804" i="2" a="1"/>
  <c r="W804" i="2" s="1"/>
  <c r="AJ802" i="2" a="1"/>
  <c r="AJ802" i="2" s="1"/>
  <c r="AF804" i="2" a="1"/>
  <c r="AF804" i="2" s="1"/>
  <c r="Z803" i="2" a="1"/>
  <c r="Z803" i="2" s="1"/>
  <c r="Y802" i="2" a="1"/>
  <c r="Y802" i="2" s="1"/>
  <c r="W802" i="2" a="1"/>
  <c r="W802" i="2" s="1"/>
  <c r="AE802" i="2" a="1"/>
  <c r="AE802" i="2" s="1"/>
  <c r="AF801" i="2" a="1"/>
  <c r="AF801" i="2" s="1"/>
  <c r="AA803" i="2" a="1"/>
  <c r="AA803" i="2" s="1"/>
  <c r="Y801" i="2" a="1"/>
  <c r="Y801" i="2" s="1"/>
  <c r="AI802" i="2" a="1"/>
  <c r="AI802" i="2" s="1"/>
  <c r="AE801" i="2" a="1"/>
  <c r="AE801" i="2" s="1"/>
  <c r="AG801" i="2" a="1"/>
  <c r="AG801" i="2" s="1"/>
  <c r="AF802" i="2" a="1"/>
  <c r="AF802" i="2" s="1"/>
  <c r="AA801" i="2" a="1"/>
  <c r="AA801" i="2" s="1"/>
  <c r="AG838" i="2" a="1"/>
  <c r="AG838" i="2" s="1"/>
  <c r="AC805" i="2" a="1"/>
  <c r="AC805" i="2" s="1"/>
  <c r="AB805" i="2" a="1"/>
  <c r="AB805" i="2" s="1"/>
  <c r="AA805" i="2" a="1"/>
  <c r="AA805" i="2" s="1"/>
  <c r="AA804" i="2" a="1"/>
  <c r="AA804" i="2" s="1"/>
  <c r="Z805" i="2" a="1"/>
  <c r="Z805" i="2" s="1"/>
  <c r="Y805" i="2" a="1"/>
  <c r="Y805" i="2" s="1"/>
  <c r="AG804" i="2" a="1"/>
  <c r="AG804" i="2" s="1"/>
  <c r="Y804" i="2" a="1"/>
  <c r="Y804" i="2" s="1"/>
  <c r="AC801" i="2" a="1"/>
  <c r="AC801" i="2" s="1"/>
  <c r="AH802" i="2" a="1"/>
  <c r="AH802" i="2" s="1"/>
  <c r="AD801" i="2" a="1"/>
  <c r="AD801" i="2" s="1"/>
  <c r="X802" i="2" a="1"/>
  <c r="X802" i="2" s="1"/>
  <c r="W799" i="2" a="1"/>
  <c r="W799" i="2" s="1"/>
  <c r="AH800" i="2" a="1"/>
  <c r="AH800" i="2" s="1"/>
  <c r="AG800" i="2" a="1"/>
  <c r="AG800" i="2" s="1"/>
  <c r="AA800" i="2" a="1"/>
  <c r="AA800" i="2" s="1"/>
  <c r="Y800" i="2" a="1"/>
  <c r="Y800" i="2" s="1"/>
  <c r="AE798" i="2" a="1"/>
  <c r="AE798" i="2" s="1"/>
  <c r="AG797" i="2" a="1"/>
  <c r="AG797" i="2" s="1"/>
  <c r="AD797" i="2" a="1"/>
  <c r="AD797" i="2" s="1"/>
  <c r="AJ796" i="2" a="1"/>
  <c r="AJ796" i="2" s="1"/>
  <c r="W800" i="2" a="1"/>
  <c r="W800" i="2" s="1"/>
  <c r="AH799" i="2" a="1"/>
  <c r="AH799" i="2" s="1"/>
  <c r="AF797" i="2" a="1"/>
  <c r="AF797" i="2" s="1"/>
  <c r="AG799" i="2" a="1"/>
  <c r="AG799" i="2" s="1"/>
  <c r="AB799" i="2" a="1"/>
  <c r="AB799" i="2" s="1"/>
  <c r="Z799" i="2" a="1"/>
  <c r="Z799" i="2" s="1"/>
  <c r="AD798" i="2" a="1"/>
  <c r="AD798" i="2" s="1"/>
  <c r="AB798" i="2" a="1"/>
  <c r="AB798" i="2" s="1"/>
  <c r="AI797" i="2" a="1"/>
  <c r="AI797" i="2" s="1"/>
  <c r="AJ797" i="2" a="1"/>
  <c r="AJ797" i="2" s="1"/>
  <c r="AC798" i="2" a="1"/>
  <c r="AC798" i="2" s="1"/>
  <c r="AF800" i="2" a="1"/>
  <c r="AF800" i="2" s="1"/>
  <c r="AH797" i="2" a="1"/>
  <c r="AH797" i="2" s="1"/>
  <c r="AB800" i="2" a="1"/>
  <c r="AB800" i="2" s="1"/>
  <c r="X800" i="2" a="1"/>
  <c r="X800" i="2" s="1"/>
  <c r="AC797" i="2" a="1"/>
  <c r="AC797" i="2" s="1"/>
  <c r="AJ799" i="2" a="1"/>
  <c r="AJ799" i="2" s="1"/>
  <c r="X797" i="2" a="1"/>
  <c r="X797" i="2" s="1"/>
  <c r="X799" i="2" a="1"/>
  <c r="X799" i="2" s="1"/>
  <c r="AI798" i="2" a="1"/>
  <c r="AI798" i="2" s="1"/>
  <c r="Y799" i="2" a="1"/>
  <c r="Y799" i="2" s="1"/>
  <c r="AF798" i="2" a="1"/>
  <c r="AF798" i="2" s="1"/>
  <c r="AF796" i="2" a="1"/>
  <c r="AF796" i="2" s="1"/>
  <c r="AH796" i="2" a="1"/>
  <c r="AH796" i="2" s="1"/>
  <c r="AA799" i="2" a="1"/>
  <c r="AA799" i="2" s="1"/>
  <c r="AJ798" i="2" a="1"/>
  <c r="AJ798" i="2" s="1"/>
  <c r="AB797" i="2" a="1"/>
  <c r="AB797" i="2" s="1"/>
  <c r="AH798" i="2" a="1"/>
  <c r="AH798" i="2" s="1"/>
  <c r="Y797" i="2" a="1"/>
  <c r="Y797" i="2" s="1"/>
  <c r="X798" i="2" a="1"/>
  <c r="X798" i="2" s="1"/>
  <c r="AE800" i="2" a="1"/>
  <c r="AE800" i="2" s="1"/>
  <c r="Z800" i="2" a="1"/>
  <c r="Z800" i="2" s="1"/>
  <c r="AA798" i="2" a="1"/>
  <c r="AA798" i="2" s="1"/>
  <c r="AG796" i="2" a="1"/>
  <c r="AG796" i="2" s="1"/>
  <c r="Z797" i="2" a="1"/>
  <c r="Z797" i="2" s="1"/>
  <c r="AD799" i="2" a="1"/>
  <c r="AD799" i="2" s="1"/>
  <c r="AC799" i="2" a="1"/>
  <c r="AC799" i="2" s="1"/>
  <c r="AA797" i="2" a="1"/>
  <c r="AA797" i="2" s="1"/>
  <c r="Y798" i="2" a="1"/>
  <c r="Y798" i="2" s="1"/>
  <c r="AD800" i="2" a="1"/>
  <c r="AD800" i="2" s="1"/>
  <c r="AG798" i="2" a="1"/>
  <c r="AG798" i="2" s="1"/>
  <c r="AE797" i="2" a="1"/>
  <c r="AE797" i="2" s="1"/>
  <c r="AF799" i="2" a="1"/>
  <c r="AF799" i="2" s="1"/>
  <c r="W798" i="2" a="1"/>
  <c r="W798" i="2" s="1"/>
  <c r="AD796" i="2" a="1"/>
  <c r="AD796" i="2" s="1"/>
  <c r="Z798" i="2" a="1"/>
  <c r="Z798" i="2" s="1"/>
  <c r="W797" i="2" a="1"/>
  <c r="W797" i="2" s="1"/>
  <c r="AE796" i="2" a="1"/>
  <c r="AE796" i="2" s="1"/>
  <c r="AC837" i="2" a="1"/>
  <c r="AC837" i="2" s="1"/>
  <c r="AJ800" i="2" a="1"/>
  <c r="AJ800" i="2" s="1"/>
  <c r="AI796" i="2" a="1"/>
  <c r="AI796" i="2" s="1"/>
  <c r="AI800" i="2" a="1"/>
  <c r="AI800" i="2" s="1"/>
  <c r="AE799" i="2" a="1"/>
  <c r="AE799" i="2" s="1"/>
  <c r="AI799" i="2" a="1"/>
  <c r="AI799" i="2" s="1"/>
  <c r="AC800" i="2" a="1"/>
  <c r="AC800" i="2" s="1"/>
  <c r="Y792" i="2" a="1"/>
  <c r="Y792" i="2" s="1"/>
  <c r="AA796" i="2" a="1"/>
  <c r="AA796" i="2" s="1"/>
  <c r="Z796" i="2" a="1"/>
  <c r="Z796" i="2" s="1"/>
  <c r="AI795" i="2" a="1"/>
  <c r="AI795" i="2" s="1"/>
  <c r="W795" i="2" a="1"/>
  <c r="W795" i="2" s="1"/>
  <c r="W792" i="2" a="1"/>
  <c r="W792" i="2" s="1"/>
  <c r="AJ793" i="2" a="1"/>
  <c r="AJ793" i="2" s="1"/>
  <c r="Z794" i="2" a="1"/>
  <c r="Z794" i="2" s="1"/>
  <c r="AG792" i="2" a="1"/>
  <c r="AG792" i="2" s="1"/>
  <c r="Y796" i="2" a="1"/>
  <c r="Y796" i="2" s="1"/>
  <c r="AE795" i="2" a="1"/>
  <c r="AE795" i="2" s="1"/>
  <c r="AI794" i="2" a="1"/>
  <c r="AI794" i="2" s="1"/>
  <c r="X796" i="2" a="1"/>
  <c r="X796" i="2" s="1"/>
  <c r="AG795" i="2" a="1"/>
  <c r="AG795" i="2" s="1"/>
  <c r="W796" i="2" a="1"/>
  <c r="W796" i="2" s="1"/>
  <c r="AC795" i="2" a="1"/>
  <c r="AC795" i="2" s="1"/>
  <c r="AH794" i="2" a="1"/>
  <c r="AH794" i="2" s="1"/>
  <c r="AD794" i="2" a="1"/>
  <c r="AD794" i="2" s="1"/>
  <c r="AH795" i="2" a="1"/>
  <c r="AH795" i="2" s="1"/>
  <c r="AF795" i="2" a="1"/>
  <c r="AF795" i="2" s="1"/>
  <c r="AD795" i="2" a="1"/>
  <c r="AD795" i="2" s="1"/>
  <c r="AI793" i="2" a="1"/>
  <c r="AI793" i="2" s="1"/>
  <c r="AD793" i="2" a="1"/>
  <c r="AD793" i="2" s="1"/>
  <c r="Y794" i="2" a="1"/>
  <c r="Y794" i="2" s="1"/>
  <c r="AE793" i="2" a="1"/>
  <c r="AE793" i="2" s="1"/>
  <c r="AC792" i="2" a="1"/>
  <c r="AC792" i="2" s="1"/>
  <c r="AA793" i="2" a="1"/>
  <c r="AA793" i="2" s="1"/>
  <c r="X792" i="2" a="1"/>
  <c r="X792" i="2" s="1"/>
  <c r="W793" i="2" a="1"/>
  <c r="W793" i="2" s="1"/>
  <c r="AB795" i="2" a="1"/>
  <c r="AB795" i="2" s="1"/>
  <c r="AJ795" i="2" a="1"/>
  <c r="AJ795" i="2" s="1"/>
  <c r="X793" i="2" a="1"/>
  <c r="X793" i="2" s="1"/>
  <c r="AC794" i="2" a="1"/>
  <c r="AC794" i="2" s="1"/>
  <c r="X794" i="2" a="1"/>
  <c r="X794" i="2" s="1"/>
  <c r="AB793" i="2" a="1"/>
  <c r="AB793" i="2" s="1"/>
  <c r="AH793" i="2" a="1"/>
  <c r="AH793" i="2" s="1"/>
  <c r="Z793" i="2" a="1"/>
  <c r="Z793" i="2" s="1"/>
  <c r="Z792" i="2" a="1"/>
  <c r="Z792" i="2" s="1"/>
  <c r="AD792" i="2" a="1"/>
  <c r="AD792" i="2" s="1"/>
  <c r="Y795" i="2" a="1"/>
  <c r="Y795" i="2" s="1"/>
  <c r="AG794" i="2" a="1"/>
  <c r="AG794" i="2" s="1"/>
  <c r="AG793" i="2" a="1"/>
  <c r="AG793" i="2" s="1"/>
  <c r="AJ794" i="2" a="1"/>
  <c r="AJ794" i="2" s="1"/>
  <c r="AA792" i="2" a="1"/>
  <c r="AA792" i="2" s="1"/>
  <c r="AF794" i="2" a="1"/>
  <c r="AF794" i="2" s="1"/>
  <c r="AF792" i="2" a="1"/>
  <c r="AF792" i="2" s="1"/>
  <c r="AB792" i="2" a="1"/>
  <c r="AB792" i="2" s="1"/>
  <c r="AI792" i="2" a="1"/>
  <c r="AI792" i="2" s="1"/>
  <c r="AA794" i="2" a="1"/>
  <c r="AA794" i="2" s="1"/>
  <c r="Y793" i="2" a="1"/>
  <c r="Y793" i="2" s="1"/>
  <c r="W794" i="2" a="1"/>
  <c r="W794" i="2" s="1"/>
  <c r="Y838" i="2" a="1"/>
  <c r="Y838" i="2" s="1"/>
  <c r="AC796" i="2" a="1"/>
  <c r="AC796" i="2" s="1"/>
  <c r="AB796" i="2" a="1"/>
  <c r="AB796" i="2" s="1"/>
  <c r="AA795" i="2" a="1"/>
  <c r="AA795" i="2" s="1"/>
  <c r="Z795" i="2" a="1"/>
  <c r="Z795" i="2" s="1"/>
  <c r="AE794" i="2" a="1"/>
  <c r="AE794" i="2" s="1"/>
  <c r="AJ792" i="2" a="1"/>
  <c r="AJ792" i="2" s="1"/>
  <c r="AB794" i="2" a="1"/>
  <c r="AB794" i="2" s="1"/>
  <c r="X795" i="2" a="1"/>
  <c r="X795" i="2" s="1"/>
  <c r="AF793" i="2" a="1"/>
  <c r="AF793" i="2" s="1"/>
  <c r="AE792" i="2" a="1"/>
  <c r="AE792" i="2" s="1"/>
  <c r="AH792" i="2" a="1"/>
  <c r="AH792" i="2" s="1"/>
  <c r="AC793" i="2" a="1"/>
  <c r="AC793" i="2" s="1"/>
  <c r="AH787" i="2" a="1"/>
  <c r="AH787" i="2" s="1"/>
  <c r="Z791" i="2" a="1"/>
  <c r="Z791" i="2" s="1"/>
  <c r="Y791" i="2" a="1"/>
  <c r="Y791" i="2" s="1"/>
  <c r="AF790" i="2" a="1"/>
  <c r="AF790" i="2" s="1"/>
  <c r="AB790" i="2" a="1"/>
  <c r="AB790" i="2" s="1"/>
  <c r="X790" i="2" a="1"/>
  <c r="X790" i="2" s="1"/>
  <c r="W789" i="2" a="1"/>
  <c r="W789" i="2" s="1"/>
  <c r="AB788" i="2" a="1"/>
  <c r="AB788" i="2" s="1"/>
  <c r="AE787" i="2" a="1"/>
  <c r="AE787" i="2" s="1"/>
  <c r="AJ787" i="2" a="1"/>
  <c r="AJ787" i="2" s="1"/>
  <c r="AG788" i="2" a="1"/>
  <c r="AG788" i="2" s="1"/>
  <c r="AC790" i="2" a="1"/>
  <c r="AC790" i="2" s="1"/>
  <c r="AE789" i="2" a="1"/>
  <c r="AE789" i="2" s="1"/>
  <c r="AJ789" i="2" a="1"/>
  <c r="AJ789" i="2" s="1"/>
  <c r="AC789" i="2" a="1"/>
  <c r="AC789" i="2" s="1"/>
  <c r="AJ788" i="2" a="1"/>
  <c r="AJ788" i="2" s="1"/>
  <c r="AI789" i="2" a="1"/>
  <c r="AI789" i="2" s="1"/>
  <c r="AJ790" i="2" a="1"/>
  <c r="AJ790" i="2" s="1"/>
  <c r="AI788" i="2" a="1"/>
  <c r="AI788" i="2" s="1"/>
  <c r="W788" i="2" a="1"/>
  <c r="W788" i="2" s="1"/>
  <c r="AD788" i="2" a="1"/>
  <c r="AD788" i="2" s="1"/>
  <c r="AG787" i="2" a="1"/>
  <c r="AG787" i="2" s="1"/>
  <c r="Z790" i="2" a="1"/>
  <c r="Z790" i="2" s="1"/>
  <c r="W791" i="2" a="1"/>
  <c r="W791" i="2" s="1"/>
  <c r="Z788" i="2" a="1"/>
  <c r="Z788" i="2" s="1"/>
  <c r="Y790" i="2" a="1"/>
  <c r="Y790" i="2" s="1"/>
  <c r="AB789" i="2" a="1"/>
  <c r="AB789" i="2" s="1"/>
  <c r="AH788" i="2" a="1"/>
  <c r="AH788" i="2" s="1"/>
  <c r="AB837" i="2" a="1"/>
  <c r="AB837" i="2" s="1"/>
  <c r="AH790" i="2" a="1"/>
  <c r="AH790" i="2" s="1"/>
  <c r="AD790" i="2" a="1"/>
  <c r="AD790" i="2" s="1"/>
  <c r="W790" i="2" a="1"/>
  <c r="W790" i="2" s="1"/>
  <c r="Z789" i="2" a="1"/>
  <c r="Z789" i="2" s="1"/>
  <c r="Y788" i="2" a="1"/>
  <c r="Y788" i="2" s="1"/>
  <c r="X788" i="2" a="1"/>
  <c r="X788" i="2" s="1"/>
  <c r="AI787" i="2" a="1"/>
  <c r="AI787" i="2" s="1"/>
  <c r="AA789" i="2" a="1"/>
  <c r="AA789" i="2" s="1"/>
  <c r="AB791" i="2" a="1"/>
  <c r="AB791" i="2" s="1"/>
  <c r="AD789" i="2" a="1"/>
  <c r="AD789" i="2" s="1"/>
  <c r="AJ791" i="2" a="1"/>
  <c r="AJ791" i="2" s="1"/>
  <c r="AI791" i="2" a="1"/>
  <c r="AI791" i="2" s="1"/>
  <c r="AH791" i="2" a="1"/>
  <c r="AH791" i="2" s="1"/>
  <c r="AG791" i="2" a="1"/>
  <c r="AG791" i="2" s="1"/>
  <c r="AF791" i="2" a="1"/>
  <c r="AF791" i="2" s="1"/>
  <c r="AF789" i="2" a="1"/>
  <c r="AF789" i="2" s="1"/>
  <c r="AE791" i="2" a="1"/>
  <c r="AE791" i="2" s="1"/>
  <c r="AD787" i="2" a="1"/>
  <c r="AD787" i="2" s="1"/>
  <c r="AF788" i="2" a="1"/>
  <c r="AF788" i="2" s="1"/>
  <c r="X791" i="2" a="1"/>
  <c r="X791" i="2" s="1"/>
  <c r="AE790" i="2" a="1"/>
  <c r="AE790" i="2" s="1"/>
  <c r="Y789" i="2" a="1"/>
  <c r="Y789" i="2" s="1"/>
  <c r="AF787" i="2" a="1"/>
  <c r="AF787" i="2" s="1"/>
  <c r="AA788" i="2" a="1"/>
  <c r="AA788" i="2" s="1"/>
  <c r="AD791" i="2" a="1"/>
  <c r="AD791" i="2" s="1"/>
  <c r="AI790" i="2" a="1"/>
  <c r="AI790" i="2" s="1"/>
  <c r="AA790" i="2" a="1"/>
  <c r="AA790" i="2" s="1"/>
  <c r="AH789" i="2" a="1"/>
  <c r="AH789" i="2" s="1"/>
  <c r="AC791" i="2" a="1"/>
  <c r="AC791" i="2" s="1"/>
  <c r="AA791" i="2" a="1"/>
  <c r="AA791" i="2" s="1"/>
  <c r="AG790" i="2" a="1"/>
  <c r="AG790" i="2" s="1"/>
  <c r="AE788" i="2" a="1"/>
  <c r="AE788" i="2" s="1"/>
  <c r="AG789" i="2" a="1"/>
  <c r="AG789" i="2" s="1"/>
  <c r="X789" i="2" a="1"/>
  <c r="X789" i="2" s="1"/>
  <c r="AC788" i="2" a="1"/>
  <c r="AC788" i="2" s="1"/>
  <c r="Y783" i="2" a="1"/>
  <c r="Y783" i="2" s="1"/>
  <c r="AH786" i="2" a="1"/>
  <c r="AH786" i="2" s="1"/>
  <c r="AC785" i="2" a="1"/>
  <c r="AC785" i="2" s="1"/>
  <c r="AG786" i="2" a="1"/>
  <c r="AG786" i="2" s="1"/>
  <c r="AB786" i="2" a="1"/>
  <c r="AB786" i="2" s="1"/>
  <c r="W785" i="2" a="1"/>
  <c r="W785" i="2" s="1"/>
  <c r="AD784" i="2" a="1"/>
  <c r="AD784" i="2" s="1"/>
  <c r="AA786" i="2" a="1"/>
  <c r="AA786" i="2" s="1"/>
  <c r="Z786" i="2" a="1"/>
  <c r="Z786" i="2" s="1"/>
  <c r="AJ785" i="2" a="1"/>
  <c r="AJ785" i="2" s="1"/>
  <c r="X784" i="2" a="1"/>
  <c r="X784" i="2" s="1"/>
  <c r="AI785" i="2" a="1"/>
  <c r="AI785" i="2" s="1"/>
  <c r="AD785" i="2" a="1"/>
  <c r="AD785" i="2" s="1"/>
  <c r="AI783" i="2" a="1"/>
  <c r="AI783" i="2" s="1"/>
  <c r="AI784" i="2" a="1"/>
  <c r="AI784" i="2" s="1"/>
  <c r="AA784" i="2" a="1"/>
  <c r="AA784" i="2" s="1"/>
  <c r="AE784" i="2" a="1"/>
  <c r="AE784" i="2" s="1"/>
  <c r="Z784" i="2" a="1"/>
  <c r="Z784" i="2" s="1"/>
  <c r="AE783" i="2" a="1"/>
  <c r="AE783" i="2" s="1"/>
  <c r="AG783" i="2" a="1"/>
  <c r="AG783" i="2" s="1"/>
  <c r="AD786" i="2" a="1"/>
  <c r="AD786" i="2" s="1"/>
  <c r="AJ784" i="2" a="1"/>
  <c r="AJ784" i="2" s="1"/>
  <c r="AH785" i="2" a="1"/>
  <c r="AH785" i="2" s="1"/>
  <c r="AB785" i="2" a="1"/>
  <c r="AB785" i="2" s="1"/>
  <c r="X785" i="2" a="1"/>
  <c r="X785" i="2" s="1"/>
  <c r="AD783" i="2" a="1"/>
  <c r="AD783" i="2" s="1"/>
  <c r="AA783" i="2" a="1"/>
  <c r="AA783" i="2" s="1"/>
  <c r="Z783" i="2" a="1"/>
  <c r="Z783" i="2" s="1"/>
  <c r="W783" i="2" a="1"/>
  <c r="W783" i="2" s="1"/>
  <c r="AC784" i="2" a="1"/>
  <c r="AC784" i="2" s="1"/>
  <c r="AD838" i="2" a="1"/>
  <c r="AD838" i="2" s="1"/>
  <c r="AA787" i="2" a="1"/>
  <c r="AA787" i="2" s="1"/>
  <c r="Y784" i="2" a="1"/>
  <c r="Y784" i="2" s="1"/>
  <c r="AB783" i="2" a="1"/>
  <c r="AB783" i="2" s="1"/>
  <c r="X783" i="2" a="1"/>
  <c r="X783" i="2" s="1"/>
  <c r="AF786" i="2" a="1"/>
  <c r="AF786" i="2" s="1"/>
  <c r="AI786" i="2" a="1"/>
  <c r="AI786" i="2" s="1"/>
  <c r="AF783" i="2" a="1"/>
  <c r="AF783" i="2" s="1"/>
  <c r="AC787" i="2" a="1"/>
  <c r="AC787" i="2" s="1"/>
  <c r="AB787" i="2" a="1"/>
  <c r="AB787" i="2" s="1"/>
  <c r="Z787" i="2" a="1"/>
  <c r="Z787" i="2" s="1"/>
  <c r="AH783" i="2" a="1"/>
  <c r="AH783" i="2" s="1"/>
  <c r="Y787" i="2" a="1"/>
  <c r="Y787" i="2" s="1"/>
  <c r="AJ783" i="2" a="1"/>
  <c r="AJ783" i="2" s="1"/>
  <c r="AJ786" i="2" a="1"/>
  <c r="AJ786" i="2" s="1"/>
  <c r="W784" i="2" a="1"/>
  <c r="W784" i="2" s="1"/>
  <c r="AA785" i="2" a="1"/>
  <c r="AA785" i="2" s="1"/>
  <c r="X787" i="2" a="1"/>
  <c r="X787" i="2" s="1"/>
  <c r="AC786" i="2" a="1"/>
  <c r="AC786" i="2" s="1"/>
  <c r="X786" i="2" a="1"/>
  <c r="X786" i="2" s="1"/>
  <c r="AG784" i="2" a="1"/>
  <c r="AG784" i="2" s="1"/>
  <c r="Y786" i="2" a="1"/>
  <c r="Y786" i="2" s="1"/>
  <c r="Z785" i="2" a="1"/>
  <c r="Z785" i="2" s="1"/>
  <c r="AH784" i="2" a="1"/>
  <c r="AH784" i="2" s="1"/>
  <c r="W787" i="2" a="1"/>
  <c r="W787" i="2" s="1"/>
  <c r="AB784" i="2" a="1"/>
  <c r="AB784" i="2" s="1"/>
  <c r="W786" i="2" a="1"/>
  <c r="W786" i="2" s="1"/>
  <c r="AF784" i="2" a="1"/>
  <c r="AF784" i="2" s="1"/>
  <c r="AE786" i="2" a="1"/>
  <c r="AE786" i="2" s="1"/>
  <c r="AG785" i="2" a="1"/>
  <c r="AG785" i="2" s="1"/>
  <c r="AF785" i="2" a="1"/>
  <c r="AF785" i="2" s="1"/>
  <c r="AE785" i="2" a="1"/>
  <c r="AE785" i="2" s="1"/>
  <c r="Y785" i="2" a="1"/>
  <c r="Y785" i="2" s="1"/>
  <c r="AC783" i="2" a="1"/>
  <c r="AC783" i="2" s="1"/>
  <c r="Y781" i="2" a="1"/>
  <c r="Y781" i="2" s="1"/>
  <c r="W781" i="2" a="1"/>
  <c r="W781" i="2" s="1"/>
  <c r="AI780" i="2" a="1"/>
  <c r="AI780" i="2" s="1"/>
  <c r="Y780" i="2" a="1"/>
  <c r="Y780" i="2" s="1"/>
  <c r="AF779" i="2" a="1"/>
  <c r="AF779" i="2" s="1"/>
  <c r="AC779" i="2" a="1"/>
  <c r="AC779" i="2" s="1"/>
  <c r="AA779" i="2" a="1"/>
  <c r="AA779" i="2" s="1"/>
  <c r="AE780" i="2" a="1"/>
  <c r="AE780" i="2" s="1"/>
  <c r="AJ778" i="2" a="1"/>
  <c r="AJ778" i="2" s="1"/>
  <c r="W780" i="2" a="1"/>
  <c r="W780" i="2" s="1"/>
  <c r="AI779" i="2" a="1"/>
  <c r="AI779" i="2" s="1"/>
  <c r="AH778" i="2" a="1"/>
  <c r="AH778" i="2" s="1"/>
  <c r="AJ779" i="2" a="1"/>
  <c r="AJ779" i="2" s="1"/>
  <c r="AB779" i="2" a="1"/>
  <c r="AB779" i="2" s="1"/>
  <c r="X779" i="2" a="1"/>
  <c r="X779" i="2" s="1"/>
  <c r="AG778" i="2" a="1"/>
  <c r="AG778" i="2" s="1"/>
  <c r="AD778" i="2" a="1"/>
  <c r="AD778" i="2" s="1"/>
  <c r="Y782" i="2" a="1"/>
  <c r="Y782" i="2" s="1"/>
  <c r="X781" i="2" a="1"/>
  <c r="X781" i="2" s="1"/>
  <c r="AG779" i="2" a="1"/>
  <c r="AG779" i="2" s="1"/>
  <c r="AB780" i="2" a="1"/>
  <c r="AB780" i="2" s="1"/>
  <c r="AG780" i="2" a="1"/>
  <c r="AG780" i="2" s="1"/>
  <c r="AF778" i="2" a="1"/>
  <c r="AF778" i="2" s="1"/>
  <c r="AE778" i="2" a="1"/>
  <c r="AE778" i="2" s="1"/>
  <c r="AA837" i="2" a="1"/>
  <c r="AA837" i="2" s="1"/>
  <c r="AA781" i="2" a="1"/>
  <c r="AA781" i="2" s="1"/>
  <c r="AJ780" i="2" a="1"/>
  <c r="AJ780" i="2" s="1"/>
  <c r="AF780" i="2" a="1"/>
  <c r="AF780" i="2" s="1"/>
  <c r="AJ782" i="2" a="1"/>
  <c r="AJ782" i="2" s="1"/>
  <c r="Z779" i="2" a="1"/>
  <c r="Z779" i="2" s="1"/>
  <c r="AI782" i="2" a="1"/>
  <c r="AI782" i="2" s="1"/>
  <c r="X780" i="2" a="1"/>
  <c r="X780" i="2" s="1"/>
  <c r="AH782" i="2" a="1"/>
  <c r="AH782" i="2" s="1"/>
  <c r="AF782" i="2" a="1"/>
  <c r="AF782" i="2" s="1"/>
  <c r="AJ781" i="2" a="1"/>
  <c r="AJ781" i="2" s="1"/>
  <c r="AG782" i="2" a="1"/>
  <c r="AG782" i="2" s="1"/>
  <c r="AE782" i="2" a="1"/>
  <c r="AE782" i="2" s="1"/>
  <c r="AB781" i="2" a="1"/>
  <c r="AB781" i="2" s="1"/>
  <c r="AD782" i="2" a="1"/>
  <c r="AD782" i="2" s="1"/>
  <c r="AC782" i="2" a="1"/>
  <c r="AC782" i="2" s="1"/>
  <c r="AH780" i="2" a="1"/>
  <c r="AH780" i="2" s="1"/>
  <c r="X782" i="2" a="1"/>
  <c r="X782" i="2" s="1"/>
  <c r="AB782" i="2" a="1"/>
  <c r="AB782" i="2" s="1"/>
  <c r="AF781" i="2" a="1"/>
  <c r="AF781" i="2" s="1"/>
  <c r="AC781" i="2" a="1"/>
  <c r="AC781" i="2" s="1"/>
  <c r="AH779" i="2" a="1"/>
  <c r="AH779" i="2" s="1"/>
  <c r="AI778" i="2" a="1"/>
  <c r="AI778" i="2" s="1"/>
  <c r="AD780" i="2" a="1"/>
  <c r="AD780" i="2" s="1"/>
  <c r="AG781" i="2" a="1"/>
  <c r="AG781" i="2" s="1"/>
  <c r="AE781" i="2" a="1"/>
  <c r="AE781" i="2" s="1"/>
  <c r="AE779" i="2" a="1"/>
  <c r="AE779" i="2" s="1"/>
  <c r="AA782" i="2" a="1"/>
  <c r="AA782" i="2" s="1"/>
  <c r="Z782" i="2" a="1"/>
  <c r="Z782" i="2" s="1"/>
  <c r="Z780" i="2" a="1"/>
  <c r="Z780" i="2" s="1"/>
  <c r="AA780" i="2" a="1"/>
  <c r="AA780" i="2" s="1"/>
  <c r="Y779" i="2" a="1"/>
  <c r="Y779" i="2" s="1"/>
  <c r="W782" i="2" a="1"/>
  <c r="W782" i="2" s="1"/>
  <c r="AI781" i="2" a="1"/>
  <c r="AI781" i="2" s="1"/>
  <c r="AH781" i="2" a="1"/>
  <c r="AH781" i="2" s="1"/>
  <c r="AD781" i="2" a="1"/>
  <c r="AD781" i="2" s="1"/>
  <c r="AC780" i="2" a="1"/>
  <c r="AC780" i="2" s="1"/>
  <c r="AD779" i="2" a="1"/>
  <c r="AD779" i="2" s="1"/>
  <c r="W779" i="2" a="1"/>
  <c r="W779" i="2" s="1"/>
  <c r="Z781" i="2" a="1"/>
  <c r="Z781" i="2" s="1"/>
  <c r="AB778" i="2" a="1"/>
  <c r="AB778" i="2" s="1"/>
  <c r="AA778" i="2" a="1"/>
  <c r="AA778" i="2" s="1"/>
  <c r="AF777" i="2" a="1"/>
  <c r="AF777" i="2" s="1"/>
  <c r="AJ774" i="2" a="1"/>
  <c r="AJ774" i="2" s="1"/>
  <c r="AC777" i="2" a="1"/>
  <c r="AC777" i="2" s="1"/>
  <c r="AJ776" i="2" a="1"/>
  <c r="AJ776" i="2" s="1"/>
  <c r="AI774" i="2" a="1"/>
  <c r="AI774" i="2" s="1"/>
  <c r="Z777" i="2" a="1"/>
  <c r="Z777" i="2" s="1"/>
  <c r="Y776" i="2" a="1"/>
  <c r="Y776" i="2" s="1"/>
  <c r="Z778" i="2" a="1"/>
  <c r="Z778" i="2" s="1"/>
  <c r="X776" i="2" a="1"/>
  <c r="X776" i="2" s="1"/>
  <c r="AI775" i="2" a="1"/>
  <c r="AI775" i="2" s="1"/>
  <c r="Y778" i="2" a="1"/>
  <c r="Y778" i="2" s="1"/>
  <c r="AB774" i="2" a="1"/>
  <c r="AB774" i="2" s="1"/>
  <c r="W777" i="2" a="1"/>
  <c r="W777" i="2" s="1"/>
  <c r="AE777" i="2" a="1"/>
  <c r="AE777" i="2" s="1"/>
  <c r="AI776" i="2" a="1"/>
  <c r="AI776" i="2" s="1"/>
  <c r="AG775" i="2" a="1"/>
  <c r="AG775" i="2" s="1"/>
  <c r="AE776" i="2" a="1"/>
  <c r="AE776" i="2" s="1"/>
  <c r="AA776" i="2" a="1"/>
  <c r="AA776" i="2" s="1"/>
  <c r="AH775" i="2" a="1"/>
  <c r="AH775" i="2" s="1"/>
  <c r="X774" i="2" a="1"/>
  <c r="X774" i="2" s="1"/>
  <c r="X775" i="2" a="1"/>
  <c r="X775" i="2" s="1"/>
  <c r="W774" i="2" a="1"/>
  <c r="W774" i="2" s="1"/>
  <c r="AB775" i="2" a="1"/>
  <c r="AB775" i="2" s="1"/>
  <c r="Y775" i="2" a="1"/>
  <c r="Y775" i="2" s="1"/>
  <c r="AA774" i="2" a="1"/>
  <c r="AA774" i="2" s="1"/>
  <c r="AH774" i="2" a="1"/>
  <c r="AH774" i="2" s="1"/>
  <c r="AF775" i="2" a="1"/>
  <c r="AF775" i="2" s="1"/>
  <c r="AG774" i="2" a="1"/>
  <c r="AG774" i="2" s="1"/>
  <c r="AJ777" i="2" a="1"/>
  <c r="AJ777" i="2" s="1"/>
  <c r="AD774" i="2" a="1"/>
  <c r="AD774" i="2" s="1"/>
  <c r="AI777" i="2" a="1"/>
  <c r="AI777" i="2" s="1"/>
  <c r="AG777" i="2" a="1"/>
  <c r="AG777" i="2" s="1"/>
  <c r="AF776" i="2" a="1"/>
  <c r="AF776" i="2" s="1"/>
  <c r="W775" i="2" a="1"/>
  <c r="W775" i="2" s="1"/>
  <c r="Z774" i="2" a="1"/>
  <c r="Z774" i="2" s="1"/>
  <c r="AB776" i="2" a="1"/>
  <c r="AB776" i="2" s="1"/>
  <c r="Y774" i="2" a="1"/>
  <c r="Y774" i="2" s="1"/>
  <c r="Y777" i="2" a="1"/>
  <c r="Y777" i="2" s="1"/>
  <c r="AE775" i="2" a="1"/>
  <c r="AE775" i="2" s="1"/>
  <c r="AC775" i="2" a="1"/>
  <c r="AC775" i="2" s="1"/>
  <c r="AG776" i="2" a="1"/>
  <c r="AG776" i="2" s="1"/>
  <c r="AC776" i="2" a="1"/>
  <c r="AC776" i="2" s="1"/>
  <c r="AD777" i="2" a="1"/>
  <c r="AD777" i="2" s="1"/>
  <c r="AJ775" i="2" a="1"/>
  <c r="AJ775" i="2" s="1"/>
  <c r="AH776" i="2" a="1"/>
  <c r="AH776" i="2" s="1"/>
  <c r="W776" i="2" a="1"/>
  <c r="W776" i="2" s="1"/>
  <c r="AC778" i="2" a="1"/>
  <c r="AC778" i="2" s="1"/>
  <c r="X838" i="2" a="1"/>
  <c r="X838" i="2" s="1"/>
  <c r="AC774" i="2" a="1"/>
  <c r="AC774" i="2" s="1"/>
  <c r="AA777" i="2" a="1"/>
  <c r="AA777" i="2" s="1"/>
  <c r="AD776" i="2" a="1"/>
  <c r="AD776" i="2" s="1"/>
  <c r="Z775" i="2" a="1"/>
  <c r="Z775" i="2" s="1"/>
  <c r="Z776" i="2" a="1"/>
  <c r="Z776" i="2" s="1"/>
  <c r="AA775" i="2" a="1"/>
  <c r="AA775" i="2" s="1"/>
  <c r="X778" i="2" a="1"/>
  <c r="X778" i="2" s="1"/>
  <c r="X777" i="2" a="1"/>
  <c r="X777" i="2" s="1"/>
  <c r="AH777" i="2" a="1"/>
  <c r="AH777" i="2" s="1"/>
  <c r="W778" i="2" a="1"/>
  <c r="W778" i="2" s="1"/>
  <c r="AE774" i="2" a="1"/>
  <c r="AE774" i="2" s="1"/>
  <c r="AB777" i="2" a="1"/>
  <c r="AB777" i="2" s="1"/>
  <c r="AF774" i="2" a="1"/>
  <c r="AF774" i="2" s="1"/>
  <c r="AD775" i="2" a="1"/>
  <c r="AD775" i="2" s="1"/>
  <c r="AD770" i="2" a="1"/>
  <c r="AD770" i="2" s="1"/>
  <c r="AG773" i="2" a="1"/>
  <c r="AG773" i="2" s="1"/>
  <c r="AA770" i="2" a="1"/>
  <c r="AA770" i="2" s="1"/>
  <c r="AG772" i="2" a="1"/>
  <c r="AG772" i="2" s="1"/>
  <c r="AF772" i="2" a="1"/>
  <c r="AF772" i="2" s="1"/>
  <c r="AG771" i="2" a="1"/>
  <c r="AG771" i="2" s="1"/>
  <c r="AJ770" i="2" a="1"/>
  <c r="AJ770" i="2" s="1"/>
  <c r="AE771" i="2" a="1"/>
  <c r="AE771" i="2" s="1"/>
  <c r="AH770" i="2" a="1"/>
  <c r="AH770" i="2" s="1"/>
  <c r="AA771" i="2" a="1"/>
  <c r="AA771" i="2" s="1"/>
  <c r="AF771" i="2" a="1"/>
  <c r="AF771" i="2" s="1"/>
  <c r="AB771" i="2" a="1"/>
  <c r="AB771" i="2" s="1"/>
  <c r="AI770" i="2" a="1"/>
  <c r="AI770" i="2" s="1"/>
  <c r="AH769" i="2" a="1"/>
  <c r="AH769" i="2" s="1"/>
  <c r="Y773" i="2" a="1"/>
  <c r="Y773" i="2" s="1"/>
  <c r="AI769" i="2" a="1"/>
  <c r="AI769" i="2" s="1"/>
  <c r="AJ769" i="2" a="1"/>
  <c r="AJ769" i="2" s="1"/>
  <c r="AJ771" i="2" a="1"/>
  <c r="AJ771" i="2" s="1"/>
  <c r="W772" i="2" a="1"/>
  <c r="W772" i="2" s="1"/>
  <c r="AB770" i="2" a="1"/>
  <c r="AB770" i="2" s="1"/>
  <c r="Z837" i="2" a="1"/>
  <c r="Z837" i="2" s="1"/>
  <c r="AI771" i="2" a="1"/>
  <c r="AI771" i="2" s="1"/>
  <c r="AB773" i="2" a="1"/>
  <c r="AB773" i="2" s="1"/>
  <c r="AC771" i="2" a="1"/>
  <c r="AC771" i="2" s="1"/>
  <c r="Y771" i="2" a="1"/>
  <c r="Y771" i="2" s="1"/>
  <c r="AJ773" i="2" a="1"/>
  <c r="AJ773" i="2" s="1"/>
  <c r="AH772" i="2" a="1"/>
  <c r="AH772" i="2" s="1"/>
  <c r="AE772" i="2" a="1"/>
  <c r="AE772" i="2" s="1"/>
  <c r="AF773" i="2" a="1"/>
  <c r="AF773" i="2" s="1"/>
  <c r="AD772" i="2" a="1"/>
  <c r="AD772" i="2" s="1"/>
  <c r="AA773" i="2" a="1"/>
  <c r="AA773" i="2" s="1"/>
  <c r="Z773" i="2" a="1"/>
  <c r="Z773" i="2" s="1"/>
  <c r="X771" i="2" a="1"/>
  <c r="X771" i="2" s="1"/>
  <c r="W771" i="2" a="1"/>
  <c r="W771" i="2" s="1"/>
  <c r="AF770" i="2" a="1"/>
  <c r="AF770" i="2" s="1"/>
  <c r="AI773" i="2" a="1"/>
  <c r="AI773" i="2" s="1"/>
  <c r="AH773" i="2" a="1"/>
  <c r="AH773" i="2" s="1"/>
  <c r="AI772" i="2" a="1"/>
  <c r="AI772" i="2" s="1"/>
  <c r="Y772" i="2" a="1"/>
  <c r="Y772" i="2" s="1"/>
  <c r="AE773" i="2" a="1"/>
  <c r="AE773" i="2" s="1"/>
  <c r="AD773" i="2" a="1"/>
  <c r="AD773" i="2" s="1"/>
  <c r="AC773" i="2" a="1"/>
  <c r="AC773" i="2" s="1"/>
  <c r="X773" i="2" a="1"/>
  <c r="X773" i="2" s="1"/>
  <c r="AJ772" i="2" a="1"/>
  <c r="AJ772" i="2" s="1"/>
  <c r="Z772" i="2" a="1"/>
  <c r="Z772" i="2" s="1"/>
  <c r="Z770" i="2" a="1"/>
  <c r="Z770" i="2" s="1"/>
  <c r="Y770" i="2" a="1"/>
  <c r="Y770" i="2" s="1"/>
  <c r="AE769" i="2" a="1"/>
  <c r="AE769" i="2" s="1"/>
  <c r="AG769" i="2" a="1"/>
  <c r="AG769" i="2" s="1"/>
  <c r="W773" i="2" a="1"/>
  <c r="W773" i="2" s="1"/>
  <c r="X770" i="2" a="1"/>
  <c r="X770" i="2" s="1"/>
  <c r="AD771" i="2" a="1"/>
  <c r="AD771" i="2" s="1"/>
  <c r="Z771" i="2" a="1"/>
  <c r="Z771" i="2" s="1"/>
  <c r="X772" i="2" a="1"/>
  <c r="X772" i="2" s="1"/>
  <c r="AH771" i="2" a="1"/>
  <c r="AH771" i="2" s="1"/>
  <c r="AG770" i="2" a="1"/>
  <c r="AG770" i="2" s="1"/>
  <c r="W770" i="2" a="1"/>
  <c r="W770" i="2" s="1"/>
  <c r="AF769" i="2" a="1"/>
  <c r="AF769" i="2" s="1"/>
  <c r="AC772" i="2" a="1"/>
  <c r="AC772" i="2" s="1"/>
  <c r="AB772" i="2" a="1"/>
  <c r="AB772" i="2" s="1"/>
  <c r="AA772" i="2" a="1"/>
  <c r="AA772" i="2" s="1"/>
  <c r="AE770" i="2" a="1"/>
  <c r="AE770" i="2" s="1"/>
  <c r="AD769" i="2" a="1"/>
  <c r="AD769" i="2" s="1"/>
  <c r="AC770" i="2" a="1"/>
  <c r="AC770" i="2" s="1"/>
  <c r="W765" i="2" a="1"/>
  <c r="W765" i="2" s="1"/>
  <c r="AI767" i="2" a="1"/>
  <c r="AI767" i="2" s="1"/>
  <c r="AD767" i="2" a="1"/>
  <c r="AD767" i="2" s="1"/>
  <c r="AJ766" i="2" a="1"/>
  <c r="AJ766" i="2" s="1"/>
  <c r="Y767" i="2" a="1"/>
  <c r="Y767" i="2" s="1"/>
  <c r="AI766" i="2" a="1"/>
  <c r="AI766" i="2" s="1"/>
  <c r="AD766" i="2" a="1"/>
  <c r="AD766" i="2" s="1"/>
  <c r="AA766" i="2" a="1"/>
  <c r="AA766" i="2" s="1"/>
  <c r="X766" i="2" a="1"/>
  <c r="X766" i="2" s="1"/>
  <c r="AF768" i="2" a="1"/>
  <c r="AF768" i="2" s="1"/>
  <c r="AC766" i="2" a="1"/>
  <c r="AC766" i="2" s="1"/>
  <c r="AJ765" i="2" a="1"/>
  <c r="AJ765" i="2" s="1"/>
  <c r="AJ768" i="2" a="1"/>
  <c r="AJ768" i="2" s="1"/>
  <c r="AB768" i="2" a="1"/>
  <c r="AB768" i="2" s="1"/>
  <c r="AH768" i="2" a="1"/>
  <c r="AH768" i="2" s="1"/>
  <c r="AC768" i="2" a="1"/>
  <c r="AC768" i="2" s="1"/>
  <c r="AI765" i="2" a="1"/>
  <c r="AI765" i="2" s="1"/>
  <c r="AJ767" i="2" a="1"/>
  <c r="AJ767" i="2" s="1"/>
  <c r="AE767" i="2" a="1"/>
  <c r="AE767" i="2" s="1"/>
  <c r="AF766" i="2" a="1"/>
  <c r="AF766" i="2" s="1"/>
  <c r="X767" i="2" a="1"/>
  <c r="X767" i="2" s="1"/>
  <c r="AH765" i="2" a="1"/>
  <c r="AH765" i="2" s="1"/>
  <c r="AA765" i="2" a="1"/>
  <c r="AA765" i="2" s="1"/>
  <c r="AG768" i="2" a="1"/>
  <c r="AG768" i="2" s="1"/>
  <c r="AC767" i="2" a="1"/>
  <c r="AC767" i="2" s="1"/>
  <c r="AC765" i="2" a="1"/>
  <c r="AC765" i="2" s="1"/>
  <c r="Z765" i="2" a="1"/>
  <c r="Z765" i="2" s="1"/>
  <c r="AH766" i="2" a="1"/>
  <c r="AH766" i="2" s="1"/>
  <c r="AH838" i="2" a="1"/>
  <c r="AH838" i="2" s="1"/>
  <c r="AG766" i="2" a="1"/>
  <c r="AG766" i="2" s="1"/>
  <c r="AE766" i="2" a="1"/>
  <c r="AE766" i="2" s="1"/>
  <c r="AG765" i="2" a="1"/>
  <c r="AG765" i="2" s="1"/>
  <c r="AF767" i="2" a="1"/>
  <c r="AF767" i="2" s="1"/>
  <c r="AI768" i="2" a="1"/>
  <c r="AI768" i="2" s="1"/>
  <c r="Y768" i="2" a="1"/>
  <c r="Y768" i="2" s="1"/>
  <c r="AB767" i="2" a="1"/>
  <c r="AB767" i="2" s="1"/>
  <c r="W767" i="2" a="1"/>
  <c r="W767" i="2" s="1"/>
  <c r="Z769" i="2" a="1"/>
  <c r="Z769" i="2" s="1"/>
  <c r="AB769" i="2" a="1"/>
  <c r="AB769" i="2" s="1"/>
  <c r="Y769" i="2" a="1"/>
  <c r="Y769" i="2" s="1"/>
  <c r="AF765" i="2" a="1"/>
  <c r="AF765" i="2" s="1"/>
  <c r="AD765" i="2" a="1"/>
  <c r="AD765" i="2" s="1"/>
  <c r="AE768" i="2" a="1"/>
  <c r="AE768" i="2" s="1"/>
  <c r="AH767" i="2" a="1"/>
  <c r="AH767" i="2" s="1"/>
  <c r="AG767" i="2" a="1"/>
  <c r="AG767" i="2" s="1"/>
  <c r="W766" i="2" a="1"/>
  <c r="W766" i="2" s="1"/>
  <c r="Y765" i="2" a="1"/>
  <c r="Y765" i="2" s="1"/>
  <c r="Z766" i="2" a="1"/>
  <c r="Z766" i="2" s="1"/>
  <c r="AC769" i="2" a="1"/>
  <c r="AC769" i="2" s="1"/>
  <c r="AA767" i="2" a="1"/>
  <c r="AA767" i="2" s="1"/>
  <c r="AB766" i="2" a="1"/>
  <c r="AB766" i="2" s="1"/>
  <c r="AA769" i="2" a="1"/>
  <c r="AA769" i="2" s="1"/>
  <c r="X765" i="2" a="1"/>
  <c r="X765" i="2" s="1"/>
  <c r="X769" i="2" a="1"/>
  <c r="X769" i="2" s="1"/>
  <c r="W769" i="2" a="1"/>
  <c r="W769" i="2" s="1"/>
  <c r="Z768" i="2" a="1"/>
  <c r="Z768" i="2" s="1"/>
  <c r="AB765" i="2" a="1"/>
  <c r="AB765" i="2" s="1"/>
  <c r="AD768" i="2" a="1"/>
  <c r="AD768" i="2" s="1"/>
  <c r="AA768" i="2" a="1"/>
  <c r="AA768" i="2" s="1"/>
  <c r="X768" i="2" a="1"/>
  <c r="X768" i="2" s="1"/>
  <c r="W768" i="2" a="1"/>
  <c r="W768" i="2" s="1"/>
  <c r="Z767" i="2" a="1"/>
  <c r="Z767" i="2" s="1"/>
  <c r="Y766" i="2" a="1"/>
  <c r="Y766" i="2" s="1"/>
  <c r="AE765" i="2" a="1"/>
  <c r="AE765" i="2" s="1"/>
  <c r="W763" i="2" a="1"/>
  <c r="W763" i="2" s="1"/>
  <c r="AD763" i="2" a="1"/>
  <c r="AD763" i="2" s="1"/>
  <c r="AC763" i="2" a="1"/>
  <c r="AC763" i="2" s="1"/>
  <c r="AB763" i="2" a="1"/>
  <c r="AB763" i="2" s="1"/>
  <c r="AA763" i="2" a="1"/>
  <c r="AA763" i="2" s="1"/>
  <c r="Y763" i="2" a="1"/>
  <c r="Y763" i="2" s="1"/>
  <c r="AG760" i="2" a="1"/>
  <c r="AG760" i="2" s="1"/>
  <c r="AE761" i="2" a="1"/>
  <c r="AE761" i="2" s="1"/>
  <c r="AE760" i="2" a="1"/>
  <c r="AE760" i="2" s="1"/>
  <c r="AC761" i="2" a="1"/>
  <c r="AC761" i="2" s="1"/>
  <c r="AA762" i="2" a="1"/>
  <c r="AA762" i="2" s="1"/>
  <c r="AD761" i="2" a="1"/>
  <c r="AD761" i="2" s="1"/>
  <c r="AG762" i="2" a="1"/>
  <c r="AG762" i="2" s="1"/>
  <c r="AF760" i="2" a="1"/>
  <c r="AF760" i="2" s="1"/>
  <c r="Z763" i="2" a="1"/>
  <c r="Z763" i="2" s="1"/>
  <c r="AJ762" i="2" a="1"/>
  <c r="AJ762" i="2" s="1"/>
  <c r="X761" i="2" a="1"/>
  <c r="X761" i="2" s="1"/>
  <c r="AI760" i="2" a="1"/>
  <c r="AI760" i="2" s="1"/>
  <c r="AH760" i="2" a="1"/>
  <c r="AH760" i="2" s="1"/>
  <c r="AE762" i="2" a="1"/>
  <c r="AE762" i="2" s="1"/>
  <c r="X762" i="2" a="1"/>
  <c r="X762" i="2" s="1"/>
  <c r="AC762" i="2" a="1"/>
  <c r="AC762" i="2" s="1"/>
  <c r="AB762" i="2" a="1"/>
  <c r="AB762" i="2" s="1"/>
  <c r="Y761" i="2" a="1"/>
  <c r="Y761" i="2" s="1"/>
  <c r="AA761" i="2" a="1"/>
  <c r="AA761" i="2" s="1"/>
  <c r="AJ761" i="2" a="1"/>
  <c r="AJ761" i="2" s="1"/>
  <c r="AF761" i="2" a="1"/>
  <c r="AF761" i="2" s="1"/>
  <c r="AJ760" i="2" a="1"/>
  <c r="AJ760" i="2" s="1"/>
  <c r="Y764" i="2" a="1"/>
  <c r="Y764" i="2" s="1"/>
  <c r="Y837" i="2" a="1"/>
  <c r="Y837" i="2" s="1"/>
  <c r="AD762" i="2" a="1"/>
  <c r="AD762" i="2" s="1"/>
  <c r="AI764" i="2" a="1"/>
  <c r="AI764" i="2" s="1"/>
  <c r="AH764" i="2" a="1"/>
  <c r="AH764" i="2" s="1"/>
  <c r="AG764" i="2" a="1"/>
  <c r="AG764" i="2" s="1"/>
  <c r="Z761" i="2" a="1"/>
  <c r="Z761" i="2" s="1"/>
  <c r="X763" i="2" a="1"/>
  <c r="X763" i="2" s="1"/>
  <c r="AG763" i="2" a="1"/>
  <c r="AG763" i="2" s="1"/>
  <c r="AG761" i="2" a="1"/>
  <c r="AG761" i="2" s="1"/>
  <c r="AE764" i="2" a="1"/>
  <c r="AE764" i="2" s="1"/>
  <c r="AF764" i="2" a="1"/>
  <c r="AF764" i="2" s="1"/>
  <c r="W764" i="2" a="1"/>
  <c r="W764" i="2" s="1"/>
  <c r="AF762" i="2" a="1"/>
  <c r="AF762" i="2" s="1"/>
  <c r="AH762" i="2" a="1"/>
  <c r="AH762" i="2" s="1"/>
  <c r="AH761" i="2" a="1"/>
  <c r="AH761" i="2" s="1"/>
  <c r="AH763" i="2" a="1"/>
  <c r="AH763" i="2" s="1"/>
  <c r="AI762" i="2" a="1"/>
  <c r="AI762" i="2" s="1"/>
  <c r="AI761" i="2" a="1"/>
  <c r="AI761" i="2" s="1"/>
  <c r="Z762" i="2" a="1"/>
  <c r="Z762" i="2" s="1"/>
  <c r="W761" i="2" a="1"/>
  <c r="W761" i="2" s="1"/>
  <c r="W762" i="2" a="1"/>
  <c r="W762" i="2" s="1"/>
  <c r="AJ764" i="2" a="1"/>
  <c r="AJ764" i="2" s="1"/>
  <c r="AD764" i="2" a="1"/>
  <c r="AD764" i="2" s="1"/>
  <c r="AB761" i="2" a="1"/>
  <c r="AB761" i="2" s="1"/>
  <c r="AC764" i="2" a="1"/>
  <c r="AC764" i="2" s="1"/>
  <c r="AE763" i="2" a="1"/>
  <c r="AE763" i="2" s="1"/>
  <c r="AD760" i="2" a="1"/>
  <c r="AD760" i="2" s="1"/>
  <c r="AB764" i="2" a="1"/>
  <c r="AB764" i="2" s="1"/>
  <c r="X764" i="2" a="1"/>
  <c r="X764" i="2" s="1"/>
  <c r="AA764" i="2" a="1"/>
  <c r="AA764" i="2" s="1"/>
  <c r="Z764" i="2" a="1"/>
  <c r="Z764" i="2" s="1"/>
  <c r="Y762" i="2" a="1"/>
  <c r="Y762" i="2" s="1"/>
  <c r="AJ763" i="2" a="1"/>
  <c r="AJ763" i="2" s="1"/>
  <c r="AI763" i="2" a="1"/>
  <c r="AI763" i="2" s="1"/>
  <c r="AF763" i="2" a="1"/>
  <c r="AF763" i="2" s="1"/>
  <c r="X757" i="2" a="1"/>
  <c r="X757" i="2" s="1"/>
  <c r="Z759" i="2" a="1"/>
  <c r="Z759" i="2" s="1"/>
  <c r="Y759" i="2" a="1"/>
  <c r="Y759" i="2" s="1"/>
  <c r="Z758" i="2" a="1"/>
  <c r="Z758" i="2" s="1"/>
  <c r="AF757" i="2" a="1"/>
  <c r="AF757" i="2" s="1"/>
  <c r="AD757" i="2" a="1"/>
  <c r="AD757" i="2" s="1"/>
  <c r="Y756" i="2" a="1"/>
  <c r="Y756" i="2" s="1"/>
  <c r="AG756" i="2" a="1"/>
  <c r="AG756" i="2" s="1"/>
  <c r="AC756" i="2" a="1"/>
  <c r="AC756" i="2" s="1"/>
  <c r="AE756" i="2" a="1"/>
  <c r="AE756" i="2" s="1"/>
  <c r="Y758" i="2" a="1"/>
  <c r="Y758" i="2" s="1"/>
  <c r="AF756" i="2" a="1"/>
  <c r="AF756" i="2" s="1"/>
  <c r="W838" i="2" a="1"/>
  <c r="W838" i="2" s="1"/>
  <c r="AE757" i="2" a="1"/>
  <c r="AE757" i="2" s="1"/>
  <c r="AI759" i="2" a="1"/>
  <c r="AI759" i="2" s="1"/>
  <c r="AF759" i="2" a="1"/>
  <c r="AF759" i="2" s="1"/>
  <c r="X758" i="2" a="1"/>
  <c r="X758" i="2" s="1"/>
  <c r="AC760" i="2" a="1"/>
  <c r="AC760" i="2" s="1"/>
  <c r="AB760" i="2" a="1"/>
  <c r="AB760" i="2" s="1"/>
  <c r="Z760" i="2" a="1"/>
  <c r="Z760" i="2" s="1"/>
  <c r="Y757" i="2" a="1"/>
  <c r="Y757" i="2" s="1"/>
  <c r="AB759" i="2" a="1"/>
  <c r="AB759" i="2" s="1"/>
  <c r="W758" i="2" a="1"/>
  <c r="W758" i="2" s="1"/>
  <c r="AE759" i="2" a="1"/>
  <c r="AE759" i="2" s="1"/>
  <c r="AJ758" i="2" a="1"/>
  <c r="AJ758" i="2" s="1"/>
  <c r="AF758" i="2" a="1"/>
  <c r="AF758" i="2" s="1"/>
  <c r="AI756" i="2" a="1"/>
  <c r="AI756" i="2" s="1"/>
  <c r="AG759" i="2" a="1"/>
  <c r="AG759" i="2" s="1"/>
  <c r="AA760" i="2" a="1"/>
  <c r="AA760" i="2" s="1"/>
  <c r="Y760" i="2" a="1"/>
  <c r="Y760" i="2" s="1"/>
  <c r="X760" i="2" a="1"/>
  <c r="X760" i="2" s="1"/>
  <c r="AH759" i="2" a="1"/>
  <c r="AH759" i="2" s="1"/>
  <c r="W760" i="2" a="1"/>
  <c r="W760" i="2" s="1"/>
  <c r="AB757" i="2" a="1"/>
  <c r="AB757" i="2" s="1"/>
  <c r="AA756" i="2" a="1"/>
  <c r="AA756" i="2" s="1"/>
  <c r="AJ759" i="2" a="1"/>
  <c r="AJ759" i="2" s="1"/>
  <c r="AG758" i="2" a="1"/>
  <c r="AG758" i="2" s="1"/>
  <c r="AJ757" i="2" a="1"/>
  <c r="AJ757" i="2" s="1"/>
  <c r="W759" i="2" a="1"/>
  <c r="W759" i="2" s="1"/>
  <c r="AA759" i="2" a="1"/>
  <c r="AA759" i="2" s="1"/>
  <c r="X759" i="2" a="1"/>
  <c r="X759" i="2" s="1"/>
  <c r="AI757" i="2" a="1"/>
  <c r="AI757" i="2" s="1"/>
  <c r="AI758" i="2" a="1"/>
  <c r="AI758" i="2" s="1"/>
  <c r="AH758" i="2" a="1"/>
  <c r="AH758" i="2" s="1"/>
  <c r="AC758" i="2" a="1"/>
  <c r="AC758" i="2" s="1"/>
  <c r="AA758" i="2" a="1"/>
  <c r="AA758" i="2" s="1"/>
  <c r="AA757" i="2" a="1"/>
  <c r="AA757" i="2" s="1"/>
  <c r="W756" i="2" a="1"/>
  <c r="W756" i="2" s="1"/>
  <c r="AG757" i="2" a="1"/>
  <c r="AG757" i="2" s="1"/>
  <c r="X756" i="2" a="1"/>
  <c r="X756" i="2" s="1"/>
  <c r="AE758" i="2" a="1"/>
  <c r="AE758" i="2" s="1"/>
  <c r="AC757" i="2" a="1"/>
  <c r="AC757" i="2" s="1"/>
  <c r="AD756" i="2" a="1"/>
  <c r="AD756" i="2" s="1"/>
  <c r="W757" i="2" a="1"/>
  <c r="W757" i="2" s="1"/>
  <c r="AH756" i="2" a="1"/>
  <c r="AH756" i="2" s="1"/>
  <c r="AB756" i="2" a="1"/>
  <c r="AB756" i="2" s="1"/>
  <c r="AD758" i="2" a="1"/>
  <c r="AD758" i="2" s="1"/>
  <c r="AB758" i="2" a="1"/>
  <c r="AB758" i="2" s="1"/>
  <c r="AH757" i="2" a="1"/>
  <c r="AH757" i="2" s="1"/>
  <c r="Z757" i="2" a="1"/>
  <c r="Z757" i="2" s="1"/>
  <c r="AJ756" i="2" a="1"/>
  <c r="AJ756" i="2" s="1"/>
  <c r="Z756" i="2" a="1"/>
  <c r="Z756" i="2" s="1"/>
  <c r="AD759" i="2" a="1"/>
  <c r="AD759" i="2" s="1"/>
  <c r="AC759" i="2" a="1"/>
  <c r="AC759" i="2" s="1"/>
  <c r="Y752" i="2" a="1"/>
  <c r="Y752" i="2" s="1"/>
  <c r="AF755" i="2" a="1"/>
  <c r="AF755" i="2" s="1"/>
  <c r="AA755" i="2" a="1"/>
  <c r="AA755" i="2" s="1"/>
  <c r="X754" i="2" a="1"/>
  <c r="X754" i="2" s="1"/>
  <c r="AJ753" i="2" a="1"/>
  <c r="AJ753" i="2" s="1"/>
  <c r="Y753" i="2" a="1"/>
  <c r="Y753" i="2" s="1"/>
  <c r="AE751" i="2" a="1"/>
  <c r="AE751" i="2" s="1"/>
  <c r="AJ754" i="2" a="1"/>
  <c r="AJ754" i="2" s="1"/>
  <c r="AB754" i="2" a="1"/>
  <c r="AB754" i="2" s="1"/>
  <c r="AE755" i="2" a="1"/>
  <c r="AE755" i="2" s="1"/>
  <c r="AC752" i="2" a="1"/>
  <c r="AC752" i="2" s="1"/>
  <c r="AD751" i="2" a="1"/>
  <c r="AD751" i="2" s="1"/>
  <c r="Y755" i="2" a="1"/>
  <c r="Y755" i="2" s="1"/>
  <c r="AI752" i="2" a="1"/>
  <c r="AI752" i="2" s="1"/>
  <c r="Y754" i="2" a="1"/>
  <c r="Y754" i="2" s="1"/>
  <c r="AJ752" i="2" a="1"/>
  <c r="AJ752" i="2" s="1"/>
  <c r="W753" i="2" a="1"/>
  <c r="W753" i="2" s="1"/>
  <c r="W755" i="2" a="1"/>
  <c r="W755" i="2" s="1"/>
  <c r="AG754" i="2" a="1"/>
  <c r="AG754" i="2" s="1"/>
  <c r="AG751" i="2" a="1"/>
  <c r="AG751" i="2" s="1"/>
  <c r="Z752" i="2" a="1"/>
  <c r="Z752" i="2" s="1"/>
  <c r="AG752" i="2" a="1"/>
  <c r="AG752" i="2" s="1"/>
  <c r="AI754" i="2" a="1"/>
  <c r="AI754" i="2" s="1"/>
  <c r="W754" i="2" a="1"/>
  <c r="W754" i="2" s="1"/>
  <c r="AI753" i="2" a="1"/>
  <c r="AI753" i="2" s="1"/>
  <c r="AI751" i="2" a="1"/>
  <c r="AI751" i="2" s="1"/>
  <c r="AD753" i="2" a="1"/>
  <c r="AD753" i="2" s="1"/>
  <c r="Z753" i="2" a="1"/>
  <c r="Z753" i="2" s="1"/>
  <c r="AD752" i="2" a="1"/>
  <c r="AD752" i="2" s="1"/>
  <c r="AH753" i="2" a="1"/>
  <c r="AH753" i="2" s="1"/>
  <c r="AF751" i="2" a="1"/>
  <c r="AF751" i="2" s="1"/>
  <c r="AF754" i="2" a="1"/>
  <c r="AF754" i="2" s="1"/>
  <c r="AH754" i="2" a="1"/>
  <c r="AH754" i="2" s="1"/>
  <c r="X837" i="2" a="1"/>
  <c r="X837" i="2" s="1"/>
  <c r="AJ755" i="2" a="1"/>
  <c r="AJ755" i="2" s="1"/>
  <c r="X755" i="2" a="1"/>
  <c r="X755" i="2" s="1"/>
  <c r="AE754" i="2" a="1"/>
  <c r="AE754" i="2" s="1"/>
  <c r="AB752" i="2" a="1"/>
  <c r="AB752" i="2" s="1"/>
  <c r="AJ751" i="2" a="1"/>
  <c r="AJ751" i="2" s="1"/>
  <c r="AC754" i="2" a="1"/>
  <c r="AC754" i="2" s="1"/>
  <c r="AA754" i="2" a="1"/>
  <c r="AA754" i="2" s="1"/>
  <c r="AH751" i="2" a="1"/>
  <c r="AH751" i="2" s="1"/>
  <c r="AE752" i="2" a="1"/>
  <c r="AE752" i="2" s="1"/>
  <c r="X752" i="2" a="1"/>
  <c r="X752" i="2" s="1"/>
  <c r="AA752" i="2" a="1"/>
  <c r="AA752" i="2" s="1"/>
  <c r="AI755" i="2" a="1"/>
  <c r="AI755" i="2" s="1"/>
  <c r="AC753" i="2" a="1"/>
  <c r="AC753" i="2" s="1"/>
  <c r="AC755" i="2" a="1"/>
  <c r="AC755" i="2" s="1"/>
  <c r="AH752" i="2" a="1"/>
  <c r="AH752" i="2" s="1"/>
  <c r="AF752" i="2" a="1"/>
  <c r="AF752" i="2" s="1"/>
  <c r="AH755" i="2" a="1"/>
  <c r="AH755" i="2" s="1"/>
  <c r="AG755" i="2" a="1"/>
  <c r="AG755" i="2" s="1"/>
  <c r="AB753" i="2" a="1"/>
  <c r="AB753" i="2" s="1"/>
  <c r="AD755" i="2" a="1"/>
  <c r="AD755" i="2" s="1"/>
  <c r="AB755" i="2" a="1"/>
  <c r="AB755" i="2" s="1"/>
  <c r="Z755" i="2" a="1"/>
  <c r="Z755" i="2" s="1"/>
  <c r="Z754" i="2" a="1"/>
  <c r="Z754" i="2" s="1"/>
  <c r="X753" i="2" a="1"/>
  <c r="X753" i="2" s="1"/>
  <c r="AD754" i="2" a="1"/>
  <c r="AD754" i="2" s="1"/>
  <c r="AG753" i="2" a="1"/>
  <c r="AG753" i="2" s="1"/>
  <c r="AF753" i="2" a="1"/>
  <c r="AF753" i="2" s="1"/>
  <c r="W752" i="2" a="1"/>
  <c r="W752" i="2" s="1"/>
  <c r="AE753" i="2" a="1"/>
  <c r="AE753" i="2" s="1"/>
  <c r="AA753" i="2" a="1"/>
  <c r="AA753" i="2" s="1"/>
  <c r="Y750" i="2" a="1"/>
  <c r="Y750" i="2" s="1"/>
  <c r="AI749" i="2" a="1"/>
  <c r="AI749" i="2" s="1"/>
  <c r="AG749" i="2" a="1"/>
  <c r="AG749" i="2" s="1"/>
  <c r="AG748" i="2" a="1"/>
  <c r="AG748" i="2" s="1"/>
  <c r="AF748" i="2" a="1"/>
  <c r="AF748" i="2" s="1"/>
  <c r="Z748" i="2" a="1"/>
  <c r="Z748" i="2" s="1"/>
  <c r="X748" i="2" a="1"/>
  <c r="X748" i="2" s="1"/>
  <c r="AI747" i="2" a="1"/>
  <c r="AI747" i="2" s="1"/>
  <c r="AF747" i="2" a="1"/>
  <c r="AF747" i="2" s="1"/>
  <c r="AD748" i="2" a="1"/>
  <c r="AD748" i="2" s="1"/>
  <c r="AF749" i="2" a="1"/>
  <c r="AF749" i="2" s="1"/>
  <c r="AH747" i="2" a="1"/>
  <c r="AH747" i="2" s="1"/>
  <c r="AD749" i="2" a="1"/>
  <c r="AD749" i="2" s="1"/>
  <c r="Y748" i="2" a="1"/>
  <c r="Y748" i="2" s="1"/>
  <c r="AC748" i="2" a="1"/>
  <c r="AC748" i="2" s="1"/>
  <c r="W747" i="2" a="1"/>
  <c r="W747" i="2" s="1"/>
  <c r="AC750" i="2" a="1"/>
  <c r="AC750" i="2" s="1"/>
  <c r="Z747" i="2" a="1"/>
  <c r="Z747" i="2" s="1"/>
  <c r="AE748" i="2" a="1"/>
  <c r="AE748" i="2" s="1"/>
  <c r="AD750" i="2" a="1"/>
  <c r="AD750" i="2" s="1"/>
  <c r="Y749" i="2" a="1"/>
  <c r="Y749" i="2" s="1"/>
  <c r="X747" i="2" a="1"/>
  <c r="X747" i="2" s="1"/>
  <c r="AC838" i="2" a="1"/>
  <c r="AC838" i="2" s="1"/>
  <c r="AC751" i="2" a="1"/>
  <c r="AC751" i="2" s="1"/>
  <c r="AB751" i="2" a="1"/>
  <c r="AB751" i="2" s="1"/>
  <c r="AA751" i="2" a="1"/>
  <c r="AA751" i="2" s="1"/>
  <c r="AC749" i="2" a="1"/>
  <c r="AC749" i="2" s="1"/>
  <c r="Z751" i="2" a="1"/>
  <c r="Z751" i="2" s="1"/>
  <c r="AF750" i="2" a="1"/>
  <c r="AF750" i="2" s="1"/>
  <c r="AB750" i="2" a="1"/>
  <c r="AB750" i="2" s="1"/>
  <c r="Z750" i="2" a="1"/>
  <c r="Z750" i="2" s="1"/>
  <c r="X749" i="2" a="1"/>
  <c r="X749" i="2" s="1"/>
  <c r="Z749" i="2" a="1"/>
  <c r="Z749" i="2" s="1"/>
  <c r="W750" i="2" a="1"/>
  <c r="W750" i="2" s="1"/>
  <c r="Y747" i="2" a="1"/>
  <c r="Y747" i="2" s="1"/>
  <c r="AH749" i="2" a="1"/>
  <c r="AH749" i="2" s="1"/>
  <c r="AB749" i="2" a="1"/>
  <c r="AB749" i="2" s="1"/>
  <c r="AE749" i="2" a="1"/>
  <c r="AE749" i="2" s="1"/>
  <c r="AA749" i="2" a="1"/>
  <c r="AA749" i="2" s="1"/>
  <c r="W749" i="2" a="1"/>
  <c r="W749" i="2" s="1"/>
  <c r="AI748" i="2" a="1"/>
  <c r="AI748" i="2" s="1"/>
  <c r="AC747" i="2" a="1"/>
  <c r="AC747" i="2" s="1"/>
  <c r="X751" i="2" a="1"/>
  <c r="X751" i="2" s="1"/>
  <c r="AE747" i="2" a="1"/>
  <c r="AE747" i="2" s="1"/>
  <c r="AJ749" i="2" a="1"/>
  <c r="AJ749" i="2" s="1"/>
  <c r="AH748" i="2" a="1"/>
  <c r="AH748" i="2" s="1"/>
  <c r="AB747" i="2" a="1"/>
  <c r="AB747" i="2" s="1"/>
  <c r="AA748" i="2" a="1"/>
  <c r="AA748" i="2" s="1"/>
  <c r="AD747" i="2" a="1"/>
  <c r="AD747" i="2" s="1"/>
  <c r="Y751" i="2" a="1"/>
  <c r="Y751" i="2" s="1"/>
  <c r="W751" i="2" a="1"/>
  <c r="W751" i="2" s="1"/>
  <c r="AJ747" i="2" a="1"/>
  <c r="AJ747" i="2" s="1"/>
  <c r="AG750" i="2" a="1"/>
  <c r="AG750" i="2" s="1"/>
  <c r="X750" i="2" a="1"/>
  <c r="X750" i="2" s="1"/>
  <c r="AG747" i="2" a="1"/>
  <c r="AG747" i="2" s="1"/>
  <c r="W748" i="2" a="1"/>
  <c r="W748" i="2" s="1"/>
  <c r="AA750" i="2" a="1"/>
  <c r="AA750" i="2" s="1"/>
  <c r="AJ750" i="2" a="1"/>
  <c r="AJ750" i="2" s="1"/>
  <c r="AA747" i="2" a="1"/>
  <c r="AA747" i="2" s="1"/>
  <c r="AI750" i="2" a="1"/>
  <c r="AI750" i="2" s="1"/>
  <c r="AE750" i="2" a="1"/>
  <c r="AE750" i="2" s="1"/>
  <c r="AB748" i="2" a="1"/>
  <c r="AB748" i="2" s="1"/>
  <c r="AH750" i="2" a="1"/>
  <c r="AH750" i="2" s="1"/>
  <c r="AJ748" i="2" a="1"/>
  <c r="AJ748" i="2" s="1"/>
  <c r="Y743" i="2" a="1"/>
  <c r="Y743" i="2" s="1"/>
  <c r="AI746" i="2" a="1"/>
  <c r="AI746" i="2" s="1"/>
  <c r="AE746" i="2" a="1"/>
  <c r="AE746" i="2" s="1"/>
  <c r="AC746" i="2" a="1"/>
  <c r="AC746" i="2" s="1"/>
  <c r="AG745" i="2" a="1"/>
  <c r="AG745" i="2" s="1"/>
  <c r="W743" i="2" a="1"/>
  <c r="W743" i="2" s="1"/>
  <c r="X744" i="2" a="1"/>
  <c r="X744" i="2" s="1"/>
  <c r="AI743" i="2" a="1"/>
  <c r="AI743" i="2" s="1"/>
  <c r="AB746" i="2" a="1"/>
  <c r="AB746" i="2" s="1"/>
  <c r="AA746" i="2" a="1"/>
  <c r="AA746" i="2" s="1"/>
  <c r="Z746" i="2" a="1"/>
  <c r="Z746" i="2" s="1"/>
  <c r="W744" i="2" a="1"/>
  <c r="W744" i="2" s="1"/>
  <c r="AH745" i="2" a="1"/>
  <c r="AH745" i="2" s="1"/>
  <c r="W745" i="2" a="1"/>
  <c r="W745" i="2" s="1"/>
  <c r="AH744" i="2" a="1"/>
  <c r="AH744" i="2" s="1"/>
  <c r="AG744" i="2" a="1"/>
  <c r="AG744" i="2" s="1"/>
  <c r="AE744" i="2" a="1"/>
  <c r="AE744" i="2" s="1"/>
  <c r="Z744" i="2" a="1"/>
  <c r="Z744" i="2" s="1"/>
  <c r="AJ742" i="2" a="1"/>
  <c r="AJ742" i="2" s="1"/>
  <c r="AA745" i="2" a="1"/>
  <c r="AA745" i="2" s="1"/>
  <c r="AB744" i="2" a="1"/>
  <c r="AB744" i="2" s="1"/>
  <c r="AG742" i="2" a="1"/>
  <c r="AG742" i="2" s="1"/>
  <c r="W746" i="2" a="1"/>
  <c r="W746" i="2" s="1"/>
  <c r="Z745" i="2" a="1"/>
  <c r="Z745" i="2" s="1"/>
  <c r="AH743" i="2" a="1"/>
  <c r="AH743" i="2" s="1"/>
  <c r="AD743" i="2" a="1"/>
  <c r="AD743" i="2" s="1"/>
  <c r="AI744" i="2" a="1"/>
  <c r="AI744" i="2" s="1"/>
  <c r="X743" i="2" a="1"/>
  <c r="X743" i="2" s="1"/>
  <c r="AI745" i="2" a="1"/>
  <c r="AI745" i="2" s="1"/>
  <c r="X745" i="2" a="1"/>
  <c r="X745" i="2" s="1"/>
  <c r="Y744" i="2" a="1"/>
  <c r="Y744" i="2" s="1"/>
  <c r="AF742" i="2" a="1"/>
  <c r="AF742" i="2" s="1"/>
  <c r="AH742" i="2" a="1"/>
  <c r="AH742" i="2" s="1"/>
  <c r="X746" i="2" a="1"/>
  <c r="X746" i="2" s="1"/>
  <c r="AD744" i="2" a="1"/>
  <c r="AD744" i="2" s="1"/>
  <c r="AC745" i="2" a="1"/>
  <c r="AC745" i="2" s="1"/>
  <c r="AB745" i="2" a="1"/>
  <c r="AB745" i="2" s="1"/>
  <c r="AA744" i="2" a="1"/>
  <c r="AA744" i="2" s="1"/>
  <c r="AE743" i="2" a="1"/>
  <c r="AE743" i="2" s="1"/>
  <c r="AF746" i="2" a="1"/>
  <c r="AF746" i="2" s="1"/>
  <c r="AG746" i="2" a="1"/>
  <c r="AG746" i="2" s="1"/>
  <c r="AE742" i="2" a="1"/>
  <c r="AE742" i="2" s="1"/>
  <c r="AG743" i="2" a="1"/>
  <c r="AG743" i="2" s="1"/>
  <c r="AB743" i="2" a="1"/>
  <c r="AB743" i="2" s="1"/>
  <c r="AD745" i="2" a="1"/>
  <c r="AD745" i="2" s="1"/>
  <c r="AC743" i="2" a="1"/>
  <c r="AC743" i="2" s="1"/>
  <c r="AA743" i="2" a="1"/>
  <c r="AA743" i="2" s="1"/>
  <c r="AI742" i="2" a="1"/>
  <c r="AI742" i="2" s="1"/>
  <c r="AJ744" i="2" a="1"/>
  <c r="AJ744" i="2" s="1"/>
  <c r="AF745" i="2" a="1"/>
  <c r="AF745" i="2" s="1"/>
  <c r="AJ743" i="2" a="1"/>
  <c r="AJ743" i="2" s="1"/>
  <c r="W837" i="2" a="1"/>
  <c r="W837" i="2" s="1"/>
  <c r="Z743" i="2" a="1"/>
  <c r="Z743" i="2" s="1"/>
  <c r="AJ746" i="2" a="1"/>
  <c r="AJ746" i="2" s="1"/>
  <c r="AF744" i="2" a="1"/>
  <c r="AF744" i="2" s="1"/>
  <c r="AD746" i="2" a="1"/>
  <c r="AD746" i="2" s="1"/>
  <c r="AH746" i="2" a="1"/>
  <c r="AH746" i="2" s="1"/>
  <c r="Y746" i="2" a="1"/>
  <c r="Y746" i="2" s="1"/>
  <c r="AC744" i="2" a="1"/>
  <c r="AC744" i="2" s="1"/>
  <c r="Y745" i="2" a="1"/>
  <c r="Y745" i="2" s="1"/>
  <c r="AE745" i="2" a="1"/>
  <c r="AE745" i="2" s="1"/>
  <c r="AF743" i="2" a="1"/>
  <c r="AF743" i="2" s="1"/>
  <c r="AJ745" i="2" a="1"/>
  <c r="AJ745" i="2" s="1"/>
  <c r="AD742" i="2" a="1"/>
  <c r="AD742" i="2" s="1"/>
  <c r="AJ741" i="2" a="1"/>
  <c r="AJ741" i="2" s="1"/>
  <c r="AH741" i="2" a="1"/>
  <c r="AH741" i="2" s="1"/>
  <c r="AJ740" i="2" a="1"/>
  <c r="AJ740" i="2" s="1"/>
  <c r="AI738" i="2" a="1"/>
  <c r="AI738" i="2" s="1"/>
  <c r="AE740" i="2" a="1"/>
  <c r="AE740" i="2" s="1"/>
  <c r="W740" i="2" a="1"/>
  <c r="W740" i="2" s="1"/>
  <c r="AB738" i="2" a="1"/>
  <c r="AB738" i="2" s="1"/>
  <c r="AC740" i="2" a="1"/>
  <c r="AC740" i="2" s="1"/>
  <c r="AA740" i="2" a="1"/>
  <c r="AA740" i="2" s="1"/>
  <c r="AH739" i="2" a="1"/>
  <c r="AH739" i="2" s="1"/>
  <c r="Y739" i="2" a="1"/>
  <c r="Y739" i="2" s="1"/>
  <c r="AH740" i="2" a="1"/>
  <c r="AH740" i="2" s="1"/>
  <c r="AD740" i="2" a="1"/>
  <c r="AD740" i="2" s="1"/>
  <c r="AI739" i="2" a="1"/>
  <c r="AI739" i="2" s="1"/>
  <c r="Z739" i="2" a="1"/>
  <c r="Z739" i="2" s="1"/>
  <c r="AI740" i="2" a="1"/>
  <c r="AI740" i="2" s="1"/>
  <c r="AG738" i="2" a="1"/>
  <c r="AG738" i="2" s="1"/>
  <c r="AJ837" i="2" a="1"/>
  <c r="AJ837" i="2" s="1"/>
  <c r="AB741" i="2" a="1"/>
  <c r="AB741" i="2" s="1"/>
  <c r="AJ738" i="2" a="1"/>
  <c r="AJ738" i="2" s="1"/>
  <c r="AC742" i="2" a="1"/>
  <c r="AC742" i="2" s="1"/>
  <c r="Z741" i="2" a="1"/>
  <c r="Z741" i="2" s="1"/>
  <c r="AF739" i="2" a="1"/>
  <c r="AF739" i="2" s="1"/>
  <c r="AH738" i="2" a="1"/>
  <c r="AH738" i="2" s="1"/>
  <c r="AE741" i="2" a="1"/>
  <c r="AE741" i="2" s="1"/>
  <c r="AA742" i="2" a="1"/>
  <c r="AA742" i="2" s="1"/>
  <c r="AE739" i="2" a="1"/>
  <c r="AE739" i="2" s="1"/>
  <c r="Z742" i="2" a="1"/>
  <c r="Z742" i="2" s="1"/>
  <c r="Y742" i="2" a="1"/>
  <c r="Y742" i="2" s="1"/>
  <c r="X742" i="2" a="1"/>
  <c r="X742" i="2" s="1"/>
  <c r="AD741" i="2" a="1"/>
  <c r="AD741" i="2" s="1"/>
  <c r="AC741" i="2" a="1"/>
  <c r="AC741" i="2" s="1"/>
  <c r="W739" i="2" a="1"/>
  <c r="W739" i="2" s="1"/>
  <c r="Y740" i="2" a="1"/>
  <c r="Y740" i="2" s="1"/>
  <c r="AD738" i="2" a="1"/>
  <c r="AD738" i="2" s="1"/>
  <c r="AI741" i="2" a="1"/>
  <c r="AI741" i="2" s="1"/>
  <c r="AA739" i="2" a="1"/>
  <c r="AA739" i="2" s="1"/>
  <c r="AG741" i="2" a="1"/>
  <c r="AG741" i="2" s="1"/>
  <c r="AF741" i="2" a="1"/>
  <c r="AF741" i="2" s="1"/>
  <c r="AA741" i="2" a="1"/>
  <c r="AA741" i="2" s="1"/>
  <c r="Y741" i="2" a="1"/>
  <c r="Y741" i="2" s="1"/>
  <c r="X741" i="2" a="1"/>
  <c r="X741" i="2" s="1"/>
  <c r="AF740" i="2" a="1"/>
  <c r="AF740" i="2" s="1"/>
  <c r="Z738" i="2" a="1"/>
  <c r="Z738" i="2" s="1"/>
  <c r="AB740" i="2" a="1"/>
  <c r="AB740" i="2" s="1"/>
  <c r="AD739" i="2" a="1"/>
  <c r="AD739" i="2" s="1"/>
  <c r="W738" i="2" a="1"/>
  <c r="W738" i="2" s="1"/>
  <c r="AJ739" i="2" a="1"/>
  <c r="AJ739" i="2" s="1"/>
  <c r="AF738" i="2" a="1"/>
  <c r="AF738" i="2" s="1"/>
  <c r="AA738" i="2" a="1"/>
  <c r="AA738" i="2" s="1"/>
  <c r="Y738" i="2" a="1"/>
  <c r="Y738" i="2" s="1"/>
  <c r="Z740" i="2" a="1"/>
  <c r="Z740" i="2" s="1"/>
  <c r="AG739" i="2" a="1"/>
  <c r="AG739" i="2" s="1"/>
  <c r="AB739" i="2" a="1"/>
  <c r="AB739" i="2" s="1"/>
  <c r="AC739" i="2" a="1"/>
  <c r="AC739" i="2" s="1"/>
  <c r="AE738" i="2" a="1"/>
  <c r="AE738" i="2" s="1"/>
  <c r="X739" i="2" a="1"/>
  <c r="X739" i="2" s="1"/>
  <c r="W741" i="2" a="1"/>
  <c r="W741" i="2" s="1"/>
  <c r="AG740" i="2" a="1"/>
  <c r="AG740" i="2" s="1"/>
  <c r="X740" i="2" a="1"/>
  <c r="X740" i="2" s="1"/>
  <c r="AC738" i="2" a="1"/>
  <c r="AC738" i="2" s="1"/>
  <c r="X738" i="2" a="1"/>
  <c r="X738" i="2" s="1"/>
  <c r="AB742" i="2" a="1"/>
  <c r="AB742" i="2" s="1"/>
  <c r="W742" i="2" a="1"/>
  <c r="W742" i="2" s="1"/>
  <c r="AH736" i="2" a="1"/>
  <c r="AH736" i="2" s="1"/>
  <c r="AG736" i="2" a="1"/>
  <c r="AG736" i="2" s="1"/>
  <c r="AB736" i="2" a="1"/>
  <c r="AB736" i="2" s="1"/>
  <c r="AA736" i="2" a="1"/>
  <c r="AA736" i="2" s="1"/>
  <c r="AD735" i="2" a="1"/>
  <c r="AD735" i="2" s="1"/>
  <c r="Z735" i="2" a="1"/>
  <c r="Z735" i="2" s="1"/>
  <c r="Y735" i="2" a="1"/>
  <c r="Y735" i="2" s="1"/>
  <c r="W735" i="2" a="1"/>
  <c r="W735" i="2" s="1"/>
  <c r="AD734" i="2" a="1"/>
  <c r="AD734" i="2" s="1"/>
  <c r="AD733" i="2" a="1"/>
  <c r="AD733" i="2" s="1"/>
  <c r="W734" i="2" a="1"/>
  <c r="W734" i="2" s="1"/>
  <c r="AG734" i="2" a="1"/>
  <c r="AG734" i="2" s="1"/>
  <c r="Z734" i="2" a="1"/>
  <c r="Z734" i="2" s="1"/>
  <c r="AF733" i="2" a="1"/>
  <c r="AF733" i="2" s="1"/>
  <c r="AE735" i="2" a="1"/>
  <c r="AE735" i="2" s="1"/>
  <c r="W736" i="2" a="1"/>
  <c r="W736" i="2" s="1"/>
  <c r="AJ735" i="2" a="1"/>
  <c r="AJ735" i="2" s="1"/>
  <c r="AG735" i="2" a="1"/>
  <c r="AG735" i="2" s="1"/>
  <c r="Y736" i="2" a="1"/>
  <c r="Y736" i="2" s="1"/>
  <c r="AJ733" i="2" a="1"/>
  <c r="AJ733" i="2" s="1"/>
  <c r="AG733" i="2" a="1"/>
  <c r="AG733" i="2" s="1"/>
  <c r="AB735" i="2" a="1"/>
  <c r="AB735" i="2" s="1"/>
  <c r="AH733" i="2" a="1"/>
  <c r="AH733" i="2" s="1"/>
  <c r="AJ836" i="2" a="1"/>
  <c r="AJ836" i="2" s="1"/>
  <c r="AF736" i="2" a="1"/>
  <c r="AF736" i="2" s="1"/>
  <c r="AA735" i="2" a="1"/>
  <c r="AA735" i="2" s="1"/>
  <c r="AE733" i="2" a="1"/>
  <c r="AE733" i="2" s="1"/>
  <c r="AI737" i="2" a="1"/>
  <c r="AI737" i="2" s="1"/>
  <c r="AG737" i="2" a="1"/>
  <c r="AG737" i="2" s="1"/>
  <c r="AC737" i="2" a="1"/>
  <c r="AC737" i="2" s="1"/>
  <c r="AH737" i="2" a="1"/>
  <c r="AH737" i="2" s="1"/>
  <c r="AB734" i="2" a="1"/>
  <c r="AB734" i="2" s="1"/>
  <c r="AI735" i="2" a="1"/>
  <c r="AI735" i="2" s="1"/>
  <c r="AJ737" i="2" a="1"/>
  <c r="AJ737" i="2" s="1"/>
  <c r="AF737" i="2" a="1"/>
  <c r="AF737" i="2" s="1"/>
  <c r="AC736" i="2" a="1"/>
  <c r="AC736" i="2" s="1"/>
  <c r="AF735" i="2" a="1"/>
  <c r="AF735" i="2" s="1"/>
  <c r="AE737" i="2" a="1"/>
  <c r="AE737" i="2" s="1"/>
  <c r="AJ736" i="2" a="1"/>
  <c r="AJ736" i="2" s="1"/>
  <c r="AI733" i="2" a="1"/>
  <c r="AI733" i="2" s="1"/>
  <c r="AJ734" i="2" a="1"/>
  <c r="AJ734" i="2" s="1"/>
  <c r="AF734" i="2" a="1"/>
  <c r="AF734" i="2" s="1"/>
  <c r="AE734" i="2" a="1"/>
  <c r="AE734" i="2" s="1"/>
  <c r="AC734" i="2" a="1"/>
  <c r="AC734" i="2" s="1"/>
  <c r="Y734" i="2" a="1"/>
  <c r="Y734" i="2" s="1"/>
  <c r="X734" i="2" a="1"/>
  <c r="X734" i="2" s="1"/>
  <c r="AE736" i="2" a="1"/>
  <c r="AE736" i="2" s="1"/>
  <c r="AH735" i="2" a="1"/>
  <c r="AH735" i="2" s="1"/>
  <c r="AA737" i="2" a="1"/>
  <c r="AA737" i="2" s="1"/>
  <c r="AH734" i="2" a="1"/>
  <c r="AH734" i="2" s="1"/>
  <c r="AA734" i="2" a="1"/>
  <c r="AA734" i="2" s="1"/>
  <c r="X737" i="2" a="1"/>
  <c r="X737" i="2" s="1"/>
  <c r="AD736" i="2" a="1"/>
  <c r="AD736" i="2" s="1"/>
  <c r="Z736" i="2" a="1"/>
  <c r="Z736" i="2" s="1"/>
  <c r="X735" i="2" a="1"/>
  <c r="X735" i="2" s="1"/>
  <c r="X736" i="2" a="1"/>
  <c r="X736" i="2" s="1"/>
  <c r="AC735" i="2" a="1"/>
  <c r="AC735" i="2" s="1"/>
  <c r="AI734" i="2" a="1"/>
  <c r="AI734" i="2" s="1"/>
  <c r="AD737" i="2" a="1"/>
  <c r="AD737" i="2" s="1"/>
  <c r="AB737" i="2" a="1"/>
  <c r="AB737" i="2" s="1"/>
  <c r="Z737" i="2" a="1"/>
  <c r="Z737" i="2" s="1"/>
  <c r="Y737" i="2" a="1"/>
  <c r="Y737" i="2" s="1"/>
  <c r="W737" i="2" a="1"/>
  <c r="W737" i="2" s="1"/>
  <c r="AI736" i="2" a="1"/>
  <c r="AI736" i="2" s="1"/>
  <c r="W729" i="2" a="1"/>
  <c r="W729" i="2" s="1"/>
  <c r="AH731" i="2" a="1"/>
  <c r="AH731" i="2" s="1"/>
  <c r="AG731" i="2" a="1"/>
  <c r="AG731" i="2" s="1"/>
  <c r="Z731" i="2" a="1"/>
  <c r="Z731" i="2" s="1"/>
  <c r="AJ730" i="2" a="1"/>
  <c r="AJ730" i="2" s="1"/>
  <c r="AF730" i="2" a="1"/>
  <c r="AF730" i="2" s="1"/>
  <c r="AA729" i="2" a="1"/>
  <c r="AA729" i="2" s="1"/>
  <c r="AJ729" i="2" a="1"/>
  <c r="AJ729" i="2" s="1"/>
  <c r="AD729" i="2" a="1"/>
  <c r="AD729" i="2" s="1"/>
  <c r="AB729" i="2" a="1"/>
  <c r="AB729" i="2" s="1"/>
  <c r="AF731" i="2" a="1"/>
  <c r="AF731" i="2" s="1"/>
  <c r="AC729" i="2" a="1"/>
  <c r="AC729" i="2" s="1"/>
  <c r="Y730" i="2" a="1"/>
  <c r="Y730" i="2" s="1"/>
  <c r="AA730" i="2" a="1"/>
  <c r="AA730" i="2" s="1"/>
  <c r="AI729" i="2" a="1"/>
  <c r="AI729" i="2" s="1"/>
  <c r="AH729" i="2" a="1"/>
  <c r="AH729" i="2" s="1"/>
  <c r="AB731" i="2" a="1"/>
  <c r="AB731" i="2" s="1"/>
  <c r="X733" i="2" a="1"/>
  <c r="X733" i="2" s="1"/>
  <c r="AE732" i="2" a="1"/>
  <c r="AE732" i="2" s="1"/>
  <c r="AA732" i="2" a="1"/>
  <c r="AA732" i="2" s="1"/>
  <c r="AB730" i="2" a="1"/>
  <c r="AB730" i="2" s="1"/>
  <c r="W731" i="2" a="1"/>
  <c r="W731" i="2" s="1"/>
  <c r="AC730" i="2" a="1"/>
  <c r="AC730" i="2" s="1"/>
  <c r="AJ731" i="2" a="1"/>
  <c r="AJ731" i="2" s="1"/>
  <c r="AA731" i="2" a="1"/>
  <c r="AA731" i="2" s="1"/>
  <c r="Z730" i="2" a="1"/>
  <c r="Z730" i="2" s="1"/>
  <c r="AF729" i="2" a="1"/>
  <c r="AF729" i="2" s="1"/>
  <c r="Z729" i="2" a="1"/>
  <c r="Z729" i="2" s="1"/>
  <c r="AG732" i="2" a="1"/>
  <c r="AG732" i="2" s="1"/>
  <c r="Y729" i="2" a="1"/>
  <c r="Y729" i="2" s="1"/>
  <c r="AE731" i="2" a="1"/>
  <c r="AE731" i="2" s="1"/>
  <c r="AG729" i="2" a="1"/>
  <c r="AG729" i="2" s="1"/>
  <c r="AC732" i="2" a="1"/>
  <c r="AC732" i="2" s="1"/>
  <c r="AI731" i="2" a="1"/>
  <c r="AI731" i="2" s="1"/>
  <c r="AH730" i="2" a="1"/>
  <c r="AH730" i="2" s="1"/>
  <c r="Y731" i="2" a="1"/>
  <c r="Y731" i="2" s="1"/>
  <c r="AF838" i="2" a="1"/>
  <c r="AF838" i="2" s="1"/>
  <c r="AC733" i="2" a="1"/>
  <c r="AC733" i="2" s="1"/>
  <c r="AB733" i="2" a="1"/>
  <c r="AB733" i="2" s="1"/>
  <c r="AD730" i="2" a="1"/>
  <c r="AD730" i="2" s="1"/>
  <c r="AA733" i="2" a="1"/>
  <c r="AA733" i="2" s="1"/>
  <c r="Z733" i="2" a="1"/>
  <c r="Z733" i="2" s="1"/>
  <c r="AH732" i="2" a="1"/>
  <c r="AH732" i="2" s="1"/>
  <c r="AC731" i="2" a="1"/>
  <c r="AC731" i="2" s="1"/>
  <c r="Y733" i="2" a="1"/>
  <c r="Y733" i="2" s="1"/>
  <c r="W733" i="2" a="1"/>
  <c r="W733" i="2" s="1"/>
  <c r="AJ732" i="2" a="1"/>
  <c r="AJ732" i="2" s="1"/>
  <c r="AI732" i="2" a="1"/>
  <c r="AI732" i="2" s="1"/>
  <c r="AD731" i="2" a="1"/>
  <c r="AD731" i="2" s="1"/>
  <c r="AE730" i="2" a="1"/>
  <c r="AE730" i="2" s="1"/>
  <c r="AF732" i="2" a="1"/>
  <c r="AF732" i="2" s="1"/>
  <c r="AD732" i="2" a="1"/>
  <c r="AD732" i="2" s="1"/>
  <c r="AB732" i="2" a="1"/>
  <c r="AB732" i="2" s="1"/>
  <c r="Z732" i="2" a="1"/>
  <c r="Z732" i="2" s="1"/>
  <c r="AI730" i="2" a="1"/>
  <c r="AI730" i="2" s="1"/>
  <c r="AE729" i="2" a="1"/>
  <c r="AE729" i="2" s="1"/>
  <c r="Y732" i="2" a="1"/>
  <c r="Y732" i="2" s="1"/>
  <c r="X732" i="2" a="1"/>
  <c r="X732" i="2" s="1"/>
  <c r="W732" i="2" a="1"/>
  <c r="W732" i="2" s="1"/>
  <c r="X731" i="2" a="1"/>
  <c r="X731" i="2" s="1"/>
  <c r="AG730" i="2" a="1"/>
  <c r="AG730" i="2" s="1"/>
  <c r="X730" i="2" a="1"/>
  <c r="X730" i="2" s="1"/>
  <c r="X729" i="2" a="1"/>
  <c r="X729" i="2" s="1"/>
  <c r="W730" i="2" a="1"/>
  <c r="W730" i="2" s="1"/>
  <c r="AG727" i="2" a="1"/>
  <c r="AG727" i="2" s="1"/>
  <c r="W728" i="2" a="1"/>
  <c r="W728" i="2" s="1"/>
  <c r="AA727" i="2" a="1"/>
  <c r="AA727" i="2" s="1"/>
  <c r="W727" i="2" a="1"/>
  <c r="W727" i="2" s="1"/>
  <c r="AA726" i="2" a="1"/>
  <c r="AA726" i="2" s="1"/>
  <c r="AJ724" i="2" a="1"/>
  <c r="AJ724" i="2" s="1"/>
  <c r="Y726" i="2" a="1"/>
  <c r="Y726" i="2" s="1"/>
  <c r="AH726" i="2" a="1"/>
  <c r="AH726" i="2" s="1"/>
  <c r="AI725" i="2" a="1"/>
  <c r="AI725" i="2" s="1"/>
  <c r="AG725" i="2" a="1"/>
  <c r="AG725" i="2" s="1"/>
  <c r="Z726" i="2" a="1"/>
  <c r="Z726" i="2" s="1"/>
  <c r="AJ725" i="2" a="1"/>
  <c r="AJ725" i="2" s="1"/>
  <c r="AF725" i="2" a="1"/>
  <c r="AF725" i="2" s="1"/>
  <c r="Y725" i="2" a="1"/>
  <c r="Y725" i="2" s="1"/>
  <c r="AE725" i="2" a="1"/>
  <c r="AE725" i="2" s="1"/>
  <c r="AE724" i="2" a="1"/>
  <c r="AE724" i="2" s="1"/>
  <c r="AH725" i="2" a="1"/>
  <c r="AH725" i="2" s="1"/>
  <c r="AC725" i="2" a="1"/>
  <c r="AC725" i="2" s="1"/>
  <c r="AI724" i="2" a="1"/>
  <c r="AI724" i="2" s="1"/>
  <c r="AH724" i="2" a="1"/>
  <c r="AH724" i="2" s="1"/>
  <c r="Z725" i="2" a="1"/>
  <c r="Z725" i="2" s="1"/>
  <c r="AJ727" i="2" a="1"/>
  <c r="AJ727" i="2" s="1"/>
  <c r="AA725" i="2" a="1"/>
  <c r="AA725" i="2" s="1"/>
  <c r="AF727" i="2" a="1"/>
  <c r="AF727" i="2" s="1"/>
  <c r="AD726" i="2" a="1"/>
  <c r="AD726" i="2" s="1"/>
  <c r="X725" i="2" a="1"/>
  <c r="X725" i="2" s="1"/>
  <c r="AD724" i="2" a="1"/>
  <c r="AD724" i="2" s="1"/>
  <c r="W725" i="2" a="1"/>
  <c r="W725" i="2" s="1"/>
  <c r="AI836" i="2" a="1"/>
  <c r="AI836" i="2" s="1"/>
  <c r="X726" i="2" a="1"/>
  <c r="X726" i="2" s="1"/>
  <c r="AC727" i="2" a="1"/>
  <c r="AC727" i="2" s="1"/>
  <c r="AD725" i="2" a="1"/>
  <c r="AD725" i="2" s="1"/>
  <c r="AD728" i="2" a="1"/>
  <c r="AD728" i="2" s="1"/>
  <c r="AJ728" i="2" a="1"/>
  <c r="AJ728" i="2" s="1"/>
  <c r="AB728" i="2" a="1"/>
  <c r="AB728" i="2" s="1"/>
  <c r="AF728" i="2" a="1"/>
  <c r="AF728" i="2" s="1"/>
  <c r="X728" i="2" a="1"/>
  <c r="X728" i="2" s="1"/>
  <c r="Y727" i="2" a="1"/>
  <c r="Y727" i="2" s="1"/>
  <c r="AE726" i="2" a="1"/>
  <c r="AE726" i="2" s="1"/>
  <c r="AB725" i="2" a="1"/>
  <c r="AB725" i="2" s="1"/>
  <c r="AE728" i="2" a="1"/>
  <c r="AE728" i="2" s="1"/>
  <c r="AI727" i="2" a="1"/>
  <c r="AI727" i="2" s="1"/>
  <c r="AG726" i="2" a="1"/>
  <c r="AG726" i="2" s="1"/>
  <c r="AB726" i="2" a="1"/>
  <c r="AB726" i="2" s="1"/>
  <c r="X727" i="2" a="1"/>
  <c r="X727" i="2" s="1"/>
  <c r="Z727" i="2" a="1"/>
  <c r="Z727" i="2" s="1"/>
  <c r="AC726" i="2" a="1"/>
  <c r="AC726" i="2" s="1"/>
  <c r="AF724" i="2" a="1"/>
  <c r="AF724" i="2" s="1"/>
  <c r="AI728" i="2" a="1"/>
  <c r="AI728" i="2" s="1"/>
  <c r="AI726" i="2" a="1"/>
  <c r="AI726" i="2" s="1"/>
  <c r="AB727" i="2" a="1"/>
  <c r="AB727" i="2" s="1"/>
  <c r="AJ726" i="2" a="1"/>
  <c r="AJ726" i="2" s="1"/>
  <c r="AH727" i="2" a="1"/>
  <c r="AH727" i="2" s="1"/>
  <c r="AG724" i="2" a="1"/>
  <c r="AG724" i="2" s="1"/>
  <c r="Y728" i="2" a="1"/>
  <c r="Y728" i="2" s="1"/>
  <c r="W726" i="2" a="1"/>
  <c r="W726" i="2" s="1"/>
  <c r="AC728" i="2" a="1"/>
  <c r="AC728" i="2" s="1"/>
  <c r="AH728" i="2" a="1"/>
  <c r="AH728" i="2" s="1"/>
  <c r="AG728" i="2" a="1"/>
  <c r="AG728" i="2" s="1"/>
  <c r="AA728" i="2" a="1"/>
  <c r="AA728" i="2" s="1"/>
  <c r="AD727" i="2" a="1"/>
  <c r="AD727" i="2" s="1"/>
  <c r="AF726" i="2" a="1"/>
  <c r="AF726" i="2" s="1"/>
  <c r="AE727" i="2" a="1"/>
  <c r="AE727" i="2" s="1"/>
  <c r="Z728" i="2" a="1"/>
  <c r="Z728" i="2" s="1"/>
  <c r="AG722" i="2" a="1"/>
  <c r="AG722" i="2" s="1"/>
  <c r="AA723" i="2" a="1"/>
  <c r="AA723" i="2" s="1"/>
  <c r="AH720" i="2" a="1"/>
  <c r="AH720" i="2" s="1"/>
  <c r="Z720" i="2" a="1"/>
  <c r="Z720" i="2" s="1"/>
  <c r="AH721" i="2" a="1"/>
  <c r="AH721" i="2" s="1"/>
  <c r="AE722" i="2" a="1"/>
  <c r="AE722" i="2" s="1"/>
  <c r="Y720" i="2" a="1"/>
  <c r="Y720" i="2" s="1"/>
  <c r="AH723" i="2" a="1"/>
  <c r="AH723" i="2" s="1"/>
  <c r="Y723" i="2" a="1"/>
  <c r="Y723" i="2" s="1"/>
  <c r="AG723" i="2" a="1"/>
  <c r="AG723" i="2" s="1"/>
  <c r="W722" i="2" a="1"/>
  <c r="W722" i="2" s="1"/>
  <c r="Z723" i="2" a="1"/>
  <c r="Z723" i="2" s="1"/>
  <c r="AD722" i="2" a="1"/>
  <c r="AD722" i="2" s="1"/>
  <c r="Y721" i="2" a="1"/>
  <c r="Y721" i="2" s="1"/>
  <c r="AC722" i="2" a="1"/>
  <c r="AC722" i="2" s="1"/>
  <c r="AI721" i="2" a="1"/>
  <c r="AI721" i="2" s="1"/>
  <c r="AD721" i="2" a="1"/>
  <c r="AD721" i="2" s="1"/>
  <c r="AB720" i="2" a="1"/>
  <c r="AB720" i="2" s="1"/>
  <c r="AC720" i="2" a="1"/>
  <c r="AC720" i="2" s="1"/>
  <c r="AI720" i="2" a="1"/>
  <c r="AI720" i="2" s="1"/>
  <c r="AB723" i="2" a="1"/>
  <c r="AB723" i="2" s="1"/>
  <c r="AA721" i="2" a="1"/>
  <c r="AA721" i="2" s="1"/>
  <c r="AC724" i="2" a="1"/>
  <c r="AC724" i="2" s="1"/>
  <c r="Z724" i="2" a="1"/>
  <c r="Z724" i="2" s="1"/>
  <c r="AJ723" i="2" a="1"/>
  <c r="AJ723" i="2" s="1"/>
  <c r="AF722" i="2" a="1"/>
  <c r="AF722" i="2" s="1"/>
  <c r="AB722" i="2" a="1"/>
  <c r="AB722" i="2" s="1"/>
  <c r="X720" i="2" a="1"/>
  <c r="X720" i="2" s="1"/>
  <c r="AJ721" i="2" a="1"/>
  <c r="AJ721" i="2" s="1"/>
  <c r="W720" i="2" a="1"/>
  <c r="W720" i="2" s="1"/>
  <c r="AB724" i="2" a="1"/>
  <c r="AB724" i="2" s="1"/>
  <c r="Y722" i="2" a="1"/>
  <c r="Y722" i="2" s="1"/>
  <c r="AC723" i="2" a="1"/>
  <c r="AC723" i="2" s="1"/>
  <c r="W723" i="2" a="1"/>
  <c r="W723" i="2" s="1"/>
  <c r="AC721" i="2" a="1"/>
  <c r="AC721" i="2" s="1"/>
  <c r="Z721" i="2" a="1"/>
  <c r="Z721" i="2" s="1"/>
  <c r="AA720" i="2" a="1"/>
  <c r="AA720" i="2" s="1"/>
  <c r="AJ720" i="2" a="1"/>
  <c r="AJ720" i="2" s="1"/>
  <c r="AE720" i="2" a="1"/>
  <c r="AE720" i="2" s="1"/>
  <c r="AI837" i="2" a="1"/>
  <c r="AI837" i="2" s="1"/>
  <c r="AA724" i="2" a="1"/>
  <c r="AA724" i="2" s="1"/>
  <c r="Y724" i="2" a="1"/>
  <c r="Y724" i="2" s="1"/>
  <c r="X724" i="2" a="1"/>
  <c r="X724" i="2" s="1"/>
  <c r="AG720" i="2" a="1"/>
  <c r="AG720" i="2" s="1"/>
  <c r="AE723" i="2" a="1"/>
  <c r="AE723" i="2" s="1"/>
  <c r="AD723" i="2" a="1"/>
  <c r="AD723" i="2" s="1"/>
  <c r="AI722" i="2" a="1"/>
  <c r="AI722" i="2" s="1"/>
  <c r="AF720" i="2" a="1"/>
  <c r="AF720" i="2" s="1"/>
  <c r="W724" i="2" a="1"/>
  <c r="W724" i="2" s="1"/>
  <c r="X722" i="2" a="1"/>
  <c r="X722" i="2" s="1"/>
  <c r="AG721" i="2" a="1"/>
  <c r="AG721" i="2" s="1"/>
  <c r="AI723" i="2" a="1"/>
  <c r="AI723" i="2" s="1"/>
  <c r="AH722" i="2" a="1"/>
  <c r="AH722" i="2" s="1"/>
  <c r="AD720" i="2" a="1"/>
  <c r="AD720" i="2" s="1"/>
  <c r="W721" i="2" a="1"/>
  <c r="W721" i="2" s="1"/>
  <c r="X723" i="2" a="1"/>
  <c r="X723" i="2" s="1"/>
  <c r="AF723" i="2" a="1"/>
  <c r="AF723" i="2" s="1"/>
  <c r="AE721" i="2" a="1"/>
  <c r="AE721" i="2" s="1"/>
  <c r="AB721" i="2" a="1"/>
  <c r="AB721" i="2" s="1"/>
  <c r="AJ722" i="2" a="1"/>
  <c r="AJ722" i="2" s="1"/>
  <c r="Z722" i="2" a="1"/>
  <c r="Z722" i="2" s="1"/>
  <c r="AF721" i="2" a="1"/>
  <c r="AF721" i="2" s="1"/>
  <c r="AA722" i="2" a="1"/>
  <c r="AA722" i="2" s="1"/>
  <c r="X721" i="2" a="1"/>
  <c r="X721" i="2" s="1"/>
  <c r="AG715" i="2" a="1"/>
  <c r="AG715" i="2" s="1"/>
  <c r="AF719" i="2" a="1"/>
  <c r="AF719" i="2" s="1"/>
  <c r="AD718" i="2" a="1"/>
  <c r="AD718" i="2" s="1"/>
  <c r="AF717" i="2" a="1"/>
  <c r="AF717" i="2" s="1"/>
  <c r="W718" i="2" a="1"/>
  <c r="W718" i="2" s="1"/>
  <c r="AE716" i="2" a="1"/>
  <c r="AE716" i="2" s="1"/>
  <c r="AA718" i="2" a="1"/>
  <c r="AA718" i="2" s="1"/>
  <c r="AE719" i="2" a="1"/>
  <c r="AE719" i="2" s="1"/>
  <c r="AI716" i="2" a="1"/>
  <c r="AI716" i="2" s="1"/>
  <c r="AB719" i="2" a="1"/>
  <c r="AB719" i="2" s="1"/>
  <c r="X719" i="2" a="1"/>
  <c r="X719" i="2" s="1"/>
  <c r="AG718" i="2" a="1"/>
  <c r="AG718" i="2" s="1"/>
  <c r="X718" i="2" a="1"/>
  <c r="X718" i="2" s="1"/>
  <c r="Z716" i="2" a="1"/>
  <c r="Z716" i="2" s="1"/>
  <c r="AF716" i="2" a="1"/>
  <c r="AF716" i="2" s="1"/>
  <c r="AG717" i="2" a="1"/>
  <c r="AG717" i="2" s="1"/>
  <c r="AD717" i="2" a="1"/>
  <c r="AD717" i="2" s="1"/>
  <c r="AD716" i="2" a="1"/>
  <c r="AD716" i="2" s="1"/>
  <c r="AI715" i="2" a="1"/>
  <c r="AI715" i="2" s="1"/>
  <c r="AD715" i="2" a="1"/>
  <c r="AD715" i="2" s="1"/>
  <c r="AA716" i="2" a="1"/>
  <c r="AA716" i="2" s="1"/>
  <c r="W716" i="2" a="1"/>
  <c r="W716" i="2" s="1"/>
  <c r="AB716" i="2" a="1"/>
  <c r="AB716" i="2" s="1"/>
  <c r="AE717" i="2" a="1"/>
  <c r="AE717" i="2" s="1"/>
  <c r="AH718" i="2" a="1"/>
  <c r="AH718" i="2" s="1"/>
  <c r="AA717" i="2" a="1"/>
  <c r="AA717" i="2" s="1"/>
  <c r="Y716" i="2" a="1"/>
  <c r="Y716" i="2" s="1"/>
  <c r="AH715" i="2" a="1"/>
  <c r="AH715" i="2" s="1"/>
  <c r="AJ717" i="2" a="1"/>
  <c r="AJ717" i="2" s="1"/>
  <c r="AI719" i="2" a="1"/>
  <c r="AI719" i="2" s="1"/>
  <c r="AA719" i="2" a="1"/>
  <c r="AA719" i="2" s="1"/>
  <c r="W717" i="2" a="1"/>
  <c r="W717" i="2" s="1"/>
  <c r="AC719" i="2" a="1"/>
  <c r="AC719" i="2" s="1"/>
  <c r="AF715" i="2" a="1"/>
  <c r="AF715" i="2" s="1"/>
  <c r="AE715" i="2" a="1"/>
  <c r="AE715" i="2" s="1"/>
  <c r="Z719" i="2" a="1"/>
  <c r="Z719" i="2" s="1"/>
  <c r="W719" i="2" a="1"/>
  <c r="W719" i="2" s="1"/>
  <c r="AJ715" i="2" a="1"/>
  <c r="AJ715" i="2" s="1"/>
  <c r="AH717" i="2" a="1"/>
  <c r="AH717" i="2" s="1"/>
  <c r="AC716" i="2" a="1"/>
  <c r="AC716" i="2" s="1"/>
  <c r="AJ718" i="2" a="1"/>
  <c r="AJ718" i="2" s="1"/>
  <c r="AB717" i="2" a="1"/>
  <c r="AB717" i="2" s="1"/>
  <c r="Z718" i="2" a="1"/>
  <c r="Z718" i="2" s="1"/>
  <c r="AH716" i="2" a="1"/>
  <c r="AH716" i="2" s="1"/>
  <c r="AH719" i="2" a="1"/>
  <c r="AH719" i="2" s="1"/>
  <c r="AG719" i="2" a="1"/>
  <c r="AG719" i="2" s="1"/>
  <c r="AD719" i="2" a="1"/>
  <c r="AD719" i="2" s="1"/>
  <c r="AB718" i="2" a="1"/>
  <c r="AB718" i="2" s="1"/>
  <c r="AC717" i="2" a="1"/>
  <c r="AC717" i="2" s="1"/>
  <c r="AF718" i="2" a="1"/>
  <c r="AF718" i="2" s="1"/>
  <c r="AE718" i="2" a="1"/>
  <c r="AE718" i="2" s="1"/>
  <c r="X717" i="2" a="1"/>
  <c r="X717" i="2" s="1"/>
  <c r="Y718" i="2" a="1"/>
  <c r="Y718" i="2" s="1"/>
  <c r="Y717" i="2" a="1"/>
  <c r="Y717" i="2" s="1"/>
  <c r="AJ716" i="2" a="1"/>
  <c r="AJ716" i="2" s="1"/>
  <c r="Z717" i="2" a="1"/>
  <c r="Z717" i="2" s="1"/>
  <c r="AI717" i="2" a="1"/>
  <c r="AI717" i="2" s="1"/>
  <c r="AG716" i="2" a="1"/>
  <c r="AG716" i="2" s="1"/>
  <c r="X716" i="2" a="1"/>
  <c r="X716" i="2" s="1"/>
  <c r="AH836" i="2" a="1"/>
  <c r="AH836" i="2" s="1"/>
  <c r="AI718" i="2" a="1"/>
  <c r="AI718" i="2" s="1"/>
  <c r="AC718" i="2" a="1"/>
  <c r="AC718" i="2" s="1"/>
  <c r="AJ719" i="2" a="1"/>
  <c r="AJ719" i="2" s="1"/>
  <c r="Y719" i="2" a="1"/>
  <c r="Y719" i="2" s="1"/>
  <c r="AH713" i="2" a="1"/>
  <c r="AH713" i="2" s="1"/>
  <c r="Z714" i="2" a="1"/>
  <c r="Z714" i="2" s="1"/>
  <c r="W714" i="2" a="1"/>
  <c r="W714" i="2" s="1"/>
  <c r="AF713" i="2" a="1"/>
  <c r="AF713" i="2" s="1"/>
  <c r="Z712" i="2" a="1"/>
  <c r="Z712" i="2" s="1"/>
  <c r="AA713" i="2" a="1"/>
  <c r="AA713" i="2" s="1"/>
  <c r="Y713" i="2" a="1"/>
  <c r="Y713" i="2" s="1"/>
  <c r="AF712" i="2" a="1"/>
  <c r="AF712" i="2" s="1"/>
  <c r="AB711" i="2" a="1"/>
  <c r="AB711" i="2" s="1"/>
  <c r="Z711" i="2" a="1"/>
  <c r="Z711" i="2" s="1"/>
  <c r="AJ712" i="2" a="1"/>
  <c r="AJ712" i="2" s="1"/>
  <c r="AA711" i="2" a="1"/>
  <c r="AA711" i="2" s="1"/>
  <c r="AG712" i="2" a="1"/>
  <c r="AG712" i="2" s="1"/>
  <c r="AD711" i="2" a="1"/>
  <c r="AD711" i="2" s="1"/>
  <c r="Y711" i="2" a="1"/>
  <c r="Y711" i="2" s="1"/>
  <c r="AD712" i="2" a="1"/>
  <c r="AD712" i="2" s="1"/>
  <c r="AD714" i="2" a="1"/>
  <c r="AD714" i="2" s="1"/>
  <c r="AC714" i="2" a="1"/>
  <c r="AC714" i="2" s="1"/>
  <c r="AE713" i="2" a="1"/>
  <c r="AE713" i="2" s="1"/>
  <c r="AH711" i="2" a="1"/>
  <c r="AH711" i="2" s="1"/>
  <c r="AE711" i="2" a="1"/>
  <c r="AE711" i="2" s="1"/>
  <c r="AB715" i="2" a="1"/>
  <c r="AB715" i="2" s="1"/>
  <c r="AF711" i="2" a="1"/>
  <c r="AF711" i="2" s="1"/>
  <c r="AC715" i="2" a="1"/>
  <c r="AC715" i="2" s="1"/>
  <c r="X711" i="2" a="1"/>
  <c r="X711" i="2" s="1"/>
  <c r="W715" i="2" a="1"/>
  <c r="W715" i="2" s="1"/>
  <c r="AG713" i="2" a="1"/>
  <c r="AG713" i="2" s="1"/>
  <c r="AI711" i="2" a="1"/>
  <c r="AI711" i="2" s="1"/>
  <c r="AI714" i="2" a="1"/>
  <c r="AI714" i="2" s="1"/>
  <c r="AH714" i="2" a="1"/>
  <c r="AH714" i="2" s="1"/>
  <c r="AG714" i="2" a="1"/>
  <c r="AG714" i="2" s="1"/>
  <c r="AC712" i="2" a="1"/>
  <c r="AC712" i="2" s="1"/>
  <c r="AF714" i="2" a="1"/>
  <c r="AF714" i="2" s="1"/>
  <c r="AB714" i="2" a="1"/>
  <c r="AB714" i="2" s="1"/>
  <c r="AA714" i="2" a="1"/>
  <c r="AA714" i="2" s="1"/>
  <c r="Y714" i="2" a="1"/>
  <c r="Y714" i="2" s="1"/>
  <c r="AJ713" i="2" a="1"/>
  <c r="AJ713" i="2" s="1"/>
  <c r="AE712" i="2" a="1"/>
  <c r="AE712" i="2" s="1"/>
  <c r="Z713" i="2" a="1"/>
  <c r="Z713" i="2" s="1"/>
  <c r="AG711" i="2" a="1"/>
  <c r="AG711" i="2" s="1"/>
  <c r="X713" i="2" a="1"/>
  <c r="X713" i="2" s="1"/>
  <c r="W713" i="2" a="1"/>
  <c r="W713" i="2" s="1"/>
  <c r="AH712" i="2" a="1"/>
  <c r="AH712" i="2" s="1"/>
  <c r="AA712" i="2" a="1"/>
  <c r="AA712" i="2" s="1"/>
  <c r="AI712" i="2" a="1"/>
  <c r="AI712" i="2" s="1"/>
  <c r="W712" i="2" a="1"/>
  <c r="W712" i="2" s="1"/>
  <c r="W711" i="2" a="1"/>
  <c r="W711" i="2" s="1"/>
  <c r="AC713" i="2" a="1"/>
  <c r="AC713" i="2" s="1"/>
  <c r="AB712" i="2" a="1"/>
  <c r="AB712" i="2" s="1"/>
  <c r="X714" i="2" a="1"/>
  <c r="X714" i="2" s="1"/>
  <c r="Y712" i="2" a="1"/>
  <c r="Y712" i="2" s="1"/>
  <c r="AI713" i="2" a="1"/>
  <c r="AI713" i="2" s="1"/>
  <c r="AJ711" i="2" a="1"/>
  <c r="AJ711" i="2" s="1"/>
  <c r="AE714" i="2" a="1"/>
  <c r="AE714" i="2" s="1"/>
  <c r="AB838" i="2" a="1"/>
  <c r="AB838" i="2" s="1"/>
  <c r="AC711" i="2" a="1"/>
  <c r="AC711" i="2" s="1"/>
  <c r="AA715" i="2" a="1"/>
  <c r="AA715" i="2" s="1"/>
  <c r="AD713" i="2" a="1"/>
  <c r="AD713" i="2" s="1"/>
  <c r="Z715" i="2" a="1"/>
  <c r="Z715" i="2" s="1"/>
  <c r="Y715" i="2" a="1"/>
  <c r="Y715" i="2" s="1"/>
  <c r="AJ714" i="2" a="1"/>
  <c r="AJ714" i="2" s="1"/>
  <c r="X712" i="2" a="1"/>
  <c r="X712" i="2" s="1"/>
  <c r="AB713" i="2" a="1"/>
  <c r="AB713" i="2" s="1"/>
  <c r="X715" i="2" a="1"/>
  <c r="X715" i="2" s="1"/>
  <c r="AE706" i="2" a="1"/>
  <c r="AE706" i="2" s="1"/>
  <c r="AG836" i="2" a="1"/>
  <c r="AG836" i="2" s="1"/>
  <c r="AJ710" i="2" a="1"/>
  <c r="AJ710" i="2" s="1"/>
  <c r="AH710" i="2" a="1"/>
  <c r="AH710" i="2" s="1"/>
  <c r="AF710" i="2" a="1"/>
  <c r="AF710" i="2" s="1"/>
  <c r="AE710" i="2" a="1"/>
  <c r="AE710" i="2" s="1"/>
  <c r="AD709" i="2" a="1"/>
  <c r="AD709" i="2" s="1"/>
  <c r="AB708" i="2" a="1"/>
  <c r="AB708" i="2" s="1"/>
  <c r="AI706" i="2" a="1"/>
  <c r="AI706" i="2" s="1"/>
  <c r="AB707" i="2" a="1"/>
  <c r="AB707" i="2" s="1"/>
  <c r="Y708" i="2" a="1"/>
  <c r="Y708" i="2" s="1"/>
  <c r="AD710" i="2" a="1"/>
  <c r="AD710" i="2" s="1"/>
  <c r="AC710" i="2" a="1"/>
  <c r="AC710" i="2" s="1"/>
  <c r="AJ709" i="2" a="1"/>
  <c r="AJ709" i="2" s="1"/>
  <c r="AE709" i="2" a="1"/>
  <c r="AE709" i="2" s="1"/>
  <c r="AH709" i="2" a="1"/>
  <c r="AH709" i="2" s="1"/>
  <c r="AD707" i="2" a="1"/>
  <c r="AD707" i="2" s="1"/>
  <c r="AH708" i="2" a="1"/>
  <c r="AH708" i="2" s="1"/>
  <c r="W710" i="2" a="1"/>
  <c r="W710" i="2" s="1"/>
  <c r="AI709" i="2" a="1"/>
  <c r="AI709" i="2" s="1"/>
  <c r="AF706" i="2" a="1"/>
  <c r="AF706" i="2" s="1"/>
  <c r="AE708" i="2" a="1"/>
  <c r="AE708" i="2" s="1"/>
  <c r="AB709" i="2" a="1"/>
  <c r="AB709" i="2" s="1"/>
  <c r="Z709" i="2" a="1"/>
  <c r="Z709" i="2" s="1"/>
  <c r="AC707" i="2" a="1"/>
  <c r="AC707" i="2" s="1"/>
  <c r="AH707" i="2" a="1"/>
  <c r="AH707" i="2" s="1"/>
  <c r="AJ708" i="2" a="1"/>
  <c r="AJ708" i="2" s="1"/>
  <c r="AE707" i="2" a="1"/>
  <c r="AE707" i="2" s="1"/>
  <c r="Y707" i="2" a="1"/>
  <c r="Y707" i="2" s="1"/>
  <c r="X708" i="2" a="1"/>
  <c r="X708" i="2" s="1"/>
  <c r="AI710" i="2" a="1"/>
  <c r="AI710" i="2" s="1"/>
  <c r="W709" i="2" a="1"/>
  <c r="W709" i="2" s="1"/>
  <c r="AF709" i="2" a="1"/>
  <c r="AF709" i="2" s="1"/>
  <c r="AA709" i="2" a="1"/>
  <c r="AA709" i="2" s="1"/>
  <c r="AG708" i="2" a="1"/>
  <c r="AG708" i="2" s="1"/>
  <c r="AA707" i="2" a="1"/>
  <c r="AA707" i="2" s="1"/>
  <c r="Y709" i="2" a="1"/>
  <c r="Y709" i="2" s="1"/>
  <c r="AD708" i="2" a="1"/>
  <c r="AD708" i="2" s="1"/>
  <c r="AI707" i="2" a="1"/>
  <c r="AI707" i="2" s="1"/>
  <c r="AG710" i="2" a="1"/>
  <c r="AG710" i="2" s="1"/>
  <c r="AA710" i="2" a="1"/>
  <c r="AA710" i="2" s="1"/>
  <c r="W708" i="2" a="1"/>
  <c r="W708" i="2" s="1"/>
  <c r="AF707" i="2" a="1"/>
  <c r="AF707" i="2" s="1"/>
  <c r="AD706" i="2" a="1"/>
  <c r="AD706" i="2" s="1"/>
  <c r="AC708" i="2" a="1"/>
  <c r="AC708" i="2" s="1"/>
  <c r="AG707" i="2" a="1"/>
  <c r="AG707" i="2" s="1"/>
  <c r="AH706" i="2" a="1"/>
  <c r="AH706" i="2" s="1"/>
  <c r="W707" i="2" a="1"/>
  <c r="W707" i="2" s="1"/>
  <c r="X709" i="2" a="1"/>
  <c r="X709" i="2" s="1"/>
  <c r="Z708" i="2" a="1"/>
  <c r="Z708" i="2" s="1"/>
  <c r="Y710" i="2" a="1"/>
  <c r="Y710" i="2" s="1"/>
  <c r="AA708" i="2" a="1"/>
  <c r="AA708" i="2" s="1"/>
  <c r="X710" i="2" a="1"/>
  <c r="X710" i="2" s="1"/>
  <c r="AG709" i="2" a="1"/>
  <c r="AG709" i="2" s="1"/>
  <c r="Z710" i="2" a="1"/>
  <c r="Z710" i="2" s="1"/>
  <c r="AC709" i="2" a="1"/>
  <c r="AC709" i="2" s="1"/>
  <c r="AI708" i="2" a="1"/>
  <c r="AI708" i="2" s="1"/>
  <c r="X707" i="2" a="1"/>
  <c r="X707" i="2" s="1"/>
  <c r="AF708" i="2" a="1"/>
  <c r="AF708" i="2" s="1"/>
  <c r="AB710" i="2" a="1"/>
  <c r="AB710" i="2" s="1"/>
  <c r="AG706" i="2" a="1"/>
  <c r="AG706" i="2" s="1"/>
  <c r="AJ707" i="2" a="1"/>
  <c r="AJ707" i="2" s="1"/>
  <c r="AJ706" i="2" a="1"/>
  <c r="AJ706" i="2" s="1"/>
  <c r="Z707" i="2" a="1"/>
  <c r="Z707" i="2" s="1"/>
  <c r="W702" i="2" a="1"/>
  <c r="W702" i="2" s="1"/>
  <c r="Y705" i="2" a="1"/>
  <c r="Y705" i="2" s="1"/>
  <c r="X705" i="2" a="1"/>
  <c r="X705" i="2" s="1"/>
  <c r="X704" i="2" a="1"/>
  <c r="X704" i="2" s="1"/>
  <c r="AA702" i="2" a="1"/>
  <c r="AA702" i="2" s="1"/>
  <c r="AE703" i="2" a="1"/>
  <c r="AE703" i="2" s="1"/>
  <c r="AD703" i="2" a="1"/>
  <c r="AD703" i="2" s="1"/>
  <c r="AB703" i="2" a="1"/>
  <c r="AB703" i="2" s="1"/>
  <c r="AG702" i="2" a="1"/>
  <c r="AG702" i="2" s="1"/>
  <c r="AE702" i="2" a="1"/>
  <c r="AE702" i="2" s="1"/>
  <c r="AD702" i="2" a="1"/>
  <c r="AD702" i="2" s="1"/>
  <c r="AF702" i="2" a="1"/>
  <c r="AF702" i="2" s="1"/>
  <c r="W705" i="2" a="1"/>
  <c r="W705" i="2" s="1"/>
  <c r="AI703" i="2" a="1"/>
  <c r="AI703" i="2" s="1"/>
  <c r="AE704" i="2" a="1"/>
  <c r="AE704" i="2" s="1"/>
  <c r="Y703" i="2" a="1"/>
  <c r="Y703" i="2" s="1"/>
  <c r="X703" i="2" a="1"/>
  <c r="X703" i="2" s="1"/>
  <c r="AA704" i="2" a="1"/>
  <c r="AA704" i="2" s="1"/>
  <c r="AG703" i="2" a="1"/>
  <c r="AG703" i="2" s="1"/>
  <c r="AB702" i="2" a="1"/>
  <c r="AB702" i="2" s="1"/>
  <c r="Z706" i="2" a="1"/>
  <c r="Z706" i="2" s="1"/>
  <c r="AG704" i="2" a="1"/>
  <c r="AG704" i="2" s="1"/>
  <c r="AE705" i="2" a="1"/>
  <c r="AE705" i="2" s="1"/>
  <c r="AF704" i="2" a="1"/>
  <c r="AF704" i="2" s="1"/>
  <c r="AD704" i="2" a="1"/>
  <c r="AD704" i="2" s="1"/>
  <c r="AJ704" i="2" a="1"/>
  <c r="AJ704" i="2" s="1"/>
  <c r="AI702" i="2" a="1"/>
  <c r="AI702" i="2" s="1"/>
  <c r="AG705" i="2" a="1"/>
  <c r="AG705" i="2" s="1"/>
  <c r="AH705" i="2" a="1"/>
  <c r="AH705" i="2" s="1"/>
  <c r="AC702" i="2" a="1"/>
  <c r="AC702" i="2" s="1"/>
  <c r="AF703" i="2" a="1"/>
  <c r="AF703" i="2" s="1"/>
  <c r="Z703" i="2" a="1"/>
  <c r="Z703" i="2" s="1"/>
  <c r="AH837" i="2" a="1"/>
  <c r="AH837" i="2" s="1"/>
  <c r="AC704" i="2" a="1"/>
  <c r="AC704" i="2" s="1"/>
  <c r="AB704" i="2" a="1"/>
  <c r="AB704" i="2" s="1"/>
  <c r="X702" i="2" a="1"/>
  <c r="X702" i="2" s="1"/>
  <c r="AI704" i="2" a="1"/>
  <c r="AI704" i="2" s="1"/>
  <c r="AB706" i="2" a="1"/>
  <c r="AB706" i="2" s="1"/>
  <c r="AH704" i="2" a="1"/>
  <c r="AH704" i="2" s="1"/>
  <c r="Z704" i="2" a="1"/>
  <c r="Z704" i="2" s="1"/>
  <c r="AJ705" i="2" a="1"/>
  <c r="AJ705" i="2" s="1"/>
  <c r="AH703" i="2" a="1"/>
  <c r="AH703" i="2" s="1"/>
  <c r="AC705" i="2" a="1"/>
  <c r="AC705" i="2" s="1"/>
  <c r="AJ703" i="2" a="1"/>
  <c r="AJ703" i="2" s="1"/>
  <c r="Y704" i="2" a="1"/>
  <c r="Y704" i="2" s="1"/>
  <c r="W704" i="2" a="1"/>
  <c r="W704" i="2" s="1"/>
  <c r="W706" i="2" a="1"/>
  <c r="W706" i="2" s="1"/>
  <c r="AB705" i="2" a="1"/>
  <c r="AB705" i="2" s="1"/>
  <c r="AA705" i="2" a="1"/>
  <c r="AA705" i="2" s="1"/>
  <c r="AC703" i="2" a="1"/>
  <c r="AC703" i="2" s="1"/>
  <c r="Z702" i="2" a="1"/>
  <c r="Z702" i="2" s="1"/>
  <c r="AA703" i="2" a="1"/>
  <c r="AA703" i="2" s="1"/>
  <c r="AA706" i="2" a="1"/>
  <c r="AA706" i="2" s="1"/>
  <c r="Z705" i="2" a="1"/>
  <c r="Z705" i="2" s="1"/>
  <c r="AC706" i="2" a="1"/>
  <c r="AC706" i="2" s="1"/>
  <c r="AH702" i="2" a="1"/>
  <c r="AH702" i="2" s="1"/>
  <c r="W703" i="2" a="1"/>
  <c r="W703" i="2" s="1"/>
  <c r="Y706" i="2" a="1"/>
  <c r="Y706" i="2" s="1"/>
  <c r="X706" i="2" a="1"/>
  <c r="X706" i="2" s="1"/>
  <c r="AI705" i="2" a="1"/>
  <c r="AI705" i="2" s="1"/>
  <c r="AJ702" i="2" a="1"/>
  <c r="AJ702" i="2" s="1"/>
  <c r="Y702" i="2" a="1"/>
  <c r="Y702" i="2" s="1"/>
  <c r="AF705" i="2" a="1"/>
  <c r="AF705" i="2" s="1"/>
  <c r="AD705" i="2" a="1"/>
  <c r="AD705" i="2" s="1"/>
  <c r="W701" i="2" a="1"/>
  <c r="W701" i="2" s="1"/>
  <c r="AF700" i="2" a="1"/>
  <c r="AF700" i="2" s="1"/>
  <c r="Y700" i="2" a="1"/>
  <c r="Y700" i="2" s="1"/>
  <c r="AH698" i="2" a="1"/>
  <c r="AH698" i="2" s="1"/>
  <c r="AD700" i="2" a="1"/>
  <c r="AD700" i="2" s="1"/>
  <c r="AF699" i="2" a="1"/>
  <c r="AF699" i="2" s="1"/>
  <c r="AG698" i="2" a="1"/>
  <c r="AG698" i="2" s="1"/>
  <c r="AF701" i="2" a="1"/>
  <c r="AF701" i="2" s="1"/>
  <c r="AD701" i="2" a="1"/>
  <c r="AD701" i="2" s="1"/>
  <c r="AA701" i="2" a="1"/>
  <c r="AA701" i="2" s="1"/>
  <c r="Z701" i="2" a="1"/>
  <c r="Z701" i="2" s="1"/>
  <c r="X701" i="2" a="1"/>
  <c r="X701" i="2" s="1"/>
  <c r="AF697" i="2" a="1"/>
  <c r="AF697" i="2" s="1"/>
  <c r="AE700" i="2" a="1"/>
  <c r="AE700" i="2" s="1"/>
  <c r="AE699" i="2" a="1"/>
  <c r="AE699" i="2" s="1"/>
  <c r="AD697" i="2" a="1"/>
  <c r="AD697" i="2" s="1"/>
  <c r="X700" i="2" a="1"/>
  <c r="X700" i="2" s="1"/>
  <c r="AD699" i="2" a="1"/>
  <c r="AD699" i="2" s="1"/>
  <c r="AF698" i="2" a="1"/>
  <c r="AF698" i="2" s="1"/>
  <c r="AI697" i="2" a="1"/>
  <c r="AI697" i="2" s="1"/>
  <c r="Y699" i="2" a="1"/>
  <c r="Y699" i="2" s="1"/>
  <c r="AA698" i="2" a="1"/>
  <c r="AA698" i="2" s="1"/>
  <c r="AJ698" i="2" a="1"/>
  <c r="AJ698" i="2" s="1"/>
  <c r="Y701" i="2" a="1"/>
  <c r="Y701" i="2" s="1"/>
  <c r="AH700" i="2" a="1"/>
  <c r="AH700" i="2" s="1"/>
  <c r="AG700" i="2" a="1"/>
  <c r="AG700" i="2" s="1"/>
  <c r="Z699" i="2" a="1"/>
  <c r="Z699" i="2" s="1"/>
  <c r="W699" i="2" a="1"/>
  <c r="W699" i="2" s="1"/>
  <c r="AC700" i="2" a="1"/>
  <c r="AC700" i="2" s="1"/>
  <c r="AG699" i="2" a="1"/>
  <c r="AG699" i="2" s="1"/>
  <c r="Z700" i="2" a="1"/>
  <c r="Z700" i="2" s="1"/>
  <c r="AH699" i="2" a="1"/>
  <c r="AH699" i="2" s="1"/>
  <c r="AB698" i="2" a="1"/>
  <c r="AB698" i="2" s="1"/>
  <c r="AJ699" i="2" a="1"/>
  <c r="AJ699" i="2" s="1"/>
  <c r="AC699" i="2" a="1"/>
  <c r="AC699" i="2" s="1"/>
  <c r="AI698" i="2" a="1"/>
  <c r="AI698" i="2" s="1"/>
  <c r="AH697" i="2" a="1"/>
  <c r="AH697" i="2" s="1"/>
  <c r="AB699" i="2" a="1"/>
  <c r="AB699" i="2" s="1"/>
  <c r="AE697" i="2" a="1"/>
  <c r="AE697" i="2" s="1"/>
  <c r="AE698" i="2" a="1"/>
  <c r="AE698" i="2" s="1"/>
  <c r="Y698" i="2" a="1"/>
  <c r="Y698" i="2" s="1"/>
  <c r="AJ697" i="2" a="1"/>
  <c r="AJ697" i="2" s="1"/>
  <c r="AA700" i="2" a="1"/>
  <c r="AA700" i="2" s="1"/>
  <c r="W700" i="2" a="1"/>
  <c r="W700" i="2" s="1"/>
  <c r="AG697" i="2" a="1"/>
  <c r="AG697" i="2" s="1"/>
  <c r="AD698" i="2" a="1"/>
  <c r="AD698" i="2" s="1"/>
  <c r="X698" i="2" a="1"/>
  <c r="X698" i="2" s="1"/>
  <c r="AC698" i="2" a="1"/>
  <c r="AC698" i="2" s="1"/>
  <c r="Z698" i="2" a="1"/>
  <c r="Z698" i="2" s="1"/>
  <c r="AI699" i="2" a="1"/>
  <c r="AI699" i="2" s="1"/>
  <c r="AJ700" i="2" a="1"/>
  <c r="AJ700" i="2" s="1"/>
  <c r="AI701" i="2" a="1"/>
  <c r="AI701" i="2" s="1"/>
  <c r="AF836" i="2" a="1"/>
  <c r="AF836" i="2" s="1"/>
  <c r="AJ701" i="2" a="1"/>
  <c r="AJ701" i="2" s="1"/>
  <c r="AH701" i="2" a="1"/>
  <c r="AH701" i="2" s="1"/>
  <c r="AE701" i="2" a="1"/>
  <c r="AE701" i="2" s="1"/>
  <c r="AC701" i="2" a="1"/>
  <c r="AC701" i="2" s="1"/>
  <c r="AI700" i="2" a="1"/>
  <c r="AI700" i="2" s="1"/>
  <c r="W698" i="2" a="1"/>
  <c r="W698" i="2" s="1"/>
  <c r="AB700" i="2" a="1"/>
  <c r="AB700" i="2" s="1"/>
  <c r="AA699" i="2" a="1"/>
  <c r="AA699" i="2" s="1"/>
  <c r="X699" i="2" a="1"/>
  <c r="X699" i="2" s="1"/>
  <c r="AG701" i="2" a="1"/>
  <c r="AG701" i="2" s="1"/>
  <c r="AB701" i="2" a="1"/>
  <c r="AB701" i="2" s="1"/>
  <c r="AB697" i="2" a="1"/>
  <c r="AB697" i="2" s="1"/>
  <c r="AA697" i="2" a="1"/>
  <c r="AA697" i="2" s="1"/>
  <c r="W697" i="2" a="1"/>
  <c r="W697" i="2" s="1"/>
  <c r="AJ696" i="2" a="1"/>
  <c r="AJ696" i="2" s="1"/>
  <c r="AI696" i="2" a="1"/>
  <c r="AI696" i="2" s="1"/>
  <c r="AG696" i="2" a="1"/>
  <c r="AG696" i="2" s="1"/>
  <c r="AC696" i="2" a="1"/>
  <c r="AC696" i="2" s="1"/>
  <c r="AH694" i="2" a="1"/>
  <c r="AH694" i="2" s="1"/>
  <c r="AH693" i="2" a="1"/>
  <c r="AH693" i="2" s="1"/>
  <c r="AG693" i="2" a="1"/>
  <c r="AG693" i="2" s="1"/>
  <c r="AB696" i="2" a="1"/>
  <c r="AB696" i="2" s="1"/>
  <c r="Z695" i="2" a="1"/>
  <c r="Z695" i="2" s="1"/>
  <c r="Y695" i="2" a="1"/>
  <c r="Y695" i="2" s="1"/>
  <c r="Y693" i="2" a="1"/>
  <c r="Y693" i="2" s="1"/>
  <c r="W694" i="2" a="1"/>
  <c r="W694" i="2" s="1"/>
  <c r="AG694" i="2" a="1"/>
  <c r="AG694" i="2" s="1"/>
  <c r="AE694" i="2" a="1"/>
  <c r="AE694" i="2" s="1"/>
  <c r="AE693" i="2" a="1"/>
  <c r="AE693" i="2" s="1"/>
  <c r="AF693" i="2" a="1"/>
  <c r="AF693" i="2" s="1"/>
  <c r="AF694" i="2" a="1"/>
  <c r="AF694" i="2" s="1"/>
  <c r="AJ695" i="2" a="1"/>
  <c r="AJ695" i="2" s="1"/>
  <c r="X695" i="2" a="1"/>
  <c r="X695" i="2" s="1"/>
  <c r="AJ693" i="2" a="1"/>
  <c r="AJ693" i="2" s="1"/>
  <c r="AI695" i="2" a="1"/>
  <c r="AI695" i="2" s="1"/>
  <c r="X697" i="2" a="1"/>
  <c r="X697" i="2" s="1"/>
  <c r="AF696" i="2" a="1"/>
  <c r="AF696" i="2" s="1"/>
  <c r="AE695" i="2" a="1"/>
  <c r="AE695" i="2" s="1"/>
  <c r="Z696" i="2" a="1"/>
  <c r="Z696" i="2" s="1"/>
  <c r="AA695" i="2" a="1"/>
  <c r="AA695" i="2" s="1"/>
  <c r="AD693" i="2" a="1"/>
  <c r="AD693" i="2" s="1"/>
  <c r="AA694" i="2" a="1"/>
  <c r="AA694" i="2" s="1"/>
  <c r="AA693" i="2" a="1"/>
  <c r="AA693" i="2" s="1"/>
  <c r="AG695" i="2" a="1"/>
  <c r="AG695" i="2" s="1"/>
  <c r="AD696" i="2" a="1"/>
  <c r="AD696" i="2" s="1"/>
  <c r="Y696" i="2" a="1"/>
  <c r="Y696" i="2" s="1"/>
  <c r="X696" i="2" a="1"/>
  <c r="X696" i="2" s="1"/>
  <c r="X694" i="2" a="1"/>
  <c r="X694" i="2" s="1"/>
  <c r="W695" i="2" a="1"/>
  <c r="W695" i="2" s="1"/>
  <c r="W696" i="2" a="1"/>
  <c r="W696" i="2" s="1"/>
  <c r="AF695" i="2" a="1"/>
  <c r="AF695" i="2" s="1"/>
  <c r="AJ694" i="2" a="1"/>
  <c r="AJ694" i="2" s="1"/>
  <c r="AD694" i="2" a="1"/>
  <c r="AD694" i="2" s="1"/>
  <c r="AB694" i="2" a="1"/>
  <c r="AB694" i="2" s="1"/>
  <c r="AI838" i="2" a="1"/>
  <c r="AI838" i="2" s="1"/>
  <c r="AC697" i="2" a="1"/>
  <c r="AC697" i="2" s="1"/>
  <c r="Y697" i="2" a="1"/>
  <c r="Y697" i="2" s="1"/>
  <c r="AE696" i="2" a="1"/>
  <c r="AE696" i="2" s="1"/>
  <c r="AI693" i="2" a="1"/>
  <c r="AI693" i="2" s="1"/>
  <c r="AH696" i="2" a="1"/>
  <c r="AH696" i="2" s="1"/>
  <c r="AD695" i="2" a="1"/>
  <c r="AD695" i="2" s="1"/>
  <c r="Z693" i="2" a="1"/>
  <c r="Z693" i="2" s="1"/>
  <c r="AB695" i="2" a="1"/>
  <c r="AB695" i="2" s="1"/>
  <c r="AC695" i="2" a="1"/>
  <c r="AC695" i="2" s="1"/>
  <c r="Y694" i="2" a="1"/>
  <c r="Y694" i="2" s="1"/>
  <c r="W693" i="2" a="1"/>
  <c r="W693" i="2" s="1"/>
  <c r="AC694" i="2" a="1"/>
  <c r="AC694" i="2" s="1"/>
  <c r="Z694" i="2" a="1"/>
  <c r="Z694" i="2" s="1"/>
  <c r="Z697" i="2" a="1"/>
  <c r="Z697" i="2" s="1"/>
  <c r="AA696" i="2" a="1"/>
  <c r="AA696" i="2" s="1"/>
  <c r="AH695" i="2" a="1"/>
  <c r="AH695" i="2" s="1"/>
  <c r="AB693" i="2" a="1"/>
  <c r="AB693" i="2" s="1"/>
  <c r="AI694" i="2" a="1"/>
  <c r="AI694" i="2" s="1"/>
  <c r="AC693" i="2" a="1"/>
  <c r="AC693" i="2" s="1"/>
  <c r="X693" i="2" a="1"/>
  <c r="X693" i="2" s="1"/>
  <c r="AC691" i="2" a="1"/>
  <c r="AC691" i="2" s="1"/>
  <c r="Y692" i="2" a="1"/>
  <c r="Y692" i="2" s="1"/>
  <c r="AE691" i="2" a="1"/>
  <c r="AE691" i="2" s="1"/>
  <c r="X690" i="2" a="1"/>
  <c r="X690" i="2" s="1"/>
  <c r="AB690" i="2" a="1"/>
  <c r="AB690" i="2" s="1"/>
  <c r="W690" i="2" a="1"/>
  <c r="W690" i="2" s="1"/>
  <c r="AJ688" i="2" a="1"/>
  <c r="AJ688" i="2" s="1"/>
  <c r="AG690" i="2" a="1"/>
  <c r="AG690" i="2" s="1"/>
  <c r="AG688" i="2" a="1"/>
  <c r="AG688" i="2" s="1"/>
  <c r="AE688" i="2" a="1"/>
  <c r="AE688" i="2" s="1"/>
  <c r="AA690" i="2" a="1"/>
  <c r="AA690" i="2" s="1"/>
  <c r="AF688" i="2" a="1"/>
  <c r="AF688" i="2" s="1"/>
  <c r="AE836" i="2" a="1"/>
  <c r="AE836" i="2" s="1"/>
  <c r="AJ692" i="2" a="1"/>
  <c r="AJ692" i="2" s="1"/>
  <c r="AD688" i="2" a="1"/>
  <c r="AD688" i="2" s="1"/>
  <c r="AI691" i="2" a="1"/>
  <c r="AI691" i="2" s="1"/>
  <c r="AI692" i="2" a="1"/>
  <c r="AI692" i="2" s="1"/>
  <c r="AH691" i="2" a="1"/>
  <c r="AH691" i="2" s="1"/>
  <c r="AD692" i="2" a="1"/>
  <c r="AD692" i="2" s="1"/>
  <c r="AD690" i="2" a="1"/>
  <c r="AD690" i="2" s="1"/>
  <c r="AG692" i="2" a="1"/>
  <c r="AG692" i="2" s="1"/>
  <c r="AE689" i="2" a="1"/>
  <c r="AE689" i="2" s="1"/>
  <c r="AD691" i="2" a="1"/>
  <c r="AD691" i="2" s="1"/>
  <c r="AD689" i="2" a="1"/>
  <c r="AD689" i="2" s="1"/>
  <c r="Z692" i="2" a="1"/>
  <c r="Z692" i="2" s="1"/>
  <c r="Y691" i="2" a="1"/>
  <c r="Y691" i="2" s="1"/>
  <c r="AI688" i="2" a="1"/>
  <c r="AI688" i="2" s="1"/>
  <c r="AJ689" i="2" a="1"/>
  <c r="AJ689" i="2" s="1"/>
  <c r="W691" i="2" a="1"/>
  <c r="W691" i="2" s="1"/>
  <c r="AI689" i="2" a="1"/>
  <c r="AI689" i="2" s="1"/>
  <c r="AC690" i="2" a="1"/>
  <c r="AC690" i="2" s="1"/>
  <c r="AG691" i="2" a="1"/>
  <c r="AG691" i="2" s="1"/>
  <c r="AB689" i="2" a="1"/>
  <c r="AB689" i="2" s="1"/>
  <c r="AB692" i="2" a="1"/>
  <c r="AB692" i="2" s="1"/>
  <c r="Y690" i="2" a="1"/>
  <c r="Y690" i="2" s="1"/>
  <c r="Y689" i="2" a="1"/>
  <c r="Y689" i="2" s="1"/>
  <c r="AG689" i="2" a="1"/>
  <c r="AG689" i="2" s="1"/>
  <c r="Z691" i="2" a="1"/>
  <c r="Z691" i="2" s="1"/>
  <c r="AF689" i="2" a="1"/>
  <c r="AF689" i="2" s="1"/>
  <c r="W692" i="2" a="1"/>
  <c r="W692" i="2" s="1"/>
  <c r="AJ691" i="2" a="1"/>
  <c r="AJ691" i="2" s="1"/>
  <c r="AE690" i="2" a="1"/>
  <c r="AE690" i="2" s="1"/>
  <c r="AF691" i="2" a="1"/>
  <c r="AF691" i="2" s="1"/>
  <c r="AB691" i="2" a="1"/>
  <c r="AB691" i="2" s="1"/>
  <c r="X691" i="2" a="1"/>
  <c r="X691" i="2" s="1"/>
  <c r="AF690" i="2" a="1"/>
  <c r="AF690" i="2" s="1"/>
  <c r="Z690" i="2" a="1"/>
  <c r="Z690" i="2" s="1"/>
  <c r="AI690" i="2" a="1"/>
  <c r="AI690" i="2" s="1"/>
  <c r="W689" i="2" a="1"/>
  <c r="W689" i="2" s="1"/>
  <c r="AH692" i="2" a="1"/>
  <c r="AH692" i="2" s="1"/>
  <c r="AF692" i="2" a="1"/>
  <c r="AF692" i="2" s="1"/>
  <c r="AE692" i="2" a="1"/>
  <c r="AE692" i="2" s="1"/>
  <c r="AA692" i="2" a="1"/>
  <c r="AA692" i="2" s="1"/>
  <c r="X692" i="2" a="1"/>
  <c r="X692" i="2" s="1"/>
  <c r="AA691" i="2" a="1"/>
  <c r="AA691" i="2" s="1"/>
  <c r="AH688" i="2" a="1"/>
  <c r="AH688" i="2" s="1"/>
  <c r="AA689" i="2" a="1"/>
  <c r="AA689" i="2" s="1"/>
  <c r="AJ690" i="2" a="1"/>
  <c r="AJ690" i="2" s="1"/>
  <c r="AH690" i="2" a="1"/>
  <c r="AH690" i="2" s="1"/>
  <c r="AC689" i="2" a="1"/>
  <c r="AC689" i="2" s="1"/>
  <c r="Z689" i="2" a="1"/>
  <c r="Z689" i="2" s="1"/>
  <c r="X689" i="2" a="1"/>
  <c r="X689" i="2" s="1"/>
  <c r="AH689" i="2" a="1"/>
  <c r="AH689" i="2" s="1"/>
  <c r="AC692" i="2" a="1"/>
  <c r="AC692" i="2" s="1"/>
  <c r="AF685" i="2" a="1"/>
  <c r="AF685" i="2" s="1"/>
  <c r="AD685" i="2" a="1"/>
  <c r="AD685" i="2" s="1"/>
  <c r="AA685" i="2" a="1"/>
  <c r="AA685" i="2" s="1"/>
  <c r="Z685" i="2" a="1"/>
  <c r="Z685" i="2" s="1"/>
  <c r="AE685" i="2" a="1"/>
  <c r="AE685" i="2" s="1"/>
  <c r="Z684" i="2" a="1"/>
  <c r="Z684" i="2" s="1"/>
  <c r="AJ684" i="2" a="1"/>
  <c r="AJ684" i="2" s="1"/>
  <c r="AH684" i="2" a="1"/>
  <c r="AH684" i="2" s="1"/>
  <c r="AI684" i="2" a="1"/>
  <c r="AI684" i="2" s="1"/>
  <c r="AE684" i="2" a="1"/>
  <c r="AE684" i="2" s="1"/>
  <c r="AC685" i="2" a="1"/>
  <c r="AC685" i="2" s="1"/>
  <c r="AB684" i="2" a="1"/>
  <c r="AB684" i="2" s="1"/>
  <c r="Y685" i="2" a="1"/>
  <c r="Y685" i="2" s="1"/>
  <c r="X684" i="2" a="1"/>
  <c r="X684" i="2" s="1"/>
  <c r="AF684" i="2" a="1"/>
  <c r="AF684" i="2" s="1"/>
  <c r="AI685" i="2" a="1"/>
  <c r="AI685" i="2" s="1"/>
  <c r="AD684" i="2" a="1"/>
  <c r="AD684" i="2" s="1"/>
  <c r="W684" i="2" a="1"/>
  <c r="W684" i="2" s="1"/>
  <c r="AJ683" i="2" a="1"/>
  <c r="AJ683" i="2" s="1"/>
  <c r="AB685" i="2" a="1"/>
  <c r="AB685" i="2" s="1"/>
  <c r="AA684" i="2" a="1"/>
  <c r="AA684" i="2" s="1"/>
  <c r="AA687" i="2" a="1"/>
  <c r="AA687" i="2" s="1"/>
  <c r="AH683" i="2" a="1"/>
  <c r="AH683" i="2" s="1"/>
  <c r="X686" i="2" a="1"/>
  <c r="X686" i="2" s="1"/>
  <c r="X685" i="2" a="1"/>
  <c r="X685" i="2" s="1"/>
  <c r="AI683" i="2" a="1"/>
  <c r="AI683" i="2" s="1"/>
  <c r="AG684" i="2" a="1"/>
  <c r="AG684" i="2" s="1"/>
  <c r="Y684" i="2" a="1"/>
  <c r="Y684" i="2" s="1"/>
  <c r="W686" i="2" a="1"/>
  <c r="W686" i="2" s="1"/>
  <c r="AJ685" i="2" a="1"/>
  <c r="AJ685" i="2" s="1"/>
  <c r="W685" i="2" a="1"/>
  <c r="W685" i="2" s="1"/>
  <c r="AC684" i="2" a="1"/>
  <c r="AC684" i="2" s="1"/>
  <c r="AH685" i="2" a="1"/>
  <c r="AH685" i="2" s="1"/>
  <c r="AG685" i="2" a="1"/>
  <c r="AG685" i="2" s="1"/>
  <c r="AI682" i="2" a="1"/>
  <c r="AI682" i="2" s="1"/>
  <c r="Y680" i="2" a="1"/>
  <c r="Y680" i="2" s="1"/>
  <c r="X682" i="2" a="1"/>
  <c r="X682" i="2" s="1"/>
  <c r="AA681" i="2" a="1"/>
  <c r="AA681" i="2" s="1"/>
  <c r="Z682" i="2" a="1"/>
  <c r="Z682" i="2" s="1"/>
  <c r="Y682" i="2" a="1"/>
  <c r="Y682" i="2" s="1"/>
  <c r="W682" i="2" a="1"/>
  <c r="W682" i="2" s="1"/>
  <c r="AE680" i="2" a="1"/>
  <c r="AE680" i="2" s="1"/>
  <c r="AD680" i="2" a="1"/>
  <c r="AD680" i="2" s="1"/>
  <c r="AJ679" i="2" a="1"/>
  <c r="AJ679" i="2" s="1"/>
  <c r="W681" i="2" a="1"/>
  <c r="W681" i="2" s="1"/>
  <c r="AF681" i="2" a="1"/>
  <c r="AF681" i="2" s="1"/>
  <c r="Z681" i="2" a="1"/>
  <c r="Z681" i="2" s="1"/>
  <c r="W680" i="2" a="1"/>
  <c r="W680" i="2" s="1"/>
  <c r="AB681" i="2" a="1"/>
  <c r="AB681" i="2" s="1"/>
  <c r="AH680" i="2" a="1"/>
  <c r="AH680" i="2" s="1"/>
  <c r="AG680" i="2" a="1"/>
  <c r="AG680" i="2" s="1"/>
  <c r="AC680" i="2" a="1"/>
  <c r="AC680" i="2" s="1"/>
  <c r="AA680" i="2" a="1"/>
  <c r="AA680" i="2" s="1"/>
  <c r="AE679" i="2" a="1"/>
  <c r="AE679" i="2" s="1"/>
  <c r="X680" i="2" a="1"/>
  <c r="X680" i="2" s="1"/>
  <c r="AH682" i="2" a="1"/>
  <c r="AH682" i="2" s="1"/>
  <c r="AD682" i="2" a="1"/>
  <c r="AD682" i="2" s="1"/>
  <c r="AH679" i="2" a="1"/>
  <c r="AH679" i="2" s="1"/>
  <c r="AD679" i="2" a="1"/>
  <c r="AD679" i="2" s="1"/>
  <c r="AI687" i="2" a="1"/>
  <c r="AI687" i="2" s="1"/>
  <c r="AG683" i="2" a="1"/>
  <c r="AG683" i="2" s="1"/>
  <c r="AC683" i="2" a="1"/>
  <c r="AC683" i="2" s="1"/>
  <c r="W683" i="2" a="1"/>
  <c r="W683" i="2" s="1"/>
  <c r="AC682" i="2" a="1"/>
  <c r="AC682" i="2" s="1"/>
  <c r="AJ681" i="2" a="1"/>
  <c r="AJ681" i="2" s="1"/>
  <c r="AG681" i="2" a="1"/>
  <c r="AG681" i="2" s="1"/>
  <c r="AB680" i="2" a="1"/>
  <c r="AB680" i="2" s="1"/>
  <c r="AG679" i="2" a="1"/>
  <c r="AG679" i="2" s="1"/>
  <c r="AF679" i="2" a="1"/>
  <c r="AF679" i="2" s="1"/>
  <c r="AC679" i="2" a="1"/>
  <c r="AC679" i="2" s="1"/>
  <c r="AG682" i="2" a="1"/>
  <c r="AG682" i="2" s="1"/>
  <c r="AF682" i="2" a="1"/>
  <c r="AF682" i="2" s="1"/>
  <c r="AC681" i="2" a="1"/>
  <c r="AC681" i="2" s="1"/>
  <c r="Z680" i="2" a="1"/>
  <c r="Z680" i="2" s="1"/>
  <c r="AI681" i="2" a="1"/>
  <c r="AI681" i="2" s="1"/>
  <c r="AF680" i="2" a="1"/>
  <c r="AF680" i="2" s="1"/>
  <c r="Y681" i="2" a="1"/>
  <c r="Y681" i="2" s="1"/>
  <c r="AI680" i="2" a="1"/>
  <c r="AI680" i="2" s="1"/>
  <c r="X681" i="2" a="1"/>
  <c r="X681" i="2" s="1"/>
  <c r="AJ680" i="2" a="1"/>
  <c r="AJ680" i="2" s="1"/>
  <c r="AF683" i="2" a="1"/>
  <c r="AF683" i="2" s="1"/>
  <c r="AH681" i="2" a="1"/>
  <c r="AH681" i="2" s="1"/>
  <c r="AB683" i="2" a="1"/>
  <c r="AB683" i="2" s="1"/>
  <c r="AB682" i="2" a="1"/>
  <c r="AB682" i="2" s="1"/>
  <c r="AB679" i="2" a="1"/>
  <c r="AB679" i="2" s="1"/>
  <c r="AI679" i="2" a="1"/>
  <c r="AI679" i="2" s="1"/>
  <c r="AE683" i="2" a="1"/>
  <c r="AE683" i="2" s="1"/>
  <c r="AD683" i="2" a="1"/>
  <c r="AD683" i="2" s="1"/>
  <c r="AD681" i="2" a="1"/>
  <c r="AD681" i="2" s="1"/>
  <c r="AA683" i="2" a="1"/>
  <c r="AA683" i="2" s="1"/>
  <c r="Z683" i="2" a="1"/>
  <c r="Z683" i="2" s="1"/>
  <c r="Y683" i="2" a="1"/>
  <c r="Y683" i="2" s="1"/>
  <c r="X683" i="2" a="1"/>
  <c r="X683" i="2" s="1"/>
  <c r="AJ682" i="2" a="1"/>
  <c r="AJ682" i="2" s="1"/>
  <c r="AE682" i="2" a="1"/>
  <c r="AE682" i="2" s="1"/>
  <c r="AA682" i="2" a="1"/>
  <c r="AA682" i="2" s="1"/>
  <c r="AE681" i="2" a="1"/>
  <c r="AE681" i="2" s="1"/>
  <c r="AA679" i="2" a="1"/>
  <c r="AA679" i="2" s="1"/>
  <c r="Y676" i="2" a="1"/>
  <c r="Y676" i="2" s="1"/>
  <c r="AE678" i="2" a="1"/>
  <c r="AE678" i="2" s="1"/>
  <c r="AD678" i="2" a="1"/>
  <c r="AD678" i="2" s="1"/>
  <c r="AC678" i="2" a="1"/>
  <c r="AC678" i="2" s="1"/>
  <c r="Z677" i="2" a="1"/>
  <c r="Z677" i="2" s="1"/>
  <c r="AF676" i="2" a="1"/>
  <c r="AF676" i="2" s="1"/>
  <c r="AC675" i="2" a="1"/>
  <c r="AC675" i="2" s="1"/>
  <c r="X675" i="2" a="1"/>
  <c r="X675" i="2" s="1"/>
  <c r="W675" i="2" a="1"/>
  <c r="W675" i="2" s="1"/>
  <c r="AI674" i="2" a="1"/>
  <c r="AI674" i="2" s="1"/>
  <c r="AB678" i="2" a="1"/>
  <c r="AB678" i="2" s="1"/>
  <c r="W678" i="2" a="1"/>
  <c r="W678" i="2" s="1"/>
  <c r="AD676" i="2" a="1"/>
  <c r="AD676" i="2" s="1"/>
  <c r="AB675" i="2" a="1"/>
  <c r="AB675" i="2" s="1"/>
  <c r="AB676" i="2" a="1"/>
  <c r="AB676" i="2" s="1"/>
  <c r="AA676" i="2" a="1"/>
  <c r="AA676" i="2" s="1"/>
  <c r="W676" i="2" a="1"/>
  <c r="W676" i="2" s="1"/>
  <c r="Z675" i="2" a="1"/>
  <c r="Z675" i="2" s="1"/>
  <c r="AJ674" i="2" a="1"/>
  <c r="AJ674" i="2" s="1"/>
  <c r="AA675" i="2" a="1"/>
  <c r="AA675" i="2" s="1"/>
  <c r="AB677" i="2" a="1"/>
  <c r="AB677" i="2" s="1"/>
  <c r="Z676" i="2" a="1"/>
  <c r="Z676" i="2" s="1"/>
  <c r="X679" i="2" a="1"/>
  <c r="X679" i="2" s="1"/>
  <c r="AF678" i="2" a="1"/>
  <c r="AF678" i="2" s="1"/>
  <c r="AJ677" i="2" a="1"/>
  <c r="AJ677" i="2" s="1"/>
  <c r="W677" i="2" a="1"/>
  <c r="W677" i="2" s="1"/>
  <c r="AG676" i="2" a="1"/>
  <c r="AG676" i="2" s="1"/>
  <c r="AF675" i="2" a="1"/>
  <c r="AF675" i="2" s="1"/>
  <c r="AC676" i="2" a="1"/>
  <c r="AC676" i="2" s="1"/>
  <c r="AE677" i="2" a="1"/>
  <c r="AE677" i="2" s="1"/>
  <c r="AA677" i="2" a="1"/>
  <c r="AA677" i="2" s="1"/>
  <c r="AJ675" i="2" a="1"/>
  <c r="AJ675" i="2" s="1"/>
  <c r="AG677" i="2" a="1"/>
  <c r="AG677" i="2" s="1"/>
  <c r="Z687" i="2" a="1"/>
  <c r="Z687" i="2" s="1"/>
  <c r="Z679" i="2" a="1"/>
  <c r="Z679" i="2" s="1"/>
  <c r="AH674" i="2" a="1"/>
  <c r="AH674" i="2" s="1"/>
  <c r="Y679" i="2" a="1"/>
  <c r="Y679" i="2" s="1"/>
  <c r="W679" i="2" a="1"/>
  <c r="W679" i="2" s="1"/>
  <c r="AJ678" i="2" a="1"/>
  <c r="AJ678" i="2" s="1"/>
  <c r="AA678" i="2" a="1"/>
  <c r="AA678" i="2" s="1"/>
  <c r="X677" i="2" a="1"/>
  <c r="X677" i="2" s="1"/>
  <c r="Y675" i="2" a="1"/>
  <c r="Y675" i="2" s="1"/>
  <c r="AF677" i="2" a="1"/>
  <c r="AF677" i="2" s="1"/>
  <c r="AI677" i="2" a="1"/>
  <c r="AI677" i="2" s="1"/>
  <c r="AJ676" i="2" a="1"/>
  <c r="AJ676" i="2" s="1"/>
  <c r="AI675" i="2" a="1"/>
  <c r="AI675" i="2" s="1"/>
  <c r="AE676" i="2" a="1"/>
  <c r="AE676" i="2" s="1"/>
  <c r="AH675" i="2" a="1"/>
  <c r="AH675" i="2" s="1"/>
  <c r="AD675" i="2" a="1"/>
  <c r="AD675" i="2" s="1"/>
  <c r="AI678" i="2" a="1"/>
  <c r="AI678" i="2" s="1"/>
  <c r="AH678" i="2" a="1"/>
  <c r="AH678" i="2" s="1"/>
  <c r="AG678" i="2" a="1"/>
  <c r="AG678" i="2" s="1"/>
  <c r="AI676" i="2" a="1"/>
  <c r="AI676" i="2" s="1"/>
  <c r="AC677" i="2" a="1"/>
  <c r="AC677" i="2" s="1"/>
  <c r="AH676" i="2" a="1"/>
  <c r="AH676" i="2" s="1"/>
  <c r="Z678" i="2" a="1"/>
  <c r="Z678" i="2" s="1"/>
  <c r="AD677" i="2" a="1"/>
  <c r="AD677" i="2" s="1"/>
  <c r="Y678" i="2" a="1"/>
  <c r="Y678" i="2" s="1"/>
  <c r="X678" i="2" a="1"/>
  <c r="X678" i="2" s="1"/>
  <c r="AH677" i="2" a="1"/>
  <c r="AH677" i="2" s="1"/>
  <c r="AG675" i="2" a="1"/>
  <c r="AG675" i="2" s="1"/>
  <c r="AE675" i="2" a="1"/>
  <c r="AE675" i="2" s="1"/>
  <c r="Y677" i="2" a="1"/>
  <c r="Y677" i="2" s="1"/>
  <c r="X676" i="2" a="1"/>
  <c r="X676" i="2" s="1"/>
  <c r="AD674" i="2" a="1"/>
  <c r="AD674" i="2" s="1"/>
  <c r="AB674" i="2" a="1"/>
  <c r="AB674" i="2" s="1"/>
  <c r="AC673" i="2" a="1"/>
  <c r="AC673" i="2" s="1"/>
  <c r="AB673" i="2" a="1"/>
  <c r="AB673" i="2" s="1"/>
  <c r="X673" i="2" a="1"/>
  <c r="X673" i="2" s="1"/>
  <c r="AJ672" i="2" a="1"/>
  <c r="AJ672" i="2" s="1"/>
  <c r="AD672" i="2" a="1"/>
  <c r="AD672" i="2" s="1"/>
  <c r="W671" i="2" a="1"/>
  <c r="W671" i="2" s="1"/>
  <c r="AH670" i="2" a="1"/>
  <c r="AH670" i="2" s="1"/>
  <c r="Z672" i="2" a="1"/>
  <c r="Z672" i="2" s="1"/>
  <c r="Y672" i="2" a="1"/>
  <c r="Y672" i="2" s="1"/>
  <c r="AJ670" i="2" a="1"/>
  <c r="AJ670" i="2" s="1"/>
  <c r="AF671" i="2" a="1"/>
  <c r="AF671" i="2" s="1"/>
  <c r="AC671" i="2" a="1"/>
  <c r="AC671" i="2" s="1"/>
  <c r="AB671" i="2" a="1"/>
  <c r="AB671" i="2" s="1"/>
  <c r="AC670" i="2" a="1"/>
  <c r="AC670" i="2" s="1"/>
  <c r="Y671" i="2" a="1"/>
  <c r="Y671" i="2" s="1"/>
  <c r="AE670" i="2" a="1"/>
  <c r="AE670" i="2" s="1"/>
  <c r="AD671" i="2" a="1"/>
  <c r="AD671" i="2" s="1"/>
  <c r="Z674" i="2" a="1"/>
  <c r="Z674" i="2" s="1"/>
  <c r="AI673" i="2" a="1"/>
  <c r="AI673" i="2" s="1"/>
  <c r="AD670" i="2" a="1"/>
  <c r="AD670" i="2" s="1"/>
  <c r="Y674" i="2" a="1"/>
  <c r="Y674" i="2" s="1"/>
  <c r="AH673" i="2" a="1"/>
  <c r="AH673" i="2" s="1"/>
  <c r="X674" i="2" a="1"/>
  <c r="X674" i="2" s="1"/>
  <c r="AD673" i="2" a="1"/>
  <c r="AD673" i="2" s="1"/>
  <c r="AH672" i="2" a="1"/>
  <c r="AH672" i="2" s="1"/>
  <c r="AJ671" i="2" a="1"/>
  <c r="AJ671" i="2" s="1"/>
  <c r="AE671" i="2" a="1"/>
  <c r="AE671" i="2" s="1"/>
  <c r="AF673" i="2" a="1"/>
  <c r="AF673" i="2" s="1"/>
  <c r="AI672" i="2" a="1"/>
  <c r="AI672" i="2" s="1"/>
  <c r="AA672" i="2" a="1"/>
  <c r="AA672" i="2" s="1"/>
  <c r="AA671" i="2" a="1"/>
  <c r="AA671" i="2" s="1"/>
  <c r="W674" i="2" a="1"/>
  <c r="W674" i="2" s="1"/>
  <c r="AF672" i="2" a="1"/>
  <c r="AF672" i="2" s="1"/>
  <c r="Z673" i="2" a="1"/>
  <c r="Z673" i="2" s="1"/>
  <c r="W673" i="2" a="1"/>
  <c r="W673" i="2" s="1"/>
  <c r="X671" i="2" a="1"/>
  <c r="X671" i="2" s="1"/>
  <c r="AJ673" i="2" a="1"/>
  <c r="AJ673" i="2" s="1"/>
  <c r="AE674" i="2" a="1"/>
  <c r="AE674" i="2" s="1"/>
  <c r="AC674" i="2" a="1"/>
  <c r="AC674" i="2" s="1"/>
  <c r="AB672" i="2" a="1"/>
  <c r="AB672" i="2" s="1"/>
  <c r="AH671" i="2" a="1"/>
  <c r="AH671" i="2" s="1"/>
  <c r="AG670" i="2" a="1"/>
  <c r="AG670" i="2" s="1"/>
  <c r="AE673" i="2" a="1"/>
  <c r="AE673" i="2" s="1"/>
  <c r="Y673" i="2" a="1"/>
  <c r="Y673" i="2" s="1"/>
  <c r="AG671" i="2" a="1"/>
  <c r="AG671" i="2" s="1"/>
  <c r="Z671" i="2" a="1"/>
  <c r="Z671" i="2" s="1"/>
  <c r="AI671" i="2" a="1"/>
  <c r="AI671" i="2" s="1"/>
  <c r="AC672" i="2" a="1"/>
  <c r="AC672" i="2" s="1"/>
  <c r="AA670" i="2" a="1"/>
  <c r="AA670" i="2" s="1"/>
  <c r="AA674" i="2" a="1"/>
  <c r="AA674" i="2" s="1"/>
  <c r="Y688" i="2" a="1"/>
  <c r="Y688" i="2" s="1"/>
  <c r="AA673" i="2" a="1"/>
  <c r="AA673" i="2" s="1"/>
  <c r="AI670" i="2" a="1"/>
  <c r="AI670" i="2" s="1"/>
  <c r="AB670" i="2" a="1"/>
  <c r="AB670" i="2" s="1"/>
  <c r="X672" i="2" a="1"/>
  <c r="X672" i="2" s="1"/>
  <c r="AF670" i="2" a="1"/>
  <c r="AF670" i="2" s="1"/>
  <c r="AG674" i="2" a="1"/>
  <c r="AG674" i="2" s="1"/>
  <c r="AG673" i="2" a="1"/>
  <c r="AG673" i="2" s="1"/>
  <c r="AE672" i="2" a="1"/>
  <c r="AE672" i="2" s="1"/>
  <c r="W672" i="2" a="1"/>
  <c r="W672" i="2" s="1"/>
  <c r="AF674" i="2" a="1"/>
  <c r="AF674" i="2" s="1"/>
  <c r="AG672" i="2" a="1"/>
  <c r="AG672" i="2" s="1"/>
  <c r="AC666" i="2" a="1"/>
  <c r="AC666" i="2" s="1"/>
  <c r="AD668" i="2" a="1"/>
  <c r="AD668" i="2" s="1"/>
  <c r="AA668" i="2" a="1"/>
  <c r="AA668" i="2" s="1"/>
  <c r="Y668" i="2" a="1"/>
  <c r="Y668" i="2" s="1"/>
  <c r="AB667" i="2" a="1"/>
  <c r="AB667" i="2" s="1"/>
  <c r="AA666" i="2" a="1"/>
  <c r="AA666" i="2" s="1"/>
  <c r="AF667" i="2" a="1"/>
  <c r="AF667" i="2" s="1"/>
  <c r="AJ665" i="2" a="1"/>
  <c r="AJ665" i="2" s="1"/>
  <c r="Z667" i="2" a="1"/>
  <c r="Z667" i="2" s="1"/>
  <c r="AE666" i="2" a="1"/>
  <c r="AE666" i="2" s="1"/>
  <c r="X667" i="2" a="1"/>
  <c r="X667" i="2" s="1"/>
  <c r="AI665" i="2" a="1"/>
  <c r="AI665" i="2" s="1"/>
  <c r="X668" i="2" a="1"/>
  <c r="X668" i="2" s="1"/>
  <c r="AG667" i="2" a="1"/>
  <c r="AG667" i="2" s="1"/>
  <c r="AC667" i="2" a="1"/>
  <c r="AC667" i="2" s="1"/>
  <c r="W667" i="2" a="1"/>
  <c r="W667" i="2" s="1"/>
  <c r="AG666" i="2" a="1"/>
  <c r="AG666" i="2" s="1"/>
  <c r="X666" i="2" a="1"/>
  <c r="X666" i="2" s="1"/>
  <c r="Z666" i="2" a="1"/>
  <c r="Z666" i="2" s="1"/>
  <c r="Y666" i="2" a="1"/>
  <c r="Y666" i="2" s="1"/>
  <c r="AB669" i="2" a="1"/>
  <c r="AB669" i="2" s="1"/>
  <c r="W669" i="2" a="1"/>
  <c r="W669" i="2" s="1"/>
  <c r="AJ666" i="2" a="1"/>
  <c r="AJ666" i="2" s="1"/>
  <c r="AJ667" i="2" a="1"/>
  <c r="AJ667" i="2" s="1"/>
  <c r="AF666" i="2" a="1"/>
  <c r="AF666" i="2" s="1"/>
  <c r="Z668" i="2" a="1"/>
  <c r="Z668" i="2" s="1"/>
  <c r="AH666" i="2" a="1"/>
  <c r="AH666" i="2" s="1"/>
  <c r="AB666" i="2" a="1"/>
  <c r="AB666" i="2" s="1"/>
  <c r="AA667" i="2" a="1"/>
  <c r="AA667" i="2" s="1"/>
  <c r="Y687" i="2" a="1"/>
  <c r="Y687" i="2" s="1"/>
  <c r="AJ668" i="2" a="1"/>
  <c r="AJ668" i="2" s="1"/>
  <c r="AF668" i="2" a="1"/>
  <c r="AF668" i="2" s="1"/>
  <c r="AI667" i="2" a="1"/>
  <c r="AI667" i="2" s="1"/>
  <c r="AH667" i="2" a="1"/>
  <c r="AH667" i="2" s="1"/>
  <c r="AD666" i="2" a="1"/>
  <c r="AD666" i="2" s="1"/>
  <c r="AH665" i="2" a="1"/>
  <c r="AH665" i="2" s="1"/>
  <c r="AG669" i="2" a="1"/>
  <c r="AG669" i="2" s="1"/>
  <c r="AI666" i="2" a="1"/>
  <c r="AI666" i="2" s="1"/>
  <c r="Z670" i="2" a="1"/>
  <c r="Z670" i="2" s="1"/>
  <c r="Y670" i="2" a="1"/>
  <c r="Y670" i="2" s="1"/>
  <c r="AG668" i="2" a="1"/>
  <c r="AG668" i="2" s="1"/>
  <c r="W666" i="2" a="1"/>
  <c r="W666" i="2" s="1"/>
  <c r="AC668" i="2" a="1"/>
  <c r="AC668" i="2" s="1"/>
  <c r="AE667" i="2" a="1"/>
  <c r="AE667" i="2" s="1"/>
  <c r="AI669" i="2" a="1"/>
  <c r="AI669" i="2" s="1"/>
  <c r="Z669" i="2" a="1"/>
  <c r="Z669" i="2" s="1"/>
  <c r="Y667" i="2" a="1"/>
  <c r="Y667" i="2" s="1"/>
  <c r="AB668" i="2" a="1"/>
  <c r="AB668" i="2" s="1"/>
  <c r="X670" i="2" a="1"/>
  <c r="X670" i="2" s="1"/>
  <c r="W670" i="2" a="1"/>
  <c r="W670" i="2" s="1"/>
  <c r="X669" i="2" a="1"/>
  <c r="X669" i="2" s="1"/>
  <c r="W668" i="2" a="1"/>
  <c r="W668" i="2" s="1"/>
  <c r="AH669" i="2" a="1"/>
  <c r="AH669" i="2" s="1"/>
  <c r="AH668" i="2" a="1"/>
  <c r="AH668" i="2" s="1"/>
  <c r="AJ669" i="2" a="1"/>
  <c r="AJ669" i="2" s="1"/>
  <c r="AI668" i="2" a="1"/>
  <c r="AI668" i="2" s="1"/>
  <c r="AD669" i="2" a="1"/>
  <c r="AD669" i="2" s="1"/>
  <c r="AD667" i="2" a="1"/>
  <c r="AD667" i="2" s="1"/>
  <c r="AF669" i="2" a="1"/>
  <c r="AF669" i="2" s="1"/>
  <c r="AE669" i="2" a="1"/>
  <c r="AE669" i="2" s="1"/>
  <c r="AC669" i="2" a="1"/>
  <c r="AC669" i="2" s="1"/>
  <c r="AA669" i="2" a="1"/>
  <c r="AA669" i="2" s="1"/>
  <c r="Y669" i="2" a="1"/>
  <c r="Y669" i="2" s="1"/>
  <c r="AE668" i="2" a="1"/>
  <c r="AE668" i="2" s="1"/>
  <c r="Y664" i="2" a="1"/>
  <c r="Y664" i="2" s="1"/>
  <c r="X664" i="2" a="1"/>
  <c r="X664" i="2" s="1"/>
  <c r="Z663" i="2" a="1"/>
  <c r="Z663" i="2" s="1"/>
  <c r="AB661" i="2" a="1"/>
  <c r="AB661" i="2" s="1"/>
  <c r="W664" i="2" a="1"/>
  <c r="W664" i="2" s="1"/>
  <c r="AF663" i="2" a="1"/>
  <c r="AF663" i="2" s="1"/>
  <c r="AE663" i="2" a="1"/>
  <c r="AE663" i="2" s="1"/>
  <c r="W662" i="2" a="1"/>
  <c r="W662" i="2" s="1"/>
  <c r="AJ662" i="2" a="1"/>
  <c r="AJ662" i="2" s="1"/>
  <c r="AH662" i="2" a="1"/>
  <c r="AH662" i="2" s="1"/>
  <c r="AD663" i="2" a="1"/>
  <c r="AD663" i="2" s="1"/>
  <c r="AC663" i="2" a="1"/>
  <c r="AC663" i="2" s="1"/>
  <c r="AB662" i="2" a="1"/>
  <c r="AB662" i="2" s="1"/>
  <c r="AA661" i="2" a="1"/>
  <c r="AA661" i="2" s="1"/>
  <c r="X663" i="2" a="1"/>
  <c r="X663" i="2" s="1"/>
  <c r="AC662" i="2" a="1"/>
  <c r="AC662" i="2" s="1"/>
  <c r="AD662" i="2" a="1"/>
  <c r="AD662" i="2" s="1"/>
  <c r="AA663" i="2" a="1"/>
  <c r="AA663" i="2" s="1"/>
  <c r="AE661" i="2" a="1"/>
  <c r="AE661" i="2" s="1"/>
  <c r="AF661" i="2" a="1"/>
  <c r="AF661" i="2" s="1"/>
  <c r="AI663" i="2" a="1"/>
  <c r="AI663" i="2" s="1"/>
  <c r="Z662" i="2" a="1"/>
  <c r="Z662" i="2" s="1"/>
  <c r="Y663" i="2" a="1"/>
  <c r="Y663" i="2" s="1"/>
  <c r="AF662" i="2" a="1"/>
  <c r="AF662" i="2" s="1"/>
  <c r="AJ661" i="2" a="1"/>
  <c r="AJ661" i="2" s="1"/>
  <c r="AH687" i="2" a="1"/>
  <c r="AH687" i="2" s="1"/>
  <c r="AG665" i="2" a="1"/>
  <c r="AG665" i="2" s="1"/>
  <c r="Y662" i="2" a="1"/>
  <c r="Y662" i="2" s="1"/>
  <c r="AF665" i="2" a="1"/>
  <c r="AF665" i="2" s="1"/>
  <c r="AD665" i="2" a="1"/>
  <c r="AD665" i="2" s="1"/>
  <c r="AE665" i="2" a="1"/>
  <c r="AE665" i="2" s="1"/>
  <c r="AC665" i="2" a="1"/>
  <c r="AC665" i="2" s="1"/>
  <c r="AB665" i="2" a="1"/>
  <c r="AB665" i="2" s="1"/>
  <c r="AA664" i="2" a="1"/>
  <c r="AA664" i="2" s="1"/>
  <c r="AE662" i="2" a="1"/>
  <c r="AE662" i="2" s="1"/>
  <c r="AI661" i="2" a="1"/>
  <c r="AI661" i="2" s="1"/>
  <c r="AA665" i="2" a="1"/>
  <c r="AA665" i="2" s="1"/>
  <c r="AG664" i="2" a="1"/>
  <c r="AG664" i="2" s="1"/>
  <c r="AB663" i="2" a="1"/>
  <c r="AB663" i="2" s="1"/>
  <c r="AF664" i="2" a="1"/>
  <c r="AF664" i="2" s="1"/>
  <c r="AA662" i="2" a="1"/>
  <c r="AA662" i="2" s="1"/>
  <c r="AD661" i="2" a="1"/>
  <c r="AD661" i="2" s="1"/>
  <c r="Z665" i="2" a="1"/>
  <c r="Z665" i="2" s="1"/>
  <c r="W665" i="2" a="1"/>
  <c r="W665" i="2" s="1"/>
  <c r="AH664" i="2" a="1"/>
  <c r="AH664" i="2" s="1"/>
  <c r="AJ663" i="2" a="1"/>
  <c r="AJ663" i="2" s="1"/>
  <c r="X662" i="2" a="1"/>
  <c r="X662" i="2" s="1"/>
  <c r="AI662" i="2" a="1"/>
  <c r="AI662" i="2" s="1"/>
  <c r="W663" i="2" a="1"/>
  <c r="W663" i="2" s="1"/>
  <c r="AH663" i="2" a="1"/>
  <c r="AH663" i="2" s="1"/>
  <c r="AH661" i="2" a="1"/>
  <c r="AH661" i="2" s="1"/>
  <c r="AG662" i="2" a="1"/>
  <c r="AG662" i="2" s="1"/>
  <c r="Y665" i="2" a="1"/>
  <c r="Y665" i="2" s="1"/>
  <c r="X665" i="2" a="1"/>
  <c r="X665" i="2" s="1"/>
  <c r="AJ664" i="2" a="1"/>
  <c r="AJ664" i="2" s="1"/>
  <c r="AI664" i="2" a="1"/>
  <c r="AI664" i="2" s="1"/>
  <c r="AC661" i="2" a="1"/>
  <c r="AC661" i="2" s="1"/>
  <c r="AE664" i="2" a="1"/>
  <c r="AE664" i="2" s="1"/>
  <c r="AD664" i="2" a="1"/>
  <c r="AD664" i="2" s="1"/>
  <c r="AC664" i="2" a="1"/>
  <c r="AC664" i="2" s="1"/>
  <c r="AB664" i="2" a="1"/>
  <c r="AB664" i="2" s="1"/>
  <c r="Z664" i="2" a="1"/>
  <c r="Z664" i="2" s="1"/>
  <c r="AG663" i="2" a="1"/>
  <c r="AG663" i="2" s="1"/>
  <c r="AG661" i="2" a="1"/>
  <c r="AG661" i="2" s="1"/>
  <c r="Y660" i="2" a="1"/>
  <c r="Y660" i="2" s="1"/>
  <c r="X660" i="2" a="1"/>
  <c r="X660" i="2" s="1"/>
  <c r="AE659" i="2" a="1"/>
  <c r="AE659" i="2" s="1"/>
  <c r="AC659" i="2" a="1"/>
  <c r="AC659" i="2" s="1"/>
  <c r="AJ657" i="2" a="1"/>
  <c r="AJ657" i="2" s="1"/>
  <c r="W659" i="2" a="1"/>
  <c r="W659" i="2" s="1"/>
  <c r="AA659" i="2" a="1"/>
  <c r="AA659" i="2" s="1"/>
  <c r="X659" i="2" a="1"/>
  <c r="X659" i="2" s="1"/>
  <c r="AC658" i="2" a="1"/>
  <c r="AC658" i="2" s="1"/>
  <c r="Y658" i="2" a="1"/>
  <c r="Y658" i="2" s="1"/>
  <c r="W657" i="2" a="1"/>
  <c r="W657" i="2" s="1"/>
  <c r="AC657" i="2" a="1"/>
  <c r="AC657" i="2" s="1"/>
  <c r="AB658" i="2" a="1"/>
  <c r="AB658" i="2" s="1"/>
  <c r="W658" i="2" a="1"/>
  <c r="W658" i="2" s="1"/>
  <c r="AF657" i="2" a="1"/>
  <c r="AF657" i="2" s="1"/>
  <c r="AB657" i="2" a="1"/>
  <c r="AB657" i="2" s="1"/>
  <c r="AI657" i="2" a="1"/>
  <c r="AI657" i="2" s="1"/>
  <c r="AH657" i="2" a="1"/>
  <c r="AH657" i="2" s="1"/>
  <c r="Z657" i="2" a="1"/>
  <c r="Z657" i="2" s="1"/>
  <c r="AA657" i="2" a="1"/>
  <c r="AA657" i="2" s="1"/>
  <c r="X687" i="2" a="1"/>
  <c r="X687" i="2" s="1"/>
  <c r="AG657" i="2" a="1"/>
  <c r="AG657" i="2" s="1"/>
  <c r="AI656" i="2" a="1"/>
  <c r="AI656" i="2" s="1"/>
  <c r="AJ659" i="2" a="1"/>
  <c r="AJ659" i="2" s="1"/>
  <c r="AG658" i="2" a="1"/>
  <c r="AG658" i="2" s="1"/>
  <c r="W661" i="2" a="1"/>
  <c r="W661" i="2" s="1"/>
  <c r="AH656" i="2" a="1"/>
  <c r="AH656" i="2" s="1"/>
  <c r="Z661" i="2" a="1"/>
  <c r="Z661" i="2" s="1"/>
  <c r="AJ658" i="2" a="1"/>
  <c r="AJ658" i="2" s="1"/>
  <c r="Y661" i="2" a="1"/>
  <c r="Y661" i="2" s="1"/>
  <c r="AI659" i="2" a="1"/>
  <c r="AI659" i="2" s="1"/>
  <c r="X658" i="2" a="1"/>
  <c r="X658" i="2" s="1"/>
  <c r="X661" i="2" a="1"/>
  <c r="X661" i="2" s="1"/>
  <c r="AJ660" i="2" a="1"/>
  <c r="AJ660" i="2" s="1"/>
  <c r="AE660" i="2" a="1"/>
  <c r="AE660" i="2" s="1"/>
  <c r="AF658" i="2" a="1"/>
  <c r="AF658" i="2" s="1"/>
  <c r="AI660" i="2" a="1"/>
  <c r="AI660" i="2" s="1"/>
  <c r="AH660" i="2" a="1"/>
  <c r="AH660" i="2" s="1"/>
  <c r="AD660" i="2" a="1"/>
  <c r="AD660" i="2" s="1"/>
  <c r="AB660" i="2" a="1"/>
  <c r="AB660" i="2" s="1"/>
  <c r="Z660" i="2" a="1"/>
  <c r="Z660" i="2" s="1"/>
  <c r="Y657" i="2" a="1"/>
  <c r="Y657" i="2" s="1"/>
  <c r="AH659" i="2" a="1"/>
  <c r="AH659" i="2" s="1"/>
  <c r="AG659" i="2" a="1"/>
  <c r="AG659" i="2" s="1"/>
  <c r="AF659" i="2" a="1"/>
  <c r="AF659" i="2" s="1"/>
  <c r="Z658" i="2" a="1"/>
  <c r="Z658" i="2" s="1"/>
  <c r="AB659" i="2" a="1"/>
  <c r="AB659" i="2" s="1"/>
  <c r="AH658" i="2" a="1"/>
  <c r="AH658" i="2" s="1"/>
  <c r="Z659" i="2" a="1"/>
  <c r="Z659" i="2" s="1"/>
  <c r="AE658" i="2" a="1"/>
  <c r="AE658" i="2" s="1"/>
  <c r="AD657" i="2" a="1"/>
  <c r="AD657" i="2" s="1"/>
  <c r="AA658" i="2" a="1"/>
  <c r="AA658" i="2" s="1"/>
  <c r="AD659" i="2" a="1"/>
  <c r="AD659" i="2" s="1"/>
  <c r="Y659" i="2" a="1"/>
  <c r="Y659" i="2" s="1"/>
  <c r="AE657" i="2" a="1"/>
  <c r="AE657" i="2" s="1"/>
  <c r="X657" i="2" a="1"/>
  <c r="X657" i="2" s="1"/>
  <c r="AJ656" i="2" a="1"/>
  <c r="AJ656" i="2" s="1"/>
  <c r="AI658" i="2" a="1"/>
  <c r="AI658" i="2" s="1"/>
  <c r="AG660" i="2" a="1"/>
  <c r="AG660" i="2" s="1"/>
  <c r="AF660" i="2" a="1"/>
  <c r="AF660" i="2" s="1"/>
  <c r="AA660" i="2" a="1"/>
  <c r="AA660" i="2" s="1"/>
  <c r="W660" i="2" a="1"/>
  <c r="W660" i="2" s="1"/>
  <c r="AC660" i="2" a="1"/>
  <c r="AC660" i="2" s="1"/>
  <c r="AD658" i="2" a="1"/>
  <c r="AD658" i="2" s="1"/>
  <c r="AI655" i="2" a="1"/>
  <c r="AI655" i="2" s="1"/>
  <c r="X655" i="2" a="1"/>
  <c r="X655" i="2" s="1"/>
  <c r="AG655" i="2" a="1"/>
  <c r="AG655" i="2" s="1"/>
  <c r="AI654" i="2" a="1"/>
  <c r="AI654" i="2" s="1"/>
  <c r="AB654" i="2" a="1"/>
  <c r="AB654" i="2" s="1"/>
  <c r="AF653" i="2" a="1"/>
  <c r="AF653" i="2" s="1"/>
  <c r="AH654" i="2" a="1"/>
  <c r="AH654" i="2" s="1"/>
  <c r="X653" i="2" a="1"/>
  <c r="X653" i="2" s="1"/>
  <c r="AA652" i="2" a="1"/>
  <c r="AA652" i="2" s="1"/>
  <c r="AF654" i="2" a="1"/>
  <c r="AF654" i="2" s="1"/>
  <c r="AF655" i="2" a="1"/>
  <c r="AF655" i="2" s="1"/>
  <c r="AE655" i="2" a="1"/>
  <c r="AE655" i="2" s="1"/>
  <c r="AJ654" i="2" a="1"/>
  <c r="AJ654" i="2" s="1"/>
  <c r="Z653" i="2" a="1"/>
  <c r="Z653" i="2" s="1"/>
  <c r="AC654" i="2" a="1"/>
  <c r="AC654" i="2" s="1"/>
  <c r="AC652" i="2" a="1"/>
  <c r="AC652" i="2" s="1"/>
  <c r="AG654" i="2" a="1"/>
  <c r="AG654" i="2" s="1"/>
  <c r="AE652" i="2" a="1"/>
  <c r="AE652" i="2" s="1"/>
  <c r="AF652" i="2" a="1"/>
  <c r="AF652" i="2" s="1"/>
  <c r="Z655" i="2" a="1"/>
  <c r="Z655" i="2" s="1"/>
  <c r="W655" i="2" a="1"/>
  <c r="W655" i="2" s="1"/>
  <c r="AD652" i="2" a="1"/>
  <c r="AD652" i="2" s="1"/>
  <c r="AD654" i="2" a="1"/>
  <c r="AD654" i="2" s="1"/>
  <c r="AA654" i="2" a="1"/>
  <c r="AA654" i="2" s="1"/>
  <c r="W654" i="2" a="1"/>
  <c r="W654" i="2" s="1"/>
  <c r="AG653" i="2" a="1"/>
  <c r="AG653" i="2" s="1"/>
  <c r="AH652" i="2" a="1"/>
  <c r="AH652" i="2" s="1"/>
  <c r="Y653" i="2" a="1"/>
  <c r="Y653" i="2" s="1"/>
  <c r="AG652" i="2" a="1"/>
  <c r="AG652" i="2" s="1"/>
  <c r="AE653" i="2" a="1"/>
  <c r="AE653" i="2" s="1"/>
  <c r="AA688" i="2" a="1"/>
  <c r="AA688" i="2" s="1"/>
  <c r="AB653" i="2" a="1"/>
  <c r="AB653" i="2" s="1"/>
  <c r="W656" i="2" a="1"/>
  <c r="W656" i="2" s="1"/>
  <c r="AA655" i="2" a="1"/>
  <c r="AA655" i="2" s="1"/>
  <c r="AE654" i="2" a="1"/>
  <c r="AE654" i="2" s="1"/>
  <c r="Z656" i="2" a="1"/>
  <c r="Z656" i="2" s="1"/>
  <c r="AG656" i="2" a="1"/>
  <c r="AG656" i="2" s="1"/>
  <c r="AH655" i="2" a="1"/>
  <c r="AH655" i="2" s="1"/>
  <c r="AF656" i="2" a="1"/>
  <c r="AF656" i="2" s="1"/>
  <c r="Y655" i="2" a="1"/>
  <c r="Y655" i="2" s="1"/>
  <c r="AE656" i="2" a="1"/>
  <c r="AE656" i="2" s="1"/>
  <c r="AD656" i="2" a="1"/>
  <c r="AD656" i="2" s="1"/>
  <c r="AC656" i="2" a="1"/>
  <c r="AC656" i="2" s="1"/>
  <c r="AJ655" i="2" a="1"/>
  <c r="AJ655" i="2" s="1"/>
  <c r="Y654" i="2" a="1"/>
  <c r="Y654" i="2" s="1"/>
  <c r="AI652" i="2" a="1"/>
  <c r="AI652" i="2" s="1"/>
  <c r="AJ653" i="2" a="1"/>
  <c r="AJ653" i="2" s="1"/>
  <c r="AJ652" i="2" a="1"/>
  <c r="AJ652" i="2" s="1"/>
  <c r="AB656" i="2" a="1"/>
  <c r="AB656" i="2" s="1"/>
  <c r="AC655" i="2" a="1"/>
  <c r="AC655" i="2" s="1"/>
  <c r="AA653" i="2" a="1"/>
  <c r="AA653" i="2" s="1"/>
  <c r="AA656" i="2" a="1"/>
  <c r="AA656" i="2" s="1"/>
  <c r="AI653" i="2" a="1"/>
  <c r="AI653" i="2" s="1"/>
  <c r="AD655" i="2" a="1"/>
  <c r="AD655" i="2" s="1"/>
  <c r="AH653" i="2" a="1"/>
  <c r="AH653" i="2" s="1"/>
  <c r="AB652" i="2" a="1"/>
  <c r="AB652" i="2" s="1"/>
  <c r="AB655" i="2" a="1"/>
  <c r="AB655" i="2" s="1"/>
  <c r="Z654" i="2" a="1"/>
  <c r="Z654" i="2" s="1"/>
  <c r="Y656" i="2" a="1"/>
  <c r="Y656" i="2" s="1"/>
  <c r="W653" i="2" a="1"/>
  <c r="W653" i="2" s="1"/>
  <c r="AC653" i="2" a="1"/>
  <c r="AC653" i="2" s="1"/>
  <c r="X654" i="2" a="1"/>
  <c r="X654" i="2" s="1"/>
  <c r="AD653" i="2" a="1"/>
  <c r="AD653" i="2" s="1"/>
  <c r="X656" i="2" a="1"/>
  <c r="X656" i="2" s="1"/>
  <c r="AD651" i="2" a="1"/>
  <c r="AD651" i="2" s="1"/>
  <c r="AC651" i="2" a="1"/>
  <c r="AC651" i="2" s="1"/>
  <c r="AC650" i="2" a="1"/>
  <c r="AC650" i="2" s="1"/>
  <c r="AF649" i="2" a="1"/>
  <c r="AF649" i="2" s="1"/>
  <c r="Y648" i="2" a="1"/>
  <c r="Y648" i="2" s="1"/>
  <c r="AA651" i="2" a="1"/>
  <c r="AA651" i="2" s="1"/>
  <c r="X651" i="2" a="1"/>
  <c r="X651" i="2" s="1"/>
  <c r="AI649" i="2" a="1"/>
  <c r="AI649" i="2" s="1"/>
  <c r="X648" i="2" a="1"/>
  <c r="X648" i="2" s="1"/>
  <c r="AJ650" i="2" a="1"/>
  <c r="AJ650" i="2" s="1"/>
  <c r="Y650" i="2" a="1"/>
  <c r="Y650" i="2" s="1"/>
  <c r="AJ647" i="2" a="1"/>
  <c r="AJ647" i="2" s="1"/>
  <c r="AG648" i="2" a="1"/>
  <c r="AG648" i="2" s="1"/>
  <c r="AD649" i="2" a="1"/>
  <c r="AD649" i="2" s="1"/>
  <c r="AE648" i="2" a="1"/>
  <c r="AE648" i="2" s="1"/>
  <c r="AD648" i="2" a="1"/>
  <c r="AD648" i="2" s="1"/>
  <c r="AI647" i="2" a="1"/>
  <c r="AI647" i="2" s="1"/>
  <c r="AD650" i="2" a="1"/>
  <c r="AD650" i="2" s="1"/>
  <c r="AG649" i="2" a="1"/>
  <c r="AG649" i="2" s="1"/>
  <c r="AE649" i="2" a="1"/>
  <c r="AE649" i="2" s="1"/>
  <c r="AA649" i="2" a="1"/>
  <c r="AA649" i="2" s="1"/>
  <c r="AC648" i="2" a="1"/>
  <c r="AC648" i="2" s="1"/>
  <c r="AH647" i="2" a="1"/>
  <c r="AH647" i="2" s="1"/>
  <c r="Z649" i="2" a="1"/>
  <c r="Z649" i="2" s="1"/>
  <c r="AH651" i="2" a="1"/>
  <c r="AH651" i="2" s="1"/>
  <c r="AA650" i="2" a="1"/>
  <c r="AA650" i="2" s="1"/>
  <c r="AE651" i="2" a="1"/>
  <c r="AE651" i="2" s="1"/>
  <c r="W650" i="2" a="1"/>
  <c r="W650" i="2" s="1"/>
  <c r="AF651" i="2" a="1"/>
  <c r="AF651" i="2" s="1"/>
  <c r="Z651" i="2" a="1"/>
  <c r="Z651" i="2" s="1"/>
  <c r="AI650" i="2" a="1"/>
  <c r="AI650" i="2" s="1"/>
  <c r="AE650" i="2" a="1"/>
  <c r="AE650" i="2" s="1"/>
  <c r="X649" i="2" a="1"/>
  <c r="X649" i="2" s="1"/>
  <c r="W651" i="2" a="1"/>
  <c r="W651" i="2" s="1"/>
  <c r="AH649" i="2" a="1"/>
  <c r="AH649" i="2" s="1"/>
  <c r="AB649" i="2" a="1"/>
  <c r="AB649" i="2" s="1"/>
  <c r="AI648" i="2" a="1"/>
  <c r="AI648" i="2" s="1"/>
  <c r="AB648" i="2" a="1"/>
  <c r="AB648" i="2" s="1"/>
  <c r="AF648" i="2" a="1"/>
  <c r="AF648" i="2" s="1"/>
  <c r="AH650" i="2" a="1"/>
  <c r="AH650" i="2" s="1"/>
  <c r="AG650" i="2" a="1"/>
  <c r="AG650" i="2" s="1"/>
  <c r="AA648" i="2" a="1"/>
  <c r="AA648" i="2" s="1"/>
  <c r="W649" i="2" a="1"/>
  <c r="W649" i="2" s="1"/>
  <c r="AF650" i="2" a="1"/>
  <c r="AF650" i="2" s="1"/>
  <c r="AH648" i="2" a="1"/>
  <c r="AH648" i="2" s="1"/>
  <c r="Z650" i="2" a="1"/>
  <c r="Z650" i="2" s="1"/>
  <c r="W648" i="2" a="1"/>
  <c r="W648" i="2" s="1"/>
  <c r="X650" i="2" a="1"/>
  <c r="X650" i="2" s="1"/>
  <c r="AC649" i="2" a="1"/>
  <c r="AC649" i="2" s="1"/>
  <c r="X652" i="2" a="1"/>
  <c r="X652" i="2" s="1"/>
  <c r="AB650" i="2" a="1"/>
  <c r="AB650" i="2" s="1"/>
  <c r="AJ649" i="2" a="1"/>
  <c r="AJ649" i="2" s="1"/>
  <c r="W687" i="2" a="1"/>
  <c r="W687" i="2" s="1"/>
  <c r="AB651" i="2" a="1"/>
  <c r="AB651" i="2" s="1"/>
  <c r="AJ648" i="2" a="1"/>
  <c r="AJ648" i="2" s="1"/>
  <c r="Z652" i="2" a="1"/>
  <c r="Z652" i="2" s="1"/>
  <c r="Y652" i="2" a="1"/>
  <c r="Y652" i="2" s="1"/>
  <c r="Y651" i="2" a="1"/>
  <c r="Y651" i="2" s="1"/>
  <c r="W652" i="2" a="1"/>
  <c r="W652" i="2" s="1"/>
  <c r="Y649" i="2" a="1"/>
  <c r="Y649" i="2" s="1"/>
  <c r="AJ651" i="2" a="1"/>
  <c r="AJ651" i="2" s="1"/>
  <c r="Z648" i="2" a="1"/>
  <c r="Z648" i="2" s="1"/>
  <c r="AI651" i="2" a="1"/>
  <c r="AI651" i="2" s="1"/>
  <c r="AG651" i="2" a="1"/>
  <c r="AG651" i="2" s="1"/>
  <c r="AE646" i="2" a="1"/>
  <c r="AE646" i="2" s="1"/>
  <c r="AD646" i="2" a="1"/>
  <c r="AD646" i="2" s="1"/>
  <c r="AB646" i="2" a="1"/>
  <c r="AB646" i="2" s="1"/>
  <c r="AA646" i="2" a="1"/>
  <c r="AA646" i="2" s="1"/>
  <c r="AJ645" i="2" a="1"/>
  <c r="AJ645" i="2" s="1"/>
  <c r="Z645" i="2" a="1"/>
  <c r="Z645" i="2" s="1"/>
  <c r="AB643" i="2" a="1"/>
  <c r="AB643" i="2" s="1"/>
  <c r="Z644" i="2" a="1"/>
  <c r="Z644" i="2" s="1"/>
  <c r="Y644" i="2" a="1"/>
  <c r="Y644" i="2" s="1"/>
  <c r="W644" i="2" a="1"/>
  <c r="W644" i="2" s="1"/>
  <c r="AC643" i="2" a="1"/>
  <c r="AC643" i="2" s="1"/>
  <c r="W645" i="2" a="1"/>
  <c r="W645" i="2" s="1"/>
  <c r="AF643" i="2" a="1"/>
  <c r="AF643" i="2" s="1"/>
  <c r="AA643" i="2" a="1"/>
  <c r="AA643" i="2" s="1"/>
  <c r="AJ644" i="2" a="1"/>
  <c r="AJ644" i="2" s="1"/>
  <c r="AE644" i="2" a="1"/>
  <c r="AE644" i="2" s="1"/>
  <c r="AA644" i="2" a="1"/>
  <c r="AA644" i="2" s="1"/>
  <c r="AH644" i="2" a="1"/>
  <c r="AH644" i="2" s="1"/>
  <c r="X644" i="2" a="1"/>
  <c r="X644" i="2" s="1"/>
  <c r="AI644" i="2" a="1"/>
  <c r="AI644" i="2" s="1"/>
  <c r="AF645" i="2" a="1"/>
  <c r="AF645" i="2" s="1"/>
  <c r="AF644" i="2" a="1"/>
  <c r="AF644" i="2" s="1"/>
  <c r="Y646" i="2" a="1"/>
  <c r="Y646" i="2" s="1"/>
  <c r="AI643" i="2" a="1"/>
  <c r="AI643" i="2" s="1"/>
  <c r="AI646" i="2" a="1"/>
  <c r="AI646" i="2" s="1"/>
  <c r="AF646" i="2" a="1"/>
  <c r="AF646" i="2" s="1"/>
  <c r="AG645" i="2" a="1"/>
  <c r="AG645" i="2" s="1"/>
  <c r="AE645" i="2" a="1"/>
  <c r="AE645" i="2" s="1"/>
  <c r="Y645" i="2" a="1"/>
  <c r="Y645" i="2" s="1"/>
  <c r="X646" i="2" a="1"/>
  <c r="X646" i="2" s="1"/>
  <c r="AD645" i="2" a="1"/>
  <c r="AD645" i="2" s="1"/>
  <c r="AH643" i="2" a="1"/>
  <c r="AH643" i="2" s="1"/>
  <c r="AG687" i="2" a="1"/>
  <c r="AG687" i="2" s="1"/>
  <c r="Z646" i="2" a="1"/>
  <c r="Z646" i="2" s="1"/>
  <c r="AJ643" i="2" a="1"/>
  <c r="AJ643" i="2" s="1"/>
  <c r="AG647" i="2" a="1"/>
  <c r="AG647" i="2" s="1"/>
  <c r="AF647" i="2" a="1"/>
  <c r="AF647" i="2" s="1"/>
  <c r="AE647" i="2" a="1"/>
  <c r="AE647" i="2" s="1"/>
  <c r="AD647" i="2" a="1"/>
  <c r="AD647" i="2" s="1"/>
  <c r="AC647" i="2" a="1"/>
  <c r="AC647" i="2" s="1"/>
  <c r="Y647" i="2" a="1"/>
  <c r="Y647" i="2" s="1"/>
  <c r="AG644" i="2" a="1"/>
  <c r="AG644" i="2" s="1"/>
  <c r="AG646" i="2" a="1"/>
  <c r="AG646" i="2" s="1"/>
  <c r="AB645" i="2" a="1"/>
  <c r="AB645" i="2" s="1"/>
  <c r="AE643" i="2" a="1"/>
  <c r="AE643" i="2" s="1"/>
  <c r="AD643" i="2" a="1"/>
  <c r="AD643" i="2" s="1"/>
  <c r="W646" i="2" a="1"/>
  <c r="W646" i="2" s="1"/>
  <c r="AA645" i="2" a="1"/>
  <c r="AA645" i="2" s="1"/>
  <c r="AC645" i="2" a="1"/>
  <c r="AC645" i="2" s="1"/>
  <c r="AC644" i="2" a="1"/>
  <c r="AC644" i="2" s="1"/>
  <c r="AG643" i="2" a="1"/>
  <c r="AG643" i="2" s="1"/>
  <c r="AB647" i="2" a="1"/>
  <c r="AB647" i="2" s="1"/>
  <c r="AA647" i="2" a="1"/>
  <c r="AA647" i="2" s="1"/>
  <c r="X647" i="2" a="1"/>
  <c r="X647" i="2" s="1"/>
  <c r="AC646" i="2" a="1"/>
  <c r="AC646" i="2" s="1"/>
  <c r="AD644" i="2" a="1"/>
  <c r="AD644" i="2" s="1"/>
  <c r="AI645" i="2" a="1"/>
  <c r="AI645" i="2" s="1"/>
  <c r="AB644" i="2" a="1"/>
  <c r="AB644" i="2" s="1"/>
  <c r="Z647" i="2" a="1"/>
  <c r="Z647" i="2" s="1"/>
  <c r="W647" i="2" a="1"/>
  <c r="W647" i="2" s="1"/>
  <c r="AJ646" i="2" a="1"/>
  <c r="AJ646" i="2" s="1"/>
  <c r="AH645" i="2" a="1"/>
  <c r="AH645" i="2" s="1"/>
  <c r="AH646" i="2" a="1"/>
  <c r="AH646" i="2" s="1"/>
  <c r="X645" i="2" a="1"/>
  <c r="X645" i="2" s="1"/>
  <c r="AG640" i="2" a="1"/>
  <c r="AG640" i="2" s="1"/>
  <c r="Z643" i="2" a="1"/>
  <c r="Z643" i="2" s="1"/>
  <c r="X643" i="2" a="1"/>
  <c r="X643" i="2" s="1"/>
  <c r="W642" i="2" a="1"/>
  <c r="W642" i="2" s="1"/>
  <c r="AF641" i="2" a="1"/>
  <c r="AF641" i="2" s="1"/>
  <c r="AG642" i="2" a="1"/>
  <c r="AG642" i="2" s="1"/>
  <c r="AH641" i="2" a="1"/>
  <c r="AH641" i="2" s="1"/>
  <c r="AB640" i="2" a="1"/>
  <c r="AB640" i="2" s="1"/>
  <c r="Y640" i="2" a="1"/>
  <c r="Y640" i="2" s="1"/>
  <c r="AI642" i="2" a="1"/>
  <c r="AI642" i="2" s="1"/>
  <c r="AE642" i="2" a="1"/>
  <c r="AE642" i="2" s="1"/>
  <c r="AA640" i="2" a="1"/>
  <c r="AA640" i="2" s="1"/>
  <c r="AC642" i="2" a="1"/>
  <c r="AC642" i="2" s="1"/>
  <c r="AB642" i="2" a="1"/>
  <c r="AB642" i="2" s="1"/>
  <c r="AA642" i="2" a="1"/>
  <c r="AA642" i="2" s="1"/>
  <c r="Z642" i="2" a="1"/>
  <c r="Z642" i="2" s="1"/>
  <c r="Y642" i="2" a="1"/>
  <c r="Y642" i="2" s="1"/>
  <c r="AJ641" i="2" a="1"/>
  <c r="AJ641" i="2" s="1"/>
  <c r="AD641" i="2" a="1"/>
  <c r="AD641" i="2" s="1"/>
  <c r="AE640" i="2" a="1"/>
  <c r="AE640" i="2" s="1"/>
  <c r="Y641" i="2" a="1"/>
  <c r="Y641" i="2" s="1"/>
  <c r="AG639" i="2" a="1"/>
  <c r="AG639" i="2" s="1"/>
  <c r="AE639" i="2" a="1"/>
  <c r="AE639" i="2" s="1"/>
  <c r="X641" i="2" a="1"/>
  <c r="X641" i="2" s="1"/>
  <c r="AD639" i="2" a="1"/>
  <c r="AD639" i="2" s="1"/>
  <c r="Y639" i="2" a="1"/>
  <c r="Y639" i="2" s="1"/>
  <c r="AI638" i="2" a="1"/>
  <c r="AI638" i="2" s="1"/>
  <c r="Z639" i="2" a="1"/>
  <c r="Z639" i="2" s="1"/>
  <c r="AJ640" i="2" a="1"/>
  <c r="AJ640" i="2" s="1"/>
  <c r="AD640" i="2" a="1"/>
  <c r="AD640" i="2" s="1"/>
  <c r="W640" i="2" a="1"/>
  <c r="W640" i="2" s="1"/>
  <c r="AF639" i="2" a="1"/>
  <c r="AF639" i="2" s="1"/>
  <c r="AH639" i="2" a="1"/>
  <c r="AH639" i="2" s="1"/>
  <c r="AF642" i="2" a="1"/>
  <c r="AF642" i="2" s="1"/>
  <c r="AD642" i="2" a="1"/>
  <c r="AD642" i="2" s="1"/>
  <c r="AA641" i="2" a="1"/>
  <c r="AA641" i="2" s="1"/>
  <c r="Z641" i="2" a="1"/>
  <c r="Z641" i="2" s="1"/>
  <c r="AJ638" i="2" a="1"/>
  <c r="AJ638" i="2" s="1"/>
  <c r="AI640" i="2" a="1"/>
  <c r="AI640" i="2" s="1"/>
  <c r="X642" i="2" a="1"/>
  <c r="X642" i="2" s="1"/>
  <c r="AI641" i="2" a="1"/>
  <c r="AI641" i="2" s="1"/>
  <c r="AC641" i="2" a="1"/>
  <c r="AC641" i="2" s="1"/>
  <c r="X640" i="2" a="1"/>
  <c r="X640" i="2" s="1"/>
  <c r="W639" i="2" a="1"/>
  <c r="W639" i="2" s="1"/>
  <c r="AJ639" i="2" a="1"/>
  <c r="AJ639" i="2" s="1"/>
  <c r="X639" i="2" a="1"/>
  <c r="X639" i="2" s="1"/>
  <c r="AC639" i="2" a="1"/>
  <c r="AC639" i="2" s="1"/>
  <c r="AI639" i="2" a="1"/>
  <c r="AI639" i="2" s="1"/>
  <c r="AJ686" i="2" a="1"/>
  <c r="AJ686" i="2" s="1"/>
  <c r="AE641" i="2" a="1"/>
  <c r="AE641" i="2" s="1"/>
  <c r="AB641" i="2" a="1"/>
  <c r="AB641" i="2" s="1"/>
  <c r="AC640" i="2" a="1"/>
  <c r="AC640" i="2" s="1"/>
  <c r="AB639" i="2" a="1"/>
  <c r="AB639" i="2" s="1"/>
  <c r="Z640" i="2" a="1"/>
  <c r="Z640" i="2" s="1"/>
  <c r="AA639" i="2" a="1"/>
  <c r="AA639" i="2" s="1"/>
  <c r="AH638" i="2" a="1"/>
  <c r="AH638" i="2" s="1"/>
  <c r="Y643" i="2" a="1"/>
  <c r="Y643" i="2" s="1"/>
  <c r="AJ642" i="2" a="1"/>
  <c r="AJ642" i="2" s="1"/>
  <c r="W643" i="2" a="1"/>
  <c r="W643" i="2" s="1"/>
  <c r="W641" i="2" a="1"/>
  <c r="W641" i="2" s="1"/>
  <c r="AH642" i="2" a="1"/>
  <c r="AH642" i="2" s="1"/>
  <c r="AG641" i="2" a="1"/>
  <c r="AG641" i="2" s="1"/>
  <c r="AH640" i="2" a="1"/>
  <c r="AH640" i="2" s="1"/>
  <c r="AF640" i="2" a="1"/>
  <c r="AF640" i="2" s="1"/>
  <c r="AI635" i="2" a="1"/>
  <c r="AI635" i="2" s="1"/>
  <c r="AJ637" i="2" a="1"/>
  <c r="AJ637" i="2" s="1"/>
  <c r="AI637" i="2" a="1"/>
  <c r="AI637" i="2" s="1"/>
  <c r="AC636" i="2" a="1"/>
  <c r="AC636" i="2" s="1"/>
  <c r="AH637" i="2" a="1"/>
  <c r="AH637" i="2" s="1"/>
  <c r="AF637" i="2" a="1"/>
  <c r="AF637" i="2" s="1"/>
  <c r="W637" i="2" a="1"/>
  <c r="W637" i="2" s="1"/>
  <c r="Z636" i="2" a="1"/>
  <c r="Z636" i="2" s="1"/>
  <c r="AA635" i="2" a="1"/>
  <c r="AA635" i="2" s="1"/>
  <c r="W636" i="2" a="1"/>
  <c r="W636" i="2" s="1"/>
  <c r="AD635" i="2" a="1"/>
  <c r="AD635" i="2" s="1"/>
  <c r="AG637" i="2" a="1"/>
  <c r="AG637" i="2" s="1"/>
  <c r="AE636" i="2" a="1"/>
  <c r="AE636" i="2" s="1"/>
  <c r="AG635" i="2" a="1"/>
  <c r="AG635" i="2" s="1"/>
  <c r="AD634" i="2" a="1"/>
  <c r="AD634" i="2" s="1"/>
  <c r="AA637" i="2" a="1"/>
  <c r="AA637" i="2" s="1"/>
  <c r="Z637" i="2" a="1"/>
  <c r="Z637" i="2" s="1"/>
  <c r="AB634" i="2" a="1"/>
  <c r="AB634" i="2" s="1"/>
  <c r="AB636" i="2" a="1"/>
  <c r="AB636" i="2" s="1"/>
  <c r="Z638" i="2" a="1"/>
  <c r="Z638" i="2" s="1"/>
  <c r="X638" i="2" a="1"/>
  <c r="X638" i="2" s="1"/>
  <c r="Y636" i="2" a="1"/>
  <c r="Y636" i="2" s="1"/>
  <c r="AE637" i="2" a="1"/>
  <c r="AE637" i="2" s="1"/>
  <c r="AD637" i="2" a="1"/>
  <c r="AD637" i="2" s="1"/>
  <c r="AC637" i="2" a="1"/>
  <c r="AC637" i="2" s="1"/>
  <c r="AG636" i="2" a="1"/>
  <c r="AG636" i="2" s="1"/>
  <c r="W635" i="2" a="1"/>
  <c r="W635" i="2" s="1"/>
  <c r="AJ635" i="2" a="1"/>
  <c r="AJ635" i="2" s="1"/>
  <c r="AF636" i="2" a="1"/>
  <c r="AF636" i="2" s="1"/>
  <c r="AJ634" i="2" a="1"/>
  <c r="AJ634" i="2" s="1"/>
  <c r="AB637" i="2" a="1"/>
  <c r="AB637" i="2" s="1"/>
  <c r="AH634" i="2" a="1"/>
  <c r="AH634" i="2" s="1"/>
  <c r="AI636" i="2" a="1"/>
  <c r="AI636" i="2" s="1"/>
  <c r="AH636" i="2" a="1"/>
  <c r="AH636" i="2" s="1"/>
  <c r="AH635" i="2" a="1"/>
  <c r="AH635" i="2" s="1"/>
  <c r="AD636" i="2" a="1"/>
  <c r="AD636" i="2" s="1"/>
  <c r="AE634" i="2" a="1"/>
  <c r="AE634" i="2" s="1"/>
  <c r="X636" i="2" a="1"/>
  <c r="X636" i="2" s="1"/>
  <c r="AF635" i="2" a="1"/>
  <c r="AF635" i="2" s="1"/>
  <c r="AE635" i="2" a="1"/>
  <c r="AE635" i="2" s="1"/>
  <c r="AB635" i="2" a="1"/>
  <c r="AB635" i="2" s="1"/>
  <c r="AA634" i="2" a="1"/>
  <c r="AA634" i="2" s="1"/>
  <c r="AI634" i="2" a="1"/>
  <c r="AI634" i="2" s="1"/>
  <c r="AC634" i="2" a="1"/>
  <c r="AC634" i="2" s="1"/>
  <c r="AC635" i="2" a="1"/>
  <c r="AC635" i="2" s="1"/>
  <c r="X635" i="2" a="1"/>
  <c r="X635" i="2" s="1"/>
  <c r="AA636" i="2" a="1"/>
  <c r="AA636" i="2" s="1"/>
  <c r="Y635" i="2" a="1"/>
  <c r="Y635" i="2" s="1"/>
  <c r="X688" i="2" a="1"/>
  <c r="X688" i="2" s="1"/>
  <c r="AG638" i="2" a="1"/>
  <c r="AG638" i="2" s="1"/>
  <c r="AF638" i="2" a="1"/>
  <c r="AF638" i="2" s="1"/>
  <c r="AE638" i="2" a="1"/>
  <c r="AE638" i="2" s="1"/>
  <c r="AC638" i="2" a="1"/>
  <c r="AC638" i="2" s="1"/>
  <c r="AF634" i="2" a="1"/>
  <c r="AF634" i="2" s="1"/>
  <c r="AD638" i="2" a="1"/>
  <c r="AD638" i="2" s="1"/>
  <c r="Y637" i="2" a="1"/>
  <c r="Y637" i="2" s="1"/>
  <c r="AG634" i="2" a="1"/>
  <c r="AG634" i="2" s="1"/>
  <c r="AB638" i="2" a="1"/>
  <c r="AB638" i="2" s="1"/>
  <c r="AJ636" i="2" a="1"/>
  <c r="AJ636" i="2" s="1"/>
  <c r="Z635" i="2" a="1"/>
  <c r="Z635" i="2" s="1"/>
  <c r="AA638" i="2" a="1"/>
  <c r="AA638" i="2" s="1"/>
  <c r="X637" i="2" a="1"/>
  <c r="X637" i="2" s="1"/>
  <c r="Y638" i="2" a="1"/>
  <c r="Y638" i="2" s="1"/>
  <c r="W638" i="2" a="1"/>
  <c r="W638" i="2" s="1"/>
  <c r="AD633" i="2" a="1"/>
  <c r="AD633" i="2" s="1"/>
  <c r="AB633" i="2" a="1"/>
  <c r="AB633" i="2" s="1"/>
  <c r="AA633" i="2" a="1"/>
  <c r="AA633" i="2" s="1"/>
  <c r="Y633" i="2" a="1"/>
  <c r="Y633" i="2" s="1"/>
  <c r="AI632" i="2" a="1"/>
  <c r="AI632" i="2" s="1"/>
  <c r="AJ630" i="2" a="1"/>
  <c r="AJ630" i="2" s="1"/>
  <c r="AH632" i="2" a="1"/>
  <c r="AH632" i="2" s="1"/>
  <c r="W632" i="2" a="1"/>
  <c r="W632" i="2" s="1"/>
  <c r="AJ631" i="2" a="1"/>
  <c r="AJ631" i="2" s="1"/>
  <c r="AC631" i="2" a="1"/>
  <c r="AC631" i="2" s="1"/>
  <c r="AG632" i="2" a="1"/>
  <c r="AG632" i="2" s="1"/>
  <c r="AH631" i="2" a="1"/>
  <c r="AH631" i="2" s="1"/>
  <c r="AB632" i="2" a="1"/>
  <c r="AB632" i="2" s="1"/>
  <c r="Y632" i="2" a="1"/>
  <c r="Y632" i="2" s="1"/>
  <c r="AG631" i="2" a="1"/>
  <c r="AG631" i="2" s="1"/>
  <c r="AD631" i="2" a="1"/>
  <c r="AD631" i="2" s="1"/>
  <c r="AG630" i="2" a="1"/>
  <c r="AG630" i="2" s="1"/>
  <c r="AB630" i="2" a="1"/>
  <c r="AB630" i="2" s="1"/>
  <c r="AI630" i="2" a="1"/>
  <c r="AI630" i="2" s="1"/>
  <c r="AH630" i="2" a="1"/>
  <c r="AH630" i="2" s="1"/>
  <c r="AE632" i="2" a="1"/>
  <c r="AE632" i="2" s="1"/>
  <c r="AJ629" i="2" a="1"/>
  <c r="AJ629" i="2" s="1"/>
  <c r="AF631" i="2" a="1"/>
  <c r="AF631" i="2" s="1"/>
  <c r="AA631" i="2" a="1"/>
  <c r="AA631" i="2" s="1"/>
  <c r="X632" i="2" a="1"/>
  <c r="X632" i="2" s="1"/>
  <c r="Z632" i="2" a="1"/>
  <c r="Z632" i="2" s="1"/>
  <c r="AC630" i="2" a="1"/>
  <c r="AC630" i="2" s="1"/>
  <c r="W631" i="2" a="1"/>
  <c r="W631" i="2" s="1"/>
  <c r="AA632" i="2" a="1"/>
  <c r="AA632" i="2" s="1"/>
  <c r="Z631" i="2" a="1"/>
  <c r="Z631" i="2" s="1"/>
  <c r="Z630" i="2" a="1"/>
  <c r="Z630" i="2" s="1"/>
  <c r="AI629" i="2" a="1"/>
  <c r="AI629" i="2" s="1"/>
  <c r="W630" i="2" a="1"/>
  <c r="W630" i="2" s="1"/>
  <c r="AB631" i="2" a="1"/>
  <c r="AB631" i="2" s="1"/>
  <c r="AA630" i="2" a="1"/>
  <c r="AA630" i="2" s="1"/>
  <c r="AC633" i="2" a="1"/>
  <c r="AC633" i="2" s="1"/>
  <c r="X633" i="2" a="1"/>
  <c r="X633" i="2" s="1"/>
  <c r="AE631" i="2" a="1"/>
  <c r="AE631" i="2" s="1"/>
  <c r="Z633" i="2" a="1"/>
  <c r="Z633" i="2" s="1"/>
  <c r="W633" i="2" a="1"/>
  <c r="W633" i="2" s="1"/>
  <c r="AF632" i="2" a="1"/>
  <c r="AF632" i="2" s="1"/>
  <c r="AE630" i="2" a="1"/>
  <c r="AE630" i="2" s="1"/>
  <c r="AI631" i="2" a="1"/>
  <c r="AI631" i="2" s="1"/>
  <c r="Y631" i="2" a="1"/>
  <c r="Y631" i="2" s="1"/>
  <c r="Y630" i="2" a="1"/>
  <c r="Y630" i="2" s="1"/>
  <c r="AH629" i="2" a="1"/>
  <c r="AH629" i="2" s="1"/>
  <c r="AD630" i="2" a="1"/>
  <c r="AD630" i="2" s="1"/>
  <c r="X630" i="2" a="1"/>
  <c r="X630" i="2" s="1"/>
  <c r="AF630" i="2" a="1"/>
  <c r="AF630" i="2" s="1"/>
  <c r="AI686" i="2" a="1"/>
  <c r="AI686" i="2" s="1"/>
  <c r="AH633" i="2" a="1"/>
  <c r="AH633" i="2" s="1"/>
  <c r="Z634" i="2" a="1"/>
  <c r="Z634" i="2" s="1"/>
  <c r="Y634" i="2" a="1"/>
  <c r="Y634" i="2" s="1"/>
  <c r="AC632" i="2" a="1"/>
  <c r="AC632" i="2" s="1"/>
  <c r="X631" i="2" a="1"/>
  <c r="X631" i="2" s="1"/>
  <c r="X634" i="2" a="1"/>
  <c r="X634" i="2" s="1"/>
  <c r="AD632" i="2" a="1"/>
  <c r="AD632" i="2" s="1"/>
  <c r="W634" i="2" a="1"/>
  <c r="W634" i="2" s="1"/>
  <c r="AJ633" i="2" a="1"/>
  <c r="AJ633" i="2" s="1"/>
  <c r="AI633" i="2" a="1"/>
  <c r="AI633" i="2" s="1"/>
  <c r="AG633" i="2" a="1"/>
  <c r="AG633" i="2" s="1"/>
  <c r="AJ632" i="2" a="1"/>
  <c r="AJ632" i="2" s="1"/>
  <c r="AF633" i="2" a="1"/>
  <c r="AF633" i="2" s="1"/>
  <c r="AE633" i="2" a="1"/>
  <c r="AE633" i="2" s="1"/>
  <c r="X628" i="2" a="1"/>
  <c r="X628" i="2" s="1"/>
  <c r="AB629" i="2" a="1"/>
  <c r="AB629" i="2" s="1"/>
  <c r="AA629" i="2" a="1"/>
  <c r="AA629" i="2" s="1"/>
  <c r="Z629" i="2" a="1"/>
  <c r="Z629" i="2" s="1"/>
  <c r="Y629" i="2" a="1"/>
  <c r="Y629" i="2" s="1"/>
  <c r="X629" i="2" a="1"/>
  <c r="X629" i="2" s="1"/>
  <c r="AJ628" i="2" a="1"/>
  <c r="AJ628" i="2" s="1"/>
  <c r="AI628" i="2" a="1"/>
  <c r="AI628" i="2" s="1"/>
  <c r="AA627" i="2" a="1"/>
  <c r="AA627" i="2" s="1"/>
  <c r="AE625" i="2" a="1"/>
  <c r="AE625" i="2" s="1"/>
  <c r="AF628" i="2" a="1"/>
  <c r="AF628" i="2" s="1"/>
  <c r="AD626" i="2" a="1"/>
  <c r="AD626" i="2" s="1"/>
  <c r="AA626" i="2" a="1"/>
  <c r="AA626" i="2" s="1"/>
  <c r="Y626" i="2" a="1"/>
  <c r="Y626" i="2" s="1"/>
  <c r="Z626" i="2" a="1"/>
  <c r="Z626" i="2" s="1"/>
  <c r="AJ625" i="2" a="1"/>
  <c r="AJ625" i="2" s="1"/>
  <c r="AG625" i="2" a="1"/>
  <c r="AG625" i="2" s="1"/>
  <c r="AJ626" i="2" a="1"/>
  <c r="AJ626" i="2" s="1"/>
  <c r="AJ627" i="2" a="1"/>
  <c r="AJ627" i="2" s="1"/>
  <c r="AC625" i="2" a="1"/>
  <c r="AC625" i="2" s="1"/>
  <c r="AC627" i="2" a="1"/>
  <c r="AC627" i="2" s="1"/>
  <c r="W626" i="2" a="1"/>
  <c r="W626" i="2" s="1"/>
  <c r="AC628" i="2" a="1"/>
  <c r="AC628" i="2" s="1"/>
  <c r="AB628" i="2" a="1"/>
  <c r="AB628" i="2" s="1"/>
  <c r="AF625" i="2" a="1"/>
  <c r="AF625" i="2" s="1"/>
  <c r="AI627" i="2" a="1"/>
  <c r="AI627" i="2" s="1"/>
  <c r="W627" i="2" a="1"/>
  <c r="W627" i="2" s="1"/>
  <c r="AH625" i="2" a="1"/>
  <c r="AH625" i="2" s="1"/>
  <c r="AC626" i="2" a="1"/>
  <c r="AC626" i="2" s="1"/>
  <c r="AH626" i="2" a="1"/>
  <c r="AH626" i="2" s="1"/>
  <c r="AI625" i="2" a="1"/>
  <c r="AI625" i="2" s="1"/>
  <c r="AB625" i="2" a="1"/>
  <c r="AB625" i="2" s="1"/>
  <c r="AA628" i="2" a="1"/>
  <c r="AA628" i="2" s="1"/>
  <c r="Z628" i="2" a="1"/>
  <c r="Z628" i="2" s="1"/>
  <c r="AI626" i="2" a="1"/>
  <c r="AI626" i="2" s="1"/>
  <c r="Y628" i="2" a="1"/>
  <c r="Y628" i="2" s="1"/>
  <c r="AH627" i="2" a="1"/>
  <c r="AH627" i="2" s="1"/>
  <c r="AB627" i="2" a="1"/>
  <c r="AB627" i="2" s="1"/>
  <c r="AG627" i="2" a="1"/>
  <c r="AG627" i="2" s="1"/>
  <c r="AF627" i="2" a="1"/>
  <c r="AF627" i="2" s="1"/>
  <c r="X626" i="2" a="1"/>
  <c r="X626" i="2" s="1"/>
  <c r="Y627" i="2" a="1"/>
  <c r="Y627" i="2" s="1"/>
  <c r="AE627" i="2" a="1"/>
  <c r="AE627" i="2" s="1"/>
  <c r="AF626" i="2" a="1"/>
  <c r="AF626" i="2" s="1"/>
  <c r="Z627" i="2" a="1"/>
  <c r="Z627" i="2" s="1"/>
  <c r="AA625" i="2" a="1"/>
  <c r="AA625" i="2" s="1"/>
  <c r="X627" i="2" a="1"/>
  <c r="X627" i="2" s="1"/>
  <c r="AE626" i="2" a="1"/>
  <c r="AE626" i="2" s="1"/>
  <c r="AG626" i="2" a="1"/>
  <c r="AG626" i="2" s="1"/>
  <c r="AF687" i="2" a="1"/>
  <c r="AF687" i="2" s="1"/>
  <c r="AG629" i="2" a="1"/>
  <c r="AG629" i="2" s="1"/>
  <c r="AF629" i="2" a="1"/>
  <c r="AF629" i="2" s="1"/>
  <c r="AE629" i="2" a="1"/>
  <c r="AE629" i="2" s="1"/>
  <c r="AD629" i="2" a="1"/>
  <c r="AD629" i="2" s="1"/>
  <c r="AC629" i="2" a="1"/>
  <c r="AC629" i="2" s="1"/>
  <c r="W629" i="2" a="1"/>
  <c r="W629" i="2" s="1"/>
  <c r="AH628" i="2" a="1"/>
  <c r="AH628" i="2" s="1"/>
  <c r="AB626" i="2" a="1"/>
  <c r="AB626" i="2" s="1"/>
  <c r="AD627" i="2" a="1"/>
  <c r="AD627" i="2" s="1"/>
  <c r="AG628" i="2" a="1"/>
  <c r="AG628" i="2" s="1"/>
  <c r="AE628" i="2" a="1"/>
  <c r="AE628" i="2" s="1"/>
  <c r="AD628" i="2" a="1"/>
  <c r="AD628" i="2" s="1"/>
  <c r="W628" i="2" a="1"/>
  <c r="W628" i="2" s="1"/>
  <c r="AD625" i="2" a="1"/>
  <c r="AD625" i="2" s="1"/>
  <c r="Y625" i="2" a="1"/>
  <c r="Y625" i="2" s="1"/>
  <c r="X625" i="2" a="1"/>
  <c r="X625" i="2" s="1"/>
  <c r="W625" i="2" a="1"/>
  <c r="W625" i="2" s="1"/>
  <c r="AJ624" i="2" a="1"/>
  <c r="AJ624" i="2" s="1"/>
  <c r="AI624" i="2" a="1"/>
  <c r="AI624" i="2" s="1"/>
  <c r="AE624" i="2" a="1"/>
  <c r="AE624" i="2" s="1"/>
  <c r="Z623" i="2" a="1"/>
  <c r="Z623" i="2" s="1"/>
  <c r="X623" i="2" a="1"/>
  <c r="X623" i="2" s="1"/>
  <c r="AC622" i="2" a="1"/>
  <c r="AC622" i="2" s="1"/>
  <c r="AC621" i="2" a="1"/>
  <c r="AC621" i="2" s="1"/>
  <c r="AB624" i="2" a="1"/>
  <c r="AB624" i="2" s="1"/>
  <c r="AH624" i="2" a="1"/>
  <c r="AH624" i="2" s="1"/>
  <c r="Y621" i="2" a="1"/>
  <c r="Y621" i="2" s="1"/>
  <c r="AE623" i="2" a="1"/>
  <c r="AE623" i="2" s="1"/>
  <c r="AF624" i="2" a="1"/>
  <c r="AF624" i="2" s="1"/>
  <c r="W621" i="2" a="1"/>
  <c r="W621" i="2" s="1"/>
  <c r="AE621" i="2" a="1"/>
  <c r="AE621" i="2" s="1"/>
  <c r="W623" i="2" a="1"/>
  <c r="W623" i="2" s="1"/>
  <c r="AA624" i="2" a="1"/>
  <c r="AA624" i="2" s="1"/>
  <c r="Z624" i="2" a="1"/>
  <c r="Z624" i="2" s="1"/>
  <c r="AJ623" i="2" a="1"/>
  <c r="AJ623" i="2" s="1"/>
  <c r="AG623" i="2" a="1"/>
  <c r="AG623" i="2" s="1"/>
  <c r="AB623" i="2" a="1"/>
  <c r="AB623" i="2" s="1"/>
  <c r="AD622" i="2" a="1"/>
  <c r="AD622" i="2" s="1"/>
  <c r="AD621" i="2" a="1"/>
  <c r="AD621" i="2" s="1"/>
  <c r="X622" i="2" a="1"/>
  <c r="X622" i="2" s="1"/>
  <c r="AJ620" i="2" a="1"/>
  <c r="AJ620" i="2" s="1"/>
  <c r="AF621" i="2" a="1"/>
  <c r="AF621" i="2" s="1"/>
  <c r="AJ622" i="2" a="1"/>
  <c r="AJ622" i="2" s="1"/>
  <c r="AG622" i="2" a="1"/>
  <c r="AG622" i="2" s="1"/>
  <c r="AH621" i="2" a="1"/>
  <c r="AH621" i="2" s="1"/>
  <c r="AG621" i="2" a="1"/>
  <c r="AG621" i="2" s="1"/>
  <c r="AD624" i="2" a="1"/>
  <c r="AD624" i="2" s="1"/>
  <c r="AC624" i="2" a="1"/>
  <c r="AC624" i="2" s="1"/>
  <c r="W624" i="2" a="1"/>
  <c r="W624" i="2" s="1"/>
  <c r="AB621" i="2" a="1"/>
  <c r="AB621" i="2" s="1"/>
  <c r="AA621" i="2" a="1"/>
  <c r="AA621" i="2" s="1"/>
  <c r="AC623" i="2" a="1"/>
  <c r="AC623" i="2" s="1"/>
  <c r="X621" i="2" a="1"/>
  <c r="X621" i="2" s="1"/>
  <c r="Y624" i="2" a="1"/>
  <c r="Y624" i="2" s="1"/>
  <c r="Y622" i="2" a="1"/>
  <c r="Y622" i="2" s="1"/>
  <c r="AI621" i="2" a="1"/>
  <c r="AI621" i="2" s="1"/>
  <c r="X624" i="2" a="1"/>
  <c r="X624" i="2" s="1"/>
  <c r="AD623" i="2" a="1"/>
  <c r="AD623" i="2" s="1"/>
  <c r="Z621" i="2" a="1"/>
  <c r="Z621" i="2" s="1"/>
  <c r="Z622" i="2" a="1"/>
  <c r="Z622" i="2" s="1"/>
  <c r="Y623" i="2" a="1"/>
  <c r="Y623" i="2" s="1"/>
  <c r="AA622" i="2" a="1"/>
  <c r="AA622" i="2" s="1"/>
  <c r="AH620" i="2" a="1"/>
  <c r="AH620" i="2" s="1"/>
  <c r="AF623" i="2" a="1"/>
  <c r="AF623" i="2" s="1"/>
  <c r="AF622" i="2" a="1"/>
  <c r="AF622" i="2" s="1"/>
  <c r="AI623" i="2" a="1"/>
  <c r="AI623" i="2" s="1"/>
  <c r="AE622" i="2" a="1"/>
  <c r="AE622" i="2" s="1"/>
  <c r="AJ621" i="2" a="1"/>
  <c r="AJ621" i="2" s="1"/>
  <c r="AA623" i="2" a="1"/>
  <c r="AA623" i="2" s="1"/>
  <c r="W622" i="2" a="1"/>
  <c r="W622" i="2" s="1"/>
  <c r="AH686" i="2" a="1"/>
  <c r="AH686" i="2" s="1"/>
  <c r="AG624" i="2" a="1"/>
  <c r="AG624" i="2" s="1"/>
  <c r="AH623" i="2" a="1"/>
  <c r="AH623" i="2" s="1"/>
  <c r="AB622" i="2" a="1"/>
  <c r="AB622" i="2" s="1"/>
  <c r="AH622" i="2" a="1"/>
  <c r="AH622" i="2" s="1"/>
  <c r="Z625" i="2" a="1"/>
  <c r="Z625" i="2" s="1"/>
  <c r="AI622" i="2" a="1"/>
  <c r="AI622" i="2" s="1"/>
  <c r="AI620" i="2" a="1"/>
  <c r="AI620" i="2" s="1"/>
  <c r="AJ618" i="2" a="1"/>
  <c r="AJ618" i="2" s="1"/>
  <c r="X620" i="2" a="1"/>
  <c r="X620" i="2" s="1"/>
  <c r="AC619" i="2" a="1"/>
  <c r="AC619" i="2" s="1"/>
  <c r="Y617" i="2" a="1"/>
  <c r="Y617" i="2" s="1"/>
  <c r="AB617" i="2" a="1"/>
  <c r="AB617" i="2" s="1"/>
  <c r="Z619" i="2" a="1"/>
  <c r="Z619" i="2" s="1"/>
  <c r="X617" i="2" a="1"/>
  <c r="X617" i="2" s="1"/>
  <c r="X619" i="2" a="1"/>
  <c r="X619" i="2" s="1"/>
  <c r="AG617" i="2" a="1"/>
  <c r="AG617" i="2" s="1"/>
  <c r="AF618" i="2" a="1"/>
  <c r="AF618" i="2" s="1"/>
  <c r="W620" i="2" a="1"/>
  <c r="W620" i="2" s="1"/>
  <c r="AB619" i="2" a="1"/>
  <c r="AB619" i="2" s="1"/>
  <c r="AJ619" i="2" a="1"/>
  <c r="AJ619" i="2" s="1"/>
  <c r="AJ616" i="2" a="1"/>
  <c r="AJ616" i="2" s="1"/>
  <c r="AG616" i="2" a="1"/>
  <c r="AG616" i="2" s="1"/>
  <c r="AB616" i="2" a="1"/>
  <c r="AB616" i="2" s="1"/>
  <c r="AA616" i="2" a="1"/>
  <c r="AA616" i="2" s="1"/>
  <c r="AI619" i="2" a="1"/>
  <c r="AI619" i="2" s="1"/>
  <c r="AH619" i="2" a="1"/>
  <c r="AH619" i="2" s="1"/>
  <c r="AJ617" i="2" a="1"/>
  <c r="AJ617" i="2" s="1"/>
  <c r="AE619" i="2" a="1"/>
  <c r="AE619" i="2" s="1"/>
  <c r="W619" i="2" a="1"/>
  <c r="W619" i="2" s="1"/>
  <c r="AA617" i="2" a="1"/>
  <c r="AA617" i="2" s="1"/>
  <c r="AC618" i="2" a="1"/>
  <c r="AC618" i="2" s="1"/>
  <c r="AF616" i="2" a="1"/>
  <c r="AF616" i="2" s="1"/>
  <c r="Z618" i="2" a="1"/>
  <c r="Z618" i="2" s="1"/>
  <c r="AH617" i="2" a="1"/>
  <c r="AH617" i="2" s="1"/>
  <c r="AH616" i="2" a="1"/>
  <c r="AH616" i="2" s="1"/>
  <c r="AH618" i="2" a="1"/>
  <c r="AH618" i="2" s="1"/>
  <c r="AG618" i="2" a="1"/>
  <c r="AG618" i="2" s="1"/>
  <c r="AI616" i="2" a="1"/>
  <c r="AI616" i="2" s="1"/>
  <c r="AC616" i="2" a="1"/>
  <c r="AC616" i="2" s="1"/>
  <c r="AG620" i="2" a="1"/>
  <c r="AG620" i="2" s="1"/>
  <c r="Y619" i="2" a="1"/>
  <c r="Y619" i="2" s="1"/>
  <c r="AI618" i="2" a="1"/>
  <c r="AI618" i="2" s="1"/>
  <c r="W618" i="2" a="1"/>
  <c r="W618" i="2" s="1"/>
  <c r="Z617" i="2" a="1"/>
  <c r="Z617" i="2" s="1"/>
  <c r="W617" i="2" a="1"/>
  <c r="W617" i="2" s="1"/>
  <c r="AA618" i="2" a="1"/>
  <c r="AA618" i="2" s="1"/>
  <c r="AF620" i="2" a="1"/>
  <c r="AF620" i="2" s="1"/>
  <c r="AD618" i="2" a="1"/>
  <c r="AD618" i="2" s="1"/>
  <c r="AD616" i="2" a="1"/>
  <c r="AD616" i="2" s="1"/>
  <c r="AA620" i="2" a="1"/>
  <c r="AA620" i="2" s="1"/>
  <c r="X618" i="2" a="1"/>
  <c r="X618" i="2" s="1"/>
  <c r="Y618" i="2" a="1"/>
  <c r="Y618" i="2" s="1"/>
  <c r="AD617" i="2" a="1"/>
  <c r="AD617" i="2" s="1"/>
  <c r="AB620" i="2" a="1"/>
  <c r="AB620" i="2" s="1"/>
  <c r="AE617" i="2" a="1"/>
  <c r="AE617" i="2" s="1"/>
  <c r="AB688" i="2" a="1"/>
  <c r="AB688" i="2" s="1"/>
  <c r="AE620" i="2" a="1"/>
  <c r="AE620" i="2" s="1"/>
  <c r="AD620" i="2" a="1"/>
  <c r="AD620" i="2" s="1"/>
  <c r="AD619" i="2" a="1"/>
  <c r="AD619" i="2" s="1"/>
  <c r="AI617" i="2" a="1"/>
  <c r="AI617" i="2" s="1"/>
  <c r="AE616" i="2" a="1"/>
  <c r="AE616" i="2" s="1"/>
  <c r="AA619" i="2" a="1"/>
  <c r="AA619" i="2" s="1"/>
  <c r="AB618" i="2" a="1"/>
  <c r="AB618" i="2" s="1"/>
  <c r="AC620" i="2" a="1"/>
  <c r="AC620" i="2" s="1"/>
  <c r="Z620" i="2" a="1"/>
  <c r="Z620" i="2" s="1"/>
  <c r="Y620" i="2" a="1"/>
  <c r="Y620" i="2" s="1"/>
  <c r="AF617" i="2" a="1"/>
  <c r="AF617" i="2" s="1"/>
  <c r="AF619" i="2" a="1"/>
  <c r="AF619" i="2" s="1"/>
  <c r="AC617" i="2" a="1"/>
  <c r="AC617" i="2" s="1"/>
  <c r="AG619" i="2" a="1"/>
  <c r="AG619" i="2" s="1"/>
  <c r="AE618" i="2" a="1"/>
  <c r="AE618" i="2" s="1"/>
  <c r="AB613" i="2" a="1"/>
  <c r="AB613" i="2" s="1"/>
  <c r="AJ615" i="2" a="1"/>
  <c r="AJ615" i="2" s="1"/>
  <c r="Z614" i="2" a="1"/>
  <c r="Z614" i="2" s="1"/>
  <c r="AC612" i="2" a="1"/>
  <c r="AC612" i="2" s="1"/>
  <c r="AH611" i="2" a="1"/>
  <c r="AH611" i="2" s="1"/>
  <c r="AD615" i="2" a="1"/>
  <c r="AD615" i="2" s="1"/>
  <c r="AF613" i="2" a="1"/>
  <c r="AF613" i="2" s="1"/>
  <c r="AJ613" i="2" a="1"/>
  <c r="AJ613" i="2" s="1"/>
  <c r="AG614" i="2" a="1"/>
  <c r="AG614" i="2" s="1"/>
  <c r="AI615" i="2" a="1"/>
  <c r="AI615" i="2" s="1"/>
  <c r="AF614" i="2" a="1"/>
  <c r="AF614" i="2" s="1"/>
  <c r="AI613" i="2" a="1"/>
  <c r="AI613" i="2" s="1"/>
  <c r="AC615" i="2" a="1"/>
  <c r="AC615" i="2" s="1"/>
  <c r="Y614" i="2" a="1"/>
  <c r="Y614" i="2" s="1"/>
  <c r="AI612" i="2" a="1"/>
  <c r="AI612" i="2" s="1"/>
  <c r="AB615" i="2" a="1"/>
  <c r="AB615" i="2" s="1"/>
  <c r="AH612" i="2" a="1"/>
  <c r="AH612" i="2" s="1"/>
  <c r="AD614" i="2" a="1"/>
  <c r="AD614" i="2" s="1"/>
  <c r="AC614" i="2" a="1"/>
  <c r="AC614" i="2" s="1"/>
  <c r="AI611" i="2" a="1"/>
  <c r="AI611" i="2" s="1"/>
  <c r="Z615" i="2" a="1"/>
  <c r="Z615" i="2" s="1"/>
  <c r="AI614" i="2" a="1"/>
  <c r="AI614" i="2" s="1"/>
  <c r="AG612" i="2" a="1"/>
  <c r="AG612" i="2" s="1"/>
  <c r="Y615" i="2" a="1"/>
  <c r="Y615" i="2" s="1"/>
  <c r="Y616" i="2" a="1"/>
  <c r="Y616" i="2" s="1"/>
  <c r="Z612" i="2" a="1"/>
  <c r="Z612" i="2" s="1"/>
  <c r="AE615" i="2" a="1"/>
  <c r="AE615" i="2" s="1"/>
  <c r="AE613" i="2" a="1"/>
  <c r="AE613" i="2" s="1"/>
  <c r="AA615" i="2" a="1"/>
  <c r="AA615" i="2" s="1"/>
  <c r="W615" i="2" a="1"/>
  <c r="W615" i="2" s="1"/>
  <c r="Y613" i="2" a="1"/>
  <c r="Y613" i="2" s="1"/>
  <c r="AJ611" i="2" a="1"/>
  <c r="AJ611" i="2" s="1"/>
  <c r="AJ614" i="2" a="1"/>
  <c r="AJ614" i="2" s="1"/>
  <c r="AH613" i="2" a="1"/>
  <c r="AH613" i="2" s="1"/>
  <c r="AD613" i="2" a="1"/>
  <c r="AD613" i="2" s="1"/>
  <c r="AJ612" i="2" a="1"/>
  <c r="AJ612" i="2" s="1"/>
  <c r="AF612" i="2" a="1"/>
  <c r="AF612" i="2" s="1"/>
  <c r="W612" i="2" a="1"/>
  <c r="W612" i="2" s="1"/>
  <c r="AA612" i="2" a="1"/>
  <c r="AA612" i="2" s="1"/>
  <c r="AB614" i="2" a="1"/>
  <c r="AB614" i="2" s="1"/>
  <c r="W614" i="2" a="1"/>
  <c r="W614" i="2" s="1"/>
  <c r="AE612" i="2" a="1"/>
  <c r="AE612" i="2" s="1"/>
  <c r="Z613" i="2" a="1"/>
  <c r="Z613" i="2" s="1"/>
  <c r="X612" i="2" a="1"/>
  <c r="X612" i="2" s="1"/>
  <c r="AG613" i="2" a="1"/>
  <c r="AG613" i="2" s="1"/>
  <c r="Y612" i="2" a="1"/>
  <c r="Y612" i="2" s="1"/>
  <c r="AG686" i="2" a="1"/>
  <c r="AG686" i="2" s="1"/>
  <c r="Z616" i="2" a="1"/>
  <c r="Z616" i="2" s="1"/>
  <c r="AH615" i="2" a="1"/>
  <c r="AH615" i="2" s="1"/>
  <c r="X614" i="2" a="1"/>
  <c r="X614" i="2" s="1"/>
  <c r="AG615" i="2" a="1"/>
  <c r="AG615" i="2" s="1"/>
  <c r="AH614" i="2" a="1"/>
  <c r="AH614" i="2" s="1"/>
  <c r="AF615" i="2" a="1"/>
  <c r="AF615" i="2" s="1"/>
  <c r="W613" i="2" a="1"/>
  <c r="W613" i="2" s="1"/>
  <c r="AE614" i="2" a="1"/>
  <c r="AE614" i="2" s="1"/>
  <c r="AA614" i="2" a="1"/>
  <c r="AA614" i="2" s="1"/>
  <c r="X613" i="2" a="1"/>
  <c r="X613" i="2" s="1"/>
  <c r="X616" i="2" a="1"/>
  <c r="X616" i="2" s="1"/>
  <c r="W616" i="2" a="1"/>
  <c r="W616" i="2" s="1"/>
  <c r="X615" i="2" a="1"/>
  <c r="X615" i="2" s="1"/>
  <c r="AD612" i="2" a="1"/>
  <c r="AD612" i="2" s="1"/>
  <c r="AB612" i="2" a="1"/>
  <c r="AB612" i="2" s="1"/>
  <c r="AC613" i="2" a="1"/>
  <c r="AC613" i="2" s="1"/>
  <c r="AA613" i="2" a="1"/>
  <c r="AA613" i="2" s="1"/>
  <c r="AB607" i="2" a="1"/>
  <c r="AB607" i="2" s="1"/>
  <c r="AG608" i="2" a="1"/>
  <c r="AG608" i="2" s="1"/>
  <c r="AD610" i="2" a="1"/>
  <c r="AD610" i="2" s="1"/>
  <c r="W610" i="2" a="1"/>
  <c r="W610" i="2" s="1"/>
  <c r="AJ609" i="2" a="1"/>
  <c r="AJ609" i="2" s="1"/>
  <c r="AF609" i="2" a="1"/>
  <c r="AF609" i="2" s="1"/>
  <c r="AD609" i="2" a="1"/>
  <c r="AD609" i="2" s="1"/>
  <c r="Y609" i="2" a="1"/>
  <c r="Y609" i="2" s="1"/>
  <c r="W609" i="2" a="1"/>
  <c r="W609" i="2" s="1"/>
  <c r="AH607" i="2" a="1"/>
  <c r="AH607" i="2" s="1"/>
  <c r="AF607" i="2" a="1"/>
  <c r="AF607" i="2" s="1"/>
  <c r="AB608" i="2" a="1"/>
  <c r="AB608" i="2" s="1"/>
  <c r="AA607" i="2" a="1"/>
  <c r="AA607" i="2" s="1"/>
  <c r="AE608" i="2" a="1"/>
  <c r="AE608" i="2" s="1"/>
  <c r="AE611" i="2" a="1"/>
  <c r="AE611" i="2" s="1"/>
  <c r="AA610" i="2" a="1"/>
  <c r="AA610" i="2" s="1"/>
  <c r="Y610" i="2" a="1"/>
  <c r="Y610" i="2" s="1"/>
  <c r="AG609" i="2" a="1"/>
  <c r="AG609" i="2" s="1"/>
  <c r="Z609" i="2" a="1"/>
  <c r="Z609" i="2" s="1"/>
  <c r="AI608" i="2" a="1"/>
  <c r="AI608" i="2" s="1"/>
  <c r="AF608" i="2" a="1"/>
  <c r="AF608" i="2" s="1"/>
  <c r="AJ607" i="2" a="1"/>
  <c r="AJ607" i="2" s="1"/>
  <c r="AB611" i="2" a="1"/>
  <c r="AB611" i="2" s="1"/>
  <c r="Y611" i="2" a="1"/>
  <c r="Y611" i="2" s="1"/>
  <c r="AE609" i="2" a="1"/>
  <c r="AE609" i="2" s="1"/>
  <c r="X609" i="2" a="1"/>
  <c r="X609" i="2" s="1"/>
  <c r="Y608" i="2" a="1"/>
  <c r="Y608" i="2" s="1"/>
  <c r="AI610" i="2" a="1"/>
  <c r="AI610" i="2" s="1"/>
  <c r="AG610" i="2" a="1"/>
  <c r="AG610" i="2" s="1"/>
  <c r="AF610" i="2" a="1"/>
  <c r="AF610" i="2" s="1"/>
  <c r="X610" i="2" a="1"/>
  <c r="X610" i="2" s="1"/>
  <c r="AI607" i="2" a="1"/>
  <c r="AI607" i="2" s="1"/>
  <c r="W608" i="2" a="1"/>
  <c r="W608" i="2" s="1"/>
  <c r="AE610" i="2" a="1"/>
  <c r="AE610" i="2" s="1"/>
  <c r="AJ608" i="2" a="1"/>
  <c r="AJ608" i="2" s="1"/>
  <c r="AD608" i="2" a="1"/>
  <c r="AD608" i="2" s="1"/>
  <c r="Z608" i="2" a="1"/>
  <c r="Z608" i="2" s="1"/>
  <c r="AC610" i="2" a="1"/>
  <c r="AC610" i="2" s="1"/>
  <c r="AA608" i="2" a="1"/>
  <c r="AA608" i="2" s="1"/>
  <c r="AH608" i="2" a="1"/>
  <c r="AH608" i="2" s="1"/>
  <c r="AC609" i="2" a="1"/>
  <c r="AC609" i="2" s="1"/>
  <c r="Z610" i="2" a="1"/>
  <c r="Z610" i="2" s="1"/>
  <c r="AB610" i="2" a="1"/>
  <c r="AB610" i="2" s="1"/>
  <c r="AI609" i="2" a="1"/>
  <c r="AI609" i="2" s="1"/>
  <c r="AC608" i="2" a="1"/>
  <c r="AC608" i="2" s="1"/>
  <c r="AB609" i="2" a="1"/>
  <c r="AB609" i="2" s="1"/>
  <c r="X608" i="2" a="1"/>
  <c r="X608" i="2" s="1"/>
  <c r="AE607" i="2" a="1"/>
  <c r="AE607" i="2" s="1"/>
  <c r="AE687" i="2" a="1"/>
  <c r="AE687" i="2" s="1"/>
  <c r="AG611" i="2" a="1"/>
  <c r="AG611" i="2" s="1"/>
  <c r="AF611" i="2" a="1"/>
  <c r="AF611" i="2" s="1"/>
  <c r="AD611" i="2" a="1"/>
  <c r="AD611" i="2" s="1"/>
  <c r="AC611" i="2" a="1"/>
  <c r="AC611" i="2" s="1"/>
  <c r="AA611" i="2" a="1"/>
  <c r="AA611" i="2" s="1"/>
  <c r="Z611" i="2" a="1"/>
  <c r="Z611" i="2" s="1"/>
  <c r="X611" i="2" a="1"/>
  <c r="X611" i="2" s="1"/>
  <c r="AC607" i="2" a="1"/>
  <c r="AC607" i="2" s="1"/>
  <c r="AH610" i="2" a="1"/>
  <c r="AH610" i="2" s="1"/>
  <c r="W611" i="2" a="1"/>
  <c r="W611" i="2" s="1"/>
  <c r="AJ610" i="2" a="1"/>
  <c r="AJ610" i="2" s="1"/>
  <c r="AD607" i="2" a="1"/>
  <c r="AD607" i="2" s="1"/>
  <c r="AH609" i="2" a="1"/>
  <c r="AH609" i="2" s="1"/>
  <c r="AA609" i="2" a="1"/>
  <c r="AA609" i="2" s="1"/>
  <c r="AG607" i="2" a="1"/>
  <c r="AG607" i="2" s="1"/>
  <c r="W606" i="2" a="1"/>
  <c r="W606" i="2" s="1"/>
  <c r="AG605" i="2" a="1"/>
  <c r="AG605" i="2" s="1"/>
  <c r="AD605" i="2" a="1"/>
  <c r="AD605" i="2" s="1"/>
  <c r="AC605" i="2" a="1"/>
  <c r="AC605" i="2" s="1"/>
  <c r="X605" i="2" a="1"/>
  <c r="X605" i="2" s="1"/>
  <c r="AH604" i="2" a="1"/>
  <c r="AH604" i="2" s="1"/>
  <c r="Y603" i="2" a="1"/>
  <c r="Y603" i="2" s="1"/>
  <c r="Y604" i="2" a="1"/>
  <c r="Y604" i="2" s="1"/>
  <c r="AC603" i="2" a="1"/>
  <c r="AC603" i="2" s="1"/>
  <c r="AA605" i="2" a="1"/>
  <c r="AA605" i="2" s="1"/>
  <c r="AF605" i="2" a="1"/>
  <c r="AF605" i="2" s="1"/>
  <c r="W604" i="2" a="1"/>
  <c r="W604" i="2" s="1"/>
  <c r="AF603" i="2" a="1"/>
  <c r="AF603" i="2" s="1"/>
  <c r="Y605" i="2" a="1"/>
  <c r="Y605" i="2" s="1"/>
  <c r="AJ606" i="2" a="1"/>
  <c r="AJ606" i="2" s="1"/>
  <c r="AA606" i="2" a="1"/>
  <c r="AA606" i="2" s="1"/>
  <c r="AJ603" i="2" a="1"/>
  <c r="AJ603" i="2" s="1"/>
  <c r="AB604" i="2" a="1"/>
  <c r="AB604" i="2" s="1"/>
  <c r="AB605" i="2" a="1"/>
  <c r="AB605" i="2" s="1"/>
  <c r="AI605" i="2" a="1"/>
  <c r="AI605" i="2" s="1"/>
  <c r="AH606" i="2" a="1"/>
  <c r="AH606" i="2" s="1"/>
  <c r="AG606" i="2" a="1"/>
  <c r="AG606" i="2" s="1"/>
  <c r="AF606" i="2" a="1"/>
  <c r="AF606" i="2" s="1"/>
  <c r="AE606" i="2" a="1"/>
  <c r="AE606" i="2" s="1"/>
  <c r="AD606" i="2" a="1"/>
  <c r="AD606" i="2" s="1"/>
  <c r="AD604" i="2" a="1"/>
  <c r="AD604" i="2" s="1"/>
  <c r="AH602" i="2" a="1"/>
  <c r="AH602" i="2" s="1"/>
  <c r="AB606" i="2" a="1"/>
  <c r="AB606" i="2" s="1"/>
  <c r="Z606" i="2" a="1"/>
  <c r="Z606" i="2" s="1"/>
  <c r="AC604" i="2" a="1"/>
  <c r="AC604" i="2" s="1"/>
  <c r="AH605" i="2" a="1"/>
  <c r="AH605" i="2" s="1"/>
  <c r="X606" i="2" a="1"/>
  <c r="X606" i="2" s="1"/>
  <c r="Z605" i="2" a="1"/>
  <c r="Z605" i="2" s="1"/>
  <c r="AJ604" i="2" a="1"/>
  <c r="AJ604" i="2" s="1"/>
  <c r="AA603" i="2" a="1"/>
  <c r="AA603" i="2" s="1"/>
  <c r="AH603" i="2" a="1"/>
  <c r="AH603" i="2" s="1"/>
  <c r="AD603" i="2" a="1"/>
  <c r="AD603" i="2" s="1"/>
  <c r="AI602" i="2" a="1"/>
  <c r="AI602" i="2" s="1"/>
  <c r="AE603" i="2" a="1"/>
  <c r="AE603" i="2" s="1"/>
  <c r="AJ605" i="2" a="1"/>
  <c r="AJ605" i="2" s="1"/>
  <c r="AE605" i="2" a="1"/>
  <c r="AE605" i="2" s="1"/>
  <c r="AF604" i="2" a="1"/>
  <c r="AF604" i="2" s="1"/>
  <c r="AE604" i="2" a="1"/>
  <c r="AE604" i="2" s="1"/>
  <c r="AJ602" i="2" a="1"/>
  <c r="AJ602" i="2" s="1"/>
  <c r="AG603" i="2" a="1"/>
  <c r="AG603" i="2" s="1"/>
  <c r="W603" i="2" a="1"/>
  <c r="W603" i="2" s="1"/>
  <c r="X604" i="2" a="1"/>
  <c r="X604" i="2" s="1"/>
  <c r="AA604" i="2" a="1"/>
  <c r="AA604" i="2" s="1"/>
  <c r="AF686" i="2" a="1"/>
  <c r="AF686" i="2" s="1"/>
  <c r="X603" i="2" a="1"/>
  <c r="X603" i="2" s="1"/>
  <c r="Z607" i="2" a="1"/>
  <c r="Z607" i="2" s="1"/>
  <c r="W607" i="2" a="1"/>
  <c r="W607" i="2" s="1"/>
  <c r="Y607" i="2" a="1"/>
  <c r="Y607" i="2" s="1"/>
  <c r="X607" i="2" a="1"/>
  <c r="X607" i="2" s="1"/>
  <c r="AI603" i="2" a="1"/>
  <c r="AI603" i="2" s="1"/>
  <c r="AC606" i="2" a="1"/>
  <c r="AC606" i="2" s="1"/>
  <c r="AI606" i="2" a="1"/>
  <c r="AI606" i="2" s="1"/>
  <c r="Y606" i="2" a="1"/>
  <c r="Y606" i="2" s="1"/>
  <c r="W605" i="2" a="1"/>
  <c r="W605" i="2" s="1"/>
  <c r="AG604" i="2" a="1"/>
  <c r="AG604" i="2" s="1"/>
  <c r="AI604" i="2" a="1"/>
  <c r="AI604" i="2" s="1"/>
  <c r="Z603" i="2" a="1"/>
  <c r="Z603" i="2" s="1"/>
  <c r="Z604" i="2" a="1"/>
  <c r="Z604" i="2" s="1"/>
  <c r="AB603" i="2" a="1"/>
  <c r="AB603" i="2" s="1"/>
  <c r="AC601" i="2" a="1"/>
  <c r="AC601" i="2" s="1"/>
  <c r="AA600" i="2" a="1"/>
  <c r="AA600" i="2" s="1"/>
  <c r="AE601" i="2" a="1"/>
  <c r="AE601" i="2" s="1"/>
  <c r="AA601" i="2" a="1"/>
  <c r="AA601" i="2" s="1"/>
  <c r="AJ599" i="2" a="1"/>
  <c r="AJ599" i="2" s="1"/>
  <c r="AF600" i="2" a="1"/>
  <c r="AF600" i="2" s="1"/>
  <c r="AE600" i="2" a="1"/>
  <c r="AE600" i="2" s="1"/>
  <c r="Y600" i="2" a="1"/>
  <c r="Y600" i="2" s="1"/>
  <c r="AJ598" i="2" a="1"/>
  <c r="AJ598" i="2" s="1"/>
  <c r="AB598" i="2" a="1"/>
  <c r="AB598" i="2" s="1"/>
  <c r="AB599" i="2" a="1"/>
  <c r="AB599" i="2" s="1"/>
  <c r="X599" i="2" a="1"/>
  <c r="X599" i="2" s="1"/>
  <c r="AE599" i="2" a="1"/>
  <c r="AE599" i="2" s="1"/>
  <c r="AA598" i="2" a="1"/>
  <c r="AA598" i="2" s="1"/>
  <c r="AJ600" i="2" a="1"/>
  <c r="AJ600" i="2" s="1"/>
  <c r="AH600" i="2" a="1"/>
  <c r="AH600" i="2" s="1"/>
  <c r="AC600" i="2" a="1"/>
  <c r="AC600" i="2" s="1"/>
  <c r="AG598" i="2" a="1"/>
  <c r="AG598" i="2" s="1"/>
  <c r="Y599" i="2" a="1"/>
  <c r="Y599" i="2" s="1"/>
  <c r="W600" i="2" a="1"/>
  <c r="W600" i="2" s="1"/>
  <c r="Z600" i="2" a="1"/>
  <c r="Z600" i="2" s="1"/>
  <c r="AD598" i="2" a="1"/>
  <c r="AD598" i="2" s="1"/>
  <c r="AB602" i="2" a="1"/>
  <c r="AB602" i="2" s="1"/>
  <c r="AD601" i="2" a="1"/>
  <c r="AD601" i="2" s="1"/>
  <c r="AA602" i="2" a="1"/>
  <c r="AA602" i="2" s="1"/>
  <c r="AH599" i="2" a="1"/>
  <c r="AH599" i="2" s="1"/>
  <c r="X600" i="2" a="1"/>
  <c r="X600" i="2" s="1"/>
  <c r="W602" i="2" a="1"/>
  <c r="W602" i="2" s="1"/>
  <c r="AH601" i="2" a="1"/>
  <c r="AH601" i="2" s="1"/>
  <c r="AB601" i="2" a="1"/>
  <c r="AB601" i="2" s="1"/>
  <c r="AG600" i="2" a="1"/>
  <c r="AG600" i="2" s="1"/>
  <c r="Z601" i="2" a="1"/>
  <c r="Z601" i="2" s="1"/>
  <c r="W601" i="2" a="1"/>
  <c r="W601" i="2" s="1"/>
  <c r="AG601" i="2" a="1"/>
  <c r="AG601" i="2" s="1"/>
  <c r="AF598" i="2" a="1"/>
  <c r="AF598" i="2" s="1"/>
  <c r="AF601" i="2" a="1"/>
  <c r="AF601" i="2" s="1"/>
  <c r="Y601" i="2" a="1"/>
  <c r="Y601" i="2" s="1"/>
  <c r="AC598" i="2" a="1"/>
  <c r="AC598" i="2" s="1"/>
  <c r="AI600" i="2" a="1"/>
  <c r="AI600" i="2" s="1"/>
  <c r="AB600" i="2" a="1"/>
  <c r="AB600" i="2" s="1"/>
  <c r="AD600" i="2" a="1"/>
  <c r="AD600" i="2" s="1"/>
  <c r="AD599" i="2" a="1"/>
  <c r="AD599" i="2" s="1"/>
  <c r="Z599" i="2" a="1"/>
  <c r="Z599" i="2" s="1"/>
  <c r="AI598" i="2" a="1"/>
  <c r="AI598" i="2" s="1"/>
  <c r="AC599" i="2" a="1"/>
  <c r="AC599" i="2" s="1"/>
  <c r="AA599" i="2" a="1"/>
  <c r="AA599" i="2" s="1"/>
  <c r="AG599" i="2" a="1"/>
  <c r="AG599" i="2" s="1"/>
  <c r="X601" i="2" a="1"/>
  <c r="X601" i="2" s="1"/>
  <c r="W688" i="2" a="1"/>
  <c r="W688" i="2" s="1"/>
  <c r="AG602" i="2" a="1"/>
  <c r="AG602" i="2" s="1"/>
  <c r="AI599" i="2" a="1"/>
  <c r="AI599" i="2" s="1"/>
  <c r="AF602" i="2" a="1"/>
  <c r="AF602" i="2" s="1"/>
  <c r="AF599" i="2" a="1"/>
  <c r="AF599" i="2" s="1"/>
  <c r="AE602" i="2" a="1"/>
  <c r="AE602" i="2" s="1"/>
  <c r="W599" i="2" a="1"/>
  <c r="W599" i="2" s="1"/>
  <c r="AD602" i="2" a="1"/>
  <c r="AD602" i="2" s="1"/>
  <c r="AC602" i="2" a="1"/>
  <c r="AC602" i="2" s="1"/>
  <c r="AH598" i="2" a="1"/>
  <c r="AH598" i="2" s="1"/>
  <c r="AE598" i="2" a="1"/>
  <c r="AE598" i="2" s="1"/>
  <c r="Z602" i="2" a="1"/>
  <c r="Z602" i="2" s="1"/>
  <c r="Y602" i="2" a="1"/>
  <c r="Y602" i="2" s="1"/>
  <c r="AI601" i="2" a="1"/>
  <c r="AI601" i="2" s="1"/>
  <c r="X602" i="2" a="1"/>
  <c r="X602" i="2" s="1"/>
  <c r="AJ601" i="2" a="1"/>
  <c r="AJ601" i="2" s="1"/>
  <c r="Y595" i="2" a="1"/>
  <c r="Y595" i="2" s="1"/>
  <c r="W598" i="2" a="1"/>
  <c r="W598" i="2" s="1"/>
  <c r="AF597" i="2" a="1"/>
  <c r="AF597" i="2" s="1"/>
  <c r="W597" i="2" a="1"/>
  <c r="W597" i="2" s="1"/>
  <c r="X596" i="2" a="1"/>
  <c r="X596" i="2" s="1"/>
  <c r="AG595" i="2" a="1"/>
  <c r="AG595" i="2" s="1"/>
  <c r="AA595" i="2" a="1"/>
  <c r="AA595" i="2" s="1"/>
  <c r="X595" i="2" a="1"/>
  <c r="X595" i="2" s="1"/>
  <c r="AA597" i="2" a="1"/>
  <c r="AA597" i="2" s="1"/>
  <c r="AE596" i="2" a="1"/>
  <c r="AE596" i="2" s="1"/>
  <c r="AA596" i="2" a="1"/>
  <c r="AA596" i="2" s="1"/>
  <c r="W596" i="2" a="1"/>
  <c r="W596" i="2" s="1"/>
  <c r="Z598" i="2" a="1"/>
  <c r="Z598" i="2" s="1"/>
  <c r="AJ597" i="2" a="1"/>
  <c r="AJ597" i="2" s="1"/>
  <c r="AI597" i="2" a="1"/>
  <c r="AI597" i="2" s="1"/>
  <c r="AE597" i="2" a="1"/>
  <c r="AE597" i="2" s="1"/>
  <c r="AD597" i="2" a="1"/>
  <c r="AD597" i="2" s="1"/>
  <c r="AC595" i="2" a="1"/>
  <c r="AC595" i="2" s="1"/>
  <c r="X597" i="2" a="1"/>
  <c r="X597" i="2" s="1"/>
  <c r="AJ594" i="2" a="1"/>
  <c r="AJ594" i="2" s="1"/>
  <c r="AH595" i="2" a="1"/>
  <c r="AH595" i="2" s="1"/>
  <c r="Z595" i="2" a="1"/>
  <c r="Z595" i="2" s="1"/>
  <c r="Y596" i="2" a="1"/>
  <c r="Y596" i="2" s="1"/>
  <c r="Z596" i="2" a="1"/>
  <c r="Z596" i="2" s="1"/>
  <c r="AI594" i="2" a="1"/>
  <c r="AI594" i="2" s="1"/>
  <c r="Y597" i="2" a="1"/>
  <c r="Y597" i="2" s="1"/>
  <c r="W595" i="2" a="1"/>
  <c r="W595" i="2" s="1"/>
  <c r="AB596" i="2" a="1"/>
  <c r="AB596" i="2" s="1"/>
  <c r="AB595" i="2" a="1"/>
  <c r="AB595" i="2" s="1"/>
  <c r="AC596" i="2" a="1"/>
  <c r="AC596" i="2" s="1"/>
  <c r="AE686" i="2" a="1"/>
  <c r="AE686" i="2" s="1"/>
  <c r="X598" i="2" a="1"/>
  <c r="X598" i="2" s="1"/>
  <c r="AH597" i="2" a="1"/>
  <c r="AH597" i="2" s="1"/>
  <c r="Y598" i="2" a="1"/>
  <c r="Y598" i="2" s="1"/>
  <c r="AG597" i="2" a="1"/>
  <c r="AG597" i="2" s="1"/>
  <c r="AJ595" i="2" a="1"/>
  <c r="AJ595" i="2" s="1"/>
  <c r="AE595" i="2" a="1"/>
  <c r="AE595" i="2" s="1"/>
  <c r="AH594" i="2" a="1"/>
  <c r="AH594" i="2" s="1"/>
  <c r="AJ596" i="2" a="1"/>
  <c r="AJ596" i="2" s="1"/>
  <c r="AC597" i="2" a="1"/>
  <c r="AC597" i="2" s="1"/>
  <c r="AI595" i="2" a="1"/>
  <c r="AI595" i="2" s="1"/>
  <c r="AB597" i="2" a="1"/>
  <c r="AB597" i="2" s="1"/>
  <c r="Z597" i="2" a="1"/>
  <c r="Z597" i="2" s="1"/>
  <c r="AG596" i="2" a="1"/>
  <c r="AG596" i="2" s="1"/>
  <c r="AD595" i="2" a="1"/>
  <c r="AD595" i="2" s="1"/>
  <c r="AF595" i="2" a="1"/>
  <c r="AF595" i="2" s="1"/>
  <c r="AH596" i="2" a="1"/>
  <c r="AH596" i="2" s="1"/>
  <c r="AD596" i="2" a="1"/>
  <c r="AD596" i="2" s="1"/>
  <c r="AI596" i="2" a="1"/>
  <c r="AI596" i="2" s="1"/>
  <c r="AF596" i="2" a="1"/>
  <c r="AF596" i="2" s="1"/>
  <c r="AH590" i="2" a="1"/>
  <c r="AH590" i="2" s="1"/>
  <c r="AD594" i="2" a="1"/>
  <c r="AD594" i="2" s="1"/>
  <c r="AB594" i="2" a="1"/>
  <c r="AB594" i="2" s="1"/>
  <c r="AJ593" i="2" a="1"/>
  <c r="AJ593" i="2" s="1"/>
  <c r="AA591" i="2" a="1"/>
  <c r="AA591" i="2" s="1"/>
  <c r="AB592" i="2" a="1"/>
  <c r="AB592" i="2" s="1"/>
  <c r="Y593" i="2" a="1"/>
  <c r="Y593" i="2" s="1"/>
  <c r="AJ590" i="2" a="1"/>
  <c r="AJ590" i="2" s="1"/>
  <c r="AA590" i="2" a="1"/>
  <c r="AA590" i="2" s="1"/>
  <c r="AC592" i="2" a="1"/>
  <c r="AC592" i="2" s="1"/>
  <c r="AD591" i="2" a="1"/>
  <c r="AD591" i="2" s="1"/>
  <c r="AD590" i="2" a="1"/>
  <c r="AD590" i="2" s="1"/>
  <c r="AC594" i="2" a="1"/>
  <c r="AC594" i="2" s="1"/>
  <c r="AA594" i="2" a="1"/>
  <c r="AA594" i="2" s="1"/>
  <c r="Z593" i="2" a="1"/>
  <c r="Z593" i="2" s="1"/>
  <c r="Z594" i="2" a="1"/>
  <c r="Z594" i="2" s="1"/>
  <c r="X594" i="2" a="1"/>
  <c r="X594" i="2" s="1"/>
  <c r="AI592" i="2" a="1"/>
  <c r="AI592" i="2" s="1"/>
  <c r="AE590" i="2" a="1"/>
  <c r="AE590" i="2" s="1"/>
  <c r="AB591" i="2" a="1"/>
  <c r="AB591" i="2" s="1"/>
  <c r="AD593" i="2" a="1"/>
  <c r="AD593" i="2" s="1"/>
  <c r="AG590" i="2" a="1"/>
  <c r="AG590" i="2" s="1"/>
  <c r="W593" i="2" a="1"/>
  <c r="W593" i="2" s="1"/>
  <c r="AC593" i="2" a="1"/>
  <c r="AC593" i="2" s="1"/>
  <c r="AG593" i="2" a="1"/>
  <c r="AG593" i="2" s="1"/>
  <c r="X592" i="2" a="1"/>
  <c r="X592" i="2" s="1"/>
  <c r="AH591" i="2" a="1"/>
  <c r="AH591" i="2" s="1"/>
  <c r="AA592" i="2" a="1"/>
  <c r="AA592" i="2" s="1"/>
  <c r="Z591" i="2" a="1"/>
  <c r="Z591" i="2" s="1"/>
  <c r="Y594" i="2" a="1"/>
  <c r="Y594" i="2" s="1"/>
  <c r="AH592" i="2" a="1"/>
  <c r="AH592" i="2" s="1"/>
  <c r="AC591" i="2" a="1"/>
  <c r="AC591" i="2" s="1"/>
  <c r="AE592" i="2" a="1"/>
  <c r="AE592" i="2" s="1"/>
  <c r="AI593" i="2" a="1"/>
  <c r="AI593" i="2" s="1"/>
  <c r="AH593" i="2" a="1"/>
  <c r="AH593" i="2" s="1"/>
  <c r="AF593" i="2" a="1"/>
  <c r="AF593" i="2" s="1"/>
  <c r="AA593" i="2" a="1"/>
  <c r="AA593" i="2" s="1"/>
  <c r="AI591" i="2" a="1"/>
  <c r="AI591" i="2" s="1"/>
  <c r="AE593" i="2" a="1"/>
  <c r="AE593" i="2" s="1"/>
  <c r="AG592" i="2" a="1"/>
  <c r="AG592" i="2" s="1"/>
  <c r="AF592" i="2" a="1"/>
  <c r="AF592" i="2" s="1"/>
  <c r="AB590" i="2" a="1"/>
  <c r="AB590" i="2" s="1"/>
  <c r="Y592" i="2" a="1"/>
  <c r="Y592" i="2" s="1"/>
  <c r="AJ591" i="2" a="1"/>
  <c r="AJ591" i="2" s="1"/>
  <c r="W592" i="2" a="1"/>
  <c r="W592" i="2" s="1"/>
  <c r="AE591" i="2" a="1"/>
  <c r="AE591" i="2" s="1"/>
  <c r="AI590" i="2" a="1"/>
  <c r="AI590" i="2" s="1"/>
  <c r="X591" i="2" a="1"/>
  <c r="X591" i="2" s="1"/>
  <c r="W594" i="2" a="1"/>
  <c r="W594" i="2" s="1"/>
  <c r="AB593" i="2" a="1"/>
  <c r="AB593" i="2" s="1"/>
  <c r="AF591" i="2" a="1"/>
  <c r="AF591" i="2" s="1"/>
  <c r="AF590" i="2" a="1"/>
  <c r="AF590" i="2" s="1"/>
  <c r="X593" i="2" a="1"/>
  <c r="X593" i="2" s="1"/>
  <c r="AD592" i="2" a="1"/>
  <c r="AD592" i="2" s="1"/>
  <c r="AC590" i="2" a="1"/>
  <c r="AC590" i="2" s="1"/>
  <c r="AG591" i="2" a="1"/>
  <c r="AG591" i="2" s="1"/>
  <c r="Z592" i="2" a="1"/>
  <c r="Z592" i="2" s="1"/>
  <c r="Y591" i="2" a="1"/>
  <c r="Y591" i="2" s="1"/>
  <c r="AD687" i="2" a="1"/>
  <c r="AD687" i="2" s="1"/>
  <c r="AG594" i="2" a="1"/>
  <c r="AG594" i="2" s="1"/>
  <c r="AF594" i="2" a="1"/>
  <c r="AF594" i="2" s="1"/>
  <c r="AE594" i="2" a="1"/>
  <c r="AE594" i="2" s="1"/>
  <c r="W591" i="2" a="1"/>
  <c r="W591" i="2" s="1"/>
  <c r="AJ592" i="2" a="1"/>
  <c r="AJ592" i="2" s="1"/>
  <c r="X587" i="2" a="1"/>
  <c r="X587" i="2" s="1"/>
  <c r="AC589" i="2" a="1"/>
  <c r="AC589" i="2" s="1"/>
  <c r="AA589" i="2" a="1"/>
  <c r="AA589" i="2" s="1"/>
  <c r="AA586" i="2" a="1"/>
  <c r="AA586" i="2" s="1"/>
  <c r="AJ587" i="2" a="1"/>
  <c r="AJ587" i="2" s="1"/>
  <c r="X589" i="2" a="1"/>
  <c r="X589" i="2" s="1"/>
  <c r="AJ588" i="2" a="1"/>
  <c r="AJ588" i="2" s="1"/>
  <c r="AF588" i="2" a="1"/>
  <c r="AF588" i="2" s="1"/>
  <c r="W587" i="2" a="1"/>
  <c r="W587" i="2" s="1"/>
  <c r="AJ586" i="2" a="1"/>
  <c r="AJ586" i="2" s="1"/>
  <c r="AB587" i="2" a="1"/>
  <c r="AB587" i="2" s="1"/>
  <c r="AE588" i="2" a="1"/>
  <c r="AE588" i="2" s="1"/>
  <c r="AD587" i="2" a="1"/>
  <c r="AD587" i="2" s="1"/>
  <c r="Z586" i="2" a="1"/>
  <c r="Z586" i="2" s="1"/>
  <c r="AA588" i="2" a="1"/>
  <c r="AA588" i="2" s="1"/>
  <c r="AE587" i="2" a="1"/>
  <c r="AE587" i="2" s="1"/>
  <c r="AF587" i="2" a="1"/>
  <c r="AF587" i="2" s="1"/>
  <c r="AE586" i="2" a="1"/>
  <c r="AE586" i="2" s="1"/>
  <c r="AD586" i="2" a="1"/>
  <c r="AD586" i="2" s="1"/>
  <c r="Y586" i="2" a="1"/>
  <c r="Y586" i="2" s="1"/>
  <c r="AD588" i="2" a="1"/>
  <c r="AD588" i="2" s="1"/>
  <c r="AH585" i="2" a="1"/>
  <c r="AH585" i="2" s="1"/>
  <c r="Z588" i="2" a="1"/>
  <c r="Z588" i="2" s="1"/>
  <c r="AD686" i="2" a="1"/>
  <c r="AD686" i="2" s="1"/>
  <c r="Z589" i="2" a="1"/>
  <c r="Z589" i="2" s="1"/>
  <c r="AI588" i="2" a="1"/>
  <c r="AI588" i="2" s="1"/>
  <c r="AG586" i="2" a="1"/>
  <c r="AG586" i="2" s="1"/>
  <c r="AC587" i="2" a="1"/>
  <c r="AC587" i="2" s="1"/>
  <c r="Z590" i="2" a="1"/>
  <c r="Z590" i="2" s="1"/>
  <c r="Y590" i="2" a="1"/>
  <c r="Y590" i="2" s="1"/>
  <c r="AH589" i="2" a="1"/>
  <c r="AH589" i="2" s="1"/>
  <c r="X586" i="2" a="1"/>
  <c r="X586" i="2" s="1"/>
  <c r="AI585" i="2" a="1"/>
  <c r="AI585" i="2" s="1"/>
  <c r="W590" i="2" a="1"/>
  <c r="W590" i="2" s="1"/>
  <c r="AE589" i="2" a="1"/>
  <c r="AE589" i="2" s="1"/>
  <c r="AB589" i="2" a="1"/>
  <c r="AB589" i="2" s="1"/>
  <c r="AC588" i="2" a="1"/>
  <c r="AC588" i="2" s="1"/>
  <c r="Y588" i="2" a="1"/>
  <c r="Y588" i="2" s="1"/>
  <c r="AB588" i="2" a="1"/>
  <c r="AB588" i="2" s="1"/>
  <c r="X588" i="2" a="1"/>
  <c r="X588" i="2" s="1"/>
  <c r="AH586" i="2" a="1"/>
  <c r="AH586" i="2" s="1"/>
  <c r="AC586" i="2" a="1"/>
  <c r="AC586" i="2" s="1"/>
  <c r="AG589" i="2" a="1"/>
  <c r="AG589" i="2" s="1"/>
  <c r="AH588" i="2" a="1"/>
  <c r="AH588" i="2" s="1"/>
  <c r="AG588" i="2" a="1"/>
  <c r="AG588" i="2" s="1"/>
  <c r="W586" i="2" a="1"/>
  <c r="W586" i="2" s="1"/>
  <c r="AA587" i="2" a="1"/>
  <c r="AA587" i="2" s="1"/>
  <c r="AJ585" i="2" a="1"/>
  <c r="AJ585" i="2" s="1"/>
  <c r="X590" i="2" a="1"/>
  <c r="X590" i="2" s="1"/>
  <c r="AJ589" i="2" a="1"/>
  <c r="AJ589" i="2" s="1"/>
  <c r="AH587" i="2" a="1"/>
  <c r="AH587" i="2" s="1"/>
  <c r="AF589" i="2" a="1"/>
  <c r="AF589" i="2" s="1"/>
  <c r="W589" i="2" a="1"/>
  <c r="W589" i="2" s="1"/>
  <c r="AI587" i="2" a="1"/>
  <c r="AI587" i="2" s="1"/>
  <c r="Y587" i="2" a="1"/>
  <c r="Y587" i="2" s="1"/>
  <c r="AF586" i="2" a="1"/>
  <c r="AF586" i="2" s="1"/>
  <c r="AB586" i="2" a="1"/>
  <c r="AB586" i="2" s="1"/>
  <c r="AG587" i="2" a="1"/>
  <c r="AG587" i="2" s="1"/>
  <c r="AD589" i="2" a="1"/>
  <c r="AD589" i="2" s="1"/>
  <c r="AI589" i="2" a="1"/>
  <c r="AI589" i="2" s="1"/>
  <c r="Z587" i="2" a="1"/>
  <c r="Z587" i="2" s="1"/>
  <c r="W588" i="2" a="1"/>
  <c r="W588" i="2" s="1"/>
  <c r="Y589" i="2" a="1"/>
  <c r="Y589" i="2" s="1"/>
  <c r="AI586" i="2" a="1"/>
  <c r="AI586" i="2" s="1"/>
  <c r="AD582" i="2" a="1"/>
  <c r="AD582" i="2" s="1"/>
  <c r="AE584" i="2" a="1"/>
  <c r="AE584" i="2" s="1"/>
  <c r="AB584" i="2" a="1"/>
  <c r="AB584" i="2" s="1"/>
  <c r="X583" i="2" a="1"/>
  <c r="X583" i="2" s="1"/>
  <c r="AH582" i="2" a="1"/>
  <c r="AH582" i="2" s="1"/>
  <c r="AF582" i="2" a="1"/>
  <c r="AF582" i="2" s="1"/>
  <c r="AA582" i="2" a="1"/>
  <c r="AA582" i="2" s="1"/>
  <c r="Z582" i="2" a="1"/>
  <c r="Z582" i="2" s="1"/>
  <c r="X582" i="2" a="1"/>
  <c r="X582" i="2" s="1"/>
  <c r="W583" i="2" a="1"/>
  <c r="W583" i="2" s="1"/>
  <c r="AI583" i="2" a="1"/>
  <c r="AI583" i="2" s="1"/>
  <c r="AA583" i="2" a="1"/>
  <c r="AA583" i="2" s="1"/>
  <c r="Y585" i="2" a="1"/>
  <c r="Y585" i="2" s="1"/>
  <c r="X585" i="2" a="1"/>
  <c r="X585" i="2" s="1"/>
  <c r="AJ584" i="2" a="1"/>
  <c r="AJ584" i="2" s="1"/>
  <c r="AH584" i="2" a="1"/>
  <c r="AH584" i="2" s="1"/>
  <c r="Y582" i="2" a="1"/>
  <c r="Y582" i="2" s="1"/>
  <c r="AD584" i="2" a="1"/>
  <c r="AD584" i="2" s="1"/>
  <c r="W584" i="2" a="1"/>
  <c r="W584" i="2" s="1"/>
  <c r="AF583" i="2" a="1"/>
  <c r="AF583" i="2" s="1"/>
  <c r="AC583" i="2" a="1"/>
  <c r="AC583" i="2" s="1"/>
  <c r="AE582" i="2" a="1"/>
  <c r="AE582" i="2" s="1"/>
  <c r="AB582" i="2" a="1"/>
  <c r="AB582" i="2" s="1"/>
  <c r="AG583" i="2" a="1"/>
  <c r="AG583" i="2" s="1"/>
  <c r="Z583" i="2" a="1"/>
  <c r="Z583" i="2" s="1"/>
  <c r="AD583" i="2" a="1"/>
  <c r="AD583" i="2" s="1"/>
  <c r="AC582" i="2" a="1"/>
  <c r="AC582" i="2" s="1"/>
  <c r="W582" i="2" a="1"/>
  <c r="W582" i="2" s="1"/>
  <c r="AJ582" i="2" a="1"/>
  <c r="AJ582" i="2" s="1"/>
  <c r="AB583" i="2" a="1"/>
  <c r="AB583" i="2" s="1"/>
  <c r="AG582" i="2" a="1"/>
  <c r="AG582" i="2" s="1"/>
  <c r="AH583" i="2" a="1"/>
  <c r="AH583" i="2" s="1"/>
  <c r="AC584" i="2" a="1"/>
  <c r="AC584" i="2" s="1"/>
  <c r="Y584" i="2" a="1"/>
  <c r="Y584" i="2" s="1"/>
  <c r="AJ583" i="2" a="1"/>
  <c r="AJ583" i="2" s="1"/>
  <c r="Y583" i="2" a="1"/>
  <c r="Y583" i="2" s="1"/>
  <c r="AI582" i="2" a="1"/>
  <c r="AI582" i="2" s="1"/>
  <c r="X584" i="2" a="1"/>
  <c r="X584" i="2" s="1"/>
  <c r="Z688" i="2" a="1"/>
  <c r="Z688" i="2" s="1"/>
  <c r="Z584" i="2" a="1"/>
  <c r="Z584" i="2" s="1"/>
  <c r="AG585" i="2" a="1"/>
  <c r="AG585" i="2" s="1"/>
  <c r="AA585" i="2" a="1"/>
  <c r="AA585" i="2" s="1"/>
  <c r="AF585" i="2" a="1"/>
  <c r="AF585" i="2" s="1"/>
  <c r="AE585" i="2" a="1"/>
  <c r="AE585" i="2" s="1"/>
  <c r="AD585" i="2" a="1"/>
  <c r="AD585" i="2" s="1"/>
  <c r="AC585" i="2" a="1"/>
  <c r="AC585" i="2" s="1"/>
  <c r="AB585" i="2" a="1"/>
  <c r="AB585" i="2" s="1"/>
  <c r="AG584" i="2" a="1"/>
  <c r="AG584" i="2" s="1"/>
  <c r="Z585" i="2" a="1"/>
  <c r="Z585" i="2" s="1"/>
  <c r="W585" i="2" a="1"/>
  <c r="W585" i="2" s="1"/>
  <c r="AI584" i="2" a="1"/>
  <c r="AI584" i="2" s="1"/>
  <c r="AF584" i="2" a="1"/>
  <c r="AF584" i="2" s="1"/>
  <c r="AA584" i="2" a="1"/>
  <c r="AA584" i="2" s="1"/>
  <c r="AE583" i="2" a="1"/>
  <c r="AE583" i="2" s="1"/>
  <c r="AE579" i="2" a="1"/>
  <c r="AE579" i="2" s="1"/>
  <c r="AJ581" i="2" a="1"/>
  <c r="AJ581" i="2" s="1"/>
  <c r="AC580" i="2" a="1"/>
  <c r="AC580" i="2" s="1"/>
  <c r="Y579" i="2" a="1"/>
  <c r="Y579" i="2" s="1"/>
  <c r="AF580" i="2" a="1"/>
  <c r="AF580" i="2" s="1"/>
  <c r="AG581" i="2" a="1"/>
  <c r="AG581" i="2" s="1"/>
  <c r="AE581" i="2" a="1"/>
  <c r="AE581" i="2" s="1"/>
  <c r="AJ579" i="2" a="1"/>
  <c r="AJ579" i="2" s="1"/>
  <c r="AB581" i="2" a="1"/>
  <c r="AB581" i="2" s="1"/>
  <c r="AH579" i="2" a="1"/>
  <c r="AH579" i="2" s="1"/>
  <c r="AA579" i="2" a="1"/>
  <c r="AA579" i="2" s="1"/>
  <c r="AD581" i="2" a="1"/>
  <c r="AD581" i="2" s="1"/>
  <c r="AE580" i="2" a="1"/>
  <c r="AE580" i="2" s="1"/>
  <c r="AG579" i="2" a="1"/>
  <c r="AG579" i="2" s="1"/>
  <c r="AD580" i="2" a="1"/>
  <c r="AD580" i="2" s="1"/>
  <c r="AB579" i="2" a="1"/>
  <c r="AB579" i="2" s="1"/>
  <c r="Z579" i="2" a="1"/>
  <c r="Z579" i="2" s="1"/>
  <c r="AD579" i="2" a="1"/>
  <c r="AD579" i="2" s="1"/>
  <c r="AC581" i="2" a="1"/>
  <c r="AC581" i="2" s="1"/>
  <c r="Z581" i="2" a="1"/>
  <c r="Z581" i="2" s="1"/>
  <c r="AA580" i="2" a="1"/>
  <c r="AA580" i="2" s="1"/>
  <c r="W579" i="2" a="1"/>
  <c r="W579" i="2" s="1"/>
  <c r="AG580" i="2" a="1"/>
  <c r="AG580" i="2" s="1"/>
  <c r="AI581" i="2" a="1"/>
  <c r="AI581" i="2" s="1"/>
  <c r="Y581" i="2" a="1"/>
  <c r="Y581" i="2" s="1"/>
  <c r="AA581" i="2" a="1"/>
  <c r="AA581" i="2" s="1"/>
  <c r="AF579" i="2" a="1"/>
  <c r="AF579" i="2" s="1"/>
  <c r="AF581" i="2" a="1"/>
  <c r="AF581" i="2" s="1"/>
  <c r="X581" i="2" a="1"/>
  <c r="X581" i="2" s="1"/>
  <c r="W581" i="2" a="1"/>
  <c r="W581" i="2" s="1"/>
  <c r="AJ580" i="2" a="1"/>
  <c r="AJ580" i="2" s="1"/>
  <c r="AI580" i="2" a="1"/>
  <c r="AI580" i="2" s="1"/>
  <c r="AB580" i="2" a="1"/>
  <c r="AB580" i="2" s="1"/>
  <c r="Z580" i="2" a="1"/>
  <c r="Z580" i="2" s="1"/>
  <c r="AI579" i="2" a="1"/>
  <c r="AI579" i="2" s="1"/>
  <c r="AJ578" i="2" a="1"/>
  <c r="AJ578" i="2" s="1"/>
  <c r="X580" i="2" a="1"/>
  <c r="X580" i="2" s="1"/>
  <c r="Y580" i="2" a="1"/>
  <c r="Y580" i="2" s="1"/>
  <c r="AC579" i="2" a="1"/>
  <c r="AC579" i="2" s="1"/>
  <c r="X579" i="2" a="1"/>
  <c r="X579" i="2" s="1"/>
  <c r="AI578" i="2" a="1"/>
  <c r="AI578" i="2" s="1"/>
  <c r="AH578" i="2" a="1"/>
  <c r="AH578" i="2" s="1"/>
  <c r="AC686" i="2" a="1"/>
  <c r="AC686" i="2" s="1"/>
  <c r="AH580" i="2" a="1"/>
  <c r="AH580" i="2" s="1"/>
  <c r="AH581" i="2" a="1"/>
  <c r="AH581" i="2" s="1"/>
  <c r="W580" i="2" a="1"/>
  <c r="W580" i="2" s="1"/>
  <c r="AB578" i="2" a="1"/>
  <c r="AB578" i="2" s="1"/>
  <c r="AE578" i="2" a="1"/>
  <c r="AE578" i="2" s="1"/>
  <c r="AD578" i="2" a="1"/>
  <c r="AD578" i="2" s="1"/>
  <c r="AC578" i="2" a="1"/>
  <c r="AC578" i="2" s="1"/>
  <c r="AA578" i="2" a="1"/>
  <c r="AA578" i="2" s="1"/>
  <c r="AG577" i="2" a="1"/>
  <c r="AG577" i="2" s="1"/>
  <c r="AC577" i="2" a="1"/>
  <c r="AC577" i="2" s="1"/>
  <c r="AB577" i="2" a="1"/>
  <c r="AB577" i="2" s="1"/>
  <c r="AA577" i="2" a="1"/>
  <c r="AA577" i="2" s="1"/>
  <c r="AF575" i="2" a="1"/>
  <c r="AF575" i="2" s="1"/>
  <c r="AA575" i="2" a="1"/>
  <c r="AA575" i="2" s="1"/>
  <c r="W577" i="2" a="1"/>
  <c r="W577" i="2" s="1"/>
  <c r="AE576" i="2" a="1"/>
  <c r="AE576" i="2" s="1"/>
  <c r="W576" i="2" a="1"/>
  <c r="W576" i="2" s="1"/>
  <c r="AD576" i="2" a="1"/>
  <c r="AD576" i="2" s="1"/>
  <c r="X576" i="2" a="1"/>
  <c r="X576" i="2" s="1"/>
  <c r="Y576" i="2" a="1"/>
  <c r="Y576" i="2" s="1"/>
  <c r="X575" i="2" a="1"/>
  <c r="X575" i="2" s="1"/>
  <c r="Y578" i="2" a="1"/>
  <c r="Y578" i="2" s="1"/>
  <c r="X578" i="2" a="1"/>
  <c r="X578" i="2" s="1"/>
  <c r="Y577" i="2" a="1"/>
  <c r="Y577" i="2" s="1"/>
  <c r="AH575" i="2" a="1"/>
  <c r="AH575" i="2" s="1"/>
  <c r="AI574" i="2" a="1"/>
  <c r="AI574" i="2" s="1"/>
  <c r="AH577" i="2" a="1"/>
  <c r="AH577" i="2" s="1"/>
  <c r="X577" i="2" a="1"/>
  <c r="X577" i="2" s="1"/>
  <c r="AC575" i="2" a="1"/>
  <c r="AC575" i="2" s="1"/>
  <c r="AH574" i="2" a="1"/>
  <c r="AH574" i="2" s="1"/>
  <c r="AA576" i="2" a="1"/>
  <c r="AA576" i="2" s="1"/>
  <c r="W578" i="2" a="1"/>
  <c r="W578" i="2" s="1"/>
  <c r="AF576" i="2" a="1"/>
  <c r="AF576" i="2" s="1"/>
  <c r="AG575" i="2" a="1"/>
  <c r="AG575" i="2" s="1"/>
  <c r="AD574" i="2" a="1"/>
  <c r="AD574" i="2" s="1"/>
  <c r="AF577" i="2" a="1"/>
  <c r="AF577" i="2" s="1"/>
  <c r="AJ576" i="2" a="1"/>
  <c r="AJ576" i="2" s="1"/>
  <c r="AI575" i="2" a="1"/>
  <c r="AI575" i="2" s="1"/>
  <c r="AH576" i="2" a="1"/>
  <c r="AH576" i="2" s="1"/>
  <c r="AA574" i="2" a="1"/>
  <c r="AA574" i="2" s="1"/>
  <c r="AJ577" i="2" a="1"/>
  <c r="AJ577" i="2" s="1"/>
  <c r="AI577" i="2" a="1"/>
  <c r="AI577" i="2" s="1"/>
  <c r="Z577" i="2" a="1"/>
  <c r="Z577" i="2" s="1"/>
  <c r="AD575" i="2" a="1"/>
  <c r="AD575" i="2" s="1"/>
  <c r="W575" i="2" a="1"/>
  <c r="W575" i="2" s="1"/>
  <c r="AG576" i="2" a="1"/>
  <c r="AG576" i="2" s="1"/>
  <c r="Y575" i="2" a="1"/>
  <c r="Y575" i="2" s="1"/>
  <c r="AB575" i="2" a="1"/>
  <c r="AB575" i="2" s="1"/>
  <c r="Z575" i="2" a="1"/>
  <c r="Z575" i="2" s="1"/>
  <c r="AG574" i="2" a="1"/>
  <c r="AG574" i="2" s="1"/>
  <c r="AC687" i="2" a="1"/>
  <c r="AC687" i="2" s="1"/>
  <c r="AG578" i="2" a="1"/>
  <c r="AG578" i="2" s="1"/>
  <c r="AD577" i="2" a="1"/>
  <c r="AD577" i="2" s="1"/>
  <c r="AI576" i="2" a="1"/>
  <c r="AI576" i="2" s="1"/>
  <c r="AC576" i="2" a="1"/>
  <c r="AC576" i="2" s="1"/>
  <c r="AF574" i="2" a="1"/>
  <c r="AF574" i="2" s="1"/>
  <c r="AB574" i="2" a="1"/>
  <c r="AB574" i="2" s="1"/>
  <c r="AE574" i="2" a="1"/>
  <c r="AE574" i="2" s="1"/>
  <c r="AJ574" i="2" a="1"/>
  <c r="AJ574" i="2" s="1"/>
  <c r="AC574" i="2" a="1"/>
  <c r="AC574" i="2" s="1"/>
  <c r="Z576" i="2" a="1"/>
  <c r="Z576" i="2" s="1"/>
  <c r="AE577" i="2" a="1"/>
  <c r="AE577" i="2" s="1"/>
  <c r="AF578" i="2" a="1"/>
  <c r="AF578" i="2" s="1"/>
  <c r="Z578" i="2" a="1"/>
  <c r="Z578" i="2" s="1"/>
  <c r="AB576" i="2" a="1"/>
  <c r="AB576" i="2" s="1"/>
  <c r="AJ575" i="2" a="1"/>
  <c r="AJ575" i="2" s="1"/>
  <c r="AE575" i="2" a="1"/>
  <c r="AE575" i="2" s="1"/>
  <c r="Y572" i="2" a="1"/>
  <c r="Y572" i="2" s="1"/>
  <c r="Z571" i="2" a="1"/>
  <c r="Z571" i="2" s="1"/>
  <c r="AG571" i="2" a="1"/>
  <c r="AG571" i="2" s="1"/>
  <c r="AI570" i="2" a="1"/>
  <c r="AI570" i="2" s="1"/>
  <c r="AA573" i="2" a="1"/>
  <c r="AA573" i="2" s="1"/>
  <c r="AC571" i="2" a="1"/>
  <c r="AC571" i="2" s="1"/>
  <c r="AF571" i="2" a="1"/>
  <c r="AF571" i="2" s="1"/>
  <c r="AI571" i="2" a="1"/>
  <c r="AI571" i="2" s="1"/>
  <c r="AJ572" i="2" a="1"/>
  <c r="AJ572" i="2" s="1"/>
  <c r="AI572" i="2" a="1"/>
  <c r="AI572" i="2" s="1"/>
  <c r="AC572" i="2" a="1"/>
  <c r="AC572" i="2" s="1"/>
  <c r="AH573" i="2" a="1"/>
  <c r="AH573" i="2" s="1"/>
  <c r="AA571" i="2" a="1"/>
  <c r="AA571" i="2" s="1"/>
  <c r="AG573" i="2" a="1"/>
  <c r="AG573" i="2" s="1"/>
  <c r="AC573" i="2" a="1"/>
  <c r="AC573" i="2" s="1"/>
  <c r="Z573" i="2" a="1"/>
  <c r="Z573" i="2" s="1"/>
  <c r="AF572" i="2" a="1"/>
  <c r="AF572" i="2" s="1"/>
  <c r="AH570" i="2" a="1"/>
  <c r="AH570" i="2" s="1"/>
  <c r="X571" i="2" a="1"/>
  <c r="X571" i="2" s="1"/>
  <c r="AE572" i="2" a="1"/>
  <c r="AE572" i="2" s="1"/>
  <c r="AD572" i="2" a="1"/>
  <c r="AD572" i="2" s="1"/>
  <c r="W572" i="2" a="1"/>
  <c r="W572" i="2" s="1"/>
  <c r="AB572" i="2" a="1"/>
  <c r="AB572" i="2" s="1"/>
  <c r="W573" i="2" a="1"/>
  <c r="W573" i="2" s="1"/>
  <c r="AH571" i="2" a="1"/>
  <c r="AH571" i="2" s="1"/>
  <c r="X573" i="2" a="1"/>
  <c r="X573" i="2" s="1"/>
  <c r="X572" i="2" a="1"/>
  <c r="X572" i="2" s="1"/>
  <c r="AE571" i="2" a="1"/>
  <c r="AE571" i="2" s="1"/>
  <c r="AB573" i="2" a="1"/>
  <c r="AB573" i="2" s="1"/>
  <c r="AJ571" i="2" a="1"/>
  <c r="AJ571" i="2" s="1"/>
  <c r="AB686" i="2" a="1"/>
  <c r="AB686" i="2" s="1"/>
  <c r="Z574" i="2" a="1"/>
  <c r="Z574" i="2" s="1"/>
  <c r="Y574" i="2" a="1"/>
  <c r="Y574" i="2" s="1"/>
  <c r="AJ573" i="2" a="1"/>
  <c r="AJ573" i="2" s="1"/>
  <c r="AD571" i="2" a="1"/>
  <c r="AD571" i="2" s="1"/>
  <c r="AF573" i="2" a="1"/>
  <c r="AF573" i="2" s="1"/>
  <c r="W571" i="2" a="1"/>
  <c r="W571" i="2" s="1"/>
  <c r="X574" i="2" a="1"/>
  <c r="X574" i="2" s="1"/>
  <c r="W574" i="2" a="1"/>
  <c r="W574" i="2" s="1"/>
  <c r="Y571" i="2" a="1"/>
  <c r="Y571" i="2" s="1"/>
  <c r="AB571" i="2" a="1"/>
  <c r="AB571" i="2" s="1"/>
  <c r="AJ570" i="2" a="1"/>
  <c r="AJ570" i="2" s="1"/>
  <c r="AE573" i="2" a="1"/>
  <c r="AE573" i="2" s="1"/>
  <c r="AD573" i="2" a="1"/>
  <c r="AD573" i="2" s="1"/>
  <c r="AI573" i="2" a="1"/>
  <c r="AI573" i="2" s="1"/>
  <c r="AH572" i="2" a="1"/>
  <c r="AH572" i="2" s="1"/>
  <c r="Z572" i="2" a="1"/>
  <c r="Z572" i="2" s="1"/>
  <c r="AG572" i="2" a="1"/>
  <c r="AG572" i="2" s="1"/>
  <c r="AA572" i="2" a="1"/>
  <c r="AA572" i="2" s="1"/>
  <c r="Y573" i="2" a="1"/>
  <c r="Y573" i="2" s="1"/>
  <c r="W567" i="2" a="1"/>
  <c r="W567" i="2" s="1"/>
  <c r="AF569" i="2" a="1"/>
  <c r="AF569" i="2" s="1"/>
  <c r="AC569" i="2" a="1"/>
  <c r="AC569" i="2" s="1"/>
  <c r="AD567" i="2" a="1"/>
  <c r="AD567" i="2" s="1"/>
  <c r="AA569" i="2" a="1"/>
  <c r="AA569" i="2" s="1"/>
  <c r="W569" i="2" a="1"/>
  <c r="W569" i="2" s="1"/>
  <c r="AI568" i="2" a="1"/>
  <c r="AI568" i="2" s="1"/>
  <c r="AH568" i="2" a="1"/>
  <c r="AH568" i="2" s="1"/>
  <c r="Y568" i="2" a="1"/>
  <c r="Y568" i="2" s="1"/>
  <c r="AC567" i="2" a="1"/>
  <c r="AC567" i="2" s="1"/>
  <c r="X567" i="2" a="1"/>
  <c r="X567" i="2" s="1"/>
  <c r="AG566" i="2" a="1"/>
  <c r="AG566" i="2" s="1"/>
  <c r="AE568" i="2" a="1"/>
  <c r="AE568" i="2" s="1"/>
  <c r="AB568" i="2" a="1"/>
  <c r="AB568" i="2" s="1"/>
  <c r="AI567" i="2" a="1"/>
  <c r="AI567" i="2" s="1"/>
  <c r="AG567" i="2" a="1"/>
  <c r="AG567" i="2" s="1"/>
  <c r="AB567" i="2" a="1"/>
  <c r="AB567" i="2" s="1"/>
  <c r="AD566" i="2" a="1"/>
  <c r="AD566" i="2" s="1"/>
  <c r="AH566" i="2" a="1"/>
  <c r="AH566" i="2" s="1"/>
  <c r="AH567" i="2" a="1"/>
  <c r="AH567" i="2" s="1"/>
  <c r="AJ566" i="2" a="1"/>
  <c r="AJ566" i="2" s="1"/>
  <c r="AA566" i="2" a="1"/>
  <c r="AA566" i="2" s="1"/>
  <c r="AA567" i="2" a="1"/>
  <c r="AA567" i="2" s="1"/>
  <c r="AC568" i="2" a="1"/>
  <c r="AC568" i="2" s="1"/>
  <c r="AJ687" i="2" a="1"/>
  <c r="AJ687" i="2" s="1"/>
  <c r="X570" i="2" a="1"/>
  <c r="X570" i="2" s="1"/>
  <c r="AE566" i="2" a="1"/>
  <c r="AE566" i="2" s="1"/>
  <c r="AG569" i="2" a="1"/>
  <c r="AG569" i="2" s="1"/>
  <c r="W568" i="2" a="1"/>
  <c r="W568" i="2" s="1"/>
  <c r="AG570" i="2" a="1"/>
  <c r="AG570" i="2" s="1"/>
  <c r="Z569" i="2" a="1"/>
  <c r="Z569" i="2" s="1"/>
  <c r="AF570" i="2" a="1"/>
  <c r="AF570" i="2" s="1"/>
  <c r="AE570" i="2" a="1"/>
  <c r="AE570" i="2" s="1"/>
  <c r="Z570" i="2" a="1"/>
  <c r="Z570" i="2" s="1"/>
  <c r="AC566" i="2" a="1"/>
  <c r="AC566" i="2" s="1"/>
  <c r="Y569" i="2" a="1"/>
  <c r="Y569" i="2" s="1"/>
  <c r="AJ569" i="2" a="1"/>
  <c r="AJ569" i="2" s="1"/>
  <c r="Z567" i="2" a="1"/>
  <c r="Z567" i="2" s="1"/>
  <c r="AF568" i="2" a="1"/>
  <c r="AF568" i="2" s="1"/>
  <c r="AB569" i="2" a="1"/>
  <c r="AB569" i="2" s="1"/>
  <c r="AF567" i="2" a="1"/>
  <c r="AF567" i="2" s="1"/>
  <c r="Y567" i="2" a="1"/>
  <c r="Y567" i="2" s="1"/>
  <c r="AD569" i="2" a="1"/>
  <c r="AD569" i="2" s="1"/>
  <c r="AA568" i="2" a="1"/>
  <c r="AA568" i="2" s="1"/>
  <c r="AE569" i="2" a="1"/>
  <c r="AE569" i="2" s="1"/>
  <c r="X568" i="2" a="1"/>
  <c r="X568" i="2" s="1"/>
  <c r="AD570" i="2" a="1"/>
  <c r="AD570" i="2" s="1"/>
  <c r="AI569" i="2" a="1"/>
  <c r="AI569" i="2" s="1"/>
  <c r="W570" i="2" a="1"/>
  <c r="W570" i="2" s="1"/>
  <c r="AC570" i="2" a="1"/>
  <c r="AC570" i="2" s="1"/>
  <c r="AJ568" i="2" a="1"/>
  <c r="AJ568" i="2" s="1"/>
  <c r="AI566" i="2" a="1"/>
  <c r="AI566" i="2" s="1"/>
  <c r="AG568" i="2" a="1"/>
  <c r="AG568" i="2" s="1"/>
  <c r="AD568" i="2" a="1"/>
  <c r="AD568" i="2" s="1"/>
  <c r="AF566" i="2" a="1"/>
  <c r="AF566" i="2" s="1"/>
  <c r="Z568" i="2" a="1"/>
  <c r="Z568" i="2" s="1"/>
  <c r="AE567" i="2" a="1"/>
  <c r="AE567" i="2" s="1"/>
  <c r="AJ567" i="2" a="1"/>
  <c r="AJ567" i="2" s="1"/>
  <c r="AB566" i="2" a="1"/>
  <c r="AB566" i="2" s="1"/>
  <c r="AB570" i="2" a="1"/>
  <c r="AB570" i="2" s="1"/>
  <c r="AA570" i="2" a="1"/>
  <c r="AA570" i="2" s="1"/>
  <c r="Y570" i="2" a="1"/>
  <c r="Y570" i="2" s="1"/>
  <c r="AH569" i="2" a="1"/>
  <c r="AH569" i="2" s="1"/>
  <c r="X569" i="2" a="1"/>
  <c r="X569" i="2" s="1"/>
  <c r="AD564" i="2" a="1"/>
  <c r="AD564" i="2" s="1"/>
  <c r="AD565" i="2" a="1"/>
  <c r="AD565" i="2" s="1"/>
  <c r="AB565" i="2" a="1"/>
  <c r="AB565" i="2" s="1"/>
  <c r="Z562" i="2" a="1"/>
  <c r="Z562" i="2" s="1"/>
  <c r="W562" i="2" a="1"/>
  <c r="W562" i="2" s="1"/>
  <c r="AJ564" i="2" a="1"/>
  <c r="AJ564" i="2" s="1"/>
  <c r="AH564" i="2" a="1"/>
  <c r="AH564" i="2" s="1"/>
  <c r="Y564" i="2" a="1"/>
  <c r="Y564" i="2" s="1"/>
  <c r="Y562" i="2" a="1"/>
  <c r="Y562" i="2" s="1"/>
  <c r="AI565" i="2" a="1"/>
  <c r="AI565" i="2" s="1"/>
  <c r="AE562" i="2" a="1"/>
  <c r="AE562" i="2" s="1"/>
  <c r="AG564" i="2" a="1"/>
  <c r="AG564" i="2" s="1"/>
  <c r="AI561" i="2" a="1"/>
  <c r="AI561" i="2" s="1"/>
  <c r="X564" i="2" a="1"/>
  <c r="X564" i="2" s="1"/>
  <c r="AB564" i="2" a="1"/>
  <c r="AB564" i="2" s="1"/>
  <c r="AB562" i="2" a="1"/>
  <c r="AB562" i="2" s="1"/>
  <c r="X566" i="2" a="1"/>
  <c r="X566" i="2" s="1"/>
  <c r="AJ561" i="2" a="1"/>
  <c r="AJ561" i="2" s="1"/>
  <c r="W564" i="2" a="1"/>
  <c r="W564" i="2" s="1"/>
  <c r="AA686" i="2" a="1"/>
  <c r="AA686" i="2" s="1"/>
  <c r="AA565" i="2" a="1"/>
  <c r="AA565" i="2" s="1"/>
  <c r="AF565" i="2" a="1"/>
  <c r="AF565" i="2" s="1"/>
  <c r="AI564" i="2" a="1"/>
  <c r="AI564" i="2" s="1"/>
  <c r="Z564" i="2" a="1"/>
  <c r="Z564" i="2" s="1"/>
  <c r="AA564" i="2" a="1"/>
  <c r="AA564" i="2" s="1"/>
  <c r="AA562" i="2" a="1"/>
  <c r="AA562" i="2" s="1"/>
  <c r="AG562" i="2" a="1"/>
  <c r="AG562" i="2" s="1"/>
  <c r="Z566" i="2" a="1"/>
  <c r="Z566" i="2" s="1"/>
  <c r="W566" i="2" a="1"/>
  <c r="W566" i="2" s="1"/>
  <c r="Z565" i="2" a="1"/>
  <c r="Z565" i="2" s="1"/>
  <c r="AG565" i="2" a="1"/>
  <c r="AG565" i="2" s="1"/>
  <c r="AJ562" i="2" a="1"/>
  <c r="AJ562" i="2" s="1"/>
  <c r="AF564" i="2" a="1"/>
  <c r="AF564" i="2" s="1"/>
  <c r="AI562" i="2" a="1"/>
  <c r="AI562" i="2" s="1"/>
  <c r="AE565" i="2" a="1"/>
  <c r="AE565" i="2" s="1"/>
  <c r="AC565" i="2" a="1"/>
  <c r="AC565" i="2" s="1"/>
  <c r="AD562" i="2" a="1"/>
  <c r="AD562" i="2" s="1"/>
  <c r="AC562" i="2" a="1"/>
  <c r="AC562" i="2" s="1"/>
  <c r="X562" i="2" a="1"/>
  <c r="X562" i="2" s="1"/>
  <c r="X565" i="2" a="1"/>
  <c r="X565" i="2" s="1"/>
  <c r="Y566" i="2" a="1"/>
  <c r="Y566" i="2" s="1"/>
  <c r="Y565" i="2" a="1"/>
  <c r="Y565" i="2" s="1"/>
  <c r="AF562" i="2" a="1"/>
  <c r="AF562" i="2" s="1"/>
  <c r="AH561" i="2" a="1"/>
  <c r="AH561" i="2" s="1"/>
  <c r="AJ565" i="2" a="1"/>
  <c r="AJ565" i="2" s="1"/>
  <c r="AH565" i="2" a="1"/>
  <c r="AH565" i="2" s="1"/>
  <c r="AH562" i="2" a="1"/>
  <c r="AH562" i="2" s="1"/>
  <c r="W565" i="2" a="1"/>
  <c r="W565" i="2" s="1"/>
  <c r="AE564" i="2" a="1"/>
  <c r="AE564" i="2" s="1"/>
  <c r="AC564" i="2" a="1"/>
  <c r="AC564" i="2" s="1"/>
  <c r="AC558" i="2" a="1"/>
  <c r="AC558" i="2" s="1"/>
  <c r="AB557" i="2" a="1"/>
  <c r="AB557" i="2" s="1"/>
  <c r="AD561" i="2" a="1"/>
  <c r="AD561" i="2" s="1"/>
  <c r="X561" i="2" a="1"/>
  <c r="X561" i="2" s="1"/>
  <c r="AJ560" i="2" a="1"/>
  <c r="AJ560" i="2" s="1"/>
  <c r="AG560" i="2" a="1"/>
  <c r="AG560" i="2" s="1"/>
  <c r="Z559" i="2" a="1"/>
  <c r="Z559" i="2" s="1"/>
  <c r="AD560" i="2" a="1"/>
  <c r="AD560" i="2" s="1"/>
  <c r="X559" i="2" a="1"/>
  <c r="X559" i="2" s="1"/>
  <c r="Y560" i="2" a="1"/>
  <c r="Y560" i="2" s="1"/>
  <c r="AC559" i="2" a="1"/>
  <c r="AC559" i="2" s="1"/>
  <c r="Y559" i="2" a="1"/>
  <c r="Y559" i="2" s="1"/>
  <c r="Y558" i="2" a="1"/>
  <c r="Y558" i="2" s="1"/>
  <c r="AA558" i="2" a="1"/>
  <c r="AA558" i="2" s="1"/>
  <c r="AF560" i="2" a="1"/>
  <c r="AF560" i="2" s="1"/>
  <c r="W560" i="2" a="1"/>
  <c r="W560" i="2" s="1"/>
  <c r="AJ559" i="2" a="1"/>
  <c r="AJ559" i="2" s="1"/>
  <c r="AH559" i="2" a="1"/>
  <c r="AH559" i="2" s="1"/>
  <c r="AB558" i="2" a="1"/>
  <c r="AB558" i="2" s="1"/>
  <c r="AD557" i="2" a="1"/>
  <c r="AD557" i="2" s="1"/>
  <c r="AA557" i="2" a="1"/>
  <c r="AA557" i="2" s="1"/>
  <c r="AI559" i="2" a="1"/>
  <c r="AI559" i="2" s="1"/>
  <c r="AC561" i="2" a="1"/>
  <c r="AC561" i="2" s="1"/>
  <c r="W558" i="2" a="1"/>
  <c r="W558" i="2" s="1"/>
  <c r="Y561" i="2" a="1"/>
  <c r="Y561" i="2" s="1"/>
  <c r="Z558" i="2" a="1"/>
  <c r="Z558" i="2" s="1"/>
  <c r="AI557" i="2" a="1"/>
  <c r="AI557" i="2" s="1"/>
  <c r="AE560" i="2" a="1"/>
  <c r="AE560" i="2" s="1"/>
  <c r="X560" i="2" a="1"/>
  <c r="X560" i="2" s="1"/>
  <c r="AB687" i="2" a="1"/>
  <c r="AB687" i="2" s="1"/>
  <c r="AG561" i="2" a="1"/>
  <c r="AG561" i="2" s="1"/>
  <c r="AI560" i="2" a="1"/>
  <c r="AI560" i="2" s="1"/>
  <c r="X558" i="2" a="1"/>
  <c r="X558" i="2" s="1"/>
  <c r="AF557" i="2" a="1"/>
  <c r="AF557" i="2" s="1"/>
  <c r="AE557" i="2" a="1"/>
  <c r="AE557" i="2" s="1"/>
  <c r="AG559" i="2" a="1"/>
  <c r="AG559" i="2" s="1"/>
  <c r="AE559" i="2" a="1"/>
  <c r="AE559" i="2" s="1"/>
  <c r="AF561" i="2" a="1"/>
  <c r="AF561" i="2" s="1"/>
  <c r="AD558" i="2" a="1"/>
  <c r="AD558" i="2" s="1"/>
  <c r="AC557" i="2" a="1"/>
  <c r="AC557" i="2" s="1"/>
  <c r="AE561" i="2" a="1"/>
  <c r="AE561" i="2" s="1"/>
  <c r="AJ557" i="2" a="1"/>
  <c r="AJ557" i="2" s="1"/>
  <c r="AB561" i="2" a="1"/>
  <c r="AB561" i="2" s="1"/>
  <c r="W561" i="2" a="1"/>
  <c r="W561" i="2" s="1"/>
  <c r="AD559" i="2" a="1"/>
  <c r="AD559" i="2" s="1"/>
  <c r="AC560" i="2" a="1"/>
  <c r="AC560" i="2" s="1"/>
  <c r="AJ558" i="2" a="1"/>
  <c r="AJ558" i="2" s="1"/>
  <c r="Z560" i="2" a="1"/>
  <c r="Z560" i="2" s="1"/>
  <c r="AA559" i="2" a="1"/>
  <c r="AA559" i="2" s="1"/>
  <c r="AA561" i="2" a="1"/>
  <c r="AA561" i="2" s="1"/>
  <c r="Z561" i="2" a="1"/>
  <c r="Z561" i="2" s="1"/>
  <c r="AF559" i="2" a="1"/>
  <c r="AF559" i="2" s="1"/>
  <c r="AI558" i="2" a="1"/>
  <c r="AI558" i="2" s="1"/>
  <c r="AG557" i="2" a="1"/>
  <c r="AG557" i="2" s="1"/>
  <c r="AH558" i="2" a="1"/>
  <c r="AH558" i="2" s="1"/>
  <c r="AH557" i="2" a="1"/>
  <c r="AH557" i="2" s="1"/>
  <c r="AA560" i="2" a="1"/>
  <c r="AA560" i="2" s="1"/>
  <c r="AH560" i="2" a="1"/>
  <c r="AH560" i="2" s="1"/>
  <c r="AB560" i="2" a="1"/>
  <c r="AB560" i="2" s="1"/>
  <c r="AB559" i="2" a="1"/>
  <c r="AB559" i="2" s="1"/>
  <c r="W559" i="2" a="1"/>
  <c r="W559" i="2" s="1"/>
  <c r="AG558" i="2" a="1"/>
  <c r="AG558" i="2" s="1"/>
  <c r="AF558" i="2" a="1"/>
  <c r="AF558" i="2" s="1"/>
  <c r="AE558" i="2" a="1"/>
  <c r="AE558" i="2" s="1"/>
  <c r="AE556" i="2" a="1"/>
  <c r="AE556" i="2" s="1"/>
  <c r="AG556" i="2" a="1"/>
  <c r="AG556" i="2" s="1"/>
  <c r="AC556" i="2" a="1"/>
  <c r="AC556" i="2" s="1"/>
  <c r="AD552" i="2" a="1"/>
  <c r="AD552" i="2" s="1"/>
  <c r="AH551" i="2" a="1"/>
  <c r="AH551" i="2" s="1"/>
  <c r="AJ550" i="2" a="1"/>
  <c r="AJ550" i="2" s="1"/>
  <c r="AH550" i="2" a="1"/>
  <c r="AH550" i="2" s="1"/>
  <c r="W556" i="2" a="1"/>
  <c r="W556" i="2" s="1"/>
  <c r="AB552" i="2" a="1"/>
  <c r="AB552" i="2" s="1"/>
  <c r="AF553" i="2" a="1"/>
  <c r="AF553" i="2" s="1"/>
  <c r="W553" i="2" a="1"/>
  <c r="W553" i="2" s="1"/>
  <c r="AE553" i="2" a="1"/>
  <c r="AE553" i="2" s="1"/>
  <c r="AC552" i="2" a="1"/>
  <c r="AC552" i="2" s="1"/>
  <c r="Z551" i="2" a="1"/>
  <c r="Z551" i="2" s="1"/>
  <c r="AI550" i="2" a="1"/>
  <c r="AI550" i="2" s="1"/>
  <c r="AA553" i="2" a="1"/>
  <c r="AA553" i="2" s="1"/>
  <c r="AH552" i="2" a="1"/>
  <c r="AH552" i="2" s="1"/>
  <c r="AE551" i="2" a="1"/>
  <c r="AE551" i="2" s="1"/>
  <c r="AG551" i="2" a="1"/>
  <c r="AG551" i="2" s="1"/>
  <c r="AF551" i="2" a="1"/>
  <c r="AF551" i="2" s="1"/>
  <c r="Y557" i="2" a="1"/>
  <c r="Y557" i="2" s="1"/>
  <c r="AH553" i="2" a="1"/>
  <c r="AH553" i="2" s="1"/>
  <c r="AH556" i="2" a="1"/>
  <c r="AH556" i="2" s="1"/>
  <c r="Z552" i="2" a="1"/>
  <c r="Z552" i="2" s="1"/>
  <c r="AF556" i="2" a="1"/>
  <c r="AF556" i="2" s="1"/>
  <c r="AD556" i="2" a="1"/>
  <c r="AD556" i="2" s="1"/>
  <c r="AG552" i="2" a="1"/>
  <c r="AG552" i="2" s="1"/>
  <c r="AI551" i="2" a="1"/>
  <c r="AI551" i="2" s="1"/>
  <c r="AA556" i="2" a="1"/>
  <c r="AA556" i="2" s="1"/>
  <c r="W551" i="2" a="1"/>
  <c r="W551" i="2" s="1"/>
  <c r="Y552" i="2" a="1"/>
  <c r="Y552" i="2" s="1"/>
  <c r="AB551" i="2" a="1"/>
  <c r="AB551" i="2" s="1"/>
  <c r="AB556" i="2" a="1"/>
  <c r="AB556" i="2" s="1"/>
  <c r="AJ553" i="2" a="1"/>
  <c r="AJ553" i="2" s="1"/>
  <c r="AA552" i="2" a="1"/>
  <c r="AA552" i="2" s="1"/>
  <c r="Y556" i="2" a="1"/>
  <c r="Y556" i="2" s="1"/>
  <c r="AG553" i="2" a="1"/>
  <c r="AG553" i="2" s="1"/>
  <c r="AB553" i="2" a="1"/>
  <c r="AB553" i="2" s="1"/>
  <c r="Y553" i="2" a="1"/>
  <c r="Y553" i="2" s="1"/>
  <c r="X553" i="2" a="1"/>
  <c r="X553" i="2" s="1"/>
  <c r="AJ552" i="2" a="1"/>
  <c r="AJ552" i="2" s="1"/>
  <c r="AD551" i="2" a="1"/>
  <c r="AD551" i="2" s="1"/>
  <c r="AI552" i="2" a="1"/>
  <c r="AI552" i="2" s="1"/>
  <c r="W552" i="2" a="1"/>
  <c r="W552" i="2" s="1"/>
  <c r="Y551" i="2" a="1"/>
  <c r="Y551" i="2" s="1"/>
  <c r="X551" i="2" a="1"/>
  <c r="X551" i="2" s="1"/>
  <c r="AE552" i="2" a="1"/>
  <c r="AE552" i="2" s="1"/>
  <c r="AJ551" i="2" a="1"/>
  <c r="AJ551" i="2" s="1"/>
  <c r="X552" i="2" a="1"/>
  <c r="X552" i="2" s="1"/>
  <c r="Z686" i="2" a="1"/>
  <c r="Z686" i="2" s="1"/>
  <c r="AA551" i="2" a="1"/>
  <c r="AA551" i="2" s="1"/>
  <c r="Z557" i="2" a="1"/>
  <c r="Z557" i="2" s="1"/>
  <c r="X557" i="2" a="1"/>
  <c r="X557" i="2" s="1"/>
  <c r="W557" i="2" a="1"/>
  <c r="W557" i="2" s="1"/>
  <c r="AC553" i="2" a="1"/>
  <c r="AC553" i="2" s="1"/>
  <c r="Z553" i="2" a="1"/>
  <c r="Z553" i="2" s="1"/>
  <c r="AJ556" i="2" a="1"/>
  <c r="AJ556" i="2" s="1"/>
  <c r="Z556" i="2" a="1"/>
  <c r="Z556" i="2" s="1"/>
  <c r="AI553" i="2" a="1"/>
  <c r="AI553" i="2" s="1"/>
  <c r="AI556" i="2" a="1"/>
  <c r="AI556" i="2" s="1"/>
  <c r="AC551" i="2" a="1"/>
  <c r="AC551" i="2" s="1"/>
  <c r="AF552" i="2" a="1"/>
  <c r="AF552" i="2" s="1"/>
  <c r="X556" i="2" a="1"/>
  <c r="X556" i="2" s="1"/>
  <c r="AD553" i="2" a="1"/>
  <c r="AD553" i="2" s="1"/>
  <c r="X549" i="2" a="1"/>
  <c r="X549" i="2" s="1"/>
  <c r="AJ548" i="2" a="1"/>
  <c r="AJ548" i="2" s="1"/>
  <c r="AE548" i="2" a="1"/>
  <c r="AE548" i="2" s="1"/>
  <c r="AC548" i="2" a="1"/>
  <c r="AC548" i="2" s="1"/>
  <c r="AB548" i="2" a="1"/>
  <c r="AB548" i="2" s="1"/>
  <c r="AA548" i="2" a="1"/>
  <c r="AA548" i="2" s="1"/>
  <c r="AG545" i="2" a="1"/>
  <c r="AG545" i="2" s="1"/>
  <c r="AB545" i="2" a="1"/>
  <c r="AB545" i="2" s="1"/>
  <c r="AB544" i="2" a="1"/>
  <c r="AB544" i="2" s="1"/>
  <c r="AD545" i="2" a="1"/>
  <c r="AD545" i="2" s="1"/>
  <c r="X545" i="2" a="1"/>
  <c r="X545" i="2" s="1"/>
  <c r="AD544" i="2" a="1"/>
  <c r="AD544" i="2" s="1"/>
  <c r="AA544" i="2" a="1"/>
  <c r="AA544" i="2" s="1"/>
  <c r="W548" i="2" a="1"/>
  <c r="W548" i="2" s="1"/>
  <c r="Z548" i="2" a="1"/>
  <c r="Z548" i="2" s="1"/>
  <c r="W545" i="2" a="1"/>
  <c r="W545" i="2" s="1"/>
  <c r="AE545" i="2" a="1"/>
  <c r="AE545" i="2" s="1"/>
  <c r="AI544" i="2" a="1"/>
  <c r="AI544" i="2" s="1"/>
  <c r="AE544" i="2" a="1"/>
  <c r="AE544" i="2" s="1"/>
  <c r="AJ544" i="2" a="1"/>
  <c r="AJ544" i="2" s="1"/>
  <c r="AI545" i="2" a="1"/>
  <c r="AI545" i="2" s="1"/>
  <c r="AG544" i="2" a="1"/>
  <c r="AG544" i="2" s="1"/>
  <c r="Z550" i="2" a="1"/>
  <c r="Z550" i="2" s="1"/>
  <c r="AH549" i="2" a="1"/>
  <c r="AH549" i="2" s="1"/>
  <c r="AA549" i="2" a="1"/>
  <c r="AA549" i="2" s="1"/>
  <c r="AC688" i="2" a="1"/>
  <c r="AC688" i="2" s="1"/>
  <c r="AG550" i="2" a="1"/>
  <c r="AG550" i="2" s="1"/>
  <c r="AH545" i="2" a="1"/>
  <c r="AH545" i="2" s="1"/>
  <c r="AD548" i="2" a="1"/>
  <c r="AD548" i="2" s="1"/>
  <c r="AF550" i="2" a="1"/>
  <c r="AF550" i="2" s="1"/>
  <c r="Y550" i="2" a="1"/>
  <c r="Y550" i="2" s="1"/>
  <c r="AI548" i="2" a="1"/>
  <c r="AI548" i="2" s="1"/>
  <c r="AF549" i="2" a="1"/>
  <c r="AF549" i="2" s="1"/>
  <c r="Z549" i="2" a="1"/>
  <c r="Z549" i="2" s="1"/>
  <c r="Y549" i="2" a="1"/>
  <c r="Y549" i="2" s="1"/>
  <c r="AE550" i="2" a="1"/>
  <c r="AE550" i="2" s="1"/>
  <c r="AD550" i="2" a="1"/>
  <c r="AD550" i="2" s="1"/>
  <c r="AC550" i="2" a="1"/>
  <c r="AC550" i="2" s="1"/>
  <c r="AB549" i="2" a="1"/>
  <c r="AB549" i="2" s="1"/>
  <c r="W549" i="2" a="1"/>
  <c r="W549" i="2" s="1"/>
  <c r="AJ545" i="2" a="1"/>
  <c r="AJ545" i="2" s="1"/>
  <c r="AH544" i="2" a="1"/>
  <c r="AH544" i="2" s="1"/>
  <c r="AG548" i="2" a="1"/>
  <c r="AG548" i="2" s="1"/>
  <c r="AA545" i="2" a="1"/>
  <c r="AA545" i="2" s="1"/>
  <c r="AA550" i="2" a="1"/>
  <c r="AA550" i="2" s="1"/>
  <c r="AJ549" i="2" a="1"/>
  <c r="AJ549" i="2" s="1"/>
  <c r="AF548" i="2" a="1"/>
  <c r="AF548" i="2" s="1"/>
  <c r="AF545" i="2" a="1"/>
  <c r="AF545" i="2" s="1"/>
  <c r="AH548" i="2" a="1"/>
  <c r="AH548" i="2" s="1"/>
  <c r="AC549" i="2" a="1"/>
  <c r="AC549" i="2" s="1"/>
  <c r="X548" i="2" a="1"/>
  <c r="X548" i="2" s="1"/>
  <c r="AF544" i="2" a="1"/>
  <c r="AF544" i="2" s="1"/>
  <c r="AB550" i="2" a="1"/>
  <c r="AB550" i="2" s="1"/>
  <c r="AC545" i="2" a="1"/>
  <c r="AC545" i="2" s="1"/>
  <c r="AC544" i="2" a="1"/>
  <c r="AC544" i="2" s="1"/>
  <c r="Y548" i="2" a="1"/>
  <c r="Y548" i="2" s="1"/>
  <c r="X550" i="2" a="1"/>
  <c r="X550" i="2" s="1"/>
  <c r="Z545" i="2" a="1"/>
  <c r="Z545" i="2" s="1"/>
  <c r="W550" i="2" a="1"/>
  <c r="W550" i="2" s="1"/>
  <c r="AI549" i="2" a="1"/>
  <c r="AI549" i="2" s="1"/>
  <c r="AG549" i="2" a="1"/>
  <c r="AG549" i="2" s="1"/>
  <c r="AE549" i="2" a="1"/>
  <c r="AE549" i="2" s="1"/>
  <c r="AD549" i="2" a="1"/>
  <c r="AD549" i="2" s="1"/>
  <c r="Y545" i="2" a="1"/>
  <c r="Y545" i="2" s="1"/>
  <c r="AB543" i="2" a="1"/>
  <c r="AB543" i="2" s="1"/>
  <c r="Y543" i="2" a="1"/>
  <c r="Y543" i="2" s="1"/>
  <c r="AG542" i="2" a="1"/>
  <c r="AG542" i="2" s="1"/>
  <c r="AF542" i="2" a="1"/>
  <c r="AF542" i="2" s="1"/>
  <c r="Z542" i="2" a="1"/>
  <c r="Z542" i="2" s="1"/>
  <c r="AG541" i="2" a="1"/>
  <c r="AG541" i="2" s="1"/>
  <c r="W541" i="2" a="1"/>
  <c r="W541" i="2" s="1"/>
  <c r="AD541" i="2" a="1"/>
  <c r="AD541" i="2" s="1"/>
  <c r="AC542" i="2" a="1"/>
  <c r="AC542" i="2" s="1"/>
  <c r="AC541" i="2" a="1"/>
  <c r="AC541" i="2" s="1"/>
  <c r="AE540" i="2" a="1"/>
  <c r="AE540" i="2" s="1"/>
  <c r="AJ540" i="2" a="1"/>
  <c r="AJ540" i="2" s="1"/>
  <c r="AA541" i="2" a="1"/>
  <c r="AA541" i="2" s="1"/>
  <c r="Y540" i="2" a="1"/>
  <c r="Y540" i="2" s="1"/>
  <c r="AI540" i="2" a="1"/>
  <c r="AI540" i="2" s="1"/>
  <c r="Z540" i="2" a="1"/>
  <c r="Z540" i="2" s="1"/>
  <c r="AA540" i="2" a="1"/>
  <c r="AA540" i="2" s="1"/>
  <c r="W540" i="2" a="1"/>
  <c r="W540" i="2" s="1"/>
  <c r="Y544" i="2" a="1"/>
  <c r="Y544" i="2" s="1"/>
  <c r="Y541" i="2" a="1"/>
  <c r="Y541" i="2" s="1"/>
  <c r="X544" i="2" a="1"/>
  <c r="X544" i="2" s="1"/>
  <c r="AD543" i="2" a="1"/>
  <c r="AD543" i="2" s="1"/>
  <c r="AH540" i="2" a="1"/>
  <c r="AH540" i="2" s="1"/>
  <c r="AA543" i="2" a="1"/>
  <c r="AA543" i="2" s="1"/>
  <c r="Z543" i="2" a="1"/>
  <c r="Z543" i="2" s="1"/>
  <c r="X542" i="2" a="1"/>
  <c r="X542" i="2" s="1"/>
  <c r="X543" i="2" a="1"/>
  <c r="X543" i="2" s="1"/>
  <c r="AI541" i="2" a="1"/>
  <c r="AI541" i="2" s="1"/>
  <c r="X540" i="2" a="1"/>
  <c r="X540" i="2" s="1"/>
  <c r="AJ539" i="2" a="1"/>
  <c r="AJ539" i="2" s="1"/>
  <c r="X541" i="2" a="1"/>
  <c r="X541" i="2" s="1"/>
  <c r="AI542" i="2" a="1"/>
  <c r="AI542" i="2" s="1"/>
  <c r="W544" i="2" a="1"/>
  <c r="W544" i="2" s="1"/>
  <c r="AG543" i="2" a="1"/>
  <c r="AG543" i="2" s="1"/>
  <c r="AE543" i="2" a="1"/>
  <c r="AE543" i="2" s="1"/>
  <c r="AE542" i="2" a="1"/>
  <c r="AE542" i="2" s="1"/>
  <c r="AC543" i="2" a="1"/>
  <c r="AC543" i="2" s="1"/>
  <c r="AG540" i="2" a="1"/>
  <c r="AG540" i="2" s="1"/>
  <c r="AH543" i="2" a="1"/>
  <c r="AH543" i="2" s="1"/>
  <c r="AJ543" i="2" a="1"/>
  <c r="AJ543" i="2" s="1"/>
  <c r="Z541" i="2" a="1"/>
  <c r="Z541" i="2" s="1"/>
  <c r="AF540" i="2" a="1"/>
  <c r="AF540" i="2" s="1"/>
  <c r="AE541" i="2" a="1"/>
  <c r="AE541" i="2" s="1"/>
  <c r="AB541" i="2" a="1"/>
  <c r="AB541" i="2" s="1"/>
  <c r="AD542" i="2" a="1"/>
  <c r="AD542" i="2" s="1"/>
  <c r="AA542" i="2" a="1"/>
  <c r="AA542" i="2" s="1"/>
  <c r="W542" i="2" a="1"/>
  <c r="W542" i="2" s="1"/>
  <c r="AH542" i="2" a="1"/>
  <c r="AH542" i="2" s="1"/>
  <c r="Y542" i="2" a="1"/>
  <c r="Y542" i="2" s="1"/>
  <c r="AF541" i="2" a="1"/>
  <c r="AF541" i="2" s="1"/>
  <c r="AC540" i="2" a="1"/>
  <c r="AC540" i="2" s="1"/>
  <c r="AB542" i="2" a="1"/>
  <c r="AB542" i="2" s="1"/>
  <c r="AJ541" i="2" a="1"/>
  <c r="AJ541" i="2" s="1"/>
  <c r="Y686" i="2" a="1"/>
  <c r="Y686" i="2" s="1"/>
  <c r="Z544" i="2" a="1"/>
  <c r="Z544" i="2" s="1"/>
  <c r="AD540" i="2" a="1"/>
  <c r="AD540" i="2" s="1"/>
  <c r="AI543" i="2" a="1"/>
  <c r="AI543" i="2" s="1"/>
  <c r="AB540" i="2" a="1"/>
  <c r="AB540" i="2" s="1"/>
  <c r="W543" i="2" a="1"/>
  <c r="W543" i="2" s="1"/>
  <c r="AJ542" i="2" a="1"/>
  <c r="AJ542" i="2" s="1"/>
  <c r="AH539" i="2" a="1"/>
  <c r="AH539" i="2" s="1"/>
  <c r="AH541" i="2" a="1"/>
  <c r="AH541" i="2" s="1"/>
  <c r="AI539" i="2" a="1"/>
  <c r="AI539" i="2" s="1"/>
  <c r="AF543" i="2" a="1"/>
  <c r="AF543" i="2" s="1"/>
  <c r="AH268" i="2" a="1"/>
  <c r="AH268" i="2" s="1"/>
  <c r="AG268" i="2" a="1"/>
  <c r="AG268" i="2" s="1"/>
  <c r="AB268" i="2" a="1"/>
  <c r="AB268" i="2" s="1"/>
  <c r="AF268" i="2" a="1"/>
  <c r="AF268" i="2" s="1"/>
  <c r="AE268" i="2" a="1"/>
  <c r="AE268" i="2" s="1"/>
  <c r="AJ268" i="2" a="1"/>
  <c r="AJ268" i="2" s="1"/>
  <c r="AD268" i="2" a="1"/>
  <c r="AD268" i="2" s="1"/>
  <c r="AC268" i="2" a="1"/>
  <c r="AC268" i="2" s="1"/>
  <c r="AI268" i="2" a="1"/>
  <c r="AI268" i="2" s="1"/>
  <c r="Z270" i="2" a="1"/>
  <c r="Z270" i="2" s="1"/>
  <c r="AA268" i="2" a="1"/>
  <c r="AA268" i="2" s="1"/>
  <c r="W269" i="2" a="1"/>
  <c r="W269" i="2" s="1"/>
  <c r="AC251" i="2" a="1"/>
  <c r="AC251" i="2" s="1"/>
  <c r="Z253" i="2" a="1"/>
  <c r="Z253" i="2" s="1"/>
  <c r="Y253" i="2" a="1"/>
  <c r="Y253" i="2" s="1"/>
  <c r="AI252" i="2" a="1"/>
  <c r="AI252" i="2" s="1"/>
  <c r="W252" i="2" a="1"/>
  <c r="W252" i="2" s="1"/>
  <c r="X251" i="2" a="1"/>
  <c r="X251" i="2" s="1"/>
  <c r="AI250" i="2" a="1"/>
  <c r="AI250" i="2" s="1"/>
  <c r="AF251" i="2" a="1"/>
  <c r="AF251" i="2" s="1"/>
  <c r="AE251" i="2" a="1"/>
  <c r="AE251" i="2" s="1"/>
  <c r="W251" i="2" a="1"/>
  <c r="W251" i="2" s="1"/>
  <c r="AG252" i="2" a="1"/>
  <c r="AG252" i="2" s="1"/>
  <c r="AH250" i="2" a="1"/>
  <c r="AH250" i="2" s="1"/>
  <c r="AF252" i="2" a="1"/>
  <c r="AF252" i="2" s="1"/>
  <c r="Y251" i="2" a="1"/>
  <c r="Y251" i="2" s="1"/>
  <c r="Z252" i="2" a="1"/>
  <c r="Z252" i="2" s="1"/>
  <c r="AB252" i="2" a="1"/>
  <c r="AB252" i="2" s="1"/>
  <c r="Y252" i="2" a="1"/>
  <c r="Y252" i="2" s="1"/>
  <c r="AJ250" i="2" a="1"/>
  <c r="AJ250" i="2" s="1"/>
  <c r="Z251" i="2" a="1"/>
  <c r="Z251" i="2" s="1"/>
  <c r="AG251" i="2" a="1"/>
  <c r="AG251" i="2" s="1"/>
  <c r="X253" i="2" a="1"/>
  <c r="X253" i="2" s="1"/>
  <c r="AI251" i="2" a="1"/>
  <c r="AI251" i="2" s="1"/>
  <c r="AC252" i="2" a="1"/>
  <c r="AC252" i="2" s="1"/>
  <c r="AB253" i="2" a="1"/>
  <c r="AB253" i="2" s="1"/>
  <c r="AH270" i="2" a="1"/>
  <c r="AH270" i="2" s="1"/>
  <c r="Z268" i="2" a="1"/>
  <c r="Z268" i="2" s="1"/>
  <c r="Y268" i="2" a="1"/>
  <c r="Y268" i="2" s="1"/>
  <c r="X268" i="2" a="1"/>
  <c r="X268" i="2" s="1"/>
  <c r="W253" i="2" a="1"/>
  <c r="W253" i="2" s="1"/>
  <c r="AE252" i="2" a="1"/>
  <c r="AE252" i="2" s="1"/>
  <c r="X252" i="2" a="1"/>
  <c r="X252" i="2" s="1"/>
  <c r="AD251" i="2" a="1"/>
  <c r="AD251" i="2" s="1"/>
  <c r="AB251" i="2" a="1"/>
  <c r="AB251" i="2" s="1"/>
  <c r="W268" i="2" a="1"/>
  <c r="W268" i="2" s="1"/>
  <c r="AJ251" i="2" a="1"/>
  <c r="AJ251" i="2" s="1"/>
  <c r="AA253" i="2" a="1"/>
  <c r="AA253" i="2" s="1"/>
  <c r="AD253" i="2" a="1"/>
  <c r="AD253" i="2" s="1"/>
  <c r="AH252" i="2" a="1"/>
  <c r="AH252" i="2" s="1"/>
  <c r="AA252" i="2" a="1"/>
  <c r="AA252" i="2" s="1"/>
  <c r="AA251" i="2" a="1"/>
  <c r="AA251" i="2" s="1"/>
  <c r="AH253" i="2" a="1"/>
  <c r="AH253" i="2" s="1"/>
  <c r="AD252" i="2" a="1"/>
  <c r="AD252" i="2" s="1"/>
  <c r="AJ253" i="2" a="1"/>
  <c r="AJ253" i="2" s="1"/>
  <c r="AI253" i="2" a="1"/>
  <c r="AI253" i="2" s="1"/>
  <c r="AH251" i="2" a="1"/>
  <c r="AH251" i="2" s="1"/>
  <c r="AG253" i="2" a="1"/>
  <c r="AG253" i="2" s="1"/>
  <c r="AF253" i="2" a="1"/>
  <c r="AF253" i="2" s="1"/>
  <c r="AE253" i="2" a="1"/>
  <c r="AE253" i="2" s="1"/>
  <c r="AC253" i="2" a="1"/>
  <c r="AC253" i="2" s="1"/>
  <c r="AJ252" i="2" a="1"/>
  <c r="AJ252" i="2" s="1"/>
  <c r="AH249" i="2" a="1"/>
  <c r="AH249" i="2" s="1"/>
  <c r="W249" i="2" a="1"/>
  <c r="W249" i="2" s="1"/>
  <c r="AJ248" i="2" a="1"/>
  <c r="AJ248" i="2" s="1"/>
  <c r="AG248" i="2" a="1"/>
  <c r="AG248" i="2" s="1"/>
  <c r="W247" i="2" a="1"/>
  <c r="W247" i="2" s="1"/>
  <c r="AG246" i="2" a="1"/>
  <c r="AG246" i="2" s="1"/>
  <c r="AC248" i="2" a="1"/>
  <c r="AC248" i="2" s="1"/>
  <c r="Y248" i="2" a="1"/>
  <c r="Y248" i="2" s="1"/>
  <c r="AE247" i="2" a="1"/>
  <c r="AE247" i="2" s="1"/>
  <c r="X247" i="2" a="1"/>
  <c r="X247" i="2" s="1"/>
  <c r="AB246" i="2" a="1"/>
  <c r="AB246" i="2" s="1"/>
  <c r="AJ247" i="2" a="1"/>
  <c r="AJ247" i="2" s="1"/>
  <c r="AF249" i="2" a="1"/>
  <c r="AF249" i="2" s="1"/>
  <c r="AD249" i="2" a="1"/>
  <c r="AD249" i="2" s="1"/>
  <c r="AE249" i="2" a="1"/>
  <c r="AE249" i="2" s="1"/>
  <c r="X248" i="2" a="1"/>
  <c r="X248" i="2" s="1"/>
  <c r="AB247" i="2" a="1"/>
  <c r="AB247" i="2" s="1"/>
  <c r="AC249" i="2" a="1"/>
  <c r="AC249" i="2" s="1"/>
  <c r="AJ246" i="2" a="1"/>
  <c r="AJ246" i="2" s="1"/>
  <c r="AI249" i="2" a="1"/>
  <c r="AI249" i="2" s="1"/>
  <c r="AB249" i="2" a="1"/>
  <c r="AB249" i="2" s="1"/>
  <c r="AI248" i="2" a="1"/>
  <c r="AI248" i="2" s="1"/>
  <c r="AA247" i="2" a="1"/>
  <c r="AA247" i="2" s="1"/>
  <c r="AH246" i="2" a="1"/>
  <c r="AH246" i="2" s="1"/>
  <c r="Z249" i="2" a="1"/>
  <c r="Z249" i="2" s="1"/>
  <c r="Y249" i="2" a="1"/>
  <c r="Y249" i="2" s="1"/>
  <c r="X249" i="2" a="1"/>
  <c r="X249" i="2" s="1"/>
  <c r="AH248" i="2" a="1"/>
  <c r="AH248" i="2" s="1"/>
  <c r="AE248" i="2" a="1"/>
  <c r="AE248" i="2" s="1"/>
  <c r="AD248" i="2" a="1"/>
  <c r="AD248" i="2" s="1"/>
  <c r="AB248" i="2" a="1"/>
  <c r="AB248" i="2" s="1"/>
  <c r="Z248" i="2" a="1"/>
  <c r="Z248" i="2" s="1"/>
  <c r="AA248" i="2" a="1"/>
  <c r="AA248" i="2" s="1"/>
  <c r="AG247" i="2" a="1"/>
  <c r="AG247" i="2" s="1"/>
  <c r="AF247" i="2" a="1"/>
  <c r="AF247" i="2" s="1"/>
  <c r="AD247" i="2" a="1"/>
  <c r="AD247" i="2" s="1"/>
  <c r="AD246" i="2" a="1"/>
  <c r="AD246" i="2" s="1"/>
  <c r="Z247" i="2" a="1"/>
  <c r="Z247" i="2" s="1"/>
  <c r="AC247" i="2" a="1"/>
  <c r="AC247" i="2" s="1"/>
  <c r="AF248" i="2" a="1"/>
  <c r="AF248" i="2" s="1"/>
  <c r="Y247" i="2" a="1"/>
  <c r="Y247" i="2" s="1"/>
  <c r="AE246" i="2" a="1"/>
  <c r="AE246" i="2" s="1"/>
  <c r="AC246" i="2" a="1"/>
  <c r="AC246" i="2" s="1"/>
  <c r="W248" i="2" a="1"/>
  <c r="W248" i="2" s="1"/>
  <c r="AH247" i="2" a="1"/>
  <c r="AH247" i="2" s="1"/>
  <c r="AI246" i="2" a="1"/>
  <c r="AI246" i="2" s="1"/>
  <c r="Y270" i="2" a="1"/>
  <c r="Y270" i="2" s="1"/>
  <c r="AB250" i="2" a="1"/>
  <c r="AB250" i="2" s="1"/>
  <c r="X250" i="2" a="1"/>
  <c r="X250" i="2" s="1"/>
  <c r="AF246" i="2" a="1"/>
  <c r="AF246" i="2" s="1"/>
  <c r="AG250" i="2" a="1"/>
  <c r="AG250" i="2" s="1"/>
  <c r="AF250" i="2" a="1"/>
  <c r="AF250" i="2" s="1"/>
  <c r="AA249" i="2" a="1"/>
  <c r="AA249" i="2" s="1"/>
  <c r="AI247" i="2" a="1"/>
  <c r="AI247" i="2" s="1"/>
  <c r="AE250" i="2" a="1"/>
  <c r="AE250" i="2" s="1"/>
  <c r="AD250" i="2" a="1"/>
  <c r="AD250" i="2" s="1"/>
  <c r="AG249" i="2" a="1"/>
  <c r="AG249" i="2" s="1"/>
  <c r="AC250" i="2" a="1"/>
  <c r="AC250" i="2" s="1"/>
  <c r="AA250" i="2" a="1"/>
  <c r="AA250" i="2" s="1"/>
  <c r="Z250" i="2" a="1"/>
  <c r="Z250" i="2" s="1"/>
  <c r="Y250" i="2" a="1"/>
  <c r="Y250" i="2" s="1"/>
  <c r="W250" i="2" a="1"/>
  <c r="W250" i="2" s="1"/>
  <c r="AJ249" i="2" a="1"/>
  <c r="AJ249" i="2" s="1"/>
  <c r="AJ242" i="2" a="1"/>
  <c r="AJ242" i="2" s="1"/>
  <c r="AJ244" i="2" a="1"/>
  <c r="AJ244" i="2" s="1"/>
  <c r="AC242" i="2" a="1"/>
  <c r="AC242" i="2" s="1"/>
  <c r="AH243" i="2" a="1"/>
  <c r="AH243" i="2" s="1"/>
  <c r="Y244" i="2" a="1"/>
  <c r="Y244" i="2" s="1"/>
  <c r="AB242" i="2" a="1"/>
  <c r="AB242" i="2" s="1"/>
  <c r="AF245" i="2" a="1"/>
  <c r="AF245" i="2" s="1"/>
  <c r="Y245" i="2" a="1"/>
  <c r="Y245" i="2" s="1"/>
  <c r="AA243" i="2" a="1"/>
  <c r="AA243" i="2" s="1"/>
  <c r="AF244" i="2" a="1"/>
  <c r="AF244" i="2" s="1"/>
  <c r="AG242" i="2" a="1"/>
  <c r="AG242" i="2" s="1"/>
  <c r="AA242" i="2" a="1"/>
  <c r="AA242" i="2" s="1"/>
  <c r="AB245" i="2" a="1"/>
  <c r="AB245" i="2" s="1"/>
  <c r="W243" i="2" a="1"/>
  <c r="W243" i="2" s="1"/>
  <c r="AD242" i="2" a="1"/>
  <c r="AD242" i="2" s="1"/>
  <c r="AI244" i="2" a="1"/>
  <c r="AI244" i="2" s="1"/>
  <c r="AB244" i="2" a="1"/>
  <c r="AB244" i="2" s="1"/>
  <c r="AA245" i="2" a="1"/>
  <c r="AA245" i="2" s="1"/>
  <c r="AG244" i="2" a="1"/>
  <c r="AG244" i="2" s="1"/>
  <c r="Y242" i="2" a="1"/>
  <c r="Y242" i="2" s="1"/>
  <c r="W245" i="2" a="1"/>
  <c r="W245" i="2" s="1"/>
  <c r="Z244" i="2" a="1"/>
  <c r="Z244" i="2" s="1"/>
  <c r="Y246" i="2" a="1"/>
  <c r="Y246" i="2" s="1"/>
  <c r="X246" i="2" a="1"/>
  <c r="X246" i="2" s="1"/>
  <c r="AE244" i="2" a="1"/>
  <c r="AE244" i="2" s="1"/>
  <c r="X242" i="2" a="1"/>
  <c r="X242" i="2" s="1"/>
  <c r="AH245" i="2" a="1"/>
  <c r="AH245" i="2" s="1"/>
  <c r="AE242" i="2" a="1"/>
  <c r="AE242" i="2" s="1"/>
  <c r="W246" i="2" a="1"/>
  <c r="W246" i="2" s="1"/>
  <c r="AJ245" i="2" a="1"/>
  <c r="AJ245" i="2" s="1"/>
  <c r="AG245" i="2" a="1"/>
  <c r="AG245" i="2" s="1"/>
  <c r="AE245" i="2" a="1"/>
  <c r="AE245" i="2" s="1"/>
  <c r="AI243" i="2" a="1"/>
  <c r="AI243" i="2" s="1"/>
  <c r="AC243" i="2" a="1"/>
  <c r="AC243" i="2" s="1"/>
  <c r="AI242" i="2" a="1"/>
  <c r="AI242" i="2" s="1"/>
  <c r="X243" i="2" a="1"/>
  <c r="X243" i="2" s="1"/>
  <c r="AD245" i="2" a="1"/>
  <c r="AD245" i="2" s="1"/>
  <c r="W244" i="2" a="1"/>
  <c r="W244" i="2" s="1"/>
  <c r="Z242" i="2" a="1"/>
  <c r="Z242" i="2" s="1"/>
  <c r="AJ243" i="2" a="1"/>
  <c r="AJ243" i="2" s="1"/>
  <c r="AB243" i="2" a="1"/>
  <c r="AB243" i="2" s="1"/>
  <c r="AC245" i="2" a="1"/>
  <c r="AC245" i="2" s="1"/>
  <c r="AD244" i="2" a="1"/>
  <c r="AD244" i="2" s="1"/>
  <c r="AC244" i="2" a="1"/>
  <c r="AC244" i="2" s="1"/>
  <c r="AA244" i="2" a="1"/>
  <c r="AA244" i="2" s="1"/>
  <c r="AH244" i="2" a="1"/>
  <c r="AH244" i="2" s="1"/>
  <c r="X244" i="2" a="1"/>
  <c r="X244" i="2" s="1"/>
  <c r="AG243" i="2" a="1"/>
  <c r="AG243" i="2" s="1"/>
  <c r="AH242" i="2" a="1"/>
  <c r="AH242" i="2" s="1"/>
  <c r="Z245" i="2" a="1"/>
  <c r="Z245" i="2" s="1"/>
  <c r="AD243" i="2" a="1"/>
  <c r="AD243" i="2" s="1"/>
  <c r="AE243" i="2" a="1"/>
  <c r="AE243" i="2" s="1"/>
  <c r="Y243" i="2" a="1"/>
  <c r="Y243" i="2" s="1"/>
  <c r="Z243" i="2" a="1"/>
  <c r="Z243" i="2" s="1"/>
  <c r="AF242" i="2" a="1"/>
  <c r="AF242" i="2" s="1"/>
  <c r="X271" i="2" a="1"/>
  <c r="X271" i="2" s="1"/>
  <c r="AA246" i="2" a="1"/>
  <c r="AA246" i="2" s="1"/>
  <c r="Z246" i="2" a="1"/>
  <c r="Z246" i="2" s="1"/>
  <c r="AI245" i="2" a="1"/>
  <c r="AI245" i="2" s="1"/>
  <c r="X245" i="2" a="1"/>
  <c r="X245" i="2" s="1"/>
  <c r="AF243" i="2" a="1"/>
  <c r="AF243" i="2" s="1"/>
  <c r="W238" i="2" a="1"/>
  <c r="W238" i="2" s="1"/>
  <c r="X241" i="2" a="1"/>
  <c r="X241" i="2" s="1"/>
  <c r="AF240" i="2" a="1"/>
  <c r="AF240" i="2" s="1"/>
  <c r="AE240" i="2" a="1"/>
  <c r="AE240" i="2" s="1"/>
  <c r="AD240" i="2" a="1"/>
  <c r="AD240" i="2" s="1"/>
  <c r="Z240" i="2" a="1"/>
  <c r="Z240" i="2" s="1"/>
  <c r="X240" i="2" a="1"/>
  <c r="X240" i="2" s="1"/>
  <c r="AJ239" i="2" a="1"/>
  <c r="AJ239" i="2" s="1"/>
  <c r="AF237" i="2" a="1"/>
  <c r="AF237" i="2" s="1"/>
  <c r="AE238" i="2" a="1"/>
  <c r="AE238" i="2" s="1"/>
  <c r="AF239" i="2" a="1"/>
  <c r="AF239" i="2" s="1"/>
  <c r="AE239" i="2" a="1"/>
  <c r="AE239" i="2" s="1"/>
  <c r="X238" i="2" a="1"/>
  <c r="X238" i="2" s="1"/>
  <c r="Y239" i="2" a="1"/>
  <c r="Y239" i="2" s="1"/>
  <c r="AA239" i="2" a="1"/>
  <c r="AA239" i="2" s="1"/>
  <c r="AA238" i="2" a="1"/>
  <c r="AA238" i="2" s="1"/>
  <c r="X239" i="2" a="1"/>
  <c r="X239" i="2" s="1"/>
  <c r="AD239" i="2" a="1"/>
  <c r="AD239" i="2" s="1"/>
  <c r="AF238" i="2" a="1"/>
  <c r="AF238" i="2" s="1"/>
  <c r="Y238" i="2" a="1"/>
  <c r="Y238" i="2" s="1"/>
  <c r="Z241" i="2" a="1"/>
  <c r="Z241" i="2" s="1"/>
  <c r="AG237" i="2" a="1"/>
  <c r="AG237" i="2" s="1"/>
  <c r="AC239" i="2" a="1"/>
  <c r="AC239" i="2" s="1"/>
  <c r="X270" i="2" a="1"/>
  <c r="X270" i="2" s="1"/>
  <c r="AI241" i="2" a="1"/>
  <c r="AI241" i="2" s="1"/>
  <c r="W242" i="2" a="1"/>
  <c r="W242" i="2" s="1"/>
  <c r="AG240" i="2" a="1"/>
  <c r="AG240" i="2" s="1"/>
  <c r="AI240" i="2" a="1"/>
  <c r="AI240" i="2" s="1"/>
  <c r="Y240" i="2" a="1"/>
  <c r="Y240" i="2" s="1"/>
  <c r="AJ241" i="2" a="1"/>
  <c r="AJ241" i="2" s="1"/>
  <c r="AH237" i="2" a="1"/>
  <c r="AH237" i="2" s="1"/>
  <c r="AB239" i="2" a="1"/>
  <c r="AB239" i="2" s="1"/>
  <c r="AH241" i="2" a="1"/>
  <c r="AH241" i="2" s="1"/>
  <c r="AH240" i="2" a="1"/>
  <c r="AH240" i="2" s="1"/>
  <c r="W239" i="2" a="1"/>
  <c r="W239" i="2" s="1"/>
  <c r="AE241" i="2" a="1"/>
  <c r="AE241" i="2" s="1"/>
  <c r="AB241" i="2" a="1"/>
  <c r="AB241" i="2" s="1"/>
  <c r="AA241" i="2" a="1"/>
  <c r="AA241" i="2" s="1"/>
  <c r="AC240" i="2" a="1"/>
  <c r="AC240" i="2" s="1"/>
  <c r="AB240" i="2" a="1"/>
  <c r="AB240" i="2" s="1"/>
  <c r="AA240" i="2" a="1"/>
  <c r="AA240" i="2" s="1"/>
  <c r="AI239" i="2" a="1"/>
  <c r="AI239" i="2" s="1"/>
  <c r="AH239" i="2" a="1"/>
  <c r="AH239" i="2" s="1"/>
  <c r="AJ238" i="2" a="1"/>
  <c r="AJ238" i="2" s="1"/>
  <c r="AD238" i="2" a="1"/>
  <c r="AD238" i="2" s="1"/>
  <c r="W240" i="2" a="1"/>
  <c r="W240" i="2" s="1"/>
  <c r="Z238" i="2" a="1"/>
  <c r="Z238" i="2" s="1"/>
  <c r="Z239" i="2" a="1"/>
  <c r="Z239" i="2" s="1"/>
  <c r="AC241" i="2" a="1"/>
  <c r="AC241" i="2" s="1"/>
  <c r="AC238" i="2" a="1"/>
  <c r="AC238" i="2" s="1"/>
  <c r="W241" i="2" a="1"/>
  <c r="W241" i="2" s="1"/>
  <c r="AG241" i="2" a="1"/>
  <c r="AG241" i="2" s="1"/>
  <c r="AI237" i="2" a="1"/>
  <c r="AI237" i="2" s="1"/>
  <c r="AD241" i="2" a="1"/>
  <c r="AD241" i="2" s="1"/>
  <c r="AJ237" i="2" a="1"/>
  <c r="AJ237" i="2" s="1"/>
  <c r="AF241" i="2" a="1"/>
  <c r="AF241" i="2" s="1"/>
  <c r="Y241" i="2" a="1"/>
  <c r="Y241" i="2" s="1"/>
  <c r="AJ240" i="2" a="1"/>
  <c r="AJ240" i="2" s="1"/>
  <c r="AG239" i="2" a="1"/>
  <c r="AG239" i="2" s="1"/>
  <c r="AI238" i="2" a="1"/>
  <c r="AI238" i="2" s="1"/>
  <c r="AH238" i="2" a="1"/>
  <c r="AH238" i="2" s="1"/>
  <c r="AG238" i="2" a="1"/>
  <c r="AG238" i="2" s="1"/>
  <c r="AB238" i="2" a="1"/>
  <c r="AB238" i="2" s="1"/>
  <c r="AF236" i="2" a="1"/>
  <c r="AF236" i="2" s="1"/>
  <c r="AC237" i="2" a="1"/>
  <c r="AC237" i="2" s="1"/>
  <c r="AB237" i="2" a="1"/>
  <c r="AB237" i="2" s="1"/>
  <c r="AH235" i="2" a="1"/>
  <c r="AH235" i="2" s="1"/>
  <c r="Z235" i="2" a="1"/>
  <c r="Z235" i="2" s="1"/>
  <c r="AF233" i="2" a="1"/>
  <c r="AF233" i="2" s="1"/>
  <c r="AC236" i="2" a="1"/>
  <c r="AC236" i="2" s="1"/>
  <c r="X236" i="2" a="1"/>
  <c r="X236" i="2" s="1"/>
  <c r="AI234" i="2" a="1"/>
  <c r="AI234" i="2" s="1"/>
  <c r="AE234" i="2" a="1"/>
  <c r="AE234" i="2" s="1"/>
  <c r="AA235" i="2" a="1"/>
  <c r="AA235" i="2" s="1"/>
  <c r="W237" i="2" a="1"/>
  <c r="W237" i="2" s="1"/>
  <c r="AA237" i="2" a="1"/>
  <c r="AA237" i="2" s="1"/>
  <c r="AA236" i="2" a="1"/>
  <c r="AA236" i="2" s="1"/>
  <c r="AB236" i="2" a="1"/>
  <c r="AB236" i="2" s="1"/>
  <c r="AD236" i="2" a="1"/>
  <c r="AD236" i="2" s="1"/>
  <c r="AG235" i="2" a="1"/>
  <c r="AG235" i="2" s="1"/>
  <c r="AF235" i="2" a="1"/>
  <c r="AF235" i="2" s="1"/>
  <c r="AE233" i="2" a="1"/>
  <c r="AE233" i="2" s="1"/>
  <c r="AD233" i="2" a="1"/>
  <c r="AD233" i="2" s="1"/>
  <c r="AD235" i="2" a="1"/>
  <c r="AD235" i="2" s="1"/>
  <c r="Y235" i="2" a="1"/>
  <c r="Y235" i="2" s="1"/>
  <c r="AB233" i="2" a="1"/>
  <c r="AB233" i="2" s="1"/>
  <c r="Y237" i="2" a="1"/>
  <c r="Y237" i="2" s="1"/>
  <c r="X237" i="2" a="1"/>
  <c r="X237" i="2" s="1"/>
  <c r="AI236" i="2" a="1"/>
  <c r="AI236" i="2" s="1"/>
  <c r="AI235" i="2" a="1"/>
  <c r="AI235" i="2" s="1"/>
  <c r="AG233" i="2" a="1"/>
  <c r="AG233" i="2" s="1"/>
  <c r="AC234" i="2" a="1"/>
  <c r="AC234" i="2" s="1"/>
  <c r="Z237" i="2" a="1"/>
  <c r="Z237" i="2" s="1"/>
  <c r="AJ236" i="2" a="1"/>
  <c r="AJ236" i="2" s="1"/>
  <c r="AH236" i="2" a="1"/>
  <c r="AH236" i="2" s="1"/>
  <c r="Z236" i="2" a="1"/>
  <c r="Z236" i="2" s="1"/>
  <c r="AJ233" i="2" a="1"/>
  <c r="AJ233" i="2" s="1"/>
  <c r="AI233" i="2" a="1"/>
  <c r="AI233" i="2" s="1"/>
  <c r="AC235" i="2" a="1"/>
  <c r="AC235" i="2" s="1"/>
  <c r="W235" i="2" a="1"/>
  <c r="W235" i="2" s="1"/>
  <c r="AA233" i="2" a="1"/>
  <c r="AA233" i="2" s="1"/>
  <c r="Y234" i="2" a="1"/>
  <c r="Y234" i="2" s="1"/>
  <c r="Z234" i="2" a="1"/>
  <c r="Z234" i="2" s="1"/>
  <c r="AB235" i="2" a="1"/>
  <c r="AB235" i="2" s="1"/>
  <c r="Z233" i="2" a="1"/>
  <c r="Z233" i="2" s="1"/>
  <c r="Y236" i="2" a="1"/>
  <c r="Y236" i="2" s="1"/>
  <c r="AH234" i="2" a="1"/>
  <c r="AH234" i="2" s="1"/>
  <c r="AJ235" i="2" a="1"/>
  <c r="AJ235" i="2" s="1"/>
  <c r="AD234" i="2" a="1"/>
  <c r="AD234" i="2" s="1"/>
  <c r="AA234" i="2" a="1"/>
  <c r="AA234" i="2" s="1"/>
  <c r="AE235" i="2" a="1"/>
  <c r="AE235" i="2" s="1"/>
  <c r="X235" i="2" a="1"/>
  <c r="X235" i="2" s="1"/>
  <c r="X234" i="2" a="1"/>
  <c r="X234" i="2" s="1"/>
  <c r="AJ234" i="2" a="1"/>
  <c r="AJ234" i="2" s="1"/>
  <c r="AG234" i="2" a="1"/>
  <c r="AG234" i="2" s="1"/>
  <c r="AC233" i="2" a="1"/>
  <c r="AC233" i="2" s="1"/>
  <c r="AH233" i="2" a="1"/>
  <c r="AH233" i="2" s="1"/>
  <c r="W234" i="2" a="1"/>
  <c r="W234" i="2" s="1"/>
  <c r="AF234" i="2" a="1"/>
  <c r="AF234" i="2" s="1"/>
  <c r="AB234" i="2" a="1"/>
  <c r="AB234" i="2" s="1"/>
  <c r="AG270" i="2" a="1"/>
  <c r="AG270" i="2" s="1"/>
  <c r="AE237" i="2" a="1"/>
  <c r="AE237" i="2" s="1"/>
  <c r="AD237" i="2" a="1"/>
  <c r="AD237" i="2" s="1"/>
  <c r="AG236" i="2" a="1"/>
  <c r="AG236" i="2" s="1"/>
  <c r="AE236" i="2" a="1"/>
  <c r="AE236" i="2" s="1"/>
  <c r="W236" i="2" a="1"/>
  <c r="W236" i="2" s="1"/>
  <c r="AD229" i="2" a="1"/>
  <c r="AD229" i="2" s="1"/>
  <c r="Y232" i="2" a="1"/>
  <c r="Y232" i="2" s="1"/>
  <c r="AJ232" i="2" a="1"/>
  <c r="AJ232" i="2" s="1"/>
  <c r="AG232" i="2" a="1"/>
  <c r="AG232" i="2" s="1"/>
  <c r="AD232" i="2" a="1"/>
  <c r="AD232" i="2" s="1"/>
  <c r="AI231" i="2" a="1"/>
  <c r="AI231" i="2" s="1"/>
  <c r="AH231" i="2" a="1"/>
  <c r="AH231" i="2" s="1"/>
  <c r="AG230" i="2" a="1"/>
  <c r="AG230" i="2" s="1"/>
  <c r="AJ229" i="2" a="1"/>
  <c r="AJ229" i="2" s="1"/>
  <c r="AH229" i="2" a="1"/>
  <c r="AH229" i="2" s="1"/>
  <c r="Z229" i="2" a="1"/>
  <c r="Z229" i="2" s="1"/>
  <c r="W229" i="2" a="1"/>
  <c r="W229" i="2" s="1"/>
  <c r="AG231" i="2" a="1"/>
  <c r="AG231" i="2" s="1"/>
  <c r="AF230" i="2" a="1"/>
  <c r="AF230" i="2" s="1"/>
  <c r="AC230" i="2" a="1"/>
  <c r="AC230" i="2" s="1"/>
  <c r="Y229" i="2" a="1"/>
  <c r="Y229" i="2" s="1"/>
  <c r="AG229" i="2" a="1"/>
  <c r="AG229" i="2" s="1"/>
  <c r="AB230" i="2" a="1"/>
  <c r="AB230" i="2" s="1"/>
  <c r="AA229" i="2" a="1"/>
  <c r="AA229" i="2" s="1"/>
  <c r="AE230" i="2" a="1"/>
  <c r="AE230" i="2" s="1"/>
  <c r="AH232" i="2" a="1"/>
  <c r="AH232" i="2" s="1"/>
  <c r="W233" i="2" a="1"/>
  <c r="W233" i="2" s="1"/>
  <c r="AF229" i="2" a="1"/>
  <c r="AF229" i="2" s="1"/>
  <c r="AD230" i="2" a="1"/>
  <c r="AD230" i="2" s="1"/>
  <c r="AC232" i="2" a="1"/>
  <c r="AC232" i="2" s="1"/>
  <c r="AF232" i="2" a="1"/>
  <c r="AF232" i="2" s="1"/>
  <c r="AB232" i="2" a="1"/>
  <c r="AB232" i="2" s="1"/>
  <c r="AJ231" i="2" a="1"/>
  <c r="AJ231" i="2" s="1"/>
  <c r="AI229" i="2" a="1"/>
  <c r="AI229" i="2" s="1"/>
  <c r="W270" i="2" a="1"/>
  <c r="W270" i="2" s="1"/>
  <c r="X229" i="2" a="1"/>
  <c r="X229" i="2" s="1"/>
  <c r="Y231" i="2" a="1"/>
  <c r="Y231" i="2" s="1"/>
  <c r="AA230" i="2" a="1"/>
  <c r="AA230" i="2" s="1"/>
  <c r="Y230" i="2" a="1"/>
  <c r="Y230" i="2" s="1"/>
  <c r="AE229" i="2" a="1"/>
  <c r="AE229" i="2" s="1"/>
  <c r="AC229" i="2" a="1"/>
  <c r="AC229" i="2" s="1"/>
  <c r="AA231" i="2" a="1"/>
  <c r="AA231" i="2" s="1"/>
  <c r="AI232" i="2" a="1"/>
  <c r="AI232" i="2" s="1"/>
  <c r="X232" i="2" a="1"/>
  <c r="X232" i="2" s="1"/>
  <c r="W232" i="2" a="1"/>
  <c r="W232" i="2" s="1"/>
  <c r="AJ230" i="2" a="1"/>
  <c r="AJ230" i="2" s="1"/>
  <c r="W231" i="2" a="1"/>
  <c r="W231" i="2" s="1"/>
  <c r="X230" i="2" a="1"/>
  <c r="X230" i="2" s="1"/>
  <c r="AE232" i="2" a="1"/>
  <c r="AE232" i="2" s="1"/>
  <c r="AA232" i="2" a="1"/>
  <c r="AA232" i="2" s="1"/>
  <c r="AB231" i="2" a="1"/>
  <c r="AB231" i="2" s="1"/>
  <c r="X231" i="2" a="1"/>
  <c r="X231" i="2" s="1"/>
  <c r="AI230" i="2" a="1"/>
  <c r="AI230" i="2" s="1"/>
  <c r="AB229" i="2" a="1"/>
  <c r="AB229" i="2" s="1"/>
  <c r="Y233" i="2" a="1"/>
  <c r="Y233" i="2" s="1"/>
  <c r="AD231" i="2" a="1"/>
  <c r="AD231" i="2" s="1"/>
  <c r="Z230" i="2" a="1"/>
  <c r="Z230" i="2" s="1"/>
  <c r="AF231" i="2" a="1"/>
  <c r="AF231" i="2" s="1"/>
  <c r="W230" i="2" a="1"/>
  <c r="W230" i="2" s="1"/>
  <c r="AJ228" i="2" a="1"/>
  <c r="AJ228" i="2" s="1"/>
  <c r="X233" i="2" a="1"/>
  <c r="X233" i="2" s="1"/>
  <c r="AC231" i="2" a="1"/>
  <c r="AC231" i="2" s="1"/>
  <c r="AE231" i="2" a="1"/>
  <c r="AE231" i="2" s="1"/>
  <c r="Z231" i="2" a="1"/>
  <c r="Z231" i="2" s="1"/>
  <c r="Z232" i="2" a="1"/>
  <c r="Z232" i="2" s="1"/>
  <c r="AH230" i="2" a="1"/>
  <c r="AH230" i="2" s="1"/>
  <c r="AI227" i="2" a="1"/>
  <c r="AI227" i="2" s="1"/>
  <c r="AH227" i="2" a="1"/>
  <c r="AH227" i="2" s="1"/>
  <c r="AG227" i="2" a="1"/>
  <c r="AG227" i="2" s="1"/>
  <c r="AD227" i="2" a="1"/>
  <c r="AD227" i="2" s="1"/>
  <c r="X227" i="2" a="1"/>
  <c r="X227" i="2" s="1"/>
  <c r="AC227" i="2" a="1"/>
  <c r="AC227" i="2" s="1"/>
  <c r="AJ226" i="2" a="1"/>
  <c r="AJ226" i="2" s="1"/>
  <c r="AH225" i="2" a="1"/>
  <c r="AH225" i="2" s="1"/>
  <c r="W225" i="2" a="1"/>
  <c r="W225" i="2" s="1"/>
  <c r="AF225" i="2" a="1"/>
  <c r="AF225" i="2" s="1"/>
  <c r="AA227" i="2" a="1"/>
  <c r="AA227" i="2" s="1"/>
  <c r="Y226" i="2" a="1"/>
  <c r="Y226" i="2" s="1"/>
  <c r="X225" i="2" a="1"/>
  <c r="X225" i="2" s="1"/>
  <c r="AJ224" i="2" a="1"/>
  <c r="AJ224" i="2" s="1"/>
  <c r="Z227" i="2" a="1"/>
  <c r="Z227" i="2" s="1"/>
  <c r="X226" i="2" a="1"/>
  <c r="X226" i="2" s="1"/>
  <c r="AF226" i="2" a="1"/>
  <c r="AF226" i="2" s="1"/>
  <c r="W226" i="2" a="1"/>
  <c r="W226" i="2" s="1"/>
  <c r="AG225" i="2" a="1"/>
  <c r="AG225" i="2" s="1"/>
  <c r="AE225" i="2" a="1"/>
  <c r="AE225" i="2" s="1"/>
  <c r="Y227" i="2" a="1"/>
  <c r="Y227" i="2" s="1"/>
  <c r="AE226" i="2" a="1"/>
  <c r="AE226" i="2" s="1"/>
  <c r="AD225" i="2" a="1"/>
  <c r="AD225" i="2" s="1"/>
  <c r="Z271" i="2" a="1"/>
  <c r="Z271" i="2" s="1"/>
  <c r="AI228" i="2" a="1"/>
  <c r="AI228" i="2" s="1"/>
  <c r="AH228" i="2" a="1"/>
  <c r="AH228" i="2" s="1"/>
  <c r="AB227" i="2" a="1"/>
  <c r="AB227" i="2" s="1"/>
  <c r="AD226" i="2" a="1"/>
  <c r="AD226" i="2" s="1"/>
  <c r="Y225" i="2" a="1"/>
  <c r="Y225" i="2" s="1"/>
  <c r="AC225" i="2" a="1"/>
  <c r="AC225" i="2" s="1"/>
  <c r="AG228" i="2" a="1"/>
  <c r="AG228" i="2" s="1"/>
  <c r="AF228" i="2" a="1"/>
  <c r="AF228" i="2" s="1"/>
  <c r="AE228" i="2" a="1"/>
  <c r="AE228" i="2" s="1"/>
  <c r="AD228" i="2" a="1"/>
  <c r="AD228" i="2" s="1"/>
  <c r="AC228" i="2" a="1"/>
  <c r="AC228" i="2" s="1"/>
  <c r="AF227" i="2" a="1"/>
  <c r="AF227" i="2" s="1"/>
  <c r="AI226" i="2" a="1"/>
  <c r="AI226" i="2" s="1"/>
  <c r="AH226" i="2" a="1"/>
  <c r="AH226" i="2" s="1"/>
  <c r="AG226" i="2" a="1"/>
  <c r="AG226" i="2" s="1"/>
  <c r="AB226" i="2" a="1"/>
  <c r="AB226" i="2" s="1"/>
  <c r="AJ225" i="2" a="1"/>
  <c r="AJ225" i="2" s="1"/>
  <c r="AC226" i="2" a="1"/>
  <c r="AC226" i="2" s="1"/>
  <c r="AI225" i="2" a="1"/>
  <c r="AI225" i="2" s="1"/>
  <c r="AA226" i="2" a="1"/>
  <c r="AA226" i="2" s="1"/>
  <c r="Z225" i="2" a="1"/>
  <c r="Z225" i="2" s="1"/>
  <c r="AB228" i="2" a="1"/>
  <c r="AB228" i="2" s="1"/>
  <c r="W227" i="2" a="1"/>
  <c r="W227" i="2" s="1"/>
  <c r="AA228" i="2" a="1"/>
  <c r="AA228" i="2" s="1"/>
  <c r="Z228" i="2" a="1"/>
  <c r="Z228" i="2" s="1"/>
  <c r="AB225" i="2" a="1"/>
  <c r="AB225" i="2" s="1"/>
  <c r="Y228" i="2" a="1"/>
  <c r="Y228" i="2" s="1"/>
  <c r="AE227" i="2" a="1"/>
  <c r="AE227" i="2" s="1"/>
  <c r="X228" i="2" a="1"/>
  <c r="X228" i="2" s="1"/>
  <c r="W228" i="2" a="1"/>
  <c r="W228" i="2" s="1"/>
  <c r="AA225" i="2" a="1"/>
  <c r="AA225" i="2" s="1"/>
  <c r="AJ227" i="2" a="1"/>
  <c r="AJ227" i="2" s="1"/>
  <c r="Z226" i="2" a="1"/>
  <c r="Z226" i="2" s="1"/>
  <c r="AI224" i="2" a="1"/>
  <c r="AI224" i="2" s="1"/>
  <c r="AH221" i="2" a="1"/>
  <c r="AH221" i="2" s="1"/>
  <c r="AG220" i="2" a="1"/>
  <c r="AG220" i="2" s="1"/>
  <c r="Z224" i="2" a="1"/>
  <c r="Z224" i="2" s="1"/>
  <c r="X224" i="2" a="1"/>
  <c r="X224" i="2" s="1"/>
  <c r="AB221" i="2" a="1"/>
  <c r="AB221" i="2" s="1"/>
  <c r="W224" i="2" a="1"/>
  <c r="W224" i="2" s="1"/>
  <c r="AH222" i="2" a="1"/>
  <c r="AH222" i="2" s="1"/>
  <c r="Y221" i="2" a="1"/>
  <c r="Y221" i="2" s="1"/>
  <c r="AH220" i="2" a="1"/>
  <c r="AH220" i="2" s="1"/>
  <c r="AC221" i="2" a="1"/>
  <c r="AC221" i="2" s="1"/>
  <c r="Z221" i="2" a="1"/>
  <c r="Z221" i="2" s="1"/>
  <c r="AJ223" i="2" a="1"/>
  <c r="AJ223" i="2" s="1"/>
  <c r="AE223" i="2" a="1"/>
  <c r="AE223" i="2" s="1"/>
  <c r="AB223" i="2" a="1"/>
  <c r="AB223" i="2" s="1"/>
  <c r="Y223" i="2" a="1"/>
  <c r="Y223" i="2" s="1"/>
  <c r="W223" i="2" a="1"/>
  <c r="W223" i="2" s="1"/>
  <c r="AJ222" i="2" a="1"/>
  <c r="AJ222" i="2" s="1"/>
  <c r="AE222" i="2" a="1"/>
  <c r="AE222" i="2" s="1"/>
  <c r="AJ221" i="2" a="1"/>
  <c r="AJ221" i="2" s="1"/>
  <c r="AI220" i="2" a="1"/>
  <c r="AI220" i="2" s="1"/>
  <c r="AA221" i="2" a="1"/>
  <c r="AA221" i="2" s="1"/>
  <c r="AD222" i="2" a="1"/>
  <c r="AD222" i="2" s="1"/>
  <c r="AI221" i="2" a="1"/>
  <c r="AI221" i="2" s="1"/>
  <c r="AD221" i="2" a="1"/>
  <c r="AD221" i="2" s="1"/>
  <c r="X222" i="2" a="1"/>
  <c r="X222" i="2" s="1"/>
  <c r="AE221" i="2" a="1"/>
  <c r="AE221" i="2" s="1"/>
  <c r="AD223" i="2" a="1"/>
  <c r="AD223" i="2" s="1"/>
  <c r="AC223" i="2" a="1"/>
  <c r="AC223" i="2" s="1"/>
  <c r="AI222" i="2" a="1"/>
  <c r="AI222" i="2" s="1"/>
  <c r="AD220" i="2" a="1"/>
  <c r="AD220" i="2" s="1"/>
  <c r="AG222" i="2" a="1"/>
  <c r="AG222" i="2" s="1"/>
  <c r="AF222" i="2" a="1"/>
  <c r="AF222" i="2" s="1"/>
  <c r="AC222" i="2" a="1"/>
  <c r="AC222" i="2" s="1"/>
  <c r="AB222" i="2" a="1"/>
  <c r="AB222" i="2" s="1"/>
  <c r="Y222" i="2" a="1"/>
  <c r="Y222" i="2" s="1"/>
  <c r="X221" i="2" a="1"/>
  <c r="X221" i="2" s="1"/>
  <c r="W221" i="2" a="1"/>
  <c r="W221" i="2" s="1"/>
  <c r="AG221" i="2" a="1"/>
  <c r="AG221" i="2" s="1"/>
  <c r="AF221" i="2" a="1"/>
  <c r="AF221" i="2" s="1"/>
  <c r="AF220" i="2" a="1"/>
  <c r="AF220" i="2" s="1"/>
  <c r="AE220" i="2" a="1"/>
  <c r="AE220" i="2" s="1"/>
  <c r="Z223" i="2" a="1"/>
  <c r="Z223" i="2" s="1"/>
  <c r="W222" i="2" a="1"/>
  <c r="W222" i="2" s="1"/>
  <c r="AI223" i="2" a="1"/>
  <c r="AI223" i="2" s="1"/>
  <c r="AA223" i="2" a="1"/>
  <c r="AA223" i="2" s="1"/>
  <c r="X223" i="2" a="1"/>
  <c r="X223" i="2" s="1"/>
  <c r="AE224" i="2" a="1"/>
  <c r="AE224" i="2" s="1"/>
  <c r="AD224" i="2" a="1"/>
  <c r="AD224" i="2" s="1"/>
  <c r="AA222" i="2" a="1"/>
  <c r="AA222" i="2" s="1"/>
  <c r="Y224" i="2" a="1"/>
  <c r="Y224" i="2" s="1"/>
  <c r="AF223" i="2" a="1"/>
  <c r="AF223" i="2" s="1"/>
  <c r="AH223" i="2" a="1"/>
  <c r="AH223" i="2" s="1"/>
  <c r="AG223" i="2" a="1"/>
  <c r="AG223" i="2" s="1"/>
  <c r="Z222" i="2" a="1"/>
  <c r="Z222" i="2" s="1"/>
  <c r="AJ269" i="2" a="1"/>
  <c r="AJ269" i="2" s="1"/>
  <c r="AH224" i="2" a="1"/>
  <c r="AH224" i="2" s="1"/>
  <c r="AJ220" i="2" a="1"/>
  <c r="AJ220" i="2" s="1"/>
  <c r="AG224" i="2" a="1"/>
  <c r="AG224" i="2" s="1"/>
  <c r="AF224" i="2" a="1"/>
  <c r="AF224" i="2" s="1"/>
  <c r="AC224" i="2" a="1"/>
  <c r="AC224" i="2" s="1"/>
  <c r="AB224" i="2" a="1"/>
  <c r="AB224" i="2" s="1"/>
  <c r="AA224" i="2" a="1"/>
  <c r="AA224" i="2" s="1"/>
  <c r="X218" i="2" a="1"/>
  <c r="X218" i="2" s="1"/>
  <c r="AJ217" i="2" a="1"/>
  <c r="AJ217" i="2" s="1"/>
  <c r="AI217" i="2" a="1"/>
  <c r="AI217" i="2" s="1"/>
  <c r="AA217" i="2" a="1"/>
  <c r="AA217" i="2" s="1"/>
  <c r="AH217" i="2" a="1"/>
  <c r="AH217" i="2" s="1"/>
  <c r="Z217" i="2" a="1"/>
  <c r="Z217" i="2" s="1"/>
  <c r="Y217" i="2" a="1"/>
  <c r="Y217" i="2" s="1"/>
  <c r="AB216" i="2" a="1"/>
  <c r="AB216" i="2" s="1"/>
  <c r="AA216" i="2" a="1"/>
  <c r="AA216" i="2" s="1"/>
  <c r="Y216" i="2" a="1"/>
  <c r="Y216" i="2" s="1"/>
  <c r="AG219" i="2" a="1"/>
  <c r="AG219" i="2" s="1"/>
  <c r="AF270" i="2" a="1"/>
  <c r="AF270" i="2" s="1"/>
  <c r="AA220" i="2" a="1"/>
  <c r="AA220" i="2" s="1"/>
  <c r="AG216" i="2" a="1"/>
  <c r="AG216" i="2" s="1"/>
  <c r="AB219" i="2" a="1"/>
  <c r="AB219" i="2" s="1"/>
  <c r="W217" i="2" a="1"/>
  <c r="W217" i="2" s="1"/>
  <c r="AH218" i="2" a="1"/>
  <c r="AH218" i="2" s="1"/>
  <c r="Z216" i="2" a="1"/>
  <c r="Z216" i="2" s="1"/>
  <c r="Z220" i="2" a="1"/>
  <c r="Z220" i="2" s="1"/>
  <c r="X220" i="2" a="1"/>
  <c r="X220" i="2" s="1"/>
  <c r="AE219" i="2" a="1"/>
  <c r="AE219" i="2" s="1"/>
  <c r="AF218" i="2" a="1"/>
  <c r="AF218" i="2" s="1"/>
  <c r="AJ219" i="2" a="1"/>
  <c r="AJ219" i="2" s="1"/>
  <c r="AA219" i="2" a="1"/>
  <c r="AA219" i="2" s="1"/>
  <c r="AB218" i="2" a="1"/>
  <c r="AB218" i="2" s="1"/>
  <c r="Z218" i="2" a="1"/>
  <c r="Z218" i="2" s="1"/>
  <c r="AI216" i="2" a="1"/>
  <c r="AI216" i="2" s="1"/>
  <c r="AE216" i="2" a="1"/>
  <c r="AE216" i="2" s="1"/>
  <c r="AI219" i="2" a="1"/>
  <c r="AI219" i="2" s="1"/>
  <c r="AH219" i="2" a="1"/>
  <c r="AH219" i="2" s="1"/>
  <c r="AD219" i="2" a="1"/>
  <c r="AD219" i="2" s="1"/>
  <c r="AC219" i="2" a="1"/>
  <c r="AC219" i="2" s="1"/>
  <c r="AA218" i="2" a="1"/>
  <c r="AA218" i="2" s="1"/>
  <c r="Y218" i="2" a="1"/>
  <c r="Y218" i="2" s="1"/>
  <c r="AE217" i="2" a="1"/>
  <c r="AE217" i="2" s="1"/>
  <c r="AH216" i="2" a="1"/>
  <c r="AH216" i="2" s="1"/>
  <c r="AG217" i="2" a="1"/>
  <c r="AG217" i="2" s="1"/>
  <c r="AB217" i="2" a="1"/>
  <c r="AB217" i="2" s="1"/>
  <c r="Y219" i="2" a="1"/>
  <c r="Y219" i="2" s="1"/>
  <c r="AC216" i="2" a="1"/>
  <c r="AC216" i="2" s="1"/>
  <c r="W219" i="2" a="1"/>
  <c r="W219" i="2" s="1"/>
  <c r="AC217" i="2" a="1"/>
  <c r="AC217" i="2" s="1"/>
  <c r="AJ218" i="2" a="1"/>
  <c r="AJ218" i="2" s="1"/>
  <c r="AG218" i="2" a="1"/>
  <c r="AG218" i="2" s="1"/>
  <c r="AD218" i="2" a="1"/>
  <c r="AD218" i="2" s="1"/>
  <c r="X217" i="2" a="1"/>
  <c r="X217" i="2" s="1"/>
  <c r="W218" i="2" a="1"/>
  <c r="W218" i="2" s="1"/>
  <c r="AD217" i="2" a="1"/>
  <c r="AD217" i="2" s="1"/>
  <c r="AJ216" i="2" a="1"/>
  <c r="AJ216" i="2" s="1"/>
  <c r="AC220" i="2" a="1"/>
  <c r="AC220" i="2" s="1"/>
  <c r="AB220" i="2" a="1"/>
  <c r="AB220" i="2" s="1"/>
  <c r="AD216" i="2" a="1"/>
  <c r="AD216" i="2" s="1"/>
  <c r="Y220" i="2" a="1"/>
  <c r="Y220" i="2" s="1"/>
  <c r="X219" i="2" a="1"/>
  <c r="X219" i="2" s="1"/>
  <c r="W220" i="2" a="1"/>
  <c r="W220" i="2" s="1"/>
  <c r="AF216" i="2" a="1"/>
  <c r="AF216" i="2" s="1"/>
  <c r="AF219" i="2" a="1"/>
  <c r="AF219" i="2" s="1"/>
  <c r="Z219" i="2" a="1"/>
  <c r="Z219" i="2" s="1"/>
  <c r="AI218" i="2" a="1"/>
  <c r="AI218" i="2" s="1"/>
  <c r="AF217" i="2" a="1"/>
  <c r="AF217" i="2" s="1"/>
  <c r="AE218" i="2" a="1"/>
  <c r="AE218" i="2" s="1"/>
  <c r="AC218" i="2" a="1"/>
  <c r="AC218" i="2" s="1"/>
  <c r="AG215" i="2" a="1"/>
  <c r="AG215" i="2" s="1"/>
  <c r="AA215" i="2" a="1"/>
  <c r="AA215" i="2" s="1"/>
  <c r="Z215" i="2" a="1"/>
  <c r="Z215" i="2" s="1"/>
  <c r="AF214" i="2" a="1"/>
  <c r="AF214" i="2" s="1"/>
  <c r="AA214" i="2" a="1"/>
  <c r="AA214" i="2" s="1"/>
  <c r="AB213" i="2" a="1"/>
  <c r="AB213" i="2" s="1"/>
  <c r="W212" i="2" a="1"/>
  <c r="W212" i="2" s="1"/>
  <c r="AF212" i="2" a="1"/>
  <c r="AF212" i="2" s="1"/>
  <c r="AA213" i="2" a="1"/>
  <c r="AA213" i="2" s="1"/>
  <c r="W213" i="2" a="1"/>
  <c r="W213" i="2" s="1"/>
  <c r="AI211" i="2" a="1"/>
  <c r="AI211" i="2" s="1"/>
  <c r="AH213" i="2" a="1"/>
  <c r="AH213" i="2" s="1"/>
  <c r="AC213" i="2" a="1"/>
  <c r="AC213" i="2" s="1"/>
  <c r="W215" i="2" a="1"/>
  <c r="W215" i="2" s="1"/>
  <c r="AD212" i="2" a="1"/>
  <c r="AD212" i="2" s="1"/>
  <c r="Y212" i="2" a="1"/>
  <c r="Y212" i="2" s="1"/>
  <c r="X212" i="2" a="1"/>
  <c r="X212" i="2" s="1"/>
  <c r="AG214" i="2" a="1"/>
  <c r="AG214" i="2" s="1"/>
  <c r="Z212" i="2" a="1"/>
  <c r="Z212" i="2" s="1"/>
  <c r="AI213" i="2" a="1"/>
  <c r="AI213" i="2" s="1"/>
  <c r="AH215" i="2" a="1"/>
  <c r="AH215" i="2" s="1"/>
  <c r="AB215" i="2" a="1"/>
  <c r="AB215" i="2" s="1"/>
  <c r="AF215" i="2" a="1"/>
  <c r="AF215" i="2" s="1"/>
  <c r="X215" i="2" a="1"/>
  <c r="X215" i="2" s="1"/>
  <c r="AC212" i="2" a="1"/>
  <c r="AC212" i="2" s="1"/>
  <c r="AG213" i="2" a="1"/>
  <c r="AG213" i="2" s="1"/>
  <c r="AB214" i="2" a="1"/>
  <c r="AB214" i="2" s="1"/>
  <c r="AC214" i="2" a="1"/>
  <c r="AC214" i="2" s="1"/>
  <c r="AC215" i="2" a="1"/>
  <c r="AC215" i="2" s="1"/>
  <c r="AI212" i="2" a="1"/>
  <c r="AI212" i="2" s="1"/>
  <c r="AI269" i="2" a="1"/>
  <c r="AI269" i="2" s="1"/>
  <c r="W216" i="2" a="1"/>
  <c r="W216" i="2" s="1"/>
  <c r="X214" i="2" a="1"/>
  <c r="X214" i="2" s="1"/>
  <c r="AI214" i="2" a="1"/>
  <c r="AI214" i="2" s="1"/>
  <c r="X213" i="2" a="1"/>
  <c r="X213" i="2" s="1"/>
  <c r="W214" i="2" a="1"/>
  <c r="W214" i="2" s="1"/>
  <c r="AD214" i="2" a="1"/>
  <c r="AD214" i="2" s="1"/>
  <c r="AJ213" i="2" a="1"/>
  <c r="AJ213" i="2" s="1"/>
  <c r="AF213" i="2" a="1"/>
  <c r="AF213" i="2" s="1"/>
  <c r="Z213" i="2" a="1"/>
  <c r="Z213" i="2" s="1"/>
  <c r="AJ212" i="2" a="1"/>
  <c r="AJ212" i="2" s="1"/>
  <c r="AE213" i="2" a="1"/>
  <c r="AE213" i="2" s="1"/>
  <c r="Y213" i="2" a="1"/>
  <c r="Y213" i="2" s="1"/>
  <c r="AE212" i="2" a="1"/>
  <c r="AE212" i="2" s="1"/>
  <c r="AA212" i="2" a="1"/>
  <c r="AA212" i="2" s="1"/>
  <c r="X216" i="2" a="1"/>
  <c r="X216" i="2" s="1"/>
  <c r="AJ215" i="2" a="1"/>
  <c r="AJ215" i="2" s="1"/>
  <c r="AD213" i="2" a="1"/>
  <c r="AD213" i="2" s="1"/>
  <c r="AE214" i="2" a="1"/>
  <c r="AE214" i="2" s="1"/>
  <c r="AD215" i="2" a="1"/>
  <c r="AD215" i="2" s="1"/>
  <c r="AG212" i="2" a="1"/>
  <c r="AG212" i="2" s="1"/>
  <c r="AI215" i="2" a="1"/>
  <c r="AI215" i="2" s="1"/>
  <c r="AE215" i="2" a="1"/>
  <c r="AE215" i="2" s="1"/>
  <c r="AH212" i="2" a="1"/>
  <c r="AH212" i="2" s="1"/>
  <c r="Y215" i="2" a="1"/>
  <c r="Y215" i="2" s="1"/>
  <c r="AH214" i="2" a="1"/>
  <c r="AH214" i="2" s="1"/>
  <c r="Z214" i="2" a="1"/>
  <c r="Z214" i="2" s="1"/>
  <c r="AJ214" i="2" a="1"/>
  <c r="AJ214" i="2" s="1"/>
  <c r="Y214" i="2" a="1"/>
  <c r="Y214" i="2" s="1"/>
  <c r="AB212" i="2" a="1"/>
  <c r="AB212" i="2" s="1"/>
  <c r="AJ211" i="2" a="1"/>
  <c r="AJ211" i="2" s="1"/>
  <c r="AH210" i="2" a="1"/>
  <c r="AH210" i="2" s="1"/>
  <c r="AG210" i="2" a="1"/>
  <c r="AG210" i="2" s="1"/>
  <c r="AA210" i="2" a="1"/>
  <c r="AA210" i="2" s="1"/>
  <c r="AJ207" i="2" a="1"/>
  <c r="AJ207" i="2" s="1"/>
  <c r="Z210" i="2" a="1"/>
  <c r="Z210" i="2" s="1"/>
  <c r="Z209" i="2" a="1"/>
  <c r="Z209" i="2" s="1"/>
  <c r="AI207" i="2" a="1"/>
  <c r="AI207" i="2" s="1"/>
  <c r="W210" i="2" a="1"/>
  <c r="W210" i="2" s="1"/>
  <c r="AF209" i="2" a="1"/>
  <c r="AF209" i="2" s="1"/>
  <c r="AE210" i="2" a="1"/>
  <c r="AE210" i="2" s="1"/>
  <c r="AD209" i="2" a="1"/>
  <c r="AD209" i="2" s="1"/>
  <c r="Y209" i="2" a="1"/>
  <c r="Y209" i="2" s="1"/>
  <c r="AB210" i="2" a="1"/>
  <c r="AB210" i="2" s="1"/>
  <c r="AH207" i="2" a="1"/>
  <c r="AH207" i="2" s="1"/>
  <c r="AC209" i="2" a="1"/>
  <c r="AC209" i="2" s="1"/>
  <c r="AA209" i="2" a="1"/>
  <c r="AA209" i="2" s="1"/>
  <c r="W209" i="2" a="1"/>
  <c r="W209" i="2" s="1"/>
  <c r="W271" i="2" a="1"/>
  <c r="W271" i="2" s="1"/>
  <c r="AJ208" i="2" a="1"/>
  <c r="AJ208" i="2" s="1"/>
  <c r="AH211" i="2" a="1"/>
  <c r="AH211" i="2" s="1"/>
  <c r="AI210" i="2" a="1"/>
  <c r="AI210" i="2" s="1"/>
  <c r="AB209" i="2" a="1"/>
  <c r="AB209" i="2" s="1"/>
  <c r="AG211" i="2" a="1"/>
  <c r="AG211" i="2" s="1"/>
  <c r="X210" i="2" a="1"/>
  <c r="X210" i="2" s="1"/>
  <c r="AD208" i="2" a="1"/>
  <c r="AD208" i="2" s="1"/>
  <c r="AA208" i="2" a="1"/>
  <c r="AA208" i="2" s="1"/>
  <c r="AH209" i="2" a="1"/>
  <c r="AH209" i="2" s="1"/>
  <c r="AE209" i="2" a="1"/>
  <c r="AE209" i="2" s="1"/>
  <c r="AC210" i="2" a="1"/>
  <c r="AC210" i="2" s="1"/>
  <c r="AJ210" i="2" a="1"/>
  <c r="AJ210" i="2" s="1"/>
  <c r="X208" i="2" a="1"/>
  <c r="X208" i="2" s="1"/>
  <c r="AF211" i="2" a="1"/>
  <c r="AF211" i="2" s="1"/>
  <c r="AB211" i="2" a="1"/>
  <c r="AB211" i="2" s="1"/>
  <c r="Y210" i="2" a="1"/>
  <c r="Y210" i="2" s="1"/>
  <c r="X211" i="2" a="1"/>
  <c r="X211" i="2" s="1"/>
  <c r="AH208" i="2" a="1"/>
  <c r="AH208" i="2" s="1"/>
  <c r="AE208" i="2" a="1"/>
  <c r="AE208" i="2" s="1"/>
  <c r="AG207" i="2" a="1"/>
  <c r="AG207" i="2" s="1"/>
  <c r="AI208" i="2" a="1"/>
  <c r="AI208" i="2" s="1"/>
  <c r="AE211" i="2" a="1"/>
  <c r="AE211" i="2" s="1"/>
  <c r="AB208" i="2" a="1"/>
  <c r="AB208" i="2" s="1"/>
  <c r="AD211" i="2" a="1"/>
  <c r="AD211" i="2" s="1"/>
  <c r="AC211" i="2" a="1"/>
  <c r="AC211" i="2" s="1"/>
  <c r="AA211" i="2" a="1"/>
  <c r="AA211" i="2" s="1"/>
  <c r="AJ209" i="2" a="1"/>
  <c r="AJ209" i="2" s="1"/>
  <c r="X209" i="2" a="1"/>
  <c r="X209" i="2" s="1"/>
  <c r="W208" i="2" a="1"/>
  <c r="W208" i="2" s="1"/>
  <c r="Z211" i="2" a="1"/>
  <c r="Z211" i="2" s="1"/>
  <c r="Y211" i="2" a="1"/>
  <c r="Y211" i="2" s="1"/>
  <c r="AG208" i="2" a="1"/>
  <c r="AG208" i="2" s="1"/>
  <c r="AF210" i="2" a="1"/>
  <c r="AF210" i="2" s="1"/>
  <c r="AI209" i="2" a="1"/>
  <c r="AI209" i="2" s="1"/>
  <c r="Y208" i="2" a="1"/>
  <c r="Y208" i="2" s="1"/>
  <c r="AF208" i="2" a="1"/>
  <c r="AF208" i="2" s="1"/>
  <c r="Z208" i="2" a="1"/>
  <c r="Z208" i="2" s="1"/>
  <c r="AD210" i="2" a="1"/>
  <c r="AD210" i="2" s="1"/>
  <c r="W211" i="2" a="1"/>
  <c r="W211" i="2" s="1"/>
  <c r="AG209" i="2" a="1"/>
  <c r="AG209" i="2" s="1"/>
  <c r="AF207" i="2" a="1"/>
  <c r="AF207" i="2" s="1"/>
  <c r="AC208" i="2" a="1"/>
  <c r="AC208" i="2" s="1"/>
  <c r="AH204" i="2" a="1"/>
  <c r="AH204" i="2" s="1"/>
  <c r="AG206" i="2" a="1"/>
  <c r="AG206" i="2" s="1"/>
  <c r="AE206" i="2" a="1"/>
  <c r="AE206" i="2" s="1"/>
  <c r="AC206" i="2" a="1"/>
  <c r="AC206" i="2" s="1"/>
  <c r="AE205" i="2" a="1"/>
  <c r="AE205" i="2" s="1"/>
  <c r="AC205" i="2" a="1"/>
  <c r="AC205" i="2" s="1"/>
  <c r="AB203" i="2" a="1"/>
  <c r="AB203" i="2" s="1"/>
  <c r="AI203" i="2" a="1"/>
  <c r="AI203" i="2" s="1"/>
  <c r="Z206" i="2" a="1"/>
  <c r="Z206" i="2" s="1"/>
  <c r="AD205" i="2" a="1"/>
  <c r="AD205" i="2" s="1"/>
  <c r="W204" i="2" a="1"/>
  <c r="W204" i="2" s="1"/>
  <c r="AB205" i="2" a="1"/>
  <c r="AB205" i="2" s="1"/>
  <c r="Z205" i="2" a="1"/>
  <c r="Z205" i="2" s="1"/>
  <c r="AJ203" i="2" a="1"/>
  <c r="AJ203" i="2" s="1"/>
  <c r="AD203" i="2" a="1"/>
  <c r="AD203" i="2" s="1"/>
  <c r="Y203" i="2" a="1"/>
  <c r="Y203" i="2" s="1"/>
  <c r="Z203" i="2" a="1"/>
  <c r="Z203" i="2" s="1"/>
  <c r="AE204" i="2" a="1"/>
  <c r="AE204" i="2" s="1"/>
  <c r="AH203" i="2" a="1"/>
  <c r="AH203" i="2" s="1"/>
  <c r="AE203" i="2" a="1"/>
  <c r="AE203" i="2" s="1"/>
  <c r="AA206" i="2" a="1"/>
  <c r="AA206" i="2" s="1"/>
  <c r="AF206" i="2" a="1"/>
  <c r="AF206" i="2" s="1"/>
  <c r="AH206" i="2" a="1"/>
  <c r="AH206" i="2" s="1"/>
  <c r="AG203" i="2" a="1"/>
  <c r="AG203" i="2" s="1"/>
  <c r="Y205" i="2" a="1"/>
  <c r="Y205" i="2" s="1"/>
  <c r="Y206" i="2" a="1"/>
  <c r="Y206" i="2" s="1"/>
  <c r="X205" i="2" a="1"/>
  <c r="X205" i="2" s="1"/>
  <c r="AF205" i="2" a="1"/>
  <c r="AF205" i="2" s="1"/>
  <c r="AB204" i="2" a="1"/>
  <c r="AB204" i="2" s="1"/>
  <c r="AF204" i="2" a="1"/>
  <c r="AF204" i="2" s="1"/>
  <c r="Y207" i="2" a="1"/>
  <c r="Y207" i="2" s="1"/>
  <c r="X207" i="2" a="1"/>
  <c r="X207" i="2" s="1"/>
  <c r="W207" i="2" a="1"/>
  <c r="W207" i="2" s="1"/>
  <c r="AJ206" i="2" a="1"/>
  <c r="AJ206" i="2" s="1"/>
  <c r="AD206" i="2" a="1"/>
  <c r="AD206" i="2" s="1"/>
  <c r="W205" i="2" a="1"/>
  <c r="W205" i="2" s="1"/>
  <c r="Y204" i="2" a="1"/>
  <c r="Y204" i="2" s="1"/>
  <c r="AG204" i="2" a="1"/>
  <c r="AG204" i="2" s="1"/>
  <c r="AJ204" i="2" a="1"/>
  <c r="AJ204" i="2" s="1"/>
  <c r="X206" i="2" a="1"/>
  <c r="X206" i="2" s="1"/>
  <c r="AJ205" i="2" a="1"/>
  <c r="AJ205" i="2" s="1"/>
  <c r="X204" i="2" a="1"/>
  <c r="X204" i="2" s="1"/>
  <c r="AC203" i="2" a="1"/>
  <c r="AC203" i="2" s="1"/>
  <c r="W206" i="2" a="1"/>
  <c r="W206" i="2" s="1"/>
  <c r="AI205" i="2" a="1"/>
  <c r="AI205" i="2" s="1"/>
  <c r="AA205" i="2" a="1"/>
  <c r="AA205" i="2" s="1"/>
  <c r="AD204" i="2" a="1"/>
  <c r="AD204" i="2" s="1"/>
  <c r="AH269" i="2" a="1"/>
  <c r="AH269" i="2" s="1"/>
  <c r="AE207" i="2" a="1"/>
  <c r="AE207" i="2" s="1"/>
  <c r="AA207" i="2" a="1"/>
  <c r="AA207" i="2" s="1"/>
  <c r="Z207" i="2" a="1"/>
  <c r="Z207" i="2" s="1"/>
  <c r="AH205" i="2" a="1"/>
  <c r="AH205" i="2" s="1"/>
  <c r="AG205" i="2" a="1"/>
  <c r="AG205" i="2" s="1"/>
  <c r="Z204" i="2" a="1"/>
  <c r="Z204" i="2" s="1"/>
  <c r="AC204" i="2" a="1"/>
  <c r="AC204" i="2" s="1"/>
  <c r="AB206" i="2" a="1"/>
  <c r="AB206" i="2" s="1"/>
  <c r="AA204" i="2" a="1"/>
  <c r="AA204" i="2" s="1"/>
  <c r="AA203" i="2" a="1"/>
  <c r="AA203" i="2" s="1"/>
  <c r="AD207" i="2" a="1"/>
  <c r="AD207" i="2" s="1"/>
  <c r="AC207" i="2" a="1"/>
  <c r="AC207" i="2" s="1"/>
  <c r="AB207" i="2" a="1"/>
  <c r="AB207" i="2" s="1"/>
  <c r="AI204" i="2" a="1"/>
  <c r="AI204" i="2" s="1"/>
  <c r="AF203" i="2" a="1"/>
  <c r="AF203" i="2" s="1"/>
  <c r="AI206" i="2" a="1"/>
  <c r="AI206" i="2" s="1"/>
  <c r="AD202" i="2" a="1"/>
  <c r="AD202" i="2" s="1"/>
  <c r="AD200" i="2" a="1"/>
  <c r="AD200" i="2" s="1"/>
  <c r="Z202" i="2" a="1"/>
  <c r="Z202" i="2" s="1"/>
  <c r="Y202" i="2" a="1"/>
  <c r="Y202" i="2" s="1"/>
  <c r="X202" i="2" a="1"/>
  <c r="X202" i="2" s="1"/>
  <c r="AD201" i="2" a="1"/>
  <c r="AD201" i="2" s="1"/>
  <c r="AB199" i="2" a="1"/>
  <c r="AB199" i="2" s="1"/>
  <c r="AI199" i="2" a="1"/>
  <c r="AI199" i="2" s="1"/>
  <c r="AA199" i="2" a="1"/>
  <c r="AA199" i="2" s="1"/>
  <c r="W199" i="2" a="1"/>
  <c r="W199" i="2" s="1"/>
  <c r="AH201" i="2" a="1"/>
  <c r="AH201" i="2" s="1"/>
  <c r="AE201" i="2" a="1"/>
  <c r="AE201" i="2" s="1"/>
  <c r="AA200" i="2" a="1"/>
  <c r="AA200" i="2" s="1"/>
  <c r="Z200" i="2" a="1"/>
  <c r="Z200" i="2" s="1"/>
  <c r="W200" i="2" a="1"/>
  <c r="W200" i="2" s="1"/>
  <c r="AD199" i="2" a="1"/>
  <c r="AD199" i="2" s="1"/>
  <c r="AG201" i="2" a="1"/>
  <c r="AG201" i="2" s="1"/>
  <c r="AF201" i="2" a="1"/>
  <c r="AF201" i="2" s="1"/>
  <c r="AF200" i="2" a="1"/>
  <c r="AF200" i="2" s="1"/>
  <c r="X200" i="2" a="1"/>
  <c r="X200" i="2" s="1"/>
  <c r="AG199" i="2" a="1"/>
  <c r="AG199" i="2" s="1"/>
  <c r="AH198" i="2" a="1"/>
  <c r="AH198" i="2" s="1"/>
  <c r="AE200" i="2" a="1"/>
  <c r="AE200" i="2" s="1"/>
  <c r="AA202" i="2" a="1"/>
  <c r="AA202" i="2" s="1"/>
  <c r="AC202" i="2" a="1"/>
  <c r="AC202" i="2" s="1"/>
  <c r="AB202" i="2" a="1"/>
  <c r="AB202" i="2" s="1"/>
  <c r="W202" i="2" a="1"/>
  <c r="W202" i="2" s="1"/>
  <c r="AI201" i="2" a="1"/>
  <c r="AI201" i="2" s="1"/>
  <c r="AE199" i="2" a="1"/>
  <c r="AE199" i="2" s="1"/>
  <c r="AC201" i="2" a="1"/>
  <c r="AC201" i="2" s="1"/>
  <c r="Y200" i="2" a="1"/>
  <c r="Y200" i="2" s="1"/>
  <c r="AC199" i="2" a="1"/>
  <c r="AC199" i="2" s="1"/>
  <c r="AB201" i="2" a="1"/>
  <c r="AB201" i="2" s="1"/>
  <c r="Z201" i="2" a="1"/>
  <c r="Z201" i="2" s="1"/>
  <c r="AH200" i="2" a="1"/>
  <c r="AH200" i="2" s="1"/>
  <c r="X199" i="2" a="1"/>
  <c r="X199" i="2" s="1"/>
  <c r="AG200" i="2" a="1"/>
  <c r="AG200" i="2" s="1"/>
  <c r="Y199" i="2" a="1"/>
  <c r="Y199" i="2" s="1"/>
  <c r="AI198" i="2" a="1"/>
  <c r="AI198" i="2" s="1"/>
  <c r="Y201" i="2" a="1"/>
  <c r="Y201" i="2" s="1"/>
  <c r="AJ198" i="2" a="1"/>
  <c r="AJ198" i="2" s="1"/>
  <c r="AC200" i="2" a="1"/>
  <c r="AC200" i="2" s="1"/>
  <c r="W201" i="2" a="1"/>
  <c r="W201" i="2" s="1"/>
  <c r="AJ200" i="2" a="1"/>
  <c r="AJ200" i="2" s="1"/>
  <c r="X201" i="2" a="1"/>
  <c r="X201" i="2" s="1"/>
  <c r="AE270" i="2" a="1"/>
  <c r="AE270" i="2" s="1"/>
  <c r="X203" i="2" a="1"/>
  <c r="X203" i="2" s="1"/>
  <c r="W203" i="2" a="1"/>
  <c r="W203" i="2" s="1"/>
  <c r="AJ202" i="2" a="1"/>
  <c r="AJ202" i="2" s="1"/>
  <c r="AI202" i="2" a="1"/>
  <c r="AI202" i="2" s="1"/>
  <c r="AH202" i="2" a="1"/>
  <c r="AH202" i="2" s="1"/>
  <c r="AI200" i="2" a="1"/>
  <c r="AI200" i="2" s="1"/>
  <c r="AB200" i="2" a="1"/>
  <c r="AB200" i="2" s="1"/>
  <c r="AJ199" i="2" a="1"/>
  <c r="AJ199" i="2" s="1"/>
  <c r="AG202" i="2" a="1"/>
  <c r="AG202" i="2" s="1"/>
  <c r="AF199" i="2" a="1"/>
  <c r="AF199" i="2" s="1"/>
  <c r="AF202" i="2" a="1"/>
  <c r="AF202" i="2" s="1"/>
  <c r="AE202" i="2" a="1"/>
  <c r="AE202" i="2" s="1"/>
  <c r="Z199" i="2" a="1"/>
  <c r="Z199" i="2" s="1"/>
  <c r="AA201" i="2" a="1"/>
  <c r="AA201" i="2" s="1"/>
  <c r="AJ201" i="2" a="1"/>
  <c r="AJ201" i="2" s="1"/>
  <c r="AH199" i="2" a="1"/>
  <c r="AH199" i="2" s="1"/>
  <c r="AF198" i="2" a="1"/>
  <c r="AF198" i="2" s="1"/>
  <c r="AE198" i="2" a="1"/>
  <c r="AE198" i="2" s="1"/>
  <c r="AC198" i="2" a="1"/>
  <c r="AC198" i="2" s="1"/>
  <c r="AB198" i="2" a="1"/>
  <c r="AB198" i="2" s="1"/>
  <c r="AA198" i="2" a="1"/>
  <c r="AA198" i="2" s="1"/>
  <c r="Z198" i="2" a="1"/>
  <c r="Z198" i="2" s="1"/>
  <c r="W198" i="2" a="1"/>
  <c r="W198" i="2" s="1"/>
  <c r="AF197" i="2" a="1"/>
  <c r="AF197" i="2" s="1"/>
  <c r="AJ195" i="2" a="1"/>
  <c r="AJ195" i="2" s="1"/>
  <c r="AH195" i="2" a="1"/>
  <c r="AH195" i="2" s="1"/>
  <c r="AI197" i="2" a="1"/>
  <c r="AI197" i="2" s="1"/>
  <c r="AJ196" i="2" a="1"/>
  <c r="AJ196" i="2" s="1"/>
  <c r="Y195" i="2" a="1"/>
  <c r="Y195" i="2" s="1"/>
  <c r="AE194" i="2" a="1"/>
  <c r="AE194" i="2" s="1"/>
  <c r="AD197" i="2" a="1"/>
  <c r="AD197" i="2" s="1"/>
  <c r="AC195" i="2" a="1"/>
  <c r="AC195" i="2" s="1"/>
  <c r="AB195" i="2" a="1"/>
  <c r="AB195" i="2" s="1"/>
  <c r="AH196" i="2" a="1"/>
  <c r="AH196" i="2" s="1"/>
  <c r="AI195" i="2" a="1"/>
  <c r="AI195" i="2" s="1"/>
  <c r="AD196" i="2" a="1"/>
  <c r="AD196" i="2" s="1"/>
  <c r="X197" i="2" a="1"/>
  <c r="X197" i="2" s="1"/>
  <c r="Y197" i="2" a="1"/>
  <c r="Y197" i="2" s="1"/>
  <c r="AD195" i="2" a="1"/>
  <c r="AD195" i="2" s="1"/>
  <c r="AC196" i="2" a="1"/>
  <c r="AC196" i="2" s="1"/>
  <c r="AG196" i="2" a="1"/>
  <c r="AG196" i="2" s="1"/>
  <c r="AC197" i="2" a="1"/>
  <c r="AC197" i="2" s="1"/>
  <c r="AF196" i="2" a="1"/>
  <c r="AF196" i="2" s="1"/>
  <c r="AB196" i="2" a="1"/>
  <c r="AB196" i="2" s="1"/>
  <c r="AA195" i="2" a="1"/>
  <c r="AA195" i="2" s="1"/>
  <c r="W195" i="2" a="1"/>
  <c r="W195" i="2" s="1"/>
  <c r="AF194" i="2" a="1"/>
  <c r="AF194" i="2" s="1"/>
  <c r="AE195" i="2" a="1"/>
  <c r="AE195" i="2" s="1"/>
  <c r="AD198" i="2" a="1"/>
  <c r="AD198" i="2" s="1"/>
  <c r="Y198" i="2" a="1"/>
  <c r="Y198" i="2" s="1"/>
  <c r="W196" i="2" a="1"/>
  <c r="W196" i="2" s="1"/>
  <c r="AG197" i="2" a="1"/>
  <c r="AG197" i="2" s="1"/>
  <c r="Z195" i="2" a="1"/>
  <c r="Z195" i="2" s="1"/>
  <c r="X198" i="2" a="1"/>
  <c r="X198" i="2" s="1"/>
  <c r="AJ197" i="2" a="1"/>
  <c r="AJ197" i="2" s="1"/>
  <c r="AH197" i="2" a="1"/>
  <c r="AH197" i="2" s="1"/>
  <c r="AE197" i="2" a="1"/>
  <c r="AE197" i="2" s="1"/>
  <c r="AA197" i="2" a="1"/>
  <c r="AA197" i="2" s="1"/>
  <c r="Z196" i="2" a="1"/>
  <c r="Z196" i="2" s="1"/>
  <c r="AI196" i="2" a="1"/>
  <c r="AI196" i="2" s="1"/>
  <c r="AA196" i="2" a="1"/>
  <c r="AA196" i="2" s="1"/>
  <c r="Y196" i="2" a="1"/>
  <c r="Y196" i="2" s="1"/>
  <c r="AD194" i="2" a="1"/>
  <c r="AD194" i="2" s="1"/>
  <c r="AG194" i="2" a="1"/>
  <c r="AG194" i="2" s="1"/>
  <c r="AE196" i="2" a="1"/>
  <c r="AE196" i="2" s="1"/>
  <c r="W197" i="2" a="1"/>
  <c r="W197" i="2" s="1"/>
  <c r="AF195" i="2" a="1"/>
  <c r="AF195" i="2" s="1"/>
  <c r="AI194" i="2" a="1"/>
  <c r="AI194" i="2" s="1"/>
  <c r="AG198" i="2" a="1"/>
  <c r="AG198" i="2" s="1"/>
  <c r="AG195" i="2" a="1"/>
  <c r="AG195" i="2" s="1"/>
  <c r="AB197" i="2" a="1"/>
  <c r="AB197" i="2" s="1"/>
  <c r="X195" i="2" a="1"/>
  <c r="X195" i="2" s="1"/>
  <c r="X196" i="2" a="1"/>
  <c r="X196" i="2" s="1"/>
  <c r="AH194" i="2" a="1"/>
  <c r="AH194" i="2" s="1"/>
  <c r="AC194" i="2" a="1"/>
  <c r="AC194" i="2" s="1"/>
  <c r="AJ194" i="2" a="1"/>
  <c r="AJ194" i="2" s="1"/>
  <c r="AG269" i="2" a="1"/>
  <c r="AG269" i="2" s="1"/>
  <c r="Z197" i="2" a="1"/>
  <c r="Z197" i="2" s="1"/>
  <c r="AJ193" i="2" a="1"/>
  <c r="AJ193" i="2" s="1"/>
  <c r="AI193" i="2" a="1"/>
  <c r="AI193" i="2" s="1"/>
  <c r="AH193" i="2" a="1"/>
  <c r="AH193" i="2" s="1"/>
  <c r="AC191" i="2" a="1"/>
  <c r="AC191" i="2" s="1"/>
  <c r="AJ190" i="2" a="1"/>
  <c r="AJ190" i="2" s="1"/>
  <c r="AI191" i="2" a="1"/>
  <c r="AI191" i="2" s="1"/>
  <c r="AF193" i="2" a="1"/>
  <c r="AF193" i="2" s="1"/>
  <c r="AE193" i="2" a="1"/>
  <c r="AE193" i="2" s="1"/>
  <c r="Y193" i="2" a="1"/>
  <c r="Y193" i="2" s="1"/>
  <c r="Z192" i="2" a="1"/>
  <c r="Z192" i="2" s="1"/>
  <c r="AD191" i="2" a="1"/>
  <c r="AD191" i="2" s="1"/>
  <c r="AD190" i="2" a="1"/>
  <c r="AD190" i="2" s="1"/>
  <c r="W191" i="2" a="1"/>
  <c r="W191" i="2" s="1"/>
  <c r="Z190" i="2" a="1"/>
  <c r="Z190" i="2" s="1"/>
  <c r="X193" i="2" a="1"/>
  <c r="X193" i="2" s="1"/>
  <c r="Y192" i="2" a="1"/>
  <c r="Y192" i="2" s="1"/>
  <c r="W192" i="2" a="1"/>
  <c r="W192" i="2" s="1"/>
  <c r="X192" i="2" a="1"/>
  <c r="X192" i="2" s="1"/>
  <c r="AH191" i="2" a="1"/>
  <c r="AH191" i="2" s="1"/>
  <c r="AA192" i="2" a="1"/>
  <c r="AA192" i="2" s="1"/>
  <c r="AB191" i="2" a="1"/>
  <c r="AB191" i="2" s="1"/>
  <c r="AC192" i="2" a="1"/>
  <c r="AC192" i="2" s="1"/>
  <c r="AE191" i="2" a="1"/>
  <c r="AE191" i="2" s="1"/>
  <c r="W193" i="2" a="1"/>
  <c r="W193" i="2" s="1"/>
  <c r="AF191" i="2" a="1"/>
  <c r="AF191" i="2" s="1"/>
  <c r="AE190" i="2" a="1"/>
  <c r="AE190" i="2" s="1"/>
  <c r="AB190" i="2" a="1"/>
  <c r="AB190" i="2" s="1"/>
  <c r="AG190" i="2" a="1"/>
  <c r="AG190" i="2" s="1"/>
  <c r="X191" i="2" a="1"/>
  <c r="X191" i="2" s="1"/>
  <c r="AI192" i="2" a="1"/>
  <c r="AI192" i="2" s="1"/>
  <c r="AA194" i="2" a="1"/>
  <c r="AA194" i="2" s="1"/>
  <c r="Z194" i="2" a="1"/>
  <c r="Z194" i="2" s="1"/>
  <c r="AF190" i="2" a="1"/>
  <c r="AF190" i="2" s="1"/>
  <c r="AF192" i="2" a="1"/>
  <c r="AF192" i="2" s="1"/>
  <c r="AA190" i="2" a="1"/>
  <c r="AA190" i="2" s="1"/>
  <c r="Y194" i="2" a="1"/>
  <c r="Y194" i="2" s="1"/>
  <c r="AD192" i="2" a="1"/>
  <c r="AD192" i="2" s="1"/>
  <c r="AG193" i="2" a="1"/>
  <c r="AG193" i="2" s="1"/>
  <c r="AJ192" i="2" a="1"/>
  <c r="AJ192" i="2" s="1"/>
  <c r="AE192" i="2" a="1"/>
  <c r="AE192" i="2" s="1"/>
  <c r="X194" i="2" a="1"/>
  <c r="X194" i="2" s="1"/>
  <c r="AC193" i="2" a="1"/>
  <c r="AC193" i="2" s="1"/>
  <c r="AG191" i="2" a="1"/>
  <c r="AG191" i="2" s="1"/>
  <c r="AA193" i="2" a="1"/>
  <c r="AA193" i="2" s="1"/>
  <c r="Y191" i="2" a="1"/>
  <c r="Y191" i="2" s="1"/>
  <c r="AI190" i="2" a="1"/>
  <c r="AI190" i="2" s="1"/>
  <c r="AC190" i="2" a="1"/>
  <c r="AC190" i="2" s="1"/>
  <c r="AD193" i="2" a="1"/>
  <c r="AD193" i="2" s="1"/>
  <c r="AG192" i="2" a="1"/>
  <c r="AG192" i="2" s="1"/>
  <c r="AA191" i="2" a="1"/>
  <c r="AA191" i="2" s="1"/>
  <c r="AJ191" i="2" a="1"/>
  <c r="AJ191" i="2" s="1"/>
  <c r="Z193" i="2" a="1"/>
  <c r="Z193" i="2" s="1"/>
  <c r="AH192" i="2" a="1"/>
  <c r="AH192" i="2" s="1"/>
  <c r="AB193" i="2" a="1"/>
  <c r="AB193" i="2" s="1"/>
  <c r="AB192" i="2" a="1"/>
  <c r="AB192" i="2" s="1"/>
  <c r="Z191" i="2" a="1"/>
  <c r="Z191" i="2" s="1"/>
  <c r="AA271" i="2" a="1"/>
  <c r="AA271" i="2" s="1"/>
  <c r="AB194" i="2" a="1"/>
  <c r="AB194" i="2" s="1"/>
  <c r="W194" i="2" a="1"/>
  <c r="W194" i="2" s="1"/>
  <c r="AH190" i="2" a="1"/>
  <c r="AH190" i="2" s="1"/>
  <c r="AH189" i="2" a="1"/>
  <c r="AH189" i="2" s="1"/>
  <c r="AF189" i="2" a="1"/>
  <c r="AF189" i="2" s="1"/>
  <c r="AD189" i="2" a="1"/>
  <c r="AD189" i="2" s="1"/>
  <c r="AC189" i="2" a="1"/>
  <c r="AC189" i="2" s="1"/>
  <c r="AH186" i="2" a="1"/>
  <c r="AH186" i="2" s="1"/>
  <c r="AH185" i="2" a="1"/>
  <c r="AH185" i="2" s="1"/>
  <c r="AA188" i="2" a="1"/>
  <c r="AA188" i="2" s="1"/>
  <c r="W189" i="2" a="1"/>
  <c r="W189" i="2" s="1"/>
  <c r="AH188" i="2" a="1"/>
  <c r="AH188" i="2" s="1"/>
  <c r="AJ185" i="2" a="1"/>
  <c r="AJ185" i="2" s="1"/>
  <c r="X189" i="2" a="1"/>
  <c r="X189" i="2" s="1"/>
  <c r="Y188" i="2" a="1"/>
  <c r="Y188" i="2" s="1"/>
  <c r="X188" i="2" a="1"/>
  <c r="X188" i="2" s="1"/>
  <c r="W188" i="2" a="1"/>
  <c r="W188" i="2" s="1"/>
  <c r="AI187" i="2" a="1"/>
  <c r="AI187" i="2" s="1"/>
  <c r="AG187" i="2" a="1"/>
  <c r="AG187" i="2" s="1"/>
  <c r="Z187" i="2" a="1"/>
  <c r="Z187" i="2" s="1"/>
  <c r="AB187" i="2" a="1"/>
  <c r="AB187" i="2" s="1"/>
  <c r="AG185" i="2" a="1"/>
  <c r="AG185" i="2" s="1"/>
  <c r="AG188" i="2" a="1"/>
  <c r="AG188" i="2" s="1"/>
  <c r="W187" i="2" a="1"/>
  <c r="W187" i="2" s="1"/>
  <c r="AG189" i="2" a="1"/>
  <c r="AG189" i="2" s="1"/>
  <c r="AF188" i="2" a="1"/>
  <c r="AF188" i="2" s="1"/>
  <c r="AI186" i="2" a="1"/>
  <c r="AI186" i="2" s="1"/>
  <c r="AE189" i="2" a="1"/>
  <c r="AE189" i="2" s="1"/>
  <c r="AA186" i="2" a="1"/>
  <c r="AA186" i="2" s="1"/>
  <c r="AB189" i="2" a="1"/>
  <c r="AB189" i="2" s="1"/>
  <c r="AA189" i="2" a="1"/>
  <c r="AA189" i="2" s="1"/>
  <c r="Z189" i="2" a="1"/>
  <c r="Z189" i="2" s="1"/>
  <c r="AE188" i="2" a="1"/>
  <c r="AE188" i="2" s="1"/>
  <c r="AH187" i="2" a="1"/>
  <c r="AH187" i="2" s="1"/>
  <c r="AF187" i="2" a="1"/>
  <c r="AF187" i="2" s="1"/>
  <c r="AA187" i="2" a="1"/>
  <c r="AA187" i="2" s="1"/>
  <c r="Y187" i="2" a="1"/>
  <c r="Y187" i="2" s="1"/>
  <c r="AE186" i="2" a="1"/>
  <c r="AE186" i="2" s="1"/>
  <c r="AB186" i="2" a="1"/>
  <c r="AB186" i="2" s="1"/>
  <c r="W186" i="2" a="1"/>
  <c r="W186" i="2" s="1"/>
  <c r="Z186" i="2" a="1"/>
  <c r="Z186" i="2" s="1"/>
  <c r="Y186" i="2" a="1"/>
  <c r="Y186" i="2" s="1"/>
  <c r="AF186" i="2" a="1"/>
  <c r="AF186" i="2" s="1"/>
  <c r="AD188" i="2" a="1"/>
  <c r="AD188" i="2" s="1"/>
  <c r="AC188" i="2" a="1"/>
  <c r="AC188" i="2" s="1"/>
  <c r="AB188" i="2" a="1"/>
  <c r="AB188" i="2" s="1"/>
  <c r="AJ187" i="2" a="1"/>
  <c r="AJ187" i="2" s="1"/>
  <c r="AE187" i="2" a="1"/>
  <c r="AE187" i="2" s="1"/>
  <c r="AD187" i="2" a="1"/>
  <c r="AD187" i="2" s="1"/>
  <c r="AJ186" i="2" a="1"/>
  <c r="AJ186" i="2" s="1"/>
  <c r="X187" i="2" a="1"/>
  <c r="X187" i="2" s="1"/>
  <c r="AC187" i="2" a="1"/>
  <c r="AC187" i="2" s="1"/>
  <c r="AG186" i="2" a="1"/>
  <c r="AG186" i="2" s="1"/>
  <c r="AD186" i="2" a="1"/>
  <c r="AD186" i="2" s="1"/>
  <c r="AI185" i="2" a="1"/>
  <c r="AI185" i="2" s="1"/>
  <c r="AF269" i="2" a="1"/>
  <c r="AF269" i="2" s="1"/>
  <c r="Y190" i="2" a="1"/>
  <c r="Y190" i="2" s="1"/>
  <c r="AI188" i="2" a="1"/>
  <c r="AI188" i="2" s="1"/>
  <c r="AC186" i="2" a="1"/>
  <c r="AC186" i="2" s="1"/>
  <c r="X190" i="2" a="1"/>
  <c r="X190" i="2" s="1"/>
  <c r="Z188" i="2" a="1"/>
  <c r="Z188" i="2" s="1"/>
  <c r="W190" i="2" a="1"/>
  <c r="W190" i="2" s="1"/>
  <c r="AJ189" i="2" a="1"/>
  <c r="AJ189" i="2" s="1"/>
  <c r="AI189" i="2" a="1"/>
  <c r="AI189" i="2" s="1"/>
  <c r="X186" i="2" a="1"/>
  <c r="X186" i="2" s="1"/>
  <c r="Y189" i="2" a="1"/>
  <c r="Y189" i="2" s="1"/>
  <c r="AJ188" i="2" a="1"/>
  <c r="AJ188" i="2" s="1"/>
  <c r="X184" i="2" a="1"/>
  <c r="X184" i="2" s="1"/>
  <c r="AE185" i="2" a="1"/>
  <c r="AE185" i="2" s="1"/>
  <c r="AD185" i="2" a="1"/>
  <c r="AD185" i="2" s="1"/>
  <c r="AC185" i="2" a="1"/>
  <c r="AC185" i="2" s="1"/>
  <c r="AI181" i="2" a="1"/>
  <c r="AI181" i="2" s="1"/>
  <c r="AA185" i="2" a="1"/>
  <c r="AA185" i="2" s="1"/>
  <c r="Y185" i="2" a="1"/>
  <c r="Y185" i="2" s="1"/>
  <c r="AJ184" i="2" a="1"/>
  <c r="AJ184" i="2" s="1"/>
  <c r="Y182" i="2" a="1"/>
  <c r="Y182" i="2" s="1"/>
  <c r="AJ183" i="2" a="1"/>
  <c r="AJ183" i="2" s="1"/>
  <c r="AF183" i="2" a="1"/>
  <c r="AF183" i="2" s="1"/>
  <c r="X185" i="2" a="1"/>
  <c r="X185" i="2" s="1"/>
  <c r="W184" i="2" a="1"/>
  <c r="W184" i="2" s="1"/>
  <c r="AD183" i="2" a="1"/>
  <c r="AD183" i="2" s="1"/>
  <c r="Y183" i="2" a="1"/>
  <c r="Y183" i="2" s="1"/>
  <c r="Z181" i="2" a="1"/>
  <c r="Z181" i="2" s="1"/>
  <c r="AA181" i="2" a="1"/>
  <c r="AA181" i="2" s="1"/>
  <c r="AE182" i="2" a="1"/>
  <c r="AE182" i="2" s="1"/>
  <c r="AB182" i="2" a="1"/>
  <c r="AB182" i="2" s="1"/>
  <c r="AI183" i="2" a="1"/>
  <c r="AI183" i="2" s="1"/>
  <c r="AG184" i="2" a="1"/>
  <c r="AG184" i="2" s="1"/>
  <c r="Y184" i="2" a="1"/>
  <c r="Y184" i="2" s="1"/>
  <c r="AH183" i="2" a="1"/>
  <c r="AH183" i="2" s="1"/>
  <c r="X182" i="2" a="1"/>
  <c r="X182" i="2" s="1"/>
  <c r="AC184" i="2" a="1"/>
  <c r="AC184" i="2" s="1"/>
  <c r="AE181" i="2" a="1"/>
  <c r="AE181" i="2" s="1"/>
  <c r="AC183" i="2" a="1"/>
  <c r="AC183" i="2" s="1"/>
  <c r="Z183" i="2" a="1"/>
  <c r="Z183" i="2" s="1"/>
  <c r="AF182" i="2" a="1"/>
  <c r="AF182" i="2" s="1"/>
  <c r="AF181" i="2" a="1"/>
  <c r="AF181" i="2" s="1"/>
  <c r="AB185" i="2" a="1"/>
  <c r="AB185" i="2" s="1"/>
  <c r="Z184" i="2" a="1"/>
  <c r="Z184" i="2" s="1"/>
  <c r="Z185" i="2" a="1"/>
  <c r="Z185" i="2" s="1"/>
  <c r="W185" i="2" a="1"/>
  <c r="W185" i="2" s="1"/>
  <c r="AH182" i="2" a="1"/>
  <c r="AH182" i="2" s="1"/>
  <c r="AA183" i="2" a="1"/>
  <c r="AA183" i="2" s="1"/>
  <c r="AG182" i="2" a="1"/>
  <c r="AG182" i="2" s="1"/>
  <c r="AJ181" i="2" a="1"/>
  <c r="AJ181" i="2" s="1"/>
  <c r="AH184" i="2" a="1"/>
  <c r="AH184" i="2" s="1"/>
  <c r="AF184" i="2" a="1"/>
  <c r="AF184" i="2" s="1"/>
  <c r="AD184" i="2" a="1"/>
  <c r="AD184" i="2" s="1"/>
  <c r="AG183" i="2" a="1"/>
  <c r="AG183" i="2" s="1"/>
  <c r="AJ182" i="2" a="1"/>
  <c r="AJ182" i="2" s="1"/>
  <c r="AB183" i="2" a="1"/>
  <c r="AB183" i="2" s="1"/>
  <c r="AA182" i="2" a="1"/>
  <c r="AA182" i="2" s="1"/>
  <c r="X183" i="2" a="1"/>
  <c r="X183" i="2" s="1"/>
  <c r="AD182" i="2" a="1"/>
  <c r="AD182" i="2" s="1"/>
  <c r="AC181" i="2" a="1"/>
  <c r="AC181" i="2" s="1"/>
  <c r="AI184" i="2" a="1"/>
  <c r="AI184" i="2" s="1"/>
  <c r="AB184" i="2" a="1"/>
  <c r="AB184" i="2" s="1"/>
  <c r="AH181" i="2" a="1"/>
  <c r="AH181" i="2" s="1"/>
  <c r="AC182" i="2" a="1"/>
  <c r="AC182" i="2" s="1"/>
  <c r="AA184" i="2" a="1"/>
  <c r="AA184" i="2" s="1"/>
  <c r="W183" i="2" a="1"/>
  <c r="W183" i="2" s="1"/>
  <c r="Z182" i="2" a="1"/>
  <c r="Z182" i="2" s="1"/>
  <c r="AB181" i="2" a="1"/>
  <c r="AB181" i="2" s="1"/>
  <c r="AE183" i="2" a="1"/>
  <c r="AE183" i="2" s="1"/>
  <c r="W182" i="2" a="1"/>
  <c r="W182" i="2" s="1"/>
  <c r="AD181" i="2" a="1"/>
  <c r="AD181" i="2" s="1"/>
  <c r="AD270" i="2" a="1"/>
  <c r="AD270" i="2" s="1"/>
  <c r="AF185" i="2" a="1"/>
  <c r="AF185" i="2" s="1"/>
  <c r="AE184" i="2" a="1"/>
  <c r="AE184" i="2" s="1"/>
  <c r="AI182" i="2" a="1"/>
  <c r="AI182" i="2" s="1"/>
  <c r="AG181" i="2" a="1"/>
  <c r="AG181" i="2" s="1"/>
  <c r="AI180" i="2" a="1"/>
  <c r="AI180" i="2" s="1"/>
  <c r="AH180" i="2" a="1"/>
  <c r="AH180" i="2" s="1"/>
  <c r="AA180" i="2" a="1"/>
  <c r="AA180" i="2" s="1"/>
  <c r="X180" i="2" a="1"/>
  <c r="X180" i="2" s="1"/>
  <c r="AJ179" i="2" a="1"/>
  <c r="AJ179" i="2" s="1"/>
  <c r="AE180" i="2" a="1"/>
  <c r="AE180" i="2" s="1"/>
  <c r="W180" i="2" a="1"/>
  <c r="W180" i="2" s="1"/>
  <c r="AC179" i="2" a="1"/>
  <c r="AC179" i="2" s="1"/>
  <c r="AA179" i="2" a="1"/>
  <c r="AA179" i="2" s="1"/>
  <c r="AI178" i="2" a="1"/>
  <c r="AI178" i="2" s="1"/>
  <c r="AA178" i="2" a="1"/>
  <c r="AA178" i="2" s="1"/>
  <c r="AH178" i="2" a="1"/>
  <c r="AH178" i="2" s="1"/>
  <c r="Y178" i="2" a="1"/>
  <c r="Y178" i="2" s="1"/>
  <c r="AI177" i="2" a="1"/>
  <c r="AI177" i="2" s="1"/>
  <c r="AF177" i="2" a="1"/>
  <c r="AF177" i="2" s="1"/>
  <c r="X177" i="2" a="1"/>
  <c r="X177" i="2" s="1"/>
  <c r="AE177" i="2" a="1"/>
  <c r="AE177" i="2" s="1"/>
  <c r="AF180" i="2" a="1"/>
  <c r="AF180" i="2" s="1"/>
  <c r="AD180" i="2" a="1"/>
  <c r="AD180" i="2" s="1"/>
  <c r="AJ178" i="2" a="1"/>
  <c r="AJ178" i="2" s="1"/>
  <c r="Z180" i="2" a="1"/>
  <c r="Z180" i="2" s="1"/>
  <c r="Z179" i="2" a="1"/>
  <c r="Z179" i="2" s="1"/>
  <c r="AG178" i="2" a="1"/>
  <c r="AG178" i="2" s="1"/>
  <c r="AC178" i="2" a="1"/>
  <c r="AC178" i="2" s="1"/>
  <c r="X178" i="2" a="1"/>
  <c r="X178" i="2" s="1"/>
  <c r="AD177" i="2" a="1"/>
  <c r="AD177" i="2" s="1"/>
  <c r="Z177" i="2" a="1"/>
  <c r="Z177" i="2" s="1"/>
  <c r="AG179" i="2" a="1"/>
  <c r="AG179" i="2" s="1"/>
  <c r="Y177" i="2" a="1"/>
  <c r="Y177" i="2" s="1"/>
  <c r="AE269" i="2" a="1"/>
  <c r="AE269" i="2" s="1"/>
  <c r="Y179" i="2" a="1"/>
  <c r="Y179" i="2" s="1"/>
  <c r="W177" i="2" a="1"/>
  <c r="W177" i="2" s="1"/>
  <c r="AF179" i="2" a="1"/>
  <c r="AF179" i="2" s="1"/>
  <c r="X179" i="2" a="1"/>
  <c r="X179" i="2" s="1"/>
  <c r="AE179" i="2" a="1"/>
  <c r="AE179" i="2" s="1"/>
  <c r="AG180" i="2" a="1"/>
  <c r="AG180" i="2" s="1"/>
  <c r="AC180" i="2" a="1"/>
  <c r="AC180" i="2" s="1"/>
  <c r="AB180" i="2" a="1"/>
  <c r="AB180" i="2" s="1"/>
  <c r="AD179" i="2" a="1"/>
  <c r="AD179" i="2" s="1"/>
  <c r="AB178" i="2" a="1"/>
  <c r="AB178" i="2" s="1"/>
  <c r="Y180" i="2" a="1"/>
  <c r="Y180" i="2" s="1"/>
  <c r="AF178" i="2" a="1"/>
  <c r="AF178" i="2" s="1"/>
  <c r="W178" i="2" a="1"/>
  <c r="W178" i="2" s="1"/>
  <c r="AC177" i="2" a="1"/>
  <c r="AC177" i="2" s="1"/>
  <c r="AH177" i="2" a="1"/>
  <c r="AH177" i="2" s="1"/>
  <c r="AI179" i="2" a="1"/>
  <c r="AI179" i="2" s="1"/>
  <c r="AG177" i="2" a="1"/>
  <c r="AG177" i="2" s="1"/>
  <c r="AE178" i="2" a="1"/>
  <c r="AE178" i="2" s="1"/>
  <c r="AD178" i="2" a="1"/>
  <c r="AD178" i="2" s="1"/>
  <c r="AB177" i="2" a="1"/>
  <c r="AB177" i="2" s="1"/>
  <c r="AA177" i="2" a="1"/>
  <c r="AA177" i="2" s="1"/>
  <c r="AB179" i="2" a="1"/>
  <c r="AB179" i="2" s="1"/>
  <c r="Z178" i="2" a="1"/>
  <c r="Z178" i="2" s="1"/>
  <c r="AJ177" i="2" a="1"/>
  <c r="AJ177" i="2" s="1"/>
  <c r="Y181" i="2" a="1"/>
  <c r="Y181" i="2" s="1"/>
  <c r="X181" i="2" a="1"/>
  <c r="X181" i="2" s="1"/>
  <c r="W181" i="2" a="1"/>
  <c r="W181" i="2" s="1"/>
  <c r="AJ180" i="2" a="1"/>
  <c r="AJ180" i="2" s="1"/>
  <c r="AH179" i="2" a="1"/>
  <c r="AH179" i="2" s="1"/>
  <c r="W179" i="2" a="1"/>
  <c r="W179" i="2" s="1"/>
  <c r="Z176" i="2" a="1"/>
  <c r="Z176" i="2" s="1"/>
  <c r="Y176" i="2" a="1"/>
  <c r="Y176" i="2" s="1"/>
  <c r="W175" i="2" a="1"/>
  <c r="W175" i="2" s="1"/>
  <c r="AG174" i="2" a="1"/>
  <c r="AG174" i="2" s="1"/>
  <c r="X174" i="2" a="1"/>
  <c r="X174" i="2" s="1"/>
  <c r="Z174" i="2" a="1"/>
  <c r="Z174" i="2" s="1"/>
  <c r="Y174" i="2" a="1"/>
  <c r="Y174" i="2" s="1"/>
  <c r="AA173" i="2" a="1"/>
  <c r="AA173" i="2" s="1"/>
  <c r="AG173" i="2" a="1"/>
  <c r="AG173" i="2" s="1"/>
  <c r="AJ173" i="2" a="1"/>
  <c r="AJ173" i="2" s="1"/>
  <c r="AE174" i="2" a="1"/>
  <c r="AE174" i="2" s="1"/>
  <c r="AJ175" i="2" a="1"/>
  <c r="AJ175" i="2" s="1"/>
  <c r="AA174" i="2" a="1"/>
  <c r="AA174" i="2" s="1"/>
  <c r="AI175" i="2" a="1"/>
  <c r="AI175" i="2" s="1"/>
  <c r="AG175" i="2" a="1"/>
  <c r="AG175" i="2" s="1"/>
  <c r="AE175" i="2" a="1"/>
  <c r="AE175" i="2" s="1"/>
  <c r="AC173" i="2" a="1"/>
  <c r="AC173" i="2" s="1"/>
  <c r="W174" i="2" a="1"/>
  <c r="W174" i="2" s="1"/>
  <c r="AB173" i="2" a="1"/>
  <c r="AB173" i="2" s="1"/>
  <c r="AH175" i="2" a="1"/>
  <c r="AH175" i="2" s="1"/>
  <c r="AD176" i="2" a="1"/>
  <c r="AD176" i="2" s="1"/>
  <c r="AJ176" i="2" a="1"/>
  <c r="AJ176" i="2" s="1"/>
  <c r="AH176" i="2" a="1"/>
  <c r="AH176" i="2" s="1"/>
  <c r="AC176" i="2" a="1"/>
  <c r="AC176" i="2" s="1"/>
  <c r="AB176" i="2" a="1"/>
  <c r="AB176" i="2" s="1"/>
  <c r="AF174" i="2" a="1"/>
  <c r="AF174" i="2" s="1"/>
  <c r="AD174" i="2" a="1"/>
  <c r="AD174" i="2" s="1"/>
  <c r="AA176" i="2" a="1"/>
  <c r="AA176" i="2" s="1"/>
  <c r="AC174" i="2" a="1"/>
  <c r="AC174" i="2" s="1"/>
  <c r="AF175" i="2" a="1"/>
  <c r="AF175" i="2" s="1"/>
  <c r="X173" i="2" a="1"/>
  <c r="X173" i="2" s="1"/>
  <c r="AD175" i="2" a="1"/>
  <c r="AD175" i="2" s="1"/>
  <c r="Y175" i="2" a="1"/>
  <c r="Y175" i="2" s="1"/>
  <c r="X176" i="2" a="1"/>
  <c r="X176" i="2" s="1"/>
  <c r="AA175" i="2" a="1"/>
  <c r="AA175" i="2" s="1"/>
  <c r="W176" i="2" a="1"/>
  <c r="W176" i="2" s="1"/>
  <c r="AC175" i="2" a="1"/>
  <c r="AC175" i="2" s="1"/>
  <c r="X175" i="2" a="1"/>
  <c r="X175" i="2" s="1"/>
  <c r="AF173" i="2" a="1"/>
  <c r="AF173" i="2" s="1"/>
  <c r="AD173" i="2" a="1"/>
  <c r="AD173" i="2" s="1"/>
  <c r="AI173" i="2" a="1"/>
  <c r="AI173" i="2" s="1"/>
  <c r="AE173" i="2" a="1"/>
  <c r="AE173" i="2" s="1"/>
  <c r="AI174" i="2" a="1"/>
  <c r="AI174" i="2" s="1"/>
  <c r="AH173" i="2" a="1"/>
  <c r="AH173" i="2" s="1"/>
  <c r="AJ270" i="2" a="1"/>
  <c r="AJ270" i="2" s="1"/>
  <c r="AB174" i="2" a="1"/>
  <c r="AB174" i="2" s="1"/>
  <c r="AI176" i="2" a="1"/>
  <c r="AI176" i="2" s="1"/>
  <c r="AG176" i="2" a="1"/>
  <c r="AG176" i="2" s="1"/>
  <c r="Z175" i="2" a="1"/>
  <c r="Z175" i="2" s="1"/>
  <c r="AJ174" i="2" a="1"/>
  <c r="AJ174" i="2" s="1"/>
  <c r="AF176" i="2" a="1"/>
  <c r="AF176" i="2" s="1"/>
  <c r="Z173" i="2" a="1"/>
  <c r="Z173" i="2" s="1"/>
  <c r="AB175" i="2" a="1"/>
  <c r="AB175" i="2" s="1"/>
  <c r="AH174" i="2" a="1"/>
  <c r="AH174" i="2" s="1"/>
  <c r="Y173" i="2" a="1"/>
  <c r="Y173" i="2" s="1"/>
  <c r="AE176" i="2" a="1"/>
  <c r="AE176" i="2" s="1"/>
  <c r="AH172" i="2" a="1"/>
  <c r="AH172" i="2" s="1"/>
  <c r="AE172" i="2" a="1"/>
  <c r="AE172" i="2" s="1"/>
  <c r="AD172" i="2" a="1"/>
  <c r="AD172" i="2" s="1"/>
  <c r="AB172" i="2" a="1"/>
  <c r="AB172" i="2" s="1"/>
  <c r="AI171" i="2" a="1"/>
  <c r="AI171" i="2" s="1"/>
  <c r="X172" i="2" a="1"/>
  <c r="X172" i="2" s="1"/>
  <c r="AJ171" i="2" a="1"/>
  <c r="AJ171" i="2" s="1"/>
  <c r="AE171" i="2" a="1"/>
  <c r="AE171" i="2" s="1"/>
  <c r="AA169" i="2" a="1"/>
  <c r="AA169" i="2" s="1"/>
  <c r="X169" i="2" a="1"/>
  <c r="X169" i="2" s="1"/>
  <c r="AF169" i="2" a="1"/>
  <c r="AF169" i="2" s="1"/>
  <c r="X171" i="2" a="1"/>
  <c r="X171" i="2" s="1"/>
  <c r="AJ170" i="2" a="1"/>
  <c r="AJ170" i="2" s="1"/>
  <c r="Y170" i="2" a="1"/>
  <c r="Y170" i="2" s="1"/>
  <c r="AJ168" i="2" a="1"/>
  <c r="AJ168" i="2" s="1"/>
  <c r="AD169" i="2" a="1"/>
  <c r="AD169" i="2" s="1"/>
  <c r="W169" i="2" a="1"/>
  <c r="W169" i="2" s="1"/>
  <c r="AJ172" i="2" a="1"/>
  <c r="AJ172" i="2" s="1"/>
  <c r="W172" i="2" a="1"/>
  <c r="W172" i="2" s="1"/>
  <c r="AF172" i="2" a="1"/>
  <c r="AF172" i="2" s="1"/>
  <c r="AC170" i="2" a="1"/>
  <c r="AC170" i="2" s="1"/>
  <c r="AI172" i="2" a="1"/>
  <c r="AI172" i="2" s="1"/>
  <c r="Z169" i="2" a="1"/>
  <c r="Z169" i="2" s="1"/>
  <c r="AA172" i="2" a="1"/>
  <c r="AA172" i="2" s="1"/>
  <c r="AF171" i="2" a="1"/>
  <c r="AF171" i="2" s="1"/>
  <c r="Y171" i="2" a="1"/>
  <c r="Y171" i="2" s="1"/>
  <c r="AG170" i="2" a="1"/>
  <c r="AG170" i="2" s="1"/>
  <c r="AF170" i="2" a="1"/>
  <c r="AF170" i="2" s="1"/>
  <c r="AB170" i="2" a="1"/>
  <c r="AB170" i="2" s="1"/>
  <c r="AI168" i="2" a="1"/>
  <c r="AI168" i="2" s="1"/>
  <c r="AD170" i="2" a="1"/>
  <c r="AD170" i="2" s="1"/>
  <c r="AC171" i="2" a="1"/>
  <c r="AC171" i="2" s="1"/>
  <c r="AA171" i="2" a="1"/>
  <c r="AA171" i="2" s="1"/>
  <c r="AA170" i="2" a="1"/>
  <c r="AA170" i="2" s="1"/>
  <c r="AH169" i="2" a="1"/>
  <c r="AH169" i="2" s="1"/>
  <c r="Z171" i="2" a="1"/>
  <c r="Z171" i="2" s="1"/>
  <c r="AG172" i="2" a="1"/>
  <c r="AG172" i="2" s="1"/>
  <c r="AC172" i="2" a="1"/>
  <c r="AC172" i="2" s="1"/>
  <c r="AH171" i="2" a="1"/>
  <c r="AH171" i="2" s="1"/>
  <c r="AG171" i="2" a="1"/>
  <c r="AG171" i="2" s="1"/>
  <c r="AG169" i="2" a="1"/>
  <c r="AG169" i="2" s="1"/>
  <c r="W171" i="2" a="1"/>
  <c r="W171" i="2" s="1"/>
  <c r="AC169" i="2" a="1"/>
  <c r="AC169" i="2" s="1"/>
  <c r="AI170" i="2" a="1"/>
  <c r="AI170" i="2" s="1"/>
  <c r="AJ169" i="2" a="1"/>
  <c r="AJ169" i="2" s="1"/>
  <c r="AE170" i="2" a="1"/>
  <c r="AE170" i="2" s="1"/>
  <c r="AD269" i="2" a="1"/>
  <c r="AD269" i="2" s="1"/>
  <c r="Y172" i="2" a="1"/>
  <c r="Y172" i="2" s="1"/>
  <c r="AD171" i="2" a="1"/>
  <c r="AD171" i="2" s="1"/>
  <c r="AH170" i="2" a="1"/>
  <c r="AH170" i="2" s="1"/>
  <c r="AI169" i="2" a="1"/>
  <c r="AI169" i="2" s="1"/>
  <c r="AB169" i="2" a="1"/>
  <c r="AB169" i="2" s="1"/>
  <c r="X170" i="2" a="1"/>
  <c r="X170" i="2" s="1"/>
  <c r="AE169" i="2" a="1"/>
  <c r="AE169" i="2" s="1"/>
  <c r="Y169" i="2" a="1"/>
  <c r="Y169" i="2" s="1"/>
  <c r="Z172" i="2" a="1"/>
  <c r="Z172" i="2" s="1"/>
  <c r="W173" i="2" a="1"/>
  <c r="W173" i="2" s="1"/>
  <c r="W170" i="2" a="1"/>
  <c r="W170" i="2" s="1"/>
  <c r="AB171" i="2" a="1"/>
  <c r="AB171" i="2" s="1"/>
  <c r="Z170" i="2" a="1"/>
  <c r="Z170" i="2" s="1"/>
  <c r="AG166" i="2" a="1"/>
  <c r="AG166" i="2" s="1"/>
  <c r="AJ166" i="2" a="1"/>
  <c r="AJ166" i="2" s="1"/>
  <c r="AJ165" i="2" a="1"/>
  <c r="AJ165" i="2" s="1"/>
  <c r="Y166" i="2" a="1"/>
  <c r="Y166" i="2" s="1"/>
  <c r="AF165" i="2" a="1"/>
  <c r="AF165" i="2" s="1"/>
  <c r="X166" i="2" a="1"/>
  <c r="X166" i="2" s="1"/>
  <c r="AC165" i="2" a="1"/>
  <c r="AC165" i="2" s="1"/>
  <c r="AI164" i="2" a="1"/>
  <c r="AI164" i="2" s="1"/>
  <c r="AF164" i="2" a="1"/>
  <c r="AF164" i="2" s="1"/>
  <c r="AC164" i="2" a="1"/>
  <c r="AC164" i="2" s="1"/>
  <c r="AG165" i="2" a="1"/>
  <c r="AG165" i="2" s="1"/>
  <c r="AI167" i="2" a="1"/>
  <c r="AI167" i="2" s="1"/>
  <c r="AC166" i="2" a="1"/>
  <c r="AC166" i="2" s="1"/>
  <c r="Z166" i="2" a="1"/>
  <c r="Z166" i="2" s="1"/>
  <c r="X168" i="2" a="1"/>
  <c r="X168" i="2" s="1"/>
  <c r="W168" i="2" a="1"/>
  <c r="W168" i="2" s="1"/>
  <c r="AH167" i="2" a="1"/>
  <c r="AH167" i="2" s="1"/>
  <c r="Y167" i="2" a="1"/>
  <c r="Y167" i="2" s="1"/>
  <c r="AD165" i="2" a="1"/>
  <c r="AD165" i="2" s="1"/>
  <c r="X165" i="2" a="1"/>
  <c r="X165" i="2" s="1"/>
  <c r="AJ164" i="2" a="1"/>
  <c r="AJ164" i="2" s="1"/>
  <c r="AE165" i="2" a="1"/>
  <c r="AE165" i="2" s="1"/>
  <c r="W165" i="2" a="1"/>
  <c r="W165" i="2" s="1"/>
  <c r="AE164" i="2" a="1"/>
  <c r="AE164" i="2" s="1"/>
  <c r="AA168" i="2" a="1"/>
  <c r="AA168" i="2" s="1"/>
  <c r="Z168" i="2" a="1"/>
  <c r="Z168" i="2" s="1"/>
  <c r="AJ167" i="2" a="1"/>
  <c r="AJ167" i="2" s="1"/>
  <c r="W167" i="2" a="1"/>
  <c r="W167" i="2" s="1"/>
  <c r="AE166" i="2" a="1"/>
  <c r="AE166" i="2" s="1"/>
  <c r="Z165" i="2" a="1"/>
  <c r="Z165" i="2" s="1"/>
  <c r="AF167" i="2" a="1"/>
  <c r="AF167" i="2" s="1"/>
  <c r="AE167" i="2" a="1"/>
  <c r="AE167" i="2" s="1"/>
  <c r="AB167" i="2" a="1"/>
  <c r="AB167" i="2" s="1"/>
  <c r="AA167" i="2" a="1"/>
  <c r="AA167" i="2" s="1"/>
  <c r="Z167" i="2" a="1"/>
  <c r="Z167" i="2" s="1"/>
  <c r="AI166" i="2" a="1"/>
  <c r="AI166" i="2" s="1"/>
  <c r="AD166" i="2" a="1"/>
  <c r="AD166" i="2" s="1"/>
  <c r="AI165" i="2" a="1"/>
  <c r="AI165" i="2" s="1"/>
  <c r="AH166" i="2" a="1"/>
  <c r="AH166" i="2" s="1"/>
  <c r="W166" i="2" a="1"/>
  <c r="W166" i="2" s="1"/>
  <c r="AH165" i="2" a="1"/>
  <c r="AH165" i="2" s="1"/>
  <c r="AA165" i="2" a="1"/>
  <c r="AA165" i="2" s="1"/>
  <c r="Y165" i="2" a="1"/>
  <c r="Y165" i="2" s="1"/>
  <c r="AC270" i="2" a="1"/>
  <c r="AC270" i="2" s="1"/>
  <c r="AH164" i="2" a="1"/>
  <c r="AH164" i="2" s="1"/>
  <c r="AH168" i="2" a="1"/>
  <c r="AH168" i="2" s="1"/>
  <c r="AG168" i="2" a="1"/>
  <c r="AG168" i="2" s="1"/>
  <c r="AC168" i="2" a="1"/>
  <c r="AC168" i="2" s="1"/>
  <c r="X167" i="2" a="1"/>
  <c r="X167" i="2" s="1"/>
  <c r="AF166" i="2" a="1"/>
  <c r="AF166" i="2" s="1"/>
  <c r="AA166" i="2" a="1"/>
  <c r="AA166" i="2" s="1"/>
  <c r="AB165" i="2" a="1"/>
  <c r="AB165" i="2" s="1"/>
  <c r="AF168" i="2" a="1"/>
  <c r="AF168" i="2" s="1"/>
  <c r="AD168" i="2" a="1"/>
  <c r="AD168" i="2" s="1"/>
  <c r="AG164" i="2" a="1"/>
  <c r="AG164" i="2" s="1"/>
  <c r="AE168" i="2" a="1"/>
  <c r="AE168" i="2" s="1"/>
  <c r="AB166" i="2" a="1"/>
  <c r="AB166" i="2" s="1"/>
  <c r="AD164" i="2" a="1"/>
  <c r="AD164" i="2" s="1"/>
  <c r="AB168" i="2" a="1"/>
  <c r="AB168" i="2" s="1"/>
  <c r="Y168" i="2" a="1"/>
  <c r="Y168" i="2" s="1"/>
  <c r="AB164" i="2" a="1"/>
  <c r="AB164" i="2" s="1"/>
  <c r="AG167" i="2" a="1"/>
  <c r="AG167" i="2" s="1"/>
  <c r="AD167" i="2" a="1"/>
  <c r="AD167" i="2" s="1"/>
  <c r="AC167" i="2" a="1"/>
  <c r="AC167" i="2" s="1"/>
  <c r="AB163" i="2" a="1"/>
  <c r="AB163" i="2" s="1"/>
  <c r="AH163" i="2" a="1"/>
  <c r="AH163" i="2" s="1"/>
  <c r="AG163" i="2" a="1"/>
  <c r="AG163" i="2" s="1"/>
  <c r="AE163" i="2" a="1"/>
  <c r="AE163" i="2" s="1"/>
  <c r="X161" i="2" a="1"/>
  <c r="X161" i="2" s="1"/>
  <c r="AF161" i="2" a="1"/>
  <c r="AF161" i="2" s="1"/>
  <c r="Y160" i="2" a="1"/>
  <c r="Y160" i="2" s="1"/>
  <c r="Y163" i="2" a="1"/>
  <c r="Y163" i="2" s="1"/>
  <c r="Z162" i="2" a="1"/>
  <c r="Z162" i="2" s="1"/>
  <c r="AH161" i="2" a="1"/>
  <c r="AH161" i="2" s="1"/>
  <c r="AJ162" i="2" a="1"/>
  <c r="AJ162" i="2" s="1"/>
  <c r="X160" i="2" a="1"/>
  <c r="X160" i="2" s="1"/>
  <c r="W163" i="2" a="1"/>
  <c r="W163" i="2" s="1"/>
  <c r="AE162" i="2" a="1"/>
  <c r="AE162" i="2" s="1"/>
  <c r="AD162" i="2" a="1"/>
  <c r="AD162" i="2" s="1"/>
  <c r="AC160" i="2" a="1"/>
  <c r="AC160" i="2" s="1"/>
  <c r="AA160" i="2" a="1"/>
  <c r="AA160" i="2" s="1"/>
  <c r="Z160" i="2" a="1"/>
  <c r="Z160" i="2" s="1"/>
  <c r="Z163" i="2" a="1"/>
  <c r="Z163" i="2" s="1"/>
  <c r="AB160" i="2" a="1"/>
  <c r="AB160" i="2" s="1"/>
  <c r="AI161" i="2" a="1"/>
  <c r="AI161" i="2" s="1"/>
  <c r="AJ163" i="2" a="1"/>
  <c r="AJ163" i="2" s="1"/>
  <c r="AF162" i="2" a="1"/>
  <c r="AF162" i="2" s="1"/>
  <c r="AB162" i="2" a="1"/>
  <c r="AB162" i="2" s="1"/>
  <c r="AA161" i="2" a="1"/>
  <c r="AA161" i="2" s="1"/>
  <c r="X162" i="2" a="1"/>
  <c r="X162" i="2" s="1"/>
  <c r="AB161" i="2" a="1"/>
  <c r="AB161" i="2" s="1"/>
  <c r="AI160" i="2" a="1"/>
  <c r="AI160" i="2" s="1"/>
  <c r="AI159" i="2" a="1"/>
  <c r="AI159" i="2" s="1"/>
  <c r="AC269" i="2" a="1"/>
  <c r="AC269" i="2" s="1"/>
  <c r="AA164" i="2" a="1"/>
  <c r="AA164" i="2" s="1"/>
  <c r="AG162" i="2" a="1"/>
  <c r="AG162" i="2" s="1"/>
  <c r="Z164" i="2" a="1"/>
  <c r="Z164" i="2" s="1"/>
  <c r="X164" i="2" a="1"/>
  <c r="X164" i="2" s="1"/>
  <c r="W164" i="2" a="1"/>
  <c r="W164" i="2" s="1"/>
  <c r="AF163" i="2" a="1"/>
  <c r="AF163" i="2" s="1"/>
  <c r="AD163" i="2" a="1"/>
  <c r="AD163" i="2" s="1"/>
  <c r="Y161" i="2" a="1"/>
  <c r="Y161" i="2" s="1"/>
  <c r="AD160" i="2" a="1"/>
  <c r="AD160" i="2" s="1"/>
  <c r="AE160" i="2" a="1"/>
  <c r="AE160" i="2" s="1"/>
  <c r="Y164" i="2" a="1"/>
  <c r="Y164" i="2" s="1"/>
  <c r="AD161" i="2" a="1"/>
  <c r="AD161" i="2" s="1"/>
  <c r="Z161" i="2" a="1"/>
  <c r="Z161" i="2" s="1"/>
  <c r="X163" i="2" a="1"/>
  <c r="X163" i="2" s="1"/>
  <c r="AI162" i="2" a="1"/>
  <c r="AI162" i="2" s="1"/>
  <c r="Y162" i="2" a="1"/>
  <c r="Y162" i="2" s="1"/>
  <c r="AC161" i="2" a="1"/>
  <c r="AC161" i="2" s="1"/>
  <c r="AG160" i="2" a="1"/>
  <c r="AG160" i="2" s="1"/>
  <c r="AE161" i="2" a="1"/>
  <c r="AE161" i="2" s="1"/>
  <c r="W161" i="2" a="1"/>
  <c r="W161" i="2" s="1"/>
  <c r="AJ160" i="2" a="1"/>
  <c r="AJ160" i="2" s="1"/>
  <c r="AG161" i="2" a="1"/>
  <c r="AG161" i="2" s="1"/>
  <c r="AH162" i="2" a="1"/>
  <c r="AH162" i="2" s="1"/>
  <c r="AH160" i="2" a="1"/>
  <c r="AH160" i="2" s="1"/>
  <c r="AI163" i="2" a="1"/>
  <c r="AI163" i="2" s="1"/>
  <c r="AC162" i="2" a="1"/>
  <c r="AC162" i="2" s="1"/>
  <c r="AA162" i="2" a="1"/>
  <c r="AA162" i="2" s="1"/>
  <c r="W162" i="2" a="1"/>
  <c r="W162" i="2" s="1"/>
  <c r="AJ161" i="2" a="1"/>
  <c r="AJ161" i="2" s="1"/>
  <c r="AC163" i="2" a="1"/>
  <c r="AC163" i="2" s="1"/>
  <c r="AF160" i="2" a="1"/>
  <c r="AF160" i="2" s="1"/>
  <c r="W160" i="2" a="1"/>
  <c r="W160" i="2" s="1"/>
  <c r="AJ159" i="2" a="1"/>
  <c r="AJ159" i="2" s="1"/>
  <c r="AA163" i="2" a="1"/>
  <c r="AA163" i="2" s="1"/>
  <c r="AJ156" i="2" a="1"/>
  <c r="AJ156" i="2" s="1"/>
  <c r="AH159" i="2" a="1"/>
  <c r="AH159" i="2" s="1"/>
  <c r="AG159" i="2" a="1"/>
  <c r="AG159" i="2" s="1"/>
  <c r="AG157" i="2" a="1"/>
  <c r="AG157" i="2" s="1"/>
  <c r="AC157" i="2" a="1"/>
  <c r="AC157" i="2" s="1"/>
  <c r="AE159" i="2" a="1"/>
  <c r="AE159" i="2" s="1"/>
  <c r="AD159" i="2" a="1"/>
  <c r="AD159" i="2" s="1"/>
  <c r="AC158" i="2" a="1"/>
  <c r="AC158" i="2" s="1"/>
  <c r="AG156" i="2" a="1"/>
  <c r="AG156" i="2" s="1"/>
  <c r="Y156" i="2" a="1"/>
  <c r="Y156" i="2" s="1"/>
  <c r="AF159" i="2" a="1"/>
  <c r="AF159" i="2" s="1"/>
  <c r="AC159" i="2" a="1"/>
  <c r="AC159" i="2" s="1"/>
  <c r="AB159" i="2" a="1"/>
  <c r="AB159" i="2" s="1"/>
  <c r="X159" i="2" a="1"/>
  <c r="X159" i="2" s="1"/>
  <c r="W159" i="2" a="1"/>
  <c r="W159" i="2" s="1"/>
  <c r="AI155" i="2" a="1"/>
  <c r="AI155" i="2" s="1"/>
  <c r="AI158" i="2" a="1"/>
  <c r="AI158" i="2" s="1"/>
  <c r="AB157" i="2" a="1"/>
  <c r="AB157" i="2" s="1"/>
  <c r="AH156" i="2" a="1"/>
  <c r="AH156" i="2" s="1"/>
  <c r="AH158" i="2" a="1"/>
  <c r="AH158" i="2" s="1"/>
  <c r="AF155" i="2" a="1"/>
  <c r="AF155" i="2" s="1"/>
  <c r="AF158" i="2" a="1"/>
  <c r="AF158" i="2" s="1"/>
  <c r="AE158" i="2" a="1"/>
  <c r="AE158" i="2" s="1"/>
  <c r="AB158" i="2" a="1"/>
  <c r="AB158" i="2" s="1"/>
  <c r="Y158" i="2" a="1"/>
  <c r="Y158" i="2" s="1"/>
  <c r="AJ157" i="2" a="1"/>
  <c r="AJ157" i="2" s="1"/>
  <c r="W157" i="2" a="1"/>
  <c r="W157" i="2" s="1"/>
  <c r="X156" i="2" a="1"/>
  <c r="X156" i="2" s="1"/>
  <c r="Y157" i="2" a="1"/>
  <c r="Y157" i="2" s="1"/>
  <c r="W156" i="2" a="1"/>
  <c r="W156" i="2" s="1"/>
  <c r="AE155" i="2" a="1"/>
  <c r="AE155" i="2" s="1"/>
  <c r="AG155" i="2" a="1"/>
  <c r="AG155" i="2" s="1"/>
  <c r="X157" i="2" a="1"/>
  <c r="X157" i="2" s="1"/>
  <c r="AD156" i="2" a="1"/>
  <c r="AD156" i="2" s="1"/>
  <c r="AD155" i="2" a="1"/>
  <c r="AD155" i="2" s="1"/>
  <c r="Z156" i="2" a="1"/>
  <c r="Z156" i="2" s="1"/>
  <c r="AD158" i="2" a="1"/>
  <c r="AD158" i="2" s="1"/>
  <c r="AA156" i="2" a="1"/>
  <c r="AA156" i="2" s="1"/>
  <c r="AF157" i="2" a="1"/>
  <c r="AF157" i="2" s="1"/>
  <c r="AA159" i="2" a="1"/>
  <c r="AA159" i="2" s="1"/>
  <c r="Z159" i="2" a="1"/>
  <c r="Z159" i="2" s="1"/>
  <c r="Y159" i="2" a="1"/>
  <c r="Y159" i="2" s="1"/>
  <c r="X158" i="2" a="1"/>
  <c r="X158" i="2" s="1"/>
  <c r="AC156" i="2" a="1"/>
  <c r="AC156" i="2" s="1"/>
  <c r="AF156" i="2" a="1"/>
  <c r="AF156" i="2" s="1"/>
  <c r="AG158" i="2" a="1"/>
  <c r="AG158" i="2" s="1"/>
  <c r="AE156" i="2" a="1"/>
  <c r="AE156" i="2" s="1"/>
  <c r="AH155" i="2" a="1"/>
  <c r="AH155" i="2" s="1"/>
  <c r="Z158" i="2" a="1"/>
  <c r="Z158" i="2" s="1"/>
  <c r="AA157" i="2" a="1"/>
  <c r="AA157" i="2" s="1"/>
  <c r="W158" i="2" a="1"/>
  <c r="W158" i="2" s="1"/>
  <c r="AI157" i="2" a="1"/>
  <c r="AI157" i="2" s="1"/>
  <c r="AH157" i="2" a="1"/>
  <c r="AH157" i="2" s="1"/>
  <c r="AD157" i="2" a="1"/>
  <c r="AD157" i="2" s="1"/>
  <c r="AJ155" i="2" a="1"/>
  <c r="AJ155" i="2" s="1"/>
  <c r="Y271" i="2" a="1"/>
  <c r="Y271" i="2" s="1"/>
  <c r="AJ158" i="2" a="1"/>
  <c r="AJ158" i="2" s="1"/>
  <c r="AA158" i="2" a="1"/>
  <c r="AA158" i="2" s="1"/>
  <c r="AE157" i="2" a="1"/>
  <c r="AE157" i="2" s="1"/>
  <c r="AB156" i="2" a="1"/>
  <c r="AB156" i="2" s="1"/>
  <c r="Z157" i="2" a="1"/>
  <c r="Z157" i="2" s="1"/>
  <c r="AI156" i="2" a="1"/>
  <c r="AI156" i="2" s="1"/>
  <c r="AC155" i="2" a="1"/>
  <c r="AC155" i="2" s="1"/>
  <c r="AA151" i="2" a="1"/>
  <c r="AA151" i="2" s="1"/>
  <c r="AC154" i="2" a="1"/>
  <c r="AC154" i="2" s="1"/>
  <c r="AF153" i="2" a="1"/>
  <c r="AF153" i="2" s="1"/>
  <c r="AD153" i="2" a="1"/>
  <c r="AD153" i="2" s="1"/>
  <c r="AB152" i="2" a="1"/>
  <c r="AB152" i="2" s="1"/>
  <c r="AB154" i="2" a="1"/>
  <c r="AB154" i="2" s="1"/>
  <c r="AH152" i="2" a="1"/>
  <c r="AH152" i="2" s="1"/>
  <c r="AE151" i="2" a="1"/>
  <c r="AE151" i="2" s="1"/>
  <c r="AE154" i="2" a="1"/>
  <c r="AE154" i="2" s="1"/>
  <c r="AG152" i="2" a="1"/>
  <c r="AG152" i="2" s="1"/>
  <c r="AA154" i="2" a="1"/>
  <c r="AA154" i="2" s="1"/>
  <c r="AC152" i="2" a="1"/>
  <c r="AC152" i="2" s="1"/>
  <c r="AI152" i="2" a="1"/>
  <c r="AI152" i="2" s="1"/>
  <c r="W151" i="2" a="1"/>
  <c r="W151" i="2" s="1"/>
  <c r="AD151" i="2" a="1"/>
  <c r="AD151" i="2" s="1"/>
  <c r="AH153" i="2" a="1"/>
  <c r="AH153" i="2" s="1"/>
  <c r="W152" i="2" a="1"/>
  <c r="W152" i="2" s="1"/>
  <c r="Z152" i="2" a="1"/>
  <c r="Z152" i="2" s="1"/>
  <c r="Z151" i="2" a="1"/>
  <c r="Z151" i="2" s="1"/>
  <c r="Y151" i="2" a="1"/>
  <c r="Y151" i="2" s="1"/>
  <c r="W153" i="2" a="1"/>
  <c r="W153" i="2" s="1"/>
  <c r="AA152" i="2" a="1"/>
  <c r="AA152" i="2" s="1"/>
  <c r="Y155" i="2" a="1"/>
  <c r="Y155" i="2" s="1"/>
  <c r="AG153" i="2" a="1"/>
  <c r="AG153" i="2" s="1"/>
  <c r="AD152" i="2" a="1"/>
  <c r="AD152" i="2" s="1"/>
  <c r="AF151" i="2" a="1"/>
  <c r="AF151" i="2" s="1"/>
  <c r="AE152" i="2" a="1"/>
  <c r="AE152" i="2" s="1"/>
  <c r="AG154" i="2" a="1"/>
  <c r="AG154" i="2" s="1"/>
  <c r="AB155" i="2" a="1"/>
  <c r="AB155" i="2" s="1"/>
  <c r="AI154" i="2" a="1"/>
  <c r="AI154" i="2" s="1"/>
  <c r="AA155" i="2" a="1"/>
  <c r="AA155" i="2" s="1"/>
  <c r="Z155" i="2" a="1"/>
  <c r="Z155" i="2" s="1"/>
  <c r="X155" i="2" a="1"/>
  <c r="X155" i="2" s="1"/>
  <c r="AH154" i="2" a="1"/>
  <c r="AH154" i="2" s="1"/>
  <c r="AD154" i="2" a="1"/>
  <c r="AD154" i="2" s="1"/>
  <c r="Z154" i="2" a="1"/>
  <c r="Z154" i="2" s="1"/>
  <c r="AI153" i="2" a="1"/>
  <c r="AI153" i="2" s="1"/>
  <c r="AC153" i="2" a="1"/>
  <c r="AC153" i="2" s="1"/>
  <c r="AG151" i="2" a="1"/>
  <c r="AG151" i="2" s="1"/>
  <c r="Y153" i="2" a="1"/>
  <c r="Y153" i="2" s="1"/>
  <c r="AB151" i="2" a="1"/>
  <c r="AB151" i="2" s="1"/>
  <c r="Y154" i="2" a="1"/>
  <c r="Y154" i="2" s="1"/>
  <c r="X154" i="2" a="1"/>
  <c r="X154" i="2" s="1"/>
  <c r="W154" i="2" a="1"/>
  <c r="W154" i="2" s="1"/>
  <c r="AJ153" i="2" a="1"/>
  <c r="AJ153" i="2" s="1"/>
  <c r="AB153" i="2" a="1"/>
  <c r="AB153" i="2" s="1"/>
  <c r="AF152" i="2" a="1"/>
  <c r="AF152" i="2" s="1"/>
  <c r="AA153" i="2" a="1"/>
  <c r="AA153" i="2" s="1"/>
  <c r="Z153" i="2" a="1"/>
  <c r="Z153" i="2" s="1"/>
  <c r="AJ152" i="2" a="1"/>
  <c r="AJ152" i="2" s="1"/>
  <c r="AI151" i="2" a="1"/>
  <c r="AI151" i="2" s="1"/>
  <c r="Y152" i="2" a="1"/>
  <c r="Y152" i="2" s="1"/>
  <c r="AJ151" i="2" a="1"/>
  <c r="AJ151" i="2" s="1"/>
  <c r="X151" i="2" a="1"/>
  <c r="X151" i="2" s="1"/>
  <c r="AC151" i="2" a="1"/>
  <c r="AC151" i="2" s="1"/>
  <c r="AH151" i="2" a="1"/>
  <c r="AH151" i="2" s="1"/>
  <c r="AE153" i="2" a="1"/>
  <c r="AE153" i="2" s="1"/>
  <c r="X152" i="2" a="1"/>
  <c r="X152" i="2" s="1"/>
  <c r="AB269" i="2" a="1"/>
  <c r="AB269" i="2" s="1"/>
  <c r="W155" i="2" a="1"/>
  <c r="W155" i="2" s="1"/>
  <c r="AJ154" i="2" a="1"/>
  <c r="AJ154" i="2" s="1"/>
  <c r="AF154" i="2" a="1"/>
  <c r="AF154" i="2" s="1"/>
  <c r="X153" i="2" a="1"/>
  <c r="X153" i="2" s="1"/>
  <c r="AB150" i="2" a="1"/>
  <c r="AB150" i="2" s="1"/>
  <c r="Z150" i="2" a="1"/>
  <c r="Z150" i="2" s="1"/>
  <c r="Y150" i="2" a="1"/>
  <c r="Y150" i="2" s="1"/>
  <c r="X150" i="2" a="1"/>
  <c r="X150" i="2" s="1"/>
  <c r="AJ149" i="2" a="1"/>
  <c r="AJ149" i="2" s="1"/>
  <c r="AI149" i="2" a="1"/>
  <c r="AI149" i="2" s="1"/>
  <c r="W148" i="2" a="1"/>
  <c r="W148" i="2" s="1"/>
  <c r="AF147" i="2" a="1"/>
  <c r="AF147" i="2" s="1"/>
  <c r="AH149" i="2" a="1"/>
  <c r="AH149" i="2" s="1"/>
  <c r="AJ146" i="2" a="1"/>
  <c r="AJ146" i="2" s="1"/>
  <c r="AD149" i="2" a="1"/>
  <c r="AD149" i="2" s="1"/>
  <c r="AG149" i="2" a="1"/>
  <c r="AG149" i="2" s="1"/>
  <c r="AF149" i="2" a="1"/>
  <c r="AF149" i="2" s="1"/>
  <c r="AH148" i="2" a="1"/>
  <c r="AH148" i="2" s="1"/>
  <c r="Y148" i="2" a="1"/>
  <c r="Y148" i="2" s="1"/>
  <c r="AG146" i="2" a="1"/>
  <c r="AG146" i="2" s="1"/>
  <c r="AF148" i="2" a="1"/>
  <c r="AF148" i="2" s="1"/>
  <c r="Z149" i="2" a="1"/>
  <c r="Z149" i="2" s="1"/>
  <c r="Y147" i="2" a="1"/>
  <c r="Y147" i="2" s="1"/>
  <c r="AE148" i="2" a="1"/>
  <c r="AE148" i="2" s="1"/>
  <c r="AJ147" i="2" a="1"/>
  <c r="AJ147" i="2" s="1"/>
  <c r="AA147" i="2" a="1"/>
  <c r="AA147" i="2" s="1"/>
  <c r="X147" i="2" a="1"/>
  <c r="X147" i="2" s="1"/>
  <c r="AI147" i="2" a="1"/>
  <c r="AI147" i="2" s="1"/>
  <c r="AG147" i="2" a="1"/>
  <c r="AG147" i="2" s="1"/>
  <c r="AD148" i="2" a="1"/>
  <c r="AD148" i="2" s="1"/>
  <c r="AI148" i="2" a="1"/>
  <c r="AI148" i="2" s="1"/>
  <c r="Z148" i="2" a="1"/>
  <c r="Z148" i="2" s="1"/>
  <c r="AH146" i="2" a="1"/>
  <c r="AH146" i="2" s="1"/>
  <c r="AA149" i="2" a="1"/>
  <c r="AA149" i="2" s="1"/>
  <c r="Y149" i="2" a="1"/>
  <c r="Y149" i="2" s="1"/>
  <c r="X148" i="2" a="1"/>
  <c r="X148" i="2" s="1"/>
  <c r="W150" i="2" a="1"/>
  <c r="W150" i="2" s="1"/>
  <c r="AE149" i="2" a="1"/>
  <c r="AE149" i="2" s="1"/>
  <c r="W149" i="2" a="1"/>
  <c r="W149" i="2" s="1"/>
  <c r="AH147" i="2" a="1"/>
  <c r="AH147" i="2" s="1"/>
  <c r="W147" i="2" a="1"/>
  <c r="W147" i="2" s="1"/>
  <c r="AB147" i="2" a="1"/>
  <c r="AB147" i="2" s="1"/>
  <c r="AB270" i="2" a="1"/>
  <c r="AB270" i="2" s="1"/>
  <c r="AJ150" i="2" a="1"/>
  <c r="AJ150" i="2" s="1"/>
  <c r="AI150" i="2" a="1"/>
  <c r="AI150" i="2" s="1"/>
  <c r="AC147" i="2" a="1"/>
  <c r="AC147" i="2" s="1"/>
  <c r="AC149" i="2" a="1"/>
  <c r="AC149" i="2" s="1"/>
  <c r="AG148" i="2" a="1"/>
  <c r="AG148" i="2" s="1"/>
  <c r="AH150" i="2" a="1"/>
  <c r="AH150" i="2" s="1"/>
  <c r="AB149" i="2" a="1"/>
  <c r="AB149" i="2" s="1"/>
  <c r="AD147" i="2" a="1"/>
  <c r="AD147" i="2" s="1"/>
  <c r="AC148" i="2" a="1"/>
  <c r="AC148" i="2" s="1"/>
  <c r="AI146" i="2" a="1"/>
  <c r="AI146" i="2" s="1"/>
  <c r="AG150" i="2" a="1"/>
  <c r="AG150" i="2" s="1"/>
  <c r="AE147" i="2" a="1"/>
  <c r="AE147" i="2" s="1"/>
  <c r="AF150" i="2" a="1"/>
  <c r="AF150" i="2" s="1"/>
  <c r="AE150" i="2" a="1"/>
  <c r="AE150" i="2" s="1"/>
  <c r="AC150" i="2" a="1"/>
  <c r="AC150" i="2" s="1"/>
  <c r="AA148" i="2" a="1"/>
  <c r="AA148" i="2" s="1"/>
  <c r="Z147" i="2" a="1"/>
  <c r="Z147" i="2" s="1"/>
  <c r="AA150" i="2" a="1"/>
  <c r="AA150" i="2" s="1"/>
  <c r="X149" i="2" a="1"/>
  <c r="X149" i="2" s="1"/>
  <c r="AD150" i="2" a="1"/>
  <c r="AD150" i="2" s="1"/>
  <c r="AJ148" i="2" a="1"/>
  <c r="AJ148" i="2" s="1"/>
  <c r="AB148" i="2" a="1"/>
  <c r="AB148" i="2" s="1"/>
  <c r="W145" i="2" a="1"/>
  <c r="W145" i="2" s="1"/>
  <c r="Z143" i="2" a="1"/>
  <c r="Z143" i="2" s="1"/>
  <c r="AI144" i="2" a="1"/>
  <c r="AI144" i="2" s="1"/>
  <c r="AF144" i="2" a="1"/>
  <c r="AF144" i="2" s="1"/>
  <c r="AG143" i="2" a="1"/>
  <c r="AG143" i="2" s="1"/>
  <c r="AJ144" i="2" a="1"/>
  <c r="AJ144" i="2" s="1"/>
  <c r="AE144" i="2" a="1"/>
  <c r="AE144" i="2" s="1"/>
  <c r="AA143" i="2" a="1"/>
  <c r="AA143" i="2" s="1"/>
  <c r="AI142" i="2" a="1"/>
  <c r="AI142" i="2" s="1"/>
  <c r="AA146" i="2" a="1"/>
  <c r="AA146" i="2" s="1"/>
  <c r="Z146" i="2" a="1"/>
  <c r="Z146" i="2" s="1"/>
  <c r="AB143" i="2" a="1"/>
  <c r="AB143" i="2" s="1"/>
  <c r="Y146" i="2" a="1"/>
  <c r="Y146" i="2" s="1"/>
  <c r="AD144" i="2" a="1"/>
  <c r="AD144" i="2" s="1"/>
  <c r="X146" i="2" a="1"/>
  <c r="X146" i="2" s="1"/>
  <c r="W146" i="2" a="1"/>
  <c r="W146" i="2" s="1"/>
  <c r="AJ145" i="2" a="1"/>
  <c r="AJ145" i="2" s="1"/>
  <c r="AH145" i="2" a="1"/>
  <c r="AH145" i="2" s="1"/>
  <c r="Y145" i="2" a="1"/>
  <c r="Y145" i="2" s="1"/>
  <c r="AH144" i="2" a="1"/>
  <c r="AH144" i="2" s="1"/>
  <c r="AG145" i="2" a="1"/>
  <c r="AG145" i="2" s="1"/>
  <c r="Z144" i="2" a="1"/>
  <c r="Z144" i="2" s="1"/>
  <c r="AF145" i="2" a="1"/>
  <c r="AF145" i="2" s="1"/>
  <c r="X145" i="2" a="1"/>
  <c r="X145" i="2" s="1"/>
  <c r="AF143" i="2" a="1"/>
  <c r="AF143" i="2" s="1"/>
  <c r="AF142" i="2" a="1"/>
  <c r="AF142" i="2" s="1"/>
  <c r="AE143" i="2" a="1"/>
  <c r="AE143" i="2" s="1"/>
  <c r="AE145" i="2" a="1"/>
  <c r="AE145" i="2" s="1"/>
  <c r="Z145" i="2" a="1"/>
  <c r="Z145" i="2" s="1"/>
  <c r="AJ143" i="2" a="1"/>
  <c r="AJ143" i="2" s="1"/>
  <c r="AD145" i="2" a="1"/>
  <c r="AD145" i="2" s="1"/>
  <c r="Y144" i="2" a="1"/>
  <c r="Y144" i="2" s="1"/>
  <c r="AA144" i="2" a="1"/>
  <c r="AA144" i="2" s="1"/>
  <c r="AC145" i="2" a="1"/>
  <c r="AC145" i="2" s="1"/>
  <c r="AB145" i="2" a="1"/>
  <c r="AB145" i="2" s="1"/>
  <c r="X144" i="2" a="1"/>
  <c r="X144" i="2" s="1"/>
  <c r="AC144" i="2" a="1"/>
  <c r="AC144" i="2" s="1"/>
  <c r="AH142" i="2" a="1"/>
  <c r="AH142" i="2" s="1"/>
  <c r="AG142" i="2" a="1"/>
  <c r="AG142" i="2" s="1"/>
  <c r="AB144" i="2" a="1"/>
  <c r="AB144" i="2" s="1"/>
  <c r="AI143" i="2" a="1"/>
  <c r="AI143" i="2" s="1"/>
  <c r="Y143" i="2" a="1"/>
  <c r="Y143" i="2" s="1"/>
  <c r="X143" i="2" a="1"/>
  <c r="X143" i="2" s="1"/>
  <c r="AB142" i="2" a="1"/>
  <c r="AB142" i="2" s="1"/>
  <c r="W144" i="2" a="1"/>
  <c r="W144" i="2" s="1"/>
  <c r="AH143" i="2" a="1"/>
  <c r="AH143" i="2" s="1"/>
  <c r="W143" i="2" a="1"/>
  <c r="W143" i="2" s="1"/>
  <c r="AA142" i="2" a="1"/>
  <c r="AA142" i="2" s="1"/>
  <c r="AC142" i="2" a="1"/>
  <c r="AC142" i="2" s="1"/>
  <c r="AD142" i="2" a="1"/>
  <c r="AD142" i="2" s="1"/>
  <c r="AD143" i="2" a="1"/>
  <c r="AD143" i="2" s="1"/>
  <c r="AA269" i="2" a="1"/>
  <c r="AA269" i="2" s="1"/>
  <c r="AI145" i="2" a="1"/>
  <c r="AI145" i="2" s="1"/>
  <c r="AE142" i="2" a="1"/>
  <c r="AE142" i="2" s="1"/>
  <c r="AG144" i="2" a="1"/>
  <c r="AG144" i="2" s="1"/>
  <c r="AJ142" i="2" a="1"/>
  <c r="AJ142" i="2" s="1"/>
  <c r="AF146" i="2" a="1"/>
  <c r="AF146" i="2" s="1"/>
  <c r="AE146" i="2" a="1"/>
  <c r="AE146" i="2" s="1"/>
  <c r="AD146" i="2" a="1"/>
  <c r="AD146" i="2" s="1"/>
  <c r="AC146" i="2" a="1"/>
  <c r="AC146" i="2" s="1"/>
  <c r="AB146" i="2" a="1"/>
  <c r="AB146" i="2" s="1"/>
  <c r="AA145" i="2" a="1"/>
  <c r="AA145" i="2" s="1"/>
  <c r="Z142" i="2" a="1"/>
  <c r="Z142" i="2" s="1"/>
  <c r="AC143" i="2" a="1"/>
  <c r="AC143" i="2" s="1"/>
  <c r="AJ137" i="2" a="1"/>
  <c r="AJ137" i="2" s="1"/>
  <c r="W142" i="2" a="1"/>
  <c r="W142" i="2" s="1"/>
  <c r="AH141" i="2" a="1"/>
  <c r="AH141" i="2" s="1"/>
  <c r="AG141" i="2" a="1"/>
  <c r="AG141" i="2" s="1"/>
  <c r="AD141" i="2" a="1"/>
  <c r="AD141" i="2" s="1"/>
  <c r="W141" i="2" a="1"/>
  <c r="W141" i="2" s="1"/>
  <c r="Y140" i="2" a="1"/>
  <c r="Y140" i="2" s="1"/>
  <c r="AB141" i="2" a="1"/>
  <c r="AB141" i="2" s="1"/>
  <c r="AB139" i="2" a="1"/>
  <c r="AB139" i="2" s="1"/>
  <c r="Z138" i="2" a="1"/>
  <c r="Z138" i="2" s="1"/>
  <c r="AA141" i="2" a="1"/>
  <c r="AA141" i="2" s="1"/>
  <c r="Z141" i="2" a="1"/>
  <c r="Z141" i="2" s="1"/>
  <c r="Z140" i="2" a="1"/>
  <c r="Z140" i="2" s="1"/>
  <c r="Z139" i="2" a="1"/>
  <c r="Z139" i="2" s="1"/>
  <c r="AG139" i="2" a="1"/>
  <c r="AG139" i="2" s="1"/>
  <c r="Y141" i="2" a="1"/>
  <c r="Y141" i="2" s="1"/>
  <c r="AH140" i="2" a="1"/>
  <c r="AH140" i="2" s="1"/>
  <c r="AH138" i="2" a="1"/>
  <c r="AH138" i="2" s="1"/>
  <c r="W140" i="2" a="1"/>
  <c r="W140" i="2" s="1"/>
  <c r="AG140" i="2" a="1"/>
  <c r="AG140" i="2" s="1"/>
  <c r="AC140" i="2" a="1"/>
  <c r="AC140" i="2" s="1"/>
  <c r="X139" i="2" a="1"/>
  <c r="X139" i="2" s="1"/>
  <c r="AH139" i="2" a="1"/>
  <c r="AH139" i="2" s="1"/>
  <c r="AB138" i="2" a="1"/>
  <c r="AB138" i="2" s="1"/>
  <c r="AF139" i="2" a="1"/>
  <c r="AF139" i="2" s="1"/>
  <c r="AA139" i="2" a="1"/>
  <c r="AA139" i="2" s="1"/>
  <c r="AG138" i="2" a="1"/>
  <c r="AG138" i="2" s="1"/>
  <c r="X138" i="2" a="1"/>
  <c r="X138" i="2" s="1"/>
  <c r="AH137" i="2" a="1"/>
  <c r="AH137" i="2" s="1"/>
  <c r="AI270" i="2" a="1"/>
  <c r="AI270" i="2" s="1"/>
  <c r="Y142" i="2" a="1"/>
  <c r="Y142" i="2" s="1"/>
  <c r="AB140" i="2" a="1"/>
  <c r="AB140" i="2" s="1"/>
  <c r="X142" i="2" a="1"/>
  <c r="X142" i="2" s="1"/>
  <c r="AI141" i="2" a="1"/>
  <c r="AI141" i="2" s="1"/>
  <c r="AF141" i="2" a="1"/>
  <c r="AF141" i="2" s="1"/>
  <c r="AE141" i="2" a="1"/>
  <c r="AE141" i="2" s="1"/>
  <c r="X141" i="2" a="1"/>
  <c r="X141" i="2" s="1"/>
  <c r="AJ140" i="2" a="1"/>
  <c r="AJ140" i="2" s="1"/>
  <c r="Y139" i="2" a="1"/>
  <c r="Y139" i="2" s="1"/>
  <c r="AC138" i="2" a="1"/>
  <c r="AC138" i="2" s="1"/>
  <c r="AE140" i="2" a="1"/>
  <c r="AE140" i="2" s="1"/>
  <c r="AF140" i="2" a="1"/>
  <c r="AF140" i="2" s="1"/>
  <c r="AJ139" i="2" a="1"/>
  <c r="AJ139" i="2" s="1"/>
  <c r="AD139" i="2" a="1"/>
  <c r="AD139" i="2" s="1"/>
  <c r="Y138" i="2" a="1"/>
  <c r="Y138" i="2" s="1"/>
  <c r="AF138" i="2" a="1"/>
  <c r="AF138" i="2" s="1"/>
  <c r="W139" i="2" a="1"/>
  <c r="W139" i="2" s="1"/>
  <c r="AD140" i="2" a="1"/>
  <c r="AD140" i="2" s="1"/>
  <c r="AA140" i="2" a="1"/>
  <c r="AA140" i="2" s="1"/>
  <c r="AI137" i="2" a="1"/>
  <c r="AI137" i="2" s="1"/>
  <c r="AE139" i="2" a="1"/>
  <c r="AE139" i="2" s="1"/>
  <c r="AJ138" i="2" a="1"/>
  <c r="AJ138" i="2" s="1"/>
  <c r="AE138" i="2" a="1"/>
  <c r="AE138" i="2" s="1"/>
  <c r="AD138" i="2" a="1"/>
  <c r="AD138" i="2" s="1"/>
  <c r="AI138" i="2" a="1"/>
  <c r="AI138" i="2" s="1"/>
  <c r="AA138" i="2" a="1"/>
  <c r="AA138" i="2" s="1"/>
  <c r="W138" i="2" a="1"/>
  <c r="W138" i="2" s="1"/>
  <c r="AJ141" i="2" a="1"/>
  <c r="AJ141" i="2" s="1"/>
  <c r="AC141" i="2" a="1"/>
  <c r="AC141" i="2" s="1"/>
  <c r="AI140" i="2" a="1"/>
  <c r="AI140" i="2" s="1"/>
  <c r="AI139" i="2" a="1"/>
  <c r="AI139" i="2" s="1"/>
  <c r="AC139" i="2" a="1"/>
  <c r="AC139" i="2" s="1"/>
  <c r="X140" i="2" a="1"/>
  <c r="X140" i="2" s="1"/>
  <c r="AF133" i="2" a="1"/>
  <c r="AF133" i="2" s="1"/>
  <c r="AJ136" i="2" a="1"/>
  <c r="AJ136" i="2" s="1"/>
  <c r="AF136" i="2" a="1"/>
  <c r="AF136" i="2" s="1"/>
  <c r="AE136" i="2" a="1"/>
  <c r="AE136" i="2" s="1"/>
  <c r="AB136" i="2" a="1"/>
  <c r="AB136" i="2" s="1"/>
  <c r="AC135" i="2" a="1"/>
  <c r="AC135" i="2" s="1"/>
  <c r="AB134" i="2" a="1"/>
  <c r="AB134" i="2" s="1"/>
  <c r="AG135" i="2" a="1"/>
  <c r="AG135" i="2" s="1"/>
  <c r="AH133" i="2" a="1"/>
  <c r="AH133" i="2" s="1"/>
  <c r="AE133" i="2" a="1"/>
  <c r="AE133" i="2" s="1"/>
  <c r="AA133" i="2" a="1"/>
  <c r="AA133" i="2" s="1"/>
  <c r="AB135" i="2" a="1"/>
  <c r="AB135" i="2" s="1"/>
  <c r="AD135" i="2" a="1"/>
  <c r="AD135" i="2" s="1"/>
  <c r="X134" i="2" a="1"/>
  <c r="X134" i="2" s="1"/>
  <c r="AF134" i="2" a="1"/>
  <c r="AF134" i="2" s="1"/>
  <c r="Y134" i="2" a="1"/>
  <c r="Y134" i="2" s="1"/>
  <c r="Z134" i="2" a="1"/>
  <c r="Z134" i="2" s="1"/>
  <c r="Z135" i="2" a="1"/>
  <c r="Z135" i="2" s="1"/>
  <c r="AB137" i="2" a="1"/>
  <c r="AB137" i="2" s="1"/>
  <c r="AD136" i="2" a="1"/>
  <c r="AD136" i="2" s="1"/>
  <c r="AE135" i="2" a="1"/>
  <c r="AE135" i="2" s="1"/>
  <c r="AJ133" i="2" a="1"/>
  <c r="AJ133" i="2" s="1"/>
  <c r="AA137" i="2" a="1"/>
  <c r="AA137" i="2" s="1"/>
  <c r="AG136" i="2" a="1"/>
  <c r="AG136" i="2" s="1"/>
  <c r="Y135" i="2" a="1"/>
  <c r="Y135" i="2" s="1"/>
  <c r="Z137" i="2" a="1"/>
  <c r="Z137" i="2" s="1"/>
  <c r="AI136" i="2" a="1"/>
  <c r="AI136" i="2" s="1"/>
  <c r="AC136" i="2" a="1"/>
  <c r="AC136" i="2" s="1"/>
  <c r="X135" i="2" a="1"/>
  <c r="X135" i="2" s="1"/>
  <c r="W136" i="2" a="1"/>
  <c r="W136" i="2" s="1"/>
  <c r="Y136" i="2" a="1"/>
  <c r="Y136" i="2" s="1"/>
  <c r="X136" i="2" a="1"/>
  <c r="X136" i="2" s="1"/>
  <c r="AJ135" i="2" a="1"/>
  <c r="AJ135" i="2" s="1"/>
  <c r="AI135" i="2" a="1"/>
  <c r="AI135" i="2" s="1"/>
  <c r="W135" i="2" a="1"/>
  <c r="W135" i="2" s="1"/>
  <c r="AG133" i="2" a="1"/>
  <c r="AG133" i="2" s="1"/>
  <c r="AC133" i="2" a="1"/>
  <c r="AC133" i="2" s="1"/>
  <c r="AI133" i="2" a="1"/>
  <c r="AI133" i="2" s="1"/>
  <c r="AH136" i="2" a="1"/>
  <c r="AH136" i="2" s="1"/>
  <c r="AJ134" i="2" a="1"/>
  <c r="AJ134" i="2" s="1"/>
  <c r="W134" i="2" a="1"/>
  <c r="W134" i="2" s="1"/>
  <c r="AI134" i="2" a="1"/>
  <c r="AI134" i="2" s="1"/>
  <c r="AB133" i="2" a="1"/>
  <c r="AB133" i="2" s="1"/>
  <c r="AH135" i="2" a="1"/>
  <c r="AH135" i="2" s="1"/>
  <c r="Y137" i="2" a="1"/>
  <c r="Y137" i="2" s="1"/>
  <c r="Z269" i="2" a="1"/>
  <c r="Z269" i="2" s="1"/>
  <c r="AA135" i="2" a="1"/>
  <c r="AA135" i="2" s="1"/>
  <c r="AF135" i="2" a="1"/>
  <c r="AF135" i="2" s="1"/>
  <c r="AG137" i="2" a="1"/>
  <c r="AG137" i="2" s="1"/>
  <c r="AF137" i="2" a="1"/>
  <c r="AF137" i="2" s="1"/>
  <c r="AD137" i="2" a="1"/>
  <c r="AD137" i="2" s="1"/>
  <c r="AC134" i="2" a="1"/>
  <c r="AC134" i="2" s="1"/>
  <c r="AE137" i="2" a="1"/>
  <c r="AE137" i="2" s="1"/>
  <c r="AD133" i="2" a="1"/>
  <c r="AD133" i="2" s="1"/>
  <c r="X137" i="2" a="1"/>
  <c r="X137" i="2" s="1"/>
  <c r="AH134" i="2" a="1"/>
  <c r="AH134" i="2" s="1"/>
  <c r="AA136" i="2" a="1"/>
  <c r="AA136" i="2" s="1"/>
  <c r="AG134" i="2" a="1"/>
  <c r="AG134" i="2" s="1"/>
  <c r="AA134" i="2" a="1"/>
  <c r="AA134" i="2" s="1"/>
  <c r="AD134" i="2" a="1"/>
  <c r="AD134" i="2" s="1"/>
  <c r="AC137" i="2" a="1"/>
  <c r="AC137" i="2" s="1"/>
  <c r="W137" i="2" a="1"/>
  <c r="W137" i="2" s="1"/>
  <c r="Z136" i="2" a="1"/>
  <c r="Z136" i="2" s="1"/>
  <c r="AE134" i="2" a="1"/>
  <c r="AE134" i="2" s="1"/>
  <c r="AF130" i="2" a="1"/>
  <c r="AF130" i="2" s="1"/>
  <c r="AA130" i="2" a="1"/>
  <c r="AA130" i="2" s="1"/>
  <c r="Z132" i="2" a="1"/>
  <c r="Z132" i="2" s="1"/>
  <c r="AH131" i="2" a="1"/>
  <c r="AH131" i="2" s="1"/>
  <c r="AB131" i="2" a="1"/>
  <c r="AB131" i="2" s="1"/>
  <c r="W132" i="2" a="1"/>
  <c r="W132" i="2" s="1"/>
  <c r="AH128" i="2" a="1"/>
  <c r="AH128" i="2" s="1"/>
  <c r="AI131" i="2" a="1"/>
  <c r="AI131" i="2" s="1"/>
  <c r="AI129" i="2" a="1"/>
  <c r="AI129" i="2" s="1"/>
  <c r="Y129" i="2" a="1"/>
  <c r="Y129" i="2" s="1"/>
  <c r="AC131" i="2" a="1"/>
  <c r="AC131" i="2" s="1"/>
  <c r="X131" i="2" a="1"/>
  <c r="X131" i="2" s="1"/>
  <c r="AI130" i="2" a="1"/>
  <c r="AI130" i="2" s="1"/>
  <c r="W130" i="2" a="1"/>
  <c r="W130" i="2" s="1"/>
  <c r="W131" i="2" a="1"/>
  <c r="W131" i="2" s="1"/>
  <c r="AJ128" i="2" a="1"/>
  <c r="AJ128" i="2" s="1"/>
  <c r="AD129" i="2" a="1"/>
  <c r="AD129" i="2" s="1"/>
  <c r="Y132" i="2" a="1"/>
  <c r="Y132" i="2" s="1"/>
  <c r="AG131" i="2" a="1"/>
  <c r="AG131" i="2" s="1"/>
  <c r="AD130" i="2" a="1"/>
  <c r="AD130" i="2" s="1"/>
  <c r="AA131" i="2" a="1"/>
  <c r="AA131" i="2" s="1"/>
  <c r="AE129" i="2" a="1"/>
  <c r="AE129" i="2" s="1"/>
  <c r="Y131" i="2" a="1"/>
  <c r="Y131" i="2" s="1"/>
  <c r="AB130" i="2" a="1"/>
  <c r="AB130" i="2" s="1"/>
  <c r="AD131" i="2" a="1"/>
  <c r="AD131" i="2" s="1"/>
  <c r="AA270" i="2" a="1"/>
  <c r="AA270" i="2" s="1"/>
  <c r="AE131" i="2" a="1"/>
  <c r="AE131" i="2" s="1"/>
  <c r="X133" i="2" a="1"/>
  <c r="X133" i="2" s="1"/>
  <c r="W129" i="2" a="1"/>
  <c r="W129" i="2" s="1"/>
  <c r="AI132" i="2" a="1"/>
  <c r="AI132" i="2" s="1"/>
  <c r="Z131" i="2" a="1"/>
  <c r="Z131" i="2" s="1"/>
  <c r="AF129" i="2" a="1"/>
  <c r="AF129" i="2" s="1"/>
  <c r="AG132" i="2" a="1"/>
  <c r="AG132" i="2" s="1"/>
  <c r="AB132" i="2" a="1"/>
  <c r="AB132" i="2" s="1"/>
  <c r="AJ130" i="2" a="1"/>
  <c r="AJ130" i="2" s="1"/>
  <c r="AA129" i="2" a="1"/>
  <c r="AA129" i="2" s="1"/>
  <c r="AC130" i="2" a="1"/>
  <c r="AC130" i="2" s="1"/>
  <c r="AJ131" i="2" a="1"/>
  <c r="AJ131" i="2" s="1"/>
  <c r="AH130" i="2" a="1"/>
  <c r="AH130" i="2" s="1"/>
  <c r="Z130" i="2" a="1"/>
  <c r="Z130" i="2" s="1"/>
  <c r="Y130" i="2" a="1"/>
  <c r="Y130" i="2" s="1"/>
  <c r="AG129" i="2" a="1"/>
  <c r="AG129" i="2" s="1"/>
  <c r="AI128" i="2" a="1"/>
  <c r="AI128" i="2" s="1"/>
  <c r="AC129" i="2" a="1"/>
  <c r="AC129" i="2" s="1"/>
  <c r="AF131" i="2" a="1"/>
  <c r="AF131" i="2" s="1"/>
  <c r="X129" i="2" a="1"/>
  <c r="X129" i="2" s="1"/>
  <c r="AJ129" i="2" a="1"/>
  <c r="AJ129" i="2" s="1"/>
  <c r="X130" i="2" a="1"/>
  <c r="X130" i="2" s="1"/>
  <c r="Z133" i="2" a="1"/>
  <c r="Z133" i="2" s="1"/>
  <c r="Y133" i="2" a="1"/>
  <c r="Y133" i="2" s="1"/>
  <c r="AH129" i="2" a="1"/>
  <c r="AH129" i="2" s="1"/>
  <c r="AG130" i="2" a="1"/>
  <c r="AG130" i="2" s="1"/>
  <c r="W133" i="2" a="1"/>
  <c r="W133" i="2" s="1"/>
  <c r="AF132" i="2" a="1"/>
  <c r="AF132" i="2" s="1"/>
  <c r="AA132" i="2" a="1"/>
  <c r="AA132" i="2" s="1"/>
  <c r="AC132" i="2" a="1"/>
  <c r="AC132" i="2" s="1"/>
  <c r="X132" i="2" a="1"/>
  <c r="X132" i="2" s="1"/>
  <c r="Z129" i="2" a="1"/>
  <c r="Z129" i="2" s="1"/>
  <c r="AJ132" i="2" a="1"/>
  <c r="AJ132" i="2" s="1"/>
  <c r="AH132" i="2" a="1"/>
  <c r="AH132" i="2" s="1"/>
  <c r="AB129" i="2" a="1"/>
  <c r="AB129" i="2" s="1"/>
  <c r="AE132" i="2" a="1"/>
  <c r="AE132" i="2" s="1"/>
  <c r="AD132" i="2" a="1"/>
  <c r="AD132" i="2" s="1"/>
  <c r="AE130" i="2" a="1"/>
  <c r="AE130" i="2" s="1"/>
  <c r="AG124" i="2" a="1"/>
  <c r="AG124" i="2" s="1"/>
  <c r="AB127" i="2" a="1"/>
  <c r="AB127" i="2" s="1"/>
  <c r="AF128" i="2" a="1"/>
  <c r="AF128" i="2" s="1"/>
  <c r="AA127" i="2" a="1"/>
  <c r="AA127" i="2" s="1"/>
  <c r="AE128" i="2" a="1"/>
  <c r="AE128" i="2" s="1"/>
  <c r="W127" i="2" a="1"/>
  <c r="W127" i="2" s="1"/>
  <c r="X128" i="2" a="1"/>
  <c r="X128" i="2" s="1"/>
  <c r="AA126" i="2" a="1"/>
  <c r="AA126" i="2" s="1"/>
  <c r="AG127" i="2" a="1"/>
  <c r="AG127" i="2" s="1"/>
  <c r="AI124" i="2" a="1"/>
  <c r="AI124" i="2" s="1"/>
  <c r="X125" i="2" a="1"/>
  <c r="X125" i="2" s="1"/>
  <c r="Y126" i="2" a="1"/>
  <c r="Y126" i="2" s="1"/>
  <c r="AE125" i="2" a="1"/>
  <c r="AE125" i="2" s="1"/>
  <c r="AA124" i="2" a="1"/>
  <c r="AA124" i="2" s="1"/>
  <c r="Z126" i="2" a="1"/>
  <c r="Z126" i="2" s="1"/>
  <c r="AD128" i="2" a="1"/>
  <c r="AD128" i="2" s="1"/>
  <c r="AD124" i="2" a="1"/>
  <c r="AD124" i="2" s="1"/>
  <c r="AI127" i="2" a="1"/>
  <c r="AI127" i="2" s="1"/>
  <c r="AI125" i="2" a="1"/>
  <c r="AI125" i="2" s="1"/>
  <c r="Y125" i="2" a="1"/>
  <c r="Y125" i="2" s="1"/>
  <c r="AB124" i="2" a="1"/>
  <c r="AB124" i="2" s="1"/>
  <c r="AG125" i="2" a="1"/>
  <c r="AG125" i="2" s="1"/>
  <c r="AC127" i="2" a="1"/>
  <c r="AC127" i="2" s="1"/>
  <c r="AD126" i="2" a="1"/>
  <c r="AD126" i="2" s="1"/>
  <c r="AB126" i="2" a="1"/>
  <c r="AB126" i="2" s="1"/>
  <c r="AE124" i="2" a="1"/>
  <c r="AE124" i="2" s="1"/>
  <c r="AJ126" i="2" a="1"/>
  <c r="AJ126" i="2" s="1"/>
  <c r="AA128" i="2" a="1"/>
  <c r="AA128" i="2" s="1"/>
  <c r="Z128" i="2" a="1"/>
  <c r="Z128" i="2" s="1"/>
  <c r="W128" i="2" a="1"/>
  <c r="W128" i="2" s="1"/>
  <c r="AJ127" i="2" a="1"/>
  <c r="AJ127" i="2" s="1"/>
  <c r="AH127" i="2" a="1"/>
  <c r="AH127" i="2" s="1"/>
  <c r="AF127" i="2" a="1"/>
  <c r="AF127" i="2" s="1"/>
  <c r="AE127" i="2" a="1"/>
  <c r="AE127" i="2" s="1"/>
  <c r="AD127" i="2" a="1"/>
  <c r="AD127" i="2" s="1"/>
  <c r="Z127" i="2" a="1"/>
  <c r="Z127" i="2" s="1"/>
  <c r="AH124" i="2" a="1"/>
  <c r="AH124" i="2" s="1"/>
  <c r="AJ124" i="2" a="1"/>
  <c r="AJ124" i="2" s="1"/>
  <c r="AC126" i="2" a="1"/>
  <c r="AC126" i="2" s="1"/>
  <c r="AF126" i="2" a="1"/>
  <c r="AF126" i="2" s="1"/>
  <c r="AH125" i="2" a="1"/>
  <c r="AH125" i="2" s="1"/>
  <c r="AC128" i="2" a="1"/>
  <c r="AC128" i="2" s="1"/>
  <c r="AI126" i="2" a="1"/>
  <c r="AI126" i="2" s="1"/>
  <c r="AJ125" i="2" a="1"/>
  <c r="AJ125" i="2" s="1"/>
  <c r="AF125" i="2" a="1"/>
  <c r="AF125" i="2" s="1"/>
  <c r="W125" i="2" a="1"/>
  <c r="W125" i="2" s="1"/>
  <c r="AD125" i="2" a="1"/>
  <c r="AD125" i="2" s="1"/>
  <c r="AC124" i="2" a="1"/>
  <c r="AC124" i="2" s="1"/>
  <c r="Y128" i="2" a="1"/>
  <c r="Y128" i="2" s="1"/>
  <c r="X127" i="2" a="1"/>
  <c r="X127" i="2" s="1"/>
  <c r="AF124" i="2" a="1"/>
  <c r="AF124" i="2" s="1"/>
  <c r="AB125" i="2" a="1"/>
  <c r="AB125" i="2" s="1"/>
  <c r="AH126" i="2" a="1"/>
  <c r="AH126" i="2" s="1"/>
  <c r="W126" i="2" a="1"/>
  <c r="W126" i="2" s="1"/>
  <c r="AG126" i="2" a="1"/>
  <c r="AG126" i="2" s="1"/>
  <c r="Y269" i="2" a="1"/>
  <c r="Y269" i="2" s="1"/>
  <c r="AG128" i="2" a="1"/>
  <c r="AG128" i="2" s="1"/>
  <c r="AB128" i="2" a="1"/>
  <c r="AB128" i="2" s="1"/>
  <c r="Y127" i="2" a="1"/>
  <c r="Y127" i="2" s="1"/>
  <c r="AE126" i="2" a="1"/>
  <c r="AE126" i="2" s="1"/>
  <c r="AC125" i="2" a="1"/>
  <c r="AC125" i="2" s="1"/>
  <c r="X126" i="2" a="1"/>
  <c r="X126" i="2" s="1"/>
  <c r="AA125" i="2" a="1"/>
  <c r="AA125" i="2" s="1"/>
  <c r="Z125" i="2" a="1"/>
  <c r="Z125" i="2" s="1"/>
  <c r="W121" i="2" a="1"/>
  <c r="W121" i="2" s="1"/>
  <c r="AB271" i="2" a="1"/>
  <c r="AB271" i="2" s="1"/>
  <c r="W124" i="2" a="1"/>
  <c r="W124" i="2" s="1"/>
  <c r="AJ123" i="2" a="1"/>
  <c r="AJ123" i="2" s="1"/>
  <c r="AJ122" i="2" a="1"/>
  <c r="AJ122" i="2" s="1"/>
  <c r="W120" i="2" a="1"/>
  <c r="W120" i="2" s="1"/>
  <c r="AG121" i="2" a="1"/>
  <c r="AG121" i="2" s="1"/>
  <c r="AG123" i="2" a="1"/>
  <c r="AG123" i="2" s="1"/>
  <c r="AF123" i="2" a="1"/>
  <c r="AF123" i="2" s="1"/>
  <c r="AH122" i="2" a="1"/>
  <c r="AH122" i="2" s="1"/>
  <c r="AG122" i="2" a="1"/>
  <c r="AG122" i="2" s="1"/>
  <c r="AF121" i="2" a="1"/>
  <c r="AF121" i="2" s="1"/>
  <c r="AC122" i="2" a="1"/>
  <c r="AC122" i="2" s="1"/>
  <c r="Y121" i="2" a="1"/>
  <c r="Y121" i="2" s="1"/>
  <c r="AH121" i="2" a="1"/>
  <c r="AH121" i="2" s="1"/>
  <c r="AD121" i="2" a="1"/>
  <c r="AD121" i="2" s="1"/>
  <c r="AB120" i="2" a="1"/>
  <c r="AB120" i="2" s="1"/>
  <c r="AD120" i="2" a="1"/>
  <c r="AD120" i="2" s="1"/>
  <c r="Z124" i="2" a="1"/>
  <c r="Z124" i="2" s="1"/>
  <c r="AB122" i="2" a="1"/>
  <c r="AB122" i="2" s="1"/>
  <c r="AH123" i="2" a="1"/>
  <c r="AH123" i="2" s="1"/>
  <c r="Z122" i="2" a="1"/>
  <c r="Z122" i="2" s="1"/>
  <c r="Y123" i="2" a="1"/>
  <c r="Y123" i="2" s="1"/>
  <c r="Y124" i="2" a="1"/>
  <c r="Y124" i="2" s="1"/>
  <c r="X121" i="2" a="1"/>
  <c r="X121" i="2" s="1"/>
  <c r="X124" i="2" a="1"/>
  <c r="X124" i="2" s="1"/>
  <c r="AB123" i="2" a="1"/>
  <c r="AB123" i="2" s="1"/>
  <c r="Z123" i="2" a="1"/>
  <c r="Z123" i="2" s="1"/>
  <c r="AB121" i="2" a="1"/>
  <c r="AB121" i="2" s="1"/>
  <c r="AH119" i="2" a="1"/>
  <c r="AH119" i="2" s="1"/>
  <c r="Y122" i="2" a="1"/>
  <c r="Y122" i="2" s="1"/>
  <c r="AA121" i="2" a="1"/>
  <c r="AA121" i="2" s="1"/>
  <c r="AA122" i="2" a="1"/>
  <c r="AA122" i="2" s="1"/>
  <c r="X122" i="2" a="1"/>
  <c r="X122" i="2" s="1"/>
  <c r="AI121" i="2" a="1"/>
  <c r="AI121" i="2" s="1"/>
  <c r="AC120" i="2" a="1"/>
  <c r="AC120" i="2" s="1"/>
  <c r="AA120" i="2" a="1"/>
  <c r="AA120" i="2" s="1"/>
  <c r="AI120" i="2" a="1"/>
  <c r="AI120" i="2" s="1"/>
  <c r="AH120" i="2" a="1"/>
  <c r="AH120" i="2" s="1"/>
  <c r="Z120" i="2" a="1"/>
  <c r="Z120" i="2" s="1"/>
  <c r="AA123" i="2" a="1"/>
  <c r="AA123" i="2" s="1"/>
  <c r="W123" i="2" a="1"/>
  <c r="W123" i="2" s="1"/>
  <c r="AF122" i="2" a="1"/>
  <c r="AF122" i="2" s="1"/>
  <c r="AD122" i="2" a="1"/>
  <c r="AD122" i="2" s="1"/>
  <c r="AE122" i="2" a="1"/>
  <c r="AE122" i="2" s="1"/>
  <c r="AE121" i="2" a="1"/>
  <c r="AE121" i="2" s="1"/>
  <c r="Z121" i="2" a="1"/>
  <c r="Z121" i="2" s="1"/>
  <c r="AG120" i="2" a="1"/>
  <c r="AG120" i="2" s="1"/>
  <c r="AF120" i="2" a="1"/>
  <c r="AF120" i="2" s="1"/>
  <c r="AE120" i="2" a="1"/>
  <c r="AE120" i="2" s="1"/>
  <c r="AJ119" i="2" a="1"/>
  <c r="AJ119" i="2" s="1"/>
  <c r="AI123" i="2" a="1"/>
  <c r="AI123" i="2" s="1"/>
  <c r="AE123" i="2" a="1"/>
  <c r="AE123" i="2" s="1"/>
  <c r="AC123" i="2" a="1"/>
  <c r="AC123" i="2" s="1"/>
  <c r="X120" i="2" a="1"/>
  <c r="X120" i="2" s="1"/>
  <c r="AJ121" i="2" a="1"/>
  <c r="AJ121" i="2" s="1"/>
  <c r="AD123" i="2" a="1"/>
  <c r="AD123" i="2" s="1"/>
  <c r="X123" i="2" a="1"/>
  <c r="X123" i="2" s="1"/>
  <c r="AI122" i="2" a="1"/>
  <c r="AI122" i="2" s="1"/>
  <c r="AC121" i="2" a="1"/>
  <c r="AC121" i="2" s="1"/>
  <c r="AJ120" i="2" a="1"/>
  <c r="AJ120" i="2" s="1"/>
  <c r="W122" i="2" a="1"/>
  <c r="W122" i="2" s="1"/>
  <c r="Y120" i="2" a="1"/>
  <c r="Y120" i="2" s="1"/>
  <c r="AI119" i="2" a="1"/>
  <c r="AI119" i="2" s="1"/>
  <c r="AC117" i="2" a="1"/>
  <c r="AC117" i="2" s="1"/>
  <c r="X119" i="2" a="1"/>
  <c r="X119" i="2" s="1"/>
  <c r="W119" i="2" a="1"/>
  <c r="W119" i="2" s="1"/>
  <c r="AE117" i="2" a="1"/>
  <c r="AE117" i="2" s="1"/>
  <c r="AE118" i="2" a="1"/>
  <c r="AE118" i="2" s="1"/>
  <c r="AB118" i="2" a="1"/>
  <c r="AB118" i="2" s="1"/>
  <c r="AI117" i="2" a="1"/>
  <c r="AI117" i="2" s="1"/>
  <c r="AH117" i="2" a="1"/>
  <c r="AH117" i="2" s="1"/>
  <c r="W117" i="2" a="1"/>
  <c r="W117" i="2" s="1"/>
  <c r="Z117" i="2" a="1"/>
  <c r="Z117" i="2" s="1"/>
  <c r="Z116" i="2" a="1"/>
  <c r="Z116" i="2" s="1"/>
  <c r="AJ115" i="2" a="1"/>
  <c r="AJ115" i="2" s="1"/>
  <c r="AB119" i="2" a="1"/>
  <c r="AB119" i="2" s="1"/>
  <c r="W118" i="2" a="1"/>
  <c r="W118" i="2" s="1"/>
  <c r="AI116" i="2" a="1"/>
  <c r="AI116" i="2" s="1"/>
  <c r="Z118" i="2" a="1"/>
  <c r="Z118" i="2" s="1"/>
  <c r="AI115" i="2" a="1"/>
  <c r="AI115" i="2" s="1"/>
  <c r="AD116" i="2" a="1"/>
  <c r="AD116" i="2" s="1"/>
  <c r="AG117" i="2" a="1"/>
  <c r="AG117" i="2" s="1"/>
  <c r="AA117" i="2" a="1"/>
  <c r="AA117" i="2" s="1"/>
  <c r="X118" i="2" a="1"/>
  <c r="X118" i="2" s="1"/>
  <c r="X269" i="2" a="1"/>
  <c r="X269" i="2" s="1"/>
  <c r="AD118" i="2" a="1"/>
  <c r="AD118" i="2" s="1"/>
  <c r="AF117" i="2" a="1"/>
  <c r="AF117" i="2" s="1"/>
  <c r="AG119" i="2" a="1"/>
  <c r="AG119" i="2" s="1"/>
  <c r="AA118" i="2" a="1"/>
  <c r="AA118" i="2" s="1"/>
  <c r="AA119" i="2" a="1"/>
  <c r="AA119" i="2" s="1"/>
  <c r="AF119" i="2" a="1"/>
  <c r="AF119" i="2" s="1"/>
  <c r="AJ116" i="2" a="1"/>
  <c r="AJ116" i="2" s="1"/>
  <c r="AE116" i="2" a="1"/>
  <c r="AE116" i="2" s="1"/>
  <c r="AE119" i="2" a="1"/>
  <c r="AE119" i="2" s="1"/>
  <c r="AH116" i="2" a="1"/>
  <c r="AH116" i="2" s="1"/>
  <c r="AG116" i="2" a="1"/>
  <c r="AG116" i="2" s="1"/>
  <c r="AF116" i="2" a="1"/>
  <c r="AF116" i="2" s="1"/>
  <c r="AA116" i="2" a="1"/>
  <c r="AA116" i="2" s="1"/>
  <c r="Y116" i="2" a="1"/>
  <c r="Y116" i="2" s="1"/>
  <c r="W116" i="2" a="1"/>
  <c r="W116" i="2" s="1"/>
  <c r="AB116" i="2" a="1"/>
  <c r="AB116" i="2" s="1"/>
  <c r="X116" i="2" a="1"/>
  <c r="X116" i="2" s="1"/>
  <c r="AD119" i="2" a="1"/>
  <c r="AD119" i="2" s="1"/>
  <c r="AC119" i="2" a="1"/>
  <c r="AC119" i="2" s="1"/>
  <c r="Z119" i="2" a="1"/>
  <c r="Z119" i="2" s="1"/>
  <c r="AA115" i="2" a="1"/>
  <c r="AA115" i="2" s="1"/>
  <c r="AI118" i="2" a="1"/>
  <c r="AI118" i="2" s="1"/>
  <c r="AG118" i="2" a="1"/>
  <c r="AG118" i="2" s="1"/>
  <c r="Y117" i="2" a="1"/>
  <c r="Y117" i="2" s="1"/>
  <c r="AC116" i="2" a="1"/>
  <c r="AC116" i="2" s="1"/>
  <c r="Y118" i="2" a="1"/>
  <c r="Y118" i="2" s="1"/>
  <c r="Y119" i="2" a="1"/>
  <c r="Y119" i="2" s="1"/>
  <c r="AJ118" i="2" a="1"/>
  <c r="AJ118" i="2" s="1"/>
  <c r="AH118" i="2" a="1"/>
  <c r="AH118" i="2" s="1"/>
  <c r="AD117" i="2" a="1"/>
  <c r="AD117" i="2" s="1"/>
  <c r="AF115" i="2" a="1"/>
  <c r="AF115" i="2" s="1"/>
  <c r="AC115" i="2" a="1"/>
  <c r="AC115" i="2" s="1"/>
  <c r="AF118" i="2" a="1"/>
  <c r="AF118" i="2" s="1"/>
  <c r="AH115" i="2" a="1"/>
  <c r="AH115" i="2" s="1"/>
  <c r="AE115" i="2" a="1"/>
  <c r="AE115" i="2" s="1"/>
  <c r="AC118" i="2" a="1"/>
  <c r="AC118" i="2" s="1"/>
  <c r="AJ117" i="2" a="1"/>
  <c r="AJ117" i="2" s="1"/>
  <c r="AB115" i="2" a="1"/>
  <c r="AB115" i="2" s="1"/>
  <c r="AG115" i="2" a="1"/>
  <c r="AG115" i="2" s="1"/>
  <c r="AD115" i="2" a="1"/>
  <c r="AD115" i="2" s="1"/>
  <c r="X117" i="2" a="1"/>
  <c r="X117" i="2" s="1"/>
  <c r="AB117" i="2" a="1"/>
  <c r="AB117" i="2" s="1"/>
  <c r="AD22" i="2" a="1"/>
  <c r="AD22" i="2" s="1"/>
  <c r="AA23" i="2" a="1"/>
  <c r="AA23" i="2" s="1"/>
  <c r="Z22" i="2" a="1"/>
  <c r="Z22" i="2" s="1"/>
  <c r="Z23" i="2" a="1"/>
  <c r="Z23" i="2" s="1"/>
  <c r="AJ22" i="2" a="1"/>
  <c r="AJ22" i="2" s="1"/>
  <c r="AI22" i="2" a="1"/>
  <c r="AI22" i="2" s="1"/>
  <c r="AH21" i="2" a="1"/>
  <c r="AH21" i="2" s="1"/>
  <c r="AE21" i="2" a="1"/>
  <c r="AE21" i="2" s="1"/>
  <c r="AC48" i="2" a="1"/>
  <c r="AC48" i="2" s="1"/>
  <c r="Y24" i="2" a="1"/>
  <c r="Y24" i="2" s="1"/>
  <c r="X24" i="2" a="1"/>
  <c r="X24" i="2" s="1"/>
  <c r="W24" i="2" a="1"/>
  <c r="W24" i="2" s="1"/>
  <c r="AI21" i="2" a="1"/>
  <c r="AI21" i="2" s="1"/>
  <c r="X23" i="2" a="1"/>
  <c r="X23" i="2" s="1"/>
  <c r="AG21" i="2" a="1"/>
  <c r="AG21" i="2" s="1"/>
  <c r="AF21" i="2" a="1"/>
  <c r="AF21" i="2" s="1"/>
  <c r="W23" i="2" a="1"/>
  <c r="W23" i="2" s="1"/>
  <c r="AJ21" i="2" a="1"/>
  <c r="AJ21" i="2" s="1"/>
  <c r="AJ23" i="2" a="1"/>
  <c r="AJ23" i="2" s="1"/>
  <c r="W22" i="2" a="1"/>
  <c r="W22" i="2" s="1"/>
  <c r="AI23" i="2" a="1"/>
  <c r="AI23" i="2" s="1"/>
  <c r="AB22" i="2" a="1"/>
  <c r="AB22" i="2" s="1"/>
  <c r="AD23" i="2" a="1"/>
  <c r="AD23" i="2" s="1"/>
  <c r="AG22" i="2" a="1"/>
  <c r="AG22" i="2" s="1"/>
  <c r="AB21" i="2" a="1"/>
  <c r="AB21" i="2" s="1"/>
  <c r="AC21" i="2" a="1"/>
  <c r="AC21" i="2" s="1"/>
  <c r="AF22" i="2" a="1"/>
  <c r="AF22" i="2" s="1"/>
  <c r="AB23" i="2" a="1"/>
  <c r="AB23" i="2" s="1"/>
  <c r="AE22" i="2" a="1"/>
  <c r="AE22" i="2" s="1"/>
  <c r="AA22" i="2" a="1"/>
  <c r="AA22" i="2" s="1"/>
  <c r="AH23" i="2" a="1"/>
  <c r="AH23" i="2" s="1"/>
  <c r="Y22" i="2" a="1"/>
  <c r="Y22" i="2" s="1"/>
  <c r="AG23" i="2" a="1"/>
  <c r="AG23" i="2" s="1"/>
  <c r="AC22" i="2" a="1"/>
  <c r="AC22" i="2" s="1"/>
  <c r="AE23" i="2" a="1"/>
  <c r="AE23" i="2" s="1"/>
  <c r="Y23" i="2" a="1"/>
  <c r="Y23" i="2" s="1"/>
  <c r="AH22" i="2" a="1"/>
  <c r="AH22" i="2" s="1"/>
  <c r="AC23" i="2" a="1"/>
  <c r="AC23" i="2" s="1"/>
  <c r="AD21" i="2" a="1"/>
  <c r="AD21" i="2" s="1"/>
  <c r="AF23" i="2" a="1"/>
  <c r="AF23" i="2" s="1"/>
  <c r="X22" i="2" a="1"/>
  <c r="X22" i="2" s="1"/>
  <c r="Y18" i="2" a="1"/>
  <c r="Y18" i="2" s="1"/>
  <c r="AE18" i="2" a="1"/>
  <c r="AE18" i="2" s="1"/>
  <c r="AI18" i="2" a="1"/>
  <c r="AI18" i="2" s="1"/>
  <c r="AH18" i="2" a="1"/>
  <c r="AH18" i="2" s="1"/>
  <c r="AD18" i="2" a="1"/>
  <c r="AD18" i="2" s="1"/>
  <c r="X18" i="2" a="1"/>
  <c r="X18" i="2" s="1"/>
  <c r="AF18" i="2" a="1"/>
  <c r="AF18" i="2" s="1"/>
  <c r="AJ18" i="2" a="1"/>
  <c r="AJ18" i="2" s="1"/>
  <c r="AC18" i="2" a="1"/>
  <c r="AC18" i="2" s="1"/>
  <c r="Y17" i="2" a="1"/>
  <c r="Y17" i="2" s="1"/>
  <c r="AG48" i="2" a="1"/>
  <c r="AG48" i="2" s="1"/>
  <c r="AA21" i="2" a="1"/>
  <c r="AA21" i="2" s="1"/>
  <c r="AE19" i="2" a="1"/>
  <c r="AE19" i="2" s="1"/>
  <c r="AD20" i="2" a="1"/>
  <c r="AD20" i="2" s="1"/>
  <c r="Z21" i="2" a="1"/>
  <c r="Z21" i="2" s="1"/>
  <c r="AH19" i="2" a="1"/>
  <c r="AH19" i="2" s="1"/>
  <c r="AG18" i="2" a="1"/>
  <c r="AG18" i="2" s="1"/>
  <c r="AJ17" i="2" a="1"/>
  <c r="AJ17" i="2" s="1"/>
  <c r="Y21" i="2" a="1"/>
  <c r="Y21" i="2" s="1"/>
  <c r="AF19" i="2" a="1"/>
  <c r="AF19" i="2" s="1"/>
  <c r="X21" i="2" a="1"/>
  <c r="X21" i="2" s="1"/>
  <c r="AA20" i="2" a="1"/>
  <c r="AA20" i="2" s="1"/>
  <c r="AH17" i="2" a="1"/>
  <c r="AH17" i="2" s="1"/>
  <c r="Z19" i="2" a="1"/>
  <c r="Z19" i="2" s="1"/>
  <c r="AF20" i="2" a="1"/>
  <c r="AF20" i="2" s="1"/>
  <c r="W21" i="2" a="1"/>
  <c r="W21" i="2" s="1"/>
  <c r="AJ20" i="2" a="1"/>
  <c r="AJ20" i="2" s="1"/>
  <c r="AA18" i="2" a="1"/>
  <c r="AA18" i="2" s="1"/>
  <c r="AC19" i="2" a="1"/>
  <c r="AC19" i="2" s="1"/>
  <c r="AI20" i="2" a="1"/>
  <c r="AI20" i="2" s="1"/>
  <c r="AH20" i="2" a="1"/>
  <c r="AH20" i="2" s="1"/>
  <c r="AG20" i="2" a="1"/>
  <c r="AG20" i="2" s="1"/>
  <c r="AJ19" i="2" a="1"/>
  <c r="AJ19" i="2" s="1"/>
  <c r="AI19" i="2" a="1"/>
  <c r="AI19" i="2" s="1"/>
  <c r="AB19" i="2" a="1"/>
  <c r="AB19" i="2" s="1"/>
  <c r="AE20" i="2" a="1"/>
  <c r="AE20" i="2" s="1"/>
  <c r="Y20" i="2" a="1"/>
  <c r="Y20" i="2" s="1"/>
  <c r="AF17" i="2" a="1"/>
  <c r="AF17" i="2" s="1"/>
  <c r="X20" i="2" a="1"/>
  <c r="X20" i="2" s="1"/>
  <c r="Z17" i="2" a="1"/>
  <c r="Z17" i="2" s="1"/>
  <c r="W20" i="2" a="1"/>
  <c r="W20" i="2" s="1"/>
  <c r="W19" i="2" a="1"/>
  <c r="W19" i="2" s="1"/>
  <c r="AB17" i="2" a="1"/>
  <c r="AB17" i="2" s="1"/>
  <c r="AI17" i="2" a="1"/>
  <c r="AI17" i="2" s="1"/>
  <c r="AB18" i="2" a="1"/>
  <c r="AB18" i="2" s="1"/>
  <c r="AA17" i="2" a="1"/>
  <c r="AA17" i="2" s="1"/>
  <c r="AC20" i="2" a="1"/>
  <c r="AC20" i="2" s="1"/>
  <c r="AB20" i="2" a="1"/>
  <c r="AB20" i="2" s="1"/>
  <c r="AG19" i="2" a="1"/>
  <c r="AG19" i="2" s="1"/>
  <c r="AC17" i="2" a="1"/>
  <c r="AC17" i="2" s="1"/>
  <c r="AD19" i="2" a="1"/>
  <c r="AD19" i="2" s="1"/>
  <c r="W18" i="2" a="1"/>
  <c r="W18" i="2" s="1"/>
  <c r="AD17" i="2" a="1"/>
  <c r="AD17" i="2" s="1"/>
  <c r="Y19" i="2" a="1"/>
  <c r="Y19" i="2" s="1"/>
  <c r="AG17" i="2" a="1"/>
  <c r="AG17" i="2" s="1"/>
  <c r="Z20" i="2" a="1"/>
  <c r="Z20" i="2" s="1"/>
  <c r="AA19" i="2" a="1"/>
  <c r="AA19" i="2" s="1"/>
  <c r="X19" i="2" a="1"/>
  <c r="X19" i="2" s="1"/>
  <c r="Z18" i="2" a="1"/>
  <c r="Z18" i="2" s="1"/>
  <c r="AE17" i="2" a="1"/>
  <c r="AE17" i="2" s="1"/>
  <c r="AH12" i="2" a="1"/>
  <c r="AH12" i="2" s="1"/>
  <c r="AH15" i="2" a="1"/>
  <c r="AH15" i="2" s="1"/>
  <c r="AE15" i="2" a="1"/>
  <c r="AE15" i="2" s="1"/>
  <c r="AC15" i="2" a="1"/>
  <c r="AC15" i="2" s="1"/>
  <c r="AF14" i="2" a="1"/>
  <c r="AF14" i="2" s="1"/>
  <c r="AA15" i="2" a="1"/>
  <c r="AA15" i="2" s="1"/>
  <c r="W15" i="2" a="1"/>
  <c r="W15" i="2" s="1"/>
  <c r="AH14" i="2" a="1"/>
  <c r="AH14" i="2" s="1"/>
  <c r="AE14" i="2" a="1"/>
  <c r="AE14" i="2" s="1"/>
  <c r="AD14" i="2" a="1"/>
  <c r="AD14" i="2" s="1"/>
  <c r="AH13" i="2" a="1"/>
  <c r="AH13" i="2" s="1"/>
  <c r="AG13" i="2" a="1"/>
  <c r="AG13" i="2" s="1"/>
  <c r="W13" i="2" a="1"/>
  <c r="W13" i="2" s="1"/>
  <c r="AB14" i="2" a="1"/>
  <c r="AB14" i="2" s="1"/>
  <c r="AC13" i="2" a="1"/>
  <c r="AC13" i="2" s="1"/>
  <c r="AA14" i="2" a="1"/>
  <c r="AA14" i="2" s="1"/>
  <c r="Y14" i="2" a="1"/>
  <c r="Y14" i="2" s="1"/>
  <c r="X14" i="2" a="1"/>
  <c r="X14" i="2" s="1"/>
  <c r="W14" i="2" a="1"/>
  <c r="W14" i="2" s="1"/>
  <c r="AE13" i="2" a="1"/>
  <c r="AE13" i="2" s="1"/>
  <c r="AJ12" i="2" a="1"/>
  <c r="AJ12" i="2" s="1"/>
  <c r="AJ13" i="2" a="1"/>
  <c r="AJ13" i="2" s="1"/>
  <c r="AI13" i="2" a="1"/>
  <c r="AI13" i="2" s="1"/>
  <c r="Z13" i="2" a="1"/>
  <c r="Z13" i="2" s="1"/>
  <c r="Y13" i="2" a="1"/>
  <c r="Y13" i="2" s="1"/>
  <c r="AB13" i="2" a="1"/>
  <c r="AB13" i="2" s="1"/>
  <c r="AA13" i="2" a="1"/>
  <c r="AA13" i="2" s="1"/>
  <c r="AG16" i="2" a="1"/>
  <c r="AG16" i="2" s="1"/>
  <c r="AB16" i="2" a="1"/>
  <c r="AB16" i="2" s="1"/>
  <c r="AD16" i="2" a="1"/>
  <c r="AD16" i="2" s="1"/>
  <c r="Y16" i="2" a="1"/>
  <c r="Y16" i="2" s="1"/>
  <c r="AI14" i="2" a="1"/>
  <c r="AI14" i="2" s="1"/>
  <c r="AF12" i="2" a="1"/>
  <c r="AF12" i="2" s="1"/>
  <c r="Z15" i="2" a="1"/>
  <c r="Z15" i="2" s="1"/>
  <c r="AI12" i="2" a="1"/>
  <c r="AI12" i="2" s="1"/>
  <c r="AG14" i="2" a="1"/>
  <c r="AG14" i="2" s="1"/>
  <c r="X16" i="2" a="1"/>
  <c r="X16" i="2" s="1"/>
  <c r="Y15" i="2" a="1"/>
  <c r="Y15" i="2" s="1"/>
  <c r="X13" i="2" a="1"/>
  <c r="X13" i="2" s="1"/>
  <c r="Z16" i="2" a="1"/>
  <c r="Z16" i="2" s="1"/>
  <c r="Z14" i="2" a="1"/>
  <c r="Z14" i="2" s="1"/>
  <c r="AB48" i="2" a="1"/>
  <c r="AB48" i="2" s="1"/>
  <c r="AB15" i="2" a="1"/>
  <c r="AB15" i="2" s="1"/>
  <c r="X17" i="2" a="1"/>
  <c r="X17" i="2" s="1"/>
  <c r="W17" i="2" a="1"/>
  <c r="W17" i="2" s="1"/>
  <c r="AJ16" i="2" a="1"/>
  <c r="AJ16" i="2" s="1"/>
  <c r="X15" i="2" a="1"/>
  <c r="X15" i="2" s="1"/>
  <c r="AF15" i="2" a="1"/>
  <c r="AF15" i="2" s="1"/>
  <c r="AC14" i="2" a="1"/>
  <c r="AC14" i="2" s="1"/>
  <c r="AI16" i="2" a="1"/>
  <c r="AI16" i="2" s="1"/>
  <c r="AJ15" i="2" a="1"/>
  <c r="AJ15" i="2" s="1"/>
  <c r="AG15" i="2" a="1"/>
  <c r="AG15" i="2" s="1"/>
  <c r="AD15" i="2" a="1"/>
  <c r="AD15" i="2" s="1"/>
  <c r="AD13" i="2" a="1"/>
  <c r="AD13" i="2" s="1"/>
  <c r="AJ14" i="2" a="1"/>
  <c r="AJ14" i="2" s="1"/>
  <c r="AG12" i="2" a="1"/>
  <c r="AG12" i="2" s="1"/>
  <c r="AF13" i="2" a="1"/>
  <c r="AF13" i="2" s="1"/>
  <c r="AH16" i="2" a="1"/>
  <c r="AH16" i="2" s="1"/>
  <c r="AF16" i="2" a="1"/>
  <c r="AF16" i="2" s="1"/>
  <c r="AA16" i="2" a="1"/>
  <c r="AA16" i="2" s="1"/>
  <c r="AE16" i="2" a="1"/>
  <c r="AE16" i="2" s="1"/>
  <c r="AC16" i="2" a="1"/>
  <c r="AC16" i="2" s="1"/>
  <c r="W16" i="2" a="1"/>
  <c r="W16" i="2" s="1"/>
  <c r="AI15" i="2" a="1"/>
  <c r="AI15" i="2" s="1"/>
  <c r="Y11" i="2" a="1"/>
  <c r="Y11" i="2" s="1"/>
  <c r="AD8" i="2" a="1"/>
  <c r="AD8" i="2" s="1"/>
  <c r="AE8" i="2" a="1"/>
  <c r="AE8" i="2" s="1"/>
  <c r="AJ11" i="2" a="1"/>
  <c r="AJ11" i="2" s="1"/>
  <c r="AH11" i="2" a="1"/>
  <c r="AH11" i="2" s="1"/>
  <c r="AF9" i="2" a="1"/>
  <c r="AF9" i="2" s="1"/>
  <c r="AG11" i="2" a="1"/>
  <c r="AG11" i="2" s="1"/>
  <c r="AA10" i="2" a="1"/>
  <c r="AA10" i="2" s="1"/>
  <c r="Y10" i="2" a="1"/>
  <c r="Y10" i="2" s="1"/>
  <c r="AC9" i="2" a="1"/>
  <c r="AC9" i="2" s="1"/>
  <c r="AH9" i="2" a="1"/>
  <c r="AH9" i="2" s="1"/>
  <c r="AI8" i="2" a="1"/>
  <c r="AI8" i="2" s="1"/>
  <c r="AJ8" i="2" a="1"/>
  <c r="AJ8" i="2" s="1"/>
  <c r="AC11" i="2" a="1"/>
  <c r="AC11" i="2" s="1"/>
  <c r="W9" i="2" a="1"/>
  <c r="W9" i="2" s="1"/>
  <c r="W10" i="2" a="1"/>
  <c r="W10" i="2" s="1"/>
  <c r="W11" i="2" a="1"/>
  <c r="W11" i="2" s="1"/>
  <c r="AF10" i="2" a="1"/>
  <c r="AF10" i="2" s="1"/>
  <c r="AB8" i="2" a="1"/>
  <c r="AB8" i="2" s="1"/>
  <c r="AG8" i="2" a="1"/>
  <c r="AG8" i="2" s="1"/>
  <c r="AA9" i="2" a="1"/>
  <c r="AA9" i="2" s="1"/>
  <c r="X9" i="2" a="1"/>
  <c r="X9" i="2" s="1"/>
  <c r="Z9" i="2" a="1"/>
  <c r="Z9" i="2" s="1"/>
  <c r="AF11" i="2" a="1"/>
  <c r="AF11" i="2" s="1"/>
  <c r="AD10" i="2" a="1"/>
  <c r="AD10" i="2" s="1"/>
  <c r="AE10" i="2" a="1"/>
  <c r="AE10" i="2" s="1"/>
  <c r="AI9" i="2" a="1"/>
  <c r="AI9" i="2" s="1"/>
  <c r="AI11" i="2" a="1"/>
  <c r="AI11" i="2" s="1"/>
  <c r="AE11" i="2" a="1"/>
  <c r="AE11" i="2" s="1"/>
  <c r="Y8" i="2" a="1"/>
  <c r="Y8" i="2" s="1"/>
  <c r="AA11" i="2" a="1"/>
  <c r="AA11" i="2" s="1"/>
  <c r="AC10" i="2" a="1"/>
  <c r="AC10" i="2" s="1"/>
  <c r="AB10" i="2" a="1"/>
  <c r="AB10" i="2" s="1"/>
  <c r="Z10" i="2" a="1"/>
  <c r="Z10" i="2" s="1"/>
  <c r="AD9" i="2" a="1"/>
  <c r="AD9" i="2" s="1"/>
  <c r="AF8" i="2" a="1"/>
  <c r="AF8" i="2" s="1"/>
  <c r="AG9" i="2" a="1"/>
  <c r="AG9" i="2" s="1"/>
  <c r="AB11" i="2" a="1"/>
  <c r="AB11" i="2" s="1"/>
  <c r="AI10" i="2" a="1"/>
  <c r="AI10" i="2" s="1"/>
  <c r="AG10" i="2" a="1"/>
  <c r="AG10" i="2" s="1"/>
  <c r="Y9" i="2" a="1"/>
  <c r="Y9" i="2" s="1"/>
  <c r="X11" i="2" a="1"/>
  <c r="X11" i="2" s="1"/>
  <c r="AE9" i="2" a="1"/>
  <c r="AE9" i="2" s="1"/>
  <c r="AH10" i="2" a="1"/>
  <c r="AH10" i="2" s="1"/>
  <c r="AC8" i="2" a="1"/>
  <c r="AC8" i="2" s="1"/>
  <c r="AJ9" i="2" a="1"/>
  <c r="AJ9" i="2" s="1"/>
  <c r="AD11" i="2" a="1"/>
  <c r="AD11" i="2" s="1"/>
  <c r="AI48" i="2" a="1"/>
  <c r="AI48" i="2" s="1"/>
  <c r="AB9" i="2" a="1"/>
  <c r="AB9" i="2" s="1"/>
  <c r="AE12" i="2" a="1"/>
  <c r="AE12" i="2" s="1"/>
  <c r="AD12" i="2" a="1"/>
  <c r="AD12" i="2" s="1"/>
  <c r="AC12" i="2" a="1"/>
  <c r="AC12" i="2" s="1"/>
  <c r="X10" i="2" a="1"/>
  <c r="X10" i="2" s="1"/>
  <c r="AJ10" i="2" a="1"/>
  <c r="AJ10" i="2" s="1"/>
  <c r="AB12" i="2" a="1"/>
  <c r="AB12" i="2" s="1"/>
  <c r="AA12" i="2" a="1"/>
  <c r="AA12" i="2" s="1"/>
  <c r="AH8" i="2" a="1"/>
  <c r="AH8" i="2" s="1"/>
  <c r="Z8" i="2" a="1"/>
  <c r="Z8" i="2" s="1"/>
  <c r="AA8" i="2" a="1"/>
  <c r="AA8" i="2" s="1"/>
  <c r="Z12" i="2" a="1"/>
  <c r="Z12" i="2" s="1"/>
  <c r="Y12" i="2" a="1"/>
  <c r="Y12" i="2" s="1"/>
  <c r="X12" i="2" a="1"/>
  <c r="X12" i="2" s="1"/>
  <c r="W12" i="2" a="1"/>
  <c r="W12" i="2" s="1"/>
  <c r="Z11" i="2" a="1"/>
  <c r="Z11" i="2" s="1"/>
  <c r="AH4" i="2" a="1"/>
  <c r="AH4" i="2" s="1"/>
  <c r="Z7" i="2" a="1"/>
  <c r="Z7" i="2" s="1"/>
  <c r="AF6" i="2" a="1"/>
  <c r="AF6" i="2" s="1"/>
  <c r="AC6" i="2" a="1"/>
  <c r="AC6" i="2" s="1"/>
  <c r="X4" i="2" a="1"/>
  <c r="X4" i="2" s="1"/>
  <c r="Y6" i="2" a="1"/>
  <c r="Y6" i="2" s="1"/>
  <c r="X6" i="2" a="1"/>
  <c r="X6" i="2" s="1"/>
  <c r="AI4" i="2" a="1"/>
  <c r="AI4" i="2" s="1"/>
  <c r="AF4" i="2" a="1"/>
  <c r="AF4" i="2" s="1"/>
  <c r="X7" i="2" a="1"/>
  <c r="X7" i="2" s="1"/>
  <c r="AG6" i="2" a="1"/>
  <c r="AG6" i="2" s="1"/>
  <c r="AG5" i="2" a="1"/>
  <c r="AG5" i="2" s="1"/>
  <c r="Z4" i="2" a="1"/>
  <c r="Z4" i="2" s="1"/>
  <c r="AH6" i="2" a="1"/>
  <c r="AH6" i="2" s="1"/>
  <c r="AD4" i="2" a="1"/>
  <c r="AD4" i="2" s="1"/>
  <c r="AE6" i="2" a="1"/>
  <c r="AE6" i="2" s="1"/>
  <c r="W6" i="2" a="1"/>
  <c r="W6" i="2" s="1"/>
  <c r="X5" i="2" a="1"/>
  <c r="X5" i="2" s="1"/>
  <c r="AJ5" i="2" a="1"/>
  <c r="AJ5" i="2" s="1"/>
  <c r="AC4" i="2" a="1"/>
  <c r="AC4" i="2" s="1"/>
  <c r="AA6" i="2" a="1"/>
  <c r="AA6" i="2" s="1"/>
  <c r="AB5" i="2" a="1"/>
  <c r="AB5" i="2" s="1"/>
  <c r="AH5" i="2" a="1"/>
  <c r="AH5" i="2" s="1"/>
  <c r="AG4" i="2" a="1"/>
  <c r="AG4" i="2" s="1"/>
  <c r="AA48" i="2" a="1"/>
  <c r="AA48" i="2" s="1"/>
  <c r="X8" i="2" a="1"/>
  <c r="X8" i="2" s="1"/>
  <c r="W8" i="2" a="1"/>
  <c r="W8" i="2" s="1"/>
  <c r="AF5" i="2" a="1"/>
  <c r="AF5" i="2" s="1"/>
  <c r="AA4" i="2" a="1"/>
  <c r="AA4" i="2" s="1"/>
  <c r="AJ7" i="2" a="1"/>
  <c r="AJ7" i="2" s="1"/>
  <c r="W7" i="2" a="1"/>
  <c r="W7" i="2" s="1"/>
  <c r="AB4" i="2" a="1"/>
  <c r="AB4" i="2" s="1"/>
  <c r="AI7" i="2" a="1"/>
  <c r="AI7" i="2" s="1"/>
  <c r="AH7" i="2" a="1"/>
  <c r="AH7" i="2" s="1"/>
  <c r="Z6" i="2" a="1"/>
  <c r="Z6" i="2" s="1"/>
  <c r="AG7" i="2" a="1"/>
  <c r="AG7" i="2" s="1"/>
  <c r="AF7" i="2" a="1"/>
  <c r="AF7" i="2" s="1"/>
  <c r="AB7" i="2" a="1"/>
  <c r="AB7" i="2" s="1"/>
  <c r="AD7" i="2" a="1"/>
  <c r="AD7" i="2" s="1"/>
  <c r="AJ4" i="2" a="1"/>
  <c r="AJ4" i="2" s="1"/>
  <c r="AE7" i="2" a="1"/>
  <c r="AE7" i="2" s="1"/>
  <c r="Y7" i="2" a="1"/>
  <c r="Y7" i="2" s="1"/>
  <c r="AJ6" i="2" a="1"/>
  <c r="AJ6" i="2" s="1"/>
  <c r="AE5" i="2" a="1"/>
  <c r="AE5" i="2" s="1"/>
  <c r="Y4" i="2" a="1"/>
  <c r="Y4" i="2" s="1"/>
  <c r="AI5" i="2" a="1"/>
  <c r="AI5" i="2" s="1"/>
  <c r="AA5" i="2" a="1"/>
  <c r="AA5" i="2" s="1"/>
  <c r="W4" i="2" a="1"/>
  <c r="W4" i="2" s="1"/>
  <c r="AD6" i="2" a="1"/>
  <c r="AD6" i="2" s="1"/>
  <c r="AE4" i="2" a="1"/>
  <c r="AE4" i="2" s="1"/>
  <c r="AC5" i="2" a="1"/>
  <c r="AC5" i="2" s="1"/>
  <c r="Z5" i="2" a="1"/>
  <c r="Z5" i="2" s="1"/>
  <c r="Y5" i="2" a="1"/>
  <c r="Y5" i="2" s="1"/>
  <c r="AC7" i="2" a="1"/>
  <c r="AC7" i="2" s="1"/>
  <c r="AA7" i="2" a="1"/>
  <c r="AA7" i="2" s="1"/>
  <c r="W5" i="2" a="1"/>
  <c r="W5" i="2" s="1"/>
  <c r="AD5" i="2" a="1"/>
  <c r="AD5" i="2" s="1"/>
  <c r="AI6" i="2" a="1"/>
  <c r="AI6" i="2" s="1"/>
  <c r="AB6" i="2" a="1"/>
  <c r="AB6" i="2" s="1"/>
  <c r="AH3" i="2" a="1"/>
  <c r="AH3" i="2" s="1"/>
  <c r="AD3" i="2" a="1"/>
  <c r="AD3" i="2" s="1"/>
  <c r="AC3" i="2" a="1"/>
  <c r="AC3" i="2" s="1"/>
  <c r="Y3" i="2" a="1"/>
  <c r="Y3" i="2" s="1"/>
  <c r="W3" i="2" a="1"/>
  <c r="W3" i="2" s="1"/>
  <c r="Z2" i="2" a="1"/>
  <c r="Z2" i="2" s="1"/>
  <c r="AD2" i="2" a="1"/>
  <c r="AD2" i="2" s="1"/>
  <c r="AE3" i="2" a="1"/>
  <c r="AE3" i="2" s="1"/>
  <c r="X3" i="2" a="1"/>
  <c r="X3" i="2" s="1"/>
  <c r="Y2" i="2" a="1"/>
  <c r="Y2" i="2" s="1"/>
  <c r="AB3" i="2" a="1"/>
  <c r="AB3" i="2" s="1"/>
  <c r="AH2" i="2" a="1"/>
  <c r="AH2" i="2" s="1"/>
  <c r="X2" i="2" a="1"/>
  <c r="X2" i="2" s="1"/>
  <c r="AA2" i="2" a="1"/>
  <c r="AA2" i="2" s="1"/>
  <c r="AE2" i="2" a="1"/>
  <c r="AE2" i="2" s="1"/>
  <c r="AG3" i="2" a="1"/>
  <c r="AG3" i="2" s="1"/>
  <c r="AJ3" i="2" a="1"/>
  <c r="AJ3" i="2" s="1"/>
  <c r="AF2" i="2" a="1"/>
  <c r="AF2" i="2" s="1"/>
  <c r="AA3" i="2" a="1"/>
  <c r="AA3" i="2" s="1"/>
  <c r="AB2" i="2" a="1"/>
  <c r="AB2" i="2" s="1"/>
  <c r="AF3" i="2" a="1"/>
  <c r="AF3" i="2" s="1"/>
  <c r="Z3" i="2" a="1"/>
  <c r="Z3" i="2" s="1"/>
  <c r="AJ2" i="2" a="1"/>
  <c r="AJ2" i="2" s="1"/>
  <c r="AG2" i="2" a="1"/>
  <c r="AG2" i="2" s="1"/>
  <c r="AI3" i="2" a="1"/>
  <c r="AI3" i="2" s="1"/>
  <c r="AI2" i="2" a="1"/>
  <c r="AI2" i="2" s="1"/>
  <c r="AC2" i="2" a="1"/>
  <c r="AC2" i="2" s="1"/>
  <c r="AD1241" i="2" a="1"/>
  <c r="AD1241" i="2" s="1"/>
  <c r="AC1269" i="2" a="1"/>
  <c r="AC1269" i="2" s="1"/>
  <c r="AE1241" i="2" a="1"/>
  <c r="AE1241" i="2" s="1"/>
  <c r="W2" i="2" a="1"/>
  <c r="W2" i="2" s="1"/>
  <c r="AC46" i="2" a="1"/>
  <c r="AC46" i="2" s="1"/>
  <c r="Y45" i="2" a="1"/>
  <c r="Y45" i="2" s="1"/>
  <c r="AH46" i="2" a="1"/>
  <c r="AH46" i="2" s="1"/>
  <c r="X47" i="2" a="1"/>
  <c r="X47" i="2" s="1"/>
  <c r="AJ46" i="2" a="1"/>
  <c r="AJ46" i="2" s="1"/>
  <c r="AB44" i="2" a="1"/>
  <c r="AB44" i="2" s="1"/>
  <c r="AI46" i="2" a="1"/>
  <c r="AI46" i="2" s="1"/>
  <c r="AG46" i="2" a="1"/>
  <c r="AG46" i="2" s="1"/>
  <c r="X46" i="2" a="1"/>
  <c r="X46" i="2" s="1"/>
  <c r="AI45" i="2" a="1"/>
  <c r="AI45" i="2" s="1"/>
  <c r="AB45" i="2" a="1"/>
  <c r="AB45" i="2" s="1"/>
  <c r="Z45" i="2" a="1"/>
  <c r="Z45" i="2" s="1"/>
  <c r="W45" i="2" a="1"/>
  <c r="W45" i="2" s="1"/>
  <c r="AG44" i="2" a="1"/>
  <c r="AG44" i="2" s="1"/>
  <c r="AF44" i="2" a="1"/>
  <c r="AF44" i="2" s="1"/>
  <c r="AC44" i="2" a="1"/>
  <c r="AC44" i="2" s="1"/>
  <c r="X44" i="2" a="1"/>
  <c r="X44" i="2" s="1"/>
  <c r="AF45" i="2" a="1"/>
  <c r="AF45" i="2" s="1"/>
  <c r="AB46" i="2" a="1"/>
  <c r="AB46" i="2" s="1"/>
  <c r="AA44" i="2" a="1"/>
  <c r="AA44" i="2" s="1"/>
  <c r="AA47" i="2" a="1"/>
  <c r="AA47" i="2" s="1"/>
  <c r="AD44" i="2" a="1"/>
  <c r="AD44" i="2" s="1"/>
  <c r="Z47" i="2" a="1"/>
  <c r="Z47" i="2" s="1"/>
  <c r="AF48" i="2" a="1"/>
  <c r="AF48" i="2" s="1"/>
  <c r="Z48" i="2" a="1"/>
  <c r="Z48" i="2" s="1"/>
  <c r="Z46" i="2" a="1"/>
  <c r="Z46" i="2" s="1"/>
  <c r="AD45" i="2" a="1"/>
  <c r="AD45" i="2" s="1"/>
  <c r="AC45" i="2" a="1"/>
  <c r="AC45" i="2" s="1"/>
  <c r="X48" i="2" a="1"/>
  <c r="X48" i="2" s="1"/>
  <c r="AJ47" i="2" a="1"/>
  <c r="AJ47" i="2" s="1"/>
  <c r="AF47" i="2" a="1"/>
  <c r="AF47" i="2" s="1"/>
  <c r="AE47" i="2" a="1"/>
  <c r="AE47" i="2" s="1"/>
  <c r="AF46" i="2" a="1"/>
  <c r="AF46" i="2" s="1"/>
  <c r="AH45" i="2" a="1"/>
  <c r="AH45" i="2" s="1"/>
  <c r="W44" i="2" a="1"/>
  <c r="W44" i="2" s="1"/>
  <c r="X45" i="2" a="1"/>
  <c r="X45" i="2" s="1"/>
  <c r="AB47" i="2" a="1"/>
  <c r="AB47" i="2" s="1"/>
  <c r="W47" i="2" a="1"/>
  <c r="W47" i="2" s="1"/>
  <c r="AE46" i="2" a="1"/>
  <c r="AE46" i="2" s="1"/>
  <c r="AJ44" i="2" a="1"/>
  <c r="AJ44" i="2" s="1"/>
  <c r="AE44" i="2" a="1"/>
  <c r="AE44" i="2" s="1"/>
  <c r="AJ43" i="2" a="1"/>
  <c r="AJ43" i="2" s="1"/>
  <c r="AI47" i="2" a="1"/>
  <c r="AI47" i="2" s="1"/>
  <c r="AA46" i="2" a="1"/>
  <c r="AA46" i="2" s="1"/>
  <c r="AE45" i="2" a="1"/>
  <c r="AE45" i="2" s="1"/>
  <c r="AI44" i="2" a="1"/>
  <c r="AI44" i="2" s="1"/>
  <c r="Y48" i="2" a="1"/>
  <c r="Y48" i="2" s="1"/>
  <c r="AG45" i="2" a="1"/>
  <c r="AG45" i="2" s="1"/>
  <c r="AA45" i="2" a="1"/>
  <c r="AA45" i="2" s="1"/>
  <c r="AG47" i="2" a="1"/>
  <c r="AG47" i="2" s="1"/>
  <c r="AD46" i="2" a="1"/>
  <c r="AD46" i="2" s="1"/>
  <c r="Y46" i="2" a="1"/>
  <c r="Y46" i="2" s="1"/>
  <c r="AH44" i="2" a="1"/>
  <c r="AH44" i="2" s="1"/>
  <c r="Z44" i="2" a="1"/>
  <c r="Z44" i="2" s="1"/>
  <c r="AJ45" i="2" a="1"/>
  <c r="AJ45" i="2" s="1"/>
  <c r="Y44" i="2" a="1"/>
  <c r="Y44" i="2" s="1"/>
  <c r="W48" i="2" a="1"/>
  <c r="W48" i="2" s="1"/>
  <c r="AH47" i="2" a="1"/>
  <c r="AH47" i="2" s="1"/>
  <c r="AD47" i="2" a="1"/>
  <c r="AD47" i="2" s="1"/>
  <c r="AC47" i="2" a="1"/>
  <c r="AC47" i="2" s="1"/>
  <c r="W46" i="2" a="1"/>
  <c r="W46" i="2" s="1"/>
  <c r="Y47" i="2" a="1"/>
  <c r="Y47" i="2" s="1"/>
  <c r="AE40" i="2" a="1"/>
  <c r="AE40" i="2" s="1"/>
  <c r="Z42" i="2" a="1"/>
  <c r="Z42" i="2" s="1"/>
  <c r="W43" i="2" a="1"/>
  <c r="W43" i="2" s="1"/>
  <c r="AH43" i="2" a="1"/>
  <c r="AH43" i="2" s="1"/>
  <c r="AG43" i="2" a="1"/>
  <c r="AG43" i="2" s="1"/>
  <c r="AF43" i="2" a="1"/>
  <c r="AF43" i="2" s="1"/>
  <c r="AJ41" i="2" a="1"/>
  <c r="AJ41" i="2" s="1"/>
  <c r="X43" i="2" a="1"/>
  <c r="X43" i="2" s="1"/>
  <c r="AH42" i="2" a="1"/>
  <c r="AH42" i="2" s="1"/>
  <c r="AF39" i="2" a="1"/>
  <c r="AF39" i="2" s="1"/>
  <c r="AB43" i="2" a="1"/>
  <c r="AB43" i="2" s="1"/>
  <c r="AA43" i="2" a="1"/>
  <c r="AA43" i="2" s="1"/>
  <c r="Y43" i="2" a="1"/>
  <c r="Y43" i="2" s="1"/>
  <c r="AD41" i="2" a="1"/>
  <c r="AD41" i="2" s="1"/>
  <c r="Y42" i="2" a="1"/>
  <c r="Y42" i="2" s="1"/>
  <c r="AI41" i="2" a="1"/>
  <c r="AI41" i="2" s="1"/>
  <c r="W40" i="2" a="1"/>
  <c r="W40" i="2" s="1"/>
  <c r="AC40" i="2" a="1"/>
  <c r="AC40" i="2" s="1"/>
  <c r="AF41" i="2" a="1"/>
  <c r="AF41" i="2" s="1"/>
  <c r="AB40" i="2" a="1"/>
  <c r="AB40" i="2" s="1"/>
  <c r="AE41" i="2" a="1"/>
  <c r="AE41" i="2" s="1"/>
  <c r="Y41" i="2" a="1"/>
  <c r="Y41" i="2" s="1"/>
  <c r="Z40" i="2" a="1"/>
  <c r="Z40" i="2" s="1"/>
  <c r="AJ42" i="2" a="1"/>
  <c r="AJ42" i="2" s="1"/>
  <c r="AD42" i="2" a="1"/>
  <c r="AD42" i="2" s="1"/>
  <c r="AJ40" i="2" a="1"/>
  <c r="AJ40" i="2" s="1"/>
  <c r="AI42" i="2" a="1"/>
  <c r="AI42" i="2" s="1"/>
  <c r="AC41" i="2" a="1"/>
  <c r="AC41" i="2" s="1"/>
  <c r="AA42" i="2" a="1"/>
  <c r="AA42" i="2" s="1"/>
  <c r="AE43" i="2" a="1"/>
  <c r="AE43" i="2" s="1"/>
  <c r="AD43" i="2" a="1"/>
  <c r="AD43" i="2" s="1"/>
  <c r="Z43" i="2" a="1"/>
  <c r="Z43" i="2" s="1"/>
  <c r="AE42" i="2" a="1"/>
  <c r="AE42" i="2" s="1"/>
  <c r="X42" i="2" a="1"/>
  <c r="X42" i="2" s="1"/>
  <c r="X40" i="2" a="1"/>
  <c r="X40" i="2" s="1"/>
  <c r="AE39" i="2" a="1"/>
  <c r="AE39" i="2" s="1"/>
  <c r="AG39" i="2" a="1"/>
  <c r="AG39" i="2" s="1"/>
  <c r="AF42" i="2" a="1"/>
  <c r="AF42" i="2" s="1"/>
  <c r="AA41" i="2" a="1"/>
  <c r="AA41" i="2" s="1"/>
  <c r="AF40" i="2" a="1"/>
  <c r="AF40" i="2" s="1"/>
  <c r="AB42" i="2" a="1"/>
  <c r="AB42" i="2" s="1"/>
  <c r="AH41" i="2" a="1"/>
  <c r="AH41" i="2" s="1"/>
  <c r="AD40" i="2" a="1"/>
  <c r="AD40" i="2" s="1"/>
  <c r="Z41" i="2" a="1"/>
  <c r="Z41" i="2" s="1"/>
  <c r="Y40" i="2" a="1"/>
  <c r="Y40" i="2" s="1"/>
  <c r="AI40" i="2" a="1"/>
  <c r="AI40" i="2" s="1"/>
  <c r="W42" i="2" a="1"/>
  <c r="W42" i="2" s="1"/>
  <c r="AC42" i="2" a="1"/>
  <c r="AC42" i="2" s="1"/>
  <c r="AA40" i="2" a="1"/>
  <c r="AA40" i="2" s="1"/>
  <c r="W41" i="2" a="1"/>
  <c r="W41" i="2" s="1"/>
  <c r="AJ39" i="2" a="1"/>
  <c r="AJ39" i="2" s="1"/>
  <c r="AH40" i="2" a="1"/>
  <c r="AH40" i="2" s="1"/>
  <c r="AG40" i="2" a="1"/>
  <c r="AG40" i="2" s="1"/>
  <c r="AG42" i="2" a="1"/>
  <c r="AG42" i="2" s="1"/>
  <c r="AG41" i="2" a="1"/>
  <c r="AG41" i="2" s="1"/>
  <c r="AB41" i="2" a="1"/>
  <c r="AB41" i="2" s="1"/>
  <c r="X41" i="2" a="1"/>
  <c r="X41" i="2" s="1"/>
  <c r="AI39" i="2" a="1"/>
  <c r="AI39" i="2" s="1"/>
  <c r="AJ48" i="2" a="1"/>
  <c r="AJ48" i="2" s="1"/>
  <c r="AI43" i="2" a="1"/>
  <c r="AI43" i="2" s="1"/>
  <c r="AC43" i="2" a="1"/>
  <c r="AC43" i="2" s="1"/>
  <c r="AH39" i="2" a="1"/>
  <c r="AH39" i="2" s="1"/>
  <c r="AB35" i="2" a="1"/>
  <c r="AB35" i="2" s="1"/>
  <c r="AJ36" i="2" a="1"/>
  <c r="AJ36" i="2" s="1"/>
  <c r="AC38" i="2" a="1"/>
  <c r="AC38" i="2" s="1"/>
  <c r="AD36" i="2" a="1"/>
  <c r="AD36" i="2" s="1"/>
  <c r="AD37" i="2" a="1"/>
  <c r="AD37" i="2" s="1"/>
  <c r="AC36" i="2" a="1"/>
  <c r="AC36" i="2" s="1"/>
  <c r="X35" i="2" a="1"/>
  <c r="X35" i="2" s="1"/>
  <c r="X38" i="2" a="1"/>
  <c r="X38" i="2" s="1"/>
  <c r="AG35" i="2" a="1"/>
  <c r="AG35" i="2" s="1"/>
  <c r="AE37" i="2" a="1"/>
  <c r="AE37" i="2" s="1"/>
  <c r="Z37" i="2" a="1"/>
  <c r="Z37" i="2" s="1"/>
  <c r="AB39" i="2" a="1"/>
  <c r="AB39" i="2" s="1"/>
  <c r="AE38" i="2" a="1"/>
  <c r="AE38" i="2" s="1"/>
  <c r="AB36" i="2" a="1"/>
  <c r="AB36" i="2" s="1"/>
  <c r="AH38" i="2" a="1"/>
  <c r="AH38" i="2" s="1"/>
  <c r="AE35" i="2" a="1"/>
  <c r="AE35" i="2" s="1"/>
  <c r="AH37" i="2" a="1"/>
  <c r="AH37" i="2" s="1"/>
  <c r="AF38" i="2" a="1"/>
  <c r="AF38" i="2" s="1"/>
  <c r="X37" i="2" a="1"/>
  <c r="X37" i="2" s="1"/>
  <c r="AC37" i="2" a="1"/>
  <c r="AC37" i="2" s="1"/>
  <c r="AD35" i="2" a="1"/>
  <c r="AD35" i="2" s="1"/>
  <c r="AA39" i="2" a="1"/>
  <c r="AA39" i="2" s="1"/>
  <c r="AA35" i="2" a="1"/>
  <c r="AA35" i="2" s="1"/>
  <c r="Y39" i="2" a="1"/>
  <c r="Y39" i="2" s="1"/>
  <c r="AH35" i="2" a="1"/>
  <c r="AH35" i="2" s="1"/>
  <c r="AI35" i="2" a="1"/>
  <c r="AI35" i="2" s="1"/>
  <c r="W37" i="2" a="1"/>
  <c r="W37" i="2" s="1"/>
  <c r="AJ38" i="2" a="1"/>
  <c r="AJ38" i="2" s="1"/>
  <c r="AI37" i="2" a="1"/>
  <c r="AI37" i="2" s="1"/>
  <c r="AI38" i="2" a="1"/>
  <c r="AI38" i="2" s="1"/>
  <c r="AD38" i="2" a="1"/>
  <c r="AD38" i="2" s="1"/>
  <c r="AB38" i="2" a="1"/>
  <c r="AB38" i="2" s="1"/>
  <c r="Y38" i="2" a="1"/>
  <c r="Y38" i="2" s="1"/>
  <c r="AJ37" i="2" a="1"/>
  <c r="AJ37" i="2" s="1"/>
  <c r="AG37" i="2" a="1"/>
  <c r="AG37" i="2" s="1"/>
  <c r="AB37" i="2" a="1"/>
  <c r="AB37" i="2" s="1"/>
  <c r="Z35" i="2" a="1"/>
  <c r="Z35" i="2" s="1"/>
  <c r="AF37" i="2" a="1"/>
  <c r="AF37" i="2" s="1"/>
  <c r="AA36" i="2" a="1"/>
  <c r="AA36" i="2" s="1"/>
  <c r="AA37" i="2" a="1"/>
  <c r="AA37" i="2" s="1"/>
  <c r="Y37" i="2" a="1"/>
  <c r="Y37" i="2" s="1"/>
  <c r="AI36" i="2" a="1"/>
  <c r="AI36" i="2" s="1"/>
  <c r="AH36" i="2" a="1"/>
  <c r="AH36" i="2" s="1"/>
  <c r="AJ35" i="2" a="1"/>
  <c r="AJ35" i="2" s="1"/>
  <c r="AG36" i="2" a="1"/>
  <c r="AG36" i="2" s="1"/>
  <c r="X36" i="2" a="1"/>
  <c r="X36" i="2" s="1"/>
  <c r="AE36" i="2" a="1"/>
  <c r="AE36" i="2" s="1"/>
  <c r="AF35" i="2" a="1"/>
  <c r="AF35" i="2" s="1"/>
  <c r="W36" i="2" a="1"/>
  <c r="W36" i="2" s="1"/>
  <c r="AE48" i="2" a="1"/>
  <c r="AE48" i="2" s="1"/>
  <c r="AD39" i="2" a="1"/>
  <c r="AD39" i="2" s="1"/>
  <c r="Z36" i="2" a="1"/>
  <c r="Z36" i="2" s="1"/>
  <c r="Y36" i="2" a="1"/>
  <c r="Y36" i="2" s="1"/>
  <c r="AC39" i="2" a="1"/>
  <c r="AC39" i="2" s="1"/>
  <c r="Z39" i="2" a="1"/>
  <c r="Z39" i="2" s="1"/>
  <c r="X39" i="2" a="1"/>
  <c r="X39" i="2" s="1"/>
  <c r="W38" i="2" a="1"/>
  <c r="W38" i="2" s="1"/>
  <c r="W39" i="2" a="1"/>
  <c r="W39" i="2" s="1"/>
  <c r="AC35" i="2" a="1"/>
  <c r="AC35" i="2" s="1"/>
  <c r="AG38" i="2" a="1"/>
  <c r="AG38" i="2" s="1"/>
  <c r="Y35" i="2" a="1"/>
  <c r="Y35" i="2" s="1"/>
  <c r="Z38" i="2" a="1"/>
  <c r="Z38" i="2" s="1"/>
  <c r="AF36" i="2" a="1"/>
  <c r="AF36" i="2" s="1"/>
  <c r="AA38" i="2" a="1"/>
  <c r="AA38" i="2" s="1"/>
  <c r="W34" i="2" a="1"/>
  <c r="W34" i="2" s="1"/>
  <c r="AJ33" i="2" a="1"/>
  <c r="AJ33" i="2" s="1"/>
  <c r="AH33" i="2" a="1"/>
  <c r="AH33" i="2" s="1"/>
  <c r="AD33" i="2" a="1"/>
  <c r="AD33" i="2" s="1"/>
  <c r="AC33" i="2" a="1"/>
  <c r="AC33" i="2" s="1"/>
  <c r="W33" i="2" a="1"/>
  <c r="W33" i="2" s="1"/>
  <c r="AJ30" i="2" a="1"/>
  <c r="AJ30" i="2" s="1"/>
  <c r="AI32" i="2" a="1"/>
  <c r="AI32" i="2" s="1"/>
  <c r="AG32" i="2" a="1"/>
  <c r="AG32" i="2" s="1"/>
  <c r="AB33" i="2" a="1"/>
  <c r="AB33" i="2" s="1"/>
  <c r="AE31" i="2" a="1"/>
  <c r="AE31" i="2" s="1"/>
  <c r="AA31" i="2" a="1"/>
  <c r="AA31" i="2" s="1"/>
  <c r="AI30" i="2" a="1"/>
  <c r="AI30" i="2" s="1"/>
  <c r="Y33" i="2" a="1"/>
  <c r="Y33" i="2" s="1"/>
  <c r="X33" i="2" a="1"/>
  <c r="X33" i="2" s="1"/>
  <c r="AH31" i="2" a="1"/>
  <c r="AH31" i="2" s="1"/>
  <c r="AD32" i="2" a="1"/>
  <c r="AD32" i="2" s="1"/>
  <c r="AF31" i="2" a="1"/>
  <c r="AF31" i="2" s="1"/>
  <c r="AB31" i="2" a="1"/>
  <c r="AB31" i="2" s="1"/>
  <c r="AF32" i="2" a="1"/>
  <c r="AF32" i="2" s="1"/>
  <c r="AE32" i="2" a="1"/>
  <c r="AE32" i="2" s="1"/>
  <c r="Z32" i="2" a="1"/>
  <c r="Z32" i="2" s="1"/>
  <c r="X31" i="2" a="1"/>
  <c r="X31" i="2" s="1"/>
  <c r="W32" i="2" a="1"/>
  <c r="W32" i="2" s="1"/>
  <c r="Z31" i="2" a="1"/>
  <c r="Z31" i="2" s="1"/>
  <c r="AB32" i="2" a="1"/>
  <c r="AB32" i="2" s="1"/>
  <c r="AA32" i="2" a="1"/>
  <c r="AA32" i="2" s="1"/>
  <c r="AD31" i="2" a="1"/>
  <c r="AD31" i="2" s="1"/>
  <c r="AH48" i="2" a="1"/>
  <c r="AH48" i="2" s="1"/>
  <c r="W35" i="2" a="1"/>
  <c r="W35" i="2" s="1"/>
  <c r="Z34" i="2" a="1"/>
  <c r="Z34" i="2" s="1"/>
  <c r="AI33" i="2" a="1"/>
  <c r="AI33" i="2" s="1"/>
  <c r="AJ31" i="2" a="1"/>
  <c r="AJ31" i="2" s="1"/>
  <c r="AF33" i="2" a="1"/>
  <c r="AF33" i="2" s="1"/>
  <c r="AE33" i="2" a="1"/>
  <c r="AE33" i="2" s="1"/>
  <c r="AI31" i="2" a="1"/>
  <c r="AI31" i="2" s="1"/>
  <c r="AH30" i="2" a="1"/>
  <c r="AH30" i="2" s="1"/>
  <c r="AA33" i="2" a="1"/>
  <c r="AA33" i="2" s="1"/>
  <c r="Y31" i="2" a="1"/>
  <c r="Y31" i="2" s="1"/>
  <c r="AJ34" i="2" a="1"/>
  <c r="AJ34" i="2" s="1"/>
  <c r="AC34" i="2" a="1"/>
  <c r="AC34" i="2" s="1"/>
  <c r="AI34" i="2" a="1"/>
  <c r="AI34" i="2" s="1"/>
  <c r="AH34" i="2" a="1"/>
  <c r="AH34" i="2" s="1"/>
  <c r="Z33" i="2" a="1"/>
  <c r="Z33" i="2" s="1"/>
  <c r="AC32" i="2" a="1"/>
  <c r="AC32" i="2" s="1"/>
  <c r="AG34" i="2" a="1"/>
  <c r="AG34" i="2" s="1"/>
  <c r="AF34" i="2" a="1"/>
  <c r="AF34" i="2" s="1"/>
  <c r="AE34" i="2" a="1"/>
  <c r="AE34" i="2" s="1"/>
  <c r="X32" i="2" a="1"/>
  <c r="X32" i="2" s="1"/>
  <c r="AG30" i="2" a="1"/>
  <c r="AG30" i="2" s="1"/>
  <c r="AC31" i="2" a="1"/>
  <c r="AC31" i="2" s="1"/>
  <c r="AD34" i="2" a="1"/>
  <c r="AD34" i="2" s="1"/>
  <c r="AB34" i="2" a="1"/>
  <c r="AB34" i="2" s="1"/>
  <c r="AJ32" i="2" a="1"/>
  <c r="AJ32" i="2" s="1"/>
  <c r="AA34" i="2" a="1"/>
  <c r="AA34" i="2" s="1"/>
  <c r="W31" i="2" a="1"/>
  <c r="W31" i="2" s="1"/>
  <c r="Y32" i="2" a="1"/>
  <c r="Y32" i="2" s="1"/>
  <c r="AG31" i="2" a="1"/>
  <c r="AG31" i="2" s="1"/>
  <c r="AG33" i="2" a="1"/>
  <c r="AG33" i="2" s="1"/>
  <c r="Y34" i="2" a="1"/>
  <c r="Y34" i="2" s="1"/>
  <c r="AH32" i="2" a="1"/>
  <c r="AH32" i="2" s="1"/>
  <c r="X34" i="2" a="1"/>
  <c r="X34" i="2" s="1"/>
  <c r="AB28" i="2" a="1"/>
  <c r="AB28" i="2" s="1"/>
  <c r="AB29" i="2" a="1"/>
  <c r="AB29" i="2" s="1"/>
  <c r="AA27" i="2" a="1"/>
  <c r="AA27" i="2" s="1"/>
  <c r="AA30" i="2" a="1"/>
  <c r="AA30" i="2" s="1"/>
  <c r="AI26" i="2" a="1"/>
  <c r="AI26" i="2" s="1"/>
  <c r="X30" i="2" a="1"/>
  <c r="X30" i="2" s="1"/>
  <c r="Z27" i="2" a="1"/>
  <c r="Z27" i="2" s="1"/>
  <c r="AB27" i="2" a="1"/>
  <c r="AB27" i="2" s="1"/>
  <c r="W30" i="2" a="1"/>
  <c r="W30" i="2" s="1"/>
  <c r="Y27" i="2" a="1"/>
  <c r="Y27" i="2" s="1"/>
  <c r="AD28" i="2" a="1"/>
  <c r="AD28" i="2" s="1"/>
  <c r="X28" i="2" a="1"/>
  <c r="X28" i="2" s="1"/>
  <c r="AF27" i="2" a="1"/>
  <c r="AF27" i="2" s="1"/>
  <c r="W27" i="2" a="1"/>
  <c r="W27" i="2" s="1"/>
  <c r="AI29" i="2" a="1"/>
  <c r="AI29" i="2" s="1"/>
  <c r="AJ28" i="2" a="1"/>
  <c r="AJ28" i="2" s="1"/>
  <c r="AJ27" i="2" a="1"/>
  <c r="AJ27" i="2" s="1"/>
  <c r="Y29" i="2" a="1"/>
  <c r="Y29" i="2" s="1"/>
  <c r="AA28" i="2" a="1"/>
  <c r="AA28" i="2" s="1"/>
  <c r="Z28" i="2" a="1"/>
  <c r="Z28" i="2" s="1"/>
  <c r="AH28" i="2" a="1"/>
  <c r="AH28" i="2" s="1"/>
  <c r="AH27" i="2" a="1"/>
  <c r="AH27" i="2" s="1"/>
  <c r="AE29" i="2" a="1"/>
  <c r="AE29" i="2" s="1"/>
  <c r="AG27" i="2" a="1"/>
  <c r="AG27" i="2" s="1"/>
  <c r="AD48" i="2" a="1"/>
  <c r="AD48" i="2" s="1"/>
  <c r="AF30" i="2" a="1"/>
  <c r="AF30" i="2" s="1"/>
  <c r="AG28" i="2" a="1"/>
  <c r="AG28" i="2" s="1"/>
  <c r="AE27" i="2" a="1"/>
  <c r="AE27" i="2" s="1"/>
  <c r="AE26" i="2" a="1"/>
  <c r="AE26" i="2" s="1"/>
  <c r="AF26" i="2" a="1"/>
  <c r="AF26" i="2" s="1"/>
  <c r="AD30" i="2" a="1"/>
  <c r="AD30" i="2" s="1"/>
  <c r="AJ29" i="2" a="1"/>
  <c r="AJ29" i="2" s="1"/>
  <c r="AG29" i="2" a="1"/>
  <c r="AG29" i="2" s="1"/>
  <c r="X27" i="2" a="1"/>
  <c r="X27" i="2" s="1"/>
  <c r="AD29" i="2" a="1"/>
  <c r="AD29" i="2" s="1"/>
  <c r="Y28" i="2" a="1"/>
  <c r="Y28" i="2" s="1"/>
  <c r="AI27" i="2" a="1"/>
  <c r="AI27" i="2" s="1"/>
  <c r="W28" i="2" a="1"/>
  <c r="W28" i="2" s="1"/>
  <c r="AC28" i="2" a="1"/>
  <c r="AC28" i="2" s="1"/>
  <c r="AC27" i="2" a="1"/>
  <c r="AC27" i="2" s="1"/>
  <c r="AI28" i="2" a="1"/>
  <c r="AI28" i="2" s="1"/>
  <c r="AC26" i="2" a="1"/>
  <c r="AC26" i="2" s="1"/>
  <c r="AF28" i="2" a="1"/>
  <c r="AF28" i="2" s="1"/>
  <c r="X29" i="2" a="1"/>
  <c r="X29" i="2" s="1"/>
  <c r="AE30" i="2" a="1"/>
  <c r="AE30" i="2" s="1"/>
  <c r="AC30" i="2" a="1"/>
  <c r="AC30" i="2" s="1"/>
  <c r="AJ26" i="2" a="1"/>
  <c r="AJ26" i="2" s="1"/>
  <c r="AB30" i="2" a="1"/>
  <c r="AB30" i="2" s="1"/>
  <c r="AH26" i="2" a="1"/>
  <c r="AH26" i="2" s="1"/>
  <c r="Z29" i="2" a="1"/>
  <c r="Z29" i="2" s="1"/>
  <c r="Z30" i="2" a="1"/>
  <c r="Z30" i="2" s="1"/>
  <c r="AH29" i="2" a="1"/>
  <c r="AH29" i="2" s="1"/>
  <c r="W29" i="2" a="1"/>
  <c r="W29" i="2" s="1"/>
  <c r="AD26" i="2" a="1"/>
  <c r="AD26" i="2" s="1"/>
  <c r="Y30" i="2" a="1"/>
  <c r="Y30" i="2" s="1"/>
  <c r="AC29" i="2" a="1"/>
  <c r="AC29" i="2" s="1"/>
  <c r="AA29" i="2" a="1"/>
  <c r="AA29" i="2" s="1"/>
  <c r="AD27" i="2" a="1"/>
  <c r="AD27" i="2" s="1"/>
  <c r="AE28" i="2" a="1"/>
  <c r="AE28" i="2" s="1"/>
  <c r="AF29" i="2" a="1"/>
  <c r="AF29" i="2" s="1"/>
  <c r="AB26" i="2" a="1"/>
  <c r="AB26" i="2" s="1"/>
  <c r="AG26" i="2" a="1"/>
  <c r="AG26" i="2" s="1"/>
  <c r="AB25" i="2" a="1"/>
  <c r="AB25" i="2" s="1"/>
  <c r="AD24" i="2" a="1"/>
  <c r="AD24" i="2" s="1"/>
  <c r="AA1240" i="2" a="1"/>
  <c r="AA1240" i="2" s="1"/>
  <c r="Z1240" i="2" a="1"/>
  <c r="Z1240" i="2" s="1"/>
  <c r="AI1239" i="2" a="1"/>
  <c r="AI1239" i="2" s="1"/>
  <c r="AG1239" i="2" a="1"/>
  <c r="AG1239" i="2" s="1"/>
  <c r="AA26" i="2" a="1"/>
  <c r="AA26" i="2" s="1"/>
  <c r="Z26" i="2" a="1"/>
  <c r="Z26" i="2" s="1"/>
  <c r="Y25" i="2" a="1"/>
  <c r="Y25" i="2" s="1"/>
  <c r="AC1239" i="2" a="1"/>
  <c r="AC1239" i="2" s="1"/>
  <c r="AI25" i="2" a="1"/>
  <c r="AI25" i="2" s="1"/>
  <c r="Y26" i="2" a="1"/>
  <c r="Y26" i="2" s="1"/>
  <c r="X26" i="2" a="1"/>
  <c r="X26" i="2" s="1"/>
  <c r="X25" i="2" a="1"/>
  <c r="X25" i="2" s="1"/>
  <c r="X1240" i="2" a="1"/>
  <c r="X1240" i="2" s="1"/>
  <c r="AD1239" i="2" a="1"/>
  <c r="AD1239" i="2" s="1"/>
  <c r="W26" i="2" a="1"/>
  <c r="W26" i="2" s="1"/>
  <c r="AJ25" i="2" a="1"/>
  <c r="AJ25" i="2" s="1"/>
  <c r="AG25" i="2" a="1"/>
  <c r="AG25" i="2" s="1"/>
  <c r="AF25" i="2" a="1"/>
  <c r="AF25" i="2" s="1"/>
  <c r="AE25" i="2" a="1"/>
  <c r="AE25" i="2" s="1"/>
  <c r="Z25" i="2" a="1"/>
  <c r="Z25" i="2" s="1"/>
  <c r="W25" i="2" a="1"/>
  <c r="W25" i="2" s="1"/>
  <c r="AJ24" i="2" a="1"/>
  <c r="AJ24" i="2" s="1"/>
  <c r="AG24" i="2" a="1"/>
  <c r="AG24" i="2" s="1"/>
  <c r="AH24" i="2" a="1"/>
  <c r="AH24" i="2" s="1"/>
  <c r="AB24" i="2" a="1"/>
  <c r="AB24" i="2" s="1"/>
  <c r="AA1239" i="2" a="1"/>
  <c r="AA1239" i="2" s="1"/>
  <c r="AI1268" i="2" a="1"/>
  <c r="AI1268" i="2" s="1"/>
  <c r="AC1241" i="2" a="1"/>
  <c r="AC1241" i="2" s="1"/>
  <c r="AA1241" i="2" a="1"/>
  <c r="AA1241" i="2" s="1"/>
  <c r="Z1241" i="2" a="1"/>
  <c r="Z1241" i="2" s="1"/>
  <c r="AJ1240" i="2" a="1"/>
  <c r="AJ1240" i="2" s="1"/>
  <c r="AC1240" i="2" a="1"/>
  <c r="AC1240" i="2" s="1"/>
  <c r="W1240" i="2" a="1"/>
  <c r="W1240" i="2" s="1"/>
  <c r="AF1239" i="2" a="1"/>
  <c r="AF1239" i="2" s="1"/>
  <c r="AJ1239" i="2" a="1"/>
  <c r="AJ1239" i="2" s="1"/>
  <c r="AI24" i="2" a="1"/>
  <c r="AI24" i="2" s="1"/>
  <c r="Z1239" i="2" a="1"/>
  <c r="Z1239" i="2" s="1"/>
  <c r="AF24" i="2" a="1"/>
  <c r="AF24" i="2" s="1"/>
  <c r="AE24" i="2" a="1"/>
  <c r="AE24" i="2" s="1"/>
  <c r="AA24" i="2" a="1"/>
  <c r="AA24" i="2" s="1"/>
  <c r="AG1240" i="2" a="1"/>
  <c r="AG1240" i="2" s="1"/>
  <c r="AD1240" i="2" a="1"/>
  <c r="AD1240" i="2" s="1"/>
  <c r="AB1240" i="2" a="1"/>
  <c r="AB1240" i="2" s="1"/>
  <c r="Y1240" i="2" a="1"/>
  <c r="Y1240" i="2" s="1"/>
  <c r="AB1239" i="2" a="1"/>
  <c r="AB1239" i="2" s="1"/>
  <c r="AH1239" i="2" a="1"/>
  <c r="AH1239" i="2" s="1"/>
  <c r="AE1239" i="2" a="1"/>
  <c r="AE1239" i="2" s="1"/>
  <c r="AB1241" i="2" a="1"/>
  <c r="AB1241" i="2" s="1"/>
  <c r="AH114" i="2" a="1"/>
  <c r="AH114" i="2" s="1"/>
  <c r="AH25" i="2" a="1"/>
  <c r="AH25" i="2" s="1"/>
  <c r="AD25" i="2" a="1"/>
  <c r="AD25" i="2" s="1"/>
  <c r="AC24" i="2" a="1"/>
  <c r="AC24" i="2" s="1"/>
  <c r="Y1241" i="2" a="1"/>
  <c r="Y1241" i="2" s="1"/>
  <c r="X1241" i="2" a="1"/>
  <c r="X1241" i="2" s="1"/>
  <c r="W1241" i="2" a="1"/>
  <c r="W1241" i="2" s="1"/>
  <c r="AI1240" i="2" a="1"/>
  <c r="AI1240" i="2" s="1"/>
  <c r="AH1240" i="2" a="1"/>
  <c r="AH1240" i="2" s="1"/>
  <c r="AC25" i="2" a="1"/>
  <c r="AC25" i="2" s="1"/>
  <c r="AA25" i="2" a="1"/>
  <c r="AA25" i="2" s="1"/>
  <c r="AF1240" i="2" a="1"/>
  <c r="AF1240" i="2" s="1"/>
  <c r="AE1240" i="2" a="1"/>
  <c r="AE1240" i="2" s="1"/>
  <c r="AC1236" i="2" a="1"/>
  <c r="AC1236" i="2" s="1"/>
  <c r="AE1238" i="2" a="1"/>
  <c r="AE1238" i="2" s="1"/>
  <c r="AJ1235" i="2" a="1"/>
  <c r="AJ1235" i="2" s="1"/>
  <c r="AD1238" i="2" a="1"/>
  <c r="AD1238" i="2" s="1"/>
  <c r="AJ1237" i="2" a="1"/>
  <c r="AJ1237" i="2" s="1"/>
  <c r="AB1238" i="2" a="1"/>
  <c r="AB1238" i="2" s="1"/>
  <c r="AA1238" i="2" a="1"/>
  <c r="AA1238" i="2" s="1"/>
  <c r="Y1238" i="2" a="1"/>
  <c r="Y1238" i="2" s="1"/>
  <c r="AH1236" i="2" a="1"/>
  <c r="AH1236" i="2" s="1"/>
  <c r="Y1235" i="2" a="1"/>
  <c r="Y1235" i="2" s="1"/>
  <c r="AJ1234" i="2" a="1"/>
  <c r="AJ1234" i="2" s="1"/>
  <c r="X1238" i="2" a="1"/>
  <c r="X1238" i="2" s="1"/>
  <c r="AD1236" i="2" a="1"/>
  <c r="AD1236" i="2" s="1"/>
  <c r="Y1236" i="2" a="1"/>
  <c r="Y1236" i="2" s="1"/>
  <c r="AH1235" i="2" a="1"/>
  <c r="AH1235" i="2" s="1"/>
  <c r="AE1235" i="2" a="1"/>
  <c r="AE1235" i="2" s="1"/>
  <c r="AG1237" i="2" a="1"/>
  <c r="AG1237" i="2" s="1"/>
  <c r="AD1237" i="2" a="1"/>
  <c r="AD1237" i="2" s="1"/>
  <c r="AB1237" i="2" a="1"/>
  <c r="AB1237" i="2" s="1"/>
  <c r="Y1237" i="2" a="1"/>
  <c r="Y1237" i="2" s="1"/>
  <c r="AE1236" i="2" a="1"/>
  <c r="AE1236" i="2" s="1"/>
  <c r="AG1234" i="2" a="1"/>
  <c r="AG1234" i="2" s="1"/>
  <c r="AI1234" i="2" a="1"/>
  <c r="AI1234" i="2" s="1"/>
  <c r="AI1236" i="2" a="1"/>
  <c r="AI1236" i="2" s="1"/>
  <c r="AG1236" i="2" a="1"/>
  <c r="AG1236" i="2" s="1"/>
  <c r="AF1236" i="2" a="1"/>
  <c r="AF1236" i="2" s="1"/>
  <c r="AI1235" i="2" a="1"/>
  <c r="AI1235" i="2" s="1"/>
  <c r="AB1236" i="2" a="1"/>
  <c r="AB1236" i="2" s="1"/>
  <c r="Z1236" i="2" a="1"/>
  <c r="Z1236" i="2" s="1"/>
  <c r="X1235" i="2" a="1"/>
  <c r="X1235" i="2" s="1"/>
  <c r="AD1235" i="2" a="1"/>
  <c r="AD1235" i="2" s="1"/>
  <c r="Z1235" i="2" a="1"/>
  <c r="Z1235" i="2" s="1"/>
  <c r="W1238" i="2" a="1"/>
  <c r="W1238" i="2" s="1"/>
  <c r="AH1234" i="2" a="1"/>
  <c r="AH1234" i="2" s="1"/>
  <c r="AJ1236" i="2" a="1"/>
  <c r="AJ1236" i="2" s="1"/>
  <c r="AA1235" i="2" a="1"/>
  <c r="AA1235" i="2" s="1"/>
  <c r="Z1269" i="2" a="1"/>
  <c r="Z1269" i="2" s="1"/>
  <c r="Y1239" i="2" a="1"/>
  <c r="Y1239" i="2" s="1"/>
  <c r="AG1238" i="2" a="1"/>
  <c r="AG1238" i="2" s="1"/>
  <c r="AF1238" i="2" a="1"/>
  <c r="AF1238" i="2" s="1"/>
  <c r="AH1237" i="2" a="1"/>
  <c r="AH1237" i="2" s="1"/>
  <c r="AE1237" i="2" a="1"/>
  <c r="AE1237" i="2" s="1"/>
  <c r="Z1237" i="2" a="1"/>
  <c r="Z1237" i="2" s="1"/>
  <c r="W1235" i="2" a="1"/>
  <c r="W1235" i="2" s="1"/>
  <c r="AF1235" i="2" a="1"/>
  <c r="AF1235" i="2" s="1"/>
  <c r="AI1238" i="2" a="1"/>
  <c r="AI1238" i="2" s="1"/>
  <c r="X1239" i="2" a="1"/>
  <c r="X1239" i="2" s="1"/>
  <c r="AC1238" i="2" a="1"/>
  <c r="AC1238" i="2" s="1"/>
  <c r="AC1235" i="2" a="1"/>
  <c r="AC1235" i="2" s="1"/>
  <c r="AI1237" i="2" a="1"/>
  <c r="AI1237" i="2" s="1"/>
  <c r="W1237" i="2" a="1"/>
  <c r="W1237" i="2" s="1"/>
  <c r="W1236" i="2" a="1"/>
  <c r="W1236" i="2" s="1"/>
  <c r="AB1235" i="2" a="1"/>
  <c r="AB1235" i="2" s="1"/>
  <c r="AF1237" i="2" a="1"/>
  <c r="AF1237" i="2" s="1"/>
  <c r="AA1237" i="2" a="1"/>
  <c r="AA1237" i="2" s="1"/>
  <c r="AJ1238" i="2" a="1"/>
  <c r="AJ1238" i="2" s="1"/>
  <c r="X1237" i="2" a="1"/>
  <c r="X1237" i="2" s="1"/>
  <c r="AC1237" i="2" a="1"/>
  <c r="AC1237" i="2" s="1"/>
  <c r="Z1238" i="2" a="1"/>
  <c r="Z1238" i="2" s="1"/>
  <c r="X1236" i="2" a="1"/>
  <c r="X1236" i="2" s="1"/>
  <c r="AG1235" i="2" a="1"/>
  <c r="AG1235" i="2" s="1"/>
  <c r="W1239" i="2" a="1"/>
  <c r="W1239" i="2" s="1"/>
  <c r="AH1238" i="2" a="1"/>
  <c r="AH1238" i="2" s="1"/>
  <c r="AA1236" i="2" a="1"/>
  <c r="AA1236" i="2" s="1"/>
  <c r="AE1232" i="2" a="1"/>
  <c r="AE1232" i="2" s="1"/>
  <c r="AD1234" i="2" a="1"/>
  <c r="AD1234" i="2" s="1"/>
  <c r="Y1234" i="2" a="1"/>
  <c r="Y1234" i="2" s="1"/>
  <c r="W1234" i="2" a="1"/>
  <c r="W1234" i="2" s="1"/>
  <c r="AE1233" i="2" a="1"/>
  <c r="AE1233" i="2" s="1"/>
  <c r="AI1231" i="2" a="1"/>
  <c r="AI1231" i="2" s="1"/>
  <c r="AC1233" i="2" a="1"/>
  <c r="AC1233" i="2" s="1"/>
  <c r="AI1230" i="2" a="1"/>
  <c r="AI1230" i="2" s="1"/>
  <c r="AC1231" i="2" a="1"/>
  <c r="AC1231" i="2" s="1"/>
  <c r="Z1233" i="2" a="1"/>
  <c r="Z1233" i="2" s="1"/>
  <c r="AC1230" i="2" a="1"/>
  <c r="AC1230" i="2" s="1"/>
  <c r="AB1233" i="2" a="1"/>
  <c r="AB1233" i="2" s="1"/>
  <c r="AA1231" i="2" a="1"/>
  <c r="AA1231" i="2" s="1"/>
  <c r="Z1231" i="2" a="1"/>
  <c r="Z1231" i="2" s="1"/>
  <c r="Y1231" i="2" a="1"/>
  <c r="Y1231" i="2" s="1"/>
  <c r="AB1230" i="2" a="1"/>
  <c r="AB1230" i="2" s="1"/>
  <c r="AA1233" i="2" a="1"/>
  <c r="AA1233" i="2" s="1"/>
  <c r="AB1232" i="2" a="1"/>
  <c r="AB1232" i="2" s="1"/>
  <c r="AG1231" i="2" a="1"/>
  <c r="AG1231" i="2" s="1"/>
  <c r="AF1230" i="2" a="1"/>
  <c r="AF1230" i="2" s="1"/>
  <c r="AE1231" i="2" a="1"/>
  <c r="AE1231" i="2" s="1"/>
  <c r="AD1230" i="2" a="1"/>
  <c r="AD1230" i="2" s="1"/>
  <c r="AC1234" i="2" a="1"/>
  <c r="AC1234" i="2" s="1"/>
  <c r="AD1231" i="2" a="1"/>
  <c r="AD1231" i="2" s="1"/>
  <c r="AC1232" i="2" a="1"/>
  <c r="AC1232" i="2" s="1"/>
  <c r="AB1234" i="2" a="1"/>
  <c r="AB1234" i="2" s="1"/>
  <c r="AD1232" i="2" a="1"/>
  <c r="AD1232" i="2" s="1"/>
  <c r="AJ1231" i="2" a="1"/>
  <c r="AJ1231" i="2" s="1"/>
  <c r="AF1231" i="2" a="1"/>
  <c r="AF1231" i="2" s="1"/>
  <c r="AE1230" i="2" a="1"/>
  <c r="AE1230" i="2" s="1"/>
  <c r="AJ1233" i="2" a="1"/>
  <c r="AJ1233" i="2" s="1"/>
  <c r="AI1232" i="2" a="1"/>
  <c r="AI1232" i="2" s="1"/>
  <c r="AA1234" i="2" a="1"/>
  <c r="AA1234" i="2" s="1"/>
  <c r="AG1233" i="2" a="1"/>
  <c r="AG1233" i="2" s="1"/>
  <c r="Y1233" i="2" a="1"/>
  <c r="Y1233" i="2" s="1"/>
  <c r="W1232" i="2" a="1"/>
  <c r="W1232" i="2" s="1"/>
  <c r="AF1233" i="2" a="1"/>
  <c r="AF1233" i="2" s="1"/>
  <c r="W1233" i="2" a="1"/>
  <c r="W1233" i="2" s="1"/>
  <c r="AJ1232" i="2" a="1"/>
  <c r="AJ1232" i="2" s="1"/>
  <c r="Z1232" i="2" a="1"/>
  <c r="Z1232" i="2" s="1"/>
  <c r="AJ1230" i="2" a="1"/>
  <c r="AJ1230" i="2" s="1"/>
  <c r="Z1230" i="2" a="1"/>
  <c r="Z1230" i="2" s="1"/>
  <c r="Z1234" i="2" a="1"/>
  <c r="Z1234" i="2" s="1"/>
  <c r="X1234" i="2" a="1"/>
  <c r="X1234" i="2" s="1"/>
  <c r="AI1233" i="2" a="1"/>
  <c r="AI1233" i="2" s="1"/>
  <c r="X1233" i="2" a="1"/>
  <c r="X1233" i="2" s="1"/>
  <c r="AH1232" i="2" a="1"/>
  <c r="AH1232" i="2" s="1"/>
  <c r="AF1232" i="2" a="1"/>
  <c r="AF1232" i="2" s="1"/>
  <c r="X1231" i="2" a="1"/>
  <c r="X1231" i="2" s="1"/>
  <c r="AH1233" i="2" a="1"/>
  <c r="AH1233" i="2" s="1"/>
  <c r="AD1233" i="2" a="1"/>
  <c r="AD1233" i="2" s="1"/>
  <c r="AG1232" i="2" a="1"/>
  <c r="AG1232" i="2" s="1"/>
  <c r="X1232" i="2" a="1"/>
  <c r="X1232" i="2" s="1"/>
  <c r="AH1230" i="2" a="1"/>
  <c r="AH1230" i="2" s="1"/>
  <c r="Y1232" i="2" a="1"/>
  <c r="Y1232" i="2" s="1"/>
  <c r="W1231" i="2" a="1"/>
  <c r="W1231" i="2" s="1"/>
  <c r="AH1231" i="2" a="1"/>
  <c r="AH1231" i="2" s="1"/>
  <c r="AG1230" i="2" a="1"/>
  <c r="AG1230" i="2" s="1"/>
  <c r="AH1268" i="2" a="1"/>
  <c r="AH1268" i="2" s="1"/>
  <c r="AA1232" i="2" a="1"/>
  <c r="AA1232" i="2" s="1"/>
  <c r="AB1231" i="2" a="1"/>
  <c r="AB1231" i="2" s="1"/>
  <c r="AF1234" i="2" a="1"/>
  <c r="AF1234" i="2" s="1"/>
  <c r="AE1234" i="2" a="1"/>
  <c r="AE1234" i="2" s="1"/>
  <c r="AA1230" i="2" a="1"/>
  <c r="AA1230" i="2" s="1"/>
  <c r="AH1229" i="2" a="1"/>
  <c r="AH1229" i="2" s="1"/>
  <c r="AG1229" i="2" a="1"/>
  <c r="AG1229" i="2" s="1"/>
  <c r="AB1228" i="2" a="1"/>
  <c r="AB1228" i="2" s="1"/>
  <c r="W1226" i="2" a="1"/>
  <c r="W1226" i="2" s="1"/>
  <c r="AC1226" i="2" a="1"/>
  <c r="AC1226" i="2" s="1"/>
  <c r="AF1229" i="2" a="1"/>
  <c r="AF1229" i="2" s="1"/>
  <c r="AE1229" i="2" a="1"/>
  <c r="AE1229" i="2" s="1"/>
  <c r="AD1229" i="2" a="1"/>
  <c r="AD1229" i="2" s="1"/>
  <c r="AJ1227" i="2" a="1"/>
  <c r="AJ1227" i="2" s="1"/>
  <c r="AB1229" i="2" a="1"/>
  <c r="AB1229" i="2" s="1"/>
  <c r="AH1227" i="2" a="1"/>
  <c r="AH1227" i="2" s="1"/>
  <c r="AB1227" i="2" a="1"/>
  <c r="AB1227" i="2" s="1"/>
  <c r="AE1227" i="2" a="1"/>
  <c r="AE1227" i="2" s="1"/>
  <c r="AJ1225" i="2" a="1"/>
  <c r="AJ1225" i="2" s="1"/>
  <c r="AC1227" i="2" a="1"/>
  <c r="AC1227" i="2" s="1"/>
  <c r="Z1227" i="2" a="1"/>
  <c r="Z1227" i="2" s="1"/>
  <c r="Y1229" i="2" a="1"/>
  <c r="Y1229" i="2" s="1"/>
  <c r="X1229" i="2" a="1"/>
  <c r="X1229" i="2" s="1"/>
  <c r="AF1227" i="2" a="1"/>
  <c r="AF1227" i="2" s="1"/>
  <c r="AF1228" i="2" a="1"/>
  <c r="AF1228" i="2" s="1"/>
  <c r="AI1227" i="2" a="1"/>
  <c r="AI1227" i="2" s="1"/>
  <c r="AG1226" i="2" a="1"/>
  <c r="AG1226" i="2" s="1"/>
  <c r="AI1226" i="2" a="1"/>
  <c r="AI1226" i="2" s="1"/>
  <c r="Z1226" i="2" a="1"/>
  <c r="Z1226" i="2" s="1"/>
  <c r="AC1229" i="2" a="1"/>
  <c r="AC1229" i="2" s="1"/>
  <c r="AA1229" i="2" a="1"/>
  <c r="AA1229" i="2" s="1"/>
  <c r="AJ1228" i="2" a="1"/>
  <c r="AJ1228" i="2" s="1"/>
  <c r="AG1228" i="2" a="1"/>
  <c r="AG1228" i="2" s="1"/>
  <c r="AF1226" i="2" a="1"/>
  <c r="AF1226" i="2" s="1"/>
  <c r="W1228" i="2" a="1"/>
  <c r="W1228" i="2" s="1"/>
  <c r="AD1227" i="2" a="1"/>
  <c r="AD1227" i="2" s="1"/>
  <c r="Y1227" i="2" a="1"/>
  <c r="Y1227" i="2" s="1"/>
  <c r="AH1228" i="2" a="1"/>
  <c r="AH1228" i="2" s="1"/>
  <c r="AH1226" i="2" a="1"/>
  <c r="AH1226" i="2" s="1"/>
  <c r="AE1228" i="2" a="1"/>
  <c r="AE1228" i="2" s="1"/>
  <c r="AA1228" i="2" a="1"/>
  <c r="AA1228" i="2" s="1"/>
  <c r="Y1228" i="2" a="1"/>
  <c r="Y1228" i="2" s="1"/>
  <c r="X1228" i="2" a="1"/>
  <c r="X1228" i="2" s="1"/>
  <c r="AA1227" i="2" a="1"/>
  <c r="AA1227" i="2" s="1"/>
  <c r="AE1226" i="2" a="1"/>
  <c r="AE1226" i="2" s="1"/>
  <c r="AJ1226" i="2" a="1"/>
  <c r="AJ1226" i="2" s="1"/>
  <c r="AD1226" i="2" a="1"/>
  <c r="AD1226" i="2" s="1"/>
  <c r="X1226" i="2" a="1"/>
  <c r="X1226" i="2" s="1"/>
  <c r="AA1226" i="2" a="1"/>
  <c r="AA1226" i="2" s="1"/>
  <c r="AG1225" i="2" a="1"/>
  <c r="AG1225" i="2" s="1"/>
  <c r="AC1228" i="2" a="1"/>
  <c r="AC1228" i="2" s="1"/>
  <c r="AD1228" i="2" a="1"/>
  <c r="AD1228" i="2" s="1"/>
  <c r="X1227" i="2" a="1"/>
  <c r="X1227" i="2" s="1"/>
  <c r="AH1225" i="2" a="1"/>
  <c r="AH1225" i="2" s="1"/>
  <c r="Z1229" i="2" a="1"/>
  <c r="Z1229" i="2" s="1"/>
  <c r="Z1228" i="2" a="1"/>
  <c r="Z1228" i="2" s="1"/>
  <c r="AB1226" i="2" a="1"/>
  <c r="AB1226" i="2" s="1"/>
  <c r="AI1228" i="2" a="1"/>
  <c r="AI1228" i="2" s="1"/>
  <c r="Y1226" i="2" a="1"/>
  <c r="Y1226" i="2" s="1"/>
  <c r="AI1225" i="2" a="1"/>
  <c r="AI1225" i="2" s="1"/>
  <c r="W1227" i="2" a="1"/>
  <c r="W1227" i="2" s="1"/>
  <c r="W1229" i="2" a="1"/>
  <c r="W1229" i="2" s="1"/>
  <c r="AG1227" i="2" a="1"/>
  <c r="AG1227" i="2" s="1"/>
  <c r="AD1269" i="2" a="1"/>
  <c r="AD1269" i="2" s="1"/>
  <c r="Y1230" i="2" a="1"/>
  <c r="Y1230" i="2" s="1"/>
  <c r="X1230" i="2" a="1"/>
  <c r="X1230" i="2" s="1"/>
  <c r="W1230" i="2" a="1"/>
  <c r="W1230" i="2" s="1"/>
  <c r="AJ1229" i="2" a="1"/>
  <c r="AJ1229" i="2" s="1"/>
  <c r="AI1229" i="2" a="1"/>
  <c r="AI1229" i="2" s="1"/>
  <c r="AC1221" i="2" a="1"/>
  <c r="AC1221" i="2" s="1"/>
  <c r="Z1225" i="2" a="1"/>
  <c r="Z1225" i="2" s="1"/>
  <c r="AH1224" i="2" a="1"/>
  <c r="AH1224" i="2" s="1"/>
  <c r="AF1224" i="2" a="1"/>
  <c r="AF1224" i="2" s="1"/>
  <c r="AE1224" i="2" a="1"/>
  <c r="AE1224" i="2" s="1"/>
  <c r="X1224" i="2" a="1"/>
  <c r="X1224" i="2" s="1"/>
  <c r="AF1223" i="2" a="1"/>
  <c r="AF1223" i="2" s="1"/>
  <c r="Y1223" i="2" a="1"/>
  <c r="Y1223" i="2" s="1"/>
  <c r="AD1222" i="2" a="1"/>
  <c r="AD1222" i="2" s="1"/>
  <c r="AH1221" i="2" a="1"/>
  <c r="AH1221" i="2" s="1"/>
  <c r="AJ1221" i="2" a="1"/>
  <c r="AJ1221" i="2" s="1"/>
  <c r="AE1223" i="2" a="1"/>
  <c r="AE1223" i="2" s="1"/>
  <c r="AD1221" i="2" a="1"/>
  <c r="AD1221" i="2" s="1"/>
  <c r="AB1222" i="2" a="1"/>
  <c r="AB1222" i="2" s="1"/>
  <c r="AC1223" i="2" a="1"/>
  <c r="AC1223" i="2" s="1"/>
  <c r="Z1221" i="2" a="1"/>
  <c r="Z1221" i="2" s="1"/>
  <c r="W1223" i="2" a="1"/>
  <c r="W1223" i="2" s="1"/>
  <c r="AJ1222" i="2" a="1"/>
  <c r="AJ1222" i="2" s="1"/>
  <c r="AA1221" i="2" a="1"/>
  <c r="AA1221" i="2" s="1"/>
  <c r="AH1222" i="2" a="1"/>
  <c r="AH1222" i="2" s="1"/>
  <c r="X1222" i="2" a="1"/>
  <c r="X1222" i="2" s="1"/>
  <c r="AI1221" i="2" a="1"/>
  <c r="AI1221" i="2" s="1"/>
  <c r="AE1221" i="2" a="1"/>
  <c r="AE1221" i="2" s="1"/>
  <c r="AC1222" i="2" a="1"/>
  <c r="AC1222" i="2" s="1"/>
  <c r="AG1224" i="2" a="1"/>
  <c r="AG1224" i="2" s="1"/>
  <c r="AC1224" i="2" a="1"/>
  <c r="AC1224" i="2" s="1"/>
  <c r="AG1222" i="2" a="1"/>
  <c r="AG1222" i="2" s="1"/>
  <c r="AF1221" i="2" a="1"/>
  <c r="AF1221" i="2" s="1"/>
  <c r="X1223" i="2" a="1"/>
  <c r="X1223" i="2" s="1"/>
  <c r="W1224" i="2" a="1"/>
  <c r="W1224" i="2" s="1"/>
  <c r="AI1224" i="2" a="1"/>
  <c r="AI1224" i="2" s="1"/>
  <c r="Y1224" i="2" a="1"/>
  <c r="Y1224" i="2" s="1"/>
  <c r="Z1222" i="2" a="1"/>
  <c r="Z1222" i="2" s="1"/>
  <c r="AJ1224" i="2" a="1"/>
  <c r="AJ1224" i="2" s="1"/>
  <c r="Z1224" i="2" a="1"/>
  <c r="Z1224" i="2" s="1"/>
  <c r="Y1222" i="2" a="1"/>
  <c r="Y1222" i="2" s="1"/>
  <c r="AC1225" i="2" a="1"/>
  <c r="AC1225" i="2" s="1"/>
  <c r="Y1225" i="2" a="1"/>
  <c r="Y1225" i="2" s="1"/>
  <c r="AD1223" i="2" a="1"/>
  <c r="AD1223" i="2" s="1"/>
  <c r="AB1223" i="2" a="1"/>
  <c r="AB1223" i="2" s="1"/>
  <c r="AA1223" i="2" a="1"/>
  <c r="AA1223" i="2" s="1"/>
  <c r="Z1223" i="2" a="1"/>
  <c r="Z1223" i="2" s="1"/>
  <c r="AG1268" i="2" a="1"/>
  <c r="AG1268" i="2" s="1"/>
  <c r="AJ1223" i="2" a="1"/>
  <c r="AJ1223" i="2" s="1"/>
  <c r="AF1222" i="2" a="1"/>
  <c r="AF1222" i="2" s="1"/>
  <c r="AI1222" i="2" a="1"/>
  <c r="AI1222" i="2" s="1"/>
  <c r="AG1221" i="2" a="1"/>
  <c r="AG1221" i="2" s="1"/>
  <c r="AE1225" i="2" a="1"/>
  <c r="AE1225" i="2" s="1"/>
  <c r="AE1222" i="2" a="1"/>
  <c r="AE1222" i="2" s="1"/>
  <c r="AG1223" i="2" a="1"/>
  <c r="AG1223" i="2" s="1"/>
  <c r="AF1225" i="2" a="1"/>
  <c r="AF1225" i="2" s="1"/>
  <c r="W1225" i="2" a="1"/>
  <c r="W1225" i="2" s="1"/>
  <c r="AA1224" i="2" a="1"/>
  <c r="AA1224" i="2" s="1"/>
  <c r="AD1225" i="2" a="1"/>
  <c r="AD1225" i="2" s="1"/>
  <c r="AA1222" i="2" a="1"/>
  <c r="AA1222" i="2" s="1"/>
  <c r="AB1225" i="2" a="1"/>
  <c r="AB1225" i="2" s="1"/>
  <c r="X1225" i="2" a="1"/>
  <c r="X1225" i="2" s="1"/>
  <c r="AB1221" i="2" a="1"/>
  <c r="AB1221" i="2" s="1"/>
  <c r="AA1225" i="2" a="1"/>
  <c r="AA1225" i="2" s="1"/>
  <c r="AD1224" i="2" a="1"/>
  <c r="AD1224" i="2" s="1"/>
  <c r="W1222" i="2" a="1"/>
  <c r="W1222" i="2" s="1"/>
  <c r="AI1223" i="2" a="1"/>
  <c r="AI1223" i="2" s="1"/>
  <c r="AB1224" i="2" a="1"/>
  <c r="AB1224" i="2" s="1"/>
  <c r="AH1223" i="2" a="1"/>
  <c r="AH1223" i="2" s="1"/>
  <c r="Z1220" i="2" a="1"/>
  <c r="Z1220" i="2" s="1"/>
  <c r="X1220" i="2" a="1"/>
  <c r="X1220" i="2" s="1"/>
  <c r="W1220" i="2" a="1"/>
  <c r="W1220" i="2" s="1"/>
  <c r="AJ1219" i="2" a="1"/>
  <c r="AJ1219" i="2" s="1"/>
  <c r="AG1219" i="2" a="1"/>
  <c r="AG1219" i="2" s="1"/>
  <c r="AJ1216" i="2" a="1"/>
  <c r="AJ1216" i="2" s="1"/>
  <c r="AB1219" i="2" a="1"/>
  <c r="AB1219" i="2" s="1"/>
  <c r="X1217" i="2" a="1"/>
  <c r="X1217" i="2" s="1"/>
  <c r="Y1219" i="2" a="1"/>
  <c r="Y1219" i="2" s="1"/>
  <c r="AC1218" i="2" a="1"/>
  <c r="AC1218" i="2" s="1"/>
  <c r="AF1218" i="2" a="1"/>
  <c r="AF1218" i="2" s="1"/>
  <c r="AI1219" i="2" a="1"/>
  <c r="AI1219" i="2" s="1"/>
  <c r="AH1219" i="2" a="1"/>
  <c r="AH1219" i="2" s="1"/>
  <c r="W1219" i="2" a="1"/>
  <c r="W1219" i="2" s="1"/>
  <c r="AE1219" i="2" a="1"/>
  <c r="AE1219" i="2" s="1"/>
  <c r="AE1218" i="2" a="1"/>
  <c r="AE1218" i="2" s="1"/>
  <c r="AD1217" i="2" a="1"/>
  <c r="AD1217" i="2" s="1"/>
  <c r="AA1218" i="2" a="1"/>
  <c r="AA1218" i="2" s="1"/>
  <c r="Z1217" i="2" a="1"/>
  <c r="Z1217" i="2" s="1"/>
  <c r="AH1216" i="2" a="1"/>
  <c r="AH1216" i="2" s="1"/>
  <c r="X1219" i="2" a="1"/>
  <c r="X1219" i="2" s="1"/>
  <c r="AG1218" i="2" a="1"/>
  <c r="AG1218" i="2" s="1"/>
  <c r="AE1217" i="2" a="1"/>
  <c r="AE1217" i="2" s="1"/>
  <c r="AA1217" i="2" a="1"/>
  <c r="AA1217" i="2" s="1"/>
  <c r="Z24" i="2" a="1"/>
  <c r="Z24" i="2" s="1"/>
  <c r="AI1220" i="2" a="1"/>
  <c r="AI1220" i="2" s="1"/>
  <c r="AC1219" i="2" a="1"/>
  <c r="AC1219" i="2" s="1"/>
  <c r="Y1218" i="2" a="1"/>
  <c r="Y1218" i="2" s="1"/>
  <c r="AH1218" i="2" a="1"/>
  <c r="AH1218" i="2" s="1"/>
  <c r="W1217" i="2" a="1"/>
  <c r="W1217" i="2" s="1"/>
  <c r="AB1218" i="2" a="1"/>
  <c r="AB1218" i="2" s="1"/>
  <c r="Y1221" i="2" a="1"/>
  <c r="Y1221" i="2" s="1"/>
  <c r="Y1220" i="2" a="1"/>
  <c r="Y1220" i="2" s="1"/>
  <c r="Y1217" i="2" a="1"/>
  <c r="Y1217" i="2" s="1"/>
  <c r="AG1220" i="2" a="1"/>
  <c r="AG1220" i="2" s="1"/>
  <c r="AA1219" i="2" a="1"/>
  <c r="AA1219" i="2" s="1"/>
  <c r="AC1217" i="2" a="1"/>
  <c r="AC1217" i="2" s="1"/>
  <c r="AC1220" i="2" a="1"/>
  <c r="AC1220" i="2" s="1"/>
  <c r="AG1217" i="2" a="1"/>
  <c r="AG1217" i="2" s="1"/>
  <c r="Y1269" i="2" a="1"/>
  <c r="Y1269" i="2" s="1"/>
  <c r="AI1218" i="2" a="1"/>
  <c r="AI1218" i="2" s="1"/>
  <c r="AI1217" i="2" a="1"/>
  <c r="AI1217" i="2" s="1"/>
  <c r="AD1218" i="2" a="1"/>
  <c r="AD1218" i="2" s="1"/>
  <c r="W1218" i="2" a="1"/>
  <c r="W1218" i="2" s="1"/>
  <c r="AD1220" i="2" a="1"/>
  <c r="AD1220" i="2" s="1"/>
  <c r="X1221" i="2" a="1"/>
  <c r="X1221" i="2" s="1"/>
  <c r="AF1219" i="2" a="1"/>
  <c r="AF1219" i="2" s="1"/>
  <c r="AJ1218" i="2" a="1"/>
  <c r="AJ1218" i="2" s="1"/>
  <c r="Z1219" i="2" a="1"/>
  <c r="Z1219" i="2" s="1"/>
  <c r="AF1220" i="2" a="1"/>
  <c r="AF1220" i="2" s="1"/>
  <c r="AE1220" i="2" a="1"/>
  <c r="AE1220" i="2" s="1"/>
  <c r="AH1217" i="2" a="1"/>
  <c r="AH1217" i="2" s="1"/>
  <c r="AD1219" i="2" a="1"/>
  <c r="AD1219" i="2" s="1"/>
  <c r="Z1218" i="2" a="1"/>
  <c r="Z1218" i="2" s="1"/>
  <c r="X1218" i="2" a="1"/>
  <c r="X1218" i="2" s="1"/>
  <c r="AF1217" i="2" a="1"/>
  <c r="AF1217" i="2" s="1"/>
  <c r="AB1217" i="2" a="1"/>
  <c r="AB1217" i="2" s="1"/>
  <c r="AI1216" i="2" a="1"/>
  <c r="AI1216" i="2" s="1"/>
  <c r="AJ1217" i="2" a="1"/>
  <c r="AJ1217" i="2" s="1"/>
  <c r="AJ1220" i="2" a="1"/>
  <c r="AJ1220" i="2" s="1"/>
  <c r="AB1220" i="2" a="1"/>
  <c r="AB1220" i="2" s="1"/>
  <c r="AA1220" i="2" a="1"/>
  <c r="AA1220" i="2" s="1"/>
  <c r="W1221" i="2" a="1"/>
  <c r="W1221" i="2" s="1"/>
  <c r="AH1220" i="2" a="1"/>
  <c r="AH1220" i="2" s="1"/>
  <c r="AE1214" i="2" a="1"/>
  <c r="AE1214" i="2" s="1"/>
  <c r="AH1214" i="2" a="1"/>
  <c r="AH1214" i="2" s="1"/>
  <c r="AI1215" i="2" a="1"/>
  <c r="AI1215" i="2" s="1"/>
  <c r="AF1215" i="2" a="1"/>
  <c r="AF1215" i="2" s="1"/>
  <c r="AH1212" i="2" a="1"/>
  <c r="AH1212" i="2" s="1"/>
  <c r="AD1214" i="2" a="1"/>
  <c r="AD1214" i="2" s="1"/>
  <c r="AE1215" i="2" a="1"/>
  <c r="AE1215" i="2" s="1"/>
  <c r="AB1215" i="2" a="1"/>
  <c r="AB1215" i="2" s="1"/>
  <c r="Y1215" i="2" a="1"/>
  <c r="Y1215" i="2" s="1"/>
  <c r="X1215" i="2" a="1"/>
  <c r="X1215" i="2" s="1"/>
  <c r="Y1214" i="2" a="1"/>
  <c r="Y1214" i="2" s="1"/>
  <c r="W1215" i="2" a="1"/>
  <c r="W1215" i="2" s="1"/>
  <c r="AI1213" i="2" a="1"/>
  <c r="AI1213" i="2" s="1"/>
  <c r="AI1214" i="2" a="1"/>
  <c r="AI1214" i="2" s="1"/>
  <c r="AB1214" i="2" a="1"/>
  <c r="AB1214" i="2" s="1"/>
  <c r="Z1214" i="2" a="1"/>
  <c r="Z1214" i="2" s="1"/>
  <c r="X1214" i="2" a="1"/>
  <c r="X1214" i="2" s="1"/>
  <c r="AC1213" i="2" a="1"/>
  <c r="AC1213" i="2" s="1"/>
  <c r="AC1212" i="2" a="1"/>
  <c r="AC1212" i="2" s="1"/>
  <c r="AG1213" i="2" a="1"/>
  <c r="AG1213" i="2" s="1"/>
  <c r="AD1213" i="2" a="1"/>
  <c r="AD1213" i="2" s="1"/>
  <c r="AI1212" i="2" a="1"/>
  <c r="AI1212" i="2" s="1"/>
  <c r="AG1212" i="2" a="1"/>
  <c r="AG1212" i="2" s="1"/>
  <c r="W1213" i="2" a="1"/>
  <c r="W1213" i="2" s="1"/>
  <c r="AF1268" i="2" a="1"/>
  <c r="AF1268" i="2" s="1"/>
  <c r="Z1213" i="2" a="1"/>
  <c r="Z1213" i="2" s="1"/>
  <c r="AG1216" i="2" a="1"/>
  <c r="AG1216" i="2" s="1"/>
  <c r="AA1215" i="2" a="1"/>
  <c r="AA1215" i="2" s="1"/>
  <c r="Y1213" i="2" a="1"/>
  <c r="Y1213" i="2" s="1"/>
  <c r="AA1214" i="2" a="1"/>
  <c r="AA1214" i="2" s="1"/>
  <c r="AD1212" i="2" a="1"/>
  <c r="AD1212" i="2" s="1"/>
  <c r="AA1216" i="2" a="1"/>
  <c r="AA1216" i="2" s="1"/>
  <c r="AG1214" i="2" a="1"/>
  <c r="AG1214" i="2" s="1"/>
  <c r="AF1216" i="2" a="1"/>
  <c r="AF1216" i="2" s="1"/>
  <c r="AE1216" i="2" a="1"/>
  <c r="AE1216" i="2" s="1"/>
  <c r="AD1216" i="2" a="1"/>
  <c r="AD1216" i="2" s="1"/>
  <c r="AC1216" i="2" a="1"/>
  <c r="AC1216" i="2" s="1"/>
  <c r="AB1216" i="2" a="1"/>
  <c r="AB1216" i="2" s="1"/>
  <c r="AF1213" i="2" a="1"/>
  <c r="AF1213" i="2" s="1"/>
  <c r="Z1216" i="2" a="1"/>
  <c r="Z1216" i="2" s="1"/>
  <c r="AC1215" i="2" a="1"/>
  <c r="AC1215" i="2" s="1"/>
  <c r="AD1215" i="2" a="1"/>
  <c r="AD1215" i="2" s="1"/>
  <c r="AJ1213" i="2" a="1"/>
  <c r="AJ1213" i="2" s="1"/>
  <c r="Y1216" i="2" a="1"/>
  <c r="Y1216" i="2" s="1"/>
  <c r="X1216" i="2" a="1"/>
  <c r="X1216" i="2" s="1"/>
  <c r="AH1213" i="2" a="1"/>
  <c r="AH1213" i="2" s="1"/>
  <c r="AB1213" i="2" a="1"/>
  <c r="AB1213" i="2" s="1"/>
  <c r="W1216" i="2" a="1"/>
  <c r="W1216" i="2" s="1"/>
  <c r="AG1215" i="2" a="1"/>
  <c r="AG1215" i="2" s="1"/>
  <c r="Z1215" i="2" a="1"/>
  <c r="Z1215" i="2" s="1"/>
  <c r="AE1212" i="2" a="1"/>
  <c r="AE1212" i="2" s="1"/>
  <c r="W1214" i="2" a="1"/>
  <c r="W1214" i="2" s="1"/>
  <c r="AF1212" i="2" a="1"/>
  <c r="AF1212" i="2" s="1"/>
  <c r="AE1213" i="2" a="1"/>
  <c r="AE1213" i="2" s="1"/>
  <c r="AJ1212" i="2" a="1"/>
  <c r="AJ1212" i="2" s="1"/>
  <c r="AA1213" i="2" a="1"/>
  <c r="AA1213" i="2" s="1"/>
  <c r="AJ1215" i="2" a="1"/>
  <c r="AJ1215" i="2" s="1"/>
  <c r="AC1214" i="2" a="1"/>
  <c r="AC1214" i="2" s="1"/>
  <c r="AH1215" i="2" a="1"/>
  <c r="AH1215" i="2" s="1"/>
  <c r="AJ1214" i="2" a="1"/>
  <c r="AJ1214" i="2" s="1"/>
  <c r="AF1214" i="2" a="1"/>
  <c r="AF1214" i="2" s="1"/>
  <c r="AB1212" i="2" a="1"/>
  <c r="AB1212" i="2" s="1"/>
  <c r="X1213" i="2" a="1"/>
  <c r="X1213" i="2" s="1"/>
  <c r="AA1212" i="2" a="1"/>
  <c r="AA1212" i="2" s="1"/>
  <c r="AD1265" i="2" a="1"/>
  <c r="AD1265" i="2" s="1"/>
  <c r="Y1268" i="2" a="1"/>
  <c r="Y1268" i="2" s="1"/>
  <c r="AE1268" i="2" a="1"/>
  <c r="AE1268" i="2" s="1"/>
  <c r="AD1268" i="2" a="1"/>
  <c r="AD1268" i="2" s="1"/>
  <c r="AA1264" i="2" a="1"/>
  <c r="AA1264" i="2" s="1"/>
  <c r="AB1268" i="2" a="1"/>
  <c r="AB1268" i="2" s="1"/>
  <c r="Z1268" i="2" a="1"/>
  <c r="Z1268" i="2" s="1"/>
  <c r="AJ1267" i="2" a="1"/>
  <c r="AJ1267" i="2" s="1"/>
  <c r="AI1267" i="2" a="1"/>
  <c r="AI1267" i="2" s="1"/>
  <c r="AG1265" i="2" a="1"/>
  <c r="AG1265" i="2" s="1"/>
  <c r="AG1264" i="2" a="1"/>
  <c r="AG1264" i="2" s="1"/>
  <c r="AH1267" i="2" a="1"/>
  <c r="AH1267" i="2" s="1"/>
  <c r="Z1265" i="2" a="1"/>
  <c r="Z1265" i="2" s="1"/>
  <c r="Z1266" i="2" a="1"/>
  <c r="Z1266" i="2" s="1"/>
  <c r="AE1264" i="2" a="1"/>
  <c r="AE1264" i="2" s="1"/>
  <c r="AB1264" i="2" a="1"/>
  <c r="AB1264" i="2" s="1"/>
  <c r="AH1266" i="2" a="1"/>
  <c r="AH1266" i="2" s="1"/>
  <c r="W1266" i="2" a="1"/>
  <c r="W1266" i="2" s="1"/>
  <c r="AE1267" i="2" a="1"/>
  <c r="AE1267" i="2" s="1"/>
  <c r="AD1266" i="2" a="1"/>
  <c r="AD1266" i="2" s="1"/>
  <c r="X1267" i="2" a="1"/>
  <c r="X1267" i="2" s="1"/>
  <c r="AJ1265" i="2" a="1"/>
  <c r="AJ1265" i="2" s="1"/>
  <c r="Z1264" i="2" a="1"/>
  <c r="Z1264" i="2" s="1"/>
  <c r="AE1266" i="2" a="1"/>
  <c r="AE1266" i="2" s="1"/>
  <c r="AB1265" i="2" a="1"/>
  <c r="AB1265" i="2" s="1"/>
  <c r="Z1267" i="2" a="1"/>
  <c r="Z1267" i="2" s="1"/>
  <c r="AC1265" i="2" a="1"/>
  <c r="AC1265" i="2" s="1"/>
  <c r="Y1267" i="2" a="1"/>
  <c r="Y1267" i="2" s="1"/>
  <c r="Y1266" i="2" a="1"/>
  <c r="Y1266" i="2" s="1"/>
  <c r="AH1265" i="2" a="1"/>
  <c r="AH1265" i="2" s="1"/>
  <c r="AI1264" i="2" a="1"/>
  <c r="AI1264" i="2" s="1"/>
  <c r="AH1264" i="2" a="1"/>
  <c r="AH1264" i="2" s="1"/>
  <c r="AF1264" i="2" a="1"/>
  <c r="AF1264" i="2" s="1"/>
  <c r="AC1266" i="2" a="1"/>
  <c r="AC1266" i="2" s="1"/>
  <c r="W1265" i="2" a="1"/>
  <c r="W1265" i="2" s="1"/>
  <c r="AF1265" i="2" a="1"/>
  <c r="AF1265" i="2" s="1"/>
  <c r="AG1266" i="2" a="1"/>
  <c r="AG1266" i="2" s="1"/>
  <c r="AC1268" i="2" a="1"/>
  <c r="AC1268" i="2" s="1"/>
  <c r="AJ1264" i="2" a="1"/>
  <c r="AJ1264" i="2" s="1"/>
  <c r="AG1267" i="2" a="1"/>
  <c r="AG1267" i="2" s="1"/>
  <c r="AA1267" i="2" a="1"/>
  <c r="AA1267" i="2" s="1"/>
  <c r="Y1265" i="2" a="1"/>
  <c r="Y1265" i="2" s="1"/>
  <c r="AD1267" i="2" a="1"/>
  <c r="AD1267" i="2" s="1"/>
  <c r="AA1266" i="2" a="1"/>
  <c r="AA1266" i="2" s="1"/>
  <c r="AC1264" i="2" a="1"/>
  <c r="AC1264" i="2" s="1"/>
  <c r="AB1267" i="2" a="1"/>
  <c r="AB1267" i="2" s="1"/>
  <c r="AJ1266" i="2" a="1"/>
  <c r="AJ1266" i="2" s="1"/>
  <c r="X1266" i="2" a="1"/>
  <c r="X1266" i="2" s="1"/>
  <c r="AE1265" i="2" a="1"/>
  <c r="AE1265" i="2" s="1"/>
  <c r="AI1266" i="2" a="1"/>
  <c r="AI1266" i="2" s="1"/>
  <c r="X1265" i="2" a="1"/>
  <c r="X1265" i="2" s="1"/>
  <c r="AI1265" i="2" a="1"/>
  <c r="AI1265" i="2" s="1"/>
  <c r="Y1264" i="2" a="1"/>
  <c r="Y1264" i="2" s="1"/>
  <c r="AA1268" i="2" a="1"/>
  <c r="AA1268" i="2" s="1"/>
  <c r="X1268" i="2" a="1"/>
  <c r="X1268" i="2" s="1"/>
  <c r="AC1267" i="2" a="1"/>
  <c r="AC1267" i="2" s="1"/>
  <c r="AF1266" i="2" a="1"/>
  <c r="AF1266" i="2" s="1"/>
  <c r="AA1265" i="2" a="1"/>
  <c r="AA1265" i="2" s="1"/>
  <c r="W1267" i="2" a="1"/>
  <c r="W1267" i="2" s="1"/>
  <c r="AB1266" i="2" a="1"/>
  <c r="AB1266" i="2" s="1"/>
  <c r="AD1264" i="2" a="1"/>
  <c r="AD1264" i="2" s="1"/>
  <c r="W1268" i="2" a="1"/>
  <c r="W1268" i="2" s="1"/>
  <c r="AB1269" i="2" a="1"/>
  <c r="AB1269" i="2" s="1"/>
  <c r="AF1267" i="2" a="1"/>
  <c r="AF1267" i="2" s="1"/>
  <c r="AA1260" i="2" a="1"/>
  <c r="AA1260" i="2" s="1"/>
  <c r="AG1259" i="2" a="1"/>
  <c r="AG1259" i="2" s="1"/>
  <c r="W1264" i="2" a="1"/>
  <c r="W1264" i="2" s="1"/>
  <c r="AJ1263" i="2" a="1"/>
  <c r="AJ1263" i="2" s="1"/>
  <c r="AH1262" i="2" a="1"/>
  <c r="AH1262" i="2" s="1"/>
  <c r="AI1263" i="2" a="1"/>
  <c r="AI1263" i="2" s="1"/>
  <c r="AH1261" i="2" a="1"/>
  <c r="AH1261" i="2" s="1"/>
  <c r="AE1260" i="2" a="1"/>
  <c r="AE1260" i="2" s="1"/>
  <c r="AB1263" i="2" a="1"/>
  <c r="AB1263" i="2" s="1"/>
  <c r="X1263" i="2" a="1"/>
  <c r="X1263" i="2" s="1"/>
  <c r="AI1262" i="2" a="1"/>
  <c r="AI1262" i="2" s="1"/>
  <c r="AD1262" i="2" a="1"/>
  <c r="AD1262" i="2" s="1"/>
  <c r="AF1261" i="2" a="1"/>
  <c r="AF1261" i="2" s="1"/>
  <c r="Y1262" i="2" a="1"/>
  <c r="Y1262" i="2" s="1"/>
  <c r="Z1261" i="2" a="1"/>
  <c r="Z1261" i="2" s="1"/>
  <c r="AJ1259" i="2" a="1"/>
  <c r="AJ1259" i="2" s="1"/>
  <c r="AH1263" i="2" a="1"/>
  <c r="AH1263" i="2" s="1"/>
  <c r="AG1263" i="2" a="1"/>
  <c r="AG1263" i="2" s="1"/>
  <c r="AF1263" i="2" a="1"/>
  <c r="AF1263" i="2" s="1"/>
  <c r="AE1263" i="2" a="1"/>
  <c r="AE1263" i="2" s="1"/>
  <c r="AC1263" i="2" a="1"/>
  <c r="AC1263" i="2" s="1"/>
  <c r="AC1261" i="2" a="1"/>
  <c r="AC1261" i="2" s="1"/>
  <c r="AD1261" i="2" a="1"/>
  <c r="AD1261" i="2" s="1"/>
  <c r="AH1259" i="2" a="1"/>
  <c r="AH1259" i="2" s="1"/>
  <c r="AD1263" i="2" a="1"/>
  <c r="AD1263" i="2" s="1"/>
  <c r="W1263" i="2" a="1"/>
  <c r="W1263" i="2" s="1"/>
  <c r="Z1263" i="2" a="1"/>
  <c r="Z1263" i="2" s="1"/>
  <c r="Y1263" i="2" a="1"/>
  <c r="Y1263" i="2" s="1"/>
  <c r="AC1262" i="2" a="1"/>
  <c r="AC1262" i="2" s="1"/>
  <c r="X1262" i="2" a="1"/>
  <c r="X1262" i="2" s="1"/>
  <c r="Y1261" i="2" a="1"/>
  <c r="Y1261" i="2" s="1"/>
  <c r="AI1260" i="2" a="1"/>
  <c r="AI1260" i="2" s="1"/>
  <c r="AF1259" i="2" a="1"/>
  <c r="AF1259" i="2" s="1"/>
  <c r="AG1262" i="2" a="1"/>
  <c r="AG1262" i="2" s="1"/>
  <c r="Z1260" i="2" a="1"/>
  <c r="Z1260" i="2" s="1"/>
  <c r="AE1262" i="2" a="1"/>
  <c r="AE1262" i="2" s="1"/>
  <c r="AB1262" i="2" a="1"/>
  <c r="AB1262" i="2" s="1"/>
  <c r="Z1262" i="2" a="1"/>
  <c r="Z1262" i="2" s="1"/>
  <c r="AI1261" i="2" a="1"/>
  <c r="AI1261" i="2" s="1"/>
  <c r="AJ1260" i="2" a="1"/>
  <c r="AJ1260" i="2" s="1"/>
  <c r="AF1260" i="2" a="1"/>
  <c r="AF1260" i="2" s="1"/>
  <c r="AG1261" i="2" a="1"/>
  <c r="AG1261" i="2" s="1"/>
  <c r="AC1260" i="2" a="1"/>
  <c r="AC1260" i="2" s="1"/>
  <c r="Y1260" i="2" a="1"/>
  <c r="Y1260" i="2" s="1"/>
  <c r="AA1261" i="2" a="1"/>
  <c r="AA1261" i="2" s="1"/>
  <c r="W1262" i="2" a="1"/>
  <c r="W1262" i="2" s="1"/>
  <c r="AE1261" i="2" a="1"/>
  <c r="AE1261" i="2" s="1"/>
  <c r="X1261" i="2" a="1"/>
  <c r="X1261" i="2" s="1"/>
  <c r="AH1260" i="2" a="1"/>
  <c r="AH1260" i="2" s="1"/>
  <c r="AA1263" i="2" a="1"/>
  <c r="AA1263" i="2" s="1"/>
  <c r="AF1262" i="2" a="1"/>
  <c r="AF1262" i="2" s="1"/>
  <c r="AA1262" i="2" a="1"/>
  <c r="AA1262" i="2" s="1"/>
  <c r="AJ1261" i="2" a="1"/>
  <c r="AJ1261" i="2" s="1"/>
  <c r="AD1260" i="2" a="1"/>
  <c r="AD1260" i="2" s="1"/>
  <c r="W1261" i="2" a="1"/>
  <c r="W1261" i="2" s="1"/>
  <c r="AG1260" i="2" a="1"/>
  <c r="AG1260" i="2" s="1"/>
  <c r="AB1261" i="2" a="1"/>
  <c r="AB1261" i="2" s="1"/>
  <c r="W1260" i="2" a="1"/>
  <c r="W1260" i="2" s="1"/>
  <c r="X1260" i="2" a="1"/>
  <c r="X1260" i="2" s="1"/>
  <c r="AI1259" i="2" a="1"/>
  <c r="AI1259" i="2" s="1"/>
  <c r="AB1260" i="2" a="1"/>
  <c r="AB1260" i="2" s="1"/>
  <c r="X1269" i="2" a="1"/>
  <c r="X1269" i="2" s="1"/>
  <c r="X1264" i="2" a="1"/>
  <c r="X1264" i="2" s="1"/>
  <c r="AJ1262" i="2" a="1"/>
  <c r="AJ1262" i="2" s="1"/>
  <c r="AH1257" i="2" a="1"/>
  <c r="AH1257" i="2" s="1"/>
  <c r="AA1259" i="2" a="1"/>
  <c r="AA1259" i="2" s="1"/>
  <c r="Y1259" i="2" a="1"/>
  <c r="Y1259" i="2" s="1"/>
  <c r="AF1258" i="2" a="1"/>
  <c r="AF1258" i="2" s="1"/>
  <c r="Z1257" i="2" a="1"/>
  <c r="Z1257" i="2" s="1"/>
  <c r="AB1258" i="2" a="1"/>
  <c r="AB1258" i="2" s="1"/>
  <c r="Z1258" i="2" a="1"/>
  <c r="Z1258" i="2" s="1"/>
  <c r="AD1257" i="2" a="1"/>
  <c r="AD1257" i="2" s="1"/>
  <c r="Y1256" i="2" a="1"/>
  <c r="Y1256" i="2" s="1"/>
  <c r="AA1255" i="2" a="1"/>
  <c r="AA1255" i="2" s="1"/>
  <c r="AD1256" i="2" a="1"/>
  <c r="AD1256" i="2" s="1"/>
  <c r="Y1258" i="2" a="1"/>
  <c r="Y1258" i="2" s="1"/>
  <c r="AH1258" i="2" a="1"/>
  <c r="AH1258" i="2" s="1"/>
  <c r="AA1257" i="2" a="1"/>
  <c r="AA1257" i="2" s="1"/>
  <c r="AG1258" i="2" a="1"/>
  <c r="AG1258" i="2" s="1"/>
  <c r="AB1256" i="2" a="1"/>
  <c r="AB1256" i="2" s="1"/>
  <c r="AC1258" i="2" a="1"/>
  <c r="AC1258" i="2" s="1"/>
  <c r="W1258" i="2" a="1"/>
  <c r="W1258" i="2" s="1"/>
  <c r="AJ1257" i="2" a="1"/>
  <c r="AJ1257" i="2" s="1"/>
  <c r="AB1255" i="2" a="1"/>
  <c r="AB1255" i="2" s="1"/>
  <c r="Z1255" i="2" a="1"/>
  <c r="Z1255" i="2" s="1"/>
  <c r="Y1255" i="2" a="1"/>
  <c r="Y1255" i="2" s="1"/>
  <c r="AG1256" i="2" a="1"/>
  <c r="AG1256" i="2" s="1"/>
  <c r="AC1255" i="2" a="1"/>
  <c r="AC1255" i="2" s="1"/>
  <c r="AC1257" i="2" a="1"/>
  <c r="AC1257" i="2" s="1"/>
  <c r="AF1255" i="2" a="1"/>
  <c r="AF1255" i="2" s="1"/>
  <c r="AE1258" i="2" a="1"/>
  <c r="AE1258" i="2" s="1"/>
  <c r="X1258" i="2" a="1"/>
  <c r="X1258" i="2" s="1"/>
  <c r="AE1255" i="2" a="1"/>
  <c r="AE1255" i="2" s="1"/>
  <c r="X1256" i="2" a="1"/>
  <c r="X1256" i="2" s="1"/>
  <c r="AH1256" i="2" a="1"/>
  <c r="AH1256" i="2" s="1"/>
  <c r="Z1256" i="2" a="1"/>
  <c r="Z1256" i="2" s="1"/>
  <c r="AC1256" i="2" a="1"/>
  <c r="AC1256" i="2" s="1"/>
  <c r="AI1255" i="2" a="1"/>
  <c r="AI1255" i="2" s="1"/>
  <c r="AG1257" i="2" a="1"/>
  <c r="AG1257" i="2" s="1"/>
  <c r="X1257" i="2" a="1"/>
  <c r="X1257" i="2" s="1"/>
  <c r="AH1255" i="2" a="1"/>
  <c r="AH1255" i="2" s="1"/>
  <c r="AJ1256" i="2" a="1"/>
  <c r="AJ1256" i="2" s="1"/>
  <c r="AI1258" i="2" a="1"/>
  <c r="AI1258" i="2" s="1"/>
  <c r="AA1258" i="2" a="1"/>
  <c r="AA1258" i="2" s="1"/>
  <c r="AF1257" i="2" a="1"/>
  <c r="AF1257" i="2" s="1"/>
  <c r="AI1256" i="2" a="1"/>
  <c r="AI1256" i="2" s="1"/>
  <c r="Y1257" i="2" a="1"/>
  <c r="Y1257" i="2" s="1"/>
  <c r="W1256" i="2" a="1"/>
  <c r="W1256" i="2" s="1"/>
  <c r="W1257" i="2" a="1"/>
  <c r="W1257" i="2" s="1"/>
  <c r="AJ1255" i="2" a="1"/>
  <c r="AJ1255" i="2" s="1"/>
  <c r="AF1256" i="2" a="1"/>
  <c r="AF1256" i="2" s="1"/>
  <c r="AE1256" i="2" a="1"/>
  <c r="AE1256" i="2" s="1"/>
  <c r="AD1258" i="2" a="1"/>
  <c r="AD1258" i="2" s="1"/>
  <c r="AA1335" i="2" a="1"/>
  <c r="AA1335" i="2" s="1"/>
  <c r="AE1259" i="2" a="1"/>
  <c r="AE1259" i="2" s="1"/>
  <c r="AD1259" i="2" a="1"/>
  <c r="AD1259" i="2" s="1"/>
  <c r="Z1259" i="2" a="1"/>
  <c r="Z1259" i="2" s="1"/>
  <c r="AJ1258" i="2" a="1"/>
  <c r="AJ1258" i="2" s="1"/>
  <c r="AC1259" i="2" a="1"/>
  <c r="AC1259" i="2" s="1"/>
  <c r="AG1255" i="2" a="1"/>
  <c r="AG1255" i="2" s="1"/>
  <c r="AB1259" i="2" a="1"/>
  <c r="AB1259" i="2" s="1"/>
  <c r="X1259" i="2" a="1"/>
  <c r="X1259" i="2" s="1"/>
  <c r="AE1257" i="2" a="1"/>
  <c r="AE1257" i="2" s="1"/>
  <c r="AI1257" i="2" a="1"/>
  <c r="AI1257" i="2" s="1"/>
  <c r="AA1256" i="2" a="1"/>
  <c r="AA1256" i="2" s="1"/>
  <c r="W1259" i="2" a="1"/>
  <c r="W1259" i="2" s="1"/>
  <c r="AB1257" i="2" a="1"/>
  <c r="AB1257" i="2" s="1"/>
  <c r="AD1255" i="2" a="1"/>
  <c r="AD1255" i="2" s="1"/>
  <c r="X1251" i="2" a="1"/>
  <c r="X1251" i="2" s="1"/>
  <c r="W1255" i="2" a="1"/>
  <c r="W1255" i="2" s="1"/>
  <c r="AG1253" i="2" a="1"/>
  <c r="AG1253" i="2" s="1"/>
  <c r="AA1252" i="2" a="1"/>
  <c r="AA1252" i="2" s="1"/>
  <c r="AJ1251" i="2" a="1"/>
  <c r="AJ1251" i="2" s="1"/>
  <c r="AF1251" i="2" a="1"/>
  <c r="AF1251" i="2" s="1"/>
  <c r="AH1254" i="2" a="1"/>
  <c r="AH1254" i="2" s="1"/>
  <c r="AH1251" i="2" a="1"/>
  <c r="AH1251" i="2" s="1"/>
  <c r="AE1254" i="2" a="1"/>
  <c r="AE1254" i="2" s="1"/>
  <c r="AA1251" i="2" a="1"/>
  <c r="AA1251" i="2" s="1"/>
  <c r="AA1254" i="2" a="1"/>
  <c r="AA1254" i="2" s="1"/>
  <c r="AD1254" i="2" a="1"/>
  <c r="AD1254" i="2" s="1"/>
  <c r="AC1254" i="2" a="1"/>
  <c r="AC1254" i="2" s="1"/>
  <c r="Z1254" i="2" a="1"/>
  <c r="Z1254" i="2" s="1"/>
  <c r="Y1253" i="2" a="1"/>
  <c r="Y1253" i="2" s="1"/>
  <c r="AJ1252" i="2" a="1"/>
  <c r="AJ1252" i="2" s="1"/>
  <c r="AF1253" i="2" a="1"/>
  <c r="AF1253" i="2" s="1"/>
  <c r="AE1253" i="2" a="1"/>
  <c r="AE1253" i="2" s="1"/>
  <c r="AH1252" i="2" a="1"/>
  <c r="AH1252" i="2" s="1"/>
  <c r="AC1253" i="2" a="1"/>
  <c r="AC1253" i="2" s="1"/>
  <c r="AB1252" i="2" a="1"/>
  <c r="AB1252" i="2" s="1"/>
  <c r="Z1252" i="2" a="1"/>
  <c r="Z1252" i="2" s="1"/>
  <c r="AB1251" i="2" a="1"/>
  <c r="AB1251" i="2" s="1"/>
  <c r="Y1254" i="2" a="1"/>
  <c r="Y1254" i="2" s="1"/>
  <c r="W1254" i="2" a="1"/>
  <c r="W1254" i="2" s="1"/>
  <c r="AB1253" i="2" a="1"/>
  <c r="AB1253" i="2" s="1"/>
  <c r="AF1252" i="2" a="1"/>
  <c r="AF1252" i="2" s="1"/>
  <c r="Y1251" i="2" a="1"/>
  <c r="Y1251" i="2" s="1"/>
  <c r="AC1252" i="2" a="1"/>
  <c r="AC1252" i="2" s="1"/>
  <c r="AG1251" i="2" a="1"/>
  <c r="AG1251" i="2" s="1"/>
  <c r="W1252" i="2" a="1"/>
  <c r="W1252" i="2" s="1"/>
  <c r="AI1252" i="2" a="1"/>
  <c r="AI1252" i="2" s="1"/>
  <c r="Z1253" i="2" a="1"/>
  <c r="Z1253" i="2" s="1"/>
  <c r="AI1253" i="2" a="1"/>
  <c r="AI1253" i="2" s="1"/>
  <c r="W1251" i="2" a="1"/>
  <c r="W1251" i="2" s="1"/>
  <c r="AD1251" i="2" a="1"/>
  <c r="AD1251" i="2" s="1"/>
  <c r="AH1253" i="2" a="1"/>
  <c r="AH1253" i="2" s="1"/>
  <c r="AJ1254" i="2" a="1"/>
  <c r="AJ1254" i="2" s="1"/>
  <c r="AI1254" i="2" a="1"/>
  <c r="AI1254" i="2" s="1"/>
  <c r="AF1254" i="2" a="1"/>
  <c r="AF1254" i="2" s="1"/>
  <c r="X1254" i="2" a="1"/>
  <c r="X1254" i="2" s="1"/>
  <c r="AH1250" i="2" a="1"/>
  <c r="AH1250" i="2" s="1"/>
  <c r="AA1253" i="2" a="1"/>
  <c r="AA1253" i="2" s="1"/>
  <c r="AD1252" i="2" a="1"/>
  <c r="AD1252" i="2" s="1"/>
  <c r="W1253" i="2" a="1"/>
  <c r="W1253" i="2" s="1"/>
  <c r="AD1253" i="2" a="1"/>
  <c r="AD1253" i="2" s="1"/>
  <c r="Z1251" i="2" a="1"/>
  <c r="Z1251" i="2" s="1"/>
  <c r="AI1251" i="2" a="1"/>
  <c r="AI1251" i="2" s="1"/>
  <c r="AC1251" i="2" a="1"/>
  <c r="AC1251" i="2" s="1"/>
  <c r="AG1254" i="2" a="1"/>
  <c r="AG1254" i="2" s="1"/>
  <c r="X1252" i="2" a="1"/>
  <c r="X1252" i="2" s="1"/>
  <c r="AG1250" i="2" a="1"/>
  <c r="AG1250" i="2" s="1"/>
  <c r="Y1252" i="2" a="1"/>
  <c r="Y1252" i="2" s="1"/>
  <c r="AB1254" i="2" a="1"/>
  <c r="AB1254" i="2" s="1"/>
  <c r="AE1252" i="2" a="1"/>
  <c r="AE1252" i="2" s="1"/>
  <c r="AJ1250" i="2" a="1"/>
  <c r="AJ1250" i="2" s="1"/>
  <c r="AG1252" i="2" a="1"/>
  <c r="AG1252" i="2" s="1"/>
  <c r="AE1251" i="2" a="1"/>
  <c r="AE1251" i="2" s="1"/>
  <c r="AI1250" i="2" a="1"/>
  <c r="AI1250" i="2" s="1"/>
  <c r="AJ1253" i="2" a="1"/>
  <c r="AJ1253" i="2" s="1"/>
  <c r="X1253" i="2" a="1"/>
  <c r="X1253" i="2" s="1"/>
  <c r="AF1250" i="2" a="1"/>
  <c r="AF1250" i="2" s="1"/>
  <c r="W1269" i="2" a="1"/>
  <c r="W1269" i="2" s="1"/>
  <c r="X1255" i="2" a="1"/>
  <c r="X1255" i="2" s="1"/>
  <c r="Y1248" i="2" a="1"/>
  <c r="Y1248" i="2" s="1"/>
  <c r="AD1250" i="2" a="1"/>
  <c r="AD1250" i="2" s="1"/>
  <c r="AH1248" i="2" a="1"/>
  <c r="AH1248" i="2" s="1"/>
  <c r="AE1250" i="2" a="1"/>
  <c r="AE1250" i="2" s="1"/>
  <c r="AC1250" i="2" a="1"/>
  <c r="AC1250" i="2" s="1"/>
  <c r="AF1249" i="2" a="1"/>
  <c r="AF1249" i="2" s="1"/>
  <c r="AB1250" i="2" a="1"/>
  <c r="AB1250" i="2" s="1"/>
  <c r="AH1249" i="2" a="1"/>
  <c r="AH1249" i="2" s="1"/>
  <c r="X1250" i="2" a="1"/>
  <c r="X1250" i="2" s="1"/>
  <c r="AD1246" i="2" a="1"/>
  <c r="AD1246" i="2" s="1"/>
  <c r="AB1249" i="2" a="1"/>
  <c r="AB1249" i="2" s="1"/>
  <c r="AB1247" i="2" a="1"/>
  <c r="AB1247" i="2" s="1"/>
  <c r="AJ1246" i="2" a="1"/>
  <c r="AJ1246" i="2" s="1"/>
  <c r="AA1246" i="2" a="1"/>
  <c r="AA1246" i="2" s="1"/>
  <c r="Z1250" i="2" a="1"/>
  <c r="Z1250" i="2" s="1"/>
  <c r="AD1249" i="2" a="1"/>
  <c r="AD1249" i="2" s="1"/>
  <c r="Z1249" i="2" a="1"/>
  <c r="Z1249" i="2" s="1"/>
  <c r="AD1247" i="2" a="1"/>
  <c r="AD1247" i="2" s="1"/>
  <c r="AC1246" i="2" a="1"/>
  <c r="AC1246" i="2" s="1"/>
  <c r="Z1247" i="2" a="1"/>
  <c r="Z1247" i="2" s="1"/>
  <c r="Y1250" i="2" a="1"/>
  <c r="Y1250" i="2" s="1"/>
  <c r="AG1249" i="2" a="1"/>
  <c r="AG1249" i="2" s="1"/>
  <c r="Z1248" i="2" a="1"/>
  <c r="Z1248" i="2" s="1"/>
  <c r="AF1248" i="2" a="1"/>
  <c r="AF1248" i="2" s="1"/>
  <c r="AA1247" i="2" a="1"/>
  <c r="AA1247" i="2" s="1"/>
  <c r="AC1249" i="2" a="1"/>
  <c r="AC1249" i="2" s="1"/>
  <c r="AG1248" i="2" a="1"/>
  <c r="AG1248" i="2" s="1"/>
  <c r="AD1248" i="2" a="1"/>
  <c r="AD1248" i="2" s="1"/>
  <c r="AA1248" i="2" a="1"/>
  <c r="AA1248" i="2" s="1"/>
  <c r="AC1247" i="2" a="1"/>
  <c r="AC1247" i="2" s="1"/>
  <c r="W1247" i="2" a="1"/>
  <c r="W1247" i="2" s="1"/>
  <c r="AE1246" i="2" a="1"/>
  <c r="AE1246" i="2" s="1"/>
  <c r="Y1247" i="2" a="1"/>
  <c r="Y1247" i="2" s="1"/>
  <c r="AB1246" i="2" a="1"/>
  <c r="AB1246" i="2" s="1"/>
  <c r="X1248" i="2" a="1"/>
  <c r="X1248" i="2" s="1"/>
  <c r="AF1246" i="2" a="1"/>
  <c r="AF1246" i="2" s="1"/>
  <c r="AA1250" i="2" a="1"/>
  <c r="AA1250" i="2" s="1"/>
  <c r="AG1247" i="2" a="1"/>
  <c r="AG1247" i="2" s="1"/>
  <c r="W1250" i="2" a="1"/>
  <c r="W1250" i="2" s="1"/>
  <c r="AJ1249" i="2" a="1"/>
  <c r="AJ1249" i="2" s="1"/>
  <c r="AI1246" i="2" a="1"/>
  <c r="AI1246" i="2" s="1"/>
  <c r="AH1247" i="2" a="1"/>
  <c r="AH1247" i="2" s="1"/>
  <c r="AB1248" i="2" a="1"/>
  <c r="AB1248" i="2" s="1"/>
  <c r="W1248" i="2" a="1"/>
  <c r="W1248" i="2" s="1"/>
  <c r="AI1249" i="2" a="1"/>
  <c r="AI1249" i="2" s="1"/>
  <c r="AE1249" i="2" a="1"/>
  <c r="AE1249" i="2" s="1"/>
  <c r="Z1246" i="2" a="1"/>
  <c r="Z1246" i="2" s="1"/>
  <c r="AI1247" i="2" a="1"/>
  <c r="AI1247" i="2" s="1"/>
  <c r="X1247" i="2" a="1"/>
  <c r="X1247" i="2" s="1"/>
  <c r="W1249" i="2" a="1"/>
  <c r="W1249" i="2" s="1"/>
  <c r="AA1249" i="2" a="1"/>
  <c r="AA1249" i="2" s="1"/>
  <c r="AI1248" i="2" a="1"/>
  <c r="AI1248" i="2" s="1"/>
  <c r="AG1246" i="2" a="1"/>
  <c r="AG1246" i="2" s="1"/>
  <c r="Y1249" i="2" a="1"/>
  <c r="Y1249" i="2" s="1"/>
  <c r="AC1248" i="2" a="1"/>
  <c r="AC1248" i="2" s="1"/>
  <c r="AE1248" i="2" a="1"/>
  <c r="AE1248" i="2" s="1"/>
  <c r="AH1246" i="2" a="1"/>
  <c r="AH1246" i="2" s="1"/>
  <c r="Y1246" i="2" a="1"/>
  <c r="Y1246" i="2" s="1"/>
  <c r="AJ1247" i="2" a="1"/>
  <c r="AJ1247" i="2" s="1"/>
  <c r="AJ1248" i="2" a="1"/>
  <c r="AJ1248" i="2" s="1"/>
  <c r="AF1247" i="2" a="1"/>
  <c r="AF1247" i="2" s="1"/>
  <c r="AE1247" i="2" a="1"/>
  <c r="AE1247" i="2" s="1"/>
  <c r="AA1269" i="2" a="1"/>
  <c r="AA1269" i="2" s="1"/>
  <c r="X1249" i="2" a="1"/>
  <c r="X1249" i="2" s="1"/>
  <c r="AC1244" i="2" a="1"/>
  <c r="AC1244" i="2" s="1"/>
  <c r="AF1244" i="2" a="1"/>
  <c r="AF1244" i="2" s="1"/>
  <c r="AF1243" i="2" a="1"/>
  <c r="AF1243" i="2" s="1"/>
  <c r="AI1241" i="2" a="1"/>
  <c r="AI1241" i="2" s="1"/>
  <c r="AF1241" i="2" a="1"/>
  <c r="AF1241" i="2" s="1"/>
  <c r="AJ1245" i="2" a="1"/>
  <c r="AJ1245" i="2" s="1"/>
  <c r="AG1245" i="2" a="1"/>
  <c r="AG1245" i="2" s="1"/>
  <c r="AF1245" i="2" a="1"/>
  <c r="AF1245" i="2" s="1"/>
  <c r="AB1245" i="2" a="1"/>
  <c r="AB1245" i="2" s="1"/>
  <c r="Z1243" i="2" a="1"/>
  <c r="Z1243" i="2" s="1"/>
  <c r="AA1245" i="2" a="1"/>
  <c r="AA1245" i="2" s="1"/>
  <c r="AJ1244" i="2" a="1"/>
  <c r="AJ1244" i="2" s="1"/>
  <c r="AI1242" i="2" a="1"/>
  <c r="AI1242" i="2" s="1"/>
  <c r="AH1242" i="2" a="1"/>
  <c r="AH1242" i="2" s="1"/>
  <c r="X1244" i="2" a="1"/>
  <c r="X1244" i="2" s="1"/>
  <c r="AF1242" i="2" a="1"/>
  <c r="AF1242" i="2" s="1"/>
  <c r="AE1242" i="2" a="1"/>
  <c r="AE1242" i="2" s="1"/>
  <c r="Y1242" i="2" a="1"/>
  <c r="Y1242" i="2" s="1"/>
  <c r="X1242" i="2" a="1"/>
  <c r="X1242" i="2" s="1"/>
  <c r="Y1244" i="2" a="1"/>
  <c r="Y1244" i="2" s="1"/>
  <c r="AC1242" i="2" a="1"/>
  <c r="AC1242" i="2" s="1"/>
  <c r="W1244" i="2" a="1"/>
  <c r="W1244" i="2" s="1"/>
  <c r="AG1243" i="2" a="1"/>
  <c r="AG1243" i="2" s="1"/>
  <c r="AG1244" i="2" a="1"/>
  <c r="AG1244" i="2" s="1"/>
  <c r="W1246" i="2" a="1"/>
  <c r="W1246" i="2" s="1"/>
  <c r="AI1245" i="2" a="1"/>
  <c r="AI1245" i="2" s="1"/>
  <c r="AB1242" i="2" a="1"/>
  <c r="AB1242" i="2" s="1"/>
  <c r="AA1244" i="2" a="1"/>
  <c r="AA1244" i="2" s="1"/>
  <c r="Y1245" i="2" a="1"/>
  <c r="Y1245" i="2" s="1"/>
  <c r="W1245" i="2" a="1"/>
  <c r="W1245" i="2" s="1"/>
  <c r="AJ1242" i="2" a="1"/>
  <c r="AJ1242" i="2" s="1"/>
  <c r="AH1243" i="2" a="1"/>
  <c r="AH1243" i="2" s="1"/>
  <c r="AE1244" i="2" a="1"/>
  <c r="AE1244" i="2" s="1"/>
  <c r="AH1244" i="2" a="1"/>
  <c r="AH1244" i="2" s="1"/>
  <c r="AE1243" i="2" a="1"/>
  <c r="AE1243" i="2" s="1"/>
  <c r="AJ1241" i="2" a="1"/>
  <c r="AJ1241" i="2" s="1"/>
  <c r="AG1241" i="2" a="1"/>
  <c r="AG1241" i="2" s="1"/>
  <c r="Z1242" i="2" a="1"/>
  <c r="Z1242" i="2" s="1"/>
  <c r="W1242" i="2" a="1"/>
  <c r="W1242" i="2" s="1"/>
  <c r="Z1245" i="2" a="1"/>
  <c r="Z1245" i="2" s="1"/>
  <c r="X1245" i="2" a="1"/>
  <c r="X1245" i="2" s="1"/>
  <c r="AI1243" i="2" a="1"/>
  <c r="AI1243" i="2" s="1"/>
  <c r="AD1243" i="2" a="1"/>
  <c r="AD1243" i="2" s="1"/>
  <c r="AA1243" i="2" a="1"/>
  <c r="AA1243" i="2" s="1"/>
  <c r="AA1242" i="2" a="1"/>
  <c r="AA1242" i="2" s="1"/>
  <c r="AB1243" i="2" a="1"/>
  <c r="AB1243" i="2" s="1"/>
  <c r="AD1242" i="2" a="1"/>
  <c r="AD1242" i="2" s="1"/>
  <c r="W1243" i="2" a="1"/>
  <c r="W1243" i="2" s="1"/>
  <c r="AH1241" i="2" a="1"/>
  <c r="AH1241" i="2" s="1"/>
  <c r="AC1245" i="2" a="1"/>
  <c r="AC1245" i="2" s="1"/>
  <c r="AH1245" i="2" a="1"/>
  <c r="AH1245" i="2" s="1"/>
  <c r="AB1244" i="2" a="1"/>
  <c r="AB1244" i="2" s="1"/>
  <c r="AJ1243" i="2" a="1"/>
  <c r="AJ1243" i="2" s="1"/>
  <c r="Z1244" i="2" a="1"/>
  <c r="Z1244" i="2" s="1"/>
  <c r="AC1243" i="2" a="1"/>
  <c r="AC1243" i="2" s="1"/>
  <c r="Y1243" i="2" a="1"/>
  <c r="Y1243" i="2" s="1"/>
  <c r="AJ1268" i="2" a="1"/>
  <c r="AJ1268" i="2" s="1"/>
  <c r="X1246" i="2" a="1"/>
  <c r="X1246" i="2" s="1"/>
  <c r="X1243" i="2" a="1"/>
  <c r="X1243" i="2" s="1"/>
  <c r="AG1242" i="2" a="1"/>
  <c r="AG1242" i="2" s="1"/>
  <c r="AE1245" i="2" a="1"/>
  <c r="AE1245" i="2" s="1"/>
  <c r="AD1245" i="2" a="1"/>
  <c r="AD1245" i="2" s="1"/>
  <c r="AI1244" i="2" a="1"/>
  <c r="AI1244" i="2" s="1"/>
  <c r="AD1244" i="2" a="1"/>
  <c r="AD1244" i="2" s="1"/>
  <c r="AE62" i="2" a="1"/>
  <c r="AE62" i="2" s="1"/>
  <c r="AH62" i="2" a="1"/>
  <c r="AH62" i="2" s="1"/>
  <c r="AE61" i="2" a="1"/>
  <c r="AE61" i="2" s="1"/>
  <c r="AD62" i="2" a="1"/>
  <c r="AD62" i="2" s="1"/>
  <c r="Y63" i="2" a="1"/>
  <c r="Y63" i="2" s="1"/>
  <c r="AB64" i="2" a="1"/>
  <c r="AB64" i="2" s="1"/>
  <c r="W62" i="2" a="1"/>
  <c r="W62" i="2" s="1"/>
  <c r="AI61" i="2" a="1"/>
  <c r="AI61" i="2" s="1"/>
  <c r="AF64" i="2" a="1"/>
  <c r="AF64" i="2" s="1"/>
  <c r="AC62" i="2" a="1"/>
  <c r="AC62" i="2" s="1"/>
  <c r="AG61" i="2" a="1"/>
  <c r="AG61" i="2" s="1"/>
  <c r="AC63" i="2" a="1"/>
  <c r="AC63" i="2" s="1"/>
  <c r="AF78" i="2" a="1"/>
  <c r="AF78" i="2" s="1"/>
  <c r="AG63" i="2" a="1"/>
  <c r="AG63" i="2" s="1"/>
  <c r="W63" i="2" a="1"/>
  <c r="W63" i="2" s="1"/>
  <c r="AG62" i="2" a="1"/>
  <c r="AG62" i="2" s="1"/>
  <c r="X62" i="2" a="1"/>
  <c r="X62" i="2" s="1"/>
  <c r="AB65" i="2" a="1"/>
  <c r="AB65" i="2" s="1"/>
  <c r="AA65" i="2" a="1"/>
  <c r="AA65" i="2" s="1"/>
  <c r="AD61" i="2" a="1"/>
  <c r="AD61" i="2" s="1"/>
  <c r="Z65" i="2" a="1"/>
  <c r="Z65" i="2" s="1"/>
  <c r="Y65" i="2" a="1"/>
  <c r="Y65" i="2" s="1"/>
  <c r="AH64" i="2" a="1"/>
  <c r="AH64" i="2" s="1"/>
  <c r="AC64" i="2" a="1"/>
  <c r="AC64" i="2" s="1"/>
  <c r="AA64" i="2" a="1"/>
  <c r="AA64" i="2" s="1"/>
  <c r="X64" i="2" a="1"/>
  <c r="X64" i="2" s="1"/>
  <c r="AH61" i="2" a="1"/>
  <c r="AH61" i="2" s="1"/>
  <c r="W64" i="2" a="1"/>
  <c r="W64" i="2" s="1"/>
  <c r="AB63" i="2" a="1"/>
  <c r="AB63" i="2" s="1"/>
  <c r="AA63" i="2" a="1"/>
  <c r="AA63" i="2" s="1"/>
  <c r="AJ62" i="2" a="1"/>
  <c r="AJ62" i="2" s="1"/>
  <c r="AB61" i="2" a="1"/>
  <c r="AB61" i="2" s="1"/>
  <c r="AJ63" i="2" a="1"/>
  <c r="AJ63" i="2" s="1"/>
  <c r="AA62" i="2" a="1"/>
  <c r="AA62" i="2" s="1"/>
  <c r="X65" i="2" a="1"/>
  <c r="X65" i="2" s="1"/>
  <c r="W65" i="2" a="1"/>
  <c r="W65" i="2" s="1"/>
  <c r="AF61" i="2" a="1"/>
  <c r="AF61" i="2" s="1"/>
  <c r="AJ64" i="2" a="1"/>
  <c r="AJ64" i="2" s="1"/>
  <c r="AI64" i="2" a="1"/>
  <c r="AI64" i="2" s="1"/>
  <c r="AF62" i="2" a="1"/>
  <c r="AF62" i="2" s="1"/>
  <c r="Y64" i="2" a="1"/>
  <c r="Y64" i="2" s="1"/>
  <c r="AI63" i="2" a="1"/>
  <c r="AI63" i="2" s="1"/>
  <c r="AG64" i="2" a="1"/>
  <c r="AG64" i="2" s="1"/>
  <c r="AF63" i="2" a="1"/>
  <c r="AF63" i="2" s="1"/>
  <c r="AB62" i="2" a="1"/>
  <c r="AB62" i="2" s="1"/>
  <c r="Z62" i="2" a="1"/>
  <c r="Z62" i="2" s="1"/>
  <c r="AE64" i="2" a="1"/>
  <c r="AE64" i="2" s="1"/>
  <c r="AH63" i="2" a="1"/>
  <c r="AH63" i="2" s="1"/>
  <c r="AD64" i="2" a="1"/>
  <c r="AD64" i="2" s="1"/>
  <c r="Z64" i="2" a="1"/>
  <c r="Z64" i="2" s="1"/>
  <c r="AE63" i="2" a="1"/>
  <c r="AE63" i="2" s="1"/>
  <c r="AD63" i="2" a="1"/>
  <c r="AD63" i="2" s="1"/>
  <c r="Z63" i="2" a="1"/>
  <c r="Z63" i="2" s="1"/>
  <c r="X63" i="2" a="1"/>
  <c r="X63" i="2" s="1"/>
  <c r="AI62" i="2" a="1"/>
  <c r="AI62" i="2" s="1"/>
  <c r="AJ61" i="2" a="1"/>
  <c r="AJ61" i="2" s="1"/>
  <c r="Y62" i="2" a="1"/>
  <c r="Y62" i="2" s="1"/>
  <c r="AC61" i="2" a="1"/>
  <c r="AC61" i="2" s="1"/>
  <c r="AF60" i="2" a="1"/>
  <c r="AF60" i="2" s="1"/>
  <c r="AA60" i="2" a="1"/>
  <c r="AA60" i="2" s="1"/>
  <c r="AI57" i="2" a="1"/>
  <c r="AI57" i="2" s="1"/>
  <c r="Y60" i="2" a="1"/>
  <c r="Y60" i="2" s="1"/>
  <c r="AB59" i="2" a="1"/>
  <c r="AB59" i="2" s="1"/>
  <c r="AI59" i="2" a="1"/>
  <c r="AI59" i="2" s="1"/>
  <c r="AB58" i="2" a="1"/>
  <c r="AB58" i="2" s="1"/>
  <c r="W58" i="2" a="1"/>
  <c r="W58" i="2" s="1"/>
  <c r="AG57" i="2" a="1"/>
  <c r="AG57" i="2" s="1"/>
  <c r="AA58" i="2" a="1"/>
  <c r="AA58" i="2" s="1"/>
  <c r="Z59" i="2" a="1"/>
  <c r="Z59" i="2" s="1"/>
  <c r="X61" i="2" a="1"/>
  <c r="X61" i="2" s="1"/>
  <c r="W61" i="2" a="1"/>
  <c r="W61" i="2" s="1"/>
  <c r="AI60" i="2" a="1"/>
  <c r="AI60" i="2" s="1"/>
  <c r="AE60" i="2" a="1"/>
  <c r="AE60" i="2" s="1"/>
  <c r="Z57" i="2" a="1"/>
  <c r="Z57" i="2" s="1"/>
  <c r="AE57" i="2" a="1"/>
  <c r="AE57" i="2" s="1"/>
  <c r="AG60" i="2" a="1"/>
  <c r="AG60" i="2" s="1"/>
  <c r="X59" i="2" a="1"/>
  <c r="X59" i="2" s="1"/>
  <c r="Y58" i="2" a="1"/>
  <c r="Y58" i="2" s="1"/>
  <c r="Y57" i="2" a="1"/>
  <c r="Y57" i="2" s="1"/>
  <c r="AB60" i="2" a="1"/>
  <c r="AB60" i="2" s="1"/>
  <c r="Z60" i="2" a="1"/>
  <c r="Z60" i="2" s="1"/>
  <c r="AG59" i="2" a="1"/>
  <c r="AG59" i="2" s="1"/>
  <c r="AE59" i="2" a="1"/>
  <c r="AE59" i="2" s="1"/>
  <c r="AC57" i="2" a="1"/>
  <c r="AC57" i="2" s="1"/>
  <c r="W59" i="2" a="1"/>
  <c r="W59" i="2" s="1"/>
  <c r="AH57" i="2" a="1"/>
  <c r="AH57" i="2" s="1"/>
  <c r="AE58" i="2" a="1"/>
  <c r="AE58" i="2" s="1"/>
  <c r="AJ57" i="2" a="1"/>
  <c r="AJ57" i="2" s="1"/>
  <c r="AD60" i="2" a="1"/>
  <c r="AD60" i="2" s="1"/>
  <c r="W60" i="2" a="1"/>
  <c r="W60" i="2" s="1"/>
  <c r="AD59" i="2" a="1"/>
  <c r="AD59" i="2" s="1"/>
  <c r="AD58" i="2" a="1"/>
  <c r="AD58" i="2" s="1"/>
  <c r="AF57" i="2" a="1"/>
  <c r="AF57" i="2" s="1"/>
  <c r="AD57" i="2" a="1"/>
  <c r="AD57" i="2" s="1"/>
  <c r="AJ58" i="2" a="1"/>
  <c r="AJ58" i="2" s="1"/>
  <c r="AA57" i="2" a="1"/>
  <c r="AA57" i="2" s="1"/>
  <c r="AJ56" i="2" a="1"/>
  <c r="AJ56" i="2" s="1"/>
  <c r="AF59" i="2" a="1"/>
  <c r="AF59" i="2" s="1"/>
  <c r="AF58" i="2" a="1"/>
  <c r="AF58" i="2" s="1"/>
  <c r="AC58" i="2" a="1"/>
  <c r="AC58" i="2" s="1"/>
  <c r="AH60" i="2" a="1"/>
  <c r="AH60" i="2" s="1"/>
  <c r="AH59" i="2" a="1"/>
  <c r="AH59" i="2" s="1"/>
  <c r="AC59" i="2" a="1"/>
  <c r="AC59" i="2" s="1"/>
  <c r="AI58" i="2" a="1"/>
  <c r="AI58" i="2" s="1"/>
  <c r="W57" i="2" a="1"/>
  <c r="W57" i="2" s="1"/>
  <c r="Y59" i="2" a="1"/>
  <c r="Y59" i="2" s="1"/>
  <c r="AJ78" i="2" a="1"/>
  <c r="AJ78" i="2" s="1"/>
  <c r="AA59" i="2" a="1"/>
  <c r="AA59" i="2" s="1"/>
  <c r="AG58" i="2" a="1"/>
  <c r="AG58" i="2" s="1"/>
  <c r="X58" i="2" a="1"/>
  <c r="X58" i="2" s="1"/>
  <c r="AJ60" i="2" a="1"/>
  <c r="AJ60" i="2" s="1"/>
  <c r="AC60" i="2" a="1"/>
  <c r="AC60" i="2" s="1"/>
  <c r="X60" i="2" a="1"/>
  <c r="X60" i="2" s="1"/>
  <c r="Z58" i="2" a="1"/>
  <c r="Z58" i="2" s="1"/>
  <c r="AJ59" i="2" a="1"/>
  <c r="AJ59" i="2" s="1"/>
  <c r="X57" i="2" a="1"/>
  <c r="X57" i="2" s="1"/>
  <c r="AH58" i="2" a="1"/>
  <c r="AH58" i="2" s="1"/>
  <c r="AB57" i="2" a="1"/>
  <c r="AB57" i="2" s="1"/>
  <c r="AA61" i="2" a="1"/>
  <c r="AA61" i="2" s="1"/>
  <c r="Z61" i="2" a="1"/>
  <c r="Z61" i="2" s="1"/>
  <c r="Y61" i="2" a="1"/>
  <c r="Y61" i="2" s="1"/>
  <c r="AA1308" i="2" a="1"/>
  <c r="AA1308" i="2" s="1"/>
  <c r="AD1308" i="2" a="1"/>
  <c r="AD1308" i="2" s="1"/>
  <c r="AF1308" i="2" a="1"/>
  <c r="AF1308" i="2" s="1"/>
  <c r="AE1309" i="2" a="1"/>
  <c r="AE1309" i="2" s="1"/>
  <c r="AF1309" i="2" a="1"/>
  <c r="AF1309" i="2" s="1"/>
  <c r="Z1309" i="2" a="1"/>
  <c r="Z1309" i="2" s="1"/>
  <c r="AI56" i="2" a="1"/>
  <c r="AI56" i="2" s="1"/>
  <c r="Y1309" i="2" a="1"/>
  <c r="Y1309" i="2" s="1"/>
  <c r="AF1307" i="2" a="1"/>
  <c r="AF1307" i="2" s="1"/>
  <c r="AJ1307" i="2" a="1"/>
  <c r="AJ1307" i="2" s="1"/>
  <c r="AH56" i="2" a="1"/>
  <c r="AH56" i="2" s="1"/>
  <c r="AC56" i="2" a="1"/>
  <c r="AC56" i="2" s="1"/>
  <c r="W1309" i="2" a="1"/>
  <c r="W1309" i="2" s="1"/>
  <c r="AA56" i="2" a="1"/>
  <c r="AA56" i="2" s="1"/>
  <c r="W1308" i="2" a="1"/>
  <c r="W1308" i="2" s="1"/>
  <c r="AH1307" i="2" a="1"/>
  <c r="AH1307" i="2" s="1"/>
  <c r="AB56" i="2" a="1"/>
  <c r="AB56" i="2" s="1"/>
  <c r="AI55" i="2" a="1"/>
  <c r="AI55" i="2" s="1"/>
  <c r="Z56" i="2" a="1"/>
  <c r="Z56" i="2" s="1"/>
  <c r="AH55" i="2" a="1"/>
  <c r="AH55" i="2" s="1"/>
  <c r="X56" i="2" a="1"/>
  <c r="X56" i="2" s="1"/>
  <c r="W56" i="2" a="1"/>
  <c r="W56" i="2" s="1"/>
  <c r="AE1307" i="2" a="1"/>
  <c r="AE1307" i="2" s="1"/>
  <c r="AJ1309" i="2" a="1"/>
  <c r="AJ1309" i="2" s="1"/>
  <c r="AI1309" i="2" a="1"/>
  <c r="AI1309" i="2" s="1"/>
  <c r="AH1309" i="2" a="1"/>
  <c r="AH1309" i="2" s="1"/>
  <c r="AG1309" i="2" a="1"/>
  <c r="AG1309" i="2" s="1"/>
  <c r="X1309" i="2" a="1"/>
  <c r="X1309" i="2" s="1"/>
  <c r="AG1308" i="2" a="1"/>
  <c r="AG1308" i="2" s="1"/>
  <c r="AJ1308" i="2" a="1"/>
  <c r="AJ1308" i="2" s="1"/>
  <c r="AI1307" i="2" a="1"/>
  <c r="AI1307" i="2" s="1"/>
  <c r="AC1308" i="2" a="1"/>
  <c r="AC1308" i="2" s="1"/>
  <c r="AD1309" i="2" a="1"/>
  <c r="AD1309" i="2" s="1"/>
  <c r="AC1309" i="2" a="1"/>
  <c r="AC1309" i="2" s="1"/>
  <c r="AG1307" i="2" a="1"/>
  <c r="AG1307" i="2" s="1"/>
  <c r="AA1309" i="2" a="1"/>
  <c r="AA1309" i="2" s="1"/>
  <c r="AI1308" i="2" a="1"/>
  <c r="AI1308" i="2" s="1"/>
  <c r="AE1308" i="2" a="1"/>
  <c r="AE1308" i="2" s="1"/>
  <c r="X1308" i="2" a="1"/>
  <c r="X1308" i="2" s="1"/>
  <c r="AD56" i="2" a="1"/>
  <c r="AD56" i="2" s="1"/>
  <c r="AE78" i="2" a="1"/>
  <c r="AE78" i="2" s="1"/>
  <c r="AG56" i="2" a="1"/>
  <c r="AG56" i="2" s="1"/>
  <c r="AJ55" i="2" a="1"/>
  <c r="AJ55" i="2" s="1"/>
  <c r="W1310" i="2" a="1"/>
  <c r="W1310" i="2" s="1"/>
  <c r="AF56" i="2" a="1"/>
  <c r="AF56" i="2" s="1"/>
  <c r="Y1308" i="2" a="1"/>
  <c r="Y1308" i="2" s="1"/>
  <c r="AE56" i="2" a="1"/>
  <c r="AE56" i="2" s="1"/>
  <c r="AB1309" i="2" a="1"/>
  <c r="AB1309" i="2" s="1"/>
  <c r="Z1311" i="2" a="1"/>
  <c r="Z1311" i="2" s="1"/>
  <c r="AF1310" i="2" a="1"/>
  <c r="AF1310" i="2" s="1"/>
  <c r="AE1310" i="2" a="1"/>
  <c r="AE1310" i="2" s="1"/>
  <c r="Z1308" i="2" a="1"/>
  <c r="Z1308" i="2" s="1"/>
  <c r="AG55" i="2" a="1"/>
  <c r="AG55" i="2" s="1"/>
  <c r="AD1310" i="2" a="1"/>
  <c r="AD1310" i="2" s="1"/>
  <c r="Y56" i="2" a="1"/>
  <c r="Y56" i="2" s="1"/>
  <c r="X1310" i="2" a="1"/>
  <c r="X1310" i="2" s="1"/>
  <c r="AC1310" i="2" a="1"/>
  <c r="AC1310" i="2" s="1"/>
  <c r="AB1310" i="2" a="1"/>
  <c r="AB1310" i="2" s="1"/>
  <c r="AA1310" i="2" a="1"/>
  <c r="AA1310" i="2" s="1"/>
  <c r="Z1310" i="2" a="1"/>
  <c r="Z1310" i="2" s="1"/>
  <c r="AH1308" i="2" a="1"/>
  <c r="AH1308" i="2" s="1"/>
  <c r="Y1310" i="2" a="1"/>
  <c r="Y1310" i="2" s="1"/>
  <c r="AB1308" i="2" a="1"/>
  <c r="AB1308" i="2" s="1"/>
  <c r="X1306" i="2" a="1"/>
  <c r="X1306" i="2" s="1"/>
  <c r="AI1305" i="2" a="1"/>
  <c r="AI1305" i="2" s="1"/>
  <c r="AA1305" i="2" a="1"/>
  <c r="AA1305" i="2" s="1"/>
  <c r="Y1305" i="2" a="1"/>
  <c r="Y1305" i="2" s="1"/>
  <c r="AF1303" i="2" a="1"/>
  <c r="AF1303" i="2" s="1"/>
  <c r="X1305" i="2" a="1"/>
  <c r="X1305" i="2" s="1"/>
  <c r="AH1304" i="2" a="1"/>
  <c r="AH1304" i="2" s="1"/>
  <c r="AD1304" i="2" a="1"/>
  <c r="AD1304" i="2" s="1"/>
  <c r="Z1304" i="2" a="1"/>
  <c r="Z1304" i="2" s="1"/>
  <c r="AB1304" i="2" a="1"/>
  <c r="AB1304" i="2" s="1"/>
  <c r="AA1304" i="2" a="1"/>
  <c r="AA1304" i="2" s="1"/>
  <c r="X1304" i="2" a="1"/>
  <c r="X1304" i="2" s="1"/>
  <c r="AB1303" i="2" a="1"/>
  <c r="AB1303" i="2" s="1"/>
  <c r="AE1303" i="2" a="1"/>
  <c r="AE1303" i="2" s="1"/>
  <c r="AJ1303" i="2" a="1"/>
  <c r="AJ1303" i="2" s="1"/>
  <c r="W1304" i="2" a="1"/>
  <c r="W1304" i="2" s="1"/>
  <c r="AH1305" i="2" a="1"/>
  <c r="AH1305" i="2" s="1"/>
  <c r="AF1305" i="2" a="1"/>
  <c r="AF1305" i="2" s="1"/>
  <c r="AC1303" i="2" a="1"/>
  <c r="AC1303" i="2" s="1"/>
  <c r="AI1304" i="2" a="1"/>
  <c r="AI1304" i="2" s="1"/>
  <c r="AF1304" i="2" a="1"/>
  <c r="AF1304" i="2" s="1"/>
  <c r="Y1303" i="2" a="1"/>
  <c r="Y1303" i="2" s="1"/>
  <c r="AE1304" i="2" a="1"/>
  <c r="AE1304" i="2" s="1"/>
  <c r="Z1303" i="2" a="1"/>
  <c r="Z1303" i="2" s="1"/>
  <c r="Y1307" i="2" a="1"/>
  <c r="Y1307" i="2" s="1"/>
  <c r="AI1306" i="2" a="1"/>
  <c r="AI1306" i="2" s="1"/>
  <c r="AE1305" i="2" a="1"/>
  <c r="AE1305" i="2" s="1"/>
  <c r="AE1306" i="2" a="1"/>
  <c r="AE1306" i="2" s="1"/>
  <c r="AI1303" i="2" a="1"/>
  <c r="AI1303" i="2" s="1"/>
  <c r="Y1306" i="2" a="1"/>
  <c r="Y1306" i="2" s="1"/>
  <c r="AG1303" i="2" a="1"/>
  <c r="AG1303" i="2" s="1"/>
  <c r="W1311" i="2" a="1"/>
  <c r="W1311" i="2" s="1"/>
  <c r="AD1307" i="2" a="1"/>
  <c r="AD1307" i="2" s="1"/>
  <c r="W1307" i="2" a="1"/>
  <c r="W1307" i="2" s="1"/>
  <c r="AC1305" i="2" a="1"/>
  <c r="AC1305" i="2" s="1"/>
  <c r="W1305" i="2" a="1"/>
  <c r="W1305" i="2" s="1"/>
  <c r="AB1305" i="2" a="1"/>
  <c r="AB1305" i="2" s="1"/>
  <c r="AC1307" i="2" a="1"/>
  <c r="AC1307" i="2" s="1"/>
  <c r="AB1307" i="2" a="1"/>
  <c r="AB1307" i="2" s="1"/>
  <c r="AA1307" i="2" a="1"/>
  <c r="AA1307" i="2" s="1"/>
  <c r="Z1307" i="2" a="1"/>
  <c r="Z1307" i="2" s="1"/>
  <c r="X1307" i="2" a="1"/>
  <c r="X1307" i="2" s="1"/>
  <c r="AJ1306" i="2" a="1"/>
  <c r="AJ1306" i="2" s="1"/>
  <c r="AG1306" i="2" a="1"/>
  <c r="AG1306" i="2" s="1"/>
  <c r="AG1305" i="2" a="1"/>
  <c r="AG1305" i="2" s="1"/>
  <c r="AG1304" i="2" a="1"/>
  <c r="AG1304" i="2" s="1"/>
  <c r="AA1303" i="2" a="1"/>
  <c r="AA1303" i="2" s="1"/>
  <c r="Z1305" i="2" a="1"/>
  <c r="Z1305" i="2" s="1"/>
  <c r="AJ1304" i="2" a="1"/>
  <c r="AJ1304" i="2" s="1"/>
  <c r="AH1306" i="2" a="1"/>
  <c r="AH1306" i="2" s="1"/>
  <c r="Z1306" i="2" a="1"/>
  <c r="Z1306" i="2" s="1"/>
  <c r="AH1303" i="2" a="1"/>
  <c r="AH1303" i="2" s="1"/>
  <c r="AA1306" i="2" a="1"/>
  <c r="AA1306" i="2" s="1"/>
  <c r="AD1306" i="2" a="1"/>
  <c r="AD1306" i="2" s="1"/>
  <c r="W1306" i="2" a="1"/>
  <c r="W1306" i="2" s="1"/>
  <c r="AJ1305" i="2" a="1"/>
  <c r="AJ1305" i="2" s="1"/>
  <c r="AD1305" i="2" a="1"/>
  <c r="AD1305" i="2" s="1"/>
  <c r="AC1304" i="2" a="1"/>
  <c r="AC1304" i="2" s="1"/>
  <c r="Y1304" i="2" a="1"/>
  <c r="Y1304" i="2" s="1"/>
  <c r="AD1303" i="2" a="1"/>
  <c r="AD1303" i="2" s="1"/>
  <c r="X1303" i="2" a="1"/>
  <c r="X1303" i="2" s="1"/>
  <c r="AF1306" i="2" a="1"/>
  <c r="AF1306" i="2" s="1"/>
  <c r="AC1306" i="2" a="1"/>
  <c r="AC1306" i="2" s="1"/>
  <c r="AB1306" i="2" a="1"/>
  <c r="AB1306" i="2" s="1"/>
  <c r="AI1302" i="2" a="1"/>
  <c r="AI1302" i="2" s="1"/>
  <c r="AG1302" i="2" a="1"/>
  <c r="AG1302" i="2" s="1"/>
  <c r="X1301" i="2" a="1"/>
  <c r="X1301" i="2" s="1"/>
  <c r="AC1300" i="2" a="1"/>
  <c r="AC1300" i="2" s="1"/>
  <c r="AH1298" i="2" a="1"/>
  <c r="AH1298" i="2" s="1"/>
  <c r="AE1302" i="2" a="1"/>
  <c r="AE1302" i="2" s="1"/>
  <c r="AD1302" i="2" a="1"/>
  <c r="AD1302" i="2" s="1"/>
  <c r="AC1302" i="2" a="1"/>
  <c r="AC1302" i="2" s="1"/>
  <c r="AJ1301" i="2" a="1"/>
  <c r="AJ1301" i="2" s="1"/>
  <c r="W1300" i="2" a="1"/>
  <c r="W1300" i="2" s="1"/>
  <c r="Z1299" i="2" a="1"/>
  <c r="Z1299" i="2" s="1"/>
  <c r="AA1302" i="2" a="1"/>
  <c r="AA1302" i="2" s="1"/>
  <c r="AG1298" i="2" a="1"/>
  <c r="AG1298" i="2" s="1"/>
  <c r="Z1302" i="2" a="1"/>
  <c r="Z1302" i="2" s="1"/>
  <c r="Y1302" i="2" a="1"/>
  <c r="Y1302" i="2" s="1"/>
  <c r="Z1301" i="2" a="1"/>
  <c r="Z1301" i="2" s="1"/>
  <c r="W1302" i="2" a="1"/>
  <c r="W1302" i="2" s="1"/>
  <c r="AG1301" i="2" a="1"/>
  <c r="AG1301" i="2" s="1"/>
  <c r="AE1301" i="2" a="1"/>
  <c r="AE1301" i="2" s="1"/>
  <c r="AD1300" i="2" a="1"/>
  <c r="AD1300" i="2" s="1"/>
  <c r="AB1299" i="2" a="1"/>
  <c r="AB1299" i="2" s="1"/>
  <c r="AI1298" i="2" a="1"/>
  <c r="AI1298" i="2" s="1"/>
  <c r="Z1300" i="2" a="1"/>
  <c r="Z1300" i="2" s="1"/>
  <c r="AE1298" i="2" a="1"/>
  <c r="AE1298" i="2" s="1"/>
  <c r="AA1301" i="2" a="1"/>
  <c r="AA1301" i="2" s="1"/>
  <c r="AJ1298" i="2" a="1"/>
  <c r="AJ1298" i="2" s="1"/>
  <c r="AI1301" i="2" a="1"/>
  <c r="AI1301" i="2" s="1"/>
  <c r="AD1301" i="2" a="1"/>
  <c r="AD1301" i="2" s="1"/>
  <c r="Y1301" i="2" a="1"/>
  <c r="Y1301" i="2" s="1"/>
  <c r="AG1300" i="2" a="1"/>
  <c r="AG1300" i="2" s="1"/>
  <c r="AF1300" i="2" a="1"/>
  <c r="AF1300" i="2" s="1"/>
  <c r="AF1299" i="2" a="1"/>
  <c r="AF1299" i="2" s="1"/>
  <c r="AD1299" i="2" a="1"/>
  <c r="AD1299" i="2" s="1"/>
  <c r="AF1301" i="2" a="1"/>
  <c r="AF1301" i="2" s="1"/>
  <c r="AJ1299" i="2" a="1"/>
  <c r="AJ1299" i="2" s="1"/>
  <c r="AC1299" i="2" a="1"/>
  <c r="AC1299" i="2" s="1"/>
  <c r="AH1300" i="2" a="1"/>
  <c r="AH1300" i="2" s="1"/>
  <c r="AH1299" i="2" a="1"/>
  <c r="AH1299" i="2" s="1"/>
  <c r="AE1300" i="2" a="1"/>
  <c r="AE1300" i="2" s="1"/>
  <c r="AI1300" i="2" a="1"/>
  <c r="AI1300" i="2" s="1"/>
  <c r="AJ1300" i="2" a="1"/>
  <c r="AJ1300" i="2" s="1"/>
  <c r="AG1299" i="2" a="1"/>
  <c r="AG1299" i="2" s="1"/>
  <c r="X1300" i="2" a="1"/>
  <c r="X1300" i="2" s="1"/>
  <c r="AA1300" i="2" a="1"/>
  <c r="AA1300" i="2" s="1"/>
  <c r="AH1302" i="2" a="1"/>
  <c r="AH1302" i="2" s="1"/>
  <c r="AB1301" i="2" a="1"/>
  <c r="AB1301" i="2" s="1"/>
  <c r="AF1298" i="2" a="1"/>
  <c r="AF1298" i="2" s="1"/>
  <c r="AI1299" i="2" a="1"/>
  <c r="AI1299" i="2" s="1"/>
  <c r="AH1301" i="2" a="1"/>
  <c r="AH1301" i="2" s="1"/>
  <c r="W1301" i="2" a="1"/>
  <c r="W1301" i="2" s="1"/>
  <c r="AB1300" i="2" a="1"/>
  <c r="AB1300" i="2" s="1"/>
  <c r="X1299" i="2" a="1"/>
  <c r="X1299" i="2" s="1"/>
  <c r="X1302" i="2" a="1"/>
  <c r="X1302" i="2" s="1"/>
  <c r="Y1300" i="2" a="1"/>
  <c r="Y1300" i="2" s="1"/>
  <c r="AF1302" i="2" a="1"/>
  <c r="AF1302" i="2" s="1"/>
  <c r="AC1301" i="2" a="1"/>
  <c r="AC1301" i="2" s="1"/>
  <c r="Y1299" i="2" a="1"/>
  <c r="Y1299" i="2" s="1"/>
  <c r="AJ1302" i="2" a="1"/>
  <c r="AJ1302" i="2" s="1"/>
  <c r="AE1299" i="2" a="1"/>
  <c r="AE1299" i="2" s="1"/>
  <c r="W1299" i="2" a="1"/>
  <c r="W1299" i="2" s="1"/>
  <c r="AA1299" i="2" a="1"/>
  <c r="AA1299" i="2" s="1"/>
  <c r="AA1311" i="2" a="1"/>
  <c r="AA1311" i="2" s="1"/>
  <c r="W1303" i="2" a="1"/>
  <c r="W1303" i="2" s="1"/>
  <c r="AB1302" i="2" a="1"/>
  <c r="AB1302" i="2" s="1"/>
  <c r="AH1297" i="2" a="1"/>
  <c r="AH1297" i="2" s="1"/>
  <c r="AH1296" i="2" a="1"/>
  <c r="AH1296" i="2" s="1"/>
  <c r="AH1295" i="2" a="1"/>
  <c r="AH1295" i="2" s="1"/>
  <c r="AE1294" i="2" a="1"/>
  <c r="AE1294" i="2" s="1"/>
  <c r="AC1294" i="2" a="1"/>
  <c r="AC1294" i="2" s="1"/>
  <c r="AC1296" i="2" a="1"/>
  <c r="AC1296" i="2" s="1"/>
  <c r="AE1296" i="2" a="1"/>
  <c r="AE1296" i="2" s="1"/>
  <c r="W1295" i="2" a="1"/>
  <c r="W1295" i="2" s="1"/>
  <c r="AJ1297" i="2" a="1"/>
  <c r="AJ1297" i="2" s="1"/>
  <c r="AG1294" i="2" a="1"/>
  <c r="AG1294" i="2" s="1"/>
  <c r="AG1297" i="2" a="1"/>
  <c r="AG1297" i="2" s="1"/>
  <c r="AB1297" i="2" a="1"/>
  <c r="AB1297" i="2" s="1"/>
  <c r="AA1297" i="2" a="1"/>
  <c r="AA1297" i="2" s="1"/>
  <c r="Y1296" i="2" a="1"/>
  <c r="Y1296" i="2" s="1"/>
  <c r="W1296" i="2" a="1"/>
  <c r="W1296" i="2" s="1"/>
  <c r="AE1295" i="2" a="1"/>
  <c r="AE1295" i="2" s="1"/>
  <c r="AE1297" i="2" a="1"/>
  <c r="AE1297" i="2" s="1"/>
  <c r="AD1297" i="2" a="1"/>
  <c r="AD1297" i="2" s="1"/>
  <c r="Y1297" i="2" a="1"/>
  <c r="Y1297" i="2" s="1"/>
  <c r="AA1296" i="2" a="1"/>
  <c r="AA1296" i="2" s="1"/>
  <c r="X1297" i="2" a="1"/>
  <c r="X1297" i="2" s="1"/>
  <c r="AI1296" i="2" a="1"/>
  <c r="AI1296" i="2" s="1"/>
  <c r="AG1296" i="2" a="1"/>
  <c r="AG1296" i="2" s="1"/>
  <c r="Z1294" i="2" a="1"/>
  <c r="Z1294" i="2" s="1"/>
  <c r="AF1297" i="2" a="1"/>
  <c r="AF1297" i="2" s="1"/>
  <c r="AJ1296" i="2" a="1"/>
  <c r="AJ1296" i="2" s="1"/>
  <c r="AD1296" i="2" a="1"/>
  <c r="AD1296" i="2" s="1"/>
  <c r="X1296" i="2" a="1"/>
  <c r="X1296" i="2" s="1"/>
  <c r="AF1294" i="2" a="1"/>
  <c r="AF1294" i="2" s="1"/>
  <c r="Z1296" i="2" a="1"/>
  <c r="Z1296" i="2" s="1"/>
  <c r="AC1297" i="2" a="1"/>
  <c r="AC1297" i="2" s="1"/>
  <c r="AJ1310" i="2" a="1"/>
  <c r="AJ1310" i="2" s="1"/>
  <c r="W1297" i="2" a="1"/>
  <c r="W1297" i="2" s="1"/>
  <c r="AD1298" i="2" a="1"/>
  <c r="AD1298" i="2" s="1"/>
  <c r="AC1298" i="2" a="1"/>
  <c r="AC1298" i="2" s="1"/>
  <c r="AB1298" i="2" a="1"/>
  <c r="AB1298" i="2" s="1"/>
  <c r="AA1298" i="2" a="1"/>
  <c r="AA1298" i="2" s="1"/>
  <c r="Z1298" i="2" a="1"/>
  <c r="Z1298" i="2" s="1"/>
  <c r="X1298" i="2" a="1"/>
  <c r="X1298" i="2" s="1"/>
  <c r="X1295" i="2" a="1"/>
  <c r="X1295" i="2" s="1"/>
  <c r="AI1294" i="2" a="1"/>
  <c r="AI1294" i="2" s="1"/>
  <c r="AH1294" i="2" a="1"/>
  <c r="AH1294" i="2" s="1"/>
  <c r="X1294" i="2" a="1"/>
  <c r="X1294" i="2" s="1"/>
  <c r="AA1294" i="2" a="1"/>
  <c r="AA1294" i="2" s="1"/>
  <c r="AF1295" i="2" a="1"/>
  <c r="AF1295" i="2" s="1"/>
  <c r="AI1297" i="2" a="1"/>
  <c r="AI1297" i="2" s="1"/>
  <c r="AF1296" i="2" a="1"/>
  <c r="AF1296" i="2" s="1"/>
  <c r="AC1295" i="2" a="1"/>
  <c r="AC1295" i="2" s="1"/>
  <c r="Z1295" i="2" a="1"/>
  <c r="Z1295" i="2" s="1"/>
  <c r="AI1295" i="2" a="1"/>
  <c r="AI1295" i="2" s="1"/>
  <c r="AD1294" i="2" a="1"/>
  <c r="AD1294" i="2" s="1"/>
  <c r="AB1294" i="2" a="1"/>
  <c r="AB1294" i="2" s="1"/>
  <c r="AJ1294" i="2" a="1"/>
  <c r="AJ1294" i="2" s="1"/>
  <c r="Y1294" i="2" a="1"/>
  <c r="Y1294" i="2" s="1"/>
  <c r="AB1295" i="2" a="1"/>
  <c r="AB1295" i="2" s="1"/>
  <c r="Y1295" i="2" a="1"/>
  <c r="Y1295" i="2" s="1"/>
  <c r="Y1298" i="2" a="1"/>
  <c r="Y1298" i="2" s="1"/>
  <c r="AB1296" i="2" a="1"/>
  <c r="AB1296" i="2" s="1"/>
  <c r="Z1297" i="2" a="1"/>
  <c r="Z1297" i="2" s="1"/>
  <c r="AJ1295" i="2" a="1"/>
  <c r="AJ1295" i="2" s="1"/>
  <c r="AG1295" i="2" a="1"/>
  <c r="AG1295" i="2" s="1"/>
  <c r="AD1295" i="2" a="1"/>
  <c r="AD1295" i="2" s="1"/>
  <c r="AA1295" i="2" a="1"/>
  <c r="AA1295" i="2" s="1"/>
  <c r="W1298" i="2" a="1"/>
  <c r="W1298" i="2" s="1"/>
  <c r="AE54" i="2" a="1"/>
  <c r="AE54" i="2" s="1"/>
  <c r="AB54" i="2" a="1"/>
  <c r="AB54" i="2" s="1"/>
  <c r="X54" i="2" a="1"/>
  <c r="X54" i="2" s="1"/>
  <c r="AI51" i="2" a="1"/>
  <c r="AI51" i="2" s="1"/>
  <c r="X52" i="2" a="1"/>
  <c r="X52" i="2" s="1"/>
  <c r="AF52" i="2" a="1"/>
  <c r="AF52" i="2" s="1"/>
  <c r="Z52" i="2" a="1"/>
  <c r="Z52" i="2" s="1"/>
  <c r="AG53" i="2" a="1"/>
  <c r="AG53" i="2" s="1"/>
  <c r="AD51" i="2" a="1"/>
  <c r="AD51" i="2" s="1"/>
  <c r="AJ51" i="2" a="1"/>
  <c r="AJ51" i="2" s="1"/>
  <c r="AA52" i="2" a="1"/>
  <c r="AA52" i="2" s="1"/>
  <c r="AI52" i="2" a="1"/>
  <c r="AI52" i="2" s="1"/>
  <c r="AD53" i="2" a="1"/>
  <c r="AD53" i="2" s="1"/>
  <c r="AA53" i="2" a="1"/>
  <c r="AA53" i="2" s="1"/>
  <c r="X53" i="2" a="1"/>
  <c r="X53" i="2" s="1"/>
  <c r="AH51" i="2" a="1"/>
  <c r="AH51" i="2" s="1"/>
  <c r="AC52" i="2" a="1"/>
  <c r="AC52" i="2" s="1"/>
  <c r="AC53" i="2" a="1"/>
  <c r="AC53" i="2" s="1"/>
  <c r="W52" i="2" a="1"/>
  <c r="W52" i="2" s="1"/>
  <c r="Y52" i="2" a="1"/>
  <c r="Y52" i="2" s="1"/>
  <c r="AB55" i="2" a="1"/>
  <c r="AB55" i="2" s="1"/>
  <c r="Z53" i="2" a="1"/>
  <c r="Z53" i="2" s="1"/>
  <c r="AJ52" i="2" a="1"/>
  <c r="AJ52" i="2" s="1"/>
  <c r="AE52" i="2" a="1"/>
  <c r="AE52" i="2" s="1"/>
  <c r="AF51" i="2" a="1"/>
  <c r="AF51" i="2" s="1"/>
  <c r="AF54" i="2" a="1"/>
  <c r="AF54" i="2" s="1"/>
  <c r="AH53" i="2" a="1"/>
  <c r="AH53" i="2" s="1"/>
  <c r="AA55" i="2" a="1"/>
  <c r="AA55" i="2" s="1"/>
  <c r="AH54" i="2" a="1"/>
  <c r="AH54" i="2" s="1"/>
  <c r="AH78" i="2" a="1"/>
  <c r="AH78" i="2" s="1"/>
  <c r="AF55" i="2" a="1"/>
  <c r="AF55" i="2" s="1"/>
  <c r="AE55" i="2" a="1"/>
  <c r="AE55" i="2" s="1"/>
  <c r="AD55" i="2" a="1"/>
  <c r="AD55" i="2" s="1"/>
  <c r="AC55" i="2" a="1"/>
  <c r="AC55" i="2" s="1"/>
  <c r="Z55" i="2" a="1"/>
  <c r="Z55" i="2" s="1"/>
  <c r="Y55" i="2" a="1"/>
  <c r="Y55" i="2" s="1"/>
  <c r="AE51" i="2" a="1"/>
  <c r="AE51" i="2" s="1"/>
  <c r="AG51" i="2" a="1"/>
  <c r="AG51" i="2" s="1"/>
  <c r="W54" i="2" a="1"/>
  <c r="W54" i="2" s="1"/>
  <c r="AJ53" i="2" a="1"/>
  <c r="AJ53" i="2" s="1"/>
  <c r="AE53" i="2" a="1"/>
  <c r="AE53" i="2" s="1"/>
  <c r="AC51" i="2" a="1"/>
  <c r="AC51" i="2" s="1"/>
  <c r="AG52" i="2" a="1"/>
  <c r="AG52" i="2" s="1"/>
  <c r="AA54" i="2" a="1"/>
  <c r="AA54" i="2" s="1"/>
  <c r="X55" i="2" a="1"/>
  <c r="X55" i="2" s="1"/>
  <c r="AB53" i="2" a="1"/>
  <c r="AB53" i="2" s="1"/>
  <c r="W55" i="2" a="1"/>
  <c r="W55" i="2" s="1"/>
  <c r="AJ54" i="2" a="1"/>
  <c r="AJ54" i="2" s="1"/>
  <c r="AI54" i="2" a="1"/>
  <c r="AI54" i="2" s="1"/>
  <c r="AC54" i="2" a="1"/>
  <c r="AC54" i="2" s="1"/>
  <c r="Z54" i="2" a="1"/>
  <c r="Z54" i="2" s="1"/>
  <c r="AI53" i="2" a="1"/>
  <c r="AI53" i="2" s="1"/>
  <c r="AH52" i="2" a="1"/>
  <c r="AH52" i="2" s="1"/>
  <c r="AG54" i="2" a="1"/>
  <c r="AG54" i="2" s="1"/>
  <c r="AD54" i="2" a="1"/>
  <c r="AD54" i="2" s="1"/>
  <c r="Y54" i="2" a="1"/>
  <c r="Y54" i="2" s="1"/>
  <c r="AF53" i="2" a="1"/>
  <c r="AF53" i="2" s="1"/>
  <c r="Y53" i="2" a="1"/>
  <c r="Y53" i="2" s="1"/>
  <c r="W53" i="2" a="1"/>
  <c r="W53" i="2" s="1"/>
  <c r="AD52" i="2" a="1"/>
  <c r="AD52" i="2" s="1"/>
  <c r="AB52" i="2" a="1"/>
  <c r="AB52" i="2" s="1"/>
  <c r="Y49" i="2" a="1"/>
  <c r="Y49" i="2" s="1"/>
  <c r="AB1293" i="2" a="1"/>
  <c r="AB1293" i="2" s="1"/>
  <c r="AA1293" i="2" a="1"/>
  <c r="AA1293" i="2" s="1"/>
  <c r="X1293" i="2" a="1"/>
  <c r="X1293" i="2" s="1"/>
  <c r="AA1292" i="2" a="1"/>
  <c r="AA1292" i="2" s="1"/>
  <c r="W1293" i="2" a="1"/>
  <c r="W1293" i="2" s="1"/>
  <c r="AI1292" i="2" a="1"/>
  <c r="AI1292" i="2" s="1"/>
  <c r="AH1292" i="2" a="1"/>
  <c r="AH1292" i="2" s="1"/>
  <c r="AG1292" i="2" a="1"/>
  <c r="AG1292" i="2" s="1"/>
  <c r="AE50" i="2" a="1"/>
  <c r="AE50" i="2" s="1"/>
  <c r="AG49" i="2" a="1"/>
  <c r="AG49" i="2" s="1"/>
  <c r="AB49" i="2" a="1"/>
  <c r="AB49" i="2" s="1"/>
  <c r="AE1292" i="2" a="1"/>
  <c r="AE1292" i="2" s="1"/>
  <c r="Z49" i="2" a="1"/>
  <c r="Z49" i="2" s="1"/>
  <c r="AA51" i="2" a="1"/>
  <c r="AA51" i="2" s="1"/>
  <c r="AD1292" i="2" a="1"/>
  <c r="AD1292" i="2" s="1"/>
  <c r="Z51" i="2" a="1"/>
  <c r="Z51" i="2" s="1"/>
  <c r="AJ49" i="2" a="1"/>
  <c r="AJ49" i="2" s="1"/>
  <c r="AB1292" i="2" a="1"/>
  <c r="AB1292" i="2" s="1"/>
  <c r="AE49" i="2" a="1"/>
  <c r="AE49" i="2" s="1"/>
  <c r="AI50" i="2" a="1"/>
  <c r="AI50" i="2" s="1"/>
  <c r="AH50" i="2" a="1"/>
  <c r="AH50" i="2" s="1"/>
  <c r="AF50" i="2" a="1"/>
  <c r="AF50" i="2" s="1"/>
  <c r="X1292" i="2" a="1"/>
  <c r="X1292" i="2" s="1"/>
  <c r="X49" i="2" a="1"/>
  <c r="X49" i="2" s="1"/>
  <c r="AD50" i="2" a="1"/>
  <c r="AD50" i="2" s="1"/>
  <c r="Y50" i="2" a="1"/>
  <c r="Y50" i="2" s="1"/>
  <c r="AI49" i="2" a="1"/>
  <c r="AI49" i="2" s="1"/>
  <c r="AC49" i="2" a="1"/>
  <c r="AC49" i="2" s="1"/>
  <c r="Y1311" i="2" a="1"/>
  <c r="Y1311" i="2" s="1"/>
  <c r="Y1293" i="2" a="1"/>
  <c r="Y1293" i="2" s="1"/>
  <c r="AJ1292" i="2" a="1"/>
  <c r="AJ1292" i="2" s="1"/>
  <c r="W1294" i="2" a="1"/>
  <c r="W1294" i="2" s="1"/>
  <c r="AJ1293" i="2" a="1"/>
  <c r="AJ1293" i="2" s="1"/>
  <c r="AI1293" i="2" a="1"/>
  <c r="AI1293" i="2" s="1"/>
  <c r="AD1293" i="2" a="1"/>
  <c r="AD1293" i="2" s="1"/>
  <c r="AF1292" i="2" a="1"/>
  <c r="AF1292" i="2" s="1"/>
  <c r="AC1292" i="2" a="1"/>
  <c r="AC1292" i="2" s="1"/>
  <c r="AA50" i="2" a="1"/>
  <c r="AA50" i="2" s="1"/>
  <c r="AB50" i="2" a="1"/>
  <c r="AB50" i="2" s="1"/>
  <c r="AG50" i="2" a="1"/>
  <c r="AG50" i="2" s="1"/>
  <c r="AH49" i="2" a="1"/>
  <c r="AH49" i="2" s="1"/>
  <c r="W49" i="2" a="1"/>
  <c r="W49" i="2" s="1"/>
  <c r="Y1292" i="2" a="1"/>
  <c r="Y1292" i="2" s="1"/>
  <c r="AD78" i="2" a="1"/>
  <c r="AD78" i="2" s="1"/>
  <c r="AD49" i="2" a="1"/>
  <c r="AD49" i="2" s="1"/>
  <c r="AA49" i="2" a="1"/>
  <c r="AA49" i="2" s="1"/>
  <c r="AH1293" i="2" a="1"/>
  <c r="AH1293" i="2" s="1"/>
  <c r="AG1293" i="2" a="1"/>
  <c r="AG1293" i="2" s="1"/>
  <c r="AF1293" i="2" a="1"/>
  <c r="AF1293" i="2" s="1"/>
  <c r="Z1292" i="2" a="1"/>
  <c r="Z1292" i="2" s="1"/>
  <c r="AB51" i="2" a="1"/>
  <c r="AB51" i="2" s="1"/>
  <c r="Y51" i="2" a="1"/>
  <c r="Y51" i="2" s="1"/>
  <c r="X51" i="2" a="1"/>
  <c r="X51" i="2" s="1"/>
  <c r="W51" i="2" a="1"/>
  <c r="W51" i="2" s="1"/>
  <c r="AJ50" i="2" a="1"/>
  <c r="AJ50" i="2" s="1"/>
  <c r="AC50" i="2" a="1"/>
  <c r="AC50" i="2" s="1"/>
  <c r="Z50" i="2" a="1"/>
  <c r="Z50" i="2" s="1"/>
  <c r="AE1293" i="2" a="1"/>
  <c r="AE1293" i="2" s="1"/>
  <c r="AC1293" i="2" a="1"/>
  <c r="AC1293" i="2" s="1"/>
  <c r="X50" i="2" a="1"/>
  <c r="X50" i="2" s="1"/>
  <c r="W50" i="2" a="1"/>
  <c r="W50" i="2" s="1"/>
  <c r="Z1293" i="2" a="1"/>
  <c r="Z1293" i="2" s="1"/>
  <c r="AF49" i="2" a="1"/>
  <c r="AF49" i="2" s="1"/>
  <c r="AG1291" i="2" a="1"/>
  <c r="AG1291" i="2" s="1"/>
  <c r="AD1291" i="2" a="1"/>
  <c r="AD1291" i="2" s="1"/>
  <c r="AE1289" i="2" a="1"/>
  <c r="AE1289" i="2" s="1"/>
  <c r="AJ1288" i="2" a="1"/>
  <c r="AJ1288" i="2" s="1"/>
  <c r="AF1287" i="2" a="1"/>
  <c r="AF1287" i="2" s="1"/>
  <c r="AC1291" i="2" a="1"/>
  <c r="AC1291" i="2" s="1"/>
  <c r="AB1291" i="2" a="1"/>
  <c r="AB1291" i="2" s="1"/>
  <c r="Z1291" i="2" a="1"/>
  <c r="Z1291" i="2" s="1"/>
  <c r="AH1290" i="2" a="1"/>
  <c r="AH1290" i="2" s="1"/>
  <c r="AB1288" i="2" a="1"/>
  <c r="AB1288" i="2" s="1"/>
  <c r="AA1291" i="2" a="1"/>
  <c r="AA1291" i="2" s="1"/>
  <c r="AA1289" i="2" a="1"/>
  <c r="AA1289" i="2" s="1"/>
  <c r="Y1291" i="2" a="1"/>
  <c r="Y1291" i="2" s="1"/>
  <c r="AJ1290" i="2" a="1"/>
  <c r="AJ1290" i="2" s="1"/>
  <c r="Y1290" i="2" a="1"/>
  <c r="Y1290" i="2" s="1"/>
  <c r="AB1289" i="2" a="1"/>
  <c r="AB1289" i="2" s="1"/>
  <c r="AI1289" i="2" a="1"/>
  <c r="AI1289" i="2" s="1"/>
  <c r="W1288" i="2" a="1"/>
  <c r="W1288" i="2" s="1"/>
  <c r="AJ1287" i="2" a="1"/>
  <c r="AJ1287" i="2" s="1"/>
  <c r="AI1290" i="2" a="1"/>
  <c r="AI1290" i="2" s="1"/>
  <c r="AG1290" i="2" a="1"/>
  <c r="AG1290" i="2" s="1"/>
  <c r="X1291" i="2" a="1"/>
  <c r="X1291" i="2" s="1"/>
  <c r="AD1290" i="2" a="1"/>
  <c r="AD1290" i="2" s="1"/>
  <c r="AG1288" i="2" a="1"/>
  <c r="AG1288" i="2" s="1"/>
  <c r="X1288" i="2" a="1"/>
  <c r="X1288" i="2" s="1"/>
  <c r="W1291" i="2" a="1"/>
  <c r="W1291" i="2" s="1"/>
  <c r="AF1290" i="2" a="1"/>
  <c r="AF1290" i="2" s="1"/>
  <c r="Z1289" i="2" a="1"/>
  <c r="Z1289" i="2" s="1"/>
  <c r="AB1290" i="2" a="1"/>
  <c r="AB1290" i="2" s="1"/>
  <c r="AA1290" i="2" a="1"/>
  <c r="AA1290" i="2" s="1"/>
  <c r="Z1290" i="2" a="1"/>
  <c r="Z1290" i="2" s="1"/>
  <c r="W1290" i="2" a="1"/>
  <c r="W1290" i="2" s="1"/>
  <c r="AH1289" i="2" a="1"/>
  <c r="AH1289" i="2" s="1"/>
  <c r="AG1289" i="2" a="1"/>
  <c r="AG1289" i="2" s="1"/>
  <c r="Y1289" i="2" a="1"/>
  <c r="Y1289" i="2" s="1"/>
  <c r="AA1288" i="2" a="1"/>
  <c r="AA1288" i="2" s="1"/>
  <c r="AH1287" i="2" a="1"/>
  <c r="AH1287" i="2" s="1"/>
  <c r="Y1288" i="2" a="1"/>
  <c r="Y1288" i="2" s="1"/>
  <c r="AI1287" i="2" a="1"/>
  <c r="AI1287" i="2" s="1"/>
  <c r="AD1288" i="2" a="1"/>
  <c r="AD1288" i="2" s="1"/>
  <c r="AF1289" i="2" a="1"/>
  <c r="AF1289" i="2" s="1"/>
  <c r="AD1289" i="2" a="1"/>
  <c r="AD1289" i="2" s="1"/>
  <c r="AE1288" i="2" a="1"/>
  <c r="AE1288" i="2" s="1"/>
  <c r="AH1288" i="2" a="1"/>
  <c r="AH1288" i="2" s="1"/>
  <c r="AC1288" i="2" a="1"/>
  <c r="AC1288" i="2" s="1"/>
  <c r="W1289" i="2" a="1"/>
  <c r="W1289" i="2" s="1"/>
  <c r="X1289" i="2" a="1"/>
  <c r="X1289" i="2" s="1"/>
  <c r="Z1288" i="2" a="1"/>
  <c r="Z1288" i="2" s="1"/>
  <c r="AE1287" i="2" a="1"/>
  <c r="AE1287" i="2" s="1"/>
  <c r="AE1291" i="2" a="1"/>
  <c r="AE1291" i="2" s="1"/>
  <c r="AC1289" i="2" a="1"/>
  <c r="AC1289" i="2" s="1"/>
  <c r="AI1288" i="2" a="1"/>
  <c r="AI1288" i="2" s="1"/>
  <c r="W1292" i="2" a="1"/>
  <c r="W1292" i="2" s="1"/>
  <c r="AF1288" i="2" a="1"/>
  <c r="AF1288" i="2" s="1"/>
  <c r="AC1290" i="2" a="1"/>
  <c r="AC1290" i="2" s="1"/>
  <c r="AG1287" i="2" a="1"/>
  <c r="AG1287" i="2" s="1"/>
  <c r="AI1310" i="2" a="1"/>
  <c r="AI1310" i="2" s="1"/>
  <c r="AJ1291" i="2" a="1"/>
  <c r="AJ1291" i="2" s="1"/>
  <c r="AI1291" i="2" a="1"/>
  <c r="AI1291" i="2" s="1"/>
  <c r="AH1291" i="2" a="1"/>
  <c r="AH1291" i="2" s="1"/>
  <c r="X1290" i="2" a="1"/>
  <c r="X1290" i="2" s="1"/>
  <c r="AF1291" i="2" a="1"/>
  <c r="AF1291" i="2" s="1"/>
  <c r="AE1290" i="2" a="1"/>
  <c r="AE1290" i="2" s="1"/>
  <c r="AJ1289" i="2" a="1"/>
  <c r="AJ1289" i="2" s="1"/>
  <c r="Y1287" i="2" a="1"/>
  <c r="Y1287" i="2" s="1"/>
  <c r="X1287" i="2" a="1"/>
  <c r="X1287" i="2" s="1"/>
  <c r="W1287" i="2" a="1"/>
  <c r="W1287" i="2" s="1"/>
  <c r="AI1286" i="2" a="1"/>
  <c r="AI1286" i="2" s="1"/>
  <c r="AG1285" i="2" a="1"/>
  <c r="AG1285" i="2" s="1"/>
  <c r="AH1286" i="2" a="1"/>
  <c r="AH1286" i="2" s="1"/>
  <c r="AF1286" i="2" a="1"/>
  <c r="AF1286" i="2" s="1"/>
  <c r="AA1284" i="2" a="1"/>
  <c r="AA1284" i="2" s="1"/>
  <c r="AJ1283" i="2" a="1"/>
  <c r="AJ1283" i="2" s="1"/>
  <c r="AI1285" i="2" a="1"/>
  <c r="AI1285" i="2" s="1"/>
  <c r="AB1286" i="2" a="1"/>
  <c r="AB1286" i="2" s="1"/>
  <c r="AA1286" i="2" a="1"/>
  <c r="AA1286" i="2" s="1"/>
  <c r="X1285" i="2" a="1"/>
  <c r="X1285" i="2" s="1"/>
  <c r="Y1286" i="2" a="1"/>
  <c r="Y1286" i="2" s="1"/>
  <c r="AA1285" i="2" a="1"/>
  <c r="AA1285" i="2" s="1"/>
  <c r="AF1284" i="2" a="1"/>
  <c r="AF1284" i="2" s="1"/>
  <c r="AH1284" i="2" a="1"/>
  <c r="AH1284" i="2" s="1"/>
  <c r="AC1283" i="2" a="1"/>
  <c r="AC1283" i="2" s="1"/>
  <c r="AI1284" i="2" a="1"/>
  <c r="AI1284" i="2" s="1"/>
  <c r="AG1283" i="2" a="1"/>
  <c r="AG1283" i="2" s="1"/>
  <c r="AA1283" i="2" a="1"/>
  <c r="AA1283" i="2" s="1"/>
  <c r="AG1284" i="2" a="1"/>
  <c r="AG1284" i="2" s="1"/>
  <c r="Z1284" i="2" a="1"/>
  <c r="Z1284" i="2" s="1"/>
  <c r="AI1283" i="2" a="1"/>
  <c r="AI1283" i="2" s="1"/>
  <c r="AE1286" i="2" a="1"/>
  <c r="AE1286" i="2" s="1"/>
  <c r="Z1286" i="2" a="1"/>
  <c r="Z1286" i="2" s="1"/>
  <c r="Z1283" i="2" a="1"/>
  <c r="Z1283" i="2" s="1"/>
  <c r="W1285" i="2" a="1"/>
  <c r="W1285" i="2" s="1"/>
  <c r="AH1285" i="2" a="1"/>
  <c r="AH1285" i="2" s="1"/>
  <c r="AG1286" i="2" a="1"/>
  <c r="AG1286" i="2" s="1"/>
  <c r="AD1285" i="2" a="1"/>
  <c r="AD1285" i="2" s="1"/>
  <c r="AE1284" i="2" a="1"/>
  <c r="AE1284" i="2" s="1"/>
  <c r="AF1283" i="2" a="1"/>
  <c r="AF1283" i="2" s="1"/>
  <c r="AD1286" i="2" a="1"/>
  <c r="AD1286" i="2" s="1"/>
  <c r="AC1286" i="2" a="1"/>
  <c r="AC1286" i="2" s="1"/>
  <c r="Z1285" i="2" a="1"/>
  <c r="Z1285" i="2" s="1"/>
  <c r="X1284" i="2" a="1"/>
  <c r="X1284" i="2" s="1"/>
  <c r="X1283" i="2" a="1"/>
  <c r="X1283" i="2" s="1"/>
  <c r="AJ1285" i="2" a="1"/>
  <c r="AJ1285" i="2" s="1"/>
  <c r="AE1285" i="2" a="1"/>
  <c r="AE1285" i="2" s="1"/>
  <c r="AB1284" i="2" a="1"/>
  <c r="AB1284" i="2" s="1"/>
  <c r="AB1285" i="2" a="1"/>
  <c r="AB1285" i="2" s="1"/>
  <c r="AD1284" i="2" a="1"/>
  <c r="AD1284" i="2" s="1"/>
  <c r="AH1283" i="2" a="1"/>
  <c r="AH1283" i="2" s="1"/>
  <c r="Y1283" i="2" a="1"/>
  <c r="Y1283" i="2" s="1"/>
  <c r="AD1283" i="2" a="1"/>
  <c r="AD1283" i="2" s="1"/>
  <c r="AB1283" i="2" a="1"/>
  <c r="AB1283" i="2" s="1"/>
  <c r="Y1284" i="2" a="1"/>
  <c r="Y1284" i="2" s="1"/>
  <c r="W1284" i="2" a="1"/>
  <c r="W1284" i="2" s="1"/>
  <c r="AJ1286" i="2" a="1"/>
  <c r="AJ1286" i="2" s="1"/>
  <c r="W1286" i="2" a="1"/>
  <c r="W1286" i="2" s="1"/>
  <c r="AF1285" i="2" a="1"/>
  <c r="AF1285" i="2" s="1"/>
  <c r="AC1285" i="2" a="1"/>
  <c r="AC1285" i="2" s="1"/>
  <c r="Y1285" i="2" a="1"/>
  <c r="Y1285" i="2" s="1"/>
  <c r="AJ1284" i="2" a="1"/>
  <c r="AJ1284" i="2" s="1"/>
  <c r="AC1284" i="2" a="1"/>
  <c r="AC1284" i="2" s="1"/>
  <c r="AE1283" i="2" a="1"/>
  <c r="AE1283" i="2" s="1"/>
  <c r="AA1287" i="2" a="1"/>
  <c r="AA1287" i="2" s="1"/>
  <c r="AC1335" i="2" a="1"/>
  <c r="AC1335" i="2" s="1"/>
  <c r="AD1287" i="2" a="1"/>
  <c r="AD1287" i="2" s="1"/>
  <c r="X1286" i="2" a="1"/>
  <c r="X1286" i="2" s="1"/>
  <c r="AC1287" i="2" a="1"/>
  <c r="AC1287" i="2" s="1"/>
  <c r="AB1287" i="2" a="1"/>
  <c r="AB1287" i="2" s="1"/>
  <c r="Z1287" i="2" a="1"/>
  <c r="Z1287" i="2" s="1"/>
  <c r="AI1278" i="2" a="1"/>
  <c r="AI1278" i="2" s="1"/>
  <c r="W1280" i="2" a="1"/>
  <c r="W1280" i="2" s="1"/>
  <c r="AE1279" i="2" a="1"/>
  <c r="AE1279" i="2" s="1"/>
  <c r="AF1282" i="2" a="1"/>
  <c r="AF1282" i="2" s="1"/>
  <c r="AG1281" i="2" a="1"/>
  <c r="AG1281" i="2" s="1"/>
  <c r="AD1282" i="2" a="1"/>
  <c r="AD1282" i="2" s="1"/>
  <c r="Z1282" i="2" a="1"/>
  <c r="Z1282" i="2" s="1"/>
  <c r="Y1282" i="2" a="1"/>
  <c r="Y1282" i="2" s="1"/>
  <c r="AE1278" i="2" a="1"/>
  <c r="AE1278" i="2" s="1"/>
  <c r="AF1280" i="2" a="1"/>
  <c r="AF1280" i="2" s="1"/>
  <c r="AF1281" i="2" a="1"/>
  <c r="AF1281" i="2" s="1"/>
  <c r="AA1280" i="2" a="1"/>
  <c r="AA1280" i="2" s="1"/>
  <c r="AJ1278" i="2" a="1"/>
  <c r="AJ1278" i="2" s="1"/>
  <c r="AB1281" i="2" a="1"/>
  <c r="AB1281" i="2" s="1"/>
  <c r="Y1281" i="2" a="1"/>
  <c r="Y1281" i="2" s="1"/>
  <c r="X1281" i="2" a="1"/>
  <c r="X1281" i="2" s="1"/>
  <c r="AJ1280" i="2" a="1"/>
  <c r="AJ1280" i="2" s="1"/>
  <c r="AB1279" i="2" a="1"/>
  <c r="AB1279" i="2" s="1"/>
  <c r="AA1279" i="2" a="1"/>
  <c r="AA1279" i="2" s="1"/>
  <c r="AG1280" i="2" a="1"/>
  <c r="AG1280" i="2" s="1"/>
  <c r="AD1280" i="2" a="1"/>
  <c r="AD1280" i="2" s="1"/>
  <c r="X1280" i="2" a="1"/>
  <c r="X1280" i="2" s="1"/>
  <c r="W1279" i="2" a="1"/>
  <c r="W1279" i="2" s="1"/>
  <c r="Z1280" i="2" a="1"/>
  <c r="Z1280" i="2" s="1"/>
  <c r="AC1279" i="2" a="1"/>
  <c r="AC1279" i="2" s="1"/>
  <c r="AD1279" i="2" a="1"/>
  <c r="AD1279" i="2" s="1"/>
  <c r="X1279" i="2" a="1"/>
  <c r="X1279" i="2" s="1"/>
  <c r="AH1278" i="2" a="1"/>
  <c r="AH1278" i="2" s="1"/>
  <c r="AH1282" i="2" a="1"/>
  <c r="AH1282" i="2" s="1"/>
  <c r="AH1281" i="2" a="1"/>
  <c r="AH1281" i="2" s="1"/>
  <c r="AC1281" i="2" a="1"/>
  <c r="AC1281" i="2" s="1"/>
  <c r="W1282" i="2" a="1"/>
  <c r="W1282" i="2" s="1"/>
  <c r="AJ1279" i="2" a="1"/>
  <c r="AJ1279" i="2" s="1"/>
  <c r="AJ1282" i="2" a="1"/>
  <c r="AJ1282" i="2" s="1"/>
  <c r="AG1282" i="2" a="1"/>
  <c r="AG1282" i="2" s="1"/>
  <c r="AI1280" i="2" a="1"/>
  <c r="AI1280" i="2" s="1"/>
  <c r="AE1282" i="2" a="1"/>
  <c r="AE1282" i="2" s="1"/>
  <c r="AA1281" i="2" a="1"/>
  <c r="AA1281" i="2" s="1"/>
  <c r="Z1279" i="2" a="1"/>
  <c r="Z1279" i="2" s="1"/>
  <c r="AJ1281" i="2" a="1"/>
  <c r="AJ1281" i="2" s="1"/>
  <c r="AB1282" i="2" a="1"/>
  <c r="AB1282" i="2" s="1"/>
  <c r="AF1278" i="2" a="1"/>
  <c r="AF1278" i="2" s="1"/>
  <c r="W1281" i="2" a="1"/>
  <c r="W1281" i="2" s="1"/>
  <c r="AE1280" i="2" a="1"/>
  <c r="AE1280" i="2" s="1"/>
  <c r="AB1280" i="2" a="1"/>
  <c r="AB1280" i="2" s="1"/>
  <c r="AF1279" i="2" a="1"/>
  <c r="AF1279" i="2" s="1"/>
  <c r="Y1279" i="2" a="1"/>
  <c r="Y1279" i="2" s="1"/>
  <c r="AG1278" i="2" a="1"/>
  <c r="AG1278" i="2" s="1"/>
  <c r="AH1280" i="2" a="1"/>
  <c r="AH1280" i="2" s="1"/>
  <c r="X1282" i="2" a="1"/>
  <c r="X1282" i="2" s="1"/>
  <c r="AD1281" i="2" a="1"/>
  <c r="AD1281" i="2" s="1"/>
  <c r="AE1281" i="2" a="1"/>
  <c r="AE1281" i="2" s="1"/>
  <c r="AC1280" i="2" a="1"/>
  <c r="AC1280" i="2" s="1"/>
  <c r="AG1279" i="2" a="1"/>
  <c r="AG1279" i="2" s="1"/>
  <c r="Y1280" i="2" a="1"/>
  <c r="Y1280" i="2" s="1"/>
  <c r="Z1281" i="2" a="1"/>
  <c r="Z1281" i="2" s="1"/>
  <c r="AH1310" i="2" a="1"/>
  <c r="AH1310" i="2" s="1"/>
  <c r="W1283" i="2" a="1"/>
  <c r="W1283" i="2" s="1"/>
  <c r="AI1282" i="2" a="1"/>
  <c r="AI1282" i="2" s="1"/>
  <c r="AC1282" i="2" a="1"/>
  <c r="AC1282" i="2" s="1"/>
  <c r="AA1282" i="2" a="1"/>
  <c r="AA1282" i="2" s="1"/>
  <c r="AI1281" i="2" a="1"/>
  <c r="AI1281" i="2" s="1"/>
  <c r="AI1279" i="2" a="1"/>
  <c r="AI1279" i="2" s="1"/>
  <c r="AH1279" i="2" a="1"/>
  <c r="AH1279" i="2" s="1"/>
  <c r="AD1278" i="2" a="1"/>
  <c r="AD1278" i="2" s="1"/>
  <c r="AB1278" i="2" a="1"/>
  <c r="AB1278" i="2" s="1"/>
  <c r="AA1278" i="2" a="1"/>
  <c r="AA1278" i="2" s="1"/>
  <c r="Z1278" i="2" a="1"/>
  <c r="Z1278" i="2" s="1"/>
  <c r="Y1278" i="2" a="1"/>
  <c r="Y1278" i="2" s="1"/>
  <c r="X1278" i="2" a="1"/>
  <c r="X1278" i="2" s="1"/>
  <c r="AD1277" i="2" a="1"/>
  <c r="AD1277" i="2" s="1"/>
  <c r="AB1276" i="2" a="1"/>
  <c r="AB1276" i="2" s="1"/>
  <c r="AJ1275" i="2" a="1"/>
  <c r="AJ1275" i="2" s="1"/>
  <c r="W1275" i="2" a="1"/>
  <c r="W1275" i="2" s="1"/>
  <c r="Z1275" i="2" a="1"/>
  <c r="Z1275" i="2" s="1"/>
  <c r="AB1275" i="2" a="1"/>
  <c r="AB1275" i="2" s="1"/>
  <c r="AG1274" i="2" a="1"/>
  <c r="AG1274" i="2" s="1"/>
  <c r="W1277" i="2" a="1"/>
  <c r="W1277" i="2" s="1"/>
  <c r="W1278" i="2" a="1"/>
  <c r="W1278" i="2" s="1"/>
  <c r="Y1275" i="2" a="1"/>
  <c r="Y1275" i="2" s="1"/>
  <c r="Y1274" i="2" a="1"/>
  <c r="Y1274" i="2" s="1"/>
  <c r="AA1277" i="2" a="1"/>
  <c r="AA1277" i="2" s="1"/>
  <c r="AI1276" i="2" a="1"/>
  <c r="AI1276" i="2" s="1"/>
  <c r="AC1274" i="2" a="1"/>
  <c r="AC1274" i="2" s="1"/>
  <c r="AF1277" i="2" a="1"/>
  <c r="AF1277" i="2" s="1"/>
  <c r="AA1275" i="2" a="1"/>
  <c r="AA1275" i="2" s="1"/>
  <c r="AD1276" i="2" a="1"/>
  <c r="AD1276" i="2" s="1"/>
  <c r="AE1275" i="2" a="1"/>
  <c r="AE1275" i="2" s="1"/>
  <c r="AI1274" i="2" a="1"/>
  <c r="AI1274" i="2" s="1"/>
  <c r="AE1276" i="2" a="1"/>
  <c r="AE1276" i="2" s="1"/>
  <c r="AJ1274" i="2" a="1"/>
  <c r="AJ1274" i="2" s="1"/>
  <c r="Y1277" i="2" a="1"/>
  <c r="Y1277" i="2" s="1"/>
  <c r="AH1277" i="2" a="1"/>
  <c r="AH1277" i="2" s="1"/>
  <c r="AI1275" i="2" a="1"/>
  <c r="AI1275" i="2" s="1"/>
  <c r="AB1277" i="2" a="1"/>
  <c r="AB1277" i="2" s="1"/>
  <c r="W1276" i="2" a="1"/>
  <c r="W1276" i="2" s="1"/>
  <c r="AB1274" i="2" a="1"/>
  <c r="AB1274" i="2" s="1"/>
  <c r="X1311" i="2" a="1"/>
  <c r="X1311" i="2" s="1"/>
  <c r="AG1277" i="2" a="1"/>
  <c r="AG1277" i="2" s="1"/>
  <c r="X1276" i="2" a="1"/>
  <c r="X1276" i="2" s="1"/>
  <c r="AJ1277" i="2" a="1"/>
  <c r="AJ1277" i="2" s="1"/>
  <c r="AC1277" i="2" a="1"/>
  <c r="AC1277" i="2" s="1"/>
  <c r="AA1276" i="2" a="1"/>
  <c r="AA1276" i="2" s="1"/>
  <c r="AH1275" i="2" a="1"/>
  <c r="AH1275" i="2" s="1"/>
  <c r="AF1275" i="2" a="1"/>
  <c r="AF1275" i="2" s="1"/>
  <c r="AC1275" i="2" a="1"/>
  <c r="AC1275" i="2" s="1"/>
  <c r="X1275" i="2" a="1"/>
  <c r="X1275" i="2" s="1"/>
  <c r="AD1274" i="2" a="1"/>
  <c r="AD1274" i="2" s="1"/>
  <c r="Z1276" i="2" a="1"/>
  <c r="Z1276" i="2" s="1"/>
  <c r="Z1274" i="2" a="1"/>
  <c r="Z1274" i="2" s="1"/>
  <c r="AF1274" i="2" a="1"/>
  <c r="AF1274" i="2" s="1"/>
  <c r="AE1274" i="2" a="1"/>
  <c r="AE1274" i="2" s="1"/>
  <c r="Z1277" i="2" a="1"/>
  <c r="Z1277" i="2" s="1"/>
  <c r="AF1276" i="2" a="1"/>
  <c r="AF1276" i="2" s="1"/>
  <c r="X1274" i="2" a="1"/>
  <c r="X1274" i="2" s="1"/>
  <c r="AG1275" i="2" a="1"/>
  <c r="AG1275" i="2" s="1"/>
  <c r="Y1276" i="2" a="1"/>
  <c r="Y1276" i="2" s="1"/>
  <c r="AD1275" i="2" a="1"/>
  <c r="AD1275" i="2" s="1"/>
  <c r="X1277" i="2" a="1"/>
  <c r="X1277" i="2" s="1"/>
  <c r="AC1276" i="2" a="1"/>
  <c r="AC1276" i="2" s="1"/>
  <c r="AA1274" i="2" a="1"/>
  <c r="AA1274" i="2" s="1"/>
  <c r="AH1274" i="2" a="1"/>
  <c r="AH1274" i="2" s="1"/>
  <c r="AI1277" i="2" a="1"/>
  <c r="AI1277" i="2" s="1"/>
  <c r="AJ1276" i="2" a="1"/>
  <c r="AJ1276" i="2" s="1"/>
  <c r="AE1277" i="2" a="1"/>
  <c r="AE1277" i="2" s="1"/>
  <c r="AH1276" i="2" a="1"/>
  <c r="AH1276" i="2" s="1"/>
  <c r="AC1278" i="2" a="1"/>
  <c r="AC1278" i="2" s="1"/>
  <c r="AG1276" i="2" a="1"/>
  <c r="AG1276" i="2" s="1"/>
  <c r="AA1272" i="2" a="1"/>
  <c r="AA1272" i="2" s="1"/>
  <c r="AG1273" i="2" a="1"/>
  <c r="AG1273" i="2" s="1"/>
  <c r="AF1273" i="2" a="1"/>
  <c r="AF1273" i="2" s="1"/>
  <c r="AE1273" i="2" a="1"/>
  <c r="AE1273" i="2" s="1"/>
  <c r="AD1273" i="2" a="1"/>
  <c r="AD1273" i="2" s="1"/>
  <c r="AB1273" i="2" a="1"/>
  <c r="AB1273" i="2" s="1"/>
  <c r="AA1273" i="2" a="1"/>
  <c r="AA1273" i="2" s="1"/>
  <c r="AJ1272" i="2" a="1"/>
  <c r="AJ1272" i="2" s="1"/>
  <c r="Z1271" i="2" a="1"/>
  <c r="Z1271" i="2" s="1"/>
  <c r="AJ1269" i="2" a="1"/>
  <c r="AJ1269" i="2" s="1"/>
  <c r="Z1273" i="2" a="1"/>
  <c r="Z1273" i="2" s="1"/>
  <c r="AH1272" i="2" a="1"/>
  <c r="AH1272" i="2" s="1"/>
  <c r="W1272" i="2" a="1"/>
  <c r="W1272" i="2" s="1"/>
  <c r="AG1272" i="2" a="1"/>
  <c r="AG1272" i="2" s="1"/>
  <c r="AE1272" i="2" a="1"/>
  <c r="AE1272" i="2" s="1"/>
  <c r="AC1272" i="2" a="1"/>
  <c r="AC1272" i="2" s="1"/>
  <c r="Z1272" i="2" a="1"/>
  <c r="Z1272" i="2" s="1"/>
  <c r="AI1271" i="2" a="1"/>
  <c r="AI1271" i="2" s="1"/>
  <c r="AI1270" i="2" a="1"/>
  <c r="AI1270" i="2" s="1"/>
  <c r="AA1270" i="2" a="1"/>
  <c r="AA1270" i="2" s="1"/>
  <c r="Z1270" i="2" a="1"/>
  <c r="Z1270" i="2" s="1"/>
  <c r="AG1269" i="2" a="1"/>
  <c r="AG1269" i="2" s="1"/>
  <c r="Y1272" i="2" a="1"/>
  <c r="Y1272" i="2" s="1"/>
  <c r="AH1269" i="2" a="1"/>
  <c r="AH1269" i="2" s="1"/>
  <c r="AJ1270" i="2" a="1"/>
  <c r="AJ1270" i="2" s="1"/>
  <c r="AJ1271" i="2" a="1"/>
  <c r="AJ1271" i="2" s="1"/>
  <c r="AG1271" i="2" a="1"/>
  <c r="AG1271" i="2" s="1"/>
  <c r="AB1271" i="2" a="1"/>
  <c r="AB1271" i="2" s="1"/>
  <c r="AI1269" i="2" a="1"/>
  <c r="AI1269" i="2" s="1"/>
  <c r="Y1271" i="2" a="1"/>
  <c r="Y1271" i="2" s="1"/>
  <c r="AA1271" i="2" a="1"/>
  <c r="AA1271" i="2" s="1"/>
  <c r="AD1270" i="2" a="1"/>
  <c r="AD1270" i="2" s="1"/>
  <c r="AC1270" i="2" a="1"/>
  <c r="AC1270" i="2" s="1"/>
  <c r="AH1270" i="2" a="1"/>
  <c r="AH1270" i="2" s="1"/>
  <c r="AF1270" i="2" a="1"/>
  <c r="AF1270" i="2" s="1"/>
  <c r="X1271" i="2" a="1"/>
  <c r="X1271" i="2" s="1"/>
  <c r="AE1270" i="2" a="1"/>
  <c r="AE1270" i="2" s="1"/>
  <c r="AB1270" i="2" a="1"/>
  <c r="AB1270" i="2" s="1"/>
  <c r="Y1270" i="2" a="1"/>
  <c r="Y1270" i="2" s="1"/>
  <c r="X1270" i="2" a="1"/>
  <c r="X1270" i="2" s="1"/>
  <c r="AE1269" i="2" a="1"/>
  <c r="AE1269" i="2" s="1"/>
  <c r="W1270" i="2" a="1"/>
  <c r="W1270" i="2" s="1"/>
  <c r="AC1273" i="2" a="1"/>
  <c r="AC1273" i="2" s="1"/>
  <c r="AE1271" i="2" a="1"/>
  <c r="AE1271" i="2" s="1"/>
  <c r="W1273" i="2" a="1"/>
  <c r="W1273" i="2" s="1"/>
  <c r="AJ1273" i="2" a="1"/>
  <c r="AJ1273" i="2" s="1"/>
  <c r="X1273" i="2" a="1"/>
  <c r="X1273" i="2" s="1"/>
  <c r="AB1272" i="2" a="1"/>
  <c r="AB1272" i="2" s="1"/>
  <c r="AG1270" i="2" a="1"/>
  <c r="AG1270" i="2" s="1"/>
  <c r="Y1273" i="2" a="1"/>
  <c r="Y1273" i="2" s="1"/>
  <c r="AI1272" i="2" a="1"/>
  <c r="AI1272" i="2" s="1"/>
  <c r="AD1272" i="2" a="1"/>
  <c r="AD1272" i="2" s="1"/>
  <c r="AC1271" i="2" a="1"/>
  <c r="AC1271" i="2" s="1"/>
  <c r="X1272" i="2" a="1"/>
  <c r="X1272" i="2" s="1"/>
  <c r="AF1271" i="2" a="1"/>
  <c r="AF1271" i="2" s="1"/>
  <c r="AD1271" i="2" a="1"/>
  <c r="AD1271" i="2" s="1"/>
  <c r="W1271" i="2" a="1"/>
  <c r="W1271" i="2" s="1"/>
  <c r="AH1271" i="2" a="1"/>
  <c r="AH1271" i="2" s="1"/>
  <c r="AG1310" i="2" a="1"/>
  <c r="AG1310" i="2" s="1"/>
  <c r="W1274" i="2" a="1"/>
  <c r="W1274" i="2" s="1"/>
  <c r="AF1269" i="2" a="1"/>
  <c r="AF1269" i="2" s="1"/>
  <c r="AI1273" i="2" a="1"/>
  <c r="AI1273" i="2" s="1"/>
  <c r="AH1273" i="2" a="1"/>
  <c r="AH1273" i="2" s="1"/>
  <c r="AF1272" i="2" a="1"/>
  <c r="AF1272" i="2" s="1"/>
  <c r="AC75" i="2" a="1"/>
  <c r="AC75" i="2" s="1"/>
  <c r="X75" i="2" a="1"/>
  <c r="X75" i="2" s="1"/>
  <c r="AG74" i="2" a="1"/>
  <c r="AG74" i="2" s="1"/>
  <c r="AE74" i="2" a="1"/>
  <c r="AE74" i="2" s="1"/>
  <c r="AD77" i="2" a="1"/>
  <c r="AD77" i="2" s="1"/>
  <c r="AC77" i="2" a="1"/>
  <c r="AC77" i="2" s="1"/>
  <c r="AB77" i="2" a="1"/>
  <c r="AB77" i="2" s="1"/>
  <c r="AJ74" i="2" a="1"/>
  <c r="AJ74" i="2" s="1"/>
  <c r="AJ76" i="2" a="1"/>
  <c r="AJ76" i="2" s="1"/>
  <c r="AG75" i="2" a="1"/>
  <c r="AG75" i="2" s="1"/>
  <c r="Z74" i="2" a="1"/>
  <c r="Z74" i="2" s="1"/>
  <c r="AI76" i="2" a="1"/>
  <c r="AI76" i="2" s="1"/>
  <c r="AC76" i="2" a="1"/>
  <c r="AC76" i="2" s="1"/>
  <c r="X76" i="2" a="1"/>
  <c r="X76" i="2" s="1"/>
  <c r="AB76" i="2" a="1"/>
  <c r="AB76" i="2" s="1"/>
  <c r="Y76" i="2" a="1"/>
  <c r="Y76" i="2" s="1"/>
  <c r="AD75" i="2" a="1"/>
  <c r="AD75" i="2" s="1"/>
  <c r="AI74" i="2" a="1"/>
  <c r="AI74" i="2" s="1"/>
  <c r="AA74" i="2" a="1"/>
  <c r="AA74" i="2" s="1"/>
  <c r="AE76" i="2" a="1"/>
  <c r="AE76" i="2" s="1"/>
  <c r="Z76" i="2" a="1"/>
  <c r="Z76" i="2" s="1"/>
  <c r="Z77" i="2" a="1"/>
  <c r="Z77" i="2" s="1"/>
  <c r="Y75" i="2" a="1"/>
  <c r="Y75" i="2" s="1"/>
  <c r="AC78" i="2" a="1"/>
  <c r="AC78" i="2" s="1"/>
  <c r="AJ75" i="2" a="1"/>
  <c r="AJ75" i="2" s="1"/>
  <c r="AH76" i="2" a="1"/>
  <c r="AH76" i="2" s="1"/>
  <c r="Y115" i="2" a="1"/>
  <c r="Y115" i="2" s="1"/>
  <c r="AB78" i="2" a="1"/>
  <c r="AB78" i="2" s="1"/>
  <c r="AJ77" i="2" a="1"/>
  <c r="AJ77" i="2" s="1"/>
  <c r="AI77" i="2" a="1"/>
  <c r="AI77" i="2" s="1"/>
  <c r="AF77" i="2" a="1"/>
  <c r="AF77" i="2" s="1"/>
  <c r="AF75" i="2" a="1"/>
  <c r="AF75" i="2" s="1"/>
  <c r="AB75" i="2" a="1"/>
  <c r="AB75" i="2" s="1"/>
  <c r="Z75" i="2" a="1"/>
  <c r="Z75" i="2" s="1"/>
  <c r="AA75" i="2" a="1"/>
  <c r="AA75" i="2" s="1"/>
  <c r="W76" i="2" a="1"/>
  <c r="W76" i="2" s="1"/>
  <c r="X77" i="2" a="1"/>
  <c r="X77" i="2" s="1"/>
  <c r="W77" i="2" a="1"/>
  <c r="W77" i="2" s="1"/>
  <c r="AA76" i="2" a="1"/>
  <c r="AA76" i="2" s="1"/>
  <c r="W75" i="2" a="1"/>
  <c r="W75" i="2" s="1"/>
  <c r="AA78" i="2" a="1"/>
  <c r="AA78" i="2" s="1"/>
  <c r="X78" i="2" a="1"/>
  <c r="X78" i="2" s="1"/>
  <c r="AH77" i="2" a="1"/>
  <c r="AH77" i="2" s="1"/>
  <c r="AF76" i="2" a="1"/>
  <c r="AF76" i="2" s="1"/>
  <c r="AG76" i="2" a="1"/>
  <c r="AG76" i="2" s="1"/>
  <c r="Z78" i="2" a="1"/>
  <c r="Z78" i="2" s="1"/>
  <c r="Y78" i="2" a="1"/>
  <c r="Y78" i="2" s="1"/>
  <c r="AH75" i="2" a="1"/>
  <c r="AH75" i="2" s="1"/>
  <c r="AD74" i="2" a="1"/>
  <c r="AD74" i="2" s="1"/>
  <c r="W78" i="2" a="1"/>
  <c r="W78" i="2" s="1"/>
  <c r="AG77" i="2" a="1"/>
  <c r="AG77" i="2" s="1"/>
  <c r="AA77" i="2" a="1"/>
  <c r="AA77" i="2" s="1"/>
  <c r="AD76" i="2" a="1"/>
  <c r="AD76" i="2" s="1"/>
  <c r="AF74" i="2" a="1"/>
  <c r="AF74" i="2" s="1"/>
  <c r="AI75" i="2" a="1"/>
  <c r="AI75" i="2" s="1"/>
  <c r="AH74" i="2" a="1"/>
  <c r="AH74" i="2" s="1"/>
  <c r="AC74" i="2" a="1"/>
  <c r="AC74" i="2" s="1"/>
  <c r="AE77" i="2" a="1"/>
  <c r="AE77" i="2" s="1"/>
  <c r="Y77" i="2" a="1"/>
  <c r="Y77" i="2" s="1"/>
  <c r="AE75" i="2" a="1"/>
  <c r="AE75" i="2" s="1"/>
  <c r="AB74" i="2" a="1"/>
  <c r="AB74" i="2" s="1"/>
  <c r="X74" i="2" a="1"/>
  <c r="X74" i="2" s="1"/>
  <c r="Y72" i="2" a="1"/>
  <c r="Y72" i="2" s="1"/>
  <c r="W74" i="2" a="1"/>
  <c r="W74" i="2" s="1"/>
  <c r="AI73" i="2" a="1"/>
  <c r="AI73" i="2" s="1"/>
  <c r="AD73" i="2" a="1"/>
  <c r="AD73" i="2" s="1"/>
  <c r="AE72" i="2" a="1"/>
  <c r="AE72" i="2" s="1"/>
  <c r="AC73" i="2" a="1"/>
  <c r="AC73" i="2" s="1"/>
  <c r="X73" i="2" a="1"/>
  <c r="X73" i="2" s="1"/>
  <c r="W73" i="2" a="1"/>
  <c r="W73" i="2" s="1"/>
  <c r="AJ72" i="2" a="1"/>
  <c r="AJ72" i="2" s="1"/>
  <c r="W71" i="2" a="1"/>
  <c r="W71" i="2" s="1"/>
  <c r="AD72" i="2" a="1"/>
  <c r="AD72" i="2" s="1"/>
  <c r="AA72" i="2" a="1"/>
  <c r="AA72" i="2" s="1"/>
  <c r="AI71" i="2" a="1"/>
  <c r="AI71" i="2" s="1"/>
  <c r="Y71" i="2" a="1"/>
  <c r="Y71" i="2" s="1"/>
  <c r="AB70" i="2" a="1"/>
  <c r="AB70" i="2" s="1"/>
  <c r="W70" i="2" a="1"/>
  <c r="W70" i="2" s="1"/>
  <c r="AJ70" i="2" a="1"/>
  <c r="AJ70" i="2" s="1"/>
  <c r="AI70" i="2" a="1"/>
  <c r="AI70" i="2" s="1"/>
  <c r="Z70" i="2" a="1"/>
  <c r="Z70" i="2" s="1"/>
  <c r="AF72" i="2" a="1"/>
  <c r="AF72" i="2" s="1"/>
  <c r="AI72" i="2" a="1"/>
  <c r="AI72" i="2" s="1"/>
  <c r="AB71" i="2" a="1"/>
  <c r="AB71" i="2" s="1"/>
  <c r="AA71" i="2" a="1"/>
  <c r="AA71" i="2" s="1"/>
  <c r="AC70" i="2" a="1"/>
  <c r="AC70" i="2" s="1"/>
  <c r="AH71" i="2" a="1"/>
  <c r="AH71" i="2" s="1"/>
  <c r="AB73" i="2" a="1"/>
  <c r="AB73" i="2" s="1"/>
  <c r="AG71" i="2" a="1"/>
  <c r="AG71" i="2" s="1"/>
  <c r="AG73" i="2" a="1"/>
  <c r="AG73" i="2" s="1"/>
  <c r="AE73" i="2" a="1"/>
  <c r="AE73" i="2" s="1"/>
  <c r="Z72" i="2" a="1"/>
  <c r="Z72" i="2" s="1"/>
  <c r="AE70" i="2" a="1"/>
  <c r="AE70" i="2" s="1"/>
  <c r="AD70" i="2" a="1"/>
  <c r="AD70" i="2" s="1"/>
  <c r="Y70" i="2" a="1"/>
  <c r="Y70" i="2" s="1"/>
  <c r="AJ69" i="2" a="1"/>
  <c r="AJ69" i="2" s="1"/>
  <c r="AF71" i="2" a="1"/>
  <c r="AF71" i="2" s="1"/>
  <c r="AD71" i="2" a="1"/>
  <c r="AD71" i="2" s="1"/>
  <c r="AE71" i="2" a="1"/>
  <c r="AE71" i="2" s="1"/>
  <c r="AA73" i="2" a="1"/>
  <c r="AA73" i="2" s="1"/>
  <c r="X72" i="2" a="1"/>
  <c r="X72" i="2" s="1"/>
  <c r="W72" i="2" a="1"/>
  <c r="W72" i="2" s="1"/>
  <c r="Y73" i="2" a="1"/>
  <c r="Y73" i="2" s="1"/>
  <c r="AH72" i="2" a="1"/>
  <c r="AH72" i="2" s="1"/>
  <c r="AG72" i="2" a="1"/>
  <c r="AG72" i="2" s="1"/>
  <c r="AJ71" i="2" a="1"/>
  <c r="AJ71" i="2" s="1"/>
  <c r="AG70" i="2" a="1"/>
  <c r="AG70" i="2" s="1"/>
  <c r="Z71" i="2" a="1"/>
  <c r="Z71" i="2" s="1"/>
  <c r="AF73" i="2" a="1"/>
  <c r="AF73" i="2" s="1"/>
  <c r="X70" i="2" a="1"/>
  <c r="X70" i="2" s="1"/>
  <c r="AG78" i="2" a="1"/>
  <c r="AG78" i="2" s="1"/>
  <c r="Y74" i="2" a="1"/>
  <c r="Y74" i="2" s="1"/>
  <c r="AJ73" i="2" a="1"/>
  <c r="AJ73" i="2" s="1"/>
  <c r="AC72" i="2" a="1"/>
  <c r="AC72" i="2" s="1"/>
  <c r="AF70" i="2" a="1"/>
  <c r="AF70" i="2" s="1"/>
  <c r="AH73" i="2" a="1"/>
  <c r="AH73" i="2" s="1"/>
  <c r="AB72" i="2" a="1"/>
  <c r="AB72" i="2" s="1"/>
  <c r="AH70" i="2" a="1"/>
  <c r="AH70" i="2" s="1"/>
  <c r="AA70" i="2" a="1"/>
  <c r="AA70" i="2" s="1"/>
  <c r="AC71" i="2" a="1"/>
  <c r="AC71" i="2" s="1"/>
  <c r="Z73" i="2" a="1"/>
  <c r="Z73" i="2" s="1"/>
  <c r="X71" i="2" a="1"/>
  <c r="X71" i="2" s="1"/>
  <c r="AI69" i="2" a="1"/>
  <c r="AI69" i="2" s="1"/>
  <c r="AG68" i="2" a="1"/>
  <c r="AG68" i="2" s="1"/>
  <c r="Y69" i="2" a="1"/>
  <c r="Y69" i="2" s="1"/>
  <c r="AD68" i="2" a="1"/>
  <c r="AD68" i="2" s="1"/>
  <c r="AB68" i="2" a="1"/>
  <c r="AB68" i="2" s="1"/>
  <c r="AF67" i="2" a="1"/>
  <c r="AF67" i="2" s="1"/>
  <c r="AJ65" i="2" a="1"/>
  <c r="AJ65" i="2" s="1"/>
  <c r="AG65" i="2" a="1"/>
  <c r="AG65" i="2" s="1"/>
  <c r="X67" i="2" a="1"/>
  <c r="X67" i="2" s="1"/>
  <c r="W66" i="2" a="1"/>
  <c r="W66" i="2" s="1"/>
  <c r="AD69" i="2" a="1"/>
  <c r="AD69" i="2" s="1"/>
  <c r="AG67" i="2" a="1"/>
  <c r="AG67" i="2" s="1"/>
  <c r="AC69" i="2" a="1"/>
  <c r="AC69" i="2" s="1"/>
  <c r="X69" i="2" a="1"/>
  <c r="X69" i="2" s="1"/>
  <c r="W68" i="2" a="1"/>
  <c r="W68" i="2" s="1"/>
  <c r="AB69" i="2" a="1"/>
  <c r="AB69" i="2" s="1"/>
  <c r="AF68" i="2" a="1"/>
  <c r="AF68" i="2" s="1"/>
  <c r="AJ67" i="2" a="1"/>
  <c r="AJ67" i="2" s="1"/>
  <c r="AJ66" i="2" a="1"/>
  <c r="AJ66" i="2" s="1"/>
  <c r="Z66" i="2" a="1"/>
  <c r="Z66" i="2" s="1"/>
  <c r="AE67" i="2" a="1"/>
  <c r="AE67" i="2" s="1"/>
  <c r="W69" i="2" a="1"/>
  <c r="W69" i="2" s="1"/>
  <c r="AA67" i="2" a="1"/>
  <c r="AA67" i="2" s="1"/>
  <c r="Y67" i="2" a="1"/>
  <c r="Y67" i="2" s="1"/>
  <c r="X66" i="2" a="1"/>
  <c r="X66" i="2" s="1"/>
  <c r="W67" i="2" a="1"/>
  <c r="W67" i="2" s="1"/>
  <c r="AB66" i="2" a="1"/>
  <c r="AB66" i="2" s="1"/>
  <c r="AI66" i="2" a="1"/>
  <c r="AI66" i="2" s="1"/>
  <c r="AC68" i="2" a="1"/>
  <c r="AC68" i="2" s="1"/>
  <c r="X68" i="2" a="1"/>
  <c r="X68" i="2" s="1"/>
  <c r="AE68" i="2" a="1"/>
  <c r="AE68" i="2" s="1"/>
  <c r="AI68" i="2" a="1"/>
  <c r="AI68" i="2" s="1"/>
  <c r="Z68" i="2" a="1"/>
  <c r="Z68" i="2" s="1"/>
  <c r="AI67" i="2" a="1"/>
  <c r="AI67" i="2" s="1"/>
  <c r="AH67" i="2" a="1"/>
  <c r="AH67" i="2" s="1"/>
  <c r="AC67" i="2" a="1"/>
  <c r="AC67" i="2" s="1"/>
  <c r="AF66" i="2" a="1"/>
  <c r="AF66" i="2" s="1"/>
  <c r="AD66" i="2" a="1"/>
  <c r="AD66" i="2" s="1"/>
  <c r="AI65" i="2" a="1"/>
  <c r="AI65" i="2" s="1"/>
  <c r="AH65" i="2" a="1"/>
  <c r="AH65" i="2" s="1"/>
  <c r="AE66" i="2" a="1"/>
  <c r="AE66" i="2" s="1"/>
  <c r="AE65" i="2" a="1"/>
  <c r="AE65" i="2" s="1"/>
  <c r="Z67" i="2" a="1"/>
  <c r="Z67" i="2" s="1"/>
  <c r="AA66" i="2" a="1"/>
  <c r="AA66" i="2" s="1"/>
  <c r="AD65" i="2" a="1"/>
  <c r="AD65" i="2" s="1"/>
  <c r="AH66" i="2" a="1"/>
  <c r="AH66" i="2" s="1"/>
  <c r="Y66" i="2" a="1"/>
  <c r="Y66" i="2" s="1"/>
  <c r="AC65" i="2" a="1"/>
  <c r="AC65" i="2" s="1"/>
  <c r="AI78" i="2" a="1"/>
  <c r="AI78" i="2" s="1"/>
  <c r="AH69" i="2" a="1"/>
  <c r="AH69" i="2" s="1"/>
  <c r="AA69" i="2" a="1"/>
  <c r="AA69" i="2" s="1"/>
  <c r="AJ68" i="2" a="1"/>
  <c r="AJ68" i="2" s="1"/>
  <c r="AH68" i="2" a="1"/>
  <c r="AH68" i="2" s="1"/>
  <c r="AG66" i="2" a="1"/>
  <c r="AG66" i="2" s="1"/>
  <c r="AF65" i="2" a="1"/>
  <c r="AF65" i="2" s="1"/>
  <c r="AD67" i="2" a="1"/>
  <c r="AD67" i="2" s="1"/>
  <c r="AG69" i="2" a="1"/>
  <c r="AG69" i="2" s="1"/>
  <c r="AF69" i="2" a="1"/>
  <c r="AF69" i="2" s="1"/>
  <c r="AA68" i="2" a="1"/>
  <c r="AA68" i="2" s="1"/>
  <c r="Y68" i="2" a="1"/>
  <c r="Y68" i="2" s="1"/>
  <c r="AB67" i="2" a="1"/>
  <c r="AB67" i="2" s="1"/>
  <c r="AC66" i="2" a="1"/>
  <c r="AC66" i="2" s="1"/>
  <c r="AE69" i="2" a="1"/>
  <c r="AE69" i="2" s="1"/>
  <c r="Z69" i="2" a="1"/>
  <c r="Z69" i="2" s="1"/>
  <c r="Z1054" i="2" a="1"/>
  <c r="Z1054" i="2" s="1"/>
  <c r="AD1056" i="2" a="1"/>
  <c r="AD1056" i="2" s="1"/>
  <c r="AC1056" i="2" a="1"/>
  <c r="AC1056" i="2" s="1"/>
  <c r="AH1055" i="2" a="1"/>
  <c r="AH1055" i="2" s="1"/>
  <c r="AB1056" i="2" a="1"/>
  <c r="AB1056" i="2" s="1"/>
  <c r="AD1055" i="2" a="1"/>
  <c r="AD1055" i="2" s="1"/>
  <c r="AA1055" i="2" a="1"/>
  <c r="AA1055" i="2" s="1"/>
  <c r="W1055" i="2" a="1"/>
  <c r="W1055" i="2" s="1"/>
  <c r="AF1053" i="2" a="1"/>
  <c r="AF1053" i="2" s="1"/>
  <c r="AC1052" i="2" a="1"/>
  <c r="AC1052" i="2" s="1"/>
  <c r="AE1055" i="2" a="1"/>
  <c r="AE1055" i="2" s="1"/>
  <c r="AD1054" i="2" a="1"/>
  <c r="AD1054" i="2" s="1"/>
  <c r="Y1054" i="2" a="1"/>
  <c r="Y1054" i="2" s="1"/>
  <c r="AI1054" i="2" a="1"/>
  <c r="AI1054" i="2" s="1"/>
  <c r="AA1056" i="2" a="1"/>
  <c r="AA1056" i="2" s="1"/>
  <c r="AF1055" i="2" a="1"/>
  <c r="AF1055" i="2" s="1"/>
  <c r="AE1052" i="2" a="1"/>
  <c r="AE1052" i="2" s="1"/>
  <c r="AG1054" i="2" a="1"/>
  <c r="AG1054" i="2" s="1"/>
  <c r="AJ1053" i="2" a="1"/>
  <c r="AJ1053" i="2" s="1"/>
  <c r="AJ1052" i="2" a="1"/>
  <c r="AJ1052" i="2" s="1"/>
  <c r="Z1056" i="2" a="1"/>
  <c r="Z1056" i="2" s="1"/>
  <c r="Z1053" i="2" a="1"/>
  <c r="Z1053" i="2" s="1"/>
  <c r="Y1056" i="2" a="1"/>
  <c r="Y1056" i="2" s="1"/>
  <c r="X1055" i="2" a="1"/>
  <c r="X1055" i="2" s="1"/>
  <c r="AF1054" i="2" a="1"/>
  <c r="AF1054" i="2" s="1"/>
  <c r="X1056" i="2" a="1"/>
  <c r="X1056" i="2" s="1"/>
  <c r="W1056" i="2" a="1"/>
  <c r="W1056" i="2" s="1"/>
  <c r="AJ1055" i="2" a="1"/>
  <c r="AJ1055" i="2" s="1"/>
  <c r="AI1055" i="2" a="1"/>
  <c r="AI1055" i="2" s="1"/>
  <c r="AB1052" i="2" a="1"/>
  <c r="AB1052" i="2" s="1"/>
  <c r="AG1055" i="2" a="1"/>
  <c r="AG1055" i="2" s="1"/>
  <c r="AC1055" i="2" a="1"/>
  <c r="AC1055" i="2" s="1"/>
  <c r="AJ1054" i="2" a="1"/>
  <c r="AJ1054" i="2" s="1"/>
  <c r="AH1054" i="2" a="1"/>
  <c r="AH1054" i="2" s="1"/>
  <c r="AE1054" i="2" a="1"/>
  <c r="AE1054" i="2" s="1"/>
  <c r="AC1054" i="2" a="1"/>
  <c r="AC1054" i="2" s="1"/>
  <c r="AA1054" i="2" a="1"/>
  <c r="AA1054" i="2" s="1"/>
  <c r="X1054" i="2" a="1"/>
  <c r="X1054" i="2" s="1"/>
  <c r="W1054" i="2" a="1"/>
  <c r="W1054" i="2" s="1"/>
  <c r="AH1053" i="2" a="1"/>
  <c r="AH1053" i="2" s="1"/>
  <c r="AB1053" i="2" a="1"/>
  <c r="AB1053" i="2" s="1"/>
  <c r="Y1053" i="2" a="1"/>
  <c r="Y1053" i="2" s="1"/>
  <c r="X1053" i="2" a="1"/>
  <c r="X1053" i="2" s="1"/>
  <c r="AH1052" i="2" a="1"/>
  <c r="AH1052" i="2" s="1"/>
  <c r="AF1052" i="2" a="1"/>
  <c r="AF1052" i="2" s="1"/>
  <c r="AG1052" i="2" a="1"/>
  <c r="AG1052" i="2" s="1"/>
  <c r="W1053" i="2" a="1"/>
  <c r="W1053" i="2" s="1"/>
  <c r="AB1055" i="2" a="1"/>
  <c r="AB1055" i="2" s="1"/>
  <c r="AD1053" i="2" a="1"/>
  <c r="AD1053" i="2" s="1"/>
  <c r="AD1052" i="2" a="1"/>
  <c r="AD1052" i="2" s="1"/>
  <c r="Y1055" i="2" a="1"/>
  <c r="Y1055" i="2" s="1"/>
  <c r="AB1054" i="2" a="1"/>
  <c r="AB1054" i="2" s="1"/>
  <c r="AE1053" i="2" a="1"/>
  <c r="AE1053" i="2" s="1"/>
  <c r="AG1053" i="2" a="1"/>
  <c r="AG1053" i="2" s="1"/>
  <c r="AC1053" i="2" a="1"/>
  <c r="AC1053" i="2" s="1"/>
  <c r="Z1055" i="2" a="1"/>
  <c r="Z1055" i="2" s="1"/>
  <c r="AI1053" i="2" a="1"/>
  <c r="AI1053" i="2" s="1"/>
  <c r="AI1052" i="2" a="1"/>
  <c r="AI1052" i="2" s="1"/>
  <c r="AA1053" i="2" a="1"/>
  <c r="AA1053" i="2" s="1"/>
  <c r="AE1061" i="2" a="1"/>
  <c r="AE1061" i="2" s="1"/>
  <c r="Z1050" i="2" a="1"/>
  <c r="Z1050" i="2" s="1"/>
  <c r="AA1050" i="2" a="1"/>
  <c r="AA1050" i="2" s="1"/>
  <c r="Z1049" i="2" a="1"/>
  <c r="Z1049" i="2" s="1"/>
  <c r="AJ1050" i="2" a="1"/>
  <c r="AJ1050" i="2" s="1"/>
  <c r="AB1049" i="2" a="1"/>
  <c r="AB1049" i="2" s="1"/>
  <c r="Z1048" i="2" a="1"/>
  <c r="Z1048" i="2" s="1"/>
  <c r="Z1052" i="2" a="1"/>
  <c r="Z1052" i="2" s="1"/>
  <c r="Y1052" i="2" a="1"/>
  <c r="Y1052" i="2" s="1"/>
  <c r="AG1051" i="2" a="1"/>
  <c r="AG1051" i="2" s="1"/>
  <c r="AH1051" i="2" a="1"/>
  <c r="AH1051" i="2" s="1"/>
  <c r="Y1051" i="2" a="1"/>
  <c r="Y1051" i="2" s="1"/>
  <c r="Y1050" i="2" a="1"/>
  <c r="Y1050" i="2" s="1"/>
  <c r="AH1049" i="2" a="1"/>
  <c r="AH1049" i="2" s="1"/>
  <c r="AH1048" i="2" a="1"/>
  <c r="AH1048" i="2" s="1"/>
  <c r="AI1050" i="2" a="1"/>
  <c r="AI1050" i="2" s="1"/>
  <c r="AA1049" i="2" a="1"/>
  <c r="AA1049" i="2" s="1"/>
  <c r="AB1051" i="2" a="1"/>
  <c r="AB1051" i="2" s="1"/>
  <c r="AB1050" i="2" a="1"/>
  <c r="AB1050" i="2" s="1"/>
  <c r="AF1048" i="2" a="1"/>
  <c r="AF1048" i="2" s="1"/>
  <c r="AG1050" i="2" a="1"/>
  <c r="AG1050" i="2" s="1"/>
  <c r="AE1051" i="2" a="1"/>
  <c r="AE1051" i="2" s="1"/>
  <c r="AE1049" i="2" a="1"/>
  <c r="AE1049" i="2" s="1"/>
  <c r="Y1049" i="2" a="1"/>
  <c r="Y1049" i="2" s="1"/>
  <c r="AD1049" i="2" a="1"/>
  <c r="AD1049" i="2" s="1"/>
  <c r="X1051" i="2" a="1"/>
  <c r="X1051" i="2" s="1"/>
  <c r="AA1051" i="2" a="1"/>
  <c r="AA1051" i="2" s="1"/>
  <c r="AI1048" i="2" a="1"/>
  <c r="AI1048" i="2" s="1"/>
  <c r="AJ1051" i="2" a="1"/>
  <c r="AJ1051" i="2" s="1"/>
  <c r="X1052" i="2" a="1"/>
  <c r="X1052" i="2" s="1"/>
  <c r="W1052" i="2" a="1"/>
  <c r="W1052" i="2" s="1"/>
  <c r="AC1049" i="2" a="1"/>
  <c r="AC1049" i="2" s="1"/>
  <c r="AJ1047" i="2" a="1"/>
  <c r="AJ1047" i="2" s="1"/>
  <c r="AA1048" i="2" a="1"/>
  <c r="AA1048" i="2" s="1"/>
  <c r="AF1051" i="2" a="1"/>
  <c r="AF1051" i="2" s="1"/>
  <c r="AJ1048" i="2" a="1"/>
  <c r="AJ1048" i="2" s="1"/>
  <c r="AC1051" i="2" a="1"/>
  <c r="AC1051" i="2" s="1"/>
  <c r="W1050" i="2" a="1"/>
  <c r="W1050" i="2" s="1"/>
  <c r="AG1048" i="2" a="1"/>
  <c r="AG1048" i="2" s="1"/>
  <c r="AF1049" i="2" a="1"/>
  <c r="AF1049" i="2" s="1"/>
  <c r="Z1051" i="2" a="1"/>
  <c r="Z1051" i="2" s="1"/>
  <c r="AH1050" i="2" a="1"/>
  <c r="AH1050" i="2" s="1"/>
  <c r="AF1050" i="2" a="1"/>
  <c r="AF1050" i="2" s="1"/>
  <c r="AE1050" i="2" a="1"/>
  <c r="AE1050" i="2" s="1"/>
  <c r="X1050" i="2" a="1"/>
  <c r="X1050" i="2" s="1"/>
  <c r="AI1047" i="2" a="1"/>
  <c r="AI1047" i="2" s="1"/>
  <c r="AG1049" i="2" a="1"/>
  <c r="AG1049" i="2" s="1"/>
  <c r="Y1048" i="2" a="1"/>
  <c r="Y1048" i="2" s="1"/>
  <c r="AJ1049" i="2" a="1"/>
  <c r="AJ1049" i="2" s="1"/>
  <c r="W1049" i="2" a="1"/>
  <c r="W1049" i="2" s="1"/>
  <c r="AD1051" i="2" a="1"/>
  <c r="AD1051" i="2" s="1"/>
  <c r="W1051" i="2" a="1"/>
  <c r="W1051" i="2" s="1"/>
  <c r="AC1050" i="2" a="1"/>
  <c r="AC1050" i="2" s="1"/>
  <c r="X1048" i="2" a="1"/>
  <c r="X1048" i="2" s="1"/>
  <c r="X1049" i="2" a="1"/>
  <c r="X1049" i="2" s="1"/>
  <c r="AD1050" i="2" a="1"/>
  <c r="AD1050" i="2" s="1"/>
  <c r="AI1051" i="2" a="1"/>
  <c r="AI1051" i="2" s="1"/>
  <c r="W1048" i="2" a="1"/>
  <c r="W1048" i="2" s="1"/>
  <c r="AE1048" i="2" a="1"/>
  <c r="AE1048" i="2" s="1"/>
  <c r="AC1048" i="2" a="1"/>
  <c r="AC1048" i="2" s="1"/>
  <c r="AD1048" i="2" a="1"/>
  <c r="AD1048" i="2" s="1"/>
  <c r="AI1061" i="2" a="1"/>
  <c r="AI1061" i="2" s="1"/>
  <c r="AA1052" i="2" a="1"/>
  <c r="AA1052" i="2" s="1"/>
  <c r="AI1049" i="2" a="1"/>
  <c r="AI1049" i="2" s="1"/>
  <c r="AB1048" i="2" a="1"/>
  <c r="AB1048" i="2" s="1"/>
  <c r="AE1047" i="2" a="1"/>
  <c r="AE1047" i="2" s="1"/>
  <c r="AB1047" i="2" a="1"/>
  <c r="AB1047" i="2" s="1"/>
  <c r="AA1047" i="2" a="1"/>
  <c r="AA1047" i="2" s="1"/>
  <c r="AJ1046" i="2" a="1"/>
  <c r="AJ1046" i="2" s="1"/>
  <c r="AF1045" i="2" a="1"/>
  <c r="AF1045" i="2" s="1"/>
  <c r="AC1045" i="2" a="1"/>
  <c r="AC1045" i="2" s="1"/>
  <c r="AA1046" i="2" a="1"/>
  <c r="AA1046" i="2" s="1"/>
  <c r="W1046" i="2" a="1"/>
  <c r="W1046" i="2" s="1"/>
  <c r="AD1043" i="2" a="1"/>
  <c r="AD1043" i="2" s="1"/>
  <c r="AI1045" i="2" a="1"/>
  <c r="AI1045" i="2" s="1"/>
  <c r="AB1043" i="2" a="1"/>
  <c r="AB1043" i="2" s="1"/>
  <c r="Z1045" i="2" a="1"/>
  <c r="Z1045" i="2" s="1"/>
  <c r="Z1044" i="2" a="1"/>
  <c r="Z1044" i="2" s="1"/>
  <c r="AE1043" i="2" a="1"/>
  <c r="AE1043" i="2" s="1"/>
  <c r="Y1047" i="2" a="1"/>
  <c r="Y1047" i="2" s="1"/>
  <c r="AE1046" i="2" a="1"/>
  <c r="AE1046" i="2" s="1"/>
  <c r="AC1046" i="2" a="1"/>
  <c r="AC1046" i="2" s="1"/>
  <c r="Y1046" i="2" a="1"/>
  <c r="Y1046" i="2" s="1"/>
  <c r="AB1045" i="2" a="1"/>
  <c r="AB1045" i="2" s="1"/>
  <c r="W1047" i="2" a="1"/>
  <c r="W1047" i="2" s="1"/>
  <c r="AB1046" i="2" a="1"/>
  <c r="AB1046" i="2" s="1"/>
  <c r="W1044" i="2" a="1"/>
  <c r="W1044" i="2" s="1"/>
  <c r="AG1044" i="2" a="1"/>
  <c r="AG1044" i="2" s="1"/>
  <c r="AJ1043" i="2" a="1"/>
  <c r="AJ1043" i="2" s="1"/>
  <c r="AA1045" i="2" a="1"/>
  <c r="AA1045" i="2" s="1"/>
  <c r="AH1045" i="2" a="1"/>
  <c r="AH1045" i="2" s="1"/>
  <c r="AD1044" i="2" a="1"/>
  <c r="AD1044" i="2" s="1"/>
  <c r="AE1044" i="2" a="1"/>
  <c r="AE1044" i="2" s="1"/>
  <c r="AD1047" i="2" a="1"/>
  <c r="AD1047" i="2" s="1"/>
  <c r="AD1046" i="2" a="1"/>
  <c r="AD1046" i="2" s="1"/>
  <c r="AC1047" i="2" a="1"/>
  <c r="AC1047" i="2" s="1"/>
  <c r="AI1043" i="2" a="1"/>
  <c r="AI1043" i="2" s="1"/>
  <c r="AH1046" i="2" a="1"/>
  <c r="AH1046" i="2" s="1"/>
  <c r="AH1043" i="2" a="1"/>
  <c r="AH1043" i="2" s="1"/>
  <c r="AJ1045" i="2" a="1"/>
  <c r="AJ1045" i="2" s="1"/>
  <c r="AF1046" i="2" a="1"/>
  <c r="AF1046" i="2" s="1"/>
  <c r="Z1046" i="2" a="1"/>
  <c r="Z1046" i="2" s="1"/>
  <c r="AJ1044" i="2" a="1"/>
  <c r="AJ1044" i="2" s="1"/>
  <c r="X1044" i="2" a="1"/>
  <c r="X1044" i="2" s="1"/>
  <c r="AC1044" i="2" a="1"/>
  <c r="AC1044" i="2" s="1"/>
  <c r="AA1044" i="2" a="1"/>
  <c r="AA1044" i="2" s="1"/>
  <c r="W1045" i="2" a="1"/>
  <c r="W1045" i="2" s="1"/>
  <c r="AG1046" i="2" a="1"/>
  <c r="AG1046" i="2" s="1"/>
  <c r="Y1045" i="2" a="1"/>
  <c r="Y1045" i="2" s="1"/>
  <c r="Y1044" i="2" a="1"/>
  <c r="Y1044" i="2" s="1"/>
  <c r="AF1043" i="2" a="1"/>
  <c r="AF1043" i="2" s="1"/>
  <c r="AC1043" i="2" a="1"/>
  <c r="AC1043" i="2" s="1"/>
  <c r="AB1044" i="2" a="1"/>
  <c r="AB1044" i="2" s="1"/>
  <c r="AG1043" i="2" a="1"/>
  <c r="AG1043" i="2" s="1"/>
  <c r="AH1047" i="2" a="1"/>
  <c r="AH1047" i="2" s="1"/>
  <c r="X1047" i="2" a="1"/>
  <c r="X1047" i="2" s="1"/>
  <c r="AG1045" i="2" a="1"/>
  <c r="AG1045" i="2" s="1"/>
  <c r="AD1045" i="2" a="1"/>
  <c r="AD1045" i="2" s="1"/>
  <c r="AH1044" i="2" a="1"/>
  <c r="AH1044" i="2" s="1"/>
  <c r="AI1044" i="2" a="1"/>
  <c r="AI1044" i="2" s="1"/>
  <c r="AF1044" i="2" a="1"/>
  <c r="AF1044" i="2" s="1"/>
  <c r="AD1061" i="2" a="1"/>
  <c r="AD1061" i="2" s="1"/>
  <c r="Z1047" i="2" a="1"/>
  <c r="Z1047" i="2" s="1"/>
  <c r="AI1046" i="2" a="1"/>
  <c r="AI1046" i="2" s="1"/>
  <c r="X1046" i="2" a="1"/>
  <c r="X1046" i="2" s="1"/>
  <c r="AG1047" i="2" a="1"/>
  <c r="AG1047" i="2" s="1"/>
  <c r="AF1047" i="2" a="1"/>
  <c r="AF1047" i="2" s="1"/>
  <c r="AE1045" i="2" a="1"/>
  <c r="AE1045" i="2" s="1"/>
  <c r="X1045" i="2" a="1"/>
  <c r="X1045" i="2" s="1"/>
  <c r="X1039" i="2" a="1"/>
  <c r="X1039" i="2" s="1"/>
  <c r="AG1041" i="2" a="1"/>
  <c r="AG1041" i="2" s="1"/>
  <c r="Z1039" i="2" a="1"/>
  <c r="Z1039" i="2" s="1"/>
  <c r="AH1039" i="2" a="1"/>
  <c r="AH1039" i="2" s="1"/>
  <c r="W1039" i="2" a="1"/>
  <c r="W1039" i="2" s="1"/>
  <c r="AB1039" i="2" a="1"/>
  <c r="AB1039" i="2" s="1"/>
  <c r="W1062" i="2" a="1"/>
  <c r="W1062" i="2" s="1"/>
  <c r="AA1043" i="2" a="1"/>
  <c r="AA1043" i="2" s="1"/>
  <c r="X1041" i="2" a="1"/>
  <c r="X1041" i="2" s="1"/>
  <c r="X1043" i="2" a="1"/>
  <c r="X1043" i="2" s="1"/>
  <c r="AJ1042" i="2" a="1"/>
  <c r="AJ1042" i="2" s="1"/>
  <c r="Y1042" i="2" a="1"/>
  <c r="Y1042" i="2" s="1"/>
  <c r="AI1042" i="2" a="1"/>
  <c r="AI1042" i="2" s="1"/>
  <c r="AH1042" i="2" a="1"/>
  <c r="AH1042" i="2" s="1"/>
  <c r="AA1041" i="2" a="1"/>
  <c r="AA1041" i="2" s="1"/>
  <c r="AA1039" i="2" a="1"/>
  <c r="AA1039" i="2" s="1"/>
  <c r="AG1042" i="2" a="1"/>
  <c r="AG1042" i="2" s="1"/>
  <c r="AA1042" i="2" a="1"/>
  <c r="AA1042" i="2" s="1"/>
  <c r="AA1040" i="2" a="1"/>
  <c r="AA1040" i="2" s="1"/>
  <c r="AJ1039" i="2" a="1"/>
  <c r="AJ1039" i="2" s="1"/>
  <c r="AG1039" i="2" a="1"/>
  <c r="AG1039" i="2" s="1"/>
  <c r="AH1040" i="2" a="1"/>
  <c r="AH1040" i="2" s="1"/>
  <c r="Z1041" i="2" a="1"/>
  <c r="Z1041" i="2" s="1"/>
  <c r="AG1040" i="2" a="1"/>
  <c r="AG1040" i="2" s="1"/>
  <c r="Z1042" i="2" a="1"/>
  <c r="Z1042" i="2" s="1"/>
  <c r="AF1042" i="2" a="1"/>
  <c r="AF1042" i="2" s="1"/>
  <c r="AE1042" i="2" a="1"/>
  <c r="AE1042" i="2" s="1"/>
  <c r="X1042" i="2" a="1"/>
  <c r="X1042" i="2" s="1"/>
  <c r="AF1041" i="2" a="1"/>
  <c r="AF1041" i="2" s="1"/>
  <c r="AE1039" i="2" a="1"/>
  <c r="AE1039" i="2" s="1"/>
  <c r="AH1041" i="2" a="1"/>
  <c r="AH1041" i="2" s="1"/>
  <c r="AF1040" i="2" a="1"/>
  <c r="AF1040" i="2" s="1"/>
  <c r="AB1041" i="2" a="1"/>
  <c r="AB1041" i="2" s="1"/>
  <c r="AI1040" i="2" a="1"/>
  <c r="AI1040" i="2" s="1"/>
  <c r="AI1038" i="2" a="1"/>
  <c r="AI1038" i="2" s="1"/>
  <c r="AE1040" i="2" a="1"/>
  <c r="AE1040" i="2" s="1"/>
  <c r="W1040" i="2" a="1"/>
  <c r="W1040" i="2" s="1"/>
  <c r="AD1040" i="2" a="1"/>
  <c r="AD1040" i="2" s="1"/>
  <c r="AI1039" i="2" a="1"/>
  <c r="AI1039" i="2" s="1"/>
  <c r="AC1039" i="2" a="1"/>
  <c r="AC1039" i="2" s="1"/>
  <c r="Z1043" i="2" a="1"/>
  <c r="Z1043" i="2" s="1"/>
  <c r="W1043" i="2" a="1"/>
  <c r="W1043" i="2" s="1"/>
  <c r="AC1042" i="2" a="1"/>
  <c r="AC1042" i="2" s="1"/>
  <c r="W1042" i="2" a="1"/>
  <c r="W1042" i="2" s="1"/>
  <c r="AJ1041" i="2" a="1"/>
  <c r="AJ1041" i="2" s="1"/>
  <c r="Y1041" i="2" a="1"/>
  <c r="Y1041" i="2" s="1"/>
  <c r="AC1040" i="2" a="1"/>
  <c r="AC1040" i="2" s="1"/>
  <c r="Y1040" i="2" a="1"/>
  <c r="Y1040" i="2" s="1"/>
  <c r="Y1039" i="2" a="1"/>
  <c r="Y1039" i="2" s="1"/>
  <c r="AB1040" i="2" a="1"/>
  <c r="AB1040" i="2" s="1"/>
  <c r="AJ1040" i="2" a="1"/>
  <c r="AJ1040" i="2" s="1"/>
  <c r="AJ1038" i="2" a="1"/>
  <c r="AJ1038" i="2" s="1"/>
  <c r="W1041" i="2" a="1"/>
  <c r="W1041" i="2" s="1"/>
  <c r="AD1039" i="2" a="1"/>
  <c r="AD1039" i="2" s="1"/>
  <c r="Y1043" i="2" a="1"/>
  <c r="Y1043" i="2" s="1"/>
  <c r="AI1041" i="2" a="1"/>
  <c r="AI1041" i="2" s="1"/>
  <c r="AE1041" i="2" a="1"/>
  <c r="AE1041" i="2" s="1"/>
  <c r="AD1041" i="2" a="1"/>
  <c r="AD1041" i="2" s="1"/>
  <c r="X1040" i="2" a="1"/>
  <c r="X1040" i="2" s="1"/>
  <c r="Z1040" i="2" a="1"/>
  <c r="Z1040" i="2" s="1"/>
  <c r="AF1039" i="2" a="1"/>
  <c r="AF1039" i="2" s="1"/>
  <c r="AD1042" i="2" a="1"/>
  <c r="AD1042" i="2" s="1"/>
  <c r="AB1042" i="2" a="1"/>
  <c r="AB1042" i="2" s="1"/>
  <c r="AC1041" i="2" a="1"/>
  <c r="AC1041" i="2" s="1"/>
  <c r="AD1035" i="2" a="1"/>
  <c r="AD1035" i="2" s="1"/>
  <c r="AD1037" i="2" a="1"/>
  <c r="AD1037" i="2" s="1"/>
  <c r="W1037" i="2" a="1"/>
  <c r="W1037" i="2" s="1"/>
  <c r="AF1034" i="2" a="1"/>
  <c r="AF1034" i="2" s="1"/>
  <c r="AC1035" i="2" a="1"/>
  <c r="AC1035" i="2" s="1"/>
  <c r="AH1035" i="2" a="1"/>
  <c r="AH1035" i="2" s="1"/>
  <c r="AH1038" i="2" a="1"/>
  <c r="AH1038" i="2" s="1"/>
  <c r="AG1038" i="2" a="1"/>
  <c r="AG1038" i="2" s="1"/>
  <c r="AC1036" i="2" a="1"/>
  <c r="AC1036" i="2" s="1"/>
  <c r="AE1038" i="2" a="1"/>
  <c r="AE1038" i="2" s="1"/>
  <c r="AD1038" i="2" a="1"/>
  <c r="AD1038" i="2" s="1"/>
  <c r="AB1038" i="2" a="1"/>
  <c r="AB1038" i="2" s="1"/>
  <c r="Z1038" i="2" a="1"/>
  <c r="Z1038" i="2" s="1"/>
  <c r="AI1037" i="2" a="1"/>
  <c r="AI1037" i="2" s="1"/>
  <c r="Y1038" i="2" a="1"/>
  <c r="Y1038" i="2" s="1"/>
  <c r="AG1037" i="2" a="1"/>
  <c r="AG1037" i="2" s="1"/>
  <c r="AH1034" i="2" a="1"/>
  <c r="AH1034" i="2" s="1"/>
  <c r="AF1037" i="2" a="1"/>
  <c r="AF1037" i="2" s="1"/>
  <c r="AJ1035" i="2" a="1"/>
  <c r="AJ1035" i="2" s="1"/>
  <c r="Y1035" i="2" a="1"/>
  <c r="Y1035" i="2" s="1"/>
  <c r="AB1036" i="2" a="1"/>
  <c r="AB1036" i="2" s="1"/>
  <c r="AG1036" i="2" a="1"/>
  <c r="AG1036" i="2" s="1"/>
  <c r="AA1036" i="2" a="1"/>
  <c r="AA1036" i="2" s="1"/>
  <c r="AD1036" i="2" a="1"/>
  <c r="AD1036" i="2" s="1"/>
  <c r="AD1034" i="2" a="1"/>
  <c r="AD1034" i="2" s="1"/>
  <c r="AI1036" i="2" a="1"/>
  <c r="AI1036" i="2" s="1"/>
  <c r="AF1036" i="2" a="1"/>
  <c r="AF1036" i="2" s="1"/>
  <c r="AG1035" i="2" a="1"/>
  <c r="AG1035" i="2" s="1"/>
  <c r="AE1034" i="2" a="1"/>
  <c r="AE1034" i="2" s="1"/>
  <c r="AH1036" i="2" a="1"/>
  <c r="AH1036" i="2" s="1"/>
  <c r="AA1035" i="2" a="1"/>
  <c r="AA1035" i="2" s="1"/>
  <c r="AC1034" i="2" a="1"/>
  <c r="AC1034" i="2" s="1"/>
  <c r="AF1038" i="2" a="1"/>
  <c r="AF1038" i="2" s="1"/>
  <c r="AC1037" i="2" a="1"/>
  <c r="AC1037" i="2" s="1"/>
  <c r="X1035" i="2" a="1"/>
  <c r="X1035" i="2" s="1"/>
  <c r="AC1038" i="2" a="1"/>
  <c r="AC1038" i="2" s="1"/>
  <c r="W1036" i="2" a="1"/>
  <c r="W1036" i="2" s="1"/>
  <c r="AA1037" i="2" a="1"/>
  <c r="AA1037" i="2" s="1"/>
  <c r="Y1037" i="2" a="1"/>
  <c r="Y1037" i="2" s="1"/>
  <c r="AI1035" i="2" a="1"/>
  <c r="AI1035" i="2" s="1"/>
  <c r="AJ1037" i="2" a="1"/>
  <c r="AJ1037" i="2" s="1"/>
  <c r="AB1037" i="2" a="1"/>
  <c r="AB1037" i="2" s="1"/>
  <c r="AA1038" i="2" a="1"/>
  <c r="AA1038" i="2" s="1"/>
  <c r="X1037" i="2" a="1"/>
  <c r="X1037" i="2" s="1"/>
  <c r="AB1034" i="2" a="1"/>
  <c r="AB1034" i="2" s="1"/>
  <c r="Y1036" i="2" a="1"/>
  <c r="Y1036" i="2" s="1"/>
  <c r="W1035" i="2" a="1"/>
  <c r="W1035" i="2" s="1"/>
  <c r="AC1061" i="2" a="1"/>
  <c r="AC1061" i="2" s="1"/>
  <c r="AE1035" i="2" a="1"/>
  <c r="AE1035" i="2" s="1"/>
  <c r="Z1036" i="2" a="1"/>
  <c r="Z1036" i="2" s="1"/>
  <c r="AE1037" i="2" a="1"/>
  <c r="AE1037" i="2" s="1"/>
  <c r="AB1035" i="2" a="1"/>
  <c r="AB1035" i="2" s="1"/>
  <c r="AI1034" i="2" a="1"/>
  <c r="AI1034" i="2" s="1"/>
  <c r="X1038" i="2" a="1"/>
  <c r="X1038" i="2" s="1"/>
  <c r="W1038" i="2" a="1"/>
  <c r="W1038" i="2" s="1"/>
  <c r="AE1036" i="2" a="1"/>
  <c r="AE1036" i="2" s="1"/>
  <c r="X1036" i="2" a="1"/>
  <c r="X1036" i="2" s="1"/>
  <c r="AJ1034" i="2" a="1"/>
  <c r="AJ1034" i="2" s="1"/>
  <c r="AG1034" i="2" a="1"/>
  <c r="AG1034" i="2" s="1"/>
  <c r="AF1035" i="2" a="1"/>
  <c r="AF1035" i="2" s="1"/>
  <c r="Z1037" i="2" a="1"/>
  <c r="Z1037" i="2" s="1"/>
  <c r="AJ1036" i="2" a="1"/>
  <c r="AJ1036" i="2" s="1"/>
  <c r="AH1037" i="2" a="1"/>
  <c r="AH1037" i="2" s="1"/>
  <c r="Z1035" i="2" a="1"/>
  <c r="Z1035" i="2" s="1"/>
  <c r="Y1034" i="2" a="1"/>
  <c r="Y1034" i="2" s="1"/>
  <c r="AA1034" i="2" a="1"/>
  <c r="AA1034" i="2" s="1"/>
  <c r="Z1034" i="2" a="1"/>
  <c r="Z1034" i="2" s="1"/>
  <c r="X1034" i="2" a="1"/>
  <c r="X1034" i="2" s="1"/>
  <c r="Z1033" i="2" a="1"/>
  <c r="Z1033" i="2" s="1"/>
  <c r="W1033" i="2" a="1"/>
  <c r="W1033" i="2" s="1"/>
  <c r="AG1032" i="2" a="1"/>
  <c r="AG1032" i="2" s="1"/>
  <c r="AA1031" i="2" a="1"/>
  <c r="AA1031" i="2" s="1"/>
  <c r="X1031" i="2" a="1"/>
  <c r="X1031" i="2" s="1"/>
  <c r="AB1030" i="2" a="1"/>
  <c r="AB1030" i="2" s="1"/>
  <c r="AB1032" i="2" a="1"/>
  <c r="AB1032" i="2" s="1"/>
  <c r="AC1031" i="2" a="1"/>
  <c r="AC1031" i="2" s="1"/>
  <c r="AB1031" i="2" a="1"/>
  <c r="AB1031" i="2" s="1"/>
  <c r="Z1030" i="2" a="1"/>
  <c r="Z1030" i="2" s="1"/>
  <c r="AJ1032" i="2" a="1"/>
  <c r="AJ1032" i="2" s="1"/>
  <c r="AE1032" i="2" a="1"/>
  <c r="AE1032" i="2" s="1"/>
  <c r="Y1031" i="2" a="1"/>
  <c r="Y1031" i="2" s="1"/>
  <c r="AI1030" i="2" a="1"/>
  <c r="AI1030" i="2" s="1"/>
  <c r="X1030" i="2" a="1"/>
  <c r="X1030" i="2" s="1"/>
  <c r="AI1031" i="2" a="1"/>
  <c r="AI1031" i="2" s="1"/>
  <c r="AD1032" i="2" a="1"/>
  <c r="AD1032" i="2" s="1"/>
  <c r="Y1032" i="2" a="1"/>
  <c r="Y1032" i="2" s="1"/>
  <c r="X1032" i="2" a="1"/>
  <c r="X1032" i="2" s="1"/>
  <c r="AE1030" i="2" a="1"/>
  <c r="AE1030" i="2" s="1"/>
  <c r="W1034" i="2" a="1"/>
  <c r="W1034" i="2" s="1"/>
  <c r="AJ1033" i="2" a="1"/>
  <c r="AJ1033" i="2" s="1"/>
  <c r="AC1030" i="2" a="1"/>
  <c r="AC1030" i="2" s="1"/>
  <c r="AI1033" i="2" a="1"/>
  <c r="AI1033" i="2" s="1"/>
  <c r="AH1033" i="2" a="1"/>
  <c r="AH1033" i="2" s="1"/>
  <c r="AG1033" i="2" a="1"/>
  <c r="AG1033" i="2" s="1"/>
  <c r="AI1032" i="2" a="1"/>
  <c r="AI1032" i="2" s="1"/>
  <c r="W1032" i="2" a="1"/>
  <c r="W1032" i="2" s="1"/>
  <c r="AF1033" i="2" a="1"/>
  <c r="AF1033" i="2" s="1"/>
  <c r="AB1033" i="2" a="1"/>
  <c r="AB1033" i="2" s="1"/>
  <c r="AH1031" i="2" a="1"/>
  <c r="AH1031" i="2" s="1"/>
  <c r="X1033" i="2" a="1"/>
  <c r="X1033" i="2" s="1"/>
  <c r="AF1032" i="2" a="1"/>
  <c r="AF1032" i="2" s="1"/>
  <c r="Y1030" i="2" a="1"/>
  <c r="Y1030" i="2" s="1"/>
  <c r="Z1032" i="2" a="1"/>
  <c r="Z1032" i="2" s="1"/>
  <c r="AD1033" i="2" a="1"/>
  <c r="AD1033" i="2" s="1"/>
  <c r="AE1033" i="2" a="1"/>
  <c r="AE1033" i="2" s="1"/>
  <c r="AA1033" i="2" a="1"/>
  <c r="AA1033" i="2" s="1"/>
  <c r="Y1033" i="2" a="1"/>
  <c r="Y1033" i="2" s="1"/>
  <c r="AH1032" i="2" a="1"/>
  <c r="AH1032" i="2" s="1"/>
  <c r="AA1032" i="2" a="1"/>
  <c r="AA1032" i="2" s="1"/>
  <c r="AH1030" i="2" a="1"/>
  <c r="AH1030" i="2" s="1"/>
  <c r="AG1031" i="2" a="1"/>
  <c r="AG1031" i="2" s="1"/>
  <c r="AC1032" i="2" a="1"/>
  <c r="AC1032" i="2" s="1"/>
  <c r="AC1033" i="2" a="1"/>
  <c r="AC1033" i="2" s="1"/>
  <c r="AF1031" i="2" a="1"/>
  <c r="AF1031" i="2" s="1"/>
  <c r="AD1030" i="2" a="1"/>
  <c r="AD1030" i="2" s="1"/>
  <c r="AJ1030" i="2" a="1"/>
  <c r="AJ1030" i="2" s="1"/>
  <c r="AE1031" i="2" a="1"/>
  <c r="AE1031" i="2" s="1"/>
  <c r="W1031" i="2" a="1"/>
  <c r="W1031" i="2" s="1"/>
  <c r="AG1030" i="2" a="1"/>
  <c r="AG1030" i="2" s="1"/>
  <c r="AF1030" i="2" a="1"/>
  <c r="AF1030" i="2" s="1"/>
  <c r="AJ1029" i="2" a="1"/>
  <c r="AJ1029" i="2" s="1"/>
  <c r="AA1030" i="2" a="1"/>
  <c r="AA1030" i="2" s="1"/>
  <c r="W1030" i="2" a="1"/>
  <c r="W1030" i="2" s="1"/>
  <c r="AI1029" i="2" a="1"/>
  <c r="AI1029" i="2" s="1"/>
  <c r="AD1031" i="2" a="1"/>
  <c r="AD1031" i="2" s="1"/>
  <c r="Z1031" i="2" a="1"/>
  <c r="Z1031" i="2" s="1"/>
  <c r="AH1061" i="2" a="1"/>
  <c r="AH1061" i="2" s="1"/>
  <c r="AJ1031" i="2" a="1"/>
  <c r="AJ1031" i="2" s="1"/>
  <c r="X1029" i="2" a="1"/>
  <c r="X1029" i="2" s="1"/>
  <c r="X1028" i="2" a="1"/>
  <c r="X1028" i="2" s="1"/>
  <c r="W1029" i="2" a="1"/>
  <c r="W1029" i="2" s="1"/>
  <c r="AF1027" i="2" a="1"/>
  <c r="AF1027" i="2" s="1"/>
  <c r="Z1027" i="2" a="1"/>
  <c r="Z1027" i="2" s="1"/>
  <c r="W1026" i="2" a="1"/>
  <c r="W1026" i="2" s="1"/>
  <c r="AJ1028" i="2" a="1"/>
  <c r="AJ1028" i="2" s="1"/>
  <c r="AH1028" i="2" a="1"/>
  <c r="AH1028" i="2" s="1"/>
  <c r="AG1028" i="2" a="1"/>
  <c r="AG1028" i="2" s="1"/>
  <c r="W1028" i="2" a="1"/>
  <c r="W1028" i="2" s="1"/>
  <c r="AJ1027" i="2" a="1"/>
  <c r="AJ1027" i="2" s="1"/>
  <c r="AI1027" i="2" a="1"/>
  <c r="AI1027" i="2" s="1"/>
  <c r="AH1027" i="2" a="1"/>
  <c r="AH1027" i="2" s="1"/>
  <c r="AD1027" i="2" a="1"/>
  <c r="AD1027" i="2" s="1"/>
  <c r="AB1027" i="2" a="1"/>
  <c r="AB1027" i="2" s="1"/>
  <c r="Y1027" i="2" a="1"/>
  <c r="Y1027" i="2" s="1"/>
  <c r="AJ1026" i="2" a="1"/>
  <c r="AJ1026" i="2" s="1"/>
  <c r="AI1026" i="2" a="1"/>
  <c r="AI1026" i="2" s="1"/>
  <c r="Y1026" i="2" a="1"/>
  <c r="Y1026" i="2" s="1"/>
  <c r="AE1025" i="2" a="1"/>
  <c r="AE1025" i="2" s="1"/>
  <c r="AH1026" i="2" a="1"/>
  <c r="AH1026" i="2" s="1"/>
  <c r="AF1026" i="2" a="1"/>
  <c r="AF1026" i="2" s="1"/>
  <c r="AI1025" i="2" a="1"/>
  <c r="AI1025" i="2" s="1"/>
  <c r="AB1025" i="2" a="1"/>
  <c r="AB1025" i="2" s="1"/>
  <c r="AG1026" i="2" a="1"/>
  <c r="AG1026" i="2" s="1"/>
  <c r="AE1026" i="2" a="1"/>
  <c r="AE1026" i="2" s="1"/>
  <c r="AH1025" i="2" a="1"/>
  <c r="AH1025" i="2" s="1"/>
  <c r="AD1026" i="2" a="1"/>
  <c r="AD1026" i="2" s="1"/>
  <c r="AJ1025" i="2" a="1"/>
  <c r="AJ1025" i="2" s="1"/>
  <c r="AG1025" i="2" a="1"/>
  <c r="AG1025" i="2" s="1"/>
  <c r="AF1028" i="2" a="1"/>
  <c r="AF1028" i="2" s="1"/>
  <c r="AA1027" i="2" a="1"/>
  <c r="AA1027" i="2" s="1"/>
  <c r="AB1061" i="2" a="1"/>
  <c r="AB1061" i="2" s="1"/>
  <c r="AA1028" i="2" a="1"/>
  <c r="AA1028" i="2" s="1"/>
  <c r="AC1026" i="2" a="1"/>
  <c r="AC1026" i="2" s="1"/>
  <c r="Z1026" i="2" a="1"/>
  <c r="Z1026" i="2" s="1"/>
  <c r="AF1025" i="2" a="1"/>
  <c r="AF1025" i="2" s="1"/>
  <c r="AH1029" i="2" a="1"/>
  <c r="AH1029" i="2" s="1"/>
  <c r="Y1028" i="2" a="1"/>
  <c r="Y1028" i="2" s="1"/>
  <c r="X1026" i="2" a="1"/>
  <c r="X1026" i="2" s="1"/>
  <c r="AG1029" i="2" a="1"/>
  <c r="AG1029" i="2" s="1"/>
  <c r="Z1028" i="2" a="1"/>
  <c r="Z1028" i="2" s="1"/>
  <c r="AF1029" i="2" a="1"/>
  <c r="AF1029" i="2" s="1"/>
  <c r="AC1027" i="2" a="1"/>
  <c r="AC1027" i="2" s="1"/>
  <c r="AD1029" i="2" a="1"/>
  <c r="AD1029" i="2" s="1"/>
  <c r="AB1026" i="2" a="1"/>
  <c r="AB1026" i="2" s="1"/>
  <c r="AE1027" i="2" a="1"/>
  <c r="AE1027" i="2" s="1"/>
  <c r="AC1028" i="2" a="1"/>
  <c r="AC1028" i="2" s="1"/>
  <c r="AC1029" i="2" a="1"/>
  <c r="AC1029" i="2" s="1"/>
  <c r="AE1029" i="2" a="1"/>
  <c r="AE1029" i="2" s="1"/>
  <c r="AB1029" i="2" a="1"/>
  <c r="AB1029" i="2" s="1"/>
  <c r="AA1029" i="2" a="1"/>
  <c r="AA1029" i="2" s="1"/>
  <c r="AD1028" i="2" a="1"/>
  <c r="AD1028" i="2" s="1"/>
  <c r="Z1029" i="2" a="1"/>
  <c r="Z1029" i="2" s="1"/>
  <c r="AI1028" i="2" a="1"/>
  <c r="AI1028" i="2" s="1"/>
  <c r="AB1028" i="2" a="1"/>
  <c r="AB1028" i="2" s="1"/>
  <c r="W1027" i="2" a="1"/>
  <c r="W1027" i="2" s="1"/>
  <c r="AA1026" i="2" a="1"/>
  <c r="AA1026" i="2" s="1"/>
  <c r="AC1025" i="2" a="1"/>
  <c r="AC1025" i="2" s="1"/>
  <c r="X1027" i="2" a="1"/>
  <c r="X1027" i="2" s="1"/>
  <c r="AD1025" i="2" a="1"/>
  <c r="AD1025" i="2" s="1"/>
  <c r="AG1027" i="2" a="1"/>
  <c r="AG1027" i="2" s="1"/>
  <c r="Y1029" i="2" a="1"/>
  <c r="Y1029" i="2" s="1"/>
  <c r="AE1028" i="2" a="1"/>
  <c r="AE1028" i="2" s="1"/>
  <c r="AA1024" i="2" a="1"/>
  <c r="AA1024" i="2" s="1"/>
  <c r="Y1022" i="2" a="1"/>
  <c r="Y1022" i="2" s="1"/>
  <c r="Z1024" i="2" a="1"/>
  <c r="Z1024" i="2" s="1"/>
  <c r="Y1024" i="2" a="1"/>
  <c r="Y1024" i="2" s="1"/>
  <c r="AG1023" i="2" a="1"/>
  <c r="AG1023" i="2" s="1"/>
  <c r="AB1023" i="2" a="1"/>
  <c r="AB1023" i="2" s="1"/>
  <c r="AB1021" i="2" a="1"/>
  <c r="AB1021" i="2" s="1"/>
  <c r="AD1023" i="2" a="1"/>
  <c r="AD1023" i="2" s="1"/>
  <c r="AH1022" i="2" a="1"/>
  <c r="AH1022" i="2" s="1"/>
  <c r="AC1023" i="2" a="1"/>
  <c r="AC1023" i="2" s="1"/>
  <c r="AI1021" i="2" a="1"/>
  <c r="AI1021" i="2" s="1"/>
  <c r="AC1021" i="2" a="1"/>
  <c r="AC1021" i="2" s="1"/>
  <c r="AI1022" i="2" a="1"/>
  <c r="AI1022" i="2" s="1"/>
  <c r="AB1022" i="2" a="1"/>
  <c r="AB1022" i="2" s="1"/>
  <c r="AF1022" i="2" a="1"/>
  <c r="AF1022" i="2" s="1"/>
  <c r="W1022" i="2" a="1"/>
  <c r="W1022" i="2" s="1"/>
  <c r="AE1022" i="2" a="1"/>
  <c r="AE1022" i="2" s="1"/>
  <c r="AC1022" i="2" a="1"/>
  <c r="AC1022" i="2" s="1"/>
  <c r="AI1020" i="2" a="1"/>
  <c r="AI1020" i="2" s="1"/>
  <c r="X1062" i="2" a="1"/>
  <c r="X1062" i="2" s="1"/>
  <c r="AF1023" i="2" a="1"/>
  <c r="AF1023" i="2" s="1"/>
  <c r="X1022" i="2" a="1"/>
  <c r="X1022" i="2" s="1"/>
  <c r="AD1021" i="2" a="1"/>
  <c r="AD1021" i="2" s="1"/>
  <c r="Z1025" i="2" a="1"/>
  <c r="Z1025" i="2" s="1"/>
  <c r="AB1024" i="2" a="1"/>
  <c r="AB1024" i="2" s="1"/>
  <c r="AE1023" i="2" a="1"/>
  <c r="AE1023" i="2" s="1"/>
  <c r="Z1022" i="2" a="1"/>
  <c r="Z1022" i="2" s="1"/>
  <c r="AA1025" i="2" a="1"/>
  <c r="AA1025" i="2" s="1"/>
  <c r="AA1023" i="2" a="1"/>
  <c r="AA1023" i="2" s="1"/>
  <c r="AD1022" i="2" a="1"/>
  <c r="AD1022" i="2" s="1"/>
  <c r="Y1025" i="2" a="1"/>
  <c r="Y1025" i="2" s="1"/>
  <c r="X1025" i="2" a="1"/>
  <c r="X1025" i="2" s="1"/>
  <c r="W1025" i="2" a="1"/>
  <c r="W1025" i="2" s="1"/>
  <c r="AJ1023" i="2" a="1"/>
  <c r="AJ1023" i="2" s="1"/>
  <c r="AA1021" i="2" a="1"/>
  <c r="AA1021" i="2" s="1"/>
  <c r="AJ1024" i="2" a="1"/>
  <c r="AJ1024" i="2" s="1"/>
  <c r="AG1024" i="2" a="1"/>
  <c r="AG1024" i="2" s="1"/>
  <c r="AI1024" i="2" a="1"/>
  <c r="AI1024" i="2" s="1"/>
  <c r="AH1024" i="2" a="1"/>
  <c r="AH1024" i="2" s="1"/>
  <c r="AF1024" i="2" a="1"/>
  <c r="AF1024" i="2" s="1"/>
  <c r="AE1024" i="2" a="1"/>
  <c r="AE1024" i="2" s="1"/>
  <c r="X1024" i="2" a="1"/>
  <c r="X1024" i="2" s="1"/>
  <c r="AI1023" i="2" a="1"/>
  <c r="AI1023" i="2" s="1"/>
  <c r="AJ1022" i="2" a="1"/>
  <c r="AJ1022" i="2" s="1"/>
  <c r="AJ1021" i="2" a="1"/>
  <c r="AJ1021" i="2" s="1"/>
  <c r="AG1022" i="2" a="1"/>
  <c r="AG1022" i="2" s="1"/>
  <c r="AF1021" i="2" a="1"/>
  <c r="AF1021" i="2" s="1"/>
  <c r="W1021" i="2" a="1"/>
  <c r="W1021" i="2" s="1"/>
  <c r="W1023" i="2" a="1"/>
  <c r="W1023" i="2" s="1"/>
  <c r="AD1024" i="2" a="1"/>
  <c r="AD1024" i="2" s="1"/>
  <c r="AH1023" i="2" a="1"/>
  <c r="AH1023" i="2" s="1"/>
  <c r="AC1024" i="2" a="1"/>
  <c r="AC1024" i="2" s="1"/>
  <c r="Y1021" i="2" a="1"/>
  <c r="Y1021" i="2" s="1"/>
  <c r="W1024" i="2" a="1"/>
  <c r="W1024" i="2" s="1"/>
  <c r="AH1021" i="2" a="1"/>
  <c r="AH1021" i="2" s="1"/>
  <c r="AG1021" i="2" a="1"/>
  <c r="AG1021" i="2" s="1"/>
  <c r="Z1021" i="2" a="1"/>
  <c r="Z1021" i="2" s="1"/>
  <c r="X1021" i="2" a="1"/>
  <c r="X1021" i="2" s="1"/>
  <c r="Y1023" i="2" a="1"/>
  <c r="Y1023" i="2" s="1"/>
  <c r="Z1023" i="2" a="1"/>
  <c r="Z1023" i="2" s="1"/>
  <c r="AA1022" i="2" a="1"/>
  <c r="AA1022" i="2" s="1"/>
  <c r="AE1021" i="2" a="1"/>
  <c r="AE1021" i="2" s="1"/>
  <c r="AJ1020" i="2" a="1"/>
  <c r="AJ1020" i="2" s="1"/>
  <c r="X1023" i="2" a="1"/>
  <c r="X1023" i="2" s="1"/>
  <c r="W1020" i="2" a="1"/>
  <c r="W1020" i="2" s="1"/>
  <c r="AG1019" i="2" a="1"/>
  <c r="AG1019" i="2" s="1"/>
  <c r="AE1018" i="2" a="1"/>
  <c r="AE1018" i="2" s="1"/>
  <c r="AD1019" i="2" a="1"/>
  <c r="AD1019" i="2" s="1"/>
  <c r="AG1018" i="2" a="1"/>
  <c r="AG1018" i="2" s="1"/>
  <c r="AD1017" i="2" a="1"/>
  <c r="AD1017" i="2" s="1"/>
  <c r="X1019" i="2" a="1"/>
  <c r="X1019" i="2" s="1"/>
  <c r="AC1017" i="2" a="1"/>
  <c r="AC1017" i="2" s="1"/>
  <c r="AJ1016" i="2" a="1"/>
  <c r="AJ1016" i="2" s="1"/>
  <c r="AD1020" i="2" a="1"/>
  <c r="AD1020" i="2" s="1"/>
  <c r="W1017" i="2" a="1"/>
  <c r="W1017" i="2" s="1"/>
  <c r="Y1019" i="2" a="1"/>
  <c r="Y1019" i="2" s="1"/>
  <c r="X1018" i="2" a="1"/>
  <c r="X1018" i="2" s="1"/>
  <c r="AI1017" i="2" a="1"/>
  <c r="AI1017" i="2" s="1"/>
  <c r="Y1020" i="2" a="1"/>
  <c r="Y1020" i="2" s="1"/>
  <c r="AF1018" i="2" a="1"/>
  <c r="AF1018" i="2" s="1"/>
  <c r="AI1019" i="2" a="1"/>
  <c r="AI1019" i="2" s="1"/>
  <c r="AB1020" i="2" a="1"/>
  <c r="AB1020" i="2" s="1"/>
  <c r="AJ1018" i="2" a="1"/>
  <c r="AJ1018" i="2" s="1"/>
  <c r="Z1020" i="2" a="1"/>
  <c r="Z1020" i="2" s="1"/>
  <c r="AC1018" i="2" a="1"/>
  <c r="AC1018" i="2" s="1"/>
  <c r="Z1019" i="2" a="1"/>
  <c r="Z1019" i="2" s="1"/>
  <c r="AD1018" i="2" a="1"/>
  <c r="AD1018" i="2" s="1"/>
  <c r="AB1019" i="2" a="1"/>
  <c r="AB1019" i="2" s="1"/>
  <c r="AF1017" i="2" a="1"/>
  <c r="AF1017" i="2" s="1"/>
  <c r="AA1061" i="2" a="1"/>
  <c r="AA1061" i="2" s="1"/>
  <c r="AG1017" i="2" a="1"/>
  <c r="AG1017" i="2" s="1"/>
  <c r="AH1020" i="2" a="1"/>
  <c r="AH1020" i="2" s="1"/>
  <c r="AF1019" i="2" a="1"/>
  <c r="AF1019" i="2" s="1"/>
  <c r="AG1020" i="2" a="1"/>
  <c r="AG1020" i="2" s="1"/>
  <c r="AF1020" i="2" a="1"/>
  <c r="AF1020" i="2" s="1"/>
  <c r="AE1020" i="2" a="1"/>
  <c r="AE1020" i="2" s="1"/>
  <c r="AE1019" i="2" a="1"/>
  <c r="AE1019" i="2" s="1"/>
  <c r="Z1017" i="2" a="1"/>
  <c r="Z1017" i="2" s="1"/>
  <c r="AG1016" i="2" a="1"/>
  <c r="AG1016" i="2" s="1"/>
  <c r="AC1020" i="2" a="1"/>
  <c r="AC1020" i="2" s="1"/>
  <c r="X1020" i="2" a="1"/>
  <c r="X1020" i="2" s="1"/>
  <c r="Z1018" i="2" a="1"/>
  <c r="Z1018" i="2" s="1"/>
  <c r="W1018" i="2" a="1"/>
  <c r="W1018" i="2" s="1"/>
  <c r="AC1019" i="2" a="1"/>
  <c r="AC1019" i="2" s="1"/>
  <c r="AA1019" i="2" a="1"/>
  <c r="AA1019" i="2" s="1"/>
  <c r="AB1018" i="2" a="1"/>
  <c r="AB1018" i="2" s="1"/>
  <c r="AB1017" i="2" a="1"/>
  <c r="AB1017" i="2" s="1"/>
  <c r="AI1016" i="2" a="1"/>
  <c r="AI1016" i="2" s="1"/>
  <c r="AC1016" i="2" a="1"/>
  <c r="AC1016" i="2" s="1"/>
  <c r="W1019" i="2" a="1"/>
  <c r="W1019" i="2" s="1"/>
  <c r="Y1018" i="2" a="1"/>
  <c r="Y1018" i="2" s="1"/>
  <c r="AJ1019" i="2" a="1"/>
  <c r="AJ1019" i="2" s="1"/>
  <c r="AB1016" i="2" a="1"/>
  <c r="AB1016" i="2" s="1"/>
  <c r="AH1018" i="2" a="1"/>
  <c r="AH1018" i="2" s="1"/>
  <c r="AE1017" i="2" a="1"/>
  <c r="AE1017" i="2" s="1"/>
  <c r="AH1019" i="2" a="1"/>
  <c r="AH1019" i="2" s="1"/>
  <c r="X1017" i="2" a="1"/>
  <c r="X1017" i="2" s="1"/>
  <c r="AJ1017" i="2" a="1"/>
  <c r="AJ1017" i="2" s="1"/>
  <c r="AA1017" i="2" a="1"/>
  <c r="AA1017" i="2" s="1"/>
  <c r="Y1017" i="2" a="1"/>
  <c r="Y1017" i="2" s="1"/>
  <c r="AE1016" i="2" a="1"/>
  <c r="AE1016" i="2" s="1"/>
  <c r="AH1016" i="2" a="1"/>
  <c r="AH1016" i="2" s="1"/>
  <c r="AF1016" i="2" a="1"/>
  <c r="AF1016" i="2" s="1"/>
  <c r="AD1016" i="2" a="1"/>
  <c r="AD1016" i="2" s="1"/>
  <c r="AI1018" i="2" a="1"/>
  <c r="AI1018" i="2" s="1"/>
  <c r="AA1018" i="2" a="1"/>
  <c r="AA1018" i="2" s="1"/>
  <c r="AH1017" i="2" a="1"/>
  <c r="AH1017" i="2" s="1"/>
  <c r="AA1020" i="2" a="1"/>
  <c r="AA1020" i="2" s="1"/>
  <c r="AJ1014" i="2" a="1"/>
  <c r="AJ1014" i="2" s="1"/>
  <c r="AA1014" i="2" a="1"/>
  <c r="AA1014" i="2" s="1"/>
  <c r="AB1013" i="2" a="1"/>
  <c r="AB1013" i="2" s="1"/>
  <c r="Y1012" i="2" a="1"/>
  <c r="Y1012" i="2" s="1"/>
  <c r="AI1015" i="2" a="1"/>
  <c r="AI1015" i="2" s="1"/>
  <c r="AH1014" i="2" a="1"/>
  <c r="AH1014" i="2" s="1"/>
  <c r="Z1012" i="2" a="1"/>
  <c r="Z1012" i="2" s="1"/>
  <c r="AG1015" i="2" a="1"/>
  <c r="AG1015" i="2" s="1"/>
  <c r="AD1015" i="2" a="1"/>
  <c r="AD1015" i="2" s="1"/>
  <c r="AE1014" i="2" a="1"/>
  <c r="AE1014" i="2" s="1"/>
  <c r="AC1014" i="2" a="1"/>
  <c r="AC1014" i="2" s="1"/>
  <c r="AA1012" i="2" a="1"/>
  <c r="AA1012" i="2" s="1"/>
  <c r="AC1015" i="2" a="1"/>
  <c r="AC1015" i="2" s="1"/>
  <c r="Y1014" i="2" a="1"/>
  <c r="Y1014" i="2" s="1"/>
  <c r="AB1015" i="2" a="1"/>
  <c r="AB1015" i="2" s="1"/>
  <c r="Z1014" i="2" a="1"/>
  <c r="Z1014" i="2" s="1"/>
  <c r="AJ1013" i="2" a="1"/>
  <c r="AJ1013" i="2" s="1"/>
  <c r="X1013" i="2" a="1"/>
  <c r="X1013" i="2" s="1"/>
  <c r="AG1014" i="2" a="1"/>
  <c r="AG1014" i="2" s="1"/>
  <c r="AF1012" i="2" a="1"/>
  <c r="AF1012" i="2" s="1"/>
  <c r="AB1012" i="2" a="1"/>
  <c r="AB1012" i="2" s="1"/>
  <c r="AI1011" i="2" a="1"/>
  <c r="AI1011" i="2" s="1"/>
  <c r="X1012" i="2" a="1"/>
  <c r="X1012" i="2" s="1"/>
  <c r="X1014" i="2" a="1"/>
  <c r="X1014" i="2" s="1"/>
  <c r="AF1014" i="2" a="1"/>
  <c r="AF1014" i="2" s="1"/>
  <c r="AG1061" i="2" a="1"/>
  <c r="AG1061" i="2" s="1"/>
  <c r="Z1016" i="2" a="1"/>
  <c r="Z1016" i="2" s="1"/>
  <c r="Y1016" i="2" a="1"/>
  <c r="Y1016" i="2" s="1"/>
  <c r="AA1016" i="2" a="1"/>
  <c r="AA1016" i="2" s="1"/>
  <c r="X1016" i="2" a="1"/>
  <c r="X1016" i="2" s="1"/>
  <c r="Y1015" i="2" a="1"/>
  <c r="Y1015" i="2" s="1"/>
  <c r="AI1012" i="2" a="1"/>
  <c r="AI1012" i="2" s="1"/>
  <c r="W1016" i="2" a="1"/>
  <c r="W1016" i="2" s="1"/>
  <c r="AF1015" i="2" a="1"/>
  <c r="AF1015" i="2" s="1"/>
  <c r="AE1015" i="2" a="1"/>
  <c r="AE1015" i="2" s="1"/>
  <c r="AF1013" i="2" a="1"/>
  <c r="AF1013" i="2" s="1"/>
  <c r="AE1013" i="2" a="1"/>
  <c r="AE1013" i="2" s="1"/>
  <c r="W1012" i="2" a="1"/>
  <c r="W1012" i="2" s="1"/>
  <c r="AJ1011" i="2" a="1"/>
  <c r="AJ1011" i="2" s="1"/>
  <c r="AA1015" i="2" a="1"/>
  <c r="AA1015" i="2" s="1"/>
  <c r="Z1015" i="2" a="1"/>
  <c r="Z1015" i="2" s="1"/>
  <c r="X1015" i="2" a="1"/>
  <c r="X1015" i="2" s="1"/>
  <c r="AD1014" i="2" a="1"/>
  <c r="AD1014" i="2" s="1"/>
  <c r="AI1013" i="2" a="1"/>
  <c r="AI1013" i="2" s="1"/>
  <c r="W1014" i="2" a="1"/>
  <c r="W1014" i="2" s="1"/>
  <c r="Z1013" i="2" a="1"/>
  <c r="Z1013" i="2" s="1"/>
  <c r="Y1013" i="2" a="1"/>
  <c r="Y1013" i="2" s="1"/>
  <c r="AH1012" i="2" a="1"/>
  <c r="AH1012" i="2" s="1"/>
  <c r="AD1012" i="2" a="1"/>
  <c r="AD1012" i="2" s="1"/>
  <c r="AG1012" i="2" a="1"/>
  <c r="AG1012" i="2" s="1"/>
  <c r="W1015" i="2" a="1"/>
  <c r="W1015" i="2" s="1"/>
  <c r="AI1014" i="2" a="1"/>
  <c r="AI1014" i="2" s="1"/>
  <c r="W1013" i="2" a="1"/>
  <c r="W1013" i="2" s="1"/>
  <c r="AC1013" i="2" a="1"/>
  <c r="AC1013" i="2" s="1"/>
  <c r="AH1013" i="2" a="1"/>
  <c r="AH1013" i="2" s="1"/>
  <c r="AD1013" i="2" a="1"/>
  <c r="AD1013" i="2" s="1"/>
  <c r="AJ1012" i="2" a="1"/>
  <c r="AJ1012" i="2" s="1"/>
  <c r="AB1014" i="2" a="1"/>
  <c r="AB1014" i="2" s="1"/>
  <c r="AC1012" i="2" a="1"/>
  <c r="AC1012" i="2" s="1"/>
  <c r="AG1013" i="2" a="1"/>
  <c r="AG1013" i="2" s="1"/>
  <c r="AE1012" i="2" a="1"/>
  <c r="AE1012" i="2" s="1"/>
  <c r="AA1013" i="2" a="1"/>
  <c r="AA1013" i="2" s="1"/>
  <c r="AJ1015" i="2" a="1"/>
  <c r="AJ1015" i="2" s="1"/>
  <c r="AH1015" i="2" a="1"/>
  <c r="AH1015" i="2" s="1"/>
  <c r="AC1011" i="2" a="1"/>
  <c r="AC1011" i="2" s="1"/>
  <c r="AB1011" i="2" a="1"/>
  <c r="AB1011" i="2" s="1"/>
  <c r="AA1011" i="2" a="1"/>
  <c r="AA1011" i="2" s="1"/>
  <c r="X1010" i="2" a="1"/>
  <c r="X1010" i="2" s="1"/>
  <c r="AJ1008" i="2" a="1"/>
  <c r="AJ1008" i="2" s="1"/>
  <c r="AC1007" i="2" a="1"/>
  <c r="AC1007" i="2" s="1"/>
  <c r="AG1010" i="2" a="1"/>
  <c r="AG1010" i="2" s="1"/>
  <c r="AD1010" i="2" a="1"/>
  <c r="AD1010" i="2" s="1"/>
  <c r="AG1007" i="2" a="1"/>
  <c r="AG1007" i="2" s="1"/>
  <c r="AE1010" i="2" a="1"/>
  <c r="AE1010" i="2" s="1"/>
  <c r="AG1008" i="2" a="1"/>
  <c r="AG1008" i="2" s="1"/>
  <c r="X1008" i="2" a="1"/>
  <c r="X1008" i="2" s="1"/>
  <c r="Y1011" i="2" a="1"/>
  <c r="Y1011" i="2" s="1"/>
  <c r="AF1009" i="2" a="1"/>
  <c r="AF1009" i="2" s="1"/>
  <c r="AB1009" i="2" a="1"/>
  <c r="AB1009" i="2" s="1"/>
  <c r="AB1007" i="2" a="1"/>
  <c r="AB1007" i="2" s="1"/>
  <c r="Z1011" i="2" a="1"/>
  <c r="Z1011" i="2" s="1"/>
  <c r="AF1010" i="2" a="1"/>
  <c r="AF1010" i="2" s="1"/>
  <c r="AH1007" i="2" a="1"/>
  <c r="AH1007" i="2" s="1"/>
  <c r="AH1010" i="2" a="1"/>
  <c r="AH1010" i="2" s="1"/>
  <c r="AC1009" i="2" a="1"/>
  <c r="AC1009" i="2" s="1"/>
  <c r="AC1008" i="2" a="1"/>
  <c r="AC1008" i="2" s="1"/>
  <c r="AJ1009" i="2" a="1"/>
  <c r="AJ1009" i="2" s="1"/>
  <c r="AB1008" i="2" a="1"/>
  <c r="AB1008" i="2" s="1"/>
  <c r="Y1008" i="2" a="1"/>
  <c r="Y1008" i="2" s="1"/>
  <c r="X1011" i="2" a="1"/>
  <c r="X1011" i="2" s="1"/>
  <c r="AG1009" i="2" a="1"/>
  <c r="AG1009" i="2" s="1"/>
  <c r="W1011" i="2" a="1"/>
  <c r="W1011" i="2" s="1"/>
  <c r="AJ1010" i="2" a="1"/>
  <c r="AJ1010" i="2" s="1"/>
  <c r="AF1007" i="2" a="1"/>
  <c r="AF1007" i="2" s="1"/>
  <c r="AA1009" i="2" a="1"/>
  <c r="AA1009" i="2" s="1"/>
  <c r="AA1008" i="2" a="1"/>
  <c r="AA1008" i="2" s="1"/>
  <c r="Y1010" i="2" a="1"/>
  <c r="Y1010" i="2" s="1"/>
  <c r="AA1010" i="2" a="1"/>
  <c r="AA1010" i="2" s="1"/>
  <c r="AH1009" i="2" a="1"/>
  <c r="AH1009" i="2" s="1"/>
  <c r="AC1010" i="2" a="1"/>
  <c r="AC1010" i="2" s="1"/>
  <c r="AF1008" i="2" a="1"/>
  <c r="AF1008" i="2" s="1"/>
  <c r="Z1008" i="2" a="1"/>
  <c r="Z1008" i="2" s="1"/>
  <c r="AD1008" i="2" a="1"/>
  <c r="AD1008" i="2" s="1"/>
  <c r="AD1007" i="2" a="1"/>
  <c r="AD1007" i="2" s="1"/>
  <c r="W1010" i="2" a="1"/>
  <c r="W1010" i="2" s="1"/>
  <c r="AI1009" i="2" a="1"/>
  <c r="AI1009" i="2" s="1"/>
  <c r="Z1009" i="2" a="1"/>
  <c r="Z1009" i="2" s="1"/>
  <c r="Y1009" i="2" a="1"/>
  <c r="Y1009" i="2" s="1"/>
  <c r="AJ1007" i="2" a="1"/>
  <c r="AJ1007" i="2" s="1"/>
  <c r="AE1009" i="2" a="1"/>
  <c r="AE1009" i="2" s="1"/>
  <c r="X1009" i="2" a="1"/>
  <c r="X1009" i="2" s="1"/>
  <c r="W1008" i="2" a="1"/>
  <c r="W1008" i="2" s="1"/>
  <c r="AE1008" i="2" a="1"/>
  <c r="AE1008" i="2" s="1"/>
  <c r="AD1009" i="2" a="1"/>
  <c r="AD1009" i="2" s="1"/>
  <c r="AI1007" i="2" a="1"/>
  <c r="AI1007" i="2" s="1"/>
  <c r="Z1061" i="2" a="1"/>
  <c r="Z1061" i="2" s="1"/>
  <c r="AH1011" i="2" a="1"/>
  <c r="AH1011" i="2" s="1"/>
  <c r="AE1007" i="2" a="1"/>
  <c r="AE1007" i="2" s="1"/>
  <c r="W1009" i="2" a="1"/>
  <c r="W1009" i="2" s="1"/>
  <c r="AG1011" i="2" a="1"/>
  <c r="AG1011" i="2" s="1"/>
  <c r="AB1010" i="2" a="1"/>
  <c r="AB1010" i="2" s="1"/>
  <c r="AH1008" i="2" a="1"/>
  <c r="AH1008" i="2" s="1"/>
  <c r="AF1011" i="2" a="1"/>
  <c r="AF1011" i="2" s="1"/>
  <c r="AE1011" i="2" a="1"/>
  <c r="AE1011" i="2" s="1"/>
  <c r="AD1011" i="2" a="1"/>
  <c r="AD1011" i="2" s="1"/>
  <c r="AI1010" i="2" a="1"/>
  <c r="AI1010" i="2" s="1"/>
  <c r="Z1010" i="2" a="1"/>
  <c r="Z1010" i="2" s="1"/>
  <c r="AI1008" i="2" a="1"/>
  <c r="AI1008" i="2" s="1"/>
  <c r="AC1005" i="2" a="1"/>
  <c r="AC1005" i="2" s="1"/>
  <c r="AD1004" i="2" a="1"/>
  <c r="AD1004" i="2" s="1"/>
  <c r="AJ1002" i="2" a="1"/>
  <c r="AJ1002" i="2" s="1"/>
  <c r="Z1004" i="2" a="1"/>
  <c r="Z1004" i="2" s="1"/>
  <c r="AJ1004" i="2" a="1"/>
  <c r="AJ1004" i="2" s="1"/>
  <c r="AD1003" i="2" a="1"/>
  <c r="AD1003" i="2" s="1"/>
  <c r="AA1004" i="2" a="1"/>
  <c r="AA1004" i="2" s="1"/>
  <c r="W1007" i="2" a="1"/>
  <c r="W1007" i="2" s="1"/>
  <c r="Y1006" i="2" a="1"/>
  <c r="Y1006" i="2" s="1"/>
  <c r="AI1006" i="2" a="1"/>
  <c r="AI1006" i="2" s="1"/>
  <c r="AE1006" i="2" a="1"/>
  <c r="AE1006" i="2" s="1"/>
  <c r="Y1005" i="2" a="1"/>
  <c r="Y1005" i="2" s="1"/>
  <c r="AG1003" i="2" a="1"/>
  <c r="AG1003" i="2" s="1"/>
  <c r="AB1005" i="2" a="1"/>
  <c r="AB1005" i="2" s="1"/>
  <c r="AJ1005" i="2" a="1"/>
  <c r="AJ1005" i="2" s="1"/>
  <c r="W1004" i="2" a="1"/>
  <c r="W1004" i="2" s="1"/>
  <c r="AF1004" i="2" a="1"/>
  <c r="AF1004" i="2" s="1"/>
  <c r="AD1006" i="2" a="1"/>
  <c r="AD1006" i="2" s="1"/>
  <c r="AC1006" i="2" a="1"/>
  <c r="AC1006" i="2" s="1"/>
  <c r="W1003" i="2" a="1"/>
  <c r="W1003" i="2" s="1"/>
  <c r="Y1004" i="2" a="1"/>
  <c r="Y1004" i="2" s="1"/>
  <c r="AA1003" i="2" a="1"/>
  <c r="AA1003" i="2" s="1"/>
  <c r="AI1003" i="2" a="1"/>
  <c r="AI1003" i="2" s="1"/>
  <c r="AC1003" i="2" a="1"/>
  <c r="AC1003" i="2" s="1"/>
  <c r="AB1004" i="2" a="1"/>
  <c r="AB1004" i="2" s="1"/>
  <c r="X1005" i="2" a="1"/>
  <c r="X1005" i="2" s="1"/>
  <c r="AJ1003" i="2" a="1"/>
  <c r="AJ1003" i="2" s="1"/>
  <c r="AF1003" i="2" a="1"/>
  <c r="AF1003" i="2" s="1"/>
  <c r="AC1004" i="2" a="1"/>
  <c r="AC1004" i="2" s="1"/>
  <c r="X1006" i="2" a="1"/>
  <c r="X1006" i="2" s="1"/>
  <c r="AJ1061" i="2" a="1"/>
  <c r="AJ1061" i="2" s="1"/>
  <c r="Z1003" i="2" a="1"/>
  <c r="Z1003" i="2" s="1"/>
  <c r="AA1007" i="2" a="1"/>
  <c r="AA1007" i="2" s="1"/>
  <c r="Z1007" i="2" a="1"/>
  <c r="Z1007" i="2" s="1"/>
  <c r="AH1003" i="2" a="1"/>
  <c r="AH1003" i="2" s="1"/>
  <c r="Y1007" i="2" a="1"/>
  <c r="Y1007" i="2" s="1"/>
  <c r="AD1005" i="2" a="1"/>
  <c r="AD1005" i="2" s="1"/>
  <c r="X1004" i="2" a="1"/>
  <c r="X1004" i="2" s="1"/>
  <c r="Z1005" i="2" a="1"/>
  <c r="Z1005" i="2" s="1"/>
  <c r="X1007" i="2" a="1"/>
  <c r="X1007" i="2" s="1"/>
  <c r="AJ1006" i="2" a="1"/>
  <c r="AJ1006" i="2" s="1"/>
  <c r="AI1005" i="2" a="1"/>
  <c r="AI1005" i="2" s="1"/>
  <c r="AB1003" i="2" a="1"/>
  <c r="AB1003" i="2" s="1"/>
  <c r="AI1002" i="2" a="1"/>
  <c r="AI1002" i="2" s="1"/>
  <c r="W1006" i="2" a="1"/>
  <c r="W1006" i="2" s="1"/>
  <c r="AA1005" i="2" a="1"/>
  <c r="AA1005" i="2" s="1"/>
  <c r="AH1006" i="2" a="1"/>
  <c r="AH1006" i="2" s="1"/>
  <c r="AF1005" i="2" a="1"/>
  <c r="AF1005" i="2" s="1"/>
  <c r="AA1006" i="2" a="1"/>
  <c r="AA1006" i="2" s="1"/>
  <c r="AF1006" i="2" a="1"/>
  <c r="AF1006" i="2" s="1"/>
  <c r="AG1006" i="2" a="1"/>
  <c r="AG1006" i="2" s="1"/>
  <c r="Z1006" i="2" a="1"/>
  <c r="Z1006" i="2" s="1"/>
  <c r="AG1004" i="2" a="1"/>
  <c r="AG1004" i="2" s="1"/>
  <c r="W1005" i="2" a="1"/>
  <c r="W1005" i="2" s="1"/>
  <c r="AE1003" i="2" a="1"/>
  <c r="AE1003" i="2" s="1"/>
  <c r="AE1005" i="2" a="1"/>
  <c r="AE1005" i="2" s="1"/>
  <c r="AH1005" i="2" a="1"/>
  <c r="AH1005" i="2" s="1"/>
  <c r="AH1004" i="2" a="1"/>
  <c r="AH1004" i="2" s="1"/>
  <c r="AE1004" i="2" a="1"/>
  <c r="AE1004" i="2" s="1"/>
  <c r="AB1006" i="2" a="1"/>
  <c r="AB1006" i="2" s="1"/>
  <c r="AG1005" i="2" a="1"/>
  <c r="AG1005" i="2" s="1"/>
  <c r="AI1004" i="2" a="1"/>
  <c r="AI1004" i="2" s="1"/>
  <c r="Y1003" i="2" a="1"/>
  <c r="Y1003" i="2" s="1"/>
  <c r="X1003" i="2" a="1"/>
  <c r="X1003" i="2" s="1"/>
  <c r="Z999" i="2" a="1"/>
  <c r="Z999" i="2" s="1"/>
  <c r="Y1001" i="2" a="1"/>
  <c r="Y1001" i="2" s="1"/>
  <c r="AA999" i="2" a="1"/>
  <c r="AA999" i="2" s="1"/>
  <c r="AJ998" i="2" a="1"/>
  <c r="AJ998" i="2" s="1"/>
  <c r="AI999" i="2" a="1"/>
  <c r="AI999" i="2" s="1"/>
  <c r="AE999" i="2" a="1"/>
  <c r="AE999" i="2" s="1"/>
  <c r="AF1002" i="2" a="1"/>
  <c r="AF1002" i="2" s="1"/>
  <c r="AE1002" i="2" a="1"/>
  <c r="AE1002" i="2" s="1"/>
  <c r="AA1000" i="2" a="1"/>
  <c r="AA1000" i="2" s="1"/>
  <c r="AD1002" i="2" a="1"/>
  <c r="AD1002" i="2" s="1"/>
  <c r="AH1001" i="2" a="1"/>
  <c r="AH1001" i="2" s="1"/>
  <c r="AF1001" i="2" a="1"/>
  <c r="AF1001" i="2" s="1"/>
  <c r="AJ1000" i="2" a="1"/>
  <c r="AJ1000" i="2" s="1"/>
  <c r="AD1000" i="2" a="1"/>
  <c r="AD1000" i="2" s="1"/>
  <c r="AD999" i="2" a="1"/>
  <c r="AD999" i="2" s="1"/>
  <c r="AD998" i="2" a="1"/>
  <c r="AD998" i="2" s="1"/>
  <c r="X999" i="2" a="1"/>
  <c r="X999" i="2" s="1"/>
  <c r="AC1000" i="2" a="1"/>
  <c r="AC1000" i="2" s="1"/>
  <c r="AG998" i="2" a="1"/>
  <c r="AG998" i="2" s="1"/>
  <c r="AB999" i="2" a="1"/>
  <c r="AB999" i="2" s="1"/>
  <c r="Z1000" i="2" a="1"/>
  <c r="Z1000" i="2" s="1"/>
  <c r="AF998" i="2" a="1"/>
  <c r="AF998" i="2" s="1"/>
  <c r="Y1000" i="2" a="1"/>
  <c r="Y1000" i="2" s="1"/>
  <c r="AG999" i="2" a="1"/>
  <c r="AG999" i="2" s="1"/>
  <c r="AB1000" i="2" a="1"/>
  <c r="AB1000" i="2" s="1"/>
  <c r="AE998" i="2" a="1"/>
  <c r="AE998" i="2" s="1"/>
  <c r="Y1061" i="2" a="1"/>
  <c r="Y1061" i="2" s="1"/>
  <c r="X1002" i="2" a="1"/>
  <c r="X1002" i="2" s="1"/>
  <c r="AI998" i="2" a="1"/>
  <c r="AI998" i="2" s="1"/>
  <c r="W1002" i="2" a="1"/>
  <c r="W1002" i="2" s="1"/>
  <c r="AC1002" i="2" a="1"/>
  <c r="AC1002" i="2" s="1"/>
  <c r="AC998" i="2" a="1"/>
  <c r="AC998" i="2" s="1"/>
  <c r="AJ999" i="2" a="1"/>
  <c r="AJ999" i="2" s="1"/>
  <c r="AH1002" i="2" a="1"/>
  <c r="AH1002" i="2" s="1"/>
  <c r="W1001" i="2" a="1"/>
  <c r="W1001" i="2" s="1"/>
  <c r="AB1002" i="2" a="1"/>
  <c r="AB1002" i="2" s="1"/>
  <c r="AJ1001" i="2" a="1"/>
  <c r="AJ1001" i="2" s="1"/>
  <c r="AA1002" i="2" a="1"/>
  <c r="AA1002" i="2" s="1"/>
  <c r="Z1002" i="2" a="1"/>
  <c r="Z1002" i="2" s="1"/>
  <c r="AE1001" i="2" a="1"/>
  <c r="AE1001" i="2" s="1"/>
  <c r="AG1002" i="2" a="1"/>
  <c r="AG1002" i="2" s="1"/>
  <c r="AB998" i="2" a="1"/>
  <c r="AB998" i="2" s="1"/>
  <c r="AD1001" i="2" a="1"/>
  <c r="AD1001" i="2" s="1"/>
  <c r="AF999" i="2" a="1"/>
  <c r="AF999" i="2" s="1"/>
  <c r="AA1001" i="2" a="1"/>
  <c r="AA1001" i="2" s="1"/>
  <c r="AC999" i="2" a="1"/>
  <c r="AC999" i="2" s="1"/>
  <c r="AH999" i="2" a="1"/>
  <c r="AH999" i="2" s="1"/>
  <c r="AF1000" i="2" a="1"/>
  <c r="AF1000" i="2" s="1"/>
  <c r="X1001" i="2" a="1"/>
  <c r="X1001" i="2" s="1"/>
  <c r="X1000" i="2" a="1"/>
  <c r="X1000" i="2" s="1"/>
  <c r="AH998" i="2" a="1"/>
  <c r="AH998" i="2" s="1"/>
  <c r="AH1000" i="2" a="1"/>
  <c r="AH1000" i="2" s="1"/>
  <c r="Y999" i="2" a="1"/>
  <c r="Y999" i="2" s="1"/>
  <c r="Y1002" i="2" a="1"/>
  <c r="Y1002" i="2" s="1"/>
  <c r="AB1001" i="2" a="1"/>
  <c r="AB1001" i="2" s="1"/>
  <c r="AC1001" i="2" a="1"/>
  <c r="AC1001" i="2" s="1"/>
  <c r="AI1000" i="2" a="1"/>
  <c r="AI1000" i="2" s="1"/>
  <c r="AG1000" i="2" a="1"/>
  <c r="AG1000" i="2" s="1"/>
  <c r="W999" i="2" a="1"/>
  <c r="W999" i="2" s="1"/>
  <c r="AI1001" i="2" a="1"/>
  <c r="AI1001" i="2" s="1"/>
  <c r="AG1001" i="2" a="1"/>
  <c r="AG1001" i="2" s="1"/>
  <c r="Z1001" i="2" a="1"/>
  <c r="Z1001" i="2" s="1"/>
  <c r="AE1000" i="2" a="1"/>
  <c r="AE1000" i="2" s="1"/>
  <c r="W1000" i="2" a="1"/>
  <c r="W1000" i="2" s="1"/>
  <c r="Y997" i="2" a="1"/>
  <c r="Y997" i="2" s="1"/>
  <c r="Y996" i="2" a="1"/>
  <c r="Y996" i="2" s="1"/>
  <c r="AA994" i="2" a="1"/>
  <c r="AA994" i="2" s="1"/>
  <c r="AE995" i="2" a="1"/>
  <c r="AE995" i="2" s="1"/>
  <c r="AH996" i="2" a="1"/>
  <c r="AH996" i="2" s="1"/>
  <c r="AC994" i="2" a="1"/>
  <c r="AC994" i="2" s="1"/>
  <c r="AG997" i="2" a="1"/>
  <c r="AG997" i="2" s="1"/>
  <c r="AA995" i="2" a="1"/>
  <c r="AA995" i="2" s="1"/>
  <c r="AE997" i="2" a="1"/>
  <c r="AE997" i="2" s="1"/>
  <c r="AA997" i="2" a="1"/>
  <c r="AA997" i="2" s="1"/>
  <c r="AF996" i="2" a="1"/>
  <c r="AF996" i="2" s="1"/>
  <c r="AJ996" i="2" a="1"/>
  <c r="AJ996" i="2" s="1"/>
  <c r="AB995" i="2" a="1"/>
  <c r="AB995" i="2" s="1"/>
  <c r="AG996" i="2" a="1"/>
  <c r="AG996" i="2" s="1"/>
  <c r="Z995" i="2" a="1"/>
  <c r="Z995" i="2" s="1"/>
  <c r="AB994" i="2" a="1"/>
  <c r="AB994" i="2" s="1"/>
  <c r="AB996" i="2" a="1"/>
  <c r="AB996" i="2" s="1"/>
  <c r="X995" i="2" a="1"/>
  <c r="X995" i="2" s="1"/>
  <c r="Y995" i="2" a="1"/>
  <c r="Y995" i="2" s="1"/>
  <c r="Y994" i="2" a="1"/>
  <c r="Y994" i="2" s="1"/>
  <c r="AI993" i="2" a="1"/>
  <c r="AI993" i="2" s="1"/>
  <c r="AA998" i="2" a="1"/>
  <c r="AA998" i="2" s="1"/>
  <c r="Z994" i="2" a="1"/>
  <c r="Z994" i="2" s="1"/>
  <c r="Y998" i="2" a="1"/>
  <c r="Y998" i="2" s="1"/>
  <c r="W996" i="2" a="1"/>
  <c r="W996" i="2" s="1"/>
  <c r="X998" i="2" a="1"/>
  <c r="X998" i="2" s="1"/>
  <c r="AI997" i="2" a="1"/>
  <c r="AI997" i="2" s="1"/>
  <c r="AC995" i="2" a="1"/>
  <c r="AC995" i="2" s="1"/>
  <c r="X996" i="2" a="1"/>
  <c r="X996" i="2" s="1"/>
  <c r="AF997" i="2" a="1"/>
  <c r="AF997" i="2" s="1"/>
  <c r="AB997" i="2" a="1"/>
  <c r="AB997" i="2" s="1"/>
  <c r="W995" i="2" a="1"/>
  <c r="W995" i="2" s="1"/>
  <c r="Z997" i="2" a="1"/>
  <c r="Z997" i="2" s="1"/>
  <c r="W997" i="2" a="1"/>
  <c r="W997" i="2" s="1"/>
  <c r="AI994" i="2" a="1"/>
  <c r="AI994" i="2" s="1"/>
  <c r="AI996" i="2" a="1"/>
  <c r="AI996" i="2" s="1"/>
  <c r="X994" i="2" a="1"/>
  <c r="X994" i="2" s="1"/>
  <c r="AE996" i="2" a="1"/>
  <c r="AE996" i="2" s="1"/>
  <c r="AH995" i="2" a="1"/>
  <c r="AH995" i="2" s="1"/>
  <c r="AD994" i="2" a="1"/>
  <c r="AD994" i="2" s="1"/>
  <c r="AH997" i="2" a="1"/>
  <c r="AH997" i="2" s="1"/>
  <c r="AD997" i="2" a="1"/>
  <c r="AD997" i="2" s="1"/>
  <c r="AC997" i="2" a="1"/>
  <c r="AC997" i="2" s="1"/>
  <c r="X997" i="2" a="1"/>
  <c r="X997" i="2" s="1"/>
  <c r="AD996" i="2" a="1"/>
  <c r="AD996" i="2" s="1"/>
  <c r="AC996" i="2" a="1"/>
  <c r="AC996" i="2" s="1"/>
  <c r="AJ995" i="2" a="1"/>
  <c r="AJ995" i="2" s="1"/>
  <c r="AE994" i="2" a="1"/>
  <c r="AE994" i="2" s="1"/>
  <c r="W994" i="2" a="1"/>
  <c r="W994" i="2" s="1"/>
  <c r="AJ993" i="2" a="1"/>
  <c r="AJ993" i="2" s="1"/>
  <c r="AA996" i="2" a="1"/>
  <c r="AA996" i="2" s="1"/>
  <c r="AI995" i="2" a="1"/>
  <c r="AI995" i="2" s="1"/>
  <c r="AG994" i="2" a="1"/>
  <c r="AG994" i="2" s="1"/>
  <c r="AF995" i="2" a="1"/>
  <c r="AF995" i="2" s="1"/>
  <c r="AG995" i="2" a="1"/>
  <c r="AG995" i="2" s="1"/>
  <c r="AJ994" i="2" a="1"/>
  <c r="AJ994" i="2" s="1"/>
  <c r="AH994" i="2" a="1"/>
  <c r="AH994" i="2" s="1"/>
  <c r="AF994" i="2" a="1"/>
  <c r="AF994" i="2" s="1"/>
  <c r="Z996" i="2" a="1"/>
  <c r="Z996" i="2" s="1"/>
  <c r="Z998" i="2" a="1"/>
  <c r="Z998" i="2" s="1"/>
  <c r="AJ997" i="2" a="1"/>
  <c r="AJ997" i="2" s="1"/>
  <c r="AD995" i="2" a="1"/>
  <c r="AD995" i="2" s="1"/>
  <c r="AF1061" i="2" a="1"/>
  <c r="AF1061" i="2" s="1"/>
  <c r="W998" i="2" a="1"/>
  <c r="W998" i="2" s="1"/>
  <c r="AJ989" i="2" a="1"/>
  <c r="AJ989" i="2" s="1"/>
  <c r="AF991" i="2" a="1"/>
  <c r="AF991" i="2" s="1"/>
  <c r="W992" i="2" a="1"/>
  <c r="W992" i="2" s="1"/>
  <c r="AC989" i="2" a="1"/>
  <c r="AC989" i="2" s="1"/>
  <c r="W991" i="2" a="1"/>
  <c r="W991" i="2" s="1"/>
  <c r="AI989" i="2" a="1"/>
  <c r="AI989" i="2" s="1"/>
  <c r="AG990" i="2" a="1"/>
  <c r="AG990" i="2" s="1"/>
  <c r="AD989" i="2" a="1"/>
  <c r="AD989" i="2" s="1"/>
  <c r="AE990" i="2" a="1"/>
  <c r="AE990" i="2" s="1"/>
  <c r="W990" i="2" a="1"/>
  <c r="W990" i="2" s="1"/>
  <c r="AF990" i="2" a="1"/>
  <c r="AF990" i="2" s="1"/>
  <c r="AF989" i="2" a="1"/>
  <c r="AF989" i="2" s="1"/>
  <c r="AE989" i="2" a="1"/>
  <c r="AE989" i="2" s="1"/>
  <c r="X992" i="2" a="1"/>
  <c r="X992" i="2" s="1"/>
  <c r="X1061" i="2" a="1"/>
  <c r="X1061" i="2" s="1"/>
  <c r="Y990" i="2" a="1"/>
  <c r="Y990" i="2" s="1"/>
  <c r="AE992" i="2" a="1"/>
  <c r="AE992" i="2" s="1"/>
  <c r="AG991" i="2" a="1"/>
  <c r="AG991" i="2" s="1"/>
  <c r="AH990" i="2" a="1"/>
  <c r="AH990" i="2" s="1"/>
  <c r="AH993" i="2" a="1"/>
  <c r="AH993" i="2" s="1"/>
  <c r="AH989" i="2" a="1"/>
  <c r="AH989" i="2" s="1"/>
  <c r="AE991" i="2" a="1"/>
  <c r="AE991" i="2" s="1"/>
  <c r="AD991" i="2" a="1"/>
  <c r="AD991" i="2" s="1"/>
  <c r="AA990" i="2" a="1"/>
  <c r="AA990" i="2" s="1"/>
  <c r="AB991" i="2" a="1"/>
  <c r="AB991" i="2" s="1"/>
  <c r="AG993" i="2" a="1"/>
  <c r="AG993" i="2" s="1"/>
  <c r="AF993" i="2" a="1"/>
  <c r="AF993" i="2" s="1"/>
  <c r="AC991" i="2" a="1"/>
  <c r="AC991" i="2" s="1"/>
  <c r="AB989" i="2" a="1"/>
  <c r="AB989" i="2" s="1"/>
  <c r="AE993" i="2" a="1"/>
  <c r="AE993" i="2" s="1"/>
  <c r="AB993" i="2" a="1"/>
  <c r="AB993" i="2" s="1"/>
  <c r="W993" i="2" a="1"/>
  <c r="W993" i="2" s="1"/>
  <c r="AA992" i="2" a="1"/>
  <c r="AA992" i="2" s="1"/>
  <c r="AI990" i="2" a="1"/>
  <c r="AI990" i="2" s="1"/>
  <c r="AB990" i="2" a="1"/>
  <c r="AB990" i="2" s="1"/>
  <c r="AD993" i="2" a="1"/>
  <c r="AD993" i="2" s="1"/>
  <c r="AC993" i="2" a="1"/>
  <c r="AC993" i="2" s="1"/>
  <c r="AA993" i="2" a="1"/>
  <c r="AA993" i="2" s="1"/>
  <c r="Z993" i="2" a="1"/>
  <c r="Z993" i="2" s="1"/>
  <c r="AI992" i="2" a="1"/>
  <c r="AI992" i="2" s="1"/>
  <c r="AF992" i="2" a="1"/>
  <c r="AF992" i="2" s="1"/>
  <c r="Z990" i="2" a="1"/>
  <c r="Z990" i="2" s="1"/>
  <c r="AB992" i="2" a="1"/>
  <c r="AB992" i="2" s="1"/>
  <c r="AD990" i="2" a="1"/>
  <c r="AD990" i="2" s="1"/>
  <c r="Y992" i="2" a="1"/>
  <c r="Y992" i="2" s="1"/>
  <c r="AJ991" i="2" a="1"/>
  <c r="AJ991" i="2" s="1"/>
  <c r="AA991" i="2" a="1"/>
  <c r="AA991" i="2" s="1"/>
  <c r="X990" i="2" a="1"/>
  <c r="X990" i="2" s="1"/>
  <c r="Z992" i="2" a="1"/>
  <c r="Z992" i="2" s="1"/>
  <c r="Y993" i="2" a="1"/>
  <c r="Y993" i="2" s="1"/>
  <c r="AC992" i="2" a="1"/>
  <c r="AC992" i="2" s="1"/>
  <c r="AJ990" i="2" a="1"/>
  <c r="AJ990" i="2" s="1"/>
  <c r="Z991" i="2" a="1"/>
  <c r="Z991" i="2" s="1"/>
  <c r="AH991" i="2" a="1"/>
  <c r="AH991" i="2" s="1"/>
  <c r="AI991" i="2" a="1"/>
  <c r="AI991" i="2" s="1"/>
  <c r="Y991" i="2" a="1"/>
  <c r="Y991" i="2" s="1"/>
  <c r="X993" i="2" a="1"/>
  <c r="X993" i="2" s="1"/>
  <c r="AC990" i="2" a="1"/>
  <c r="AC990" i="2" s="1"/>
  <c r="AJ992" i="2" a="1"/>
  <c r="AJ992" i="2" s="1"/>
  <c r="AH992" i="2" a="1"/>
  <c r="AH992" i="2" s="1"/>
  <c r="AG989" i="2" a="1"/>
  <c r="AG989" i="2" s="1"/>
  <c r="AD992" i="2" a="1"/>
  <c r="AD992" i="2" s="1"/>
  <c r="AG992" i="2" a="1"/>
  <c r="AG992" i="2" s="1"/>
  <c r="X991" i="2" a="1"/>
  <c r="X991" i="2" s="1"/>
  <c r="AG1060" i="2" a="1"/>
  <c r="AG1060" i="2" s="1"/>
  <c r="AI1056" i="2" a="1"/>
  <c r="AI1056" i="2" s="1"/>
  <c r="AB1060" i="2" a="1"/>
  <c r="AB1060" i="2" s="1"/>
  <c r="AA1060" i="2" a="1"/>
  <c r="AA1060" i="2" s="1"/>
  <c r="AH1058" i="2" a="1"/>
  <c r="AH1058" i="2" s="1"/>
  <c r="AF1058" i="2" a="1"/>
  <c r="AF1058" i="2" s="1"/>
  <c r="Y1060" i="2" a="1"/>
  <c r="Y1060" i="2" s="1"/>
  <c r="W1059" i="2" a="1"/>
  <c r="W1059" i="2" s="1"/>
  <c r="Y1059" i="2" a="1"/>
  <c r="Y1059" i="2" s="1"/>
  <c r="X1059" i="2" a="1"/>
  <c r="X1059" i="2" s="1"/>
  <c r="AC1058" i="2" a="1"/>
  <c r="AC1058" i="2" s="1"/>
  <c r="AB1058" i="2" a="1"/>
  <c r="AB1058" i="2" s="1"/>
  <c r="AD1057" i="2" a="1"/>
  <c r="AD1057" i="2" s="1"/>
  <c r="Z1060" i="2" a="1"/>
  <c r="Z1060" i="2" s="1"/>
  <c r="AB1057" i="2" a="1"/>
  <c r="AB1057" i="2" s="1"/>
  <c r="AG1056" i="2" a="1"/>
  <c r="AG1056" i="2" s="1"/>
  <c r="AG1059" i="2" a="1"/>
  <c r="AG1059" i="2" s="1"/>
  <c r="X1060" i="2" a="1"/>
  <c r="X1060" i="2" s="1"/>
  <c r="AJ1056" i="2" a="1"/>
  <c r="AJ1056" i="2" s="1"/>
  <c r="Z1059" i="2" a="1"/>
  <c r="Z1059" i="2" s="1"/>
  <c r="AE1058" i="2" a="1"/>
  <c r="AE1058" i="2" s="1"/>
  <c r="AH1056" i="2" a="1"/>
  <c r="AH1056" i="2" s="1"/>
  <c r="AI1059" i="2" a="1"/>
  <c r="AI1059" i="2" s="1"/>
  <c r="AJ1058" i="2" a="1"/>
  <c r="AJ1058" i="2" s="1"/>
  <c r="Y1057" i="2" a="1"/>
  <c r="Y1057" i="2" s="1"/>
  <c r="AA1058" i="2" a="1"/>
  <c r="AA1058" i="2" s="1"/>
  <c r="AA1057" i="2" a="1"/>
  <c r="AA1057" i="2" s="1"/>
  <c r="Z1057" i="2" a="1"/>
  <c r="Z1057" i="2" s="1"/>
  <c r="W1061" i="2" a="1"/>
  <c r="W1061" i="2" s="1"/>
  <c r="AI1060" i="2" a="1"/>
  <c r="AI1060" i="2" s="1"/>
  <c r="AF1060" i="2" a="1"/>
  <c r="AF1060" i="2" s="1"/>
  <c r="AE1060" i="2" a="1"/>
  <c r="AE1060" i="2" s="1"/>
  <c r="AD1060" i="2" a="1"/>
  <c r="AD1060" i="2" s="1"/>
  <c r="W1058" i="2" a="1"/>
  <c r="W1058" i="2" s="1"/>
  <c r="AC1060" i="2" a="1"/>
  <c r="AC1060" i="2" s="1"/>
  <c r="AG1058" i="2" a="1"/>
  <c r="AG1058" i="2" s="1"/>
  <c r="X1057" i="2" a="1"/>
  <c r="X1057" i="2" s="1"/>
  <c r="AC1057" i="2" a="1"/>
  <c r="AC1057" i="2" s="1"/>
  <c r="AF1057" i="2" a="1"/>
  <c r="AF1057" i="2" s="1"/>
  <c r="AH1057" i="2" a="1"/>
  <c r="AH1057" i="2" s="1"/>
  <c r="AJ1057" i="2" a="1"/>
  <c r="AJ1057" i="2" s="1"/>
  <c r="AI1057" i="2" a="1"/>
  <c r="AI1057" i="2" s="1"/>
  <c r="AF1059" i="2" a="1"/>
  <c r="AF1059" i="2" s="1"/>
  <c r="AC1059" i="2" a="1"/>
  <c r="AC1059" i="2" s="1"/>
  <c r="AF1056" i="2" a="1"/>
  <c r="AF1056" i="2" s="1"/>
  <c r="AH1059" i="2" a="1"/>
  <c r="AH1059" i="2" s="1"/>
  <c r="AE1057" i="2" a="1"/>
  <c r="AE1057" i="2" s="1"/>
  <c r="Y1058" i="2" a="1"/>
  <c r="Y1058" i="2" s="1"/>
  <c r="AB1059" i="2" a="1"/>
  <c r="AB1059" i="2" s="1"/>
  <c r="AA1059" i="2" a="1"/>
  <c r="AA1059" i="2" s="1"/>
  <c r="AI1058" i="2" a="1"/>
  <c r="AI1058" i="2" s="1"/>
  <c r="AJ1059" i="2" a="1"/>
  <c r="AJ1059" i="2" s="1"/>
  <c r="Z1058" i="2" a="1"/>
  <c r="Z1058" i="2" s="1"/>
  <c r="W1057" i="2" a="1"/>
  <c r="W1057" i="2" s="1"/>
  <c r="AJ1060" i="2" a="1"/>
  <c r="AJ1060" i="2" s="1"/>
  <c r="W1060" i="2" a="1"/>
  <c r="W1060" i="2" s="1"/>
  <c r="AE1059" i="2" a="1"/>
  <c r="AE1059" i="2" s="1"/>
  <c r="Y1062" i="2" a="1"/>
  <c r="Y1062" i="2" s="1"/>
  <c r="AD1059" i="2" a="1"/>
  <c r="AD1059" i="2" s="1"/>
  <c r="AD1058" i="2" a="1"/>
  <c r="AD1058" i="2" s="1"/>
  <c r="X1058" i="2" a="1"/>
  <c r="X1058" i="2" s="1"/>
  <c r="AG1057" i="2" a="1"/>
  <c r="AG1057" i="2" s="1"/>
  <c r="AH1060" i="2" a="1"/>
  <c r="AH1060" i="2" s="1"/>
  <c r="AE1056" i="2" a="1"/>
  <c r="AE1056" i="2" s="1"/>
  <c r="AJ106" i="2" a="1"/>
  <c r="AJ106" i="2" s="1"/>
  <c r="X115" i="2" a="1"/>
  <c r="X115" i="2" s="1"/>
  <c r="X108" i="2" a="1"/>
  <c r="X108" i="2" s="1"/>
  <c r="AI106" i="2" a="1"/>
  <c r="AI106" i="2" s="1"/>
  <c r="AH106" i="2" a="1"/>
  <c r="AH106" i="2" s="1"/>
  <c r="Z108" i="2" a="1"/>
  <c r="Z108" i="2" s="1"/>
  <c r="AG106" i="2" a="1"/>
  <c r="AG106" i="2" s="1"/>
  <c r="AE106" i="2" a="1"/>
  <c r="AE106" i="2" s="1"/>
  <c r="AC106" i="2" a="1"/>
  <c r="AC106" i="2" s="1"/>
  <c r="AD106" i="2" a="1"/>
  <c r="AD106" i="2" s="1"/>
  <c r="AB106" i="2" a="1"/>
  <c r="AB106" i="2" s="1"/>
  <c r="AA106" i="2" a="1"/>
  <c r="AA106" i="2" s="1"/>
  <c r="Z106" i="2" a="1"/>
  <c r="Z106" i="2" s="1"/>
  <c r="Y106" i="2" a="1"/>
  <c r="Y106" i="2" s="1"/>
  <c r="X106" i="2" a="1"/>
  <c r="X106" i="2" s="1"/>
  <c r="W106" i="2" a="1"/>
  <c r="W106" i="2" s="1"/>
  <c r="AJ105" i="2" a="1"/>
  <c r="AJ105" i="2" s="1"/>
  <c r="W108" i="2" a="1"/>
  <c r="W108" i="2" s="1"/>
  <c r="AF106" i="2" a="1"/>
  <c r="AF106" i="2" s="1"/>
  <c r="W104" i="2" a="1"/>
  <c r="W104" i="2" s="1"/>
  <c r="X105" i="2" a="1"/>
  <c r="X105" i="2" s="1"/>
  <c r="W105" i="2" a="1"/>
  <c r="W105" i="2" s="1"/>
  <c r="AJ104" i="2" a="1"/>
  <c r="AJ104" i="2" s="1"/>
  <c r="AC104" i="2" a="1"/>
  <c r="AC104" i="2" s="1"/>
  <c r="AI104" i="2" a="1"/>
  <c r="AI104" i="2" s="1"/>
  <c r="AB104" i="2" a="1"/>
  <c r="AB104" i="2" s="1"/>
  <c r="AA105" i="2" a="1"/>
  <c r="AA105" i="2" s="1"/>
  <c r="AH103" i="2" a="1"/>
  <c r="AH103" i="2" s="1"/>
  <c r="AF104" i="2" a="1"/>
  <c r="AF104" i="2" s="1"/>
  <c r="X104" i="2" a="1"/>
  <c r="X104" i="2" s="1"/>
  <c r="AD104" i="2" a="1"/>
  <c r="AD104" i="2" s="1"/>
  <c r="Y105" i="2" a="1"/>
  <c r="Y105" i="2" s="1"/>
  <c r="AH104" i="2" a="1"/>
  <c r="AH104" i="2" s="1"/>
  <c r="AE104" i="2" a="1"/>
  <c r="AE104" i="2" s="1"/>
  <c r="AA104" i="2" a="1"/>
  <c r="AA104" i="2" s="1"/>
  <c r="Z104" i="2" a="1"/>
  <c r="Z104" i="2" s="1"/>
  <c r="Y104" i="2" a="1"/>
  <c r="Y104" i="2" s="1"/>
  <c r="AI103" i="2" a="1"/>
  <c r="AI103" i="2" s="1"/>
  <c r="AB105" i="2" a="1"/>
  <c r="AB105" i="2" s="1"/>
  <c r="AA108" i="2" a="1"/>
  <c r="AA108" i="2" s="1"/>
  <c r="AI105" i="2" a="1"/>
  <c r="AI105" i="2" s="1"/>
  <c r="AH105" i="2" a="1"/>
  <c r="AH105" i="2" s="1"/>
  <c r="AG105" i="2" a="1"/>
  <c r="AG105" i="2" s="1"/>
  <c r="AF105" i="2" a="1"/>
  <c r="AF105" i="2" s="1"/>
  <c r="AE105" i="2" a="1"/>
  <c r="AE105" i="2" s="1"/>
  <c r="AD105" i="2" a="1"/>
  <c r="AD105" i="2" s="1"/>
  <c r="AC105" i="2" a="1"/>
  <c r="AC105" i="2" s="1"/>
  <c r="AG104" i="2" a="1"/>
  <c r="AG104" i="2" s="1"/>
  <c r="Z105" i="2" a="1"/>
  <c r="Z105" i="2" s="1"/>
  <c r="AJ103" i="2" a="1"/>
  <c r="AJ103" i="2" s="1"/>
  <c r="Y102" i="2" a="1"/>
  <c r="Y102" i="2" s="1"/>
  <c r="AF103" i="2" a="1"/>
  <c r="AF103" i="2" s="1"/>
  <c r="AE103" i="2" a="1"/>
  <c r="AE103" i="2" s="1"/>
  <c r="AD103" i="2" a="1"/>
  <c r="AD103" i="2" s="1"/>
  <c r="AC103" i="2" a="1"/>
  <c r="AC103" i="2" s="1"/>
  <c r="AF102" i="2" a="1"/>
  <c r="AF102" i="2" s="1"/>
  <c r="W102" i="2" a="1"/>
  <c r="W102" i="2" s="1"/>
  <c r="AB103" i="2" a="1"/>
  <c r="AB103" i="2" s="1"/>
  <c r="Z103" i="2" a="1"/>
  <c r="Z103" i="2" s="1"/>
  <c r="Y103" i="2" a="1"/>
  <c r="Y103" i="2" s="1"/>
  <c r="X103" i="2" a="1"/>
  <c r="X103" i="2" s="1"/>
  <c r="X102" i="2" a="1"/>
  <c r="X102" i="2" s="1"/>
  <c r="AJ101" i="2" a="1"/>
  <c r="AJ101" i="2" s="1"/>
  <c r="AD101" i="2" a="1"/>
  <c r="AD101" i="2" s="1"/>
  <c r="AE102" i="2" a="1"/>
  <c r="AE102" i="2" s="1"/>
  <c r="AD102" i="2" a="1"/>
  <c r="AD102" i="2" s="1"/>
  <c r="AH101" i="2" a="1"/>
  <c r="AH101" i="2" s="1"/>
  <c r="AC101" i="2" a="1"/>
  <c r="AC101" i="2" s="1"/>
  <c r="AJ100" i="2" a="1"/>
  <c r="AJ100" i="2" s="1"/>
  <c r="AG100" i="2" a="1"/>
  <c r="AG100" i="2" s="1"/>
  <c r="W103" i="2" a="1"/>
  <c r="W103" i="2" s="1"/>
  <c r="AJ102" i="2" a="1"/>
  <c r="AJ102" i="2" s="1"/>
  <c r="AI102" i="2" a="1"/>
  <c r="AI102" i="2" s="1"/>
  <c r="AG102" i="2" a="1"/>
  <c r="AG102" i="2" s="1"/>
  <c r="W101" i="2" a="1"/>
  <c r="W101" i="2" s="1"/>
  <c r="AI101" i="2" a="1"/>
  <c r="AI101" i="2" s="1"/>
  <c r="AE101" i="2" a="1"/>
  <c r="AE101" i="2" s="1"/>
  <c r="X101" i="2" a="1"/>
  <c r="X101" i="2" s="1"/>
  <c r="AF101" i="2" a="1"/>
  <c r="AF101" i="2" s="1"/>
  <c r="Y101" i="2" a="1"/>
  <c r="Y101" i="2" s="1"/>
  <c r="AH102" i="2" a="1"/>
  <c r="AH102" i="2" s="1"/>
  <c r="AA102" i="2" a="1"/>
  <c r="AA102" i="2" s="1"/>
  <c r="AB101" i="2" a="1"/>
  <c r="AB101" i="2" s="1"/>
  <c r="AI100" i="2" a="1"/>
  <c r="AI100" i="2" s="1"/>
  <c r="AH100" i="2" a="1"/>
  <c r="AH100" i="2" s="1"/>
  <c r="AF100" i="2" a="1"/>
  <c r="AF100" i="2" s="1"/>
  <c r="AC102" i="2" a="1"/>
  <c r="AC102" i="2" s="1"/>
  <c r="AB102" i="2" a="1"/>
  <c r="AB102" i="2" s="1"/>
  <c r="Z102" i="2" a="1"/>
  <c r="Z102" i="2" s="1"/>
  <c r="AA101" i="2" a="1"/>
  <c r="AA101" i="2" s="1"/>
  <c r="Z101" i="2" a="1"/>
  <c r="Z101" i="2" s="1"/>
  <c r="AA103" i="2" a="1"/>
  <c r="AA103" i="2" s="1"/>
  <c r="AG101" i="2" a="1"/>
  <c r="AG101" i="2" s="1"/>
  <c r="AJ107" i="2" a="1"/>
  <c r="AJ107" i="2" s="1"/>
  <c r="AG103" i="2" a="1"/>
  <c r="AG103" i="2" s="1"/>
  <c r="AI107" i="2" a="1"/>
  <c r="AI107" i="2" s="1"/>
  <c r="AH107" i="2" a="1"/>
  <c r="AH107" i="2" s="1"/>
  <c r="AG107" i="2" a="1"/>
  <c r="AG107" i="2" s="1"/>
  <c r="X107" i="2" a="1"/>
  <c r="X107" i="2" s="1"/>
  <c r="AF107" i="2" a="1"/>
  <c r="AF107" i="2" s="1"/>
  <c r="AC107" i="2" a="1"/>
  <c r="AC107" i="2" s="1"/>
  <c r="AB107" i="2" a="1"/>
  <c r="AB107" i="2" s="1"/>
  <c r="AE107" i="2" a="1"/>
  <c r="AE107" i="2" s="1"/>
  <c r="AD107" i="2" a="1"/>
  <c r="AD107" i="2" s="1"/>
  <c r="Y108" i="2" a="1"/>
  <c r="Y108" i="2" s="1"/>
  <c r="Y107" i="2" a="1"/>
  <c r="Y107" i="2" s="1"/>
  <c r="AA107" i="2" a="1"/>
  <c r="AA107" i="2" s="1"/>
  <c r="Z107" i="2" a="1"/>
  <c r="Z107" i="2" s="1"/>
  <c r="W107" i="2" a="1"/>
  <c r="W107" i="2" s="1"/>
  <c r="AJ1316" i="2" a="1"/>
  <c r="AJ1316" i="2" s="1"/>
  <c r="AC1317" i="2" a="1"/>
  <c r="AC1317" i="2" s="1"/>
  <c r="AD1317" i="2" a="1"/>
  <c r="AD1317" i="2" s="1"/>
  <c r="AD1316" i="2" a="1"/>
  <c r="AD1316" i="2" s="1"/>
  <c r="Y1317" i="2" a="1"/>
  <c r="Y1317" i="2" s="1"/>
  <c r="Z1316" i="2" a="1"/>
  <c r="Z1316" i="2" s="1"/>
  <c r="X1316" i="2" a="1"/>
  <c r="X1316" i="2" s="1"/>
  <c r="AA1318" i="2" a="1"/>
  <c r="AA1318" i="2" s="1"/>
  <c r="AE1317" i="2" a="1"/>
  <c r="AE1317" i="2" s="1"/>
  <c r="Z1317" i="2" a="1"/>
  <c r="Z1317" i="2" s="1"/>
  <c r="AF1316" i="2" a="1"/>
  <c r="AF1316" i="2" s="1"/>
  <c r="AE1316" i="2" a="1"/>
  <c r="AE1316" i="2" s="1"/>
  <c r="AA1316" i="2" a="1"/>
  <c r="AA1316" i="2" s="1"/>
  <c r="Y1316" i="2" a="1"/>
  <c r="Y1316" i="2" s="1"/>
  <c r="AA1317" i="2" a="1"/>
  <c r="AA1317" i="2" s="1"/>
  <c r="AC1315" i="2" a="1"/>
  <c r="AC1315" i="2" s="1"/>
  <c r="AA1315" i="2" a="1"/>
  <c r="AA1315" i="2" s="1"/>
  <c r="AB1316" i="2" a="1"/>
  <c r="AB1316" i="2" s="1"/>
  <c r="AI1316" i="2" a="1"/>
  <c r="AI1316" i="2" s="1"/>
  <c r="AC1322" i="2" a="1"/>
  <c r="AC1322" i="2" s="1"/>
  <c r="AJ1315" i="2" a="1"/>
  <c r="AJ1315" i="2" s="1"/>
  <c r="Z1315" i="2" a="1"/>
  <c r="Z1315" i="2" s="1"/>
  <c r="AF1318" i="2" a="1"/>
  <c r="AF1318" i="2" s="1"/>
  <c r="AE1318" i="2" a="1"/>
  <c r="AE1318" i="2" s="1"/>
  <c r="AD1318" i="2" a="1"/>
  <c r="AD1318" i="2" s="1"/>
  <c r="AC1318" i="2" a="1"/>
  <c r="AC1318" i="2" s="1"/>
  <c r="AE1315" i="2" a="1"/>
  <c r="AE1315" i="2" s="1"/>
  <c r="AB1318" i="2" a="1"/>
  <c r="AB1318" i="2" s="1"/>
  <c r="AD1315" i="2" a="1"/>
  <c r="AD1315" i="2" s="1"/>
  <c r="Z1318" i="2" a="1"/>
  <c r="Z1318" i="2" s="1"/>
  <c r="AH1315" i="2" a="1"/>
  <c r="AH1315" i="2" s="1"/>
  <c r="AB1317" i="2" a="1"/>
  <c r="AB1317" i="2" s="1"/>
  <c r="W1318" i="2" a="1"/>
  <c r="W1318" i="2" s="1"/>
  <c r="AC1316" i="2" a="1"/>
  <c r="AC1316" i="2" s="1"/>
  <c r="W1317" i="2" a="1"/>
  <c r="W1317" i="2" s="1"/>
  <c r="Y1318" i="2" a="1"/>
  <c r="Y1318" i="2" s="1"/>
  <c r="Y1315" i="2" a="1"/>
  <c r="Y1315" i="2" s="1"/>
  <c r="X1318" i="2" a="1"/>
  <c r="X1318" i="2" s="1"/>
  <c r="AI1317" i="2" a="1"/>
  <c r="AI1317" i="2" s="1"/>
  <c r="AJ1317" i="2" a="1"/>
  <c r="AJ1317" i="2" s="1"/>
  <c r="AH1317" i="2" a="1"/>
  <c r="AH1317" i="2" s="1"/>
  <c r="AG1316" i="2" a="1"/>
  <c r="AG1316" i="2" s="1"/>
  <c r="AG1315" i="2" a="1"/>
  <c r="AG1315" i="2" s="1"/>
  <c r="AG1317" i="2" a="1"/>
  <c r="AG1317" i="2" s="1"/>
  <c r="AF1317" i="2" a="1"/>
  <c r="AF1317" i="2" s="1"/>
  <c r="X1317" i="2" a="1"/>
  <c r="X1317" i="2" s="1"/>
  <c r="AH1316" i="2" a="1"/>
  <c r="AH1316" i="2" s="1"/>
  <c r="AF1315" i="2" a="1"/>
  <c r="AF1315" i="2" s="1"/>
  <c r="AB1315" i="2" a="1"/>
  <c r="AB1315" i="2" s="1"/>
  <c r="W1316" i="2" a="1"/>
  <c r="W1316" i="2" s="1"/>
  <c r="AI1315" i="2" a="1"/>
  <c r="AI1315" i="2" s="1"/>
  <c r="AI1313" i="2" a="1"/>
  <c r="AI1313" i="2" s="1"/>
  <c r="AG1313" i="2" a="1"/>
  <c r="AG1313" i="2" s="1"/>
  <c r="AE1312" i="2" a="1"/>
  <c r="AE1312" i="2" s="1"/>
  <c r="AC1313" i="2" a="1"/>
  <c r="AC1313" i="2" s="1"/>
  <c r="AA1313" i="2" a="1"/>
  <c r="AA1313" i="2" s="1"/>
  <c r="AI1312" i="2" a="1"/>
  <c r="AI1312" i="2" s="1"/>
  <c r="AB1313" i="2" a="1"/>
  <c r="AB1313" i="2" s="1"/>
  <c r="W1312" i="2" a="1"/>
  <c r="W1312" i="2" s="1"/>
  <c r="AF1312" i="2" a="1"/>
  <c r="AF1312" i="2" s="1"/>
  <c r="Z1312" i="2" a="1"/>
  <c r="Z1312" i="2" s="1"/>
  <c r="AD1312" i="2" a="1"/>
  <c r="AD1312" i="2" s="1"/>
  <c r="X1313" i="2" a="1"/>
  <c r="X1313" i="2" s="1"/>
  <c r="AG1312" i="2" a="1"/>
  <c r="AG1312" i="2" s="1"/>
  <c r="X1315" i="2" a="1"/>
  <c r="X1315" i="2" s="1"/>
  <c r="AH1314" i="2" a="1"/>
  <c r="AH1314" i="2" s="1"/>
  <c r="AE1314" i="2" a="1"/>
  <c r="AE1314" i="2" s="1"/>
  <c r="AF1313" i="2" a="1"/>
  <c r="AF1313" i="2" s="1"/>
  <c r="AA1312" i="2" a="1"/>
  <c r="AA1312" i="2" s="1"/>
  <c r="X1312" i="2" a="1"/>
  <c r="X1312" i="2" s="1"/>
  <c r="AF1314" i="2" a="1"/>
  <c r="AF1314" i="2" s="1"/>
  <c r="W1314" i="2" a="1"/>
  <c r="W1314" i="2" s="1"/>
  <c r="Y1312" i="2" a="1"/>
  <c r="Y1312" i="2" s="1"/>
  <c r="AJ1313" i="2" a="1"/>
  <c r="AJ1313" i="2" s="1"/>
  <c r="AE1313" i="2" a="1"/>
  <c r="AE1313" i="2" s="1"/>
  <c r="AD1322" i="2" a="1"/>
  <c r="AD1322" i="2" s="1"/>
  <c r="AA1314" i="2" a="1"/>
  <c r="AA1314" i="2" s="1"/>
  <c r="AJ1312" i="2" a="1"/>
  <c r="AJ1312" i="2" s="1"/>
  <c r="Y1313" i="2" a="1"/>
  <c r="Y1313" i="2" s="1"/>
  <c r="AC1314" i="2" a="1"/>
  <c r="AC1314" i="2" s="1"/>
  <c r="AH1313" i="2" a="1"/>
  <c r="AH1313" i="2" s="1"/>
  <c r="AH1312" i="2" a="1"/>
  <c r="AH1312" i="2" s="1"/>
  <c r="AD1313" i="2" a="1"/>
  <c r="AD1313" i="2" s="1"/>
  <c r="Y1314" i="2" a="1"/>
  <c r="Y1314" i="2" s="1"/>
  <c r="AB1312" i="2" a="1"/>
  <c r="AB1312" i="2" s="1"/>
  <c r="AC1312" i="2" a="1"/>
  <c r="AC1312" i="2" s="1"/>
  <c r="W1313" i="2" a="1"/>
  <c r="W1313" i="2" s="1"/>
  <c r="Z1313" i="2" a="1"/>
  <c r="Z1313" i="2" s="1"/>
  <c r="AB1314" i="2" a="1"/>
  <c r="AB1314" i="2" s="1"/>
  <c r="W1315" i="2" a="1"/>
  <c r="W1315" i="2" s="1"/>
  <c r="AJ1314" i="2" a="1"/>
  <c r="AJ1314" i="2" s="1"/>
  <c r="AI1314" i="2" a="1"/>
  <c r="AI1314" i="2" s="1"/>
  <c r="AG1314" i="2" a="1"/>
  <c r="AG1314" i="2" s="1"/>
  <c r="AD1314" i="2" a="1"/>
  <c r="AD1314" i="2" s="1"/>
  <c r="Z1314" i="2" a="1"/>
  <c r="Z1314" i="2" s="1"/>
  <c r="X1314" i="2" a="1"/>
  <c r="X1314" i="2" s="1"/>
  <c r="AH1311" i="2" a="1"/>
  <c r="AH1311" i="2" s="1"/>
  <c r="AB1311" i="2" a="1"/>
  <c r="AB1311" i="2" s="1"/>
  <c r="W91" i="2" a="1"/>
  <c r="W91" i="2" s="1"/>
  <c r="AI90" i="2" a="1"/>
  <c r="AI90" i="2" s="1"/>
  <c r="AF90" i="2" a="1"/>
  <c r="AF90" i="2" s="1"/>
  <c r="AB1322" i="2" a="1"/>
  <c r="AB1322" i="2" s="1"/>
  <c r="AJ1311" i="2" a="1"/>
  <c r="AJ1311" i="2" s="1"/>
  <c r="AI1311" i="2" a="1"/>
  <c r="AI1311" i="2" s="1"/>
  <c r="AG1311" i="2" a="1"/>
  <c r="AG1311" i="2" s="1"/>
  <c r="AC1311" i="2" a="1"/>
  <c r="AC1311" i="2" s="1"/>
  <c r="AJ90" i="2" a="1"/>
  <c r="AJ90" i="2" s="1"/>
  <c r="AH90" i="2" a="1"/>
  <c r="AH90" i="2" s="1"/>
  <c r="AD90" i="2" a="1"/>
  <c r="AD90" i="2" s="1"/>
  <c r="AG114" i="2" a="1"/>
  <c r="AG114" i="2" s="1"/>
  <c r="AF1311" i="2" a="1"/>
  <c r="AF1311" i="2" s="1"/>
  <c r="AE1311" i="2" a="1"/>
  <c r="AE1311" i="2" s="1"/>
  <c r="AD1311" i="2" a="1"/>
  <c r="AD1311" i="2" s="1"/>
  <c r="AG90" i="2" a="1"/>
  <c r="AG90" i="2" s="1"/>
  <c r="AE90" i="2" a="1"/>
  <c r="AE90" i="2" s="1"/>
  <c r="AC90" i="2" a="1"/>
  <c r="AC90" i="2" s="1"/>
  <c r="AA90" i="2" a="1"/>
  <c r="AA90" i="2" s="1"/>
  <c r="AB87" i="2" a="1"/>
  <c r="AB87" i="2" s="1"/>
  <c r="Y90" i="2" a="1"/>
  <c r="Y90" i="2" s="1"/>
  <c r="AI89" i="2" a="1"/>
  <c r="AI89" i="2" s="1"/>
  <c r="AF89" i="2" a="1"/>
  <c r="AF89" i="2" s="1"/>
  <c r="AA89" i="2" a="1"/>
  <c r="AA89" i="2" s="1"/>
  <c r="AE89" i="2" a="1"/>
  <c r="AE89" i="2" s="1"/>
  <c r="AB89" i="2" a="1"/>
  <c r="AB89" i="2" s="1"/>
  <c r="AA88" i="2" a="1"/>
  <c r="AA88" i="2" s="1"/>
  <c r="X87" i="2" a="1"/>
  <c r="X87" i="2" s="1"/>
  <c r="W87" i="2" a="1"/>
  <c r="W87" i="2" s="1"/>
  <c r="Y88" i="2" a="1"/>
  <c r="Y88" i="2" s="1"/>
  <c r="W88" i="2" a="1"/>
  <c r="W88" i="2" s="1"/>
  <c r="W89" i="2" a="1"/>
  <c r="W89" i="2" s="1"/>
  <c r="AE88" i="2" a="1"/>
  <c r="AE88" i="2" s="1"/>
  <c r="AD87" i="2" a="1"/>
  <c r="AD87" i="2" s="1"/>
  <c r="Z89" i="2" a="1"/>
  <c r="Z89" i="2" s="1"/>
  <c r="AI88" i="2" a="1"/>
  <c r="AI88" i="2" s="1"/>
  <c r="X90" i="2" a="1"/>
  <c r="X90" i="2" s="1"/>
  <c r="AC87" i="2" a="1"/>
  <c r="AC87" i="2" s="1"/>
  <c r="AE87" i="2" a="1"/>
  <c r="AE87" i="2" s="1"/>
  <c r="AC88" i="2" a="1"/>
  <c r="AC88" i="2" s="1"/>
  <c r="AF87" i="2" a="1"/>
  <c r="AF87" i="2" s="1"/>
  <c r="Z90" i="2" a="1"/>
  <c r="Z90" i="2" s="1"/>
  <c r="AJ86" i="2" a="1"/>
  <c r="AJ86" i="2" s="1"/>
  <c r="W90" i="2" a="1"/>
  <c r="W90" i="2" s="1"/>
  <c r="AJ89" i="2" a="1"/>
  <c r="AJ89" i="2" s="1"/>
  <c r="AG89" i="2" a="1"/>
  <c r="AG89" i="2" s="1"/>
  <c r="AD89" i="2" a="1"/>
  <c r="AD89" i="2" s="1"/>
  <c r="AJ87" i="2" a="1"/>
  <c r="AJ87" i="2" s="1"/>
  <c r="Z88" i="2" a="1"/>
  <c r="Z88" i="2" s="1"/>
  <c r="AB88" i="2" a="1"/>
  <c r="AB88" i="2" s="1"/>
  <c r="AC89" i="2" a="1"/>
  <c r="AC89" i="2" s="1"/>
  <c r="Y89" i="2" a="1"/>
  <c r="Y89" i="2" s="1"/>
  <c r="AH88" i="2" a="1"/>
  <c r="AH88" i="2" s="1"/>
  <c r="AA87" i="2" a="1"/>
  <c r="AA87" i="2" s="1"/>
  <c r="Z87" i="2" a="1"/>
  <c r="Z87" i="2" s="1"/>
  <c r="X88" i="2" a="1"/>
  <c r="X88" i="2" s="1"/>
  <c r="AG87" i="2" a="1"/>
  <c r="AG87" i="2" s="1"/>
  <c r="Y87" i="2" a="1"/>
  <c r="Y87" i="2" s="1"/>
  <c r="AH86" i="2" a="1"/>
  <c r="AH86" i="2" s="1"/>
  <c r="AH87" i="2" a="1"/>
  <c r="AH87" i="2" s="1"/>
  <c r="AI87" i="2" a="1"/>
  <c r="AI87" i="2" s="1"/>
  <c r="AJ88" i="2" a="1"/>
  <c r="AJ88" i="2" s="1"/>
  <c r="AG88" i="2" a="1"/>
  <c r="AG88" i="2" s="1"/>
  <c r="AI86" i="2" a="1"/>
  <c r="AI86" i="2" s="1"/>
  <c r="AD88" i="2" a="1"/>
  <c r="AD88" i="2" s="1"/>
  <c r="X89" i="2" a="1"/>
  <c r="X89" i="2" s="1"/>
  <c r="Y91" i="2" a="1"/>
  <c r="Y91" i="2" s="1"/>
  <c r="AB90" i="2" a="1"/>
  <c r="AB90" i="2" s="1"/>
  <c r="AF88" i="2" a="1"/>
  <c r="AF88" i="2" s="1"/>
  <c r="AG86" i="2" a="1"/>
  <c r="AG86" i="2" s="1"/>
  <c r="AH89" i="2" a="1"/>
  <c r="AH89" i="2" s="1"/>
  <c r="AH85" i="2" a="1"/>
  <c r="AH85" i="2" s="1"/>
  <c r="Y83" i="2" a="1"/>
  <c r="Y83" i="2" s="1"/>
  <c r="AD85" i="2" a="1"/>
  <c r="AD85" i="2" s="1"/>
  <c r="Y85" i="2" a="1"/>
  <c r="Y85" i="2" s="1"/>
  <c r="AG83" i="2" a="1"/>
  <c r="AG83" i="2" s="1"/>
  <c r="AJ82" i="2" a="1"/>
  <c r="AJ82" i="2" s="1"/>
  <c r="AE82" i="2" a="1"/>
  <c r="AE82" i="2" s="1"/>
  <c r="AI82" i="2" a="1"/>
  <c r="AI82" i="2" s="1"/>
  <c r="AD82" i="2" a="1"/>
  <c r="AD82" i="2" s="1"/>
  <c r="W85" i="2" a="1"/>
  <c r="W85" i="2" s="1"/>
  <c r="AD83" i="2" a="1"/>
  <c r="AD83" i="2" s="1"/>
  <c r="AE83" i="2" a="1"/>
  <c r="AE83" i="2" s="1"/>
  <c r="Z84" i="2" a="1"/>
  <c r="Z84" i="2" s="1"/>
  <c r="AB84" i="2" a="1"/>
  <c r="AB84" i="2" s="1"/>
  <c r="AE85" i="2" a="1"/>
  <c r="AE85" i="2" s="1"/>
  <c r="W84" i="2" a="1"/>
  <c r="W84" i="2" s="1"/>
  <c r="AB85" i="2" a="1"/>
  <c r="AB85" i="2" s="1"/>
  <c r="AF84" i="2" a="1"/>
  <c r="AF84" i="2" s="1"/>
  <c r="Z85" i="2" a="1"/>
  <c r="Z85" i="2" s="1"/>
  <c r="AC85" i="2" a="1"/>
  <c r="AC85" i="2" s="1"/>
  <c r="AA84" i="2" a="1"/>
  <c r="AA84" i="2" s="1"/>
  <c r="Z83" i="2" a="1"/>
  <c r="Z83" i="2" s="1"/>
  <c r="X85" i="2" a="1"/>
  <c r="X85" i="2" s="1"/>
  <c r="AH84" i="2" a="1"/>
  <c r="AH84" i="2" s="1"/>
  <c r="AG84" i="2" a="1"/>
  <c r="AG84" i="2" s="1"/>
  <c r="AC84" i="2" a="1"/>
  <c r="AC84" i="2" s="1"/>
  <c r="AF83" i="2" a="1"/>
  <c r="AF83" i="2" s="1"/>
  <c r="W83" i="2" a="1"/>
  <c r="W83" i="2" s="1"/>
  <c r="Y86" i="2" a="1"/>
  <c r="Y86" i="2" s="1"/>
  <c r="W86" i="2" a="1"/>
  <c r="W86" i="2" s="1"/>
  <c r="AF82" i="2" a="1"/>
  <c r="AF82" i="2" s="1"/>
  <c r="AJ85" i="2" a="1"/>
  <c r="AJ85" i="2" s="1"/>
  <c r="AC83" i="2" a="1"/>
  <c r="AC83" i="2" s="1"/>
  <c r="AA83" i="2" a="1"/>
  <c r="AA83" i="2" s="1"/>
  <c r="AB83" i="2" a="1"/>
  <c r="AB83" i="2" s="1"/>
  <c r="Z91" i="2" a="1"/>
  <c r="Z91" i="2" s="1"/>
  <c r="AF86" i="2" a="1"/>
  <c r="AF86" i="2" s="1"/>
  <c r="AE86" i="2" a="1"/>
  <c r="AE86" i="2" s="1"/>
  <c r="AD86" i="2" a="1"/>
  <c r="AD86" i="2" s="1"/>
  <c r="AC86" i="2" a="1"/>
  <c r="AC86" i="2" s="1"/>
  <c r="X84" i="2" a="1"/>
  <c r="X84" i="2" s="1"/>
  <c r="AG85" i="2" a="1"/>
  <c r="AG85" i="2" s="1"/>
  <c r="AE84" i="2" a="1"/>
  <c r="AE84" i="2" s="1"/>
  <c r="AI83" i="2" a="1"/>
  <c r="AI83" i="2" s="1"/>
  <c r="AH82" i="2" a="1"/>
  <c r="AH82" i="2" s="1"/>
  <c r="AA86" i="2" a="1"/>
  <c r="AA86" i="2" s="1"/>
  <c r="AG82" i="2" a="1"/>
  <c r="AG82" i="2" s="1"/>
  <c r="AJ84" i="2" a="1"/>
  <c r="AJ84" i="2" s="1"/>
  <c r="AB86" i="2" a="1"/>
  <c r="AB86" i="2" s="1"/>
  <c r="Z86" i="2" a="1"/>
  <c r="Z86" i="2" s="1"/>
  <c r="X86" i="2" a="1"/>
  <c r="X86" i="2" s="1"/>
  <c r="Y84" i="2" a="1"/>
  <c r="Y84" i="2" s="1"/>
  <c r="AJ83" i="2" a="1"/>
  <c r="AJ83" i="2" s="1"/>
  <c r="AI85" i="2" a="1"/>
  <c r="AI85" i="2" s="1"/>
  <c r="AF85" i="2" a="1"/>
  <c r="AF85" i="2" s="1"/>
  <c r="AA85" i="2" a="1"/>
  <c r="AA85" i="2" s="1"/>
  <c r="AD84" i="2" a="1"/>
  <c r="AD84" i="2" s="1"/>
  <c r="AI84" i="2" a="1"/>
  <c r="AI84" i="2" s="1"/>
  <c r="AH83" i="2" a="1"/>
  <c r="AH83" i="2" s="1"/>
  <c r="X83" i="2" a="1"/>
  <c r="X83" i="2" s="1"/>
  <c r="Y80" i="2" a="1"/>
  <c r="Y80" i="2" s="1"/>
  <c r="AB82" i="2" a="1"/>
  <c r="AB82" i="2" s="1"/>
  <c r="AA82" i="2" a="1"/>
  <c r="AA82" i="2" s="1"/>
  <c r="Z82" i="2" a="1"/>
  <c r="Z82" i="2" s="1"/>
  <c r="Y82" i="2" a="1"/>
  <c r="Y82" i="2" s="1"/>
  <c r="X82" i="2" a="1"/>
  <c r="X82" i="2" s="1"/>
  <c r="W82" i="2" a="1"/>
  <c r="W82" i="2" s="1"/>
  <c r="AC80" i="2" a="1"/>
  <c r="AC80" i="2" s="1"/>
  <c r="AC81" i="2" a="1"/>
  <c r="AC81" i="2" s="1"/>
  <c r="AF79" i="2" a="1"/>
  <c r="AF79" i="2" s="1"/>
  <c r="W81" i="2" a="1"/>
  <c r="W81" i="2" s="1"/>
  <c r="AH79" i="2" a="1"/>
  <c r="AH79" i="2" s="1"/>
  <c r="AD79" i="2" a="1"/>
  <c r="AD79" i="2" s="1"/>
  <c r="W79" i="2" a="1"/>
  <c r="W79" i="2" s="1"/>
  <c r="Y79" i="2" a="1"/>
  <c r="Y79" i="2" s="1"/>
  <c r="X80" i="2" a="1"/>
  <c r="X80" i="2" s="1"/>
  <c r="W80" i="2" a="1"/>
  <c r="W80" i="2" s="1"/>
  <c r="AG80" i="2" a="1"/>
  <c r="AG80" i="2" s="1"/>
  <c r="AJ81" i="2" a="1"/>
  <c r="AJ81" i="2" s="1"/>
  <c r="AH81" i="2" a="1"/>
  <c r="AH81" i="2" s="1"/>
  <c r="AE81" i="2" a="1"/>
  <c r="AE81" i="2" s="1"/>
  <c r="AC79" i="2" a="1"/>
  <c r="AC79" i="2" s="1"/>
  <c r="AI79" i="2" a="1"/>
  <c r="AI79" i="2" s="1"/>
  <c r="AA81" i="2" a="1"/>
  <c r="AA81" i="2" s="1"/>
  <c r="AI81" i="2" a="1"/>
  <c r="AI81" i="2" s="1"/>
  <c r="AH80" i="2" a="1"/>
  <c r="AH80" i="2" s="1"/>
  <c r="AG81" i="2" a="1"/>
  <c r="AG81" i="2" s="1"/>
  <c r="AD81" i="2" a="1"/>
  <c r="AD81" i="2" s="1"/>
  <c r="X79" i="2" a="1"/>
  <c r="X79" i="2" s="1"/>
  <c r="AF80" i="2" a="1"/>
  <c r="AF80" i="2" s="1"/>
  <c r="AF81" i="2" a="1"/>
  <c r="AF81" i="2" s="1"/>
  <c r="AB81" i="2" a="1"/>
  <c r="AB81" i="2" s="1"/>
  <c r="Z80" i="2" a="1"/>
  <c r="Z80" i="2" s="1"/>
  <c r="Z81" i="2" a="1"/>
  <c r="Z81" i="2" s="1"/>
  <c r="AG79" i="2" a="1"/>
  <c r="AG79" i="2" s="1"/>
  <c r="AB79" i="2" a="1"/>
  <c r="AB79" i="2" s="1"/>
  <c r="AE79" i="2" a="1"/>
  <c r="AE79" i="2" s="1"/>
  <c r="Z79" i="2" a="1"/>
  <c r="Z79" i="2" s="1"/>
  <c r="Y81" i="2" a="1"/>
  <c r="Y81" i="2" s="1"/>
  <c r="AB80" i="2" a="1"/>
  <c r="AB80" i="2" s="1"/>
  <c r="AA79" i="2" a="1"/>
  <c r="AA79" i="2" s="1"/>
  <c r="AA80" i="2" a="1"/>
  <c r="AA80" i="2" s="1"/>
  <c r="X81" i="2" a="1"/>
  <c r="X81" i="2" s="1"/>
  <c r="AD80" i="2" a="1"/>
  <c r="AD80" i="2" s="1"/>
  <c r="AJ80" i="2" a="1"/>
  <c r="AJ80" i="2" s="1"/>
  <c r="AJ79" i="2" a="1"/>
  <c r="AJ79" i="2" s="1"/>
  <c r="AE80" i="2" a="1"/>
  <c r="AE80" i="2" s="1"/>
  <c r="X91" i="2" a="1"/>
  <c r="X91" i="2" s="1"/>
  <c r="AC82" i="2" a="1"/>
  <c r="AC82" i="2" s="1"/>
  <c r="AI80" i="2" a="1"/>
  <c r="AI80" i="2" s="1"/>
  <c r="AI1320" i="2" a="1"/>
  <c r="AI1320" i="2" s="1"/>
  <c r="W1322" i="2" a="1"/>
  <c r="W1322" i="2" s="1"/>
  <c r="AD1321" i="2" a="1"/>
  <c r="AD1321" i="2" s="1"/>
  <c r="AI1321" i="2" a="1"/>
  <c r="AI1321" i="2" s="1"/>
  <c r="AF1319" i="2" a="1"/>
  <c r="AF1319" i="2" s="1"/>
  <c r="AH1321" i="2" a="1"/>
  <c r="AH1321" i="2" s="1"/>
  <c r="AG1321" i="2" a="1"/>
  <c r="AG1321" i="2" s="1"/>
  <c r="Y1321" i="2" a="1"/>
  <c r="Y1321" i="2" s="1"/>
  <c r="AC1320" i="2" a="1"/>
  <c r="AC1320" i="2" s="1"/>
  <c r="AJ1319" i="2" a="1"/>
  <c r="AJ1319" i="2" s="1"/>
  <c r="AB1319" i="2" a="1"/>
  <c r="AB1319" i="2" s="1"/>
  <c r="AG1318" i="2" a="1"/>
  <c r="AG1318" i="2" s="1"/>
  <c r="AA1320" i="2" a="1"/>
  <c r="AA1320" i="2" s="1"/>
  <c r="Z1320" i="2" a="1"/>
  <c r="Z1320" i="2" s="1"/>
  <c r="Y1320" i="2" a="1"/>
  <c r="Y1320" i="2" s="1"/>
  <c r="W1319" i="2" a="1"/>
  <c r="W1319" i="2" s="1"/>
  <c r="AH1319" i="2" a="1"/>
  <c r="AH1319" i="2" s="1"/>
  <c r="AG1319" i="2" a="1"/>
  <c r="AG1319" i="2" s="1"/>
  <c r="Y1319" i="2" a="1"/>
  <c r="Y1319" i="2" s="1"/>
  <c r="AE1319" i="2" a="1"/>
  <c r="AE1319" i="2" s="1"/>
  <c r="Z1319" i="2" a="1"/>
  <c r="Z1319" i="2" s="1"/>
  <c r="X1319" i="2" a="1"/>
  <c r="X1319" i="2" s="1"/>
  <c r="Y1322" i="2" a="1"/>
  <c r="Y1322" i="2" s="1"/>
  <c r="AG1320" i="2" a="1"/>
  <c r="AG1320" i="2" s="1"/>
  <c r="AD1320" i="2" a="1"/>
  <c r="AD1320" i="2" s="1"/>
  <c r="AF1321" i="2" a="1"/>
  <c r="AF1321" i="2" s="1"/>
  <c r="AI1319" i="2" a="1"/>
  <c r="AI1319" i="2" s="1"/>
  <c r="Z1321" i="2" a="1"/>
  <c r="Z1321" i="2" s="1"/>
  <c r="AA1321" i="2" a="1"/>
  <c r="AA1321" i="2" s="1"/>
  <c r="AI1318" i="2" a="1"/>
  <c r="AI1318" i="2" s="1"/>
  <c r="AH1318" i="2" a="1"/>
  <c r="AH1318" i="2" s="1"/>
  <c r="AC1321" i="2" a="1"/>
  <c r="AC1321" i="2" s="1"/>
  <c r="AE1320" i="2" a="1"/>
  <c r="AE1320" i="2" s="1"/>
  <c r="X1320" i="2" a="1"/>
  <c r="X1320" i="2" s="1"/>
  <c r="W1320" i="2" a="1"/>
  <c r="W1320" i="2" s="1"/>
  <c r="AC1319" i="2" a="1"/>
  <c r="AC1319" i="2" s="1"/>
  <c r="AE1321" i="2" a="1"/>
  <c r="AE1321" i="2" s="1"/>
  <c r="X1321" i="2" a="1"/>
  <c r="X1321" i="2" s="1"/>
  <c r="AA1319" i="2" a="1"/>
  <c r="AA1319" i="2" s="1"/>
  <c r="Z1322" i="2" a="1"/>
  <c r="Z1322" i="2" s="1"/>
  <c r="AJ1320" i="2" a="1"/>
  <c r="AJ1320" i="2" s="1"/>
  <c r="AB1321" i="2" a="1"/>
  <c r="AB1321" i="2" s="1"/>
  <c r="AJ1321" i="2" a="1"/>
  <c r="AJ1321" i="2" s="1"/>
  <c r="W1321" i="2" a="1"/>
  <c r="W1321" i="2" s="1"/>
  <c r="AD1319" i="2" a="1"/>
  <c r="AD1319" i="2" s="1"/>
  <c r="AF1320" i="2" a="1"/>
  <c r="AF1320" i="2" s="1"/>
  <c r="AH1320" i="2" a="1"/>
  <c r="AH1320" i="2" s="1"/>
  <c r="AB1335" i="2" a="1"/>
  <c r="AB1335" i="2" s="1"/>
  <c r="AJ1318" i="2" a="1"/>
  <c r="AJ1318" i="2" s="1"/>
  <c r="AA1322" i="2" a="1"/>
  <c r="AA1322" i="2" s="1"/>
  <c r="X1322" i="2" a="1"/>
  <c r="X1322" i="2" s="1"/>
  <c r="AB1320" i="2" a="1"/>
  <c r="AB1320" i="2" s="1"/>
  <c r="BM25" i="12" l="1"/>
  <c r="BL25" i="12"/>
  <c r="BK25" i="12"/>
  <c r="BI25" i="12"/>
  <c r="BH25" i="12"/>
  <c r="BG25" i="12"/>
  <c r="BM24" i="12"/>
  <c r="BL24" i="12"/>
  <c r="BK24" i="12"/>
  <c r="BI24" i="12"/>
  <c r="BH24" i="12"/>
  <c r="BG24" i="12"/>
  <c r="BM23" i="12"/>
  <c r="BL23" i="12"/>
  <c r="BK23" i="12"/>
  <c r="BI23" i="12"/>
  <c r="BH23" i="12"/>
  <c r="BG23" i="12"/>
  <c r="BM22" i="12"/>
  <c r="BL22" i="12"/>
  <c r="BK22" i="12"/>
  <c r="BI22" i="12"/>
  <c r="BH22" i="12"/>
  <c r="BG22" i="12"/>
  <c r="BO19" i="12"/>
  <c r="BO18" i="12"/>
  <c r="BO17" i="12"/>
  <c r="BO16" i="12"/>
  <c r="BO15" i="12"/>
  <c r="BO14" i="12"/>
  <c r="BO13" i="12"/>
  <c r="BO12" i="12"/>
  <c r="BO11" i="12"/>
  <c r="BO10" i="12"/>
  <c r="BO9" i="12"/>
  <c r="BO8" i="12"/>
  <c r="BO7" i="12"/>
  <c r="BO6" i="12"/>
  <c r="BO5" i="12"/>
  <c r="BO4" i="12"/>
  <c r="BO3" i="12"/>
  <c r="AY55" i="12"/>
  <c r="AX55" i="12"/>
  <c r="AU55" i="12"/>
  <c r="AT55" i="12"/>
  <c r="AN55" i="12"/>
  <c r="AM55" i="12"/>
  <c r="AJ55" i="12"/>
  <c r="AI55" i="12"/>
  <c r="AY54" i="12"/>
  <c r="AX54" i="12"/>
  <c r="AU54" i="12"/>
  <c r="AT54" i="12"/>
  <c r="AN54" i="12"/>
  <c r="AM54" i="12"/>
  <c r="AJ54" i="12"/>
  <c r="AI54" i="12"/>
  <c r="AY53" i="12"/>
  <c r="AX53" i="12"/>
  <c r="AU53" i="12"/>
  <c r="AT53" i="12"/>
  <c r="AN53" i="12"/>
  <c r="AM53" i="12"/>
  <c r="AJ53" i="12"/>
  <c r="AI53" i="12"/>
  <c r="AY52" i="12"/>
  <c r="AX52" i="12"/>
  <c r="AU52" i="12"/>
  <c r="AT52" i="12"/>
  <c r="AN52" i="12"/>
  <c r="AM52" i="12"/>
  <c r="AJ52" i="12"/>
  <c r="AI52" i="12"/>
  <c r="AY51" i="12"/>
  <c r="AX51" i="12"/>
  <c r="AU51" i="12"/>
  <c r="AT51" i="12"/>
  <c r="AN51" i="12"/>
  <c r="AM51" i="12"/>
  <c r="AJ51" i="12"/>
  <c r="AI51" i="12"/>
  <c r="AY50" i="12"/>
  <c r="AX50" i="12"/>
  <c r="AU50" i="12"/>
  <c r="AT50" i="12"/>
  <c r="AN50" i="12"/>
  <c r="AM50" i="12"/>
  <c r="AJ50" i="12"/>
  <c r="AI50" i="12"/>
  <c r="AY49" i="12"/>
  <c r="AX49" i="12"/>
  <c r="AU49" i="12"/>
  <c r="AT49" i="12"/>
  <c r="AN49" i="12"/>
  <c r="AM49" i="12"/>
  <c r="AJ49" i="12"/>
  <c r="AI49" i="12"/>
  <c r="AC54" i="12"/>
  <c r="AB54" i="12"/>
  <c r="Y54" i="12"/>
  <c r="X54" i="12"/>
  <c r="S54" i="12"/>
  <c r="R54" i="12"/>
  <c r="O54" i="12"/>
  <c r="N54" i="12"/>
  <c r="I54" i="12"/>
  <c r="H54" i="12"/>
  <c r="E54" i="12"/>
  <c r="D54" i="12"/>
  <c r="AC53" i="12"/>
  <c r="AB53" i="12"/>
  <c r="Y53" i="12"/>
  <c r="X53" i="12"/>
  <c r="S53" i="12"/>
  <c r="R53" i="12"/>
  <c r="O53" i="12"/>
  <c r="N53" i="12"/>
  <c r="I53" i="12"/>
  <c r="H53" i="12"/>
  <c r="E53" i="12"/>
  <c r="D53" i="12"/>
  <c r="AC52" i="12"/>
  <c r="AB52" i="12"/>
  <c r="Y52" i="12"/>
  <c r="X52" i="12"/>
  <c r="S52" i="12"/>
  <c r="R52" i="12"/>
  <c r="O52" i="12"/>
  <c r="N52" i="12"/>
  <c r="I52" i="12"/>
  <c r="H52" i="12"/>
  <c r="E52" i="12"/>
  <c r="D52" i="12"/>
  <c r="AC51" i="12"/>
  <c r="AB51" i="12"/>
  <c r="Y51" i="12"/>
  <c r="X51" i="12"/>
  <c r="S51" i="12"/>
  <c r="R51" i="12"/>
  <c r="O51" i="12"/>
  <c r="N51" i="12"/>
  <c r="I51" i="12"/>
  <c r="H51" i="12"/>
  <c r="E51" i="12"/>
  <c r="D51" i="12"/>
  <c r="AC50" i="12"/>
  <c r="AB50" i="12"/>
  <c r="Y50" i="12"/>
  <c r="X50" i="12"/>
  <c r="S50" i="12"/>
  <c r="R50" i="12"/>
  <c r="O50" i="12"/>
  <c r="N50" i="12"/>
  <c r="I50" i="12"/>
  <c r="H50" i="12"/>
  <c r="E50" i="12"/>
  <c r="D50" i="12"/>
  <c r="AC49" i="12"/>
  <c r="AB49" i="12"/>
  <c r="Y49" i="12"/>
  <c r="X49" i="12"/>
  <c r="S49" i="12"/>
  <c r="R49" i="12"/>
  <c r="O49" i="12"/>
  <c r="N49" i="12"/>
  <c r="I49" i="12"/>
  <c r="H49" i="12"/>
  <c r="E49" i="12"/>
  <c r="D49" i="12"/>
  <c r="AC48" i="12"/>
  <c r="AB48" i="12"/>
  <c r="Y48" i="12"/>
  <c r="X48" i="12"/>
  <c r="S48" i="12"/>
  <c r="R48" i="12"/>
  <c r="O48" i="12"/>
  <c r="N48" i="12"/>
  <c r="I48" i="12"/>
  <c r="H48" i="12"/>
  <c r="E48" i="12"/>
  <c r="D48" i="12"/>
  <c r="I141" i="4"/>
  <c r="H141" i="4"/>
  <c r="G141" i="4"/>
  <c r="E141" i="4"/>
  <c r="I140" i="4"/>
  <c r="H140" i="4"/>
  <c r="G140" i="4"/>
  <c r="D140" i="4"/>
  <c r="F124" i="4"/>
  <c r="E124" i="4"/>
  <c r="D124" i="4"/>
  <c r="F123" i="4"/>
  <c r="E123" i="4"/>
  <c r="D123" i="4"/>
  <c r="F121" i="4"/>
  <c r="D121" i="4"/>
  <c r="E122" i="4"/>
  <c r="D122" i="4"/>
  <c r="F120" i="4"/>
  <c r="E120" i="4"/>
  <c r="D120" i="4"/>
  <c r="F119" i="4"/>
  <c r="E119" i="4"/>
  <c r="D119" i="4"/>
  <c r="P384" i="2"/>
  <c r="P383" i="2"/>
  <c r="M382" i="2"/>
  <c r="I112" i="4"/>
  <c r="H112" i="4"/>
  <c r="G112" i="4"/>
  <c r="F112" i="4"/>
  <c r="E112" i="4"/>
  <c r="D112" i="4"/>
  <c r="O141" i="4" l="1"/>
  <c r="N140" i="4"/>
  <c r="O121" i="4"/>
  <c r="O140" i="4"/>
  <c r="N141" i="4"/>
  <c r="M140" i="4" s="1"/>
  <c r="N119" i="4"/>
  <c r="O123" i="4"/>
  <c r="O124" i="4"/>
  <c r="N122" i="4"/>
  <c r="O122" i="4"/>
  <c r="O112" i="4"/>
  <c r="O120" i="4"/>
  <c r="N123" i="4"/>
  <c r="O119" i="4"/>
  <c r="N120" i="4"/>
  <c r="N121" i="4"/>
  <c r="N124" i="4"/>
  <c r="N112" i="4"/>
  <c r="Q284" i="2"/>
  <c r="M333" i="2" l="1"/>
  <c r="M326" i="2"/>
  <c r="M319" i="2"/>
  <c r="M312" i="2"/>
  <c r="M305" i="2"/>
  <c r="M298" i="2"/>
  <c r="F93" i="4"/>
  <c r="E93" i="4"/>
  <c r="D93" i="4"/>
  <c r="AS331" i="2"/>
  <c r="I139" i="4"/>
  <c r="G139" i="4"/>
  <c r="F139" i="4"/>
  <c r="E139" i="4"/>
  <c r="D139" i="4"/>
  <c r="M378" i="2"/>
  <c r="M368" i="2"/>
  <c r="M367" i="2"/>
  <c r="M366" i="2"/>
  <c r="O139" i="4" l="1"/>
  <c r="N139" i="4"/>
  <c r="M364" i="2"/>
  <c r="M363" i="2"/>
  <c r="M361" i="2"/>
  <c r="M360" i="2"/>
  <c r="I133" i="4"/>
  <c r="H133" i="4"/>
  <c r="G133" i="4"/>
  <c r="F133" i="4"/>
  <c r="E133" i="4"/>
  <c r="D133" i="4"/>
  <c r="I132" i="4"/>
  <c r="H132" i="4"/>
  <c r="G132" i="4"/>
  <c r="F132" i="4"/>
  <c r="E132" i="4"/>
  <c r="D132" i="4"/>
  <c r="H131" i="4"/>
  <c r="G131" i="4"/>
  <c r="F131" i="4"/>
  <c r="E131" i="4"/>
  <c r="D131" i="4"/>
  <c r="I130" i="4"/>
  <c r="H130" i="4"/>
  <c r="G130" i="4"/>
  <c r="F130" i="4"/>
  <c r="E130" i="4"/>
  <c r="D130" i="4"/>
  <c r="I129" i="4"/>
  <c r="H129" i="4"/>
  <c r="G129" i="4"/>
  <c r="F129" i="4"/>
  <c r="E129" i="4"/>
  <c r="D129" i="4"/>
  <c r="I128" i="4"/>
  <c r="H128" i="4"/>
  <c r="G128" i="4"/>
  <c r="F128" i="4"/>
  <c r="E128" i="4"/>
  <c r="D128" i="4"/>
  <c r="N131" i="4" l="1"/>
  <c r="N133" i="4"/>
  <c r="N129" i="4"/>
  <c r="O129" i="4"/>
  <c r="O131" i="4"/>
  <c r="N132" i="4"/>
  <c r="N130" i="4"/>
  <c r="O130" i="4"/>
  <c r="O133" i="4"/>
  <c r="O132" i="4"/>
  <c r="N128" i="4"/>
  <c r="O128" i="4"/>
  <c r="I127" i="4" l="1"/>
  <c r="H127" i="4"/>
  <c r="G127" i="4"/>
  <c r="F127" i="4"/>
  <c r="E127" i="4"/>
  <c r="D127" i="4"/>
  <c r="I126" i="4"/>
  <c r="G126" i="4"/>
  <c r="E126" i="4"/>
  <c r="D126" i="4"/>
  <c r="I125" i="4"/>
  <c r="H125" i="4"/>
  <c r="G125" i="4"/>
  <c r="F125" i="4"/>
  <c r="D125" i="4"/>
  <c r="I116" i="4"/>
  <c r="H116" i="4"/>
  <c r="G116" i="4"/>
  <c r="F116" i="4"/>
  <c r="E116" i="4"/>
  <c r="D116" i="4"/>
  <c r="I115" i="4"/>
  <c r="H115" i="4"/>
  <c r="F115" i="4"/>
  <c r="E115" i="4"/>
  <c r="D115" i="4"/>
  <c r="P45" i="2"/>
  <c r="P132" i="2"/>
  <c r="P68" i="2"/>
  <c r="P67" i="2"/>
  <c r="P16" i="2"/>
  <c r="P11" i="2"/>
  <c r="P9" i="2"/>
  <c r="U21" i="5"/>
  <c r="T21" i="5"/>
  <c r="R21" i="5" l="1"/>
  <c r="N126" i="4"/>
  <c r="N127" i="4"/>
  <c r="O126" i="4"/>
  <c r="O127" i="4"/>
  <c r="O116" i="4"/>
  <c r="N115" i="4"/>
  <c r="N125" i="4"/>
  <c r="N116" i="4"/>
  <c r="O125" i="4"/>
  <c r="O115" i="4"/>
  <c r="K255" i="11"/>
  <c r="N254" i="11"/>
  <c r="K254" i="11"/>
  <c r="K253" i="11"/>
  <c r="K252" i="11"/>
  <c r="N251" i="11"/>
  <c r="K250" i="11"/>
  <c r="K249" i="11"/>
  <c r="K248" i="11"/>
  <c r="K247" i="11"/>
  <c r="K246" i="11"/>
  <c r="K245" i="11"/>
  <c r="K244" i="11"/>
  <c r="K231" i="11"/>
  <c r="K230" i="11"/>
  <c r="K229" i="11"/>
  <c r="K228" i="11"/>
  <c r="K226" i="11"/>
  <c r="K223" i="11"/>
  <c r="K222" i="11"/>
  <c r="K221" i="11"/>
  <c r="K220" i="11"/>
  <c r="K217" i="11"/>
  <c r="N216" i="11"/>
  <c r="K216" i="11"/>
  <c r="N215" i="11"/>
  <c r="K215" i="11"/>
  <c r="N214" i="11"/>
  <c r="K214" i="11"/>
  <c r="N213" i="11"/>
  <c r="K212" i="11"/>
  <c r="K211" i="11"/>
  <c r="K196" i="11"/>
  <c r="K192" i="11"/>
  <c r="K191" i="11"/>
  <c r="K190" i="11"/>
  <c r="K189" i="11"/>
  <c r="K188" i="11"/>
  <c r="K187" i="11"/>
  <c r="K186" i="11"/>
  <c r="K185" i="11"/>
  <c r="K184" i="11"/>
  <c r="N181" i="11"/>
  <c r="K181" i="11"/>
  <c r="N180" i="11"/>
  <c r="K180" i="11"/>
  <c r="N179" i="11"/>
  <c r="K179" i="11"/>
  <c r="N178" i="11"/>
  <c r="K178" i="11"/>
  <c r="N177" i="11"/>
  <c r="K177" i="11"/>
  <c r="AF176" i="11"/>
  <c r="K176" i="11"/>
  <c r="N175" i="11"/>
  <c r="K175" i="11"/>
  <c r="N174" i="11"/>
  <c r="K174" i="11"/>
  <c r="K173" i="11"/>
  <c r="N171" i="11"/>
  <c r="N170" i="11"/>
  <c r="K169" i="11"/>
  <c r="K167" i="11"/>
  <c r="K166" i="11"/>
  <c r="K164" i="11"/>
  <c r="K162" i="11"/>
  <c r="K157" i="11"/>
  <c r="K154" i="11"/>
  <c r="K153" i="11"/>
  <c r="N150" i="11"/>
  <c r="N149" i="11"/>
  <c r="K148" i="11"/>
  <c r="K142" i="11"/>
  <c r="N96" i="11"/>
  <c r="K95" i="11"/>
  <c r="K93" i="11"/>
  <c r="K92" i="11"/>
  <c r="K91" i="11"/>
  <c r="K90" i="11"/>
  <c r="K89" i="11"/>
  <c r="K88" i="11"/>
  <c r="N84" i="11"/>
  <c r="N83" i="11"/>
  <c r="N81" i="11"/>
  <c r="K80" i="11"/>
  <c r="N77" i="11"/>
  <c r="N76" i="11"/>
  <c r="N75" i="11"/>
  <c r="N74" i="11"/>
  <c r="K73" i="11"/>
  <c r="N70" i="11"/>
  <c r="K70" i="11"/>
  <c r="K68" i="11"/>
  <c r="K67" i="11"/>
  <c r="K64" i="11"/>
  <c r="N63" i="11"/>
  <c r="K63" i="11"/>
  <c r="K62" i="11"/>
  <c r="N59" i="11"/>
  <c r="N56" i="11"/>
  <c r="N55" i="11"/>
  <c r="N54" i="11"/>
  <c r="N53" i="11"/>
  <c r="N45" i="11"/>
  <c r="N44" i="11"/>
  <c r="N43" i="11"/>
  <c r="N42" i="11"/>
  <c r="N41" i="11"/>
  <c r="K38" i="11"/>
  <c r="N31" i="11"/>
  <c r="K31" i="11"/>
  <c r="R30" i="11"/>
  <c r="Q30" i="11"/>
  <c r="N27" i="11"/>
  <c r="K27" i="11"/>
  <c r="N25" i="11"/>
  <c r="N24" i="11"/>
  <c r="N23" i="11"/>
  <c r="N22" i="11"/>
  <c r="K22" i="11"/>
  <c r="N20" i="11"/>
  <c r="N19" i="11"/>
  <c r="N18" i="11"/>
  <c r="K18" i="11"/>
  <c r="N7" i="11"/>
  <c r="N6" i="11"/>
  <c r="N5" i="11"/>
  <c r="N4" i="11"/>
  <c r="N3" i="11"/>
  <c r="N2" i="11"/>
  <c r="P225" i="2"/>
  <c r="M278" i="2"/>
  <c r="I118" i="4"/>
  <c r="H118" i="4"/>
  <c r="G118" i="4"/>
  <c r="F118" i="4"/>
  <c r="E118" i="4"/>
  <c r="D118" i="4"/>
  <c r="I117" i="4"/>
  <c r="H117" i="4"/>
  <c r="G117" i="4"/>
  <c r="F117" i="4"/>
  <c r="E117" i="4"/>
  <c r="D117" i="4"/>
  <c r="I114" i="4"/>
  <c r="H114" i="4"/>
  <c r="G114" i="4"/>
  <c r="E114" i="4"/>
  <c r="D114" i="4"/>
  <c r="I113" i="4"/>
  <c r="H113" i="4"/>
  <c r="G113" i="4"/>
  <c r="F113" i="4"/>
  <c r="E113" i="4"/>
  <c r="I109" i="4"/>
  <c r="E109" i="4"/>
  <c r="D109" i="4"/>
  <c r="D108" i="4"/>
  <c r="E108" i="4"/>
  <c r="P293" i="2"/>
  <c r="P290" i="2"/>
  <c r="N73" i="11" l="1"/>
  <c r="M126" i="4"/>
  <c r="O173" i="11"/>
  <c r="M115" i="4"/>
  <c r="O118" i="4"/>
  <c r="N113" i="4"/>
  <c r="O117" i="4"/>
  <c r="N118" i="4"/>
  <c r="N117" i="4"/>
  <c r="N114" i="4"/>
  <c r="O113" i="4"/>
  <c r="O114" i="4"/>
  <c r="M294" i="2"/>
  <c r="M293" i="2"/>
  <c r="M292" i="2"/>
  <c r="M291" i="2"/>
  <c r="M274" i="2"/>
  <c r="M273" i="2"/>
  <c r="I111" i="4"/>
  <c r="H111" i="4"/>
  <c r="G111" i="4"/>
  <c r="F111" i="4"/>
  <c r="E111" i="4"/>
  <c r="D111" i="4"/>
  <c r="I110" i="4"/>
  <c r="H110" i="4"/>
  <c r="G110" i="4"/>
  <c r="F110" i="4"/>
  <c r="E110" i="4"/>
  <c r="D110" i="4"/>
  <c r="I103" i="4"/>
  <c r="H103" i="4"/>
  <c r="G103" i="4"/>
  <c r="F103" i="4"/>
  <c r="E103" i="4"/>
  <c r="D103" i="4"/>
  <c r="I102" i="4"/>
  <c r="H102" i="4"/>
  <c r="G102" i="4"/>
  <c r="F102" i="4"/>
  <c r="E102" i="4"/>
  <c r="D102" i="4"/>
  <c r="H109" i="4"/>
  <c r="G109" i="4"/>
  <c r="F109" i="4"/>
  <c r="H108" i="4"/>
  <c r="O108" i="4" s="1"/>
  <c r="T30" i="2"/>
  <c r="S30" i="2"/>
  <c r="AQ3" i="2" a="1"/>
  <c r="M247" i="2"/>
  <c r="M246" i="2"/>
  <c r="M245" i="2"/>
  <c r="M287" i="2"/>
  <c r="M284" i="2"/>
  <c r="M281" i="2"/>
  <c r="M275" i="2"/>
  <c r="W38" i="5"/>
  <c r="U38" i="5"/>
  <c r="T38" i="5"/>
  <c r="E38" i="5"/>
  <c r="W26" i="5"/>
  <c r="U26" i="5"/>
  <c r="T26" i="5"/>
  <c r="W11" i="5"/>
  <c r="U11" i="5"/>
  <c r="T11" i="5"/>
  <c r="I107" i="4"/>
  <c r="G107" i="4"/>
  <c r="F107" i="4"/>
  <c r="E107" i="4"/>
  <c r="D107" i="4"/>
  <c r="I106" i="4"/>
  <c r="H106" i="4"/>
  <c r="G106" i="4"/>
  <c r="F106" i="4"/>
  <c r="E106" i="4"/>
  <c r="I105" i="4"/>
  <c r="H105" i="4"/>
  <c r="G105" i="4"/>
  <c r="F105" i="4"/>
  <c r="E105" i="4"/>
  <c r="D105" i="4"/>
  <c r="I104" i="4"/>
  <c r="H104" i="4"/>
  <c r="G104" i="4"/>
  <c r="F104" i="4"/>
  <c r="E104" i="4"/>
  <c r="D104" i="4"/>
  <c r="R26" i="5" l="1"/>
  <c r="R11" i="5"/>
  <c r="M117" i="4"/>
  <c r="N108" i="4"/>
  <c r="N109" i="4"/>
  <c r="O110" i="4"/>
  <c r="N102" i="4"/>
  <c r="O111" i="4"/>
  <c r="N110" i="4"/>
  <c r="N111" i="4"/>
  <c r="O103" i="4"/>
  <c r="O102" i="4"/>
  <c r="O107" i="4"/>
  <c r="O109" i="4"/>
  <c r="N103" i="4"/>
  <c r="O106" i="4"/>
  <c r="N106" i="4"/>
  <c r="N107" i="4"/>
  <c r="AV50" i="2"/>
  <c r="AS50" i="2"/>
  <c r="AR41" i="2"/>
  <c r="AU96" i="2"/>
  <c r="AS178" i="2"/>
  <c r="AS154" i="2"/>
  <c r="AS126" i="2"/>
  <c r="AS102" i="2"/>
  <c r="AS78" i="2"/>
  <c r="AS53" i="2"/>
  <c r="AS27" i="2"/>
  <c r="AR169" i="2"/>
  <c r="AR145" i="2"/>
  <c r="AR117" i="2"/>
  <c r="AR93" i="2"/>
  <c r="AR68" i="2"/>
  <c r="AR44" i="2"/>
  <c r="AR18" i="2"/>
  <c r="AT196" i="2"/>
  <c r="AT160" i="2"/>
  <c r="AT132" i="2"/>
  <c r="AT108" i="2"/>
  <c r="AT84" i="2"/>
  <c r="AT59" i="2"/>
  <c r="AT35" i="2"/>
  <c r="AT9" i="2"/>
  <c r="AU175" i="2"/>
  <c r="AU151" i="2"/>
  <c r="AU123" i="2"/>
  <c r="AU99" i="2"/>
  <c r="AU75" i="2"/>
  <c r="AU50" i="2"/>
  <c r="AU24" i="2"/>
  <c r="AV198" i="2"/>
  <c r="AV150" i="2"/>
  <c r="AV100" i="2"/>
  <c r="AV51" i="2"/>
  <c r="AS176" i="2"/>
  <c r="AS152" i="2"/>
  <c r="AS124" i="2"/>
  <c r="AS100" i="2"/>
  <c r="AS76" i="2"/>
  <c r="AS51" i="2"/>
  <c r="AS25" i="2"/>
  <c r="AR203" i="2"/>
  <c r="AR167" i="2"/>
  <c r="AR143" i="2"/>
  <c r="AR115" i="2"/>
  <c r="AR91" i="2"/>
  <c r="AR66" i="2"/>
  <c r="AR42" i="2"/>
  <c r="AR16" i="2"/>
  <c r="AT194" i="2"/>
  <c r="AT158" i="2"/>
  <c r="AT130" i="2"/>
  <c r="AT106" i="2"/>
  <c r="AT82" i="2"/>
  <c r="AT57" i="2"/>
  <c r="AT33" i="2"/>
  <c r="AT7" i="2"/>
  <c r="AU173" i="2"/>
  <c r="AU149" i="2"/>
  <c r="AU121" i="2"/>
  <c r="AU97" i="2"/>
  <c r="AU73" i="2"/>
  <c r="AU48" i="2"/>
  <c r="AU22" i="2"/>
  <c r="AV178" i="2"/>
  <c r="AV142" i="2"/>
  <c r="AV99" i="2"/>
  <c r="AQ3" i="2"/>
  <c r="AV4" i="2"/>
  <c r="AV16" i="2"/>
  <c r="AV42" i="2"/>
  <c r="AV54" i="2"/>
  <c r="AV66" i="2"/>
  <c r="AV79" i="2"/>
  <c r="AV91" i="2"/>
  <c r="AV103" i="2"/>
  <c r="AV115" i="2"/>
  <c r="AV127" i="2"/>
  <c r="AV143" i="2"/>
  <c r="AV155" i="2"/>
  <c r="AV167" i="2"/>
  <c r="AV179" i="2"/>
  <c r="AV203" i="2"/>
  <c r="AU13" i="2"/>
  <c r="AU25" i="2"/>
  <c r="AU39" i="2"/>
  <c r="AU51" i="2"/>
  <c r="AU63" i="2"/>
  <c r="AU76" i="2"/>
  <c r="AU88" i="2"/>
  <c r="AU100" i="2"/>
  <c r="AU112" i="2"/>
  <c r="AU124" i="2"/>
  <c r="AU140" i="2"/>
  <c r="AU152" i="2"/>
  <c r="AU164" i="2"/>
  <c r="AU176" i="2"/>
  <c r="AU200" i="2"/>
  <c r="AT10" i="2"/>
  <c r="AT22" i="2"/>
  <c r="AT36" i="2"/>
  <c r="AT48" i="2"/>
  <c r="AT60" i="2"/>
  <c r="AT73" i="2"/>
  <c r="AT85" i="2"/>
  <c r="AT97" i="2"/>
  <c r="AT109" i="2"/>
  <c r="AT121" i="2"/>
  <c r="AT133" i="2"/>
  <c r="AT149" i="2"/>
  <c r="AT161" i="2"/>
  <c r="AT173" i="2"/>
  <c r="AT197" i="2"/>
  <c r="AR7" i="2"/>
  <c r="AR19" i="2"/>
  <c r="AR33" i="2"/>
  <c r="AR45" i="2"/>
  <c r="AR57" i="2"/>
  <c r="AR69" i="2"/>
  <c r="AR82" i="2"/>
  <c r="AR94" i="2"/>
  <c r="AR106" i="2"/>
  <c r="AR118" i="2"/>
  <c r="AR130" i="2"/>
  <c r="AR146" i="2"/>
  <c r="AR158" i="2"/>
  <c r="AR170" i="2"/>
  <c r="AR194" i="2"/>
  <c r="AS4" i="2"/>
  <c r="AS16" i="2"/>
  <c r="AS42" i="2"/>
  <c r="AS54" i="2"/>
  <c r="AS66" i="2"/>
  <c r="AS79" i="2"/>
  <c r="AS91" i="2"/>
  <c r="AS103" i="2"/>
  <c r="AS115" i="2"/>
  <c r="AS127" i="2"/>
  <c r="AS143" i="2"/>
  <c r="AS155" i="2"/>
  <c r="AS167" i="2"/>
  <c r="AS179" i="2"/>
  <c r="AS203" i="2"/>
  <c r="AS156" i="2"/>
  <c r="AS192" i="2"/>
  <c r="AV19" i="2"/>
  <c r="AV57" i="2"/>
  <c r="AV82" i="2"/>
  <c r="AV106" i="2"/>
  <c r="AV146" i="2"/>
  <c r="AV194" i="2"/>
  <c r="AV5" i="2"/>
  <c r="AV17" i="2"/>
  <c r="AV31" i="2"/>
  <c r="AV43" i="2"/>
  <c r="AV55" i="2"/>
  <c r="AV67" i="2"/>
  <c r="AV80" i="2"/>
  <c r="AV92" i="2"/>
  <c r="AV104" i="2"/>
  <c r="AV116" i="2"/>
  <c r="AV128" i="2"/>
  <c r="AV144" i="2"/>
  <c r="AV156" i="2"/>
  <c r="AV168" i="2"/>
  <c r="AV192" i="2"/>
  <c r="AV204" i="2"/>
  <c r="AU14" i="2"/>
  <c r="AU26" i="2"/>
  <c r="AU40" i="2"/>
  <c r="AU52" i="2"/>
  <c r="AU64" i="2"/>
  <c r="AU77" i="2"/>
  <c r="AU89" i="2"/>
  <c r="AU101" i="2"/>
  <c r="AU113" i="2"/>
  <c r="AU125" i="2"/>
  <c r="AU141" i="2"/>
  <c r="AU153" i="2"/>
  <c r="AU165" i="2"/>
  <c r="AU177" i="2"/>
  <c r="AU201" i="2"/>
  <c r="AT11" i="2"/>
  <c r="AT23" i="2"/>
  <c r="AT37" i="2"/>
  <c r="AT49" i="2"/>
  <c r="AT61" i="2"/>
  <c r="AT74" i="2"/>
  <c r="AT86" i="2"/>
  <c r="AT98" i="2"/>
  <c r="AT110" i="2"/>
  <c r="AT122" i="2"/>
  <c r="AT134" i="2"/>
  <c r="AT150" i="2"/>
  <c r="AT162" i="2"/>
  <c r="AT174" i="2"/>
  <c r="AT198" i="2"/>
  <c r="AR8" i="2"/>
  <c r="AR20" i="2"/>
  <c r="AR34" i="2"/>
  <c r="AR46" i="2"/>
  <c r="AR58" i="2"/>
  <c r="AR70" i="2"/>
  <c r="AR83" i="2"/>
  <c r="AR95" i="2"/>
  <c r="AR107" i="2"/>
  <c r="AR119" i="2"/>
  <c r="AR131" i="2"/>
  <c r="AR147" i="2"/>
  <c r="AR159" i="2"/>
  <c r="AR171" i="2"/>
  <c r="AR195" i="2"/>
  <c r="AS5" i="2"/>
  <c r="AS17" i="2"/>
  <c r="AS31" i="2"/>
  <c r="AS43" i="2"/>
  <c r="AS55" i="2"/>
  <c r="AS67" i="2"/>
  <c r="AS80" i="2"/>
  <c r="AS92" i="2"/>
  <c r="AS104" i="2"/>
  <c r="AS116" i="2"/>
  <c r="AS128" i="2"/>
  <c r="AS144" i="2"/>
  <c r="AS168" i="2"/>
  <c r="AS204" i="2"/>
  <c r="AV33" i="2"/>
  <c r="AV130" i="2"/>
  <c r="AV170" i="2"/>
  <c r="AU16" i="2"/>
  <c r="AV6" i="2"/>
  <c r="AV18" i="2"/>
  <c r="AV32" i="2"/>
  <c r="AV44" i="2"/>
  <c r="AV56" i="2"/>
  <c r="AV68" i="2"/>
  <c r="AV81" i="2"/>
  <c r="AV93" i="2"/>
  <c r="AV105" i="2"/>
  <c r="AV117" i="2"/>
  <c r="AV129" i="2"/>
  <c r="AV145" i="2"/>
  <c r="AV157" i="2"/>
  <c r="AV169" i="2"/>
  <c r="AV193" i="2"/>
  <c r="AU15" i="2"/>
  <c r="AU27" i="2"/>
  <c r="AU41" i="2"/>
  <c r="AU53" i="2"/>
  <c r="AU65" i="2"/>
  <c r="AU78" i="2"/>
  <c r="AU90" i="2"/>
  <c r="AU102" i="2"/>
  <c r="AU114" i="2"/>
  <c r="AU126" i="2"/>
  <c r="AU142" i="2"/>
  <c r="AU154" i="2"/>
  <c r="AU166" i="2"/>
  <c r="AU178" i="2"/>
  <c r="AU202" i="2"/>
  <c r="AT12" i="2"/>
  <c r="AT24" i="2"/>
  <c r="AT38" i="2"/>
  <c r="AT50" i="2"/>
  <c r="AT62" i="2"/>
  <c r="AT75" i="2"/>
  <c r="AT87" i="2"/>
  <c r="AT99" i="2"/>
  <c r="AT111" i="2"/>
  <c r="AT123" i="2"/>
  <c r="AT135" i="2"/>
  <c r="AT151" i="2"/>
  <c r="AT163" i="2"/>
  <c r="AT175" i="2"/>
  <c r="AT199" i="2"/>
  <c r="AR9" i="2"/>
  <c r="AR21" i="2"/>
  <c r="AR35" i="2"/>
  <c r="AR47" i="2"/>
  <c r="AR59" i="2"/>
  <c r="AR72" i="2"/>
  <c r="AR84" i="2"/>
  <c r="AR96" i="2"/>
  <c r="AR108" i="2"/>
  <c r="AR120" i="2"/>
  <c r="AR132" i="2"/>
  <c r="AR148" i="2"/>
  <c r="AR160" i="2"/>
  <c r="AR172" i="2"/>
  <c r="AR196" i="2"/>
  <c r="AS6" i="2"/>
  <c r="AS18" i="2"/>
  <c r="AS32" i="2"/>
  <c r="AS44" i="2"/>
  <c r="AS56" i="2"/>
  <c r="AS68" i="2"/>
  <c r="AS81" i="2"/>
  <c r="AS93" i="2"/>
  <c r="AS105" i="2"/>
  <c r="AS117" i="2"/>
  <c r="AS129" i="2"/>
  <c r="AS145" i="2"/>
  <c r="AS157" i="2"/>
  <c r="AS169" i="2"/>
  <c r="AS193" i="2"/>
  <c r="AV7" i="2"/>
  <c r="AV45" i="2"/>
  <c r="AV69" i="2"/>
  <c r="AV94" i="2"/>
  <c r="AV118" i="2"/>
  <c r="AV158" i="2"/>
  <c r="AU4" i="2"/>
  <c r="AV8" i="2"/>
  <c r="AV20" i="2"/>
  <c r="AV34" i="2"/>
  <c r="AV46" i="2"/>
  <c r="AV58" i="2"/>
  <c r="AV70" i="2"/>
  <c r="AV83" i="2"/>
  <c r="AV95" i="2"/>
  <c r="AV107" i="2"/>
  <c r="AV119" i="2"/>
  <c r="AV131" i="2"/>
  <c r="AV147" i="2"/>
  <c r="AV159" i="2"/>
  <c r="AV171" i="2"/>
  <c r="AV195" i="2"/>
  <c r="AU5" i="2"/>
  <c r="AU17" i="2"/>
  <c r="AU31" i="2"/>
  <c r="AU43" i="2"/>
  <c r="AU55" i="2"/>
  <c r="AU67" i="2"/>
  <c r="AU80" i="2"/>
  <c r="AU92" i="2"/>
  <c r="AU104" i="2"/>
  <c r="AU116" i="2"/>
  <c r="AU128" i="2"/>
  <c r="AU144" i="2"/>
  <c r="AU156" i="2"/>
  <c r="AU168" i="2"/>
  <c r="AU192" i="2"/>
  <c r="AU204" i="2"/>
  <c r="AT14" i="2"/>
  <c r="AT26" i="2"/>
  <c r="AT40" i="2"/>
  <c r="AT52" i="2"/>
  <c r="AT64" i="2"/>
  <c r="AT77" i="2"/>
  <c r="AT89" i="2"/>
  <c r="AT101" i="2"/>
  <c r="AT113" i="2"/>
  <c r="AT125" i="2"/>
  <c r="AT141" i="2"/>
  <c r="AT153" i="2"/>
  <c r="AT165" i="2"/>
  <c r="AT177" i="2"/>
  <c r="AT201" i="2"/>
  <c r="AR11" i="2"/>
  <c r="AR23" i="2"/>
  <c r="AR37" i="2"/>
  <c r="AR49" i="2"/>
  <c r="AR61" i="2"/>
  <c r="AR74" i="2"/>
  <c r="AR86" i="2"/>
  <c r="AR98" i="2"/>
  <c r="AR110" i="2"/>
  <c r="AR122" i="2"/>
  <c r="AR134" i="2"/>
  <c r="AR150" i="2"/>
  <c r="AR162" i="2"/>
  <c r="AR174" i="2"/>
  <c r="AR198" i="2"/>
  <c r="AS8" i="2"/>
  <c r="AS20" i="2"/>
  <c r="AS34" i="2"/>
  <c r="AS46" i="2"/>
  <c r="AS58" i="2"/>
  <c r="AS70" i="2"/>
  <c r="AS83" i="2"/>
  <c r="AS95" i="2"/>
  <c r="AS107" i="2"/>
  <c r="AS119" i="2"/>
  <c r="AS131" i="2"/>
  <c r="AS147" i="2"/>
  <c r="AS159" i="2"/>
  <c r="AS171" i="2"/>
  <c r="AS195" i="2"/>
  <c r="AV22" i="2"/>
  <c r="AV36" i="2"/>
  <c r="AV60" i="2"/>
  <c r="AV73" i="2"/>
  <c r="AV97" i="2"/>
  <c r="AV121" i="2"/>
  <c r="AV133" i="2"/>
  <c r="AV161" i="2"/>
  <c r="AV197" i="2"/>
  <c r="AV9" i="2"/>
  <c r="AV21" i="2"/>
  <c r="AV35" i="2"/>
  <c r="AV47" i="2"/>
  <c r="AV59" i="2"/>
  <c r="AV72" i="2"/>
  <c r="AV84" i="2"/>
  <c r="AV96" i="2"/>
  <c r="AV108" i="2"/>
  <c r="AV120" i="2"/>
  <c r="AV132" i="2"/>
  <c r="AV148" i="2"/>
  <c r="AV160" i="2"/>
  <c r="AV172" i="2"/>
  <c r="AV196" i="2"/>
  <c r="AU6" i="2"/>
  <c r="AU18" i="2"/>
  <c r="AU32" i="2"/>
  <c r="AU44" i="2"/>
  <c r="AU56" i="2"/>
  <c r="AU68" i="2"/>
  <c r="AU81" i="2"/>
  <c r="AU93" i="2"/>
  <c r="AU105" i="2"/>
  <c r="AU117" i="2"/>
  <c r="AU129" i="2"/>
  <c r="AU145" i="2"/>
  <c r="AU157" i="2"/>
  <c r="AU169" i="2"/>
  <c r="AU193" i="2"/>
  <c r="AT15" i="2"/>
  <c r="AT27" i="2"/>
  <c r="AT41" i="2"/>
  <c r="AT53" i="2"/>
  <c r="AT65" i="2"/>
  <c r="AT78" i="2"/>
  <c r="AT90" i="2"/>
  <c r="AT102" i="2"/>
  <c r="AT114" i="2"/>
  <c r="AT126" i="2"/>
  <c r="AT142" i="2"/>
  <c r="AT154" i="2"/>
  <c r="AT166" i="2"/>
  <c r="AT178" i="2"/>
  <c r="AT202" i="2"/>
  <c r="AR12" i="2"/>
  <c r="AR24" i="2"/>
  <c r="AR38" i="2"/>
  <c r="AR50" i="2"/>
  <c r="AR62" i="2"/>
  <c r="AR75" i="2"/>
  <c r="AR87" i="2"/>
  <c r="AR99" i="2"/>
  <c r="AR111" i="2"/>
  <c r="AR123" i="2"/>
  <c r="AR135" i="2"/>
  <c r="AR151" i="2"/>
  <c r="AR163" i="2"/>
  <c r="AR175" i="2"/>
  <c r="AR199" i="2"/>
  <c r="AS9" i="2"/>
  <c r="AS21" i="2"/>
  <c r="AS35" i="2"/>
  <c r="AS47" i="2"/>
  <c r="AS59" i="2"/>
  <c r="AS72" i="2"/>
  <c r="AS84" i="2"/>
  <c r="AS96" i="2"/>
  <c r="AS108" i="2"/>
  <c r="AS120" i="2"/>
  <c r="AS132" i="2"/>
  <c r="AS148" i="2"/>
  <c r="AS160" i="2"/>
  <c r="AS172" i="2"/>
  <c r="AS196" i="2"/>
  <c r="AV10" i="2"/>
  <c r="AV48" i="2"/>
  <c r="AV85" i="2"/>
  <c r="AV109" i="2"/>
  <c r="AV149" i="2"/>
  <c r="AV173" i="2"/>
  <c r="AU7" i="2"/>
  <c r="AV14" i="2"/>
  <c r="AV26" i="2"/>
  <c r="AV40" i="2"/>
  <c r="AV52" i="2"/>
  <c r="AV64" i="2"/>
  <c r="AV77" i="2"/>
  <c r="AV89" i="2"/>
  <c r="AV101" i="2"/>
  <c r="AV113" i="2"/>
  <c r="AV125" i="2"/>
  <c r="AV141" i="2"/>
  <c r="AV153" i="2"/>
  <c r="AV165" i="2"/>
  <c r="AV177" i="2"/>
  <c r="AV201" i="2"/>
  <c r="AU11" i="2"/>
  <c r="AU23" i="2"/>
  <c r="AU37" i="2"/>
  <c r="AU49" i="2"/>
  <c r="AU61" i="2"/>
  <c r="AU74" i="2"/>
  <c r="AU86" i="2"/>
  <c r="AU98" i="2"/>
  <c r="AU110" i="2"/>
  <c r="AU122" i="2"/>
  <c r="AU134" i="2"/>
  <c r="AU150" i="2"/>
  <c r="AU162" i="2"/>
  <c r="AU174" i="2"/>
  <c r="AU198" i="2"/>
  <c r="AT8" i="2"/>
  <c r="AT20" i="2"/>
  <c r="AT34" i="2"/>
  <c r="AT46" i="2"/>
  <c r="AT58" i="2"/>
  <c r="AT70" i="2"/>
  <c r="AT83" i="2"/>
  <c r="AT95" i="2"/>
  <c r="AT107" i="2"/>
  <c r="AT119" i="2"/>
  <c r="AT131" i="2"/>
  <c r="AT147" i="2"/>
  <c r="AT159" i="2"/>
  <c r="AT171" i="2"/>
  <c r="AT195" i="2"/>
  <c r="AR5" i="2"/>
  <c r="AR17" i="2"/>
  <c r="AR31" i="2"/>
  <c r="AR43" i="2"/>
  <c r="AR55" i="2"/>
  <c r="AR67" i="2"/>
  <c r="AR80" i="2"/>
  <c r="AR92" i="2"/>
  <c r="AR104" i="2"/>
  <c r="AR116" i="2"/>
  <c r="AR128" i="2"/>
  <c r="AR144" i="2"/>
  <c r="AR156" i="2"/>
  <c r="AR168" i="2"/>
  <c r="AR192" i="2"/>
  <c r="AR204" i="2"/>
  <c r="AS14" i="2"/>
  <c r="AS26" i="2"/>
  <c r="AS40" i="2"/>
  <c r="AS52" i="2"/>
  <c r="AS64" i="2"/>
  <c r="AS77" i="2"/>
  <c r="AS89" i="2"/>
  <c r="AS101" i="2"/>
  <c r="AS113" i="2"/>
  <c r="AS125" i="2"/>
  <c r="AS141" i="2"/>
  <c r="AS153" i="2"/>
  <c r="AS165" i="2"/>
  <c r="AS177" i="2"/>
  <c r="AS201" i="2"/>
  <c r="AV15" i="2"/>
  <c r="AV27" i="2"/>
  <c r="AV41" i="2"/>
  <c r="AV53" i="2"/>
  <c r="AV65" i="2"/>
  <c r="AV78" i="2"/>
  <c r="AV90" i="2"/>
  <c r="AV102" i="2"/>
  <c r="AV114" i="2"/>
  <c r="AS45" i="2"/>
  <c r="AR161" i="2"/>
  <c r="AR10" i="2"/>
  <c r="AT124" i="2"/>
  <c r="AT76" i="2"/>
  <c r="AT25" i="2"/>
  <c r="AU115" i="2"/>
  <c r="AU66" i="2"/>
  <c r="AV166" i="2"/>
  <c r="AV126" i="2"/>
  <c r="AV86" i="2"/>
  <c r="AS202" i="2"/>
  <c r="AS114" i="2"/>
  <c r="AS65" i="2"/>
  <c r="AS41" i="2"/>
  <c r="AS15" i="2"/>
  <c r="AR193" i="2"/>
  <c r="AR157" i="2"/>
  <c r="AR129" i="2"/>
  <c r="AR105" i="2"/>
  <c r="AR81" i="2"/>
  <c r="AR56" i="2"/>
  <c r="AR32" i="2"/>
  <c r="AR6" i="2"/>
  <c r="AT172" i="2"/>
  <c r="AT148" i="2"/>
  <c r="AT120" i="2"/>
  <c r="AT96" i="2"/>
  <c r="AT72" i="2"/>
  <c r="AT47" i="2"/>
  <c r="AT21" i="2"/>
  <c r="AU199" i="2"/>
  <c r="AU163" i="2"/>
  <c r="AU135" i="2"/>
  <c r="AU111" i="2"/>
  <c r="AU87" i="2"/>
  <c r="AU62" i="2"/>
  <c r="AU38" i="2"/>
  <c r="AU10" i="2"/>
  <c r="AV164" i="2"/>
  <c r="AV124" i="2"/>
  <c r="AV76" i="2"/>
  <c r="AV25" i="2"/>
  <c r="AS151" i="2"/>
  <c r="AR202" i="2"/>
  <c r="AR65" i="2"/>
  <c r="AT105" i="2"/>
  <c r="AT6" i="2"/>
  <c r="AU21" i="2"/>
  <c r="AS174" i="2"/>
  <c r="AS49" i="2"/>
  <c r="AR113" i="2"/>
  <c r="AR40" i="2"/>
  <c r="AT128" i="2"/>
  <c r="AT5" i="2"/>
  <c r="AU70" i="2"/>
  <c r="AV175" i="2"/>
  <c r="AS149" i="2"/>
  <c r="AR200" i="2"/>
  <c r="AR88" i="2"/>
  <c r="AT155" i="2"/>
  <c r="AU146" i="2"/>
  <c r="AU19" i="2"/>
  <c r="AS170" i="2"/>
  <c r="AS19" i="2"/>
  <c r="AR109" i="2"/>
  <c r="AR36" i="2"/>
  <c r="AT152" i="2"/>
  <c r="AT100" i="2"/>
  <c r="AT51" i="2"/>
  <c r="AU91" i="2"/>
  <c r="AU12" i="2"/>
  <c r="AV37" i="2"/>
  <c r="AS166" i="2"/>
  <c r="AS142" i="2"/>
  <c r="AS90" i="2"/>
  <c r="AS200" i="2"/>
  <c r="AS164" i="2"/>
  <c r="AS140" i="2"/>
  <c r="AS112" i="2"/>
  <c r="AS88" i="2"/>
  <c r="AS63" i="2"/>
  <c r="AS39" i="2"/>
  <c r="AS13" i="2"/>
  <c r="AR179" i="2"/>
  <c r="AR155" i="2"/>
  <c r="AR127" i="2"/>
  <c r="AR103" i="2"/>
  <c r="AR79" i="2"/>
  <c r="AR54" i="2"/>
  <c r="AR4" i="2"/>
  <c r="AT170" i="2"/>
  <c r="AT146" i="2"/>
  <c r="AT118" i="2"/>
  <c r="AT94" i="2"/>
  <c r="AT69" i="2"/>
  <c r="AT45" i="2"/>
  <c r="AT19" i="2"/>
  <c r="AU197" i="2"/>
  <c r="AU161" i="2"/>
  <c r="AU133" i="2"/>
  <c r="AU109" i="2"/>
  <c r="AU85" i="2"/>
  <c r="AU60" i="2"/>
  <c r="AU36" i="2"/>
  <c r="AU9" i="2"/>
  <c r="AV163" i="2"/>
  <c r="AV123" i="2"/>
  <c r="AV75" i="2"/>
  <c r="AV24" i="2"/>
  <c r="AS123" i="2"/>
  <c r="AR166" i="2"/>
  <c r="AR15" i="2"/>
  <c r="AT81" i="2"/>
  <c r="AU148" i="2"/>
  <c r="AU47" i="2"/>
  <c r="AV98" i="2"/>
  <c r="AS74" i="2"/>
  <c r="AR141" i="2"/>
  <c r="AT156" i="2"/>
  <c r="AT31" i="2"/>
  <c r="AU171" i="2"/>
  <c r="AU46" i="2"/>
  <c r="AV88" i="2"/>
  <c r="AS73" i="2"/>
  <c r="AR140" i="2"/>
  <c r="AR13" i="2"/>
  <c r="AT103" i="2"/>
  <c r="AU170" i="2"/>
  <c r="AU45" i="2"/>
  <c r="AV87" i="2"/>
  <c r="AS118" i="2"/>
  <c r="AR133" i="2"/>
  <c r="AU203" i="2"/>
  <c r="AS199" i="2"/>
  <c r="AS135" i="2"/>
  <c r="AS111" i="2"/>
  <c r="AS87" i="2"/>
  <c r="AS62" i="2"/>
  <c r="AS38" i="2"/>
  <c r="AS12" i="2"/>
  <c r="AR178" i="2"/>
  <c r="AR154" i="2"/>
  <c r="AR126" i="2"/>
  <c r="AR102" i="2"/>
  <c r="AR78" i="2"/>
  <c r="AR53" i="2"/>
  <c r="AR27" i="2"/>
  <c r="AT169" i="2"/>
  <c r="AT145" i="2"/>
  <c r="AT117" i="2"/>
  <c r="AT93" i="2"/>
  <c r="AT44" i="2"/>
  <c r="AT18" i="2"/>
  <c r="AU196" i="2"/>
  <c r="AU160" i="2"/>
  <c r="AU132" i="2"/>
  <c r="AU108" i="2"/>
  <c r="AU84" i="2"/>
  <c r="AU59" i="2"/>
  <c r="AU35" i="2"/>
  <c r="AU8" i="2"/>
  <c r="AV162" i="2"/>
  <c r="AV122" i="2"/>
  <c r="AV74" i="2"/>
  <c r="AV23" i="2"/>
  <c r="AS175" i="2"/>
  <c r="AS24" i="2"/>
  <c r="AR90" i="2"/>
  <c r="AT157" i="2"/>
  <c r="AT32" i="2"/>
  <c r="AU72" i="2"/>
  <c r="AV49" i="2"/>
  <c r="AS122" i="2"/>
  <c r="AR201" i="2"/>
  <c r="AR64" i="2"/>
  <c r="AT55" i="2"/>
  <c r="AU95" i="2"/>
  <c r="AV39" i="2"/>
  <c r="AS97" i="2"/>
  <c r="AR164" i="2"/>
  <c r="AR63" i="2"/>
  <c r="AT127" i="2"/>
  <c r="AT4" i="2"/>
  <c r="AU69" i="2"/>
  <c r="AV174" i="2"/>
  <c r="AS69" i="2"/>
  <c r="AR85" i="2"/>
  <c r="AU143" i="2"/>
  <c r="AS163" i="2"/>
  <c r="AS162" i="2"/>
  <c r="AS110" i="2"/>
  <c r="AS86" i="2"/>
  <c r="AS61" i="2"/>
  <c r="AS37" i="2"/>
  <c r="AS11" i="2"/>
  <c r="AR177" i="2"/>
  <c r="AR153" i="2"/>
  <c r="AR125" i="2"/>
  <c r="AR101" i="2"/>
  <c r="AR77" i="2"/>
  <c r="AR52" i="2"/>
  <c r="AR26" i="2"/>
  <c r="AT204" i="2"/>
  <c r="AT168" i="2"/>
  <c r="AT144" i="2"/>
  <c r="AT116" i="2"/>
  <c r="AT92" i="2"/>
  <c r="AT67" i="2"/>
  <c r="AT43" i="2"/>
  <c r="AT17" i="2"/>
  <c r="AU195" i="2"/>
  <c r="AU159" i="2"/>
  <c r="AU131" i="2"/>
  <c r="AU107" i="2"/>
  <c r="AU83" i="2"/>
  <c r="AU58" i="2"/>
  <c r="AU34" i="2"/>
  <c r="AV202" i="2"/>
  <c r="AV154" i="2"/>
  <c r="AV112" i="2"/>
  <c r="AV63" i="2"/>
  <c r="AV13" i="2"/>
  <c r="AS99" i="2"/>
  <c r="AR142" i="2"/>
  <c r="AT193" i="2"/>
  <c r="AT56" i="2"/>
  <c r="AU120" i="2"/>
  <c r="AV140" i="2"/>
  <c r="AS98" i="2"/>
  <c r="AR165" i="2"/>
  <c r="AT192" i="2"/>
  <c r="AT80" i="2"/>
  <c r="AU147" i="2"/>
  <c r="AU20" i="2"/>
  <c r="AS173" i="2"/>
  <c r="AS48" i="2"/>
  <c r="AR39" i="2"/>
  <c r="AT79" i="2"/>
  <c r="AU94" i="2"/>
  <c r="AV38" i="2"/>
  <c r="AS146" i="2"/>
  <c r="AR197" i="2"/>
  <c r="AT176" i="2"/>
  <c r="AU42" i="2"/>
  <c r="AS198" i="2"/>
  <c r="AS134" i="2"/>
  <c r="AS197" i="2"/>
  <c r="AS161" i="2"/>
  <c r="AS133" i="2"/>
  <c r="AS109" i="2"/>
  <c r="AS85" i="2"/>
  <c r="AS60" i="2"/>
  <c r="AS36" i="2"/>
  <c r="AS10" i="2"/>
  <c r="AR176" i="2"/>
  <c r="AR152" i="2"/>
  <c r="AR124" i="2"/>
  <c r="AR100" i="2"/>
  <c r="AR76" i="2"/>
  <c r="AR51" i="2"/>
  <c r="AR25" i="2"/>
  <c r="AT203" i="2"/>
  <c r="AT167" i="2"/>
  <c r="AT143" i="2"/>
  <c r="AT115" i="2"/>
  <c r="AT91" i="2"/>
  <c r="AT66" i="2"/>
  <c r="AT42" i="2"/>
  <c r="AT16" i="2"/>
  <c r="AU194" i="2"/>
  <c r="AU158" i="2"/>
  <c r="AU130" i="2"/>
  <c r="AU106" i="2"/>
  <c r="AU82" i="2"/>
  <c r="AU57" i="2"/>
  <c r="AU33" i="2"/>
  <c r="AV200" i="2"/>
  <c r="AV152" i="2"/>
  <c r="AV111" i="2"/>
  <c r="AV62" i="2"/>
  <c r="AV12" i="2"/>
  <c r="AS75" i="2"/>
  <c r="AR114" i="2"/>
  <c r="AT129" i="2"/>
  <c r="AU172" i="2"/>
  <c r="AV176" i="2"/>
  <c r="AS150" i="2"/>
  <c r="AS23" i="2"/>
  <c r="AR89" i="2"/>
  <c r="AR14" i="2"/>
  <c r="AT104" i="2"/>
  <c r="AU119" i="2"/>
  <c r="AV135" i="2"/>
  <c r="AS121" i="2"/>
  <c r="AS22" i="2"/>
  <c r="AR112" i="2"/>
  <c r="AT179" i="2"/>
  <c r="AT54" i="2"/>
  <c r="AU118" i="2"/>
  <c r="AV134" i="2"/>
  <c r="AS94" i="2"/>
  <c r="AR60" i="2"/>
  <c r="AU167" i="2"/>
  <c r="AS194" i="2"/>
  <c r="AS158" i="2"/>
  <c r="AS130" i="2"/>
  <c r="AS106" i="2"/>
  <c r="AS82" i="2"/>
  <c r="AS57" i="2"/>
  <c r="AS33" i="2"/>
  <c r="AS7" i="2"/>
  <c r="AR173" i="2"/>
  <c r="AR149" i="2"/>
  <c r="AR121" i="2"/>
  <c r="AR97" i="2"/>
  <c r="AR73" i="2"/>
  <c r="AR48" i="2"/>
  <c r="AR22" i="2"/>
  <c r="AT200" i="2"/>
  <c r="AT164" i="2"/>
  <c r="AT140" i="2"/>
  <c r="AT112" i="2"/>
  <c r="AT88" i="2"/>
  <c r="AT63" i="2"/>
  <c r="AT39" i="2"/>
  <c r="AT13" i="2"/>
  <c r="AU179" i="2"/>
  <c r="AU155" i="2"/>
  <c r="AU127" i="2"/>
  <c r="AU103" i="2"/>
  <c r="AU79" i="2"/>
  <c r="AU54" i="2"/>
  <c r="AV199" i="2"/>
  <c r="AV151" i="2"/>
  <c r="AV110" i="2"/>
  <c r="AV61" i="2"/>
  <c r="AV11" i="2"/>
  <c r="N105" i="4"/>
  <c r="N104" i="4"/>
  <c r="O104" i="4"/>
  <c r="O105" i="4"/>
  <c r="M104" i="4" l="1"/>
  <c r="M108" i="4"/>
  <c r="M102" i="4"/>
  <c r="M106" i="4"/>
  <c r="M110" i="4"/>
  <c r="AV3" i="2"/>
  <c r="AS3" i="2"/>
  <c r="AU3" i="2"/>
  <c r="AT3" i="2"/>
  <c r="AR3" i="2"/>
  <c r="M244" i="2"/>
  <c r="G100" i="4"/>
  <c r="F100" i="4"/>
  <c r="E100" i="4"/>
  <c r="D100" i="4"/>
  <c r="M238" i="2"/>
  <c r="O94" i="4"/>
  <c r="N94" i="4"/>
  <c r="I99" i="4"/>
  <c r="H99" i="4"/>
  <c r="G99" i="4"/>
  <c r="F99" i="4"/>
  <c r="E99" i="4"/>
  <c r="D99" i="4"/>
  <c r="H98" i="4"/>
  <c r="G98" i="4"/>
  <c r="F98" i="4"/>
  <c r="E98" i="4"/>
  <c r="D98" i="4"/>
  <c r="X8" i="4"/>
  <c r="P226" i="2"/>
  <c r="P227" i="2"/>
  <c r="P228" i="2"/>
  <c r="M235" i="2"/>
  <c r="M234" i="2"/>
  <c r="M232" i="2"/>
  <c r="M233" i="2"/>
  <c r="M229" i="2"/>
  <c r="M228" i="2"/>
  <c r="I97" i="4"/>
  <c r="H97" i="4"/>
  <c r="F97" i="4"/>
  <c r="E97" i="4"/>
  <c r="D97" i="4"/>
  <c r="I96" i="4"/>
  <c r="H96" i="4"/>
  <c r="G96" i="4"/>
  <c r="F96" i="4"/>
  <c r="E96" i="4"/>
  <c r="D96" i="4"/>
  <c r="I144" i="4"/>
  <c r="H144" i="4"/>
  <c r="G144" i="4"/>
  <c r="F144" i="4"/>
  <c r="E144" i="4"/>
  <c r="D144" i="4"/>
  <c r="I95" i="4"/>
  <c r="G95" i="4"/>
  <c r="F95" i="4"/>
  <c r="E95" i="4"/>
  <c r="D95" i="4"/>
  <c r="M227" i="2"/>
  <c r="M226" i="2"/>
  <c r="M224" i="2"/>
  <c r="M223" i="2"/>
  <c r="D84" i="4"/>
  <c r="G84" i="4"/>
  <c r="F84" i="4"/>
  <c r="E84" i="4"/>
  <c r="H80" i="4"/>
  <c r="F80" i="4"/>
  <c r="E80" i="4"/>
  <c r="D80" i="4"/>
  <c r="G90" i="4"/>
  <c r="F90" i="4"/>
  <c r="E90" i="4"/>
  <c r="D90" i="4"/>
  <c r="G89" i="4"/>
  <c r="E89" i="4"/>
  <c r="D89" i="4"/>
  <c r="G87" i="4"/>
  <c r="F87" i="4"/>
  <c r="E87" i="4"/>
  <c r="D87" i="4"/>
  <c r="G88" i="4"/>
  <c r="F88" i="4"/>
  <c r="E88" i="4"/>
  <c r="D88" i="4"/>
  <c r="G86" i="4"/>
  <c r="F86" i="4"/>
  <c r="E86" i="4"/>
  <c r="D86" i="4"/>
  <c r="G85" i="4"/>
  <c r="E85" i="4"/>
  <c r="D85" i="4"/>
  <c r="G83" i="4"/>
  <c r="F83" i="4"/>
  <c r="E83" i="4"/>
  <c r="D83" i="4"/>
  <c r="G82" i="4"/>
  <c r="F82" i="4"/>
  <c r="E82" i="4"/>
  <c r="D82" i="4"/>
  <c r="G71" i="4"/>
  <c r="F71" i="4"/>
  <c r="E71" i="4"/>
  <c r="D71" i="4"/>
  <c r="M208" i="2"/>
  <c r="G78" i="4"/>
  <c r="F78" i="4"/>
  <c r="E78" i="4"/>
  <c r="D78" i="4"/>
  <c r="G77" i="4"/>
  <c r="E77" i="4"/>
  <c r="G76" i="4"/>
  <c r="E76" i="4"/>
  <c r="D76" i="4"/>
  <c r="G75" i="4"/>
  <c r="F75" i="4"/>
  <c r="E75" i="4"/>
  <c r="D75" i="4"/>
  <c r="G74" i="4"/>
  <c r="F74" i="4"/>
  <c r="E74" i="4"/>
  <c r="D74" i="4"/>
  <c r="G73" i="4"/>
  <c r="F73" i="4"/>
  <c r="E73" i="4"/>
  <c r="D73" i="4"/>
  <c r="G72" i="4"/>
  <c r="F72" i="4"/>
  <c r="E72" i="4"/>
  <c r="D72" i="4"/>
  <c r="F70" i="4"/>
  <c r="G70" i="4"/>
  <c r="D70" i="4"/>
  <c r="M204" i="2"/>
  <c r="M203" i="2"/>
  <c r="M202" i="2"/>
  <c r="M201" i="2"/>
  <c r="M200" i="2"/>
  <c r="M199" i="2"/>
  <c r="M198" i="2"/>
  <c r="M196" i="2"/>
  <c r="M197" i="2"/>
  <c r="P193" i="2"/>
  <c r="P192" i="2"/>
  <c r="P179" i="2"/>
  <c r="J67" i="4"/>
  <c r="P178" i="2"/>
  <c r="I67" i="4"/>
  <c r="P177" i="2"/>
  <c r="H67" i="4"/>
  <c r="G67" i="4"/>
  <c r="F67" i="4"/>
  <c r="E67" i="4"/>
  <c r="H66" i="4"/>
  <c r="G66" i="4"/>
  <c r="F66" i="4"/>
  <c r="E66" i="4"/>
  <c r="D66" i="4"/>
  <c r="P176" i="2"/>
  <c r="P175" i="2"/>
  <c r="P174" i="2"/>
  <c r="M193" i="2"/>
  <c r="M192" i="2"/>
  <c r="M179" i="2"/>
  <c r="M178" i="2"/>
  <c r="J65" i="4"/>
  <c r="I65" i="4"/>
  <c r="H65" i="4"/>
  <c r="G65" i="4"/>
  <c r="F65" i="4"/>
  <c r="E65" i="4"/>
  <c r="D65" i="4"/>
  <c r="M173" i="2"/>
  <c r="I64" i="4"/>
  <c r="H64" i="4"/>
  <c r="F64" i="4"/>
  <c r="E64" i="4"/>
  <c r="D64" i="4"/>
  <c r="I63" i="4"/>
  <c r="H63" i="4"/>
  <c r="G63" i="4"/>
  <c r="E63" i="4"/>
  <c r="D63" i="4"/>
  <c r="I62" i="4"/>
  <c r="H62" i="4"/>
  <c r="G62" i="4"/>
  <c r="F62" i="4"/>
  <c r="E62" i="4"/>
  <c r="D62" i="4"/>
  <c r="I61" i="4"/>
  <c r="H61" i="4"/>
  <c r="G61" i="4"/>
  <c r="F61" i="4"/>
  <c r="E61" i="4"/>
  <c r="D61" i="4"/>
  <c r="I60" i="4"/>
  <c r="H60" i="4"/>
  <c r="G60" i="4"/>
  <c r="E60" i="4"/>
  <c r="F60" i="4"/>
  <c r="D60" i="4"/>
  <c r="M177" i="2"/>
  <c r="M176" i="2"/>
  <c r="M175" i="2"/>
  <c r="H59" i="4"/>
  <c r="G59" i="4"/>
  <c r="E59" i="4"/>
  <c r="D59" i="4"/>
  <c r="M174" i="2"/>
  <c r="P150" i="2"/>
  <c r="P149" i="2"/>
  <c r="P171" i="2"/>
  <c r="P170" i="2"/>
  <c r="K57" i="4"/>
  <c r="I57" i="4"/>
  <c r="H57" i="4"/>
  <c r="G57" i="4"/>
  <c r="F57" i="4"/>
  <c r="E57" i="4"/>
  <c r="J56" i="4"/>
  <c r="I56" i="4"/>
  <c r="H56" i="4"/>
  <c r="G56" i="4"/>
  <c r="E56" i="4"/>
  <c r="D56" i="4"/>
  <c r="O54" i="4"/>
  <c r="N54" i="4"/>
  <c r="J53" i="4"/>
  <c r="I53" i="4"/>
  <c r="H53" i="4"/>
  <c r="G53" i="4"/>
  <c r="Q173" i="2" l="1"/>
  <c r="O100" i="4"/>
  <c r="N97" i="4"/>
  <c r="N100" i="4"/>
  <c r="O97" i="4"/>
  <c r="O99" i="4"/>
  <c r="N99" i="4"/>
  <c r="N98" i="4"/>
  <c r="O98" i="4"/>
  <c r="N63" i="4"/>
  <c r="O95" i="4"/>
  <c r="O73" i="4"/>
  <c r="O144" i="4"/>
  <c r="N84" i="4"/>
  <c r="O96" i="4"/>
  <c r="N80" i="4"/>
  <c r="O80" i="4"/>
  <c r="O65" i="4"/>
  <c r="N144" i="4"/>
  <c r="N76" i="4"/>
  <c r="O86" i="4"/>
  <c r="N95" i="4"/>
  <c r="N56" i="4"/>
  <c r="O64" i="4"/>
  <c r="O63" i="4"/>
  <c r="N96" i="4"/>
  <c r="N86" i="4"/>
  <c r="O82" i="4"/>
  <c r="O84" i="4"/>
  <c r="O57" i="4"/>
  <c r="O85" i="4"/>
  <c r="O75" i="4"/>
  <c r="O83" i="4"/>
  <c r="N88" i="4"/>
  <c r="O89" i="4"/>
  <c r="O62" i="4"/>
  <c r="N60" i="4"/>
  <c r="N67" i="4"/>
  <c r="N59" i="4"/>
  <c r="O61" i="4"/>
  <c r="O90" i="4"/>
  <c r="O76" i="4"/>
  <c r="O60" i="4"/>
  <c r="O59" i="4"/>
  <c r="O70" i="4"/>
  <c r="O78" i="4"/>
  <c r="O56" i="4"/>
  <c r="N82" i="4"/>
  <c r="N62" i="4"/>
  <c r="N72" i="4"/>
  <c r="N85" i="4"/>
  <c r="N64" i="4"/>
  <c r="N65" i="4"/>
  <c r="O67" i="4"/>
  <c r="O88" i="4"/>
  <c r="O53" i="4"/>
  <c r="N66" i="4"/>
  <c r="N83" i="4"/>
  <c r="N87" i="4"/>
  <c r="N89" i="4"/>
  <c r="N53" i="4"/>
  <c r="N61" i="4"/>
  <c r="N77" i="4"/>
  <c r="N90" i="4"/>
  <c r="N57" i="4"/>
  <c r="O74" i="4"/>
  <c r="O87" i="4"/>
  <c r="N71" i="4"/>
  <c r="O77" i="4"/>
  <c r="N75" i="4"/>
  <c r="N74" i="4"/>
  <c r="N73" i="4"/>
  <c r="O72" i="4"/>
  <c r="N78" i="4"/>
  <c r="N70" i="4"/>
  <c r="O71" i="4"/>
  <c r="O66" i="4"/>
  <c r="M169" i="2"/>
  <c r="M167" i="2"/>
  <c r="M166" i="2"/>
  <c r="M164" i="2"/>
  <c r="M162" i="2"/>
  <c r="H51" i="4"/>
  <c r="G51" i="4"/>
  <c r="F51" i="4"/>
  <c r="E51" i="4"/>
  <c r="D51" i="4"/>
  <c r="G49" i="4"/>
  <c r="J49" i="4"/>
  <c r="I49" i="4"/>
  <c r="H49" i="4"/>
  <c r="F49" i="4"/>
  <c r="E49" i="4"/>
  <c r="J48" i="4"/>
  <c r="I48" i="4"/>
  <c r="F48" i="4"/>
  <c r="E48" i="4"/>
  <c r="H46" i="4"/>
  <c r="G46" i="4"/>
  <c r="F46" i="4"/>
  <c r="E46" i="4"/>
  <c r="D46" i="4"/>
  <c r="E45" i="4"/>
  <c r="G45" i="4"/>
  <c r="F45" i="4"/>
  <c r="J43" i="4"/>
  <c r="I43" i="4"/>
  <c r="H43" i="4"/>
  <c r="F43" i="4"/>
  <c r="G43" i="4"/>
  <c r="E43" i="4"/>
  <c r="D43" i="4"/>
  <c r="I41" i="4"/>
  <c r="J41" i="4"/>
  <c r="H41" i="4"/>
  <c r="G41" i="4"/>
  <c r="F41" i="4"/>
  <c r="E41" i="4"/>
  <c r="D41" i="4"/>
  <c r="M157" i="2"/>
  <c r="M154" i="2"/>
  <c r="M153" i="2"/>
  <c r="M148" i="2"/>
  <c r="F38" i="4"/>
  <c r="J38" i="4"/>
  <c r="I38" i="4"/>
  <c r="H38" i="4"/>
  <c r="G38" i="4"/>
  <c r="E38" i="4"/>
  <c r="D38" i="4"/>
  <c r="I39" i="4"/>
  <c r="H39" i="4"/>
  <c r="G39" i="4"/>
  <c r="F39" i="4"/>
  <c r="D39" i="4"/>
  <c r="J36" i="4"/>
  <c r="I36" i="4"/>
  <c r="H36" i="4"/>
  <c r="F36" i="4"/>
  <c r="E36" i="4"/>
  <c r="D36" i="4"/>
  <c r="D35" i="4"/>
  <c r="H35" i="4"/>
  <c r="J35" i="4"/>
  <c r="I35" i="4"/>
  <c r="G35" i="4"/>
  <c r="F35" i="4"/>
  <c r="E35" i="4"/>
  <c r="M142" i="2"/>
  <c r="H32" i="4"/>
  <c r="D32" i="4"/>
  <c r="F32" i="4"/>
  <c r="O51" i="4" l="1"/>
  <c r="O38" i="4"/>
  <c r="O45" i="4"/>
  <c r="O48" i="4"/>
  <c r="O46" i="4"/>
  <c r="O49" i="4"/>
  <c r="O36" i="4"/>
  <c r="N51" i="4"/>
  <c r="N38" i="4"/>
  <c r="O39" i="4"/>
  <c r="N46" i="4"/>
  <c r="N48" i="4"/>
  <c r="O43" i="4"/>
  <c r="N35" i="4"/>
  <c r="N39" i="4"/>
  <c r="N45" i="4"/>
  <c r="N49" i="4"/>
  <c r="N43" i="4"/>
  <c r="O35" i="4"/>
  <c r="O41" i="4"/>
  <c r="N36" i="4"/>
  <c r="N41" i="4"/>
  <c r="I33" i="4"/>
  <c r="G33" i="4"/>
  <c r="F33" i="4"/>
  <c r="E33" i="4"/>
  <c r="J32" i="4"/>
  <c r="N32" i="4" s="1"/>
  <c r="J30" i="4"/>
  <c r="I30" i="4"/>
  <c r="H30" i="4"/>
  <c r="G30" i="4"/>
  <c r="F30" i="4"/>
  <c r="D12" i="4"/>
  <c r="I12" i="4"/>
  <c r="H12" i="4"/>
  <c r="G12" i="4"/>
  <c r="F12" i="4"/>
  <c r="E12" i="4"/>
  <c r="K10" i="4"/>
  <c r="J10" i="4"/>
  <c r="H10" i="4"/>
  <c r="D10" i="4"/>
  <c r="J9" i="4"/>
  <c r="H9" i="4"/>
  <c r="G9" i="4"/>
  <c r="E9" i="4"/>
  <c r="D9" i="4"/>
  <c r="J6" i="4"/>
  <c r="I6" i="4"/>
  <c r="H6" i="4"/>
  <c r="G6" i="4"/>
  <c r="F6" i="4"/>
  <c r="E6" i="4"/>
  <c r="D6" i="4"/>
  <c r="J8" i="4"/>
  <c r="G8" i="4"/>
  <c r="J7" i="4"/>
  <c r="I7" i="4"/>
  <c r="H7" i="4"/>
  <c r="G7" i="4"/>
  <c r="F7" i="4"/>
  <c r="E7" i="4"/>
  <c r="D7" i="4"/>
  <c r="G25" i="4"/>
  <c r="J28" i="4"/>
  <c r="I28" i="4"/>
  <c r="H28" i="4"/>
  <c r="G28" i="4"/>
  <c r="F28" i="4"/>
  <c r="E28" i="4"/>
  <c r="J26" i="4"/>
  <c r="I26" i="4"/>
  <c r="H26" i="4"/>
  <c r="G26" i="4"/>
  <c r="F26" i="4"/>
  <c r="I25" i="4"/>
  <c r="H25" i="4"/>
  <c r="F25" i="4"/>
  <c r="D25" i="4"/>
  <c r="O18" i="4"/>
  <c r="O14" i="4"/>
  <c r="P75" i="2"/>
  <c r="P74" i="2"/>
  <c r="M23" i="4"/>
  <c r="L23" i="4"/>
  <c r="K23" i="4"/>
  <c r="L22" i="4"/>
  <c r="K22" i="4"/>
  <c r="M21" i="4"/>
  <c r="L21" i="4"/>
  <c r="K21" i="4"/>
  <c r="J22" i="4"/>
  <c r="I22" i="4"/>
  <c r="H22" i="4"/>
  <c r="G22" i="4"/>
  <c r="F22" i="4"/>
  <c r="E22" i="4"/>
  <c r="D22" i="4"/>
  <c r="N18" i="4"/>
  <c r="J23" i="4"/>
  <c r="I23" i="4"/>
  <c r="H23" i="4"/>
  <c r="G23" i="4"/>
  <c r="F23" i="4"/>
  <c r="E23" i="4"/>
  <c r="D23" i="4"/>
  <c r="J21" i="4"/>
  <c r="I21" i="4"/>
  <c r="H21" i="4"/>
  <c r="G21" i="4"/>
  <c r="F21" i="4"/>
  <c r="E21" i="4"/>
  <c r="D21" i="4"/>
  <c r="N14" i="4"/>
  <c r="J17" i="4"/>
  <c r="I17" i="4"/>
  <c r="H17" i="4"/>
  <c r="G17" i="4"/>
  <c r="F17" i="4"/>
  <c r="E17" i="4"/>
  <c r="D17" i="4"/>
  <c r="J19" i="4"/>
  <c r="I19" i="4"/>
  <c r="H19" i="4"/>
  <c r="G19" i="4"/>
  <c r="F19" i="4"/>
  <c r="E19" i="4"/>
  <c r="D19" i="4"/>
  <c r="J16" i="4"/>
  <c r="I16" i="4"/>
  <c r="H16" i="4"/>
  <c r="G16" i="4"/>
  <c r="F16" i="4"/>
  <c r="E16" i="4"/>
  <c r="D16" i="4"/>
  <c r="J15" i="4"/>
  <c r="I15" i="4"/>
  <c r="H15" i="4"/>
  <c r="G15" i="4"/>
  <c r="F15" i="4"/>
  <c r="E15" i="4"/>
  <c r="P70" i="2"/>
  <c r="M73" i="2"/>
  <c r="P96" i="2"/>
  <c r="M95" i="2"/>
  <c r="P83" i="2"/>
  <c r="P84" i="2"/>
  <c r="M93" i="2"/>
  <c r="M92" i="2"/>
  <c r="M91" i="2"/>
  <c r="M90" i="2"/>
  <c r="M89" i="2"/>
  <c r="M88" i="2"/>
  <c r="M70" i="2"/>
  <c r="P81" i="2"/>
  <c r="P77" i="2"/>
  <c r="P76" i="2"/>
  <c r="M80" i="2"/>
  <c r="M38" i="2"/>
  <c r="P27" i="2"/>
  <c r="O32" i="4" l="1"/>
  <c r="O8" i="4"/>
  <c r="N33" i="4"/>
  <c r="N9" i="4"/>
  <c r="O33" i="4"/>
  <c r="N30" i="4"/>
  <c r="N12" i="4"/>
  <c r="N10" i="4"/>
  <c r="O30" i="4"/>
  <c r="N8" i="4"/>
  <c r="O9" i="4"/>
  <c r="O12" i="4"/>
  <c r="O10" i="4"/>
  <c r="N7" i="4"/>
  <c r="N6" i="4"/>
  <c r="O6" i="4"/>
  <c r="O7" i="4"/>
  <c r="O16" i="4"/>
  <c r="O19" i="4"/>
  <c r="O15" i="4"/>
  <c r="O22" i="4"/>
  <c r="N26" i="4"/>
  <c r="N23" i="4"/>
  <c r="N21" i="4"/>
  <c r="O23" i="4"/>
  <c r="O17" i="4"/>
  <c r="O25" i="4"/>
  <c r="O21" i="4"/>
  <c r="N22" i="4"/>
  <c r="N28" i="4"/>
  <c r="O28" i="4"/>
  <c r="O26" i="4"/>
  <c r="N25" i="4"/>
  <c r="N19" i="4"/>
  <c r="N16" i="4"/>
  <c r="N17" i="4"/>
  <c r="N15" i="4"/>
  <c r="M62" i="2"/>
  <c r="M68" i="2"/>
  <c r="M67" i="2"/>
  <c r="P63" i="2"/>
  <c r="M64" i="2"/>
  <c r="M63" i="2"/>
  <c r="P59" i="2"/>
  <c r="P53" i="2"/>
  <c r="P56" i="2"/>
  <c r="P55" i="2"/>
  <c r="P54" i="2"/>
  <c r="M31" i="2"/>
  <c r="P42" i="2"/>
  <c r="P43" i="2"/>
  <c r="P41" i="2"/>
  <c r="P44" i="2"/>
  <c r="P31" i="2"/>
  <c r="P25" i="2"/>
  <c r="P24" i="2"/>
  <c r="P23" i="2"/>
  <c r="P22" i="2"/>
  <c r="M27" i="2"/>
  <c r="M22" i="2"/>
  <c r="P4" i="2" l="1"/>
  <c r="P3" i="2"/>
  <c r="P2" i="2"/>
  <c r="P5" i="2"/>
  <c r="M18" i="2"/>
  <c r="P20" i="2"/>
  <c r="P19" i="2"/>
  <c r="P18" i="2"/>
  <c r="P7" i="2" l="1"/>
  <c r="P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tc={F56C8B95-A9B3-4889-9645-C1001E1E9A24}</author>
    <author>tc={6027FDC7-726B-4956-85FB-CA52EF529102}</author>
    <author>tc={9E48B348-819D-4A62-BF76-5795AABA16AD}</author>
    <author>tc={B3A3D365-01E5-4894-ABC5-9D2B6E0B96C0}</author>
    <author>tc={45566732-63CE-4A18-842D-8DC3F4815792}</author>
    <author>Lin Shi</author>
    <author>tc={95D25892-385F-4AE9-AEF0-0DCC56A8AB55}</author>
    <author>tc={EF8110B1-9131-43CF-BE95-9E233EBA1BE1}</author>
    <author>tc={F2430A15-6226-48E3-BC19-FF7AE38DF656}</author>
    <author>tc={B46A781B-283B-44C9-8783-6663A7933C5B}</author>
    <author>tc={6CF1DB1A-1151-467C-BBDD-3C809C6AF219}</author>
    <author>tc={DD6C2908-5B56-435A-85FB-D3C39697183F}</author>
    <author>tc={5B5AF5A5-AF04-4305-93D1-BF38A8F1EEF3}</author>
    <author>tc={E6C35DBC-99D8-48C1-8535-6E722625893F}</author>
    <author>tc={38F7B60D-83C7-472C-9961-F4B46860972F}</author>
    <author>tc={B1E6B875-805C-4B81-A9BC-A4052458C551}</author>
    <author>tc={6992D703-74AB-46DA-B53F-B6D7E3909B7E}</author>
    <author>tc={87DB442D-E29D-4C19-A69B-2EBD4A83E5C6}</author>
    <author>tc={B5C947C7-23AE-4E84-920A-983DBECA3988}</author>
    <author>tc={455224ED-B7AD-447F-A42E-324F2E0CAA29}</author>
    <author>tc={96404029-203D-4959-A37B-47700321ADAC}</author>
    <author>tc={4723ED99-865A-4B09-A069-C5331909F3DF}</author>
    <author>tc={F86A518E-7208-4D18-96F7-ECCAC995FF44}</author>
  </authors>
  <commentList>
    <comment ref="A2" authorId="0" shapeId="0" xr:uid="{F56C8B95-A9B3-4889-9645-C1001E1E9A24}">
      <text>
        <t>[Threaded comment]
Your version of Excel allows you to read this threaded comment; however, any edits to it will get removed if the file is opened in a newer version of Excel. Learn more: https://go.microsoft.com/fwlink/?linkid=870924
Comment:
    @Lisa Dunsmore If you need more information about anode, please review this spreadsheet. This is linked to your PN guide too. 
Reply:
    This is great, thank you.</t>
      </text>
    </comment>
    <comment ref="B2" authorId="1" shapeId="0" xr:uid="{6027FDC7-726B-4956-85FB-CA52EF529102}">
      <text>
        <t>[Threaded comment]
Your version of Excel allows you to read this threaded comment; however, any edits to it will get removed if the file is opened in a newer version of Excel. Learn more: https://go.microsoft.com/fwlink/?linkid=870924
Comment:
    @Lin Shi @Balsu Lakshmanan @Brian Setzler @Mehul Vora Anode PN guide</t>
      </text>
    </comment>
    <comment ref="W8" authorId="2" shapeId="0" xr:uid="{9E48B348-819D-4A62-BF76-5795AABA16AD}">
      <text>
        <t>[Threaded comment]
Your version of Excel allows you to read this threaded comment; however, any edits to it will get removed if the file is opened in a newer version of Excel. Learn more: https://go.microsoft.com/fwlink/?linkid=870924
Comment:
    @Lin Shi Could you please update these columns if you have anything important to add here</t>
      </text>
    </comment>
    <comment ref="W14" authorId="3" shapeId="0" xr:uid="{B3A3D365-01E5-4894-ABC5-9D2B6E0B96C0}">
      <text>
        <t>[Threaded comment]
Your version of Excel allows you to read this threaded comment; however, any edits to it will get removed if the file is opened in a newer version of Excel. Learn more: https://go.microsoft.com/fwlink/?linkid=870924
Comment:
    @Lin Shi Could you also please update these cells?</t>
      </text>
    </comment>
    <comment ref="B27" authorId="4" shapeId="0" xr:uid="{45566732-63CE-4A18-842D-8DC3F481579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@Lin Shi Please check this.
</t>
      </text>
    </comment>
    <comment ref="Q27" authorId="5" shapeId="0" xr:uid="{A0510683-2026-4882-9EA1-094328AF4B46}">
      <text>
        <r>
          <rPr>
            <b/>
            <sz val="9"/>
            <color indexed="81"/>
            <rFont val="Tahoma"/>
            <family val="2"/>
          </rPr>
          <t>Lin Shi:</t>
        </r>
        <r>
          <rPr>
            <sz val="9"/>
            <color indexed="81"/>
            <rFont val="Tahoma"/>
            <family val="2"/>
          </rPr>
          <t xml:space="preserve">
0.2013 bottom</t>
        </r>
      </text>
    </comment>
    <comment ref="B38" authorId="6" shapeId="0" xr:uid="{95D25892-385F-4AE9-AEF0-0DCC56A8AB55}">
      <text>
        <t>[Threaded comment]
Your version of Excel allows you to read this threaded comment; however, any edits to it will get removed if the file is opened in a newer version of Excel. Learn more: https://go.microsoft.com/fwlink/?linkid=870924
Comment:
    @Lin Shi MOTT PTL info</t>
      </text>
    </comment>
    <comment ref="P46" authorId="5" shapeId="0" xr:uid="{2873E6ED-5630-4E52-85BA-D3FA4B881470}">
      <text>
        <r>
          <rPr>
            <b/>
            <sz val="9"/>
            <color indexed="81"/>
            <rFont val="Tahoma"/>
            <family val="2"/>
          </rPr>
          <t>Lin Shi:</t>
        </r>
        <r>
          <rPr>
            <sz val="9"/>
            <color indexed="81"/>
            <rFont val="Tahoma"/>
            <family val="2"/>
          </rPr>
          <t xml:space="preserve">
No ionomer load</t>
        </r>
      </text>
    </comment>
    <comment ref="P59" authorId="7" shapeId="0" xr:uid="{EF8110B1-9131-43CF-BE95-9E233EBA1BE1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loading mass was calculated using the PTL mass after drying from acetone treatment</t>
      </text>
    </comment>
    <comment ref="C67" authorId="8" shapeId="0" xr:uid="{F2430A15-6226-48E3-BC19-FF7AE38DF656}">
      <text>
        <t>[Threaded comment]
Your version of Excel allows you to read this threaded comment; however, any edits to it will get removed if the file is opened in a newer version of Excel. Learn more: https://go.microsoft.com/fwlink/?linkid=870924
Comment:
    @Chris Kiser Can you put the DO value?</t>
      </text>
    </comment>
    <comment ref="C68" authorId="9" shapeId="0" xr:uid="{B46A781B-283B-44C9-8783-6663A7933C5B}">
      <text>
        <t>[Threaded comment]
Your version of Excel allows you to read this threaded comment; however, any edits to it will get removed if the file is opened in a newer version of Excel. Learn more: https://go.microsoft.com/fwlink/?linkid=870924
Comment:
    @Chris Kiser Update the DO value and temperature</t>
      </text>
    </comment>
    <comment ref="B70" authorId="10" shapeId="0" xr:uid="{6CF1DB1A-1151-467C-BBDD-3C809C6AF219}">
      <text>
        <t>[Threaded comment]
Your version of Excel allows you to read this threaded comment; however, any edits to it will get removed if the file is opened in a newer version of Excel. Learn more: https://go.microsoft.com/fwlink/?linkid=870924
Comment:
    @Chris Kiser is this the one?</t>
      </text>
    </comment>
    <comment ref="R81" authorId="11" shapeId="0" xr:uid="{DD6C2908-5B56-435A-85FB-D3C39697183F}">
      <text>
        <t>[Threaded comment]
Your version of Excel allows you to read this threaded comment; however, any edits to it will get removed if the file is opened in a newer version of Excel. Learn more: https://go.microsoft.com/fwlink/?linkid=870924
Comment:
    Outlier</t>
      </text>
    </comment>
    <comment ref="R82" authorId="12" shapeId="0" xr:uid="{5B5AF5A5-AF04-4305-93D1-BF38A8F1EEF3}">
      <text>
        <t>[Threaded comment]
Your version of Excel allows you to read this threaded comment; however, any edits to it will get removed if the file is opened in a newer version of Excel. Learn more: https://go.microsoft.com/fwlink/?linkid=870924
Comment:
    Outlier</t>
      </text>
    </comment>
    <comment ref="R83" authorId="13" shapeId="0" xr:uid="{E6C35DBC-99D8-48C1-8535-6E722625893F}">
      <text>
        <t>[Threaded comment]
Your version of Excel allows you to read this threaded comment; however, any edits to it will get removed if the file is opened in a newer version of Excel. Learn more: https://go.microsoft.com/fwlink/?linkid=870924
Comment:
    Outlier</t>
      </text>
    </comment>
    <comment ref="S85" authorId="14" shapeId="0" xr:uid="{38F7B60D-83C7-472C-9961-F4B46860972F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@Udari Kodithuwakku Am I on the right sheet? There should be 4 measurements for batch 23129C1, but I only see one.
Reply:
    I updated the spreadsheet Brian. You can work on that.</t>
      </text>
    </comment>
    <comment ref="B127" authorId="15" shapeId="0" xr:uid="{B1E6B875-805C-4B81-A9BC-A4052458C55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@Chris Kiser please update this anode </t>
      </text>
    </comment>
    <comment ref="B135" authorId="16" shapeId="0" xr:uid="{6992D703-74AB-46DA-B53F-B6D7E3909B7E}">
      <text>
        <t>[Threaded comment]
Your version of Excel allows you to read this threaded comment; however, any edits to it will get removed if the file is opened in a newer version of Excel. Learn more: https://go.microsoft.com/fwlink/?linkid=870924
Comment:
    @Lin Shi Updated.</t>
      </text>
    </comment>
    <comment ref="O169" authorId="17" shapeId="0" xr:uid="{87DB442D-E29D-4C19-A69B-2EBD4A83E5C6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@Chris Kiser Please update this</t>
      </text>
    </comment>
    <comment ref="A173" authorId="18" shapeId="0" xr:uid="{B5C947C7-23AE-4E84-920A-983DBECA3988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@Udari Kodithuwakku @Chris Kiser what is the thickness and standard deviation of the mwp003 anode?
Reply:
    I didn't measure the thickness before stack loading
Reply:
    @Lisa Dunsmore Is the thickness after ionomer loading or before?
after we finish ionomer coating we will report the thickness. 
Reply:
    @Udari Kodithuwakku  after ionomer coating</t>
      </text>
    </comment>
    <comment ref="B174" authorId="19" shapeId="0" xr:uid="{455224ED-B7AD-447F-A42E-324F2E0CAA29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@William Wilhelm @Luke Brusse @Siddhantha Awasthi update the stack number for each of these anodes by 9 am tomorrow morning 8/3/23</t>
      </text>
    </comment>
    <comment ref="P238" authorId="20" shapeId="0" xr:uid="{96404029-203D-4959-A37B-47700321ADAC}">
      <text>
        <t>[Threaded comment]
Your version of Excel allows you to read this threaded comment; however, any edits to it will get removed if the file is opened in a newer version of Excel. Learn more: https://go.microsoft.com/fwlink/?linkid=870924
Comment:
    @Chris Kiser what is the ionomer loading and thickness of this electrode?</t>
      </text>
    </comment>
    <comment ref="M255" authorId="21" shapeId="0" xr:uid="{4723ED99-865A-4B09-A069-C5331909F3DF}">
      <text>
        <t>[Threaded comment]
Your version of Excel allows you to read this threaded comment; however, any edits to it will get removed if the file is opened in a newer version of Excel. Learn more: https://go.microsoft.com/fwlink/?linkid=870924
Comment:
    @Chris Kiser Can you update the mass gain of this anode?
Reply:
    @Udari Kodithuwakku You wrote down the initial and final masses. Do you have them? I can update them if you have them.</t>
      </text>
    </comment>
    <comment ref="Q255" authorId="22" shapeId="0" xr:uid="{F86A518E-7208-4D18-96F7-ECCAC995FF44}">
      <text>
        <t>[Threaded comment]
Your version of Excel allows you to read this threaded comment; however, any edits to it will get removed if the file is opened in a newer version of Excel. Learn more: https://go.microsoft.com/fwlink/?linkid=870924
Comment:
    @Chris Kiser Please update this column ASAP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tc={8489A45F-5FD6-44CD-9C07-41E252147E4D}</author>
    <author>tc={FB098AFD-AD10-40C5-BC0E-B08A210EBAD5}</author>
    <author>tc={A9A6A825-E145-4213-BFED-7B51FF626A5C}</author>
    <author>tc={AAA70766-7289-4B7D-905B-AF6970B166C7}</author>
    <author>tc={53F74A8C-7DFA-4C0E-A285-90AC7E94D0A3}</author>
  </authors>
  <commentList>
    <comment ref="A2" authorId="0" shapeId="0" xr:uid="{8489A45F-5FD6-44CD-9C07-41E252147E4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@Chris Kiser Please keep this spreadsheet updated every time.
 </t>
      </text>
    </comment>
    <comment ref="A8" authorId="1" shapeId="0" xr:uid="{FB098AFD-AD10-40C5-BC0E-B08A210EBAD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@Lin Shi Please check this.
</t>
      </text>
    </comment>
    <comment ref="A12" authorId="2" shapeId="0" xr:uid="{A9A6A825-E145-4213-BFED-7B51FF626A5C}">
      <text>
        <t>[Threaded comment]
Your version of Excel allows you to read this threaded comment; however, any edits to it will get removed if the file is opened in a newer version of Excel. Learn more: https://go.microsoft.com/fwlink/?linkid=870924
Comment:
    @Lin Shi MOTT PTL info</t>
      </text>
    </comment>
    <comment ref="A19" authorId="3" shapeId="0" xr:uid="{AAA70766-7289-4B7D-905B-AF6970B166C7}">
      <text>
        <t>[Threaded comment]
Your version of Excel allows you to read this threaded comment; however, any edits to it will get removed if the file is opened in a newer version of Excel. Learn more: https://go.microsoft.com/fwlink/?linkid=870924
Comment:
    @Chris Kiser is this the one?</t>
      </text>
    </comment>
    <comment ref="A27" authorId="4" shapeId="0" xr:uid="{53F74A8C-7DFA-4C0E-A285-90AC7E94D0A3}">
      <text>
        <t>[Threaded comment]
Your version of Excel allows you to read this threaded comment; however, any edits to it will get removed if the file is opened in a newer version of Excel. Learn more: https://go.microsoft.com/fwlink/?linkid=870924
Comment:
    @Lin Shi Updated.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tc={9AD02612-BA20-4D0E-A9A8-5F34FD325539}</author>
    <author>tc={E7F91124-0703-4EB2-88F7-1A75DA68A679}</author>
    <author>tc={FA13D1AB-68BB-45AA-B63D-7390B77165F4}</author>
    <author>tc={3CF7AC06-D24C-4F87-82B9-70D5245CDCC4}</author>
    <author>tc={8EB41583-63D8-4904-A3B4-2CE2D802A55F}</author>
    <author>tc={C4B179C8-8D4A-45B4-BC00-EB930A3A9A5E}</author>
    <author>tc={3AAFD7D5-FDFC-4089-81E1-4DECC41DCC21}</author>
    <author>tc={44FCD272-CAAA-488E-A66F-F7CF114DED73}</author>
    <author>tc={8A9BD9AF-E234-4C81-90FF-6F15879CB2D5}</author>
    <author>tc={AE6CF9DE-BE44-490E-8ED3-EEB6BC973A58}</author>
    <author>tc={10272901-B75D-4702-933A-E899B7D9A0F3}</author>
    <author>tc={F984450E-1E6F-4679-B2BC-48E78C4C55D4}</author>
    <author>tc={12443FF0-969E-426F-A6C1-0ED50EF39D12}</author>
    <author>tc={FC5F8BFA-3027-4A0B-A4E4-2CA7314AC276}</author>
    <author>tc={BF3452FE-1447-42E2-8BA6-5EFC2A499205}</author>
    <author>tc={BEEFC87F-60F4-4982-95A8-5298D8CB4038}</author>
    <author>tc={23588F1E-1C94-4FCB-9967-F7972A43B9FE}</author>
    <author>tc={0C596D21-32F0-4BA8-81BD-E89C720D569A}</author>
    <author>tc={274CC236-5D6C-4272-822A-2259AE94E7BD}</author>
    <author>tc={96916BAE-DCAA-41A0-B9F6-69EE151FB2A7}</author>
    <author>tc={2DA8EFA4-BB89-4296-B671-C6B08786D51E}</author>
    <author>tc={BBEF80A4-78DA-4ED4-9BCA-8BAE4DC91D9E}</author>
    <author>tc={70CA78E0-1D9D-44F3-8030-71C2A9B4D41D}</author>
  </authors>
  <commentList>
    <comment ref="A1" authorId="0" shapeId="0" xr:uid="{9AD02612-BA20-4D0E-A9A8-5F34FD32553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@Balsu Lakshmanan Could you please review this and give your comments/suggestions?
Reply:
    Is there a simple identifier for synthesis method?
Reply:
    @Balsu Lakshmanan Can I add an assigned letter to the PN number for the fish tank (Vertical), S-tank, or flat synthesis (Horizontal) etc.?
Reply:
    The synthesis method should not change the part number. Let's catch up so we can update it. This table is fine for now. </t>
      </text>
    </comment>
    <comment ref="B1" authorId="1" shapeId="0" xr:uid="{E7F91124-0703-4EB2-88F7-1A75DA68A67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@Chris Kiser Please keep this spreadsheet updated every time.
 </t>
      </text>
    </comment>
    <comment ref="J1" authorId="2" shapeId="0" xr:uid="{FA13D1AB-68BB-45AA-B63D-7390B77165F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@Udari Kodithuwakku  - Thanks for adding this. Please scan and place any data / CoA sheets from the suppliers in a common shared folder. 
Reply:
    @Balsu Lakshmanan Check the links for the PTL info. </t>
      </text>
    </comment>
    <comment ref="A2" authorId="3" shapeId="0" xr:uid="{3CF7AC06-D24C-4F87-82B9-70D5245CDCC4}">
      <text>
        <t>[Threaded comment]
Your version of Excel allows you to read this threaded comment; however, any edits to it will get removed if the file is opened in a newer version of Excel. Learn more: https://go.microsoft.com/fwlink/?linkid=870924
Comment:
    @Lisa Dunsmore If you need more information about anode, please review this spreadsheet. This is linked to your PN guide too. 
Reply:
    This is great, thank you.</t>
      </text>
    </comment>
    <comment ref="B2" authorId="4" shapeId="0" xr:uid="{8EB41583-63D8-4904-A3B4-2CE2D802A55F}">
      <text>
        <t>[Threaded comment]
Your version of Excel allows you to read this threaded comment; however, any edits to it will get removed if the file is opened in a newer version of Excel. Learn more: https://go.microsoft.com/fwlink/?linkid=870924
Comment:
    @Lin Shi @Balsu Lakshmanan @Brian Setzler @Mehul Vora Anode PN guide</t>
      </text>
    </comment>
    <comment ref="T8" authorId="5" shapeId="0" xr:uid="{C4B179C8-8D4A-45B4-BC00-EB930A3A9A5E}">
      <text>
        <t>[Threaded comment]
Your version of Excel allows you to read this threaded comment; however, any edits to it will get removed if the file is opened in a newer version of Excel. Learn more: https://go.microsoft.com/fwlink/?linkid=870924
Comment:
    @Lin Shi Could you please update these columns if you have anything important to add here</t>
      </text>
    </comment>
    <comment ref="T14" authorId="6" shapeId="0" xr:uid="{3AAFD7D5-FDFC-4089-81E1-4DECC41DCC21}">
      <text>
        <t>[Threaded comment]
Your version of Excel allows you to read this threaded comment; however, any edits to it will get removed if the file is opened in a newer version of Excel. Learn more: https://go.microsoft.com/fwlink/?linkid=870924
Comment:
    @Lin Shi Could you also please update these cells?</t>
      </text>
    </comment>
    <comment ref="B27" authorId="7" shapeId="0" xr:uid="{44FCD272-CAAA-488E-A66F-F7CF114DED7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@Lin Shi Please check this.
</t>
      </text>
    </comment>
    <comment ref="B38" authorId="8" shapeId="0" xr:uid="{8A9BD9AF-E234-4C81-90FF-6F15879CB2D5}">
      <text>
        <t>[Threaded comment]
Your version of Excel allows you to read this threaded comment; however, any edits to it will get removed if the file is opened in a newer version of Excel. Learn more: https://go.microsoft.com/fwlink/?linkid=870924
Comment:
    @Lin Shi MOTT PTL info</t>
      </text>
    </comment>
    <comment ref="N59" authorId="9" shapeId="0" xr:uid="{AE6CF9DE-BE44-490E-8ED3-EEB6BC973A58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loading mass was calculated using the PTL mass after drying from acetone treatment</t>
      </text>
    </comment>
    <comment ref="C67" authorId="10" shapeId="0" xr:uid="{10272901-B75D-4702-933A-E899B7D9A0F3}">
      <text>
        <t>[Threaded comment]
Your version of Excel allows you to read this threaded comment; however, any edits to it will get removed if the file is opened in a newer version of Excel. Learn more: https://go.microsoft.com/fwlink/?linkid=870924
Comment:
    @Chris Kiser Can you put the DO value?</t>
      </text>
    </comment>
    <comment ref="C68" authorId="11" shapeId="0" xr:uid="{F984450E-1E6F-4679-B2BC-48E78C4C55D4}">
      <text>
        <t>[Threaded comment]
Your version of Excel allows you to read this threaded comment; however, any edits to it will get removed if the file is opened in a newer version of Excel. Learn more: https://go.microsoft.com/fwlink/?linkid=870924
Comment:
    @Chris Kiser Update the DO value and temperature</t>
      </text>
    </comment>
    <comment ref="B70" authorId="12" shapeId="0" xr:uid="{12443FF0-969E-426F-A6C1-0ED50EF39D12}">
      <text>
        <t>[Threaded comment]
Your version of Excel allows you to read this threaded comment; however, any edits to it will get removed if the file is opened in a newer version of Excel. Learn more: https://go.microsoft.com/fwlink/?linkid=870924
Comment:
    @Chris Kiser is this the one?</t>
      </text>
    </comment>
    <comment ref="P81" authorId="13" shapeId="0" xr:uid="{FC5F8BFA-3027-4A0B-A4E4-2CA7314AC276}">
      <text>
        <t>[Threaded comment]
Your version of Excel allows you to read this threaded comment; however, any edits to it will get removed if the file is opened in a newer version of Excel. Learn more: https://go.microsoft.com/fwlink/?linkid=870924
Comment:
    Outlier</t>
      </text>
    </comment>
    <comment ref="P82" authorId="14" shapeId="0" xr:uid="{BF3452FE-1447-42E2-8BA6-5EFC2A499205}">
      <text>
        <t>[Threaded comment]
Your version of Excel allows you to read this threaded comment; however, any edits to it will get removed if the file is opened in a newer version of Excel. Learn more: https://go.microsoft.com/fwlink/?linkid=870924
Comment:
    Outlier</t>
      </text>
    </comment>
    <comment ref="P83" authorId="15" shapeId="0" xr:uid="{BEEFC87F-60F4-4982-95A8-5298D8CB4038}">
      <text>
        <t>[Threaded comment]
Your version of Excel allows you to read this threaded comment; however, any edits to it will get removed if the file is opened in a newer version of Excel. Learn more: https://go.microsoft.com/fwlink/?linkid=870924
Comment:
    Outlier</t>
      </text>
    </comment>
    <comment ref="Q85" authorId="16" shapeId="0" xr:uid="{23588F1E-1C94-4FCB-9967-F7972A43B9FE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@Udari Kodithuwakku Am I on the right sheet? There should be 4 measurements for batch 23129C1, but I only see one.
Reply:
    I updated the spreadsheet Brian. You can work on that.</t>
      </text>
    </comment>
    <comment ref="B127" authorId="17" shapeId="0" xr:uid="{0C596D21-32F0-4BA8-81BD-E89C720D56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@Chris Kiser please update this anode </t>
      </text>
    </comment>
    <comment ref="B135" authorId="18" shapeId="0" xr:uid="{274CC236-5D6C-4272-822A-2259AE94E7BD}">
      <text>
        <t>[Threaded comment]
Your version of Excel allows you to read this threaded comment; however, any edits to it will get removed if the file is opened in a newer version of Excel. Learn more: https://go.microsoft.com/fwlink/?linkid=870924
Comment:
    @Lin Shi Updated.</t>
      </text>
    </comment>
    <comment ref="M169" authorId="19" shapeId="0" xr:uid="{96916BAE-DCAA-41A0-B9F6-69EE151FB2A7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@Chris Kiser Please update this</t>
      </text>
    </comment>
    <comment ref="AD169" authorId="20" shapeId="0" xr:uid="{2DA8EFA4-BB89-4296-B671-C6B08786D51E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@Chris Kiser Please update this</t>
      </text>
    </comment>
    <comment ref="A173" authorId="21" shapeId="0" xr:uid="{BBEF80A4-78DA-4ED4-9BCA-8BAE4DC91D9E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@Udari Kodithuwakku @Chris Kiser what is the thickness and standard deviation of the mwp003 anode?
Reply:
    I didn't measure the thickness before stack loading
Reply:
    @Lisa Dunsmore Is the thickness after ionomer loading or before?
after we finish ionomer coating we will report the thickness. 
Reply:
    @Udari Kodithuwakku  after ionomer coating</t>
      </text>
    </comment>
    <comment ref="B174" authorId="22" shapeId="0" xr:uid="{70CA78E0-1D9D-44F3-8030-71C2A9B4D41D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@William Wilhelm @Luke Brusse @Siddhantha Awasthi update the stack number for each of these anodes by 9 am tomorrow morning 8/3/23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tc={BDCF0FB4-8289-4E0D-83C4-99082EF10A5A}</author>
    <author>tc={66A7798F-9C5D-46BD-9C41-EBCF1D2D6AE5}</author>
    <author>tc={E2AB476C-E958-4643-9D83-DA729783C70C}</author>
    <author>tc={5B5B9F5E-7A98-4F10-BD29-386362A9DD28}</author>
  </authors>
  <commentList>
    <comment ref="A36" authorId="0" shapeId="0" xr:uid="{BDCF0FB4-8289-4E0D-83C4-99082EF10A5A}">
      <text>
        <t>[Threaded comment]
Your version of Excel allows you to read this threaded comment; however, any edits to it will get removed if the file is opened in a newer version of Excel. Learn more: https://go.microsoft.com/fwlink/?linkid=870924
Comment:
    @Chris Kiser where is this in the PN anode record table?</t>
      </text>
    </comment>
    <comment ref="A38" authorId="1" shapeId="0" xr:uid="{66A7798F-9C5D-46BD-9C41-EBCF1D2D6AE5}">
      <text>
        <t>[Threaded comment]
Your version of Excel allows you to read this threaded comment; however, any edits to it will get removed if the file is opened in a newer version of Excel. Learn more: https://go.microsoft.com/fwlink/?linkid=870924
Comment:
    @Chris Kiser I am confused. Why do we have two sets of loading for this anode?</t>
      </text>
    </comment>
    <comment ref="O71" authorId="2" shapeId="0" xr:uid="{E2AB476C-E958-4643-9D83-DA729783C70C}">
      <text>
        <t>[Threaded comment]
Your version of Excel allows you to read this threaded comment; however, any edits to it will get removed if the file is opened in a newer version of Excel. Learn more: https://go.microsoft.com/fwlink/?linkid=870924
Comment:
    @Chris Kiser could you please update this based on today's data?</t>
      </text>
    </comment>
    <comment ref="N84" authorId="3" shapeId="0" xr:uid="{5B5B9F5E-7A98-4F10-BD29-386362A9DD28}">
      <text>
        <t>[Threaded comment]
Your version of Excel allows you to read this threaded comment; however, any edits to it will get removed if the file is opened in a newer version of Excel. Learn more: https://go.microsoft.com/fwlink/?linkid=870924
Comment:
    @Chris Kiser We may need to repeat this sample again. I am skeptical about this. What do you think?
Reply:
    I agree. I can cut another sample from the characterization bag.
Reply:
    @Chris Kiser Will you be able to update this?
Reply:
    I added the data from yesterday's samples. The loading is about the same with a slightly higher standard dev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tc={F899C66D-7EEE-4CE1-998B-A03F6D406F72}</author>
  </authors>
  <commentList>
    <comment ref="A57" authorId="0" shapeId="0" xr:uid="{F899C66D-7EEE-4CE1-998B-A03F6D406F72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@Chris Kiser could you please check whether we have any 3E test for these samples. Today morning, we both work together to fill this table (9 am to 10 am)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tc={F8196D27-39E3-47CC-BF72-74A2B0674AAC}</author>
  </authors>
  <commentList>
    <comment ref="A2" authorId="0" shapeId="0" xr:uid="{F8196D27-39E3-47CC-BF72-74A2B0674AAC}">
      <text>
        <t>[Threaded comment]
Your version of Excel allows you to read this threaded comment; however, any edits to it will get removed if the file is opened in a newer version of Excel. Learn more: https://go.microsoft.com/fwlink/?linkid=870924
Comment:
    @Chris Kiser What is this sample?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<sst xmlns="http://schemas.openxmlformats.org/spreadsheetml/2006/main" count="4336" uniqueCount="1261">
  <si>
    <t>Letter that represents fabricator</t>
  </si>
  <si>
    <t>Fabricator</t>
  </si>
  <si>
    <t>Number that represents supplier</t>
  </si>
  <si>
    <t>Supplier</t>
  </si>
  <si>
    <t>A</t>
  </si>
  <si>
    <t>Shule</t>
  </si>
  <si>
    <t>Beakart</t>
  </si>
  <si>
    <t>B</t>
  </si>
  <si>
    <t>Lin</t>
  </si>
  <si>
    <t>Toray</t>
  </si>
  <si>
    <t>C</t>
  </si>
  <si>
    <t>Udari</t>
  </si>
  <si>
    <t>Technetics</t>
  </si>
  <si>
    <t>D</t>
  </si>
  <si>
    <t>Will</t>
  </si>
  <si>
    <t>Mott</t>
  </si>
  <si>
    <t>E</t>
  </si>
  <si>
    <t>Intern</t>
  </si>
  <si>
    <t>Stack #</t>
  </si>
  <si>
    <t>Anode PN (Stack/cell electrodes)</t>
  </si>
  <si>
    <t>Location/description</t>
  </si>
  <si>
    <t>Current Location</t>
  </si>
  <si>
    <t>Claimed by</t>
  </si>
  <si>
    <t>To stack</t>
  </si>
  <si>
    <t>Which cell?</t>
  </si>
  <si>
    <t>Date to Stack</t>
  </si>
  <si>
    <t>Synthesis tank</t>
  </si>
  <si>
    <t>PTL batch no.</t>
  </si>
  <si>
    <t>MQN batch</t>
  </si>
  <si>
    <t>Ionomer batch no.</t>
  </si>
  <si>
    <t>Mass gain/mgcm-2</t>
  </si>
  <si>
    <t>Sonication loading/ mgcm2</t>
  </si>
  <si>
    <t>Thickness of the ionomer/mm</t>
  </si>
  <si>
    <t>Ionomer loading/mgcm-2</t>
  </si>
  <si>
    <t>XRF alloy method Fe:Ni</t>
  </si>
  <si>
    <t>HFR (Ohm cm2)</t>
  </si>
  <si>
    <t>ƞ at 20mAcm-2 (mV)</t>
  </si>
  <si>
    <t>Tafel slope (mV/dec)</t>
  </si>
  <si>
    <t>Date tested in 5 cm2 cell</t>
  </si>
  <si>
    <t>5 cm2 cell test code</t>
  </si>
  <si>
    <t>i @ 1.8 V DIW (A/cm2)</t>
  </si>
  <si>
    <t>i at 1.8 V 10 mM KOH (A/cm2)</t>
  </si>
  <si>
    <t>3-E ƞ at 20mAcm-2 (mV)</t>
  </si>
  <si>
    <t>3-E Tafel slope (mV/dec)</t>
  </si>
  <si>
    <t>E @ 100 mA/cm2 DIW/V</t>
  </si>
  <si>
    <t>E @ 100 mA/cm2 10 mM KOH/V</t>
  </si>
  <si>
    <t>Anode ICR/mOhm</t>
  </si>
  <si>
    <t>HFR DIW/ mOhm cm2</t>
  </si>
  <si>
    <t>HFR 10 mM KOH/ mOhm cm2</t>
  </si>
  <si>
    <t>Ionic resistance DIW/Ohm cm2</t>
  </si>
  <si>
    <t>Q_int_frac DIW</t>
  </si>
  <si>
    <t>Ionic resistance 10 mM KOH/Ohm cm2</t>
  </si>
  <si>
    <t>Q_int_frac DIW 10 mM KOH</t>
  </si>
  <si>
    <t>DIW conductivity (µS/cm)</t>
  </si>
  <si>
    <t>Number of records</t>
  </si>
  <si>
    <t>VSG01A-23039C1.04</t>
  </si>
  <si>
    <t>Lisa- wet assembly - ion exchange</t>
  </si>
  <si>
    <t>Fish tank</t>
  </si>
  <si>
    <t>CS03951/02</t>
  </si>
  <si>
    <t>MQN-09/26/2022</t>
  </si>
  <si>
    <t>Unique part numbers</t>
  </si>
  <si>
    <t>3-electrode</t>
  </si>
  <si>
    <t>5 cm2 - i@1.8 V, DI</t>
  </si>
  <si>
    <t>5 cm2 - i@1.8 V, 10 mM KOH</t>
  </si>
  <si>
    <t>5 cm2 - R_ion, DI</t>
  </si>
  <si>
    <t>5 cm2 - R_ion, 10 mM KOH</t>
  </si>
  <si>
    <t>VSG01A-23039C1.05</t>
  </si>
  <si>
    <t>Vertical</t>
  </si>
  <si>
    <t>VSG01A-23039C1.06</t>
  </si>
  <si>
    <t>VSG01A-23039C1.01</t>
  </si>
  <si>
    <t>Lisa - dry assembly- no ion exchange</t>
  </si>
  <si>
    <t>VSG01A-23039C1.02</t>
  </si>
  <si>
    <t>Lisa - dry assembly</t>
  </si>
  <si>
    <t>VSG01A-23039C1.03</t>
  </si>
  <si>
    <t>VSG01A-23039C1.07</t>
  </si>
  <si>
    <t>Lin - ionomer dip coated at FMC, the cell test at UD</t>
  </si>
  <si>
    <t>VSG01A-23039C1.08</t>
  </si>
  <si>
    <t>Used for the 3-E test and conditioning protocol development</t>
  </si>
  <si>
    <t>VSG01A-23047C1.01</t>
  </si>
  <si>
    <t>Used for the three electrode test</t>
  </si>
  <si>
    <t>PET bottle</t>
  </si>
  <si>
    <t>VSG01A-23047C1.02</t>
  </si>
  <si>
    <t>Available</t>
  </si>
  <si>
    <t>VSG01A-23054C1.01</t>
  </si>
  <si>
    <t>Lin-cell test - top faces to membrane</t>
  </si>
  <si>
    <t>Glass container</t>
  </si>
  <si>
    <t>VSG01A-23054C1.02</t>
  </si>
  <si>
    <t>Lin-cell test- bottom faces to membrane</t>
  </si>
  <si>
    <t>Horizontal/flat</t>
  </si>
  <si>
    <t>VSG01A-23054C1.03</t>
  </si>
  <si>
    <t>Used for the 3-E tests</t>
  </si>
  <si>
    <t>VSG01A-23066C1.01</t>
  </si>
  <si>
    <t>Lisa - dry assembly - no ion exchange-sheet 1</t>
  </si>
  <si>
    <t>CS03606A26</t>
  </si>
  <si>
    <r>
      <t>0.276</t>
    </r>
    <r>
      <rPr>
        <sz val="11"/>
        <color theme="1"/>
        <rFont val="Calibri"/>
        <family val="2"/>
      </rPr>
      <t>±0.010</t>
    </r>
  </si>
  <si>
    <t>VSG01A-23066C1.02</t>
  </si>
  <si>
    <r>
      <t>0.265</t>
    </r>
    <r>
      <rPr>
        <sz val="11"/>
        <color theme="1"/>
        <rFont val="Calibri"/>
        <family val="2"/>
      </rPr>
      <t>±0.010</t>
    </r>
  </si>
  <si>
    <t>VSG01A-23066C1.03</t>
  </si>
  <si>
    <r>
      <t>0.264</t>
    </r>
    <r>
      <rPr>
        <sz val="11"/>
        <color theme="1"/>
        <rFont val="Calibri"/>
        <family val="2"/>
      </rPr>
      <t>±0.01</t>
    </r>
  </si>
  <si>
    <t>VSG01A-23066C1.04</t>
  </si>
  <si>
    <t xml:space="preserve">sheet 1 - </t>
  </si>
  <si>
    <t>VSG01A-23066C1.05</t>
  </si>
  <si>
    <t>sheet 2 -Lisa</t>
  </si>
  <si>
    <t>CS03606B26</t>
  </si>
  <si>
    <r>
      <t>0.262</t>
    </r>
    <r>
      <rPr>
        <sz val="11"/>
        <color theme="1"/>
        <rFont val="Calibri"/>
        <family val="2"/>
      </rPr>
      <t>±0.01</t>
    </r>
  </si>
  <si>
    <t>VSG01A-23066C1.06</t>
  </si>
  <si>
    <t>sheet 2 - Lisa</t>
  </si>
  <si>
    <r>
      <t>0.278</t>
    </r>
    <r>
      <rPr>
        <sz val="11"/>
        <color theme="1"/>
        <rFont val="Calibri"/>
        <family val="2"/>
      </rPr>
      <t>±0.02</t>
    </r>
  </si>
  <si>
    <t>VSG01A-23066C1.07</t>
  </si>
  <si>
    <r>
      <t>0.273</t>
    </r>
    <r>
      <rPr>
        <sz val="11"/>
        <color theme="1"/>
        <rFont val="Calibri"/>
        <family val="2"/>
      </rPr>
      <t>±0.01</t>
    </r>
  </si>
  <si>
    <t>VSG01A-23066C1.08</t>
  </si>
  <si>
    <r>
      <t>0.276</t>
    </r>
    <r>
      <rPr>
        <sz val="11"/>
        <color theme="1"/>
        <rFont val="Calibri"/>
        <family val="2"/>
      </rPr>
      <t>±0.01</t>
    </r>
  </si>
  <si>
    <t>VSG01A-23072C1.01</t>
  </si>
  <si>
    <t>Sheet 1: for 5cm2 and 3-electrode tests. 7.5 cm * 10.0 cm</t>
  </si>
  <si>
    <t>Flat synthesis</t>
  </si>
  <si>
    <t>LS20230307 flatsynthesistop</t>
  </si>
  <si>
    <t>LS20230317 flatsynthesistop</t>
  </si>
  <si>
    <t>20230324 DIW</t>
  </si>
  <si>
    <t>LS20230324 DIW</t>
  </si>
  <si>
    <t>20230324 10 mm KOH</t>
  </si>
  <si>
    <t>LS20230324 10 mm KOH</t>
  </si>
  <si>
    <t>VSG01A-23082C1.01</t>
  </si>
  <si>
    <t>100 cm2 -Lisa</t>
  </si>
  <si>
    <t>0.270±0.01</t>
  </si>
  <si>
    <t>VSG01A-23086C3.01</t>
  </si>
  <si>
    <t>5*5 cm2 - technetics PTL-not successful</t>
  </si>
  <si>
    <t>VSG01A-23086C1.02</t>
  </si>
  <si>
    <t>5*5 cm2 - Beakart PTL- used for ionomer loading study</t>
  </si>
  <si>
    <t>VSG01A-23097C1.01</t>
  </si>
  <si>
    <t>5*5 cm2 - Beakart PTL- gave to Lan(2 anodes). Other two pieces for ionomer study and 5cm2 cell performance test for Lin</t>
  </si>
  <si>
    <t>VSG01A-23097C4.01</t>
  </si>
  <si>
    <t>5*5 cm2 - Mott PTL-with support tubes. AVG. thickness 1.718 mm. Cut 2.4 X 2.4 cm2 - for 5 cm2 test (Lin)</t>
  </si>
  <si>
    <t>VSG01A-23107C1</t>
  </si>
  <si>
    <t>Used 318 mm x 215 mm PTL: supported, 2L solution</t>
  </si>
  <si>
    <t>CS04008/33</t>
  </si>
  <si>
    <t>VSG01A-23107C1.01</t>
  </si>
  <si>
    <t>To Stack 013 Cell 1</t>
  </si>
  <si>
    <t>100cm2</t>
  </si>
  <si>
    <t>VSG01A-23107C1.02</t>
  </si>
  <si>
    <t>To Stack 013 Cell 2</t>
  </si>
  <si>
    <t>VSG01A-23107C1.03</t>
  </si>
  <si>
    <t>VSG01A-23107C1.04</t>
  </si>
  <si>
    <t>To Stack 013 Cell 3</t>
  </si>
  <si>
    <t>VSG01A-23107C1.05</t>
  </si>
  <si>
    <t xml:space="preserve">electrode 2.4 cm x 2.4 cm -Lin got this for 5cm2 cell test. </t>
  </si>
  <si>
    <t>VSG01A-23107C1.06</t>
  </si>
  <si>
    <t xml:space="preserve"> Provided to Lan for Udel testing. No ionomer dip coating</t>
  </si>
  <si>
    <t>VSG02A-23108C1</t>
  </si>
  <si>
    <t xml:space="preserve">320 mm x 215 mm - for 600 cm2 - first 600cm2 anode. Three TP-85-MQN ionomer dip coatings were applied to improve loading | Initial </t>
  </si>
  <si>
    <t>0.269±0.01</t>
  </si>
  <si>
    <t>Second Coating -as per request for the used anode</t>
  </si>
  <si>
    <t>Third Coating-as per request for the used anode</t>
  </si>
  <si>
    <t>VSG01A-23114C1</t>
  </si>
  <si>
    <t>5 x 5 cm2. precursor solutuion volume: 80 mL. No supporting tubes underneath to hold the PTL (solution height 8 mm)</t>
  </si>
  <si>
    <t>VSG01A-23114C1.01</t>
  </si>
  <si>
    <t>2.5 x 2.5 cm2- used for multiple dip coating</t>
  </si>
  <si>
    <t>VSG01A-23114C1.02</t>
  </si>
  <si>
    <t>VSG01A-23114C1.03</t>
  </si>
  <si>
    <t>VSG01A-23114C1.04</t>
  </si>
  <si>
    <t>VSG01A-23115C1</t>
  </si>
  <si>
    <t>5 x 5 cm2. precursor solutuion volume: 50 mL. No supporting tubes underneath to hold the PTL (4 mm)</t>
  </si>
  <si>
    <t>VSG01A-23115C3</t>
  </si>
  <si>
    <t>VSG01A-23122C1</t>
  </si>
  <si>
    <t xml:space="preserve">(5 x 5 cm2)*3 (precursor solution volume: 100 mL in 2.3 cup circular pyrex container. No supporting tubes underneath to hold the PTL </t>
  </si>
  <si>
    <t>VSG01A-23122C1.01</t>
  </si>
  <si>
    <t xml:space="preserve">10.12mg/L dissolved O2 </t>
  </si>
  <si>
    <t>VSG01A-23122C1.02</t>
  </si>
  <si>
    <t>20.22 mg/L dissolved O2 - Done the performance test with 5cm2 - Lin</t>
  </si>
  <si>
    <t>LSLB20230504 single sided anode &amp; PS comparison</t>
  </si>
  <si>
    <t>VSG01A-23122C1.03</t>
  </si>
  <si>
    <t>23.99 mg/L dissolved O2</t>
  </si>
  <si>
    <t>VSG01A-23123C1</t>
  </si>
  <si>
    <t xml:space="preserve">(5 x 5 cm2)*2 (precursor solution volume: 100 mL in 2.3 cup circular pyrex container. No supporting tubes underneath to hold the PTL </t>
  </si>
  <si>
    <t>VSG01A-23123C1.01</t>
  </si>
  <si>
    <t>Purged with N2 gas. Dissolved O2: 0.52 mg/L</t>
  </si>
  <si>
    <t>VSG01A-23123C1.02</t>
  </si>
  <si>
    <t>Unaltered dissolved O2 concentration: 8.80 mg/L</t>
  </si>
  <si>
    <t>VSG01A-23124C1</t>
  </si>
  <si>
    <t>11 x 8 cm2. precursor solution volume 200 mL. Supporting tubes used to hold PTL</t>
  </si>
  <si>
    <t>LSLB20230525 Baseline</t>
  </si>
  <si>
    <t>LSLB20230601 Baseline repeat</t>
  </si>
  <si>
    <t>OCV Decay</t>
  </si>
  <si>
    <t>VSG01A-23128C1</t>
  </si>
  <si>
    <t xml:space="preserve"> (21.5 X 31.0) 100 cm2 * 6. Bekaert PTL. Only 4 were salvagable. Precursor Solution: 3 L. With support tubes. Dissolved O2: 20.14 mg/L</t>
  </si>
  <si>
    <t>20230804 (No ionomer)</t>
  </si>
  <si>
    <t>LS20230804 no ionomer anode</t>
  </si>
  <si>
    <t>VSG01A-23128C1.01</t>
  </si>
  <si>
    <t>For Luke. 10.8 x 10.75 cm (Stack 016 Cell 1)</t>
  </si>
  <si>
    <r>
      <t xml:space="preserve">0.280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0.04</t>
    </r>
  </si>
  <si>
    <t>Unused</t>
  </si>
  <si>
    <t>VSG01A-23128C1.02</t>
  </si>
  <si>
    <t>For Luke 10.5 cm x 10.8 cm (Stack 017 Extra) (Too small sent back for 5 cm2)</t>
  </si>
  <si>
    <t>VSG01A-23128C1.03</t>
  </si>
  <si>
    <t>For Luke. 10.85 x 10.8 cm2 (Stack 014 Cell 2)</t>
  </si>
  <si>
    <r>
      <t xml:space="preserve">0.284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0.06</t>
    </r>
  </si>
  <si>
    <t>VSG01A-23128C1.04</t>
  </si>
  <si>
    <t>For Luke. 10.75 x 10.8 cm2 (Stack 014 Cell 1)</t>
  </si>
  <si>
    <r>
      <t xml:space="preserve">0.295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0.06</t>
    </r>
  </si>
  <si>
    <t>VSG01A-23129C1</t>
  </si>
  <si>
    <t>(21.45 x 32.45) 100 cm2 * 6. Bekaert PTL Precursor Solution: 2 L. With support tubes.  Dissolved O2: 21.07 mg/L</t>
  </si>
  <si>
    <t>VSG01A-23129C1.01</t>
  </si>
  <si>
    <t xml:space="preserve">For Lin. 10.8 x 10.7 cm2 </t>
  </si>
  <si>
    <r>
      <t xml:space="preserve">0.285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0.1</t>
    </r>
  </si>
  <si>
    <t>LSFP20230831 Baseline repeat old anode</t>
  </si>
  <si>
    <t>VSG01A-23129C1.02</t>
  </si>
  <si>
    <t xml:space="preserve">For Luke. 10.8 x 10.7 cm2 </t>
  </si>
  <si>
    <t>Luke</t>
  </si>
  <si>
    <r>
      <t xml:space="preserve">0.265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0.03</t>
    </r>
  </si>
  <si>
    <t>VSG01A-23129C1.03</t>
  </si>
  <si>
    <t>For Luke. 10.7 x 10.75 cm2 (Stack 015 Cell 2)</t>
  </si>
  <si>
    <r>
      <t xml:space="preserve">0.272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0.08</t>
    </r>
  </si>
  <si>
    <t>VSG01A-23129C1.04</t>
  </si>
  <si>
    <t>For Luke. 10.7 x 10.75 cm2 (Stack 015 Cell 3)</t>
  </si>
  <si>
    <r>
      <t xml:space="preserve">0.263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0.03</t>
    </r>
  </si>
  <si>
    <t>VSG01A-23129C1.05</t>
  </si>
  <si>
    <t>VSG01A-23129C1.06</t>
  </si>
  <si>
    <t>For Lan. Without ionomer dip coating</t>
  </si>
  <si>
    <t>VSG01A-23130C1.01</t>
  </si>
  <si>
    <t>5 X 5 cm2. Total solution volume 750 mL, O2 saturated in a 1L bottle. Set up with the Peristaltic pump , O2 saturation: 25.59 mg/L. Solution temperature: 23.3 C. O2 flow rate 0.2 L/min.  4 hours</t>
  </si>
  <si>
    <t>Flat syn, flow thorugh</t>
  </si>
  <si>
    <t>VSG01A-23130C1.02</t>
  </si>
  <si>
    <t>4 hours</t>
  </si>
  <si>
    <t>VSG01A-23130C1.03</t>
  </si>
  <si>
    <t>8  hours</t>
  </si>
  <si>
    <t>VSG01A-23130C1.04</t>
  </si>
  <si>
    <t>VSG01A-23130C1.05</t>
  </si>
  <si>
    <t>Overnight- used for TOF-SIMs, XPS,and catalyst loading (destructive method with DI water)</t>
  </si>
  <si>
    <t>VSG01A-23130C1.06</t>
  </si>
  <si>
    <t>Overnight</t>
  </si>
  <si>
    <t>VSG01A-23136C1</t>
  </si>
  <si>
    <t>31.6 x 21.5 cm2. O2 pre-saturated in 1 L bottle, O2 Saturation: 25.20 mg/L, flow rate: 1 L/min, 2L precursor solution</t>
  </si>
  <si>
    <t>VSG01A-23136C1.01</t>
  </si>
  <si>
    <t>For Luke. 10.8 x 10.75 cm (Stack 015 Cell 1)</t>
  </si>
  <si>
    <r>
      <t xml:space="preserve">0.262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0.04</t>
    </r>
  </si>
  <si>
    <t>VSG01A-23136C1.02</t>
  </si>
  <si>
    <t>Cut into 2 5x5 cm2 anodes: Packaged and sent with Balsu</t>
  </si>
  <si>
    <t>VSG01A-23136C1.03</t>
  </si>
  <si>
    <t>For Luke. 10.8 x 10.75 cm (Stack 016 Cell 2)</t>
  </si>
  <si>
    <r>
      <t xml:space="preserve">0.253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0.03</t>
    </r>
  </si>
  <si>
    <t>VSG01A-23136C1.04</t>
  </si>
  <si>
    <t>For Luke. 10.8 x 10.75 cm (Stack 016 Cell 3)</t>
  </si>
  <si>
    <r>
      <t xml:space="preserve">0.254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0.05</t>
    </r>
  </si>
  <si>
    <t>VSG01A-23136C1.05</t>
  </si>
  <si>
    <t>VSG01A-23136C1.06</t>
  </si>
  <si>
    <t>VSG01A-23142C1.01</t>
  </si>
  <si>
    <t>5 X 5 cm2. Set up with Peristaltic Pump. Saturated in Precursor for 4 hours</t>
  </si>
  <si>
    <t>VSG01A-23142C1.02</t>
  </si>
  <si>
    <t>6 hours</t>
  </si>
  <si>
    <t>VSG01A-23142C1.03</t>
  </si>
  <si>
    <t>8 hours</t>
  </si>
  <si>
    <t>VSG01A-23142C1.04</t>
  </si>
  <si>
    <t>VSG01A-23143C1.01</t>
  </si>
  <si>
    <t>5 X 5 cm2. Set up with Peristaltic Pump. Saturated in precursor overnight with pH meter above. Both sides coated</t>
  </si>
  <si>
    <t>VSG01A-23151C1.01</t>
  </si>
  <si>
    <t>5 X 5 cm2. Set up with Peristaltic Pump. Saturated in Precursor overnight at pH 8.6</t>
  </si>
  <si>
    <t>VSG01A-23151C1.02</t>
  </si>
  <si>
    <t>5 X 5 cm2. Set up with Peristaltic Pump. Saturated in Precursor for 4 hours at pH 8.6</t>
  </si>
  <si>
    <t>VSG01A-23151C1.03</t>
  </si>
  <si>
    <t>5 X 5 cm2. Set up with Peristaltic Pump. Saturated in Precursor overnight hours at pH 8.6 with the pH meter above</t>
  </si>
  <si>
    <t>VSG01A-23151C1.04</t>
  </si>
  <si>
    <t>5 X 5 cm2. Set up with Peristaltic Pump. Saturated in Precursor for 8 hours at pH 8.6</t>
  </si>
  <si>
    <t>VSG01A-23152C1.01</t>
  </si>
  <si>
    <t>5 X 5 cm2. Set up with Peristaltic Pump. Saturated without NaF in precursor</t>
  </si>
  <si>
    <t>VSG01A-23152C1.02</t>
  </si>
  <si>
    <t>VSG01A-23153C1.01</t>
  </si>
  <si>
    <t>5 X 5 cm2. Set up with Peristaltic Pump. Saturated with 1 mM NiCl2</t>
  </si>
  <si>
    <t>VSG01A-23153C1.02</t>
  </si>
  <si>
    <t>VSG01A-23156C1.01</t>
  </si>
  <si>
    <t>5 X 5 cm2. Set up with Peristaltic Pump. No support. O2 saturation: 22 mg/L. Overnight synthesis</t>
  </si>
  <si>
    <t>VSG01A-23156C1.02</t>
  </si>
  <si>
    <t>5 X 5 cm2. Set up with Peristaltic Pump. No support. O2 saturation: 22 mg/L - for Lin 5cm2 test</t>
  </si>
  <si>
    <t>VSG01A-23157C1.01</t>
  </si>
  <si>
    <t>5 X 5 cm2. Set up with Peristaltic Pump. No support. O2 saturation: 24.08 mg/L. Overnight synthesis</t>
  </si>
  <si>
    <t>VSG01A-23157C1.02</t>
  </si>
  <si>
    <t>6 X 5 cm2. Set up with Peristaltic Pump. No support. O2 saturation: 24.08 mg/L. Overnight synthesis</t>
  </si>
  <si>
    <t>VSG01A-23158C1</t>
  </si>
  <si>
    <t>31.6 x 21.5 cm2. O2 pre-saturated in 1 L bottle, O2 Saturation: 25.02 mg/L, flow rate: 1 L/min, 2L precursor solution</t>
  </si>
  <si>
    <t>Not Known</t>
  </si>
  <si>
    <t>VSG01A-23158C1.01</t>
  </si>
  <si>
    <t>For Luke. 10.9 x 10.8 cm2.</t>
  </si>
  <si>
    <t>VSG01A-23158C1.02</t>
  </si>
  <si>
    <t>10.8 x 10.5 cm2</t>
  </si>
  <si>
    <t>VSG01A-23158C1.03</t>
  </si>
  <si>
    <t>For Luke. 10.70 x 10.68 cm2.</t>
  </si>
  <si>
    <t>VSG01A-23158C1.04</t>
  </si>
  <si>
    <t>Lin- 8 anodes</t>
  </si>
  <si>
    <t>LSFP20230810 Baseline Cell OCV Study 2</t>
  </si>
  <si>
    <t>LSFP20230817 Cycling Cell</t>
  </si>
  <si>
    <t>LSFP20230824 Cycling Cell 2 Rerun</t>
  </si>
  <si>
    <t>LSFP20230829 Baseline repeat doctor blade cathode</t>
  </si>
  <si>
    <t>LSFP20230830 Baseline repeat old membrane</t>
  </si>
  <si>
    <t>VSG01A-23158C1.05</t>
  </si>
  <si>
    <t>Lin- 12 anodes</t>
  </si>
  <si>
    <t>VSG01A-23162C1</t>
  </si>
  <si>
    <t>22 x 21.6 cm2. Supported. Solution bubbled for 10 minutes. Overnight synthesis</t>
  </si>
  <si>
    <t>VSG01A-23162C1.01</t>
  </si>
  <si>
    <t>For Luke. 10.8 x 10.7 cm2 (Stack 017 Cell 1)</t>
  </si>
  <si>
    <t>VSG01A-23162C1.02</t>
  </si>
  <si>
    <t>For Luke. 10.8 x 10.7 cm2 (Stack 017 Cell 2)</t>
  </si>
  <si>
    <t>VSG01A-23162C1.03</t>
  </si>
  <si>
    <t>For Luke. 10.7 x 10.75 cm2 (Stack 017 Cell 3) (Also seems to be an unused anode with the same label in the plastic cabinet on 8/3/23?)</t>
  </si>
  <si>
    <t>In Drawer</t>
  </si>
  <si>
    <t>VSG01A-23162C1.04</t>
  </si>
  <si>
    <t xml:space="preserve">For Luke. 10.8 x 10.75 cm </t>
  </si>
  <si>
    <t>VSG01A-23163C1</t>
  </si>
  <si>
    <t>12.75 x 11.10 cm2. Set up with Peristaltic Pump. No support. O2 saturation: 10 minutes. Overnight synthesis. First 1kW anode</t>
  </si>
  <si>
    <t>VSG01A-23163C.01</t>
  </si>
  <si>
    <t>ionomer dip coated 2.4 x 7.5 cm2 strip. Cut into 2.4 x 2.4 electrodes. IONMER LOADING is high. Samples were not submited to 5cm2 tests</t>
  </si>
  <si>
    <t>VSG01A-23163C.02</t>
  </si>
  <si>
    <t>ionomer dip coated 2.4 x 10.7 cm2 strip. Cut into 2.4 x 2.4 electrodes.  4 anodes for Lin</t>
  </si>
  <si>
    <t>VSG01A-23164C1</t>
  </si>
  <si>
    <t>2(5 X 5 cm2). Set up with Peristaltic Pump. No support. O2 saturation: 10 minutes. Overnight synthesis. Sealed lid overtop</t>
  </si>
  <si>
    <t>VSG01A-23164C1.01</t>
  </si>
  <si>
    <t>loading consistency study</t>
  </si>
  <si>
    <t>VSG01A-23164C1.02</t>
  </si>
  <si>
    <t>VSG01A-23165E1</t>
  </si>
  <si>
    <t>2(5 X 5 cm2). Set up with Peristaltic Pump. No support. O2 saturation: 10 minutes. Overnight synthesis. Sealed lid overtop. Second Trial</t>
  </si>
  <si>
    <t>VSG01A-23165E1.01</t>
  </si>
  <si>
    <t>VSG01A-23165E1.02</t>
  </si>
  <si>
    <t>VSG01A-23166E1</t>
  </si>
  <si>
    <t>2(5 X 5 cm2). Set up with Peristaltic Pump. No support. O2 saturation: 10 minutes. Overnight synthesis. Sealed lid overtop. Third Trial</t>
  </si>
  <si>
    <t>VSG01A-23166E1.01</t>
  </si>
  <si>
    <t>VSG01A-23166E1.02</t>
  </si>
  <si>
    <t>18 Cell 1</t>
  </si>
  <si>
    <t>VSG01A-23171E1</t>
  </si>
  <si>
    <t>11 x 12 cm2 (1 kW Anode). Set up with Peristaltic Pump. No Support. No Lid,O2 saturation: 20.77 mg/L. Overnight synthesis.</t>
  </si>
  <si>
    <t>VSG01A-23173E1</t>
  </si>
  <si>
    <r>
      <t xml:space="preserve">11 x 12 cm2 (1 kW Anode). Set up with Peristaltic Pump. No Support. No Lid,O2 saturation: 22.15 mg/L. Overnight synthesis. </t>
    </r>
    <r>
      <rPr>
        <b/>
        <sz val="16"/>
        <color rgb="FFFF0000"/>
        <rFont val="Calibri"/>
        <family val="2"/>
        <scheme val="minor"/>
      </rPr>
      <t>FAILED- pump was leaking</t>
    </r>
  </si>
  <si>
    <t>VSG01A-23174E1</t>
  </si>
  <si>
    <r>
      <t>12 x 12 cm2 (1 kW Anode). Set up with Peristaltic Pump. No Support. No Lid,O2 saturation: 22.15 mg/L. Overnight synthesis.</t>
    </r>
    <r>
      <rPr>
        <b/>
        <sz val="16"/>
        <color rgb="FFFF0000"/>
        <rFont val="Calibri"/>
        <family val="2"/>
        <scheme val="minor"/>
      </rPr>
      <t>FAILED- pump was leaking</t>
    </r>
  </si>
  <si>
    <t>VSG01A-23177E1</t>
  </si>
  <si>
    <t>23 x 12 cm2 (1 kW Anode). Set up with Peristaltic Pump. No Support. No Lid, O2 saturation: 26.16 mg/L. Overnight synthesis.</t>
  </si>
  <si>
    <t>18 Cell 3</t>
  </si>
  <si>
    <t>VSG01A-23177E1.01</t>
  </si>
  <si>
    <t>10.8 cm x 10.8 cm. For Luke</t>
  </si>
  <si>
    <r>
      <rPr>
        <sz val="11"/>
        <color rgb="FF000000"/>
        <rFont val="Calibri"/>
        <family val="2"/>
      </rPr>
      <t xml:space="preserve">0.284 </t>
    </r>
    <r>
      <rPr>
        <u/>
        <sz val="11"/>
        <color rgb="FF000000"/>
        <rFont val="Calibri"/>
        <family val="2"/>
      </rPr>
      <t>+</t>
    </r>
    <r>
      <rPr>
        <sz val="11"/>
        <color rgb="FF000000"/>
        <rFont val="Calibri"/>
        <family val="2"/>
      </rPr>
      <t xml:space="preserve"> 0.003</t>
    </r>
  </si>
  <si>
    <t>18 Cell 2</t>
  </si>
  <si>
    <t>VSG01A-23177E1.02</t>
  </si>
  <si>
    <r>
      <rPr>
        <sz val="11"/>
        <color rgb="FF000000"/>
        <rFont val="Calibri"/>
        <family val="2"/>
      </rPr>
      <t xml:space="preserve">0.281 </t>
    </r>
    <r>
      <rPr>
        <u/>
        <sz val="11"/>
        <color rgb="FF000000"/>
        <rFont val="Calibri"/>
        <family val="2"/>
      </rPr>
      <t>+</t>
    </r>
    <r>
      <rPr>
        <sz val="11"/>
        <color rgb="FF000000"/>
        <rFont val="Calibri"/>
        <family val="2"/>
      </rPr>
      <t xml:space="preserve"> 0.004</t>
    </r>
  </si>
  <si>
    <t>MWP003</t>
  </si>
  <si>
    <t>VSG02A-23178E1</t>
  </si>
  <si>
    <t>31.2 x 21.5 cm2 (10 kW Anode). Support. Used a Lid, O2 saturation:  23.75 mg/L (21.7 C temp). Overnight synthesis. Precursor volume 1.5 L</t>
  </si>
  <si>
    <t>VSG02A-23179E1</t>
  </si>
  <si>
    <t>32.2 x 21.6 cm2 (10 kW Anode). Support. Used a Lid, O2 saturation:  23.0 mg/L (22.7 C temp). Overnight synthesis. Precursor volume 1.5 L</t>
  </si>
  <si>
    <r>
      <t xml:space="preserve">0.284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0.01</t>
    </r>
    <r>
      <rPr>
        <sz val="11"/>
        <color theme="1"/>
        <rFont val="Calibri"/>
        <family val="2"/>
        <scheme val="minor"/>
      </rPr>
      <t>1</t>
    </r>
  </si>
  <si>
    <t>VSG02A-23180E1</t>
  </si>
  <si>
    <t>32.3 x 21.6 cm2 (10 kW Anode). Support. Used a Lid, O2 saturation:  21.13 mg/L (22.4 C temp). Overnight synthesis. Precursor volume 1.5 L</t>
  </si>
  <si>
    <r>
      <t xml:space="preserve">0.285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0.004</t>
    </r>
  </si>
  <si>
    <t>stack 21</t>
  </si>
  <si>
    <t>VSG02A-23181E1</t>
  </si>
  <si>
    <t>32.2 x 21.4 cm2 (10 kW Anode). Support. Used a Lid, O2 saturation:  20.62 mg/L (22.5 C temp). Overnight synthesis. Precursor volume 1.5 L</t>
  </si>
  <si>
    <r>
      <t xml:space="preserve">0.276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0.007</t>
    </r>
  </si>
  <si>
    <t>20230811(Degraded anode)</t>
  </si>
  <si>
    <t>LSFP20230811 Degraded ionomer Anode</t>
  </si>
  <si>
    <t>stack 20</t>
  </si>
  <si>
    <t>VSG02A-23182C1</t>
  </si>
  <si>
    <t>31.0 x 21.5 cm2 (10 kW Anode). Support. Used a Lid, O2 saturation:  21.13 mg/L (22.4 C temp). Overnight synthesis. Precursor volume 1.5 L</t>
  </si>
  <si>
    <r>
      <t xml:space="preserve">0.274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0.007</t>
    </r>
  </si>
  <si>
    <t>VSG02A-23183C1</t>
  </si>
  <si>
    <t>31.1 x 21.5 cm2 (10 kW Anode). Support. Used a Lid, O2 saturation:  21.13 mg/L (22.4 C temp). Overnight synthesis. Precursor volume 1.5 L</t>
  </si>
  <si>
    <r>
      <t xml:space="preserve">0.293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0.036</t>
    </r>
  </si>
  <si>
    <t>Stack 23</t>
  </si>
  <si>
    <t>VSG02A-23188E1</t>
  </si>
  <si>
    <t>31.1 x 21.5 cm2 (10 kW Anode). Support. Used a Lid, O2 saturation:   mg/L ( C temp). Overnight synthesis. Precursor volume 1.5 L</t>
  </si>
  <si>
    <r>
      <t xml:space="preserve">0.267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0.004</t>
    </r>
  </si>
  <si>
    <t>VSG02A-23188E1.01</t>
  </si>
  <si>
    <t>5 cm2 cell testing (10/17/2023)</t>
  </si>
  <si>
    <t>VSG02A-23188E1.02</t>
  </si>
  <si>
    <t>5 cm2 cell testing</t>
  </si>
  <si>
    <t>VSG02A-23188E1.03</t>
  </si>
  <si>
    <t>VSG02A-23188E1.04</t>
  </si>
  <si>
    <t>VSG02A-23188E1.05</t>
  </si>
  <si>
    <t>VSG02A-23188E1.06</t>
  </si>
  <si>
    <t>VSG02A-23188E1.07</t>
  </si>
  <si>
    <t>VSG02A-23188E1.08</t>
  </si>
  <si>
    <t>VSG02A-23188E1.09</t>
  </si>
  <si>
    <t>VSG02A-23188E1.10</t>
  </si>
  <si>
    <t>VSG02A-23192E1</t>
  </si>
  <si>
    <r>
      <t xml:space="preserve">0.269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0.006</t>
    </r>
  </si>
  <si>
    <t>VSG02A-23193E1</t>
  </si>
  <si>
    <r>
      <t xml:space="preserve">0.284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0.006</t>
    </r>
  </si>
  <si>
    <t>VSG02A-23202E1.01</t>
  </si>
  <si>
    <t>3.5 x 3.5 cm2. Solution Flow Through Setup With Lid, O2 saturation: 20.01 mg/L (22.4 C temp) 1 Hour. Precursor Volume: 2.0 L (1 L in the synthesis tank and 1 L bottle)</t>
  </si>
  <si>
    <t>Flat syn, flow thorugh w/ Lid</t>
  </si>
  <si>
    <t>VSG02A-23202E1.02</t>
  </si>
  <si>
    <t>3.5 x 3.5 cm2. Solution Flow Through Setup With Lid, O2 saturation: 20.01 mg/L (22.4 C temp) 2 Hour. Precursor Volume: 2.0 L</t>
  </si>
  <si>
    <t>VSG02A-23202E1.03</t>
  </si>
  <si>
    <t>3.5 x 3.5 cm2. Solution Flow Through Setup With Lid, O2 saturation: 20.01 mg/L (22.4 C temp) 3 Hour. Precursor Volume: 2.0 L</t>
  </si>
  <si>
    <t>VSG02A-23202E1.04</t>
  </si>
  <si>
    <t>3.5 x 3.5 cm2. Solution Flow Through Setup With Lid, O2 saturation: 20.01 mg/L (22.4 C temp) 4 Hour. Precursor Volume: 2.0 L</t>
  </si>
  <si>
    <t>VSG02A-23202E1.05</t>
  </si>
  <si>
    <t>3.5 x 3.5 cm2. Solution Flow Through Setup With Lid, O2 saturation: 20.01 mg/L (22.4 C temp) 5 Hour. Precursor Volume: 2.0 L</t>
  </si>
  <si>
    <t>VSG02A-23202E1.06</t>
  </si>
  <si>
    <t>3.5 x 3.5 cm2. Solution Flow Through Setup With Lid, O2 saturation: 20.01 mg/L (22.4 C temp) 6 Hour. Precursor Volume: 2.0 L</t>
  </si>
  <si>
    <t>VSG02A-23202E1.07</t>
  </si>
  <si>
    <t>3.5 x 3.5 cm2. Solution Flow Through Setup With Lid, O2 saturation: 20.01 mg/L (22.4 C temp) 7 Hour. Precursor Volume: 2.0 L</t>
  </si>
  <si>
    <t>VSG02A-23202E1.08</t>
  </si>
  <si>
    <t>3.5 x 3.5 cm2. Solution Flow Through Setup With Lid, O2 saturation: 20.01 mg/L (22.4 C temp) 8 Hour. Precursor Volume: 2.0 L</t>
  </si>
  <si>
    <t>VSG02A-23202E1.09</t>
  </si>
  <si>
    <t>3.5 x 3.5 cm2. Solution Flow Through Setup With Lid, O2 saturation: 20.01 mg/L (22.4 C temp) 21 Hour. Precursor Volume: 2.0 L</t>
  </si>
  <si>
    <t>VSG02A-23206E1</t>
  </si>
  <si>
    <t>31.1 x 21.5 cm2 (10 kW Anode). Support. Used a Lid, O2 saturation:  Purged 15 min (22.7 C temp). Overnight synthesis. Precursor volume 1.5 L</t>
  </si>
  <si>
    <t>CS04005/01</t>
  </si>
  <si>
    <r>
      <t xml:space="preserve">0.264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0.004</t>
    </r>
  </si>
  <si>
    <t>VSG02A-23207E1.01</t>
  </si>
  <si>
    <t xml:space="preserve">3.5 x 3.5 cm2. Support With Lid, O2 saturation: 20.01 mg/L (22.4 C temp) 1 Hour. Precursor Volume: 1.5 L </t>
  </si>
  <si>
    <t>VSG02A-23207E1.02</t>
  </si>
  <si>
    <t xml:space="preserve">3.5 x 3.5 cm2. Support With Lid, O2 saturation: 20.01 mg/L (22.4 C temp) 2 Hour. Precursor Volume: 1.5 L </t>
  </si>
  <si>
    <t>VSG02A-23207E1.03</t>
  </si>
  <si>
    <t xml:space="preserve">3.5 x 3.5 cm2. Support With Lid, O2 saturation: 20.01 mg/L (22.4 C temp) 3 Hour. Precursor Volume: 1.5 L </t>
  </si>
  <si>
    <t>VSG02A-23207E1.04</t>
  </si>
  <si>
    <t xml:space="preserve">3.5 x 3.5 cm2. Support With Lid, O2 saturation: 20.01 mg/L (22.4 C temp) 4 Hour. Precursor Volume: 1.5 L </t>
  </si>
  <si>
    <t>VSG02A-23207E1.05</t>
  </si>
  <si>
    <t xml:space="preserve">3.5 x 3.5 cm2. Support With Lid, O2 saturation: 20.01 mg/L (22.4 C temp) 5 Hour. Precursor Volume: 1.5 L </t>
  </si>
  <si>
    <t>VSG02A-23207E1.06</t>
  </si>
  <si>
    <t xml:space="preserve">3.5 x 3.5 cm2. Support With Lid, O2 saturation: 20.01 mg/L (22.4 C temp) 6 Hour. Precursor Volume: 1.5 L </t>
  </si>
  <si>
    <t>VSG02A-23207E1.07</t>
  </si>
  <si>
    <t xml:space="preserve">3.5 x 3.5 cm2. Support With Lid, O2 saturation: 20.01 mg/L (22.4 C temp) 7 Hour. Precursor Volume: 1.5 L </t>
  </si>
  <si>
    <t>VSG02A-23207E1.08</t>
  </si>
  <si>
    <t xml:space="preserve">3.5 x 3.5 cm2. Support With Lid, O2 saturation: 20.01 mg/L (22.4 C temp) 8 Hour. Precursor Volume: 1.5 L </t>
  </si>
  <si>
    <t>VSG02A-23207E1.09</t>
  </si>
  <si>
    <t xml:space="preserve">5 x 5 cm2. Support With Lid, O2 saturation: 20.01 mg/L (22.4 C temp)  21 hours. Precursor Volume: 1.5 L </t>
  </si>
  <si>
    <t>VSG02A-23208E1</t>
  </si>
  <si>
    <t>31.0 x 21.5 cm2 (10 kW Anode). Support. Used a Lid, O2 saturation:  Purged 15 min (22.7 C temp). Overnight synthesis. Precursor volume 1.5 L</t>
  </si>
  <si>
    <r>
      <t xml:space="preserve">0.257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0.0055</t>
    </r>
  </si>
  <si>
    <t>VSG02A-23215E1</t>
  </si>
  <si>
    <t>31.1 x 21.6 cm2 (10 kW Anode). Support. Used a Lid, O2 saturation:  Purged 15 min (22.9 C temp). Overnight synthesis. Precursor volume 1.5 L</t>
  </si>
  <si>
    <r>
      <rPr>
        <sz val="11"/>
        <color rgb="FF000000"/>
        <rFont val="Calibri"/>
        <family val="2"/>
        <scheme val="minor"/>
      </rPr>
      <t xml:space="preserve">0.277 </t>
    </r>
    <r>
      <rPr>
        <u/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 xml:space="preserve"> 0.005</t>
    </r>
  </si>
  <si>
    <t>VSG02A-23216E1</t>
  </si>
  <si>
    <t>31.0 x 21.5 cm2 (10 kW Anode). Support. Used a Lid, O2 saturation:  Purged 15 min (23.5 C temp). Overnight synthesis. Precursor volume 1.5 L</t>
  </si>
  <si>
    <r>
      <rPr>
        <sz val="11"/>
        <color rgb="FF000000"/>
        <rFont val="Calibri"/>
        <family val="2"/>
        <scheme val="minor"/>
      </rPr>
      <t xml:space="preserve">0.269 </t>
    </r>
    <r>
      <rPr>
        <u/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 xml:space="preserve"> 0.0049</t>
    </r>
  </si>
  <si>
    <t>27 Cell 2</t>
  </si>
  <si>
    <t>VSG02A-23219E1</t>
  </si>
  <si>
    <t>29 Cell 2, 3</t>
  </si>
  <si>
    <t>VSG02A-23220E1</t>
  </si>
  <si>
    <t>31.5 x 21.7 cm2 (10 kW Anode). Support. Used a Lid, O2 saturation:  Purged 15 min (22.7 C temp). Overnight synthesis. Precursor volume 1.5 L</t>
  </si>
  <si>
    <t>VSG02A-23220E1.01</t>
  </si>
  <si>
    <t>2.5 cm x 2.5 cm - preconditioning with 3E test (DLC&gt;OER&gt;DLC), rinsed with DI water, Dried in the oven, ionmer dip coated</t>
  </si>
  <si>
    <t>25 Cell 3 &amp; stack 26E1.01</t>
  </si>
  <si>
    <t>VSG02A-23221E1</t>
  </si>
  <si>
    <t>27.9 x 12.7 cm2 (1 kW Anode) Solution Flow Through Setup with Lid, O2 saturation: 24.40 mg/L (23.3 C temp) Overnight synthesis. Precursor volume 2.0 L</t>
  </si>
  <si>
    <r>
      <t xml:space="preserve">0.276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0.009</t>
    </r>
  </si>
  <si>
    <t>25 Cell 2 &amp; stack 26 E1.02</t>
  </si>
  <si>
    <t>VSG02A-23222E1</t>
  </si>
  <si>
    <t>27.5 x 14.7 cm2 (1 kW Anode) Solution Flow Through Setup with Lid, O2 saturation: 21.66 mg/L (23.3 C temp) Overnight synthesis. Precursor volume 2.0 L</t>
  </si>
  <si>
    <r>
      <t xml:space="preserve">0.295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0.005</t>
    </r>
  </si>
  <si>
    <t>25 Cell 1 &amp; stack 26 E1.02</t>
  </si>
  <si>
    <t>VSG01A-23226E1</t>
  </si>
  <si>
    <t>15.9 x 29.1 cm2 (1 kW Anode)  Solution Flow Through Setup with Lid, O2 saturation: 21.66 mg/L (23.3 C temp) Overnight synthesis. Precursor volume 2.0 L</t>
  </si>
  <si>
    <r>
      <t xml:space="preserve">0.296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0.006</t>
    </r>
  </si>
  <si>
    <t>27 Cell 1 &amp; 28 cell 2 E1.02</t>
  </si>
  <si>
    <t>VSG02A-23227E1</t>
  </si>
  <si>
    <t>31.7 x 21.6 cm2 (10 kW Anode) Support, Used a Lid, O2 saturation: 25.68 mg/L (23.1 C temp) Overnight synthesis. Precursor volume 1.5 L</t>
  </si>
  <si>
    <r>
      <rPr>
        <sz val="11"/>
        <color rgb="FF000000"/>
        <rFont val="Calibri"/>
        <family val="2"/>
        <scheme val="minor"/>
      </rPr>
      <t xml:space="preserve">0.285 </t>
    </r>
    <r>
      <rPr>
        <u/>
        <sz val="11"/>
        <color rgb="FF000000"/>
        <rFont val="Calibri"/>
        <family val="2"/>
        <scheme val="minor"/>
      </rPr>
      <t>+</t>
    </r>
    <r>
      <rPr>
        <sz val="11"/>
        <color rgb="FF000000"/>
        <rFont val="Calibri"/>
        <family val="2"/>
        <scheme val="minor"/>
      </rPr>
      <t xml:space="preserve"> 0.005</t>
    </r>
  </si>
  <si>
    <t>VSG01A-23227E1.01</t>
  </si>
  <si>
    <t>12.2 x 12.3 cm2 (1 kW Anode) Cut from 10 kW Anode</t>
  </si>
  <si>
    <t>VSG01A-23227E1.02</t>
  </si>
  <si>
    <t>MWP006 Cell 2</t>
  </si>
  <si>
    <t>VSG01A-23228E1</t>
  </si>
  <si>
    <t>32.2 x 21.6 cm2 (10 kW Anode)  Support, Used a Lid, O2 saturation: 21.41 mg/L (23.4 C temp) Overnight synthesis. Precursor volume 1.5 L</t>
  </si>
  <si>
    <t>MWP006 Cell 5</t>
  </si>
  <si>
    <t>VSG01A-23229E1</t>
  </si>
  <si>
    <t>32.2 x 21.6 cm2 (10 kW Anode)  Support, Used a Lid, O2 saturation: 24.67 mg/L (22.7 C temp) Overnight synthesis. Precursor volume 1.5 L</t>
  </si>
  <si>
    <r>
      <t xml:space="preserve">0.294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0.008</t>
    </r>
  </si>
  <si>
    <t>MWP006 Cell 3</t>
  </si>
  <si>
    <t>VSG01A-23233E1</t>
  </si>
  <si>
    <t>32.2 x 21.5 cm2 (10 kW Anode)  Support, Used a Lid, O2 saturation: 23.47 mg/L (23.9 C temp) Overnight synthesis. Precursor volume 1.5 L</t>
  </si>
  <si>
    <r>
      <t xml:space="preserve">0.292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0.004</t>
    </r>
  </si>
  <si>
    <t xml:space="preserve">28 Cell 1, 2 </t>
  </si>
  <si>
    <t>VSG01A-23234E1</t>
  </si>
  <si>
    <t>13.0 x 26.0 cm2 (10 kW Anode)  Support, Used a Lid, O2 saturation: 21.66 mg/L (23.8 C temp) Overnight synthesis. Precursor volume 1.0 L</t>
  </si>
  <si>
    <r>
      <rPr>
        <sz val="11"/>
        <color rgb="FF000000"/>
        <rFont val="Calibri"/>
        <family val="2"/>
      </rPr>
      <t xml:space="preserve">0.267 </t>
    </r>
    <r>
      <rPr>
        <u/>
        <sz val="11"/>
        <color rgb="FF000000"/>
        <rFont val="Calibri"/>
        <family val="2"/>
      </rPr>
      <t>+</t>
    </r>
    <r>
      <rPr>
        <sz val="11"/>
        <color rgb="FF000000"/>
        <rFont val="Calibri"/>
        <family val="2"/>
      </rPr>
      <t xml:space="preserve"> 0.002</t>
    </r>
  </si>
  <si>
    <t>VSG01A-23234E1.01</t>
  </si>
  <si>
    <t xml:space="preserve">12.2 x 12.3 cm2 (1 kW Anode) </t>
  </si>
  <si>
    <t>VSG01A-23234E1.02</t>
  </si>
  <si>
    <t>29 Cell 1</t>
  </si>
  <si>
    <t>VSG01A-23235E1</t>
  </si>
  <si>
    <t>Root cause comparision</t>
  </si>
  <si>
    <t>VSG01A-23235E1.01-location 1</t>
  </si>
  <si>
    <t>5 cm2 cell - Ionomer (Lin Shi from UD) diluted with ethanol</t>
  </si>
  <si>
    <t>VSG01A-23235E1.01-location 2</t>
  </si>
  <si>
    <t>VSG01A-23235E1.01-location 3</t>
  </si>
  <si>
    <t>VSG01A-23235E1.01-location 4</t>
  </si>
  <si>
    <t>MWP006 Cell 1</t>
  </si>
  <si>
    <t>VSG01A-23240E1</t>
  </si>
  <si>
    <t>32.2 x 22.1 cm2 (10 kW Anode)  Support, Used a Lid, O2 saturation: 25.21 mg/L (21.1 C temp) Overnight synthesis. Precursor volume 1.5 L</t>
  </si>
  <si>
    <r>
      <t xml:space="preserve">0.265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0.003</t>
    </r>
  </si>
  <si>
    <t>MWP006 Cell 4</t>
  </si>
  <si>
    <t>VSG01A-23241E1</t>
  </si>
  <si>
    <t>32.1 x 21.6 cm2 (10 kW Anode)  Support, Used a Lid, O2 saturation: 23.72 mg/L (23.4 C temp) Overnight synthesis. Precursor volume 1.5 L</t>
  </si>
  <si>
    <r>
      <t xml:space="preserve">0.272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0.005</t>
    </r>
  </si>
  <si>
    <t>VSG01A-23242E4</t>
  </si>
  <si>
    <t>10.8 x 10.8 cm2 (1 kW Anode)  FTA, Used a Lid, O2 saturation: 23.59 mg/L (20.8 C temp) Overnight synthesis. Precursor volume 1.5 L</t>
  </si>
  <si>
    <t>Flow through</t>
  </si>
  <si>
    <r>
      <t xml:space="preserve">0.345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0.019</t>
    </r>
  </si>
  <si>
    <t>Stack 31 Cell 3</t>
  </si>
  <si>
    <t>VSG01A-23243E1</t>
  </si>
  <si>
    <r>
      <t xml:space="preserve">32.1 x 21.7 cm2 (10 kW Anode)  Support, Used a Lid, O2 saturation: 23.13 mg/L (23.2 C temp) Overnight synthesis. Precursor volume 1.5 L, </t>
    </r>
    <r>
      <rPr>
        <sz val="11"/>
        <color rgb="FFC00000"/>
        <rFont val="Calibri"/>
        <family val="2"/>
        <scheme val="minor"/>
      </rPr>
      <t>XRF method: caoting method</t>
    </r>
  </si>
  <si>
    <r>
      <t xml:space="preserve">0.270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0.005</t>
    </r>
  </si>
  <si>
    <t>Stack 30 Cell 1 &amp; 2</t>
  </si>
  <si>
    <t>VSG01A-23247E1.01</t>
  </si>
  <si>
    <t>32.1 x 21.7 cm2 (10 kW Anode)  Support, Used a Lid, O2 saturation: 23.13 mg/L (23.2 C temp) Overnight synthesis. Precursor volume 1.5 L</t>
  </si>
  <si>
    <r>
      <t xml:space="preserve">0.270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0.003</t>
    </r>
  </si>
  <si>
    <t>Stack 30 Cell 3</t>
  </si>
  <si>
    <t>VSG01A-23247E1.02</t>
  </si>
  <si>
    <t>13.9 x 14.0 cm2 (1 kW Anode) Support, Used a Lid, O2 saturation: 20.37 mg/L (23.3 C temp) Overnight synthesis. Precursor volume 1.5 L</t>
  </si>
  <si>
    <r>
      <t xml:space="preserve">0.262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0.004</t>
    </r>
  </si>
  <si>
    <t>Stack 31 Cell 1</t>
  </si>
  <si>
    <t>VSG01A-23247E1.03</t>
  </si>
  <si>
    <t>14.0 x 14.0 cm2 (1 kW Anode) Support, Used a Lid, O2 saturation: 20.37 mg/L (20.8 C temp) Overnight synthesis. Precursor volume 1.5 L</t>
  </si>
  <si>
    <r>
      <t>0.296</t>
    </r>
    <r>
      <rPr>
        <u/>
        <sz val="11"/>
        <color theme="1"/>
        <rFont val="Calibri"/>
        <family val="2"/>
        <scheme val="minor"/>
      </rPr>
      <t xml:space="preserve"> +</t>
    </r>
    <r>
      <rPr>
        <sz val="11"/>
        <color theme="1"/>
        <rFont val="Calibri"/>
        <family val="2"/>
        <scheme val="minor"/>
      </rPr>
      <t xml:space="preserve"> 0.006</t>
    </r>
  </si>
  <si>
    <t>Stack 31 Cell 2</t>
  </si>
  <si>
    <t>VSG01A-23248E1.01</t>
  </si>
  <si>
    <t>14.1 x 25.0 cm2 (2 x1 kW Anode) Support, Used a Lid, O2 saturation: 15 min Overnight synthesis. Precursor volume 1.5 L</t>
  </si>
  <si>
    <t>Stack 32 Cell 1 &amp; 3</t>
  </si>
  <si>
    <t>VSG01A-23248E1.02</t>
  </si>
  <si>
    <t>13.4 x 26.7 cm2 (2 x1 kW Anode) Support, Used a Lid, O2 saturation: 20.37 mg/L (20.8 C temp) Overnight synthesis. Precursor volume 1.5 L</t>
  </si>
  <si>
    <r>
      <t xml:space="preserve">32.1 x 21.7 cm2 (10 kW Anode)  Support, Used a Lid, O2 saturation: 23.13 mg/L (23.2 C temp) Overnight synthesis. Precursor volume 1.5 L - </t>
    </r>
    <r>
      <rPr>
        <b/>
        <sz val="11"/>
        <color rgb="FFFF0000"/>
        <rFont val="Calibri"/>
        <family val="2"/>
        <scheme val="minor"/>
      </rPr>
      <t xml:space="preserve">USED FOR THE ANODE ROOT CAUSE </t>
    </r>
  </si>
  <si>
    <t>Root cause ionomer comparision</t>
  </si>
  <si>
    <t>VSG01A-23249E1.01-01</t>
  </si>
  <si>
    <t>FMC ionomer -Lan - ionomer was refiltered using 0.45um filter</t>
  </si>
  <si>
    <t>Solution-09/14/2023</t>
  </si>
  <si>
    <t>VSG01A-23249E1.01-02</t>
  </si>
  <si>
    <t>VSG01A-23249E1.01-03</t>
  </si>
  <si>
    <t>VSG01A-23249E1.01-04</t>
  </si>
  <si>
    <t>VSG01A-23249E1.01-05</t>
  </si>
  <si>
    <t>UD ionomer-Lan-no filteration</t>
  </si>
  <si>
    <t>VSG01A-23249E1.01-06</t>
  </si>
  <si>
    <t>VSG01A-23249E1.01-07</t>
  </si>
  <si>
    <t>VSG01A-23249E1.01-08</t>
  </si>
  <si>
    <t>VSG01A-23249E1.01-09</t>
  </si>
  <si>
    <t>232501-New ionomer- Sharon</t>
  </si>
  <si>
    <t>VSG01A-23249E1.01-10</t>
  </si>
  <si>
    <t>VSG01A-23249E1.01-11</t>
  </si>
  <si>
    <t>VSG01A-23249E1.01-12</t>
  </si>
  <si>
    <t>VSG01A-23249E1.01 spot #8</t>
  </si>
  <si>
    <t>3-E Test Results</t>
  </si>
  <si>
    <t>20230921 (low Fe loading)</t>
  </si>
  <si>
    <t>LSFP 20230921 Low Fe Loading anode</t>
  </si>
  <si>
    <t>VSG01A-23249E1.01 spot #1</t>
  </si>
  <si>
    <t>20230922 (high Fe loading)</t>
  </si>
  <si>
    <t xml:space="preserve">LSFP 20230922 high Fe Loading anode </t>
  </si>
  <si>
    <t>AIL0925, 1 (23249E1.01 spot 8 location)</t>
  </si>
  <si>
    <t>slot die (Q= 3.75 mL/min, V= 12 mm/s, H = 250 um)</t>
  </si>
  <si>
    <t>20230926(low loading slot die)</t>
  </si>
  <si>
    <t>LSFP 20230926 slot die coated anode</t>
  </si>
  <si>
    <t>AIL0925, 2 (23249E1.01 spot 1 location)</t>
  </si>
  <si>
    <t>slot die (Q= 4.687 mL/min, V= 15 mm/s, H = 650 um)</t>
  </si>
  <si>
    <t>20230926(high loading slot die)</t>
  </si>
  <si>
    <t>LSFP 20230928 High Loading SD anode</t>
  </si>
  <si>
    <t>Stack 32 Cell 2</t>
  </si>
  <si>
    <t>VSG01A-23249E1.02</t>
  </si>
  <si>
    <t>20.9 x 17.0 cm2 (2 x1 kW Anode) Support, Used a Lid, O2 saturation: 15 min Overnight synthesis. Precursor volume 1.5 L</t>
  </si>
  <si>
    <t>20230925 (No cathode interlayer)</t>
  </si>
  <si>
    <t xml:space="preserve">LSFP 20230925 no interlayer cathode </t>
  </si>
  <si>
    <t>Stack 33 Cell 2</t>
  </si>
  <si>
    <t>VSG01A-23250E1.01</t>
  </si>
  <si>
    <t>24.9 x 13.8 cm2 (2 x1 kW Anode) Cut into 12.2 x 12.3 Support, Used a Lid, O2 saturation: 15 min Overnight synthesis. Precursor volume 1.5 L</t>
  </si>
  <si>
    <r>
      <t xml:space="preserve">0.283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0.003</t>
    </r>
  </si>
  <si>
    <t>Stack 33 Cell 3</t>
  </si>
  <si>
    <t>VSG01A-23250E1.02</t>
  </si>
  <si>
    <t>VSG01A-23253E1</t>
  </si>
  <si>
    <t>13.8 x 26.0 cm2 (2 x1 kW Anode) Support, Used a Lid, O2 saturation: Bubbled for 15 min. Overnight synthesis. Precursor volume 1.5 L</t>
  </si>
  <si>
    <t>VSG01A-23253E1.01</t>
  </si>
  <si>
    <t>1kW 12.3 x 12.2 cm2</t>
  </si>
  <si>
    <t>VSG01A-23253E1.02</t>
  </si>
  <si>
    <t>Stack 33 Cell 1</t>
  </si>
  <si>
    <t>VSG01A-23254E1.01</t>
  </si>
  <si>
    <t>15.3 x 29.1 cm2 (2 x1 kW Anode) Support, Used a Lid, O2 saturation: Bubbled for 15 min. Overnight synthesis. Precursor volume 1.5 L</t>
  </si>
  <si>
    <r>
      <t xml:space="preserve">0.283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0.004</t>
    </r>
  </si>
  <si>
    <t>VSG01A-23254E1.01-01</t>
  </si>
  <si>
    <t>VSG01A-23254E1.01-02</t>
  </si>
  <si>
    <t>VSG01A-23254E1.02</t>
  </si>
  <si>
    <r>
      <t xml:space="preserve">0.295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0.003</t>
    </r>
  </si>
  <si>
    <t>VSG01A-23254E1.02-01</t>
  </si>
  <si>
    <t>VSG01A-23254E1.02-02</t>
  </si>
  <si>
    <t>VSG01A-23255E1.01</t>
  </si>
  <si>
    <r>
      <t xml:space="preserve">0.277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0.004</t>
    </r>
  </si>
  <si>
    <t>VSG01A-23255E1.01-01</t>
  </si>
  <si>
    <t>VSG01A-23255E1.01-02</t>
  </si>
  <si>
    <t>VSG01A-23255E1.02</t>
  </si>
  <si>
    <r>
      <t xml:space="preserve">0.276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0.003</t>
    </r>
  </si>
  <si>
    <t>VSG01A-23255E1.02-01</t>
  </si>
  <si>
    <t>VSG01A-23255E1.02-02</t>
  </si>
  <si>
    <t>VSG01A-23256E1.01</t>
  </si>
  <si>
    <t>4.0 x 4.0 cm2, Acetone treatment, No acid treatment &gt; directly into the precursor bath</t>
  </si>
  <si>
    <t>20230922 (no aicd treatment)</t>
  </si>
  <si>
    <t xml:space="preserve">LSFP 20230922 PTL without acid treatment </t>
  </si>
  <si>
    <t>VSG01A-23256E1.02</t>
  </si>
  <si>
    <t>4.0 x 4.0 cm2, Acetone treatment, 10 min acid treatment &gt; SOP Rinsing in sonicator &gt; precursor bath</t>
  </si>
  <si>
    <t>VSG01A-23256E1.03</t>
  </si>
  <si>
    <t>4.0 x 4.0 cm2, Acetone treatment, 20 min acid treatment &gt; SOP Rinsing in sonicator &gt; precursor bath</t>
  </si>
  <si>
    <t>VSG01A-23256E1.04</t>
  </si>
  <si>
    <t>4.0 x 4.0 cm2, Acetone treatment, 60 min acid treatment &gt; SOP Rinsing in sonicator &gt; precursor bath</t>
  </si>
  <si>
    <t>20230925 (with acid treatement)</t>
  </si>
  <si>
    <t xml:space="preserve">LSFP 20230925 PTL with acid treatment </t>
  </si>
  <si>
    <t>VSG01A-23256E1.05</t>
  </si>
  <si>
    <t>4.0 x 4.0 cm2, Acetone treatment, 60 min acid treatment &gt; Light DI water rinse &gt; precursor bath</t>
  </si>
  <si>
    <t>VSG01A-23261E1.01</t>
  </si>
  <si>
    <t>17.4 x 26.1 cm2 (2 x1 kW Anode) Flow Through Anode w/o support, Used a Lid, O2 saturation: Bubbled for 15 min. Overnight synthesis. Precursor volume 1.5 L</t>
  </si>
  <si>
    <t>VSG01A-23261E1.01 location #1</t>
  </si>
  <si>
    <t>VSG01A-23261E1.01 location #8</t>
  </si>
  <si>
    <t>VSG01A-23269C1.01</t>
  </si>
  <si>
    <t>baseline anode (10 x 10 cm)</t>
  </si>
  <si>
    <t>VSG01A-23269C1.01-Location #1</t>
  </si>
  <si>
    <t>5cm2 cell test</t>
  </si>
  <si>
    <t>20231002 (#1)</t>
  </si>
  <si>
    <t>LSFP 20231002 Baseline #1-1</t>
  </si>
  <si>
    <t>VSG01A-23269C1.01-Location #5</t>
  </si>
  <si>
    <t>Chris- ICR</t>
  </si>
  <si>
    <t>VSG01A-23269C1.01-Location #6</t>
  </si>
  <si>
    <t>20231002 (#6)</t>
  </si>
  <si>
    <t>LSFP 20231002 Baseline #1-6</t>
  </si>
  <si>
    <t>VSG01A-23269C1.01-Location #7</t>
  </si>
  <si>
    <t>5cm2 cll test - back up</t>
  </si>
  <si>
    <t>20231010 (#7)</t>
  </si>
  <si>
    <t>LSLBFP 20231010 Backup Baseline #1-7</t>
  </si>
  <si>
    <t>VSG01A-23269C1.01-Location #8</t>
  </si>
  <si>
    <t>20231010 (#8)</t>
  </si>
  <si>
    <t>LSLBFP 20231010 Backup Baseline #1-8</t>
  </si>
  <si>
    <t>VSG01A-23269C1.01-Location #9</t>
  </si>
  <si>
    <t>VSG01A-23270C1.01</t>
  </si>
  <si>
    <t>VSG01A-23270C1.01 - Location #1</t>
  </si>
  <si>
    <t>20231003 (#1)</t>
  </si>
  <si>
    <t>LSFP 20231003 Baseline #2-1</t>
  </si>
  <si>
    <t>VSG01A-23270C1.01 - Location #3</t>
  </si>
  <si>
    <t>20231013 (#3)</t>
  </si>
  <si>
    <t xml:space="preserve">LSLBFP 20231013 Backup Baseline#2-3 </t>
  </si>
  <si>
    <t>VSG01A-23270C1.01 - Location #4</t>
  </si>
  <si>
    <t>20231003 (#4)</t>
  </si>
  <si>
    <t>LSFP 20231003 Baseline #2-4</t>
  </si>
  <si>
    <t>VSG01A-23270C1.01 - Location #5</t>
  </si>
  <si>
    <t>20231013 (#5)</t>
  </si>
  <si>
    <t xml:space="preserve">LSLBFP 20231013 Backup Baseline#2-5 </t>
  </si>
  <si>
    <t>VSG01A-23270C1.01 - Location #7</t>
  </si>
  <si>
    <t>VSG01A-23270C1.01 - Location #8</t>
  </si>
  <si>
    <t>VSG01A-23271C1.01</t>
  </si>
  <si>
    <t>VSG01A-23271C1.01 - Location #1</t>
  </si>
  <si>
    <t>20231004 (#1)</t>
  </si>
  <si>
    <t>LSLBFP 20231004 Baseline #3-1</t>
  </si>
  <si>
    <t>VSG01A-23271C1.01-Location #2</t>
  </si>
  <si>
    <t>VSG01A-23271C1.01- Location #3</t>
  </si>
  <si>
    <t>20231016 (#3)</t>
  </si>
  <si>
    <t xml:space="preserve">LSLBFP 20231016 Backup Baseline#3-3 </t>
  </si>
  <si>
    <t>VSG01A-23271C1.01- Location #5</t>
  </si>
  <si>
    <t>VSG01A-23271C1.01- Location #6</t>
  </si>
  <si>
    <t>20231004 (#6)</t>
  </si>
  <si>
    <t>LSLBFP 20231004 Baseline #3-6</t>
  </si>
  <si>
    <t>VSG01A-23271C1.01- Location #8</t>
  </si>
  <si>
    <t>20231016 (#8)</t>
  </si>
  <si>
    <t xml:space="preserve">LSLBFP 20231016 Backup Baseline#3-8 </t>
  </si>
  <si>
    <t>VSG01A-23270C1.02</t>
  </si>
  <si>
    <t>FTA anode (10 x 10 cm)</t>
  </si>
  <si>
    <t>VSG01A-23270C1.02- Location #4</t>
  </si>
  <si>
    <t>20231005 (#4)</t>
  </si>
  <si>
    <t>LSLBFP 20231005 Baseline #1 FTA</t>
  </si>
  <si>
    <t>VSG01A-23270C1.02- Location #5</t>
  </si>
  <si>
    <t>20231005 (#5)</t>
  </si>
  <si>
    <t>LSLBFP 20231005 Baseline #2 FTA</t>
  </si>
  <si>
    <t>VSG01A-23270C1.02- Location #2</t>
  </si>
  <si>
    <t>VSG01A-23270C1.02- Location #3</t>
  </si>
  <si>
    <t>VSG01A-23270C1.02- Location #7</t>
  </si>
  <si>
    <t>VSG01A-23270C1.02- Location #9</t>
  </si>
  <si>
    <t>VSG01A-23271C1.02</t>
  </si>
  <si>
    <t>VSG01A-23271C1.02 -Location #1</t>
  </si>
  <si>
    <t>20231006 (#1)</t>
  </si>
  <si>
    <t>LSLBFP 20231006 Baseline #3 FTA</t>
  </si>
  <si>
    <t>VSG01A-23271C1.02 -Location #4</t>
  </si>
  <si>
    <t>VSG01A-23271C1.02 -Location #5</t>
  </si>
  <si>
    <t>20231006 (#5)</t>
  </si>
  <si>
    <t>LSLBFP 20231006 Baseline #4 FTA</t>
  </si>
  <si>
    <t>VSG01A-23271C1.02 -Location #6</t>
  </si>
  <si>
    <t>VSG01A-23271C1.02 -Location #8</t>
  </si>
  <si>
    <t>Count</t>
  </si>
  <si>
    <t>VSG01A-23271C1.02 -Location #9</t>
  </si>
  <si>
    <t>Average</t>
  </si>
  <si>
    <t>VSG01A-23272C1.01</t>
  </si>
  <si>
    <t>Std Dev</t>
  </si>
  <si>
    <t>VSG01A-23272C1.02 -Location #1</t>
  </si>
  <si>
    <t>20231009 (#1)</t>
  </si>
  <si>
    <t>LSLBFP 20231009 Baseline #5 FTA</t>
  </si>
  <si>
    <t>VSG01A-23272C1.02 -Location #3</t>
  </si>
  <si>
    <t>Exclude high conductivity cell</t>
  </si>
  <si>
    <t>VSG01A-23272C1.02 -Location #5</t>
  </si>
  <si>
    <t>20231009 (#5)</t>
  </si>
  <si>
    <t>LSLBFP 20231009 Baseline #6 FTA</t>
  </si>
  <si>
    <t>VSG01A-23272C1.02 -Location #6</t>
  </si>
  <si>
    <t>VSG01A-23272C1.02 -Location #7</t>
  </si>
  <si>
    <t>VSG01A-23272C1.02 -Location #8</t>
  </si>
  <si>
    <t>VSG01A-23276E1.01</t>
  </si>
  <si>
    <t>27.2 x 14.1 cm2 (2 x1 kW Anode) Support, Used a Lid, O2 saturation: 15 min Overnight synthesis. Precursor volume 1.5 L</t>
  </si>
  <si>
    <r>
      <t xml:space="preserve">0.274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0.003</t>
    </r>
  </si>
  <si>
    <t>VSG01A-23276E1.02</t>
  </si>
  <si>
    <t>VSG01A-23276E1.02-#3</t>
  </si>
  <si>
    <t>Dip coated (10/30/2023) with TP-85-MQN - for 5cm2 cell testing</t>
  </si>
  <si>
    <t>VSG01A-23276E1.02-#21</t>
  </si>
  <si>
    <t>Dip coated (10/30/2023) with TP-85-MQN</t>
  </si>
  <si>
    <t>VSG01A-23276E1.02-#27</t>
  </si>
  <si>
    <t>VSG01A-23276E1.02-#44</t>
  </si>
  <si>
    <t>VSG01A-23276E1.02 #1</t>
  </si>
  <si>
    <t>SD (Q= V= H=) -TP-85-MQN (SW 5.84%)</t>
  </si>
  <si>
    <t>VSG01A-23276E1.02 #2</t>
  </si>
  <si>
    <t>VSG01A-23276E1.02 #10</t>
  </si>
  <si>
    <t>VSG01A-23276E1.02 #11</t>
  </si>
  <si>
    <t>VSG01A-23277E1.01</t>
  </si>
  <si>
    <t>27.2 x 17.9 cm2 (2 x1 kW Anode) Support, Used a Lid, O2 saturation: 15 min Overnight synthesis. Precursor volume 1.5 L</t>
  </si>
  <si>
    <r>
      <t xml:space="preserve">0.274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0.002</t>
    </r>
  </si>
  <si>
    <t>VSG01A-23277E1.02</t>
  </si>
  <si>
    <t>15.1 x 16.1 cm2 (1 kW Anode) Support, Used a Lid, O2 saturation: 15 min Overnight synthesis. Precursor volume 1.5 L</t>
  </si>
  <si>
    <r>
      <t xml:space="preserve">0.279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0.004</t>
    </r>
  </si>
  <si>
    <t>VSG01A-23277E1.03</t>
  </si>
  <si>
    <t>15.1 x 15.8 cm2 (1 kW Anode) Support, Used a Lid, O2 saturation: 15 min Overnight synthesis. Precursor volume 1.5 L</t>
  </si>
  <si>
    <r>
      <t xml:space="preserve">0.271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0.004</t>
    </r>
  </si>
  <si>
    <t>VSG01A-23279E1.01</t>
  </si>
  <si>
    <t>27.1 x 14.2 cm2 (2 x1 kW Anode) Support, Used a Lid, O2 saturation: 15 min Overnight synthesis. Precursor volume 1.5 L</t>
  </si>
  <si>
    <r>
      <t xml:space="preserve">0.274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0.006</t>
    </r>
  </si>
  <si>
    <r>
      <t xml:space="preserve">0.280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0.003</t>
    </r>
  </si>
  <si>
    <t>VSG01A-23282E1.01</t>
  </si>
  <si>
    <t>26.7 x 14.0 cm2 (2 x1 kW Anode) Support, Used a Lid, O2 saturation: 15 min Overnight synthesis. Precursor volume 1.5 L</t>
  </si>
  <si>
    <t>VSG01A-23282E1.02</t>
  </si>
  <si>
    <t>15.2 x 17.4 cm2 (1 kW Anode) Support, Used a Lid, O2 saturation: 15 min Overnight synthesis. Precursor volume 1.5 L</t>
  </si>
  <si>
    <t>VSG01A-23282E1.03</t>
  </si>
  <si>
    <t>14.8 x 14.0 cm2 (1 kW Anode) Support, Used a Lid, O2 saturation: 15 min Overnight synthesis. Precursor volume 1.5 L</t>
  </si>
  <si>
    <t>Root cause slot die anode</t>
  </si>
  <si>
    <t>VSG01A-23282E1.03-01</t>
  </si>
  <si>
    <t>SD anodes- low loading</t>
  </si>
  <si>
    <t>VSG01A-23282E1.03-02</t>
  </si>
  <si>
    <t>SD anodes- low loading (slot die (Q= 3.39  mL/min, V= 12   mm/s, H = 250  um)</t>
  </si>
  <si>
    <t>VSG01A-23282E1.03-03</t>
  </si>
  <si>
    <t>VSG01A-23282E1.03-04</t>
  </si>
  <si>
    <t>VSG01A-23282E1.03-05</t>
  </si>
  <si>
    <t>SD anodes- high loading (slot die (Q= 3.39  mL/min, V= 12   mm/s, H = 250  um)</t>
  </si>
  <si>
    <t>VSG01A-23282E1.03-06</t>
  </si>
  <si>
    <t>VSG01A-23282E1.03-07</t>
  </si>
  <si>
    <t>VSG01A-23282E1.03-08</t>
  </si>
  <si>
    <t>VSG01A-23284E1</t>
  </si>
  <si>
    <t>25.1x 14.7 cm2 (2 x 1 kW Anode) Solution Flow Through Setup with Lid, O2 saturation: Bubbled 15 min, Overnight synthesis. Precursor volume 2.0 L</t>
  </si>
  <si>
    <t>VSG01A-23284E1-01</t>
  </si>
  <si>
    <t>12.2 x 12.3 cm2 (1 kW Anode Flow Through)</t>
  </si>
  <si>
    <t>VSG01A-23284E1-02</t>
  </si>
  <si>
    <t>VSG01A-23290E1</t>
  </si>
  <si>
    <t>25.1 x 12.9cm2 (2 x 1 kW Anode) Solution Flow Through Setup with Lid, O2 saturation: Bubbled 15 min, Overnight synthesis. Precursor volume 2.0 L</t>
  </si>
  <si>
    <t>PTL 1</t>
  </si>
  <si>
    <t>Ionomer laoding study (PTL was dip coated with TP-85-MQN ionomer following the SOP) -After three days, PTL was sonicated 5 min with Ethanol and dried PTL and evaporated the Ethanol from the vial to check the mass balance (After the ethanol wash dried PTL mass is 0.5967g)</t>
  </si>
  <si>
    <t>PTL 2</t>
  </si>
  <si>
    <t>Ionomer laoding study. Dried PTL mass was 0.5836 g</t>
  </si>
  <si>
    <t>VSG01A-23220E1</t>
  </si>
  <si>
    <t xml:space="preserve">BP-100-MQN-x ionomer coated  </t>
  </si>
  <si>
    <t>VSG01A-23220E1.01</t>
  </si>
  <si>
    <t>Location 1</t>
  </si>
  <si>
    <t>Fausto</t>
  </si>
  <si>
    <t>Location 3</t>
  </si>
  <si>
    <t>Location 5</t>
  </si>
  <si>
    <t>Location 9</t>
  </si>
  <si>
    <t>VSG01A-23293E1</t>
  </si>
  <si>
    <t>24.6 x 15.2 cm2 (2 x 1 kW Anode) Solution Flow Through Setup with Lid, O2 saturation: Bubbled 15 min, Overnight synthesis. Precursor volume 2.0 L</t>
  </si>
  <si>
    <t>Stack #38</t>
  </si>
  <si>
    <t>VSG01A-23293E1.01</t>
  </si>
  <si>
    <t>VSG01A-23296E1</t>
  </si>
  <si>
    <t>VSG01A-23296E1.01</t>
  </si>
  <si>
    <t>VSG01A-23296E1.02</t>
  </si>
  <si>
    <t>VSG01A-23297E1</t>
  </si>
  <si>
    <t>Sid</t>
  </si>
  <si>
    <r>
      <t xml:space="preserve">0.268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0.004</t>
    </r>
  </si>
  <si>
    <t>VSG01A-23298E1</t>
  </si>
  <si>
    <r>
      <t xml:space="preserve">0.269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0.005</t>
    </r>
  </si>
  <si>
    <t>VSG01A-23303C1</t>
  </si>
  <si>
    <t>28.9 x 19.7 cm2 (2 x1 kW Anode) Support, Used a Lid, O2 saturation: 15 min Overnight synthesis. Precursor volume 1.5 L</t>
  </si>
  <si>
    <t>VSG01A-23304E1.01</t>
  </si>
  <si>
    <t>15.3 X 25.04 cm2 (2 x1 kW Anode) Support, Used a Lid, O2 saturation: 15 min Overnight synthesis. Precursor volume 1.5 L</t>
  </si>
  <si>
    <t>VSG01A-23304E1.02</t>
  </si>
  <si>
    <t>26.0 x 14.3 cm2 (2 x1 kW Anode) Support, Used a Lid, O2 saturation: 15 min Overnight synthesis. Precursor volume 1.5 L</t>
  </si>
  <si>
    <t>VSG02A-23305E1.01</t>
  </si>
  <si>
    <t>13.9 x 26.0 (2 x 1 kW Anode) Support, Used a Lid, O2 Saturation: 15 min Overnight synthesis. Precursor Volume 1.5 L</t>
  </si>
  <si>
    <t>VSG02A-23305E1.02</t>
  </si>
  <si>
    <t>14.0 x 27.3 (2 x 1 kW Anode), Used a Lit, O2 Saturation: 15 min Overnight synthesis. Precursor Volume 1.5 L</t>
  </si>
  <si>
    <t>VSG02A-23305E1.02-01</t>
  </si>
  <si>
    <t xml:space="preserve">11.3 x 11.3 cm2 (1 kW Anode) </t>
  </si>
  <si>
    <t>Luis</t>
  </si>
  <si>
    <t>VSG02A-23306E1.01</t>
  </si>
  <si>
    <t>31.6 x 22.6 cm2 (10 kW Anode)  Support, Used a Lid, O2 saturation: 15 min Overnight synthesis. Precursor volume 1.5 L</t>
  </si>
  <si>
    <t>VSG02A-23306E1.01-01</t>
  </si>
  <si>
    <t>Slot die ionomer coating (09/14/2023)</t>
  </si>
  <si>
    <t>VSG02A-23306E1.01-02</t>
  </si>
  <si>
    <t>VSG02A-23306E1.01-03</t>
  </si>
  <si>
    <t>VSG02A-23306E1.01-04</t>
  </si>
  <si>
    <t>VSG02A-23306E1.01-05</t>
  </si>
  <si>
    <t>VSG02A-23306E1.01-06</t>
  </si>
  <si>
    <t>VSG02A-23306E1.01-07</t>
  </si>
  <si>
    <t>VSG02A-23306E1.01-08</t>
  </si>
  <si>
    <t>VSG02A-23306E1.01-09</t>
  </si>
  <si>
    <t>VSG02A-23306E1.01-10</t>
  </si>
  <si>
    <t>VSG02A-23306E1.01-11</t>
  </si>
  <si>
    <t>VSG02A-23306E1.01-12</t>
  </si>
  <si>
    <t>VSG02A-23306E1.01-13</t>
  </si>
  <si>
    <t>VSG02A-23306E1.01-14</t>
  </si>
  <si>
    <t>VSG02A-23306E1.01-15</t>
  </si>
  <si>
    <t>VSG02A-23306E1.01-16</t>
  </si>
  <si>
    <t>VSG02A-23306E1.01-17</t>
  </si>
  <si>
    <t>VSG02A-23306E1.01-18</t>
  </si>
  <si>
    <t>VSG02A-23306E1.01-19</t>
  </si>
  <si>
    <t>VSG02A-23306E1.01-20</t>
  </si>
  <si>
    <t>VSG02A-23306E1.01-21</t>
  </si>
  <si>
    <t>VSG02A-23306E1.01-22</t>
  </si>
  <si>
    <t>VSG02A-23306E1.01-23</t>
  </si>
  <si>
    <t>VSG02A-23306E1.01-24</t>
  </si>
  <si>
    <t>VSG02A-23306E1.01-25</t>
  </si>
  <si>
    <t>VSG02A-23306E1.01-26</t>
  </si>
  <si>
    <t>VSG02A-23306E1.01-27</t>
  </si>
  <si>
    <t>VSG02A-23306E1.01-28</t>
  </si>
  <si>
    <t>VSG02A-23306E1.01-29</t>
  </si>
  <si>
    <t>VSG02A-23306E1.01-30</t>
  </si>
  <si>
    <t>VSG02A-23306E1.01-31</t>
  </si>
  <si>
    <t>VSG02A-23306E1.01-32</t>
  </si>
  <si>
    <t>VSG02A-23306E1.01-33</t>
  </si>
  <si>
    <t>VSG02A-23306E1.01-34</t>
  </si>
  <si>
    <t>VSG02A-23306E1.01-35</t>
  </si>
  <si>
    <t>VSG02A-23306E1.01-36</t>
  </si>
  <si>
    <t>VSG02A-23306E1.01-37</t>
  </si>
  <si>
    <t>VSG02A-23306E1.01-38</t>
  </si>
  <si>
    <t>VSG02A-23306E1.01-39</t>
  </si>
  <si>
    <t>VSG02A-23306E1.01-40</t>
  </si>
  <si>
    <t>VSG02A-23306E1.01-41</t>
  </si>
  <si>
    <t>VSG02A-23306E1.01-42</t>
  </si>
  <si>
    <t>VSG02A-23306E1.01-43</t>
  </si>
  <si>
    <t>VSG02A-23306E1.01-44</t>
  </si>
  <si>
    <t>VSG02A-23306E1.01-45</t>
  </si>
  <si>
    <t>VSG02A-23306E1.01-46</t>
  </si>
  <si>
    <t>VSG02A-23306E1.01-47</t>
  </si>
  <si>
    <t>VSG02A-23306E1.01-48</t>
  </si>
  <si>
    <t>VSG02A-23306E1.01-49</t>
  </si>
  <si>
    <t>VSG02A-23306E1.01-50</t>
  </si>
  <si>
    <t>MWP007 Cell 1</t>
  </si>
  <si>
    <t>VSG02A-23306E1.02</t>
  </si>
  <si>
    <t>31.6 x 22.5 cm2 (10 kW Anode)  Support, Used a Lid, O2 saturation: 15 min Overnight synthesis. Precursor volume 1.5 L</t>
  </si>
  <si>
    <t>MWP007</t>
  </si>
  <si>
    <r>
      <t xml:space="preserve">0.284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0.004</t>
    </r>
  </si>
  <si>
    <t>VSG02A-23307E1.01</t>
  </si>
  <si>
    <t>31.5 x 21.5 cm2 (10 kW Anode)  Support, Used a Lid, O2 saturation: 15 min Overnight synthesis. Precursor volume 1.5 L</t>
  </si>
  <si>
    <t>VSG02A-23307E1.01-01</t>
  </si>
  <si>
    <t>5 cm2 cell</t>
  </si>
  <si>
    <t>VSG02A-23307E1.01-02</t>
  </si>
  <si>
    <t>VSG02A-23307E1.01-03</t>
  </si>
  <si>
    <t>VSG02A-23307E1.01-04</t>
  </si>
  <si>
    <t>VSG02A-23307E1.01-05</t>
  </si>
  <si>
    <t>VSG02A-23307E1.01-06</t>
  </si>
  <si>
    <t>VSG02A-23307E1.01-07</t>
  </si>
  <si>
    <t>VSG02A-23307E1.01-08</t>
  </si>
  <si>
    <t>VSG02A-23307E1.01-09</t>
  </si>
  <si>
    <t>VSG02A-23307E1.01-10</t>
  </si>
  <si>
    <t>VSG02A-23307E1.01-11</t>
  </si>
  <si>
    <t>VSG02A-23307E1.01-12</t>
  </si>
  <si>
    <t>VSG02A-23307E1.01-13</t>
  </si>
  <si>
    <t>VSG02A-23307E1.01-14</t>
  </si>
  <si>
    <t>VSG02A-23307E1.01-15</t>
  </si>
  <si>
    <t>VSG02A-23307E1.01-16</t>
  </si>
  <si>
    <t>VSG02A-23307E1.01-17</t>
  </si>
  <si>
    <t>VSG02A-23307E1.01-18</t>
  </si>
  <si>
    <t>VSG02A-23307E1.01-19</t>
  </si>
  <si>
    <t>VSG02A-23307E1.01-20</t>
  </si>
  <si>
    <t>VSG02A-23307E1.02</t>
  </si>
  <si>
    <t>MWP007 Cell 2</t>
  </si>
  <si>
    <t>VSG02A-23310E1.01</t>
  </si>
  <si>
    <t>31.4 x 22.5 cm2 (10 kW Anode)  Support, Used a Lid, O2 saturation: 15 min Overnight synthesis. Precursor volume 1.5 L</t>
  </si>
  <si>
    <r>
      <t xml:space="preserve">0.272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0.004</t>
    </r>
  </si>
  <si>
    <t>MWP007 Cell 3</t>
  </si>
  <si>
    <t>VSG02A-23310E1.02</t>
  </si>
  <si>
    <t>31.6 x 22.3 cm2 (10 kW Anode)  Support, Used a Lid, O2 saturation: 15 min Overnight synthesis. Precursor volume 1.5 L</t>
  </si>
  <si>
    <t>VSG02A-23311E1.01</t>
  </si>
  <si>
    <t>CS04003/04</t>
  </si>
  <si>
    <t>VSG02A-23311E1.02</t>
  </si>
  <si>
    <t>31.7 x 22.5 cm2 (10 kW Anode)  Support, Used a Lid, O2 saturation: 15 min Overnight synthesis. Precursor volume 1.5 L</t>
  </si>
  <si>
    <r>
      <t xml:space="preserve">0.256 </t>
    </r>
    <r>
      <rPr>
        <u/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>0.005</t>
    </r>
  </si>
  <si>
    <t>MWP007 Cell 4</t>
  </si>
  <si>
    <t>VSG02A-23312E1.01</t>
  </si>
  <si>
    <t>31.7 x 22.4 cm2 (10 kW Anode)  Support, Used a Lid, O2 saturation: 15 min Overnight synthesis. Precursor volume 1.5 L</t>
  </si>
  <si>
    <r>
      <t xml:space="preserve">0.257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0.005</t>
    </r>
  </si>
  <si>
    <t>MWP007 Cell 5</t>
  </si>
  <si>
    <t>VSG02A-23312E1.02</t>
  </si>
  <si>
    <t>31.6 x 22.4 cm2 (10 kW Anode)  Support, Used a Lid, O2 saturation: 15 min Overnight synthesis. Precursor volume 1.5 L</t>
  </si>
  <si>
    <r>
      <t xml:space="preserve">0.251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0.004</t>
    </r>
  </si>
  <si>
    <t>VSG02A-23313E1.01</t>
  </si>
  <si>
    <r>
      <t xml:space="preserve">0.254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0.004</t>
    </r>
  </si>
  <si>
    <t>VSG02A-23313E1.01-01</t>
  </si>
  <si>
    <t>VSG02A-23313E1.01-02</t>
  </si>
  <si>
    <t>VSG02A-23313E1.02</t>
  </si>
  <si>
    <t>VSG02A-23314E1.01</t>
  </si>
  <si>
    <t>2239L</t>
  </si>
  <si>
    <t>2337U</t>
  </si>
  <si>
    <r>
      <t xml:space="preserve">0.262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0.006</t>
    </r>
  </si>
  <si>
    <t>VSG02A-23314E1.01-01</t>
  </si>
  <si>
    <t>VSG02A-23314E1.01-02</t>
  </si>
  <si>
    <t>VSG02A-23314E1.02</t>
  </si>
  <si>
    <r>
      <t xml:space="preserve">0.265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0.005</t>
    </r>
  </si>
  <si>
    <t>VSG02A-23314E1.02-01</t>
  </si>
  <si>
    <t>VSG02A-23314E1.02-02</t>
  </si>
  <si>
    <t>VSG02A-23317E1.01</t>
  </si>
  <si>
    <t>VSG02A-23317E1.01-01</t>
  </si>
  <si>
    <t>VSG02A-23317E1.01-02</t>
  </si>
  <si>
    <t>VSG02A-23317E1.02</t>
  </si>
  <si>
    <r>
      <t xml:space="preserve">0.258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0.005</t>
    </r>
  </si>
  <si>
    <t>VSG02A-23317E1.02-01</t>
  </si>
  <si>
    <t>VSG02A-23317E1.02-02</t>
  </si>
  <si>
    <t>VSG02A-23318E1.01</t>
  </si>
  <si>
    <t>VSG02A-23318E1.01-01</t>
  </si>
  <si>
    <t>VSG02A-23318E1.01-02</t>
  </si>
  <si>
    <t>VSG02A-23318E1.02</t>
  </si>
  <si>
    <r>
      <t xml:space="preserve">0.247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0.004</t>
    </r>
  </si>
  <si>
    <t>VSG02A-23318E1.02-1</t>
  </si>
  <si>
    <t>VSG02A-23318E1.02-2</t>
  </si>
  <si>
    <t>VSG02A-23319E1.01</t>
  </si>
  <si>
    <r>
      <t xml:space="preserve">0.270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0.004</t>
    </r>
  </si>
  <si>
    <t>VSG02A-23319E1.01-01</t>
  </si>
  <si>
    <t>VSG02A-23319E1.01-02</t>
  </si>
  <si>
    <t>VSG02A-23319E1.02</t>
  </si>
  <si>
    <r>
      <t xml:space="preserve">0.273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0.005</t>
    </r>
  </si>
  <si>
    <t>VSG02A-23319E1.02-1</t>
  </si>
  <si>
    <t>VSG02A-23319E1.02-2</t>
  </si>
  <si>
    <t>VSG02A-23320E1.01</t>
  </si>
  <si>
    <t>VSG02A-23320E1.02</t>
  </si>
  <si>
    <t>VSG02A-23321E1.01</t>
  </si>
  <si>
    <r>
      <t xml:space="preserve">0.263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0.003</t>
    </r>
  </si>
  <si>
    <t>VSG02A-23321E1.02-1</t>
  </si>
  <si>
    <t>VSG02A-23321E1.02-2</t>
  </si>
  <si>
    <t>VSG02A-23321E1.02</t>
  </si>
  <si>
    <r>
      <t xml:space="preserve">0.263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0.002</t>
    </r>
  </si>
  <si>
    <t>VSG02A-23324E1.01</t>
  </si>
  <si>
    <t>VSG02A-23324E1.02</t>
  </si>
  <si>
    <t>31.5 x 22.5 cm2 (10 kW Anode)  Support, Used a Lid, O2 saturation: 15 min Overnight synthesis. Precursor volume 1.5 L</t>
  </si>
  <si>
    <t>VSG02A-23331E1.01</t>
  </si>
  <si>
    <t>VSG02A-23331E1.02</t>
  </si>
  <si>
    <t>VSG02A-23332E1.01</t>
  </si>
  <si>
    <t>31.6 x 22.5 cm2 (10 kW Anode)  Support, Used a Lid, O2 saturation: 15 min Overnight synthesis. Precursor volume 1.5 L | Used for R&amp;D Work</t>
  </si>
  <si>
    <t>VSG02A-23332E1.02</t>
  </si>
  <si>
    <t>VSG02A-23333E1.01</t>
  </si>
  <si>
    <t>VSG02A-23333E1.02</t>
  </si>
  <si>
    <t>VSG02A-23334E1.01</t>
  </si>
  <si>
    <t>VSG02A-23334E1.02</t>
  </si>
  <si>
    <t>VSG02A-23335E1.01</t>
  </si>
  <si>
    <t>31.6 x 22.8 cm2 (10 kW Anode)  Support, Used a Lid, O2 saturation: 15 min Overnight synthesis. Precursor volume 1.5 L</t>
  </si>
  <si>
    <t>VSG02A-23335E1.02</t>
  </si>
  <si>
    <t>31.7 x 23.0 cm2 (10 kW Anode)  Support, Used a Lid, O2 saturation: 15 min Overnight synthesis. Precursor volume 1.5 L</t>
  </si>
  <si>
    <t>VSG02A-23336E1.01</t>
  </si>
  <si>
    <t>VSG02A-23336E1.02</t>
  </si>
  <si>
    <t>VSG02A-23338E1.01</t>
  </si>
  <si>
    <t>VSG02A-23338E1.02</t>
  </si>
  <si>
    <t>VSG02A-23339E1.01</t>
  </si>
  <si>
    <t>13.0 x 26.0 cm2 (1 kW Anode)  Support, Used a Lid, O2 saturation: 15 min Overnight synthesis. Precursor volume 1.0 L</t>
  </si>
  <si>
    <t>VSG02A-23339E1.01-01</t>
  </si>
  <si>
    <t>VSG02A-23339E1.01-02</t>
  </si>
  <si>
    <t>VSG02A-23339E1.02</t>
  </si>
  <si>
    <t>VSG02A-23339E1.02-01</t>
  </si>
  <si>
    <t>VSG02A-23339E1.03</t>
  </si>
  <si>
    <t>VSG02A-23339E1.03-01</t>
  </si>
  <si>
    <t>VSG02A-23339E1.03-02</t>
  </si>
  <si>
    <t>VSG02A-23339E1.04</t>
  </si>
  <si>
    <t>14.0 x 26.0 cm2 (1 kW Anode)  Support, Used a Lid, O2 saturation: 15 min Overnight synthesis. Precursor volume 1.0 L</t>
  </si>
  <si>
    <t>VSG02A-23339E1.04-01</t>
  </si>
  <si>
    <t>VSG02A-23339E1.04-02</t>
  </si>
  <si>
    <t>VSG02A-23340E1.01</t>
  </si>
  <si>
    <t>VSG02A-23340E1.02</t>
  </si>
  <si>
    <t>VSG02A-23340E1.03</t>
  </si>
  <si>
    <t>14.0 x 26.1 cm2 (1 kW Anode)  Support, Used a Lid, O2 saturation: 15 min Overnight synthesis. Precursor volume 1.0 L</t>
  </si>
  <si>
    <t>VSG02A-23340E1.04</t>
  </si>
  <si>
    <t>VSG02A-23342E1.01</t>
  </si>
  <si>
    <t>31.7 x 22.9 cm2 (10 kW Anode)  Support, Used a Lid, O2 saturation: 15 min Overnight synthesis. Precursor volume 1.5 L</t>
  </si>
  <si>
    <t>VSG02A-23342E1.02</t>
  </si>
  <si>
    <t>VSG02A-23343E1.03</t>
  </si>
  <si>
    <t>31.6 x 22.9 cm2 (10 kW Anode)  Support, Used a Lid, O2 saturation: 15 min Overnight synthesis. Precursor volume 1.5 L</t>
  </si>
  <si>
    <t>VSG02A-23343E1.01</t>
  </si>
  <si>
    <t>VSG02A-23343E1.02</t>
  </si>
  <si>
    <t>VSG02A-23345E1.01</t>
  </si>
  <si>
    <t>VSG02A-23345E1.02</t>
  </si>
  <si>
    <t>VSG02A-23345E1.03</t>
  </si>
  <si>
    <t>VSG02A-23345E1.04</t>
  </si>
  <si>
    <t>VSG02A-23346E1.01</t>
  </si>
  <si>
    <t>31.6 x 22.1 cm2 (10 kW Anode)  Support, Used a Lid, O2 saturation: 15 min Overnight synthesis. Precursor volume 1.5 L</t>
  </si>
  <si>
    <t>VSG02A-23346E1.02</t>
  </si>
  <si>
    <t>VSG02A-23346E1.03</t>
  </si>
  <si>
    <t>VSG02A-23347E1.01</t>
  </si>
  <si>
    <t>VSG02A-23347E1.02</t>
  </si>
  <si>
    <t>VSG02A-23348E1.01</t>
  </si>
  <si>
    <t>VSG02A-23348E1.02</t>
  </si>
  <si>
    <t>VSG02A-23348E1.03</t>
  </si>
  <si>
    <t>VSG02A-23348E1.04</t>
  </si>
  <si>
    <t>VSG02A-23349E1.01</t>
  </si>
  <si>
    <t>VSG02A-23349E1.02</t>
  </si>
  <si>
    <t>VSG02A-23352E1.01</t>
  </si>
  <si>
    <t>VSG02A-23352E1.02</t>
  </si>
  <si>
    <t>VSG02A-23352E1.03</t>
  </si>
  <si>
    <t>VSG02A-23352E1.04</t>
  </si>
  <si>
    <t>VSG02A-23353E1.01</t>
  </si>
  <si>
    <t>VSG02A-23353E1.02</t>
  </si>
  <si>
    <t>VSG02A-23353E1.03</t>
  </si>
  <si>
    <t>VSG02A-23353E1.04</t>
  </si>
  <si>
    <t>VSG02A-23354E1.01</t>
  </si>
  <si>
    <t>VSG02A-23354E1.02</t>
  </si>
  <si>
    <t>VSG02A-23354E1.03</t>
  </si>
  <si>
    <t>VSG02A-23354E1.04</t>
  </si>
  <si>
    <t>VSG02A-23355</t>
  </si>
  <si>
    <t>VSG02A-23356</t>
  </si>
  <si>
    <t>VSG02A-23360E1.01</t>
  </si>
  <si>
    <t>31.7 x 22.3 cm2 (10 kW Anode)  Support, Used a Lid, O2 saturation: 15 min Overnight synthesis. Precursor volume 1.5 L</t>
  </si>
  <si>
    <t>VSG02A-23360E1.02</t>
  </si>
  <si>
    <t>31.7 x 22.6 cm2 (10 kW Anode)  Support, Used a Lid, O2 saturation: 15 min Overnight synthesis. Precursor volume 1.5 L</t>
  </si>
  <si>
    <t>VSG02A-23361E1.01</t>
  </si>
  <si>
    <t>31.7 x 22.8 cm2 (10 kW Anode)  Support, Used a Lid, O2 saturation: 15 min Overnight synthesis. Precursor volume 1.5 L</t>
  </si>
  <si>
    <t>VSG02A-23361E1.02</t>
  </si>
  <si>
    <t>VSG02A-23361E1.03</t>
  </si>
  <si>
    <t>VSG02A-23361E1.04</t>
  </si>
  <si>
    <t>Sheet 1: for 5cm2</t>
  </si>
  <si>
    <t>two pieces for ionomer study and 5cm2 cell performance test for Lin</t>
  </si>
  <si>
    <r>
      <t xml:space="preserve">5*5 cm2 - Mott PTL-with support tubes. AVG. thickness 1.718 mm. Cut 2.4 X 2.4 cm2 - for 5 cm2 test </t>
    </r>
    <r>
      <rPr>
        <b/>
        <sz val="11"/>
        <color theme="1"/>
        <rFont val="Calibri"/>
        <family val="2"/>
        <scheme val="minor"/>
      </rPr>
      <t>(Lin)</t>
    </r>
  </si>
  <si>
    <t xml:space="preserve">electrode 2.4 cm x 2.4 cm -Lin - 5cm2 cell test. </t>
  </si>
  <si>
    <t>10.12mg/L dissolved O2 - submitted to Lin</t>
  </si>
  <si>
    <t>11 x 8 cm2. precursor solution volume 200 mL. Supporting tubes used to hold PTL - LIN</t>
  </si>
  <si>
    <t>Baseline: with supprting tubes</t>
  </si>
  <si>
    <t>FTA- for Lin 5cm2 test</t>
  </si>
  <si>
    <t>32.2 x 21.4 cm2 (10 kW Anode). Baseline</t>
  </si>
  <si>
    <t>VSG02A-23181E1.01</t>
  </si>
  <si>
    <t>Ionomer washing off study at room temperature</t>
  </si>
  <si>
    <t>VSG02A-23181E1.02</t>
  </si>
  <si>
    <t>Ionomer washing off study at 95 C</t>
  </si>
  <si>
    <t>Baseline anodes for cell testing</t>
  </si>
  <si>
    <t>FTA after 2 Hour</t>
  </si>
  <si>
    <t>Baseline anode after 2 Hour.</t>
  </si>
  <si>
    <t>2.5 cm x 2.5 cm - preconditioning with 3E test (DLC&gt;OER&gt;DLC), rinsed with DI water, Dried in the oven, ionmer dip coated. Submitted for 5cm2</t>
  </si>
  <si>
    <t>VSG01A-23249E1.01</t>
  </si>
  <si>
    <t>Low Fe laoding, 3-E Test Results</t>
  </si>
  <si>
    <t>High Fe loaidng, 3-E Test Results</t>
  </si>
  <si>
    <t>Baseline</t>
  </si>
  <si>
    <t>VSG01A-23220E1.02</t>
  </si>
  <si>
    <t>VSG01A-23220E1.03</t>
  </si>
  <si>
    <t>BP-MQN anodes</t>
  </si>
  <si>
    <t>New Ionomer</t>
  </si>
  <si>
    <t>slot die (Q=  mL/min, V=  mm/s, H =  um)</t>
  </si>
  <si>
    <t>VSG01A-23242E4.01</t>
  </si>
  <si>
    <t>Mott PTL, FTA, dip coating with(09/04/2023 ionomer dissolution date)</t>
  </si>
  <si>
    <t>VSG01A-23242E4.02</t>
  </si>
  <si>
    <t>VSG01A-23242E4.03</t>
  </si>
  <si>
    <t>VSG01A-23242E4.04</t>
  </si>
  <si>
    <t>TP-100 Slot die</t>
  </si>
  <si>
    <r>
      <t>Color measurement (</t>
    </r>
    <r>
      <rPr>
        <b/>
        <i/>
        <sz val="12"/>
        <color theme="1"/>
        <rFont val="Calibri"/>
        <family val="2"/>
      </rPr>
      <t>∆E)</t>
    </r>
  </si>
  <si>
    <r>
      <t>Ionic resistance DIW/Ohm cm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</si>
  <si>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r>
      <t>Ionic resistance 10 mM KOH/Ohm cm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</si>
  <si>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t>32.40 (top), 20.13 (bottom)</t>
  </si>
  <si>
    <t>Second Coating</t>
  </si>
  <si>
    <t>Third Coating</t>
  </si>
  <si>
    <t>N/A</t>
  </si>
  <si>
    <t>No 3E test</t>
  </si>
  <si>
    <t>25 Cell 3</t>
  </si>
  <si>
    <t>25 Cell 2</t>
  </si>
  <si>
    <t>25 Cell 1</t>
  </si>
  <si>
    <t>10.8 x 10.8 cm2 (1 kW Anode)  Support, Used a Lid, O2 saturation: 23.59 mg/L (20.8 C temp) Overnight synthesis. Precursor volume 1.5 L</t>
  </si>
  <si>
    <t>pending</t>
  </si>
  <si>
    <t>PN</t>
  </si>
  <si>
    <t>Fresh</t>
  </si>
  <si>
    <t>Used</t>
  </si>
  <si>
    <t xml:space="preserve">Fresh -used </t>
  </si>
  <si>
    <t>Location #</t>
  </si>
  <si>
    <t>Overpotential (mV)</t>
  </si>
  <si>
    <t>XRF (Fe:Ni)</t>
  </si>
  <si>
    <t>(mV)</t>
  </si>
  <si>
    <t>HFR</t>
  </si>
  <si>
    <t>Overpotential</t>
  </si>
  <si>
    <t>Tafel slope mV/dec</t>
  </si>
  <si>
    <t>23269.01 -baseline</t>
  </si>
  <si>
    <t>Loc-3</t>
  </si>
  <si>
    <t>Loc 3</t>
  </si>
  <si>
    <t>Loc 2</t>
  </si>
  <si>
    <t>Loc-4</t>
  </si>
  <si>
    <t>Loc-9</t>
  </si>
  <si>
    <t>23270.01-baseline</t>
  </si>
  <si>
    <t>Current density (mA/cm2)</t>
  </si>
  <si>
    <t>Avg.potentential (V)</t>
  </si>
  <si>
    <t>Loc 4</t>
  </si>
  <si>
    <t>Loc 6</t>
  </si>
  <si>
    <t>23271.01-baseline</t>
  </si>
  <si>
    <t>Loc 5</t>
  </si>
  <si>
    <t>Loc 8</t>
  </si>
  <si>
    <t>23270.02-FTA</t>
  </si>
  <si>
    <t>Loc 9</t>
  </si>
  <si>
    <t>23271.02-FTA</t>
  </si>
  <si>
    <t>23272.01-FTA</t>
  </si>
  <si>
    <t>Avg. (Baseline)</t>
  </si>
  <si>
    <t>Stadev.</t>
  </si>
  <si>
    <t>Avg. (FTA)</t>
  </si>
  <si>
    <t>Conclusion</t>
  </si>
  <si>
    <t>Based on the figure, test to test variability is higher than that of the sheet to sheet variability</t>
  </si>
  <si>
    <t>3E test cannot distinguish between relatively good anode or bad anode within the baseline</t>
  </si>
  <si>
    <t>Avg. potential (V)</t>
  </si>
  <si>
    <t>Stand. Dev.</t>
  </si>
  <si>
    <t>Objectives</t>
  </si>
  <si>
    <t>ISO plot 1st vs 2nd try</t>
  </si>
  <si>
    <t>method reproducibility</t>
  </si>
  <si>
    <t>Variability within the sheet</t>
  </si>
  <si>
    <t>variability within sheet to sheet</t>
  </si>
  <si>
    <t>Observation</t>
  </si>
  <si>
    <t>All fresh anode variability is ~ 2mV</t>
  </si>
  <si>
    <t>Intersheet vriability is small</t>
  </si>
  <si>
    <t xml:space="preserve">HFR is location to location different and used anode showed higher HFR than first </t>
  </si>
  <si>
    <t>?</t>
  </si>
  <si>
    <t>Overpotential of the used anode is smaller than the fresh anode</t>
  </si>
  <si>
    <t>Electrode Label</t>
  </si>
  <si>
    <t>Support (y/n)</t>
  </si>
  <si>
    <t>Duration for the synthesis</t>
  </si>
  <si>
    <t>1 Loading</t>
  </si>
  <si>
    <t>2 Loading</t>
  </si>
  <si>
    <t>3 Loading</t>
  </si>
  <si>
    <t>4 Loading</t>
  </si>
  <si>
    <t>5 Loading</t>
  </si>
  <si>
    <t>6 Loading</t>
  </si>
  <si>
    <t>7 Loading</t>
  </si>
  <si>
    <t>8 Loading</t>
  </si>
  <si>
    <t>9 Loading</t>
  </si>
  <si>
    <t>10 Loading</t>
  </si>
  <si>
    <t>Average Loading</t>
  </si>
  <si>
    <t>Standard Dev</t>
  </si>
  <si>
    <t>Overpotential (@ 20 mA/cm2)</t>
  </si>
  <si>
    <t>Overpotential (@ 50 mA/cm2)</t>
  </si>
  <si>
    <t>Tafel Slope (mV/dec)</t>
  </si>
  <si>
    <t>no</t>
  </si>
  <si>
    <t>overnight</t>
  </si>
  <si>
    <t>10.12 mg/L</t>
  </si>
  <si>
    <t>23.99 mg/L</t>
  </si>
  <si>
    <t>N2 purged</t>
  </si>
  <si>
    <r>
      <t>No 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bubbling</t>
    </r>
  </si>
  <si>
    <t>yes</t>
  </si>
  <si>
    <t>VSG01A-23164E1.01</t>
  </si>
  <si>
    <t>VSG01A-23165C1.01</t>
  </si>
  <si>
    <t>VSG01A-23165C1.02</t>
  </si>
  <si>
    <t>VSG01A-23166C1.01</t>
  </si>
  <si>
    <t>VSG01A-23166C1.02</t>
  </si>
  <si>
    <t>VSG01A-23202E1.01</t>
  </si>
  <si>
    <t>1 hr</t>
  </si>
  <si>
    <t>VSG01A-23202E1.02</t>
  </si>
  <si>
    <t>2 hr</t>
  </si>
  <si>
    <t>VSG01A-23202E1.03</t>
  </si>
  <si>
    <t>3 hr</t>
  </si>
  <si>
    <t>VSG01A-23202E1.04</t>
  </si>
  <si>
    <t>4 hr</t>
  </si>
  <si>
    <t>VSG01A-23202E1.05</t>
  </si>
  <si>
    <t>5 hr</t>
  </si>
  <si>
    <t>VSG01A-23202E1.06</t>
  </si>
  <si>
    <t>6 hr</t>
  </si>
  <si>
    <t>VSG01A-23202E1.07</t>
  </si>
  <si>
    <t>7 hr</t>
  </si>
  <si>
    <t>VSG01A-23202E1.08</t>
  </si>
  <si>
    <t>8 hr</t>
  </si>
  <si>
    <t>VSG01A-23202E1.09</t>
  </si>
  <si>
    <t>VSG01A-23206E1</t>
  </si>
  <si>
    <t>n/a</t>
  </si>
  <si>
    <t>VSG01A-23207E1.01</t>
  </si>
  <si>
    <t>VSG01A-23207E1.02</t>
  </si>
  <si>
    <t>VSG01A-23207E1.03</t>
  </si>
  <si>
    <t>VSG01A-23207E1.04</t>
  </si>
  <si>
    <t>VSG01A-23207E1.05</t>
  </si>
  <si>
    <t>VSG01A-23207E1.06</t>
  </si>
  <si>
    <t>VSG01A-23207E1.07</t>
  </si>
  <si>
    <t>VSG01A-23207E1.08</t>
  </si>
  <si>
    <t>VSG01A-23207E1.09</t>
  </si>
  <si>
    <t>VSG01A-23219E1</t>
  </si>
  <si>
    <t>VSG01A-23221E1</t>
  </si>
  <si>
    <t>VSG01A-23222E1</t>
  </si>
  <si>
    <t>VSG01A-23227E1</t>
  </si>
  <si>
    <t>VSG01A-23243E1.01 A-G</t>
  </si>
  <si>
    <t>VSG01A-23243E1.01 C-I</t>
  </si>
  <si>
    <t>VSG01A-23247E1.01-A-C</t>
  </si>
  <si>
    <t>VSG01A-23247E1.01-A-G</t>
  </si>
  <si>
    <t>VSG01A-23247E1.02-A-C</t>
  </si>
  <si>
    <t>VSG01A-23247E1.02-A-G</t>
  </si>
  <si>
    <t>VSG01A-23247E1.03-A-C</t>
  </si>
  <si>
    <t>VSG01A-23247E1.03-A-G</t>
  </si>
  <si>
    <t>VSG01A-23248E1.01 A-C</t>
  </si>
  <si>
    <t>VSG01A-23248E1.01 A-G</t>
  </si>
  <si>
    <t>VSG01A-23249.02 D-L</t>
  </si>
  <si>
    <t>VSG01A-23250E1.01 1-2</t>
  </si>
  <si>
    <t>VSG01A-23250E1.02 1-2</t>
  </si>
  <si>
    <t>VSG01A-23254E1.01 A</t>
  </si>
  <si>
    <t>VSG01A-23254E1.01 C</t>
  </si>
  <si>
    <t>VSG01A-23254E1.02 A</t>
  </si>
  <si>
    <t>VSG01A-23254E1.02 B</t>
  </si>
  <si>
    <t>VSG01A-23269C1</t>
  </si>
  <si>
    <t>VSG01A-23275E1 AEI</t>
  </si>
  <si>
    <t>VSG01A-23275E1 DHL</t>
  </si>
  <si>
    <t>VSG01A-23276E1</t>
  </si>
  <si>
    <t>VSG01A-23279E1.02</t>
  </si>
  <si>
    <t>VSG01A-23282E1.01 AEI</t>
  </si>
  <si>
    <t>VSG01A-23282E1.01 IJKF</t>
  </si>
  <si>
    <t>VSG01A-23282E1.02 AEI</t>
  </si>
  <si>
    <t>VSG01A-23282E1.02 DHL</t>
  </si>
  <si>
    <t>VSG01A-23290E1 AEI</t>
  </si>
  <si>
    <t>VSG01A-23290E1 ABCD</t>
  </si>
  <si>
    <t>Bare Ni Felt</t>
  </si>
  <si>
    <t>3E test</t>
  </si>
  <si>
    <t>XRF</t>
  </si>
  <si>
    <t>Trial 1</t>
  </si>
  <si>
    <t>Trial 2</t>
  </si>
  <si>
    <t>Trial 3</t>
  </si>
  <si>
    <t>VSG01A-23129 - no ionomer</t>
  </si>
  <si>
    <t>Anode PN</t>
  </si>
  <si>
    <t>Catalyst Loading (sonication)/ mg/cm2</t>
  </si>
  <si>
    <t>Catalyst Loading (Mass gain)/ mg/cm2</t>
  </si>
  <si>
    <t>XRF Ni: Fe (mg/cm2)</t>
  </si>
  <si>
    <t>XRF Fe loading (mg/cm2)</t>
  </si>
  <si>
    <t>Overp</t>
  </si>
  <si>
    <t>Tafel slope</t>
  </si>
  <si>
    <t>Fe (mg/cm2)</t>
  </si>
  <si>
    <t>Ni</t>
  </si>
  <si>
    <t>VSG01A-23039C1</t>
  </si>
  <si>
    <t>NO Samples</t>
  </si>
  <si>
    <t>VSG01A-23047C1</t>
  </si>
  <si>
    <t>VSG01A-23066C1</t>
  </si>
  <si>
    <t>VSG01A-23129 -  ionomer</t>
  </si>
  <si>
    <t>VSG01A-23158 -  ionomer</t>
  </si>
  <si>
    <t>VSG01A-23220 - no ionomer</t>
  </si>
  <si>
    <r>
      <t>4.675</t>
    </r>
    <r>
      <rPr>
        <sz val="11"/>
        <color theme="1"/>
        <rFont val="Calibri"/>
        <family val="2"/>
      </rPr>
      <t>±1.93</t>
    </r>
  </si>
  <si>
    <t>15.6: 5.5</t>
  </si>
  <si>
    <t>VSG01A-23151C1</t>
  </si>
  <si>
    <t>VSG01A-23152C1</t>
  </si>
  <si>
    <t>VSG01A-23153C1</t>
  </si>
  <si>
    <t>VSG01A-23156C1</t>
  </si>
  <si>
    <t>VSG01A-23157C1</t>
  </si>
  <si>
    <t>16.11: 6.86</t>
  </si>
  <si>
    <r>
      <t>3.35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>0.85</t>
    </r>
  </si>
  <si>
    <t>12.4: 5.89</t>
  </si>
  <si>
    <r>
      <rPr>
        <sz val="12"/>
        <color theme="1"/>
        <rFont val="Calibri"/>
        <family val="2"/>
        <scheme val="minor"/>
      </rPr>
      <t>3.93</t>
    </r>
    <r>
      <rPr>
        <sz val="12"/>
        <color theme="1"/>
        <rFont val="Calibri"/>
        <family val="2"/>
      </rPr>
      <t>±</t>
    </r>
    <r>
      <rPr>
        <sz val="12"/>
        <rFont val="Calibri"/>
        <family val="2"/>
      </rPr>
      <t>0.93</t>
    </r>
  </si>
  <si>
    <t>Anode #</t>
  </si>
  <si>
    <t>Day code</t>
  </si>
  <si>
    <t>Description</t>
  </si>
  <si>
    <t>Catalyst loading (Sonication) (mg/cm2)</t>
  </si>
  <si>
    <t>HFR (Ohm-cm2)</t>
  </si>
  <si>
    <t>Overpotential/mV</t>
  </si>
  <si>
    <t>Pump</t>
  </si>
  <si>
    <t>Supported, no pump</t>
  </si>
  <si>
    <r>
      <t>Supported, no pump (10 mg/L 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</si>
  <si>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Supported, no pump (24 mg/L  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</si>
  <si>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Supported, no pump (0.52 mg/L 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</si>
  <si>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Supported, no pump (8.80 mg/L 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</si>
  <si>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No support, with the pump (Submerged 4 hrs)</t>
  </si>
  <si>
    <t>No support, with the pump (Submerged 6 hrs)</t>
  </si>
  <si>
    <t>No support, with the pump (Submerged 8 hrs)</t>
  </si>
  <si>
    <t>No support, with the pump</t>
  </si>
  <si>
    <t>No support, with the pump, no NaF</t>
  </si>
  <si>
    <r>
      <t>No support, with the pump, w/ NiCl</t>
    </r>
    <r>
      <rPr>
        <vertAlign val="subscript"/>
        <sz val="11"/>
        <color theme="1"/>
        <rFont val="Calibri"/>
        <family val="2"/>
        <scheme val="minor"/>
      </rPr>
      <t>2</t>
    </r>
  </si>
  <si>
    <t>NO 3E TESTS</t>
  </si>
  <si>
    <t>Supported, no pump, No 3E test, time dep. FTA</t>
  </si>
  <si>
    <t>Supported, no pump, No 3E test, 10 kW</t>
  </si>
  <si>
    <t>Supported, no pump, No 3E test, Time dep. BA</t>
  </si>
  <si>
    <t>Supported, no pump, 10 kW</t>
  </si>
  <si>
    <t>FTA</t>
  </si>
  <si>
    <t>Supported, no pump, claimed for 1 kW</t>
  </si>
  <si>
    <t>Support</t>
  </si>
  <si>
    <t>Catalyst loading (mg/cm2)</t>
  </si>
  <si>
    <r>
      <t xml:space="preserve">Overpotential </t>
    </r>
    <r>
      <rPr>
        <sz val="11"/>
        <color theme="1"/>
        <rFont val="Calibri"/>
        <family val="2"/>
      </rPr>
      <t>η (mV)</t>
    </r>
  </si>
  <si>
    <t>VSG01A-23144C1</t>
  </si>
  <si>
    <t>Supported</t>
  </si>
  <si>
    <t>VSG02A-23234E1</t>
  </si>
  <si>
    <t>VSG02A-23235E1</t>
  </si>
  <si>
    <t>Flow-Through</t>
  </si>
  <si>
    <t>VSG01A-23177C1.01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</si>
</sst>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000"/>
    <numFmt numFmtId="165" formatCode="0.0"/>
    <numFmt numFmtId="166" formatCode="0.000"/>
    <numFmt numFmtId="167" formatCode="#;#;&quot;&quot;"/>
    <numFmt numFmtId="168" formatCode="0.00000"/>
    <numFmt numFmtId="169" formatCode="0.000000"/>
    <numFmt numFmtId="170" formatCode="0.0000000"/>
    <numFmt numFmtId="171" formatCode="0.0000000000"/>
    <numFmt numFmtId="172" formatCode="0.00000000"/>
    <numFmt numFmtId="173" formatCode="0.000000000"/>
  </numFmts>
  <fonts count="3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i/>
      <u val="double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rgb="FFFF0000"/>
      <name val="Calibri"/>
      <family val="2"/>
      <scheme val="minor"/>
    </font>
    <font>
      <u/>
      <sz val="11"/>
      <color rgb="FF000000"/>
      <name val="Calibri"/>
      <family val="2"/>
    </font>
    <font>
      <sz val="16"/>
      <color rgb="FFFF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C00000"/>
      <name val="Calibri"/>
      <family val="2"/>
      <scheme val="minor"/>
    </font>
    <font>
      <sz val="10"/>
      <color theme="1"/>
      <name val="Var(--jp-code-font-family)"/>
    </font>
    <font>
      <b/>
      <i/>
      <sz val="10"/>
      <color theme="1"/>
      <name val="Var(--jp-code-font-family)"/>
    </font>
    <font>
      <sz val="10"/>
      <color rgb="FFFF0000"/>
      <name val="Var(--jp-code-font-family)"/>
    </font>
    <font>
      <sz val="11"/>
      <color rgb="FF444444"/>
      <name val="Aptos Narrow"/>
      <family val="2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26" fillId="6" borderId="0" applyNumberFormat="0" applyBorder="0" applyAlignment="0" applyProtection="0"/>
  </cellStyleXfs>
  <cellXfs count="2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2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3" borderId="1" xfId="0" applyFill="1" applyBorder="1"/>
    <xf numFmtId="2" fontId="0" fillId="0" borderId="1" xfId="0" applyNumberFormat="1" applyBorder="1" applyAlignment="1">
      <alignment horizontal="center" vertical="center"/>
    </xf>
    <xf numFmtId="0" fontId="1" fillId="0" borderId="0" xfId="0" applyFont="1"/>
    <xf numFmtId="0" fontId="0" fillId="3" borderId="0" xfId="0" applyFill="1"/>
    <xf numFmtId="166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11" fillId="0" borderId="1" xfId="0" applyFont="1" applyBorder="1"/>
    <xf numFmtId="0" fontId="11" fillId="0" borderId="2" xfId="0" applyFont="1" applyBorder="1"/>
    <xf numFmtId="164" fontId="0" fillId="0" borderId="1" xfId="0" applyNumberFormat="1" applyBorder="1"/>
    <xf numFmtId="2" fontId="1" fillId="0" borderId="1" xfId="0" applyNumberFormat="1" applyFont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14" fillId="0" borderId="1" xfId="0" applyFont="1" applyBorder="1"/>
    <xf numFmtId="166" fontId="0" fillId="3" borderId="1" xfId="0" applyNumberForma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2" borderId="1" xfId="0" applyFill="1" applyBorder="1"/>
    <xf numFmtId="0" fontId="11" fillId="0" borderId="2" xfId="0" applyFont="1" applyBorder="1" applyAlignment="1">
      <alignment horizontal="center"/>
    </xf>
    <xf numFmtId="0" fontId="16" fillId="0" borderId="1" xfId="0" applyFont="1" applyBorder="1"/>
    <xf numFmtId="0" fontId="16" fillId="0" borderId="0" xfId="0" applyFont="1"/>
    <xf numFmtId="166" fontId="0" fillId="0" borderId="0" xfId="0" applyNumberFormat="1"/>
    <xf numFmtId="2" fontId="10" fillId="3" borderId="1" xfId="0" applyNumberFormat="1" applyFont="1" applyFill="1" applyBorder="1" applyAlignment="1">
      <alignment horizontal="center"/>
    </xf>
    <xf numFmtId="2" fontId="11" fillId="0" borderId="2" xfId="0" applyNumberFormat="1" applyFont="1" applyBorder="1" applyAlignment="1">
      <alignment horizontal="center"/>
    </xf>
    <xf numFmtId="2" fontId="11" fillId="0" borderId="1" xfId="0" applyNumberFormat="1" applyFont="1" applyBorder="1" applyAlignment="1">
      <alignment horizontal="center"/>
    </xf>
    <xf numFmtId="2" fontId="9" fillId="3" borderId="1" xfId="0" applyNumberFormat="1" applyFont="1" applyFill="1" applyBorder="1" applyAlignment="1">
      <alignment horizontal="center"/>
    </xf>
    <xf numFmtId="2" fontId="9" fillId="0" borderId="1" xfId="0" applyNumberFormat="1" applyFont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5" fillId="0" borderId="1" xfId="1" applyBorder="1" applyAlignment="1">
      <alignment horizontal="center"/>
    </xf>
    <xf numFmtId="0" fontId="17" fillId="0" borderId="1" xfId="0" applyFont="1" applyBorder="1"/>
    <xf numFmtId="0" fontId="17" fillId="0" borderId="1" xfId="0" applyFont="1" applyBorder="1" applyAlignment="1">
      <alignment horizontal="center"/>
    </xf>
    <xf numFmtId="0" fontId="17" fillId="0" borderId="0" xfId="0" applyFont="1"/>
    <xf numFmtId="2" fontId="17" fillId="0" borderId="1" xfId="0" applyNumberFormat="1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1" xfId="0" applyFont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20" fillId="5" borderId="1" xfId="0" applyFont="1" applyFill="1" applyBorder="1" applyAlignment="1">
      <alignment horizontal="center"/>
    </xf>
    <xf numFmtId="0" fontId="23" fillId="0" borderId="1" xfId="0" applyFont="1" applyBorder="1"/>
    <xf numFmtId="0" fontId="25" fillId="0" borderId="1" xfId="0" applyFont="1" applyBorder="1"/>
    <xf numFmtId="0" fontId="25" fillId="0" borderId="1" xfId="0" applyFont="1" applyBorder="1" applyAlignment="1">
      <alignment horizontal="center"/>
    </xf>
    <xf numFmtId="0" fontId="25" fillId="0" borderId="0" xfId="0" applyFont="1"/>
    <xf numFmtId="0" fontId="0" fillId="5" borderId="3" xfId="0" applyFill="1" applyBorder="1"/>
    <xf numFmtId="0" fontId="0" fillId="5" borderId="0" xfId="0" applyFill="1"/>
    <xf numFmtId="166" fontId="0" fillId="0" borderId="4" xfId="0" applyNumberFormat="1" applyBorder="1"/>
    <xf numFmtId="0" fontId="0" fillId="0" borderId="4" xfId="0" applyBorder="1"/>
    <xf numFmtId="166" fontId="0" fillId="5" borderId="1" xfId="0" applyNumberFormat="1" applyFill="1" applyBorder="1"/>
    <xf numFmtId="0" fontId="0" fillId="0" borderId="1" xfId="0" applyBorder="1" applyAlignment="1">
      <alignment horizontal="left"/>
    </xf>
    <xf numFmtId="0" fontId="24" fillId="0" borderId="1" xfId="0" applyFont="1" applyBorder="1"/>
    <xf numFmtId="2" fontId="0" fillId="5" borderId="1" xfId="0" applyNumberFormat="1" applyFill="1" applyBorder="1"/>
    <xf numFmtId="165" fontId="0" fillId="5" borderId="1" xfId="0" applyNumberFormat="1" applyFill="1" applyBorder="1"/>
    <xf numFmtId="2" fontId="0" fillId="5" borderId="1" xfId="0" applyNumberFormat="1" applyFill="1" applyBorder="1" applyAlignment="1">
      <alignment horizontal="center"/>
    </xf>
    <xf numFmtId="0" fontId="27" fillId="7" borderId="1" xfId="0" applyFont="1" applyFill="1" applyBorder="1"/>
    <xf numFmtId="0" fontId="28" fillId="7" borderId="1" xfId="0" applyFont="1" applyFill="1" applyBorder="1"/>
    <xf numFmtId="0" fontId="0" fillId="7" borderId="1" xfId="0" applyFill="1" applyBorder="1" applyAlignment="1">
      <alignment vertical="center"/>
    </xf>
    <xf numFmtId="0" fontId="3" fillId="7" borderId="1" xfId="0" applyFont="1" applyFill="1" applyBorder="1"/>
    <xf numFmtId="0" fontId="1" fillId="7" borderId="1" xfId="0" applyFont="1" applyFill="1" applyBorder="1"/>
    <xf numFmtId="0" fontId="0" fillId="7" borderId="1" xfId="0" applyFill="1" applyBorder="1"/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/>
    </xf>
    <xf numFmtId="0" fontId="28" fillId="0" borderId="1" xfId="0" applyFont="1" applyBorder="1"/>
    <xf numFmtId="0" fontId="27" fillId="2" borderId="1" xfId="0" applyFont="1" applyFill="1" applyBorder="1" applyAlignment="1">
      <alignment horizontal="center"/>
    </xf>
    <xf numFmtId="0" fontId="0" fillId="8" borderId="1" xfId="0" applyFill="1" applyBorder="1"/>
    <xf numFmtId="2" fontId="0" fillId="8" borderId="1" xfId="0" applyNumberFormat="1" applyFill="1" applyBorder="1"/>
    <xf numFmtId="0" fontId="28" fillId="6" borderId="1" xfId="2" applyNumberFormat="1" applyFont="1" applyBorder="1" applyAlignment="1">
      <alignment horizontal="center"/>
    </xf>
    <xf numFmtId="0" fontId="17" fillId="0" borderId="2" xfId="0" applyFont="1" applyBorder="1"/>
    <xf numFmtId="0" fontId="0" fillId="0" borderId="2" xfId="0" applyBorder="1"/>
    <xf numFmtId="0" fontId="1" fillId="0" borderId="2" xfId="0" applyFont="1" applyBorder="1"/>
    <xf numFmtId="0" fontId="0" fillId="3" borderId="2" xfId="0" applyFill="1" applyBorder="1"/>
    <xf numFmtId="0" fontId="0" fillId="2" borderId="2" xfId="0" applyFill="1" applyBorder="1"/>
    <xf numFmtId="0" fontId="28" fillId="7" borderId="5" xfId="0" applyFont="1" applyFill="1" applyBorder="1"/>
    <xf numFmtId="0" fontId="1" fillId="7" borderId="5" xfId="0" applyFont="1" applyFill="1" applyBorder="1"/>
    <xf numFmtId="0" fontId="0" fillId="7" borderId="5" xfId="0" applyFill="1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2" fontId="0" fillId="0" borderId="7" xfId="0" applyNumberFormat="1" applyBorder="1" applyAlignment="1">
      <alignment horizontal="center"/>
    </xf>
    <xf numFmtId="0" fontId="0" fillId="7" borderId="7" xfId="0" applyFill="1" applyBorder="1"/>
    <xf numFmtId="0" fontId="0" fillId="7" borderId="8" xfId="0" applyFill="1" applyBorder="1"/>
    <xf numFmtId="167" fontId="17" fillId="0" borderId="1" xfId="0" applyNumberFormat="1" applyFont="1" applyBorder="1"/>
    <xf numFmtId="167" fontId="1" fillId="0" borderId="1" xfId="0" applyNumberFormat="1" applyFont="1" applyBorder="1"/>
    <xf numFmtId="167" fontId="0" fillId="0" borderId="1" xfId="0" applyNumberFormat="1" applyBorder="1"/>
    <xf numFmtId="0" fontId="26" fillId="6" borderId="1" xfId="2" applyNumberFormat="1" applyBorder="1"/>
    <xf numFmtId="0" fontId="0" fillId="9" borderId="1" xfId="0" applyFill="1" applyBorder="1"/>
    <xf numFmtId="0" fontId="26" fillId="7" borderId="1" xfId="2" applyNumberFormat="1" applyFill="1" applyBorder="1" applyAlignment="1">
      <alignment horizontal="center" vertical="center"/>
    </xf>
    <xf numFmtId="0" fontId="26" fillId="7" borderId="1" xfId="2" applyNumberFormat="1" applyFill="1" applyBorder="1" applyAlignment="1">
      <alignment horizontal="center"/>
    </xf>
    <xf numFmtId="0" fontId="26" fillId="7" borderId="1" xfId="2" applyNumberFormat="1" applyFill="1" applyBorder="1"/>
    <xf numFmtId="0" fontId="26" fillId="7" borderId="7" xfId="2" applyNumberFormat="1" applyFill="1" applyBorder="1"/>
    <xf numFmtId="0" fontId="24" fillId="8" borderId="1" xfId="0" applyFont="1" applyFill="1" applyBorder="1"/>
    <xf numFmtId="2" fontId="24" fillId="8" borderId="1" xfId="0" applyNumberFormat="1" applyFont="1" applyFill="1" applyBorder="1"/>
    <xf numFmtId="0" fontId="24" fillId="5" borderId="1" xfId="0" applyFont="1" applyFill="1" applyBorder="1"/>
    <xf numFmtId="0" fontId="1" fillId="9" borderId="1" xfId="0" applyFont="1" applyFill="1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0" fillId="11" borderId="2" xfId="0" applyFill="1" applyBorder="1"/>
    <xf numFmtId="0" fontId="0" fillId="11" borderId="7" xfId="0" applyFill="1" applyBorder="1" applyAlignment="1">
      <alignment horizontal="center"/>
    </xf>
    <xf numFmtId="0" fontId="0" fillId="11" borderId="7" xfId="0" applyFill="1" applyBorder="1"/>
    <xf numFmtId="0" fontId="0" fillId="11" borderId="1" xfId="0" applyFill="1" applyBorder="1"/>
    <xf numFmtId="2" fontId="0" fillId="11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167" fontId="0" fillId="11" borderId="1" xfId="0" applyNumberFormat="1" applyFill="1" applyBorder="1"/>
    <xf numFmtId="0" fontId="0" fillId="12" borderId="6" xfId="0" applyFill="1" applyBorder="1"/>
    <xf numFmtId="0" fontId="0" fillId="12" borderId="7" xfId="0" applyFill="1" applyBorder="1" applyAlignment="1">
      <alignment horizontal="center"/>
    </xf>
    <xf numFmtId="0" fontId="0" fillId="12" borderId="7" xfId="0" applyFill="1" applyBorder="1"/>
    <xf numFmtId="2" fontId="0" fillId="12" borderId="7" xfId="0" applyNumberFormat="1" applyFill="1" applyBorder="1" applyAlignment="1">
      <alignment horizontal="center"/>
    </xf>
    <xf numFmtId="0" fontId="0" fillId="12" borderId="1" xfId="0" applyFill="1" applyBorder="1"/>
    <xf numFmtId="167" fontId="0" fillId="12" borderId="1" xfId="0" applyNumberFormat="1" applyFill="1" applyBorder="1"/>
    <xf numFmtId="0" fontId="0" fillId="13" borderId="2" xfId="0" applyFill="1" applyBorder="1"/>
    <xf numFmtId="0" fontId="0" fillId="13" borderId="1" xfId="0" applyFill="1" applyBorder="1" applyAlignment="1">
      <alignment horizontal="center"/>
    </xf>
    <xf numFmtId="0" fontId="0" fillId="13" borderId="1" xfId="0" applyFill="1" applyBorder="1"/>
    <xf numFmtId="2" fontId="0" fillId="13" borderId="1" xfId="0" applyNumberFormat="1" applyFill="1" applyBorder="1" applyAlignment="1">
      <alignment horizontal="center"/>
    </xf>
    <xf numFmtId="0" fontId="26" fillId="13" borderId="1" xfId="2" applyNumberFormat="1" applyFill="1" applyBorder="1"/>
    <xf numFmtId="0" fontId="0" fillId="13" borderId="5" xfId="0" applyFill="1" applyBorder="1"/>
    <xf numFmtId="167" fontId="0" fillId="13" borderId="1" xfId="0" applyNumberFormat="1" applyFill="1" applyBorder="1"/>
    <xf numFmtId="0" fontId="31" fillId="0" borderId="0" xfId="0" applyFont="1"/>
    <xf numFmtId="0" fontId="30" fillId="3" borderId="1" xfId="0" applyFont="1" applyFill="1" applyBorder="1" applyAlignment="1">
      <alignment horizontal="center"/>
    </xf>
    <xf numFmtId="0" fontId="0" fillId="13" borderId="1" xfId="2" applyFont="1" applyFill="1" applyBorder="1"/>
    <xf numFmtId="2" fontId="0" fillId="0" borderId="0" xfId="0" applyNumberFormat="1"/>
    <xf numFmtId="165" fontId="0" fillId="0" borderId="9" xfId="0" applyNumberFormat="1" applyBorder="1"/>
    <xf numFmtId="165" fontId="0" fillId="0" borderId="0" xfId="0" applyNumberFormat="1"/>
    <xf numFmtId="168" fontId="0" fillId="0" borderId="1" xfId="0" applyNumberFormat="1" applyBorder="1"/>
    <xf numFmtId="166" fontId="1" fillId="0" borderId="1" xfId="0" applyNumberFormat="1" applyFont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166" fontId="0" fillId="13" borderId="1" xfId="0" applyNumberFormat="1" applyFill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12" borderId="7" xfId="0" applyNumberFormat="1" applyFill="1" applyBorder="1" applyAlignment="1">
      <alignment horizontal="center"/>
    </xf>
    <xf numFmtId="166" fontId="0" fillId="11" borderId="1" xfId="0" applyNumberFormat="1" applyFill="1" applyBorder="1" applyAlignment="1">
      <alignment horizontal="center"/>
    </xf>
    <xf numFmtId="0" fontId="28" fillId="7" borderId="10" xfId="0" applyFont="1" applyFill="1" applyBorder="1"/>
    <xf numFmtId="0" fontId="28" fillId="7" borderId="3" xfId="0" applyFont="1" applyFill="1" applyBorder="1"/>
    <xf numFmtId="169" fontId="0" fillId="0" borderId="1" xfId="0" applyNumberFormat="1" applyBorder="1"/>
    <xf numFmtId="169" fontId="0" fillId="0" borderId="0" xfId="0" applyNumberFormat="1"/>
    <xf numFmtId="169" fontId="0" fillId="0" borderId="7" xfId="0" applyNumberFormat="1" applyBorder="1"/>
    <xf numFmtId="169" fontId="34" fillId="0" borderId="1" xfId="0" applyNumberFormat="1" applyFont="1" applyBorder="1"/>
    <xf numFmtId="168" fontId="34" fillId="0" borderId="1" xfId="0" applyNumberFormat="1" applyFont="1" applyBorder="1"/>
    <xf numFmtId="14" fontId="0" fillId="10" borderId="1" xfId="0" applyNumberFormat="1" applyFill="1" applyBorder="1" applyAlignment="1">
      <alignment horizontal="center"/>
    </xf>
    <xf numFmtId="2" fontId="0" fillId="10" borderId="1" xfId="0" applyNumberFormat="1" applyFill="1" applyBorder="1" applyAlignment="1">
      <alignment horizontal="center"/>
    </xf>
    <xf numFmtId="0" fontId="0" fillId="7" borderId="1" xfId="2" applyNumberFormat="1" applyFont="1" applyFill="1" applyBorder="1" applyAlignment="1">
      <alignment horizontal="center" vertical="center"/>
    </xf>
    <xf numFmtId="0" fontId="28" fillId="6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7" borderId="1" xfId="2" applyFont="1" applyFill="1" applyBorder="1"/>
    <xf numFmtId="0" fontId="0" fillId="0" borderId="3" xfId="0" applyBorder="1"/>
    <xf numFmtId="0" fontId="0" fillId="0" borderId="11" xfId="0" applyBorder="1"/>
    <xf numFmtId="0" fontId="0" fillId="0" borderId="8" xfId="0" applyBorder="1"/>
    <xf numFmtId="0" fontId="0" fillId="0" borderId="12" xfId="0" applyBorder="1"/>
    <xf numFmtId="0" fontId="25" fillId="0" borderId="3" xfId="0" applyFont="1" applyBorder="1"/>
    <xf numFmtId="0" fontId="25" fillId="0" borderId="11" xfId="0" applyFont="1" applyBorder="1"/>
    <xf numFmtId="0" fontId="0" fillId="2" borderId="3" xfId="0" applyFill="1" applyBorder="1"/>
    <xf numFmtId="0" fontId="35" fillId="0" borderId="0" xfId="0" applyFont="1" applyAlignment="1">
      <alignment horizontal="left" vertical="center"/>
    </xf>
    <xf numFmtId="0" fontId="1" fillId="0" borderId="3" xfId="0" applyFont="1" applyBorder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0" fontId="24" fillId="0" borderId="0" xfId="0" applyFont="1"/>
    <xf numFmtId="173" fontId="0" fillId="0" borderId="0" xfId="0" applyNumberFormat="1"/>
    <xf numFmtId="0" fontId="0" fillId="16" borderId="0" xfId="0" applyFill="1"/>
    <xf numFmtId="0" fontId="0" fillId="16" borderId="0" xfId="0" applyFill="1" applyAlignment="1">
      <alignment horizontal="right" vertical="center"/>
    </xf>
    <xf numFmtId="0" fontId="6" fillId="16" borderId="0" xfId="0" applyFont="1" applyFill="1" applyAlignment="1">
      <alignment horizontal="right" vertical="center"/>
    </xf>
    <xf numFmtId="0" fontId="35" fillId="0" borderId="0" xfId="0" applyFont="1" applyAlignment="1">
      <alignment horizontal="right" vertical="center"/>
    </xf>
    <xf numFmtId="0" fontId="35" fillId="0" borderId="12" xfId="0" applyFont="1" applyBorder="1" applyAlignment="1">
      <alignment horizontal="left" vertical="center"/>
    </xf>
    <xf numFmtId="173" fontId="0" fillId="0" borderId="12" xfId="0" applyNumberFormat="1" applyBorder="1"/>
    <xf numFmtId="0" fontId="36" fillId="0" borderId="0" xfId="0" applyFont="1" applyAlignment="1">
      <alignment horizontal="left" vertical="center"/>
    </xf>
    <xf numFmtId="170" fontId="35" fillId="0" borderId="0" xfId="0" applyNumberFormat="1" applyFont="1" applyAlignment="1">
      <alignment horizontal="left" vertical="center"/>
    </xf>
    <xf numFmtId="171" fontId="35" fillId="0" borderId="0" xfId="0" applyNumberFormat="1" applyFont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0" xfId="0" applyFill="1"/>
    <xf numFmtId="0" fontId="37" fillId="0" borderId="0" xfId="0" applyFont="1" applyAlignment="1">
      <alignment horizontal="left" vertical="center"/>
    </xf>
    <xf numFmtId="166" fontId="35" fillId="0" borderId="1" xfId="0" applyNumberFormat="1" applyFont="1" applyBorder="1" applyAlignment="1">
      <alignment horizontal="left" vertical="center"/>
    </xf>
    <xf numFmtId="2" fontId="35" fillId="0" borderId="1" xfId="0" applyNumberFormat="1" applyFont="1" applyBorder="1" applyAlignment="1">
      <alignment horizontal="left" vertical="center"/>
    </xf>
    <xf numFmtId="166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166" fontId="0" fillId="5" borderId="1" xfId="0" applyNumberFormat="1" applyFill="1" applyBorder="1" applyAlignment="1">
      <alignment horizontal="left"/>
    </xf>
    <xf numFmtId="2" fontId="0" fillId="5" borderId="1" xfId="0" applyNumberFormat="1" applyFill="1" applyBorder="1" applyAlignment="1">
      <alignment horizontal="left"/>
    </xf>
    <xf numFmtId="166" fontId="35" fillId="2" borderId="1" xfId="0" applyNumberFormat="1" applyFont="1" applyFill="1" applyBorder="1" applyAlignment="1">
      <alignment horizontal="left" vertical="center"/>
    </xf>
    <xf numFmtId="2" fontId="35" fillId="2" borderId="1" xfId="0" applyNumberFormat="1" applyFont="1" applyFill="1" applyBorder="1" applyAlignment="1">
      <alignment horizontal="left" vertical="center"/>
    </xf>
    <xf numFmtId="2" fontId="0" fillId="2" borderId="1" xfId="0" applyNumberFormat="1" applyFill="1" applyBorder="1" applyAlignment="1">
      <alignment horizontal="left"/>
    </xf>
    <xf numFmtId="166" fontId="35" fillId="11" borderId="1" xfId="0" applyNumberFormat="1" applyFont="1" applyFill="1" applyBorder="1" applyAlignment="1">
      <alignment horizontal="left" vertical="center"/>
    </xf>
    <xf numFmtId="2" fontId="35" fillId="11" borderId="1" xfId="0" applyNumberFormat="1" applyFont="1" applyFill="1" applyBorder="1" applyAlignment="1">
      <alignment horizontal="left" vertical="center"/>
    </xf>
    <xf numFmtId="0" fontId="5" fillId="0" borderId="7" xfId="1" applyBorder="1" applyAlignment="1">
      <alignment horizontal="center"/>
    </xf>
    <xf numFmtId="0" fontId="0" fillId="7" borderId="5" xfId="0" applyFill="1" applyBorder="1" applyAlignment="1">
      <alignment vertical="center"/>
    </xf>
    <xf numFmtId="170" fontId="0" fillId="0" borderId="1" xfId="0" applyNumberFormat="1" applyBorder="1"/>
    <xf numFmtId="164" fontId="0" fillId="0" borderId="1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8" borderId="1" xfId="0" applyFill="1" applyBorder="1" applyAlignment="1">
      <alignment horizontal="center"/>
    </xf>
    <xf numFmtId="172" fontId="0" fillId="0" borderId="1" xfId="0" applyNumberFormat="1" applyBorder="1"/>
    <xf numFmtId="0" fontId="30" fillId="0" borderId="1" xfId="0" applyFont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168" fontId="0" fillId="10" borderId="1" xfId="0" applyNumberFormat="1" applyFill="1" applyBorder="1"/>
    <xf numFmtId="2" fontId="17" fillId="3" borderId="1" xfId="0" applyNumberFormat="1" applyFont="1" applyFill="1" applyBorder="1" applyAlignment="1">
      <alignment horizontal="center"/>
    </xf>
    <xf numFmtId="0" fontId="17" fillId="3" borderId="1" xfId="0" applyFont="1" applyFill="1" applyBorder="1" applyAlignment="1">
      <alignment horizontal="center"/>
    </xf>
    <xf numFmtId="0" fontId="5" fillId="3" borderId="1" xfId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166" fontId="17" fillId="3" borderId="1" xfId="0" applyNumberFormat="1" applyFont="1" applyFill="1" applyBorder="1" applyAlignment="1">
      <alignment horizontal="center"/>
    </xf>
    <xf numFmtId="0" fontId="17" fillId="3" borderId="1" xfId="0" applyFont="1" applyFill="1" applyBorder="1"/>
    <xf numFmtId="0" fontId="38" fillId="0" borderId="0" xfId="0" applyFont="1"/>
    <xf numFmtId="0" fontId="38" fillId="0" borderId="16" xfId="0" applyFont="1" applyBorder="1"/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38" fillId="0" borderId="17" xfId="0" applyFont="1" applyBorder="1"/>
    <xf numFmtId="0" fontId="0" fillId="0" borderId="18" xfId="0" applyBorder="1" applyAlignment="1">
      <alignment horizontal="center"/>
    </xf>
    <xf numFmtId="0" fontId="17" fillId="18" borderId="1" xfId="0" applyFont="1" applyFill="1" applyBorder="1" applyAlignment="1">
      <alignment horizontal="center"/>
    </xf>
    <xf numFmtId="0" fontId="26" fillId="0" borderId="1" xfId="2" applyNumberFormat="1" applyFill="1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1" fillId="17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3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</cellXfs>
  <cellStyles count="3">
    <cellStyle name="20% - Accent5" xfId="2" builtinId="46"/>
    <cellStyle name="Hyperlink" xfId="1" builtinId="8"/>
    <cellStyle name="Normal" xfId="0" builtinId="0"/>
  </cellStyles>
  <dxfs count="71">
    <dxf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0.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3600" b="1">
                <a:solidFill>
                  <a:schemeClr val="tx1"/>
                </a:solidFill>
              </a:rPr>
              <a:t>DIW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55349816305975"/>
          <c:y val="0.14061132983377078"/>
          <c:w val="0.83417493838227774"/>
          <c:h val="0.6866614173228347"/>
        </c:manualLayout>
      </c:layout>
      <c:scatterChart>
        <c:scatterStyle val="lineMarker"/>
        <c:varyColors val="0"/>
        <c:ser>
          <c:idx val="0"/>
          <c:order val="0"/>
          <c:tx>
            <c:v>Good anode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'Anode Record'!$AA$2:$AA$134</c:f>
              <c:numCache>
                <c:formatCode>General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xVal>
          <c:yVal>
            <c:numRef>
              <c:f>'Anode Record'!$W$2:$W$134</c:f>
              <c:numCache>
                <c:formatCode>General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CC-4230-9B74-0043A3803E30}"/>
            </c:ext>
          </c:extLst>
        </c:ser>
        <c:ser>
          <c:idx val="1"/>
          <c:order val="1"/>
          <c:tx>
            <c:v>Bad anode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'Anode Record'!$AA$135:$AA$139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'Anode Record'!$W$135:$W$139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30-4B3D-A11D-0388A4902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0387984"/>
        <c:axId val="1438251216"/>
      </c:scatterChart>
      <c:valAx>
        <c:axId val="1440387984"/>
        <c:scaling>
          <c:orientation val="minMax"/>
          <c:min val="1.4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>
                    <a:solidFill>
                      <a:schemeClr val="tx1"/>
                    </a:solidFill>
                  </a:rPr>
                  <a:t>E @ 100 mA/cm2 /V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251216"/>
        <c:crosses val="autoZero"/>
        <c:crossBetween val="midCat"/>
      </c:valAx>
      <c:valAx>
        <c:axId val="1438251216"/>
        <c:scaling>
          <c:orientation val="minMax"/>
          <c:max val="2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>
                    <a:solidFill>
                      <a:schemeClr val="tx1"/>
                    </a:solidFill>
                  </a:rPr>
                  <a:t>i @ 1.8 V DIW (A/cm2)</a:t>
                </a:r>
              </a:p>
            </c:rich>
          </c:tx>
          <c:layout>
            <c:manualLayout>
              <c:xMode val="edge"/>
              <c:yMode val="edge"/>
              <c:x val="1.5268296843682151E-2"/>
              <c:y val="0.308734533183352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387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878859043708747"/>
          <c:y val="0.18964545056867893"/>
          <c:w val="0.25561324096464838"/>
          <c:h val="0.218750656167978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3600" b="1">
                <a:solidFill>
                  <a:schemeClr val="tx1"/>
                </a:solidFill>
              </a:rPr>
              <a:t>DIW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22180403708715"/>
          <c:y val="0.13042964601731044"/>
          <c:w val="0.83947693050393146"/>
          <c:h val="0.71728685395794867"/>
        </c:manualLayout>
      </c:layout>
      <c:scatterChart>
        <c:scatterStyle val="lineMarker"/>
        <c:varyColors val="0"/>
        <c:ser>
          <c:idx val="0"/>
          <c:order val="0"/>
          <c:tx>
            <c:strRef>
              <c:f>'Anode Record'!$B$27</c:f>
              <c:strCache>
                <c:ptCount val="1"/>
                <c:pt idx="0">
                  <c:v>VSG01A-23072C1.01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'Anode Record'!$Y$27:$Y$30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'Anode Record'!$AA$27:$AA$30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2D-4F54-AAE2-A7B066DD72DA}"/>
            </c:ext>
          </c:extLst>
        </c:ser>
        <c:ser>
          <c:idx val="1"/>
          <c:order val="1"/>
          <c:tx>
            <c:strRef>
              <c:f>'Anode Record'!$B$80</c:f>
              <c:strCache>
                <c:ptCount val="1"/>
                <c:pt idx="0">
                  <c:v>VSG01A-23129C1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'Anode Record'!$Y$81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Record'!$AA$81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2D-4F54-AAE2-A7B066DD72DA}"/>
            </c:ext>
          </c:extLst>
        </c:ser>
        <c:ser>
          <c:idx val="2"/>
          <c:order val="2"/>
          <c:tx>
            <c:strRef>
              <c:f>'Anode Record'!$B$135</c:f>
              <c:strCache>
                <c:ptCount val="1"/>
                <c:pt idx="0">
                  <c:v>VSG01A-23158C1.04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'Anode Record'!$Y$135:$Y$139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'Anode Record'!$AA$135:$AA$139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2D-4F54-AAE2-A7B066DD72DA}"/>
            </c:ext>
          </c:extLst>
        </c:ser>
        <c:ser>
          <c:idx val="3"/>
          <c:order val="3"/>
          <c:tx>
            <c:v>Low Fe loading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'Anode Record'!$Y$268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Record'!$AA$268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62-4229-B09A-B2FDADD89DC5}"/>
            </c:ext>
          </c:extLst>
        </c:ser>
        <c:ser>
          <c:idx val="4"/>
          <c:order val="4"/>
          <c:tx>
            <c:v>High Fe loading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'Anode Record'!$Y$269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Record'!$AA$269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62-4229-B09A-B2FDADD89DC5}"/>
            </c:ext>
          </c:extLst>
        </c:ser>
        <c:ser>
          <c:idx val="5"/>
          <c:order val="5"/>
          <c:tx>
            <c:v>No acid pretreatment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'Anode Record'!$Y$290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Record'!$AA$290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62-4229-B09A-B2FDADD89DC5}"/>
            </c:ext>
          </c:extLst>
        </c:ser>
        <c:ser>
          <c:idx val="6"/>
          <c:order val="6"/>
          <c:tx>
            <c:v>With acid treatment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'Anode Record'!$Y$293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Record'!$AA$293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DF-4ED2-A01D-5D259D61D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507744"/>
        <c:axId val="1584282560"/>
      </c:scatterChart>
      <c:valAx>
        <c:axId val="164150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>
                    <a:solidFill>
                      <a:schemeClr val="tx1"/>
                    </a:solidFill>
                  </a:rPr>
                  <a:t>3-E ƞ at 20 mAcm-2 (mV)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282560"/>
        <c:crosses val="autoZero"/>
        <c:crossBetween val="midCat"/>
      </c:valAx>
      <c:valAx>
        <c:axId val="1584282560"/>
        <c:scaling>
          <c:orientation val="minMax"/>
          <c:min val="1.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>
                    <a:solidFill>
                      <a:schemeClr val="tx1"/>
                    </a:solidFill>
                  </a:rPr>
                  <a:t>E @ 100 mA/cm2 /V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507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690218383353734"/>
          <c:y val="0.67591933273516835"/>
          <c:w val="0.76346131975894693"/>
          <c:h val="0.160720822897572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3600" b="1">
                <a:solidFill>
                  <a:schemeClr val="tx1"/>
                </a:solidFill>
              </a:rPr>
              <a:t>10 mM KOH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22180403708715"/>
          <c:y val="0.13042964601731044"/>
          <c:w val="0.83947693050393146"/>
          <c:h val="0.71728685395794867"/>
        </c:manualLayout>
      </c:layout>
      <c:scatterChart>
        <c:scatterStyle val="lineMarker"/>
        <c:varyColors val="0"/>
        <c:ser>
          <c:idx val="0"/>
          <c:order val="0"/>
          <c:tx>
            <c:strRef>
              <c:f>'Anode Record'!$B$27</c:f>
              <c:strCache>
                <c:ptCount val="1"/>
                <c:pt idx="0">
                  <c:v>VSG01A-23072C1.01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'Anode Record'!$Y$27:$Y$30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'Anode Record'!$AB$27:$AB$30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E6-413D-AA00-BEFD251F8FA7}"/>
            </c:ext>
          </c:extLst>
        </c:ser>
        <c:ser>
          <c:idx val="1"/>
          <c:order val="1"/>
          <c:tx>
            <c:strRef>
              <c:f>'Anode Record'!$B$80</c:f>
              <c:strCache>
                <c:ptCount val="1"/>
                <c:pt idx="0">
                  <c:v>VSG01A-23129C1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'Anode Record'!$Y$81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Record'!$AB$81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E6-413D-AA00-BEFD251F8FA7}"/>
            </c:ext>
          </c:extLst>
        </c:ser>
        <c:ser>
          <c:idx val="2"/>
          <c:order val="2"/>
          <c:tx>
            <c:strRef>
              <c:f>'Anode Record'!$B$135</c:f>
              <c:strCache>
                <c:ptCount val="1"/>
                <c:pt idx="0">
                  <c:v>VSG01A-23158C1.04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'Anode Record'!$Y$135:$Y$139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'Anode Record'!$AB$135:$AB$139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E6-413D-AA00-BEFD251F8FA7}"/>
            </c:ext>
          </c:extLst>
        </c:ser>
        <c:ser>
          <c:idx val="3"/>
          <c:order val="3"/>
          <c:tx>
            <c:v>Low Fe loading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'Anode Record'!$Y$268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Record'!$AB$268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08-4333-ACC2-34DC697ED3AE}"/>
            </c:ext>
          </c:extLst>
        </c:ser>
        <c:ser>
          <c:idx val="4"/>
          <c:order val="4"/>
          <c:tx>
            <c:v>High Fe loading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'Anode Record'!$Y$269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Record'!$AB$269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08-4333-ACC2-34DC697ED3AE}"/>
            </c:ext>
          </c:extLst>
        </c:ser>
        <c:ser>
          <c:idx val="5"/>
          <c:order val="5"/>
          <c:tx>
            <c:v>No acid treatment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'Anode Record'!$Y$290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Record'!$AB$290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608-4333-ACC2-34DC697ED3AE}"/>
            </c:ext>
          </c:extLst>
        </c:ser>
        <c:ser>
          <c:idx val="6"/>
          <c:order val="6"/>
          <c:tx>
            <c:v>With acid treatment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'Anode Record'!$Y$293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Record'!$AB$293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7C-4643-8849-02A5B9E1D6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507744"/>
        <c:axId val="1584282560"/>
      </c:scatterChart>
      <c:valAx>
        <c:axId val="164150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>
                    <a:solidFill>
                      <a:schemeClr val="tx1"/>
                    </a:solidFill>
                  </a:rPr>
                  <a:t>3-E ƞ at 20 mAcm-2 (mV)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282560"/>
        <c:crosses val="autoZero"/>
        <c:crossBetween val="midCat"/>
      </c:valAx>
      <c:valAx>
        <c:axId val="1584282560"/>
        <c:scaling>
          <c:orientation val="minMax"/>
          <c:min val="1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 i="0" u="none" strike="noStrike" kern="1200" baseline="0">
                    <a:solidFill>
                      <a:schemeClr val="tx1"/>
                    </a:solidFill>
                  </a:rPr>
                  <a:t>E @ 100 mA/cm2 /V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507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098633768331679"/>
          <c:y val="0.67584762214396199"/>
          <c:w val="0.82676738002116168"/>
          <c:h val="0.162740022425091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3600" b="1">
                <a:solidFill>
                  <a:schemeClr val="tx1"/>
                </a:solidFill>
              </a:rPr>
              <a:t>DIW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55349816305975"/>
          <c:y val="0.14061132983377078"/>
          <c:w val="0.83417493838227774"/>
          <c:h val="0.6866614173228347"/>
        </c:manualLayout>
      </c:layout>
      <c:scatterChart>
        <c:scatterStyle val="lineMarker"/>
        <c:varyColors val="0"/>
        <c:ser>
          <c:idx val="0"/>
          <c:order val="0"/>
          <c:tx>
            <c:v>Good anode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'Anode Record'!$AD$2:$AD$134</c:f>
              <c:numCache>
                <c:formatCode>General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xVal>
          <c:yVal>
            <c:numRef>
              <c:f>'Anode Record'!$W$2:$W$134</c:f>
              <c:numCache>
                <c:formatCode>General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FC-44C7-9889-15FFFDC404E5}"/>
            </c:ext>
          </c:extLst>
        </c:ser>
        <c:ser>
          <c:idx val="1"/>
          <c:order val="1"/>
          <c:tx>
            <c:v>Bad anode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'Anode Record'!$AD$135:$AD$139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'Anode Record'!$W$135:$W$139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FC-44C7-9889-15FFFDC404E5}"/>
            </c:ext>
          </c:extLst>
        </c:ser>
        <c:ser>
          <c:idx val="2"/>
          <c:order val="2"/>
          <c:tx>
            <c:v>Degraded anode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'Anode Record'!$AD$176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Record'!$W$176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3D-418D-A4BE-25F03F6696CB}"/>
            </c:ext>
          </c:extLst>
        </c:ser>
        <c:ser>
          <c:idx val="3"/>
          <c:order val="3"/>
          <c:tx>
            <c:v>No ionomer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'Anode Record'!$AD$73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Record'!$W$73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3D-418D-A4BE-25F03F6696CB}"/>
            </c:ext>
          </c:extLst>
        </c:ser>
        <c:ser>
          <c:idx val="4"/>
          <c:order val="4"/>
          <c:tx>
            <c:v>Low Fe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'Anode Record'!$AD$268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Record'!$W$268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EC-4242-9428-97FB57682E52}"/>
            </c:ext>
          </c:extLst>
        </c:ser>
        <c:ser>
          <c:idx val="5"/>
          <c:order val="5"/>
          <c:tx>
            <c:v>High Fe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'Anode Record'!$AD$269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Record'!$W$269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EC-4242-9428-97FB57682E52}"/>
            </c:ext>
          </c:extLst>
        </c:ser>
        <c:ser>
          <c:idx val="6"/>
          <c:order val="6"/>
          <c:tx>
            <c:v>No acid pretreatment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noFill/>
              <a:ln w="38100">
                <a:solidFill>
                  <a:srgbClr val="7030A0"/>
                </a:solidFill>
              </a:ln>
              <a:effectLst/>
            </c:spPr>
          </c:marker>
          <c:xVal>
            <c:numRef>
              <c:f>'Anode Record'!$AD$290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Record'!$W$290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4EC-4242-9428-97FB57682E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0387984"/>
        <c:axId val="1438251216"/>
      </c:scatterChart>
      <c:valAx>
        <c:axId val="1440387984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>
                    <a:solidFill>
                      <a:schemeClr val="tx1"/>
                    </a:solidFill>
                  </a:rPr>
                  <a:t>HFR/mOhm</a:t>
                </a:r>
                <a:r>
                  <a:rPr lang="en-US" sz="2400" b="1" baseline="0">
                    <a:solidFill>
                      <a:schemeClr val="tx1"/>
                    </a:solidFill>
                  </a:rPr>
                  <a:t> cm2</a:t>
                </a:r>
                <a:endParaRPr lang="en-US" sz="24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251216"/>
        <c:crosses val="autoZero"/>
        <c:crossBetween val="midCat"/>
      </c:valAx>
      <c:valAx>
        <c:axId val="1438251216"/>
        <c:scaling>
          <c:orientation val="minMax"/>
          <c:max val="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>
                    <a:solidFill>
                      <a:schemeClr val="tx1"/>
                    </a:solidFill>
                  </a:rPr>
                  <a:t>i @ 1.8 V DIW (A/cm2)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387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489678564699216"/>
          <c:y val="0.1896454505686789"/>
          <c:w val="0.26206484079994619"/>
          <c:h val="0.418472604318086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3600" b="1">
                <a:solidFill>
                  <a:schemeClr val="tx1"/>
                </a:solidFill>
              </a:rPr>
              <a:t>DIW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55349816305975"/>
          <c:y val="0.14061132983377078"/>
          <c:w val="0.83417493838227774"/>
          <c:h val="0.6866614173228347"/>
        </c:manualLayout>
      </c:layout>
      <c:scatterChart>
        <c:scatterStyle val="lineMarker"/>
        <c:varyColors val="0"/>
        <c:ser>
          <c:idx val="0"/>
          <c:order val="0"/>
          <c:tx>
            <c:v>Good anode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'Anode Record'!$AF$2:$AF$134</c:f>
              <c:numCache>
                <c:formatCode>General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xVal>
          <c:yVal>
            <c:numRef>
              <c:f>'Anode Record'!$W$2:$W$134</c:f>
              <c:numCache>
                <c:formatCode>General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AF-449E-9831-2F2116BC7FEA}"/>
            </c:ext>
          </c:extLst>
        </c:ser>
        <c:ser>
          <c:idx val="1"/>
          <c:order val="1"/>
          <c:tx>
            <c:v>Bad anode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'Anode Record'!$AF$135:$AF$139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'Anode Record'!$W$135:$W$139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AF-449E-9831-2F2116BC7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0387984"/>
        <c:axId val="1438251216"/>
      </c:scatterChart>
      <c:valAx>
        <c:axId val="144038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 i="0" u="none" strike="noStrike" kern="1200" baseline="0">
                    <a:solidFill>
                      <a:schemeClr val="tx1"/>
                    </a:solidFill>
                  </a:rPr>
                  <a:t>R_ionic/ Ohm cm2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251216"/>
        <c:crosses val="autoZero"/>
        <c:crossBetween val="midCat"/>
      </c:valAx>
      <c:valAx>
        <c:axId val="1438251216"/>
        <c:scaling>
          <c:orientation val="minMax"/>
          <c:max val="2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>
                    <a:solidFill>
                      <a:schemeClr val="tx1"/>
                    </a:solidFill>
                  </a:rPr>
                  <a:t>i @ 1.8 V DIW (A/cm2)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387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878859043708747"/>
          <c:y val="0.18964545056867893"/>
          <c:w val="0.25561324096464838"/>
          <c:h val="0.218750656167978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3600" b="1">
                <a:solidFill>
                  <a:schemeClr val="tx1"/>
                </a:solidFill>
              </a:rPr>
              <a:t>10 mM KOH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55349816305975"/>
          <c:y val="0.14061132983377078"/>
          <c:w val="0.83417493838227774"/>
          <c:h val="0.6866614173228347"/>
        </c:manualLayout>
      </c:layout>
      <c:scatterChart>
        <c:scatterStyle val="lineMarker"/>
        <c:varyColors val="0"/>
        <c:ser>
          <c:idx val="0"/>
          <c:order val="0"/>
          <c:tx>
            <c:v>Good anode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79"/>
            <c:marker>
              <c:symbol val="circle"/>
              <c:size val="10"/>
              <c:spPr>
                <a:solidFill>
                  <a:schemeClr val="accent1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2C5-4334-852B-A1C847ABE993}"/>
              </c:ext>
            </c:extLst>
          </c:dPt>
          <c:xVal>
            <c:numRef>
              <c:f>'Anode Record'!$AB$2:$AB$134</c:f>
              <c:numCache>
                <c:formatCode>General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xVal>
          <c:yVal>
            <c:numRef>
              <c:f>'Anode Record'!$X$2:$X$134</c:f>
              <c:numCache>
                <c:formatCode>General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F9-4449-B91F-72DFAD044FFA}"/>
            </c:ext>
          </c:extLst>
        </c:ser>
        <c:ser>
          <c:idx val="1"/>
          <c:order val="1"/>
          <c:tx>
            <c:v>Bad anode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'Anode Record'!$AB$135:$AB$139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'Anode Record'!$X$135:$X$139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F9-4449-B91F-72DFAD044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0387984"/>
        <c:axId val="1438251216"/>
      </c:scatterChart>
      <c:valAx>
        <c:axId val="1440387984"/>
        <c:scaling>
          <c:orientation val="minMax"/>
          <c:min val="1.4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>
                    <a:solidFill>
                      <a:schemeClr val="tx1"/>
                    </a:solidFill>
                  </a:rPr>
                  <a:t>E @ 100 mA/cm2 /V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251216"/>
        <c:crosses val="autoZero"/>
        <c:crossBetween val="midCat"/>
      </c:valAx>
      <c:valAx>
        <c:axId val="1438251216"/>
        <c:scaling>
          <c:orientation val="minMax"/>
          <c:max val="2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>
                    <a:solidFill>
                      <a:schemeClr val="tx1"/>
                    </a:solidFill>
                  </a:rPr>
                  <a:t>i @ 1.8 V DIW (A/cm2)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387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869574212343785"/>
          <c:y val="0.55075656167979004"/>
          <c:w val="0.25561324096464838"/>
          <c:h val="0.218750656167978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3600" b="1">
                <a:solidFill>
                  <a:schemeClr val="tx1"/>
                </a:solidFill>
              </a:rPr>
              <a:t>10 mM KOH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55349816305975"/>
          <c:y val="0.14061132983377078"/>
          <c:w val="0.83417493838227774"/>
          <c:h val="0.6866614173228347"/>
        </c:manualLayout>
      </c:layout>
      <c:scatterChart>
        <c:scatterStyle val="lineMarker"/>
        <c:varyColors val="0"/>
        <c:ser>
          <c:idx val="0"/>
          <c:order val="0"/>
          <c:tx>
            <c:v>Good anode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'Anode Record'!$AE$2:$AE$134</c:f>
              <c:numCache>
                <c:formatCode>General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xVal>
          <c:yVal>
            <c:numRef>
              <c:f>'Anode Record'!$X$2:$X$134</c:f>
              <c:numCache>
                <c:formatCode>General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FA-4AFC-AA8A-1C34EEDD75C8}"/>
            </c:ext>
          </c:extLst>
        </c:ser>
        <c:ser>
          <c:idx val="1"/>
          <c:order val="1"/>
          <c:tx>
            <c:v>Bad anode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'Anode Record'!$AE$135:$AE$139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'Anode Record'!$X$135:$X$139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FA-4AFC-AA8A-1C34EEDD75C8}"/>
            </c:ext>
          </c:extLst>
        </c:ser>
        <c:ser>
          <c:idx val="2"/>
          <c:order val="2"/>
          <c:tx>
            <c:v>Degraded anode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'Anode Record'!$AE$176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Record'!$X$176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96-452A-95AF-BC496C67BA81}"/>
            </c:ext>
          </c:extLst>
        </c:ser>
        <c:ser>
          <c:idx val="3"/>
          <c:order val="3"/>
          <c:tx>
            <c:v>Low Fe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'Anode Record'!$AE$268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Record'!$X$268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03-4AD5-9A33-0436EE349781}"/>
            </c:ext>
          </c:extLst>
        </c:ser>
        <c:ser>
          <c:idx val="4"/>
          <c:order val="4"/>
          <c:tx>
            <c:v>High Fe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'Anode Record'!$AE$269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Record'!$X$269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03-4AD5-9A33-0436EE349781}"/>
            </c:ext>
          </c:extLst>
        </c:ser>
        <c:ser>
          <c:idx val="5"/>
          <c:order val="5"/>
          <c:tx>
            <c:v>No Acid Pretreatment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noFill/>
              <a:ln w="38100">
                <a:solidFill>
                  <a:srgbClr val="7030A0"/>
                </a:solidFill>
              </a:ln>
              <a:effectLst/>
            </c:spPr>
          </c:marker>
          <c:xVal>
            <c:numRef>
              <c:f>'Anode Record'!$AE$290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Record'!$X$290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03-4AD5-9A33-0436EE349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0387984"/>
        <c:axId val="1438251216"/>
      </c:scatterChart>
      <c:valAx>
        <c:axId val="1440387984"/>
        <c:scaling>
          <c:orientation val="minMax"/>
          <c:min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 i="0" u="none" strike="noStrike" kern="1200" baseline="0">
                    <a:solidFill>
                      <a:schemeClr val="tx1"/>
                    </a:solidFill>
                  </a:rPr>
                  <a:t>HFR/mOhm cm2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251216"/>
        <c:crosses val="autoZero"/>
        <c:crossBetween val="midCat"/>
      </c:valAx>
      <c:valAx>
        <c:axId val="1438251216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>
                    <a:solidFill>
                      <a:schemeClr val="tx1"/>
                    </a:solidFill>
                  </a:rPr>
                  <a:t>i @ 1.8 V DIW (A/cm2)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387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869574212343785"/>
          <c:y val="0.51575140762209915"/>
          <c:w val="0.28993476386471229"/>
          <c:h val="0.286428377907965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3600" b="1">
                <a:solidFill>
                  <a:schemeClr val="tx1"/>
                </a:solidFill>
              </a:rPr>
              <a:t>10 mM KOH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55349816305975"/>
          <c:y val="0.14061132983377078"/>
          <c:w val="0.83417493838227774"/>
          <c:h val="0.6866614173228347"/>
        </c:manualLayout>
      </c:layout>
      <c:scatterChart>
        <c:scatterStyle val="lineMarker"/>
        <c:varyColors val="0"/>
        <c:ser>
          <c:idx val="0"/>
          <c:order val="0"/>
          <c:tx>
            <c:v>Good anode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'Anode Record'!$AH$2:$AH$134</c:f>
              <c:numCache>
                <c:formatCode>General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xVal>
          <c:yVal>
            <c:numRef>
              <c:f>'Anode Record'!$X$2:$X$134</c:f>
              <c:numCache>
                <c:formatCode>General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8B-4D09-8373-E453987F8E7F}"/>
            </c:ext>
          </c:extLst>
        </c:ser>
        <c:ser>
          <c:idx val="1"/>
          <c:order val="1"/>
          <c:tx>
            <c:v>Bad anode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'Anode Record'!$AH$135:$AH$139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'Anode Record'!$X$135:$X$139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8B-4D09-8373-E453987F8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0387984"/>
        <c:axId val="1438251216"/>
      </c:scatterChart>
      <c:valAx>
        <c:axId val="1440387984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 i="0" u="none" strike="noStrike" kern="1200" baseline="0">
                    <a:solidFill>
                      <a:schemeClr val="tx1"/>
                    </a:solidFill>
                  </a:rPr>
                  <a:t>R_ionic/ Ohm cm2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251216"/>
        <c:crosses val="autoZero"/>
        <c:crossBetween val="midCat"/>
      </c:valAx>
      <c:valAx>
        <c:axId val="1438251216"/>
        <c:scaling>
          <c:orientation val="minMax"/>
          <c:max val="2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>
                    <a:solidFill>
                      <a:schemeClr val="tx1"/>
                    </a:solidFill>
                  </a:rPr>
                  <a:t>i @ 1.8 V DIW (A/cm2)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387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659373680110974"/>
          <c:y val="0.53686767279090108"/>
          <c:w val="0.25561324096464838"/>
          <c:h val="0.218750656167978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3600" b="1">
                <a:solidFill>
                  <a:schemeClr val="tx1"/>
                </a:solidFill>
              </a:rPr>
              <a:t>DIW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22180403708715"/>
          <c:y val="0.13042964601731044"/>
          <c:w val="0.83947693050393146"/>
          <c:h val="0.71728685395794867"/>
        </c:manualLayout>
      </c:layout>
      <c:scatterChart>
        <c:scatterStyle val="lineMarker"/>
        <c:varyColors val="0"/>
        <c:ser>
          <c:idx val="0"/>
          <c:order val="0"/>
          <c:tx>
            <c:strRef>
              <c:f>'Anode Record'!$B$27</c:f>
              <c:strCache>
                <c:ptCount val="1"/>
                <c:pt idx="0">
                  <c:v>VSG01A-23072C1.01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'Anode Record'!$Y$27:$Y$30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'Anode Record'!$W$27:$W$30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F7-425B-9658-67B1D4366A3B}"/>
            </c:ext>
          </c:extLst>
        </c:ser>
        <c:ser>
          <c:idx val="1"/>
          <c:order val="1"/>
          <c:tx>
            <c:strRef>
              <c:f>'Anode Record'!$B$80</c:f>
              <c:strCache>
                <c:ptCount val="1"/>
                <c:pt idx="0">
                  <c:v>VSG01A-23129C1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'Anode Record'!$Y$81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Record'!$W$81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F7-425B-9658-67B1D4366A3B}"/>
            </c:ext>
          </c:extLst>
        </c:ser>
        <c:ser>
          <c:idx val="2"/>
          <c:order val="2"/>
          <c:tx>
            <c:strRef>
              <c:f>'Anode Record'!$B$135</c:f>
              <c:strCache>
                <c:ptCount val="1"/>
                <c:pt idx="0">
                  <c:v>VSG01A-23158C1.04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'Anode Record'!$Y$135:$Y$139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'Anode Record'!$W$135:$W$139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F7-425B-9658-67B1D4366A3B}"/>
            </c:ext>
          </c:extLst>
        </c:ser>
        <c:ser>
          <c:idx val="3"/>
          <c:order val="3"/>
          <c:tx>
            <c:v>Low Fe loading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'Anode Record'!$Y$268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Record'!$W$268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FB-4C84-A92C-64B1CD260414}"/>
            </c:ext>
          </c:extLst>
        </c:ser>
        <c:ser>
          <c:idx val="4"/>
          <c:order val="4"/>
          <c:tx>
            <c:v>High Fe loading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'Anode Record'!$Y$269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Record'!$W$269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FB-4C84-A92C-64B1CD260414}"/>
            </c:ext>
          </c:extLst>
        </c:ser>
        <c:ser>
          <c:idx val="5"/>
          <c:order val="5"/>
          <c:tx>
            <c:v>No acid treatment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'Anode Record'!$Y$290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Record'!$W$290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FFB-4C84-A92C-64B1CD260414}"/>
            </c:ext>
          </c:extLst>
        </c:ser>
        <c:ser>
          <c:idx val="6"/>
          <c:order val="6"/>
          <c:tx>
            <c:v>With acid treatment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'Anode Record'!$Y$293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Record'!$W$293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85-49A7-8177-C5BD3D36C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507744"/>
        <c:axId val="1584282560"/>
      </c:scatterChart>
      <c:valAx>
        <c:axId val="164150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>
                    <a:solidFill>
                      <a:schemeClr val="tx1"/>
                    </a:solidFill>
                  </a:rPr>
                  <a:t>3-E ƞ at 20 mAcm-2 (mV)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282560"/>
        <c:crosses val="autoZero"/>
        <c:crossBetween val="midCat"/>
      </c:valAx>
      <c:valAx>
        <c:axId val="158428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 i="0" u="none" strike="noStrike" kern="1200" baseline="0">
                    <a:solidFill>
                      <a:schemeClr val="tx1"/>
                    </a:solidFill>
                  </a:rPr>
                  <a:t>i @ 1.8 V (A/cm2)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507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910875307938788"/>
          <c:y val="0.68847117323029694"/>
          <c:w val="0.81909396264183931"/>
          <c:h val="0.150923001362462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3600" b="1">
                <a:solidFill>
                  <a:schemeClr val="tx1"/>
                </a:solidFill>
              </a:rPr>
              <a:t>10 mM KOH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22180403708715"/>
          <c:y val="0.13042964601731044"/>
          <c:w val="0.83947693050393146"/>
          <c:h val="0.71728685395794867"/>
        </c:manualLayout>
      </c:layout>
      <c:scatterChart>
        <c:scatterStyle val="lineMarker"/>
        <c:varyColors val="0"/>
        <c:ser>
          <c:idx val="0"/>
          <c:order val="0"/>
          <c:tx>
            <c:strRef>
              <c:f>'Anode Record'!$B$27</c:f>
              <c:strCache>
                <c:ptCount val="1"/>
                <c:pt idx="0">
                  <c:v>VSG01A-23072C1.01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'Anode Record'!$Y$27:$Y$30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'Anode Record'!$X$27:$X$30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C5-41A6-BFCF-882344926683}"/>
            </c:ext>
          </c:extLst>
        </c:ser>
        <c:ser>
          <c:idx val="1"/>
          <c:order val="1"/>
          <c:tx>
            <c:strRef>
              <c:f>'Anode Record'!$B$80</c:f>
              <c:strCache>
                <c:ptCount val="1"/>
                <c:pt idx="0">
                  <c:v>VSG01A-23129C1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'Anode Record'!$Y$81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Record'!$X$81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C5-41A6-BFCF-882344926683}"/>
            </c:ext>
          </c:extLst>
        </c:ser>
        <c:ser>
          <c:idx val="2"/>
          <c:order val="2"/>
          <c:tx>
            <c:strRef>
              <c:f>'Anode Record'!$B$135</c:f>
              <c:strCache>
                <c:ptCount val="1"/>
                <c:pt idx="0">
                  <c:v>VSG01A-23158C1.04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'Anode Record'!$Y$135:$Y$139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'Anode Record'!$X$135:$X$139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CC5-41A6-BFCF-882344926683}"/>
            </c:ext>
          </c:extLst>
        </c:ser>
        <c:ser>
          <c:idx val="3"/>
          <c:order val="3"/>
          <c:tx>
            <c:v>Low Fe loading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'Anode Record'!$Y$268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Record'!$X$268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79-46DE-97DA-E7EAB4A7BB24}"/>
            </c:ext>
          </c:extLst>
        </c:ser>
        <c:ser>
          <c:idx val="4"/>
          <c:order val="4"/>
          <c:tx>
            <c:v>High Fe loading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'Anode Record'!$Y$269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Record'!$X$269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79-46DE-97DA-E7EAB4A7BB24}"/>
            </c:ext>
          </c:extLst>
        </c:ser>
        <c:ser>
          <c:idx val="5"/>
          <c:order val="5"/>
          <c:tx>
            <c:v>No acid treatment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844-4169-89AE-24DBE3472FC9}"/>
              </c:ext>
            </c:extLst>
          </c:dPt>
          <c:xVal>
            <c:numRef>
              <c:f>'Anode Record'!$Y$290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Record'!$X$290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079-46DE-97DA-E7EAB4A7BB24}"/>
            </c:ext>
          </c:extLst>
        </c:ser>
        <c:ser>
          <c:idx val="6"/>
          <c:order val="6"/>
          <c:tx>
            <c:v>With acid treatment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'Anode Record'!$Y$293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Record'!$X$293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C6-4270-8F97-9B31D6DCB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507744"/>
        <c:axId val="1584282560"/>
      </c:scatterChart>
      <c:valAx>
        <c:axId val="164150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>
                    <a:solidFill>
                      <a:schemeClr val="tx1"/>
                    </a:solidFill>
                  </a:rPr>
                  <a:t>3-E ƞ at 20 mAcm-2 (mV)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282560"/>
        <c:crosses val="autoZero"/>
        <c:crossBetween val="midCat"/>
      </c:valAx>
      <c:valAx>
        <c:axId val="1584282560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 i="0" u="none" strike="noStrike" kern="1200" baseline="0">
                    <a:solidFill>
                      <a:schemeClr val="tx1"/>
                    </a:solidFill>
                  </a:rPr>
                  <a:t>i @ 1.8 V (A/cm2)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507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028870848275106"/>
          <c:y val="0.69433639716979945"/>
          <c:w val="0.8084982798438588"/>
          <c:h val="0.155962884798782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3600" b="1">
                <a:solidFill>
                  <a:schemeClr val="tx1"/>
                </a:solidFill>
              </a:rPr>
              <a:t>DIW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03322883402317"/>
          <c:y val="0.13042964601731044"/>
          <c:w val="0.84066550506408932"/>
          <c:h val="0.72704756672688597"/>
        </c:manualLayout>
      </c:layout>
      <c:scatterChart>
        <c:scatterStyle val="lineMarker"/>
        <c:varyColors val="0"/>
        <c:ser>
          <c:idx val="0"/>
          <c:order val="0"/>
          <c:tx>
            <c:strRef>
              <c:f>'Anode Record'!$B$27</c:f>
              <c:strCache>
                <c:ptCount val="1"/>
                <c:pt idx="0">
                  <c:v>VSG01A-23072C1.01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'Anode Record'!$AD$27:$AD$30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'Anode Record'!$W$27:$W$30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FB-405B-BA20-AF6AEB97C7CD}"/>
            </c:ext>
          </c:extLst>
        </c:ser>
        <c:ser>
          <c:idx val="1"/>
          <c:order val="1"/>
          <c:tx>
            <c:strRef>
              <c:f>'Anode Record'!$B$80</c:f>
              <c:strCache>
                <c:ptCount val="1"/>
                <c:pt idx="0">
                  <c:v>VSG01A-23129C1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'Anode Record'!$AD$81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Record'!$W$81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FB-405B-BA20-AF6AEB97C7CD}"/>
            </c:ext>
          </c:extLst>
        </c:ser>
        <c:ser>
          <c:idx val="2"/>
          <c:order val="2"/>
          <c:tx>
            <c:strRef>
              <c:f>'Anode Record'!$B$135</c:f>
              <c:strCache>
                <c:ptCount val="1"/>
                <c:pt idx="0">
                  <c:v>VSG01A-23158C1.04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'Anode Record'!$AD$135:$AD$139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'Anode Record'!$W$135:$W$139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FB-405B-BA20-AF6AEB97C7CD}"/>
            </c:ext>
          </c:extLst>
        </c:ser>
        <c:ser>
          <c:idx val="3"/>
          <c:order val="3"/>
          <c:tx>
            <c:v>Low Fe loading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'Anode Record'!$AD$268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Record'!$W$268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4FB-405B-BA20-AF6AEB97C7CD}"/>
            </c:ext>
          </c:extLst>
        </c:ser>
        <c:ser>
          <c:idx val="4"/>
          <c:order val="4"/>
          <c:tx>
            <c:v>High Fe loading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'Anode Record'!$AD$269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Record'!$W$269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4FB-405B-BA20-AF6AEB97C7CD}"/>
            </c:ext>
          </c:extLst>
        </c:ser>
        <c:ser>
          <c:idx val="5"/>
          <c:order val="5"/>
          <c:tx>
            <c:v>No acid treatment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'Anode Record'!$AD$290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Record'!$W$290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4FB-405B-BA20-AF6AEB97C7CD}"/>
            </c:ext>
          </c:extLst>
        </c:ser>
        <c:ser>
          <c:idx val="6"/>
          <c:order val="6"/>
          <c:tx>
            <c:v>With acid treatment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'Anode Record'!$AD$293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Record'!$W$293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EC-439A-942D-3F09AC39F194}"/>
            </c:ext>
          </c:extLst>
        </c:ser>
        <c:ser>
          <c:idx val="7"/>
          <c:order val="7"/>
          <c:tx>
            <c:v>Low loading slot die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'Anode Record'!$AD$270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Record'!$W$270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68-4EDB-B7E3-47F46DBDA946}"/>
            </c:ext>
          </c:extLst>
        </c:ser>
        <c:ser>
          <c:idx val="8"/>
          <c:order val="8"/>
          <c:tx>
            <c:v>High loading slot die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1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'Anode Record'!$AD$271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Record'!$W$271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68-4EDB-B7E3-47F46DBDA946}"/>
            </c:ext>
          </c:extLst>
        </c:ser>
        <c:ser>
          <c:idx val="9"/>
          <c:order val="9"/>
          <c:tx>
            <c:v>Baseline 1-1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xVal>
            <c:numRef>
              <c:f>'Anode Record'!$AD$299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Record'!$W$299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AF-4F27-95AC-887FB6AB50C2}"/>
            </c:ext>
          </c:extLst>
        </c:ser>
        <c:ser>
          <c:idx val="10"/>
          <c:order val="10"/>
          <c:tx>
            <c:v>Baseline 1-6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Pt>
            <c:idx val="0"/>
            <c:marker>
              <c:symbol val="triangle"/>
              <c:size val="13"/>
              <c:spPr>
                <a:solidFill>
                  <a:schemeClr val="accent4"/>
                </a:solidFill>
                <a:ln w="9525">
                  <a:noFill/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621-46EF-B281-057CC6FE3C50}"/>
              </c:ext>
            </c:extLst>
          </c:dPt>
          <c:xVal>
            <c:numRef>
              <c:f>'Anode Record'!$AD$301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Record'!$W$301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653-429E-B02D-4F7787FB07C9}"/>
            </c:ext>
          </c:extLst>
        </c:ser>
        <c:ser>
          <c:idx val="11"/>
          <c:order val="11"/>
          <c:tx>
            <c:v>Baseline 2-1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'Anode Record'!$AD$306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Record'!$W$306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53-429E-B02D-4F7787FB07C9}"/>
            </c:ext>
          </c:extLst>
        </c:ser>
        <c:ser>
          <c:idx val="12"/>
          <c:order val="12"/>
          <c:tx>
            <c:v>Baseline 2-4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'Anode Record'!$AD$308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Record'!$W$308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53-429E-B02D-4F7787FB0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507744"/>
        <c:axId val="1584282560"/>
      </c:scatterChart>
      <c:valAx>
        <c:axId val="1641507744"/>
        <c:scaling>
          <c:orientation val="minMax"/>
          <c:min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 i="0" u="none" strike="noStrike" kern="1200" baseline="0">
                    <a:solidFill>
                      <a:schemeClr val="tx1"/>
                    </a:solidFill>
                  </a:rPr>
                  <a:t>HFR/mOhm cm</a:t>
                </a:r>
                <a:r>
                  <a:rPr lang="en-US" sz="2400" b="1" i="0" u="none" strike="noStrike" kern="1200" baseline="30000">
                    <a:solidFill>
                      <a:schemeClr val="tx1"/>
                    </a:solidFill>
                  </a:rPr>
                  <a:t>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282560"/>
        <c:crosses val="autoZero"/>
        <c:crossBetween val="midCat"/>
      </c:valAx>
      <c:valAx>
        <c:axId val="158428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 i="0" u="none" strike="noStrike" kern="1200" baseline="0">
                    <a:solidFill>
                      <a:schemeClr val="tx1"/>
                    </a:solidFill>
                  </a:rPr>
                  <a:t>i @ 1.8 V (A/cm2)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507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440360199661234"/>
          <c:y val="0.59210767798595232"/>
          <c:w val="0.77805422106635891"/>
          <c:h val="0.265354651965121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3600" b="1">
                <a:solidFill>
                  <a:schemeClr val="tx1"/>
                </a:solidFill>
              </a:rPr>
              <a:t>10 mM KOH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22180403708715"/>
          <c:y val="0.13042964601731044"/>
          <c:w val="0.83947693050393146"/>
          <c:h val="0.71728685395794867"/>
        </c:manualLayout>
      </c:layout>
      <c:scatterChart>
        <c:scatterStyle val="lineMarker"/>
        <c:varyColors val="0"/>
        <c:ser>
          <c:idx val="0"/>
          <c:order val="0"/>
          <c:tx>
            <c:strRef>
              <c:f>'Anode Record'!$B$27</c:f>
              <c:strCache>
                <c:ptCount val="1"/>
                <c:pt idx="0">
                  <c:v>VSG01A-23072C1.01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'Anode Record'!$AE$27:$AE$30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'Anode Record'!$X$27:$X$30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C9-406B-B7C5-9F881FE4B80E}"/>
            </c:ext>
          </c:extLst>
        </c:ser>
        <c:ser>
          <c:idx val="1"/>
          <c:order val="1"/>
          <c:tx>
            <c:strRef>
              <c:f>'Anode Record'!$B$80</c:f>
              <c:strCache>
                <c:ptCount val="1"/>
                <c:pt idx="0">
                  <c:v>VSG01A-23129C1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'Anode Record'!$AE$81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Record'!$X$81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C9-406B-B7C5-9F881FE4B80E}"/>
            </c:ext>
          </c:extLst>
        </c:ser>
        <c:ser>
          <c:idx val="2"/>
          <c:order val="2"/>
          <c:tx>
            <c:strRef>
              <c:f>'Anode Record'!$B$135</c:f>
              <c:strCache>
                <c:ptCount val="1"/>
                <c:pt idx="0">
                  <c:v>VSG01A-23158C1.04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'Anode Record'!$AE$135:$AE$139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'Anode Record'!$X$135:$X$139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9C9-406B-B7C5-9F881FE4B80E}"/>
            </c:ext>
          </c:extLst>
        </c:ser>
        <c:ser>
          <c:idx val="3"/>
          <c:order val="3"/>
          <c:tx>
            <c:v>Low Fe loading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'Anode Record'!$AE$268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Record'!$X$268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9C9-406B-B7C5-9F881FE4B80E}"/>
            </c:ext>
          </c:extLst>
        </c:ser>
        <c:ser>
          <c:idx val="4"/>
          <c:order val="4"/>
          <c:tx>
            <c:v>High Fe loading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'Anode Record'!$AE$269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Record'!$X$269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9C9-406B-B7C5-9F881FE4B80E}"/>
            </c:ext>
          </c:extLst>
        </c:ser>
        <c:ser>
          <c:idx val="5"/>
          <c:order val="5"/>
          <c:tx>
            <c:v>No acid treatment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'Anode Record'!$AE$290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Record'!$X$290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9C9-406B-B7C5-9F881FE4B80E}"/>
            </c:ext>
          </c:extLst>
        </c:ser>
        <c:ser>
          <c:idx val="6"/>
          <c:order val="6"/>
          <c:tx>
            <c:v>With acid treatment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'Anode Record'!$AE$293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Record'!$X$293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A3-441D-9259-4712363F05DB}"/>
            </c:ext>
          </c:extLst>
        </c:ser>
        <c:ser>
          <c:idx val="7"/>
          <c:order val="7"/>
          <c:tx>
            <c:v>Low loading slot die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'Anode Record'!$AE$270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Record'!$X$270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78-4424-A539-0A6605B04CA5}"/>
            </c:ext>
          </c:extLst>
        </c:ser>
        <c:ser>
          <c:idx val="8"/>
          <c:order val="8"/>
          <c:tx>
            <c:v>High loading slot die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1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'Anode Record'!$AE$271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Record'!$X$271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78-4424-A539-0A6605B04CA5}"/>
            </c:ext>
          </c:extLst>
        </c:ser>
        <c:ser>
          <c:idx val="9"/>
          <c:order val="9"/>
          <c:tx>
            <c:v>Baseline 1-1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xVal>
            <c:numRef>
              <c:f>'Anode Record'!$AE$299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Record'!$X$299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D4-4E92-B643-349928C0C303}"/>
            </c:ext>
          </c:extLst>
        </c:ser>
        <c:ser>
          <c:idx val="10"/>
          <c:order val="10"/>
          <c:tx>
            <c:v>Baseline 1-6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xVal>
            <c:numRef>
              <c:f>'Anode Record'!$AE$301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Record'!$X$301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D4-4E92-B643-349928C0C303}"/>
            </c:ext>
          </c:extLst>
        </c:ser>
        <c:ser>
          <c:idx val="11"/>
          <c:order val="11"/>
          <c:tx>
            <c:v>Baseline 2-1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'Anode Record'!$AE$306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Record'!$X$306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3F-4539-AF47-2A0D92E0D957}"/>
            </c:ext>
          </c:extLst>
        </c:ser>
        <c:ser>
          <c:idx val="12"/>
          <c:order val="12"/>
          <c:tx>
            <c:v>Baseline 2-4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'Anode Record'!$AE$308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'Anode Record'!$X$308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3F-4539-AF47-2A0D92E0D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507744"/>
        <c:axId val="1584282560"/>
      </c:scatterChart>
      <c:valAx>
        <c:axId val="1641507744"/>
        <c:scaling>
          <c:orientation val="minMax"/>
          <c:min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 i="0" u="none" strike="noStrike" kern="1200" baseline="0">
                    <a:solidFill>
                      <a:schemeClr val="tx1"/>
                    </a:solidFill>
                  </a:rPr>
                  <a:t>HFR/mOhm cm</a:t>
                </a:r>
                <a:r>
                  <a:rPr lang="en-US" sz="2400" b="1" i="0" u="none" strike="noStrike" kern="1200" baseline="30000">
                    <a:solidFill>
                      <a:schemeClr val="tx1"/>
                    </a:solidFill>
                  </a:rPr>
                  <a:t>2</a:t>
                </a:r>
              </a:p>
            </c:rich>
          </c:tx>
          <c:layout>
            <c:manualLayout>
              <c:xMode val="edge"/>
              <c:yMode val="edge"/>
              <c:x val="0.38964667855644014"/>
              <c:y val="0.921666141848332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282560"/>
        <c:crosses val="autoZero"/>
        <c:crossBetween val="midCat"/>
      </c:valAx>
      <c:valAx>
        <c:axId val="1584282560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 i="0" u="none" strike="noStrike" kern="1200" baseline="0">
                    <a:solidFill>
                      <a:schemeClr val="tx1"/>
                    </a:solidFill>
                  </a:rPr>
                  <a:t>i @ 1.8 V (A/cm2)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507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358115275381162"/>
          <c:y val="0.60127919406918828"/>
          <c:w val="0.75803219344948125"/>
          <c:h val="0.230813243814491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 samples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'Anode Record'!$AE$1</c:f>
              <c:strCache>
                <c:ptCount val="1"/>
                <c:pt idx="0">
                  <c:v>HFR 10 mM KOH/ mOhm cm2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'Anode Record'!$AD$2:$AD$297</c:f>
              <c:numCache>
                <c:formatCode>General</c:formatCode>
                <c:ptCount val="2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</c:numCache>
            </c:numRef>
          </c:xVal>
          <c:yVal>
            <c:numRef>
              <c:f>'Anode Record'!$AE$2:$AE$297</c:f>
              <c:numCache>
                <c:formatCode>General</c:formatCode>
                <c:ptCount val="2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57-4FF9-860E-A9CA6F1E5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874880"/>
        <c:axId val="811773392"/>
      </c:scatterChart>
      <c:valAx>
        <c:axId val="126987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HFR</a:t>
                </a:r>
                <a:r>
                  <a:rPr lang="en-US" baseline="0"/>
                  <a:t> DIW (mOhm-cm2)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773392"/>
        <c:crosses val="autoZero"/>
        <c:crossBetween val="midCat"/>
      </c:valAx>
      <c:valAx>
        <c:axId val="81177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HFR 10 mM KOH (mOhm-cm2)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87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 b="1">
                <a:solidFill>
                  <a:schemeClr val="tx1"/>
                </a:solidFill>
              </a:rPr>
              <a:t>DIW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249190368385042E-2"/>
          <c:y val="0.1026289209055329"/>
          <c:w val="0.87540010967942206"/>
          <c:h val="0.71439805286051716"/>
        </c:manualLayout>
      </c:layout>
      <c:scatterChart>
        <c:scatterStyle val="lineMarker"/>
        <c:varyColors val="0"/>
        <c:ser>
          <c:idx val="0"/>
          <c:order val="0"/>
          <c:tx>
            <c:v>Background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'Anode Record'!$AD$2:$AD$663</c:f>
              <c:numCache>
                <c:formatCode>General</c:formatCode>
                <c:ptCount val="6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</c:numCache>
            </c:numRef>
          </c:xVal>
          <c:yVal>
            <c:numRef>
              <c:f>'Anode Record'!$W$2:$W$663</c:f>
              <c:numCache>
                <c:formatCode>General</c:formatCode>
                <c:ptCount val="6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CD-461B-9679-A4CA0CDB7FAF}"/>
            </c:ext>
          </c:extLst>
        </c:ser>
        <c:ser>
          <c:idx val="1"/>
          <c:order val="1"/>
          <c:tx>
            <c:v>Baseline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'Anode Record'!$AD$298:$AD$318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'Anode Record'!$W$298:$W$318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CCD-461B-9679-A4CA0CDB7FAF}"/>
            </c:ext>
          </c:extLst>
        </c:ser>
        <c:ser>
          <c:idx val="2"/>
          <c:order val="2"/>
          <c:tx>
            <c:v>FTA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'Anode Record'!$AD$319:$AD$339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'Anode Record'!$W$319:$W$339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34-4830-9F69-3983B5A88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243647"/>
        <c:axId val="463208543"/>
      </c:scatterChart>
      <c:valAx>
        <c:axId val="538243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>
                    <a:solidFill>
                      <a:schemeClr val="tx1"/>
                    </a:solidFill>
                  </a:rPr>
                  <a:t>HFR (m</a:t>
                </a:r>
                <a:r>
                  <a:rPr lang="el-GR" sz="2400" b="1">
                    <a:solidFill>
                      <a:schemeClr val="tx1"/>
                    </a:solidFill>
                  </a:rPr>
                  <a:t>Ω</a:t>
                </a:r>
                <a:r>
                  <a:rPr lang="en-US" sz="2400" b="1">
                    <a:solidFill>
                      <a:schemeClr val="tx1"/>
                    </a:solidFill>
                  </a:rPr>
                  <a:t> cm</a:t>
                </a:r>
                <a:r>
                  <a:rPr lang="en-US" sz="2400" b="1" baseline="30000">
                    <a:solidFill>
                      <a:schemeClr val="tx1"/>
                    </a:solidFill>
                  </a:rPr>
                  <a:t>2</a:t>
                </a:r>
                <a:r>
                  <a:rPr lang="en-US" sz="2400" b="1">
                    <a:solidFill>
                      <a:schemeClr val="tx1"/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208543"/>
        <c:crosses val="autoZero"/>
        <c:crossBetween val="midCat"/>
      </c:valAx>
      <c:valAx>
        <c:axId val="46320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>
                    <a:solidFill>
                      <a:schemeClr val="tx1"/>
                    </a:solidFill>
                  </a:rPr>
                  <a:t>Current density @ 1.8 V (A/cm</a:t>
                </a:r>
                <a:r>
                  <a:rPr lang="en-US" sz="2400" b="1" baseline="30000">
                    <a:solidFill>
                      <a:schemeClr val="tx1"/>
                    </a:solidFill>
                  </a:rPr>
                  <a:t>2</a:t>
                </a:r>
                <a:r>
                  <a:rPr lang="en-US" sz="2400" b="1">
                    <a:solidFill>
                      <a:schemeClr val="tx1"/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243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4346376255395444"/>
          <c:y val="0.91837208870420595"/>
          <c:w val="0.48225513490662064"/>
          <c:h val="7.99551218245154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 b="1">
                <a:solidFill>
                  <a:schemeClr val="tx1"/>
                </a:solidFill>
              </a:rPr>
              <a:t>DIW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249190368385042E-2"/>
          <c:y val="0.1026289209055329"/>
          <c:w val="0.87540010967942206"/>
          <c:h val="0.71439805286051716"/>
        </c:manualLayout>
      </c:layout>
      <c:scatterChart>
        <c:scatterStyle val="lineMarker"/>
        <c:varyColors val="0"/>
        <c:ser>
          <c:idx val="0"/>
          <c:order val="0"/>
          <c:tx>
            <c:v>Background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'Anode Record'!$P$2:$P$663</c:f>
              <c:numCache>
                <c:formatCode>0.000</c:formatCode>
                <c:ptCount val="662"/>
                <c:pt idx="0">
                  <c:v>1.2185846560846652</c:v>
                </c:pt>
                <c:pt idx="1">
                  <c:v>1.1274005486968368</c:v>
                </c:pt>
                <c:pt idx="2">
                  <c:v>1.2612612612612684</c:v>
                </c:pt>
                <c:pt idx="3">
                  <c:v>1.3311247026843267</c:v>
                </c:pt>
                <c:pt idx="4">
                  <c:v>1.2844036697247674</c:v>
                </c:pt>
                <c:pt idx="5">
                  <c:v>1.6938498131158586</c:v>
                </c:pt>
                <c:pt idx="7">
                  <c:v>#N/A</c:v>
                </c:pt>
                <c:pt idx="9">
                  <c:v>#N/A</c:v>
                </c:pt>
                <c:pt idx="12">
                  <c:v>1.1040000000000001</c:v>
                </c:pt>
                <c:pt idx="13">
                  <c:v>1.1200000000000001</c:v>
                </c:pt>
                <c:pt idx="14">
                  <c:v>#N/A</c:v>
                </c:pt>
                <c:pt idx="16">
                  <c:v>1.2184146763586057</c:v>
                </c:pt>
                <c:pt idx="17">
                  <c:v>1.3145252860511922</c:v>
                </c:pt>
                <c:pt idx="18">
                  <c:v>1.3727737612413995</c:v>
                </c:pt>
                <c:pt idx="20">
                  <c:v>1.3715818622360685</c:v>
                </c:pt>
                <c:pt idx="21">
                  <c:v>1.5023146126299138</c:v>
                </c:pt>
                <c:pt idx="22">
                  <c:v>1.5809327846364891</c:v>
                </c:pt>
                <c:pt idx="23">
                  <c:v>1.5707070707070583</c:v>
                </c:pt>
                <c:pt idx="25">
                  <c:v>1.1896296296296203</c:v>
                </c:pt>
                <c:pt idx="29">
                  <c:v>1.0379446640316168</c:v>
                </c:pt>
                <c:pt idx="36">
                  <c:v>1.49</c:v>
                </c:pt>
                <c:pt idx="39">
                  <c:v>1.7635860159224588</c:v>
                </c:pt>
                <c:pt idx="40">
                  <c:v>1.8449290411907278</c:v>
                </c:pt>
                <c:pt idx="41">
                  <c:v>1.4901960784313726</c:v>
                </c:pt>
                <c:pt idx="42">
                  <c:v>1.8310834198684725</c:v>
                </c:pt>
                <c:pt idx="43">
                  <c:v>2.0413237311385553</c:v>
                </c:pt>
                <c:pt idx="44">
                  <c:v>0</c:v>
                </c:pt>
                <c:pt idx="46">
                  <c:v>0.19</c:v>
                </c:pt>
                <c:pt idx="47">
                  <c:v>0.49</c:v>
                </c:pt>
                <c:pt idx="48">
                  <c:v>2.8490000000000002</c:v>
                </c:pt>
                <c:pt idx="51">
                  <c:v>1.4183266932270948</c:v>
                </c:pt>
                <c:pt idx="52">
                  <c:v>1.6064257028112463</c:v>
                </c:pt>
                <c:pt idx="53">
                  <c:v>1.1680000000000135</c:v>
                </c:pt>
                <c:pt idx="54">
                  <c:v>1.6800000000000102</c:v>
                </c:pt>
                <c:pt idx="57">
                  <c:v>3.235294117647042</c:v>
                </c:pt>
                <c:pt idx="61">
                  <c:v>1.1120000000000019</c:v>
                </c:pt>
                <c:pt idx="65">
                  <c:v>#N/A</c:v>
                </c:pt>
                <c:pt idx="66">
                  <c:v>#N/A</c:v>
                </c:pt>
                <c:pt idx="68">
                  <c:v>1.186363636363637</c:v>
                </c:pt>
                <c:pt idx="72">
                  <c:v>1.1068244170095964</c:v>
                </c:pt>
                <c:pt idx="73">
                  <c:v>1.087746625129804</c:v>
                </c:pt>
                <c:pt idx="74">
                  <c:v>1.1000170677590015</c:v>
                </c:pt>
                <c:pt idx="75">
                  <c:v>1.0620155038759724</c:v>
                </c:pt>
                <c:pt idx="79">
                  <c:v>1.1651234567901187</c:v>
                </c:pt>
                <c:pt idx="80">
                  <c:v>1.17</c:v>
                </c:pt>
                <c:pt idx="81">
                  <c:v>1.744324970131419</c:v>
                </c:pt>
                <c:pt idx="82">
                  <c:v>1.247554879374045</c:v>
                </c:pt>
                <c:pt idx="94">
                  <c:v>1.1076658053402129</c:v>
                </c:pt>
                <c:pt idx="96">
                  <c:v>1.17</c:v>
                </c:pt>
                <c:pt idx="97">
                  <c:v>1.17</c:v>
                </c:pt>
                <c:pt idx="122">
                  <c:v>-1.3480000000000001</c:v>
                </c:pt>
                <c:pt idx="123">
                  <c:v>1.125</c:v>
                </c:pt>
                <c:pt idx="129">
                  <c:v>1.353</c:v>
                </c:pt>
                <c:pt idx="130">
                  <c:v>#N/A</c:v>
                </c:pt>
                <c:pt idx="131">
                  <c:v>1.08</c:v>
                </c:pt>
                <c:pt idx="133">
                  <c:v>1.0884</c:v>
                </c:pt>
                <c:pt idx="138">
                  <c:v>1.0668</c:v>
                </c:pt>
                <c:pt idx="143">
                  <c:v>1.0469999999999999</c:v>
                </c:pt>
                <c:pt idx="144">
                  <c:v>1.121</c:v>
                </c:pt>
                <c:pt idx="147">
                  <c:v>2.3722222222222444</c:v>
                </c:pt>
                <c:pt idx="148">
                  <c:v>1.5147975077881597</c:v>
                </c:pt>
                <c:pt idx="168">
                  <c:v>1.4960562414266125</c:v>
                </c:pt>
                <c:pt idx="169">
                  <c:v>1.427469135802462</c:v>
                </c:pt>
                <c:pt idx="171">
                  <c:v>1.45</c:v>
                </c:pt>
                <c:pt idx="172">
                  <c:v>1.1325883418906675</c:v>
                </c:pt>
                <c:pt idx="173">
                  <c:v>1.1023859861069223</c:v>
                </c:pt>
                <c:pt idx="174">
                  <c:v>1.9268115062507634</c:v>
                </c:pt>
                <c:pt idx="175">
                  <c:v>1.3742071881606712</c:v>
                </c:pt>
                <c:pt idx="176">
                  <c:v>1.1174871639987949</c:v>
                </c:pt>
                <c:pt idx="177">
                  <c:v>1.2080942313500518</c:v>
                </c:pt>
                <c:pt idx="190">
                  <c:v>1.087284808215039</c:v>
                </c:pt>
                <c:pt idx="191">
                  <c:v>1.2080942313500409</c:v>
                </c:pt>
                <c:pt idx="204">
                  <c:v>1.07</c:v>
                </c:pt>
                <c:pt idx="216">
                  <c:v>1.1399999999999999</c:v>
                </c:pt>
                <c:pt idx="218">
                  <c:v>1.1759999999999999</c:v>
                </c:pt>
                <c:pt idx="219">
                  <c:v>1.0610999999999999</c:v>
                </c:pt>
                <c:pt idx="223">
                  <c:v>1.6000000000000014</c:v>
                </c:pt>
                <c:pt idx="224">
                  <c:v>1.0537716242718715</c:v>
                </c:pt>
                <c:pt idx="225">
                  <c:v>1.3132706774468115</c:v>
                </c:pt>
                <c:pt idx="226">
                  <c:v>1.3652946574453309</c:v>
                </c:pt>
                <c:pt idx="227">
                  <c:v>1.196</c:v>
                </c:pt>
                <c:pt idx="233">
                  <c:v>1.169</c:v>
                </c:pt>
                <c:pt idx="237" formatCode="General">
                  <c:v>1.4410000000000001</c:v>
                </c:pt>
                <c:pt idx="238" formatCode="General">
                  <c:v>1.4582999999999999</c:v>
                </c:pt>
                <c:pt idx="239" formatCode="General">
                  <c:v>1.3889</c:v>
                </c:pt>
                <c:pt idx="240" formatCode="General">
                  <c:v>1.0417000000000001</c:v>
                </c:pt>
                <c:pt idx="244">
                  <c:v>0.63227953410982118</c:v>
                </c:pt>
                <c:pt idx="245">
                  <c:v>1.1080000000000001</c:v>
                </c:pt>
                <c:pt idx="247">
                  <c:v>1.05</c:v>
                </c:pt>
                <c:pt idx="248">
                  <c:v>1.196</c:v>
                </c:pt>
                <c:pt idx="249">
                  <c:v>1.6559999999999999</c:v>
                </c:pt>
                <c:pt idx="250">
                  <c:v>1.0469999999999999</c:v>
                </c:pt>
                <c:pt idx="251">
                  <c:v>1.151</c:v>
                </c:pt>
                <c:pt idx="253" formatCode="0.0000">
                  <c:v>1.3889</c:v>
                </c:pt>
                <c:pt idx="254" formatCode="0.0000">
                  <c:v>1.3193999999999999</c:v>
                </c:pt>
                <c:pt idx="255" formatCode="0.0000">
                  <c:v>0.85070000000000001</c:v>
                </c:pt>
                <c:pt idx="256" formatCode="0.0000">
                  <c:v>0.9375</c:v>
                </c:pt>
                <c:pt idx="257" formatCode="0.0000">
                  <c:v>1.0243</c:v>
                </c:pt>
                <c:pt idx="258" formatCode="0.0000">
                  <c:v>1.2153</c:v>
                </c:pt>
                <c:pt idx="259" formatCode="0.0000">
                  <c:v>1.1632</c:v>
                </c:pt>
                <c:pt idx="260" formatCode="0.0000">
                  <c:v>1.0243</c:v>
                </c:pt>
                <c:pt idx="261">
                  <c:v>0.86809999999999998</c:v>
                </c:pt>
                <c:pt idx="262" formatCode="0.0000">
                  <c:v>0.86809999999999998</c:v>
                </c:pt>
                <c:pt idx="263" formatCode="0.0000">
                  <c:v>1.0764</c:v>
                </c:pt>
                <c:pt idx="264" formatCode="0.0000">
                  <c:v>0.88539999999999996</c:v>
                </c:pt>
                <c:pt idx="266">
                  <c:v>0.92800000000000005</c:v>
                </c:pt>
                <c:pt idx="267">
                  <c:v>1.0880000000000001</c:v>
                </c:pt>
                <c:pt idx="268">
                  <c:v>0.55000000000000004</c:v>
                </c:pt>
                <c:pt idx="269">
                  <c:v>1.36</c:v>
                </c:pt>
                <c:pt idx="270">
                  <c:v>1.93</c:v>
                </c:pt>
                <c:pt idx="271">
                  <c:v>1.07</c:v>
                </c:pt>
                <c:pt idx="272">
                  <c:v>1.07</c:v>
                </c:pt>
                <c:pt idx="273">
                  <c:v>1.048</c:v>
                </c:pt>
                <c:pt idx="276">
                  <c:v>1.0209999999999999</c:v>
                </c:pt>
                <c:pt idx="279">
                  <c:v>1.26</c:v>
                </c:pt>
                <c:pt idx="282">
                  <c:v>1.046</c:v>
                </c:pt>
                <c:pt idx="285">
                  <c:v>1.6180000000000001</c:v>
                </c:pt>
                <c:pt idx="288">
                  <c:v>1.4400000000000011</c:v>
                </c:pt>
                <c:pt idx="291">
                  <c:v>1.2319999999999887</c:v>
                </c:pt>
                <c:pt idx="293">
                  <c:v>1.306</c:v>
                </c:pt>
                <c:pt idx="297">
                  <c:v>1.28</c:v>
                </c:pt>
                <c:pt idx="298">
                  <c:v>2.528</c:v>
                </c:pt>
                <c:pt idx="299">
                  <c:v>1.8720000000000001</c:v>
                </c:pt>
                <c:pt idx="300">
                  <c:v>1.405</c:v>
                </c:pt>
                <c:pt idx="301">
                  <c:v>1.9790000000000001</c:v>
                </c:pt>
                <c:pt idx="304">
                  <c:v>0.92010000000000003</c:v>
                </c:pt>
                <c:pt idx="305">
                  <c:v>1.0417000000000001</c:v>
                </c:pt>
                <c:pt idx="306">
                  <c:v>0.90280000000000005</c:v>
                </c:pt>
                <c:pt idx="307">
                  <c:v>1.0764</c:v>
                </c:pt>
                <c:pt idx="308">
                  <c:v>1.2847</c:v>
                </c:pt>
                <c:pt idx="309">
                  <c:v>1.6146</c:v>
                </c:pt>
                <c:pt idx="311">
                  <c:v>0.85070000000000001</c:v>
                </c:pt>
                <c:pt idx="312">
                  <c:v>1.712</c:v>
                </c:pt>
                <c:pt idx="313">
                  <c:v>1.367</c:v>
                </c:pt>
                <c:pt idx="314">
                  <c:v>1.4810000000000001</c:v>
                </c:pt>
                <c:pt idx="315">
                  <c:v>0.92010000000000003</c:v>
                </c:pt>
                <c:pt idx="316">
                  <c:v>1.216</c:v>
                </c:pt>
                <c:pt idx="318">
                  <c:v>1.2</c:v>
                </c:pt>
                <c:pt idx="319">
                  <c:v>1.264</c:v>
                </c:pt>
                <c:pt idx="320">
                  <c:v>1.4236</c:v>
                </c:pt>
                <c:pt idx="321">
                  <c:v>1.1979</c:v>
                </c:pt>
                <c:pt idx="322">
                  <c:v>1.2669999999999999</c:v>
                </c:pt>
                <c:pt idx="323">
                  <c:v>1.2669999999999999</c:v>
                </c:pt>
                <c:pt idx="325">
                  <c:v>1.0417000000000001</c:v>
                </c:pt>
                <c:pt idx="326">
                  <c:v>1.1167</c:v>
                </c:pt>
                <c:pt idx="327">
                  <c:v>1.0243</c:v>
                </c:pt>
                <c:pt idx="328">
                  <c:v>1.2153</c:v>
                </c:pt>
                <c:pt idx="329">
                  <c:v>1.3542000000000001</c:v>
                </c:pt>
                <c:pt idx="330">
                  <c:v>2.3784999999999998</c:v>
                </c:pt>
                <c:pt idx="332">
                  <c:v>2.1875</c:v>
                </c:pt>
                <c:pt idx="333">
                  <c:v>1.7882</c:v>
                </c:pt>
                <c:pt idx="334">
                  <c:v>2.03125</c:v>
                </c:pt>
                <c:pt idx="335">
                  <c:v>1.51</c:v>
                </c:pt>
                <c:pt idx="336">
                  <c:v>2.2568999999999999</c:v>
                </c:pt>
                <c:pt idx="337">
                  <c:v>1.615</c:v>
                </c:pt>
                <c:pt idx="339">
                  <c:v>1.0189999999999999</c:v>
                </c:pt>
                <c:pt idx="341" formatCode="0.0000">
                  <c:v>1.2153</c:v>
                </c:pt>
                <c:pt idx="342" formatCode="0.0000">
                  <c:v>1.4757</c:v>
                </c:pt>
                <c:pt idx="343" formatCode="0.0000">
                  <c:v>1.1632</c:v>
                </c:pt>
                <c:pt idx="344" formatCode="0.0000">
                  <c:v>1.3889</c:v>
                </c:pt>
                <c:pt idx="345">
                  <c:v>1.04</c:v>
                </c:pt>
                <c:pt idx="346">
                  <c:v>1.04</c:v>
                </c:pt>
                <c:pt idx="347">
                  <c:v>1.04</c:v>
                </c:pt>
                <c:pt idx="348">
                  <c:v>1.04</c:v>
                </c:pt>
                <c:pt idx="357">
                  <c:v>1.0980000000000001</c:v>
                </c:pt>
                <c:pt idx="358">
                  <c:v>1.19</c:v>
                </c:pt>
                <c:pt idx="359">
                  <c:v>1.1259999999999999</c:v>
                </c:pt>
                <c:pt idx="361">
                  <c:v>1.0649999999999999</c:v>
                </c:pt>
                <c:pt idx="362">
                  <c:v>1.2430000000000001</c:v>
                </c:pt>
                <c:pt idx="367">
                  <c:v>0.97</c:v>
                </c:pt>
                <c:pt idx="368">
                  <c:v>0.97</c:v>
                </c:pt>
                <c:pt idx="369">
                  <c:v>0.97</c:v>
                </c:pt>
                <c:pt idx="370">
                  <c:v>0.97</c:v>
                </c:pt>
                <c:pt idx="371">
                  <c:v>2.1139999999999999</c:v>
                </c:pt>
                <c:pt idx="372">
                  <c:v>2.1139999999999999</c:v>
                </c:pt>
                <c:pt idx="373">
                  <c:v>2.1139999999999999</c:v>
                </c:pt>
                <c:pt idx="374">
                  <c:v>2.1139999999999999</c:v>
                </c:pt>
                <c:pt idx="376">
                  <c:v>1.0109999999999999</c:v>
                </c:pt>
                <c:pt idx="381">
                  <c:v>1.3368055555555434</c:v>
                </c:pt>
                <c:pt idx="382">
                  <c:v>1.2499999999999973</c:v>
                </c:pt>
                <c:pt idx="389">
                  <c:v>1.1379999999999999</c:v>
                </c:pt>
                <c:pt idx="392">
                  <c:v>1.319</c:v>
                </c:pt>
                <c:pt idx="395">
                  <c:v>1.2949999999999999</c:v>
                </c:pt>
                <c:pt idx="396">
                  <c:v>1.298</c:v>
                </c:pt>
                <c:pt idx="398">
                  <c:v>1.9023000000000001</c:v>
                </c:pt>
                <c:pt idx="399">
                  <c:v>0.93710000000000004</c:v>
                </c:pt>
                <c:pt idx="400">
                  <c:v>0.27900000000000003</c:v>
                </c:pt>
                <c:pt idx="406">
                  <c:v>0.54</c:v>
                </c:pt>
                <c:pt idx="458">
                  <c:v>0.74</c:v>
                </c:pt>
                <c:pt idx="481">
                  <c:v>0.59</c:v>
                </c:pt>
                <c:pt idx="483">
                  <c:v>0.55000000000000004</c:v>
                </c:pt>
                <c:pt idx="484">
                  <c:v>0.48</c:v>
                </c:pt>
                <c:pt idx="485">
                  <c:v>0.64</c:v>
                </c:pt>
                <c:pt idx="486">
                  <c:v>1.1200000000000001</c:v>
                </c:pt>
                <c:pt idx="487">
                  <c:v>0.9</c:v>
                </c:pt>
                <c:pt idx="488">
                  <c:v>0.86</c:v>
                </c:pt>
                <c:pt idx="489">
                  <c:v>0.73</c:v>
                </c:pt>
                <c:pt idx="493">
                  <c:v>0.76</c:v>
                </c:pt>
                <c:pt idx="496">
                  <c:v>0.97</c:v>
                </c:pt>
                <c:pt idx="500">
                  <c:v>0.94</c:v>
                </c:pt>
                <c:pt idx="503">
                  <c:v>1.22</c:v>
                </c:pt>
                <c:pt idx="506">
                  <c:v>1.03</c:v>
                </c:pt>
                <c:pt idx="509">
                  <c:v>0.7</c:v>
                </c:pt>
                <c:pt idx="512">
                  <c:v>1.03</c:v>
                </c:pt>
                <c:pt idx="515">
                  <c:v>0.85</c:v>
                </c:pt>
                <c:pt idx="518">
                  <c:v>0.94</c:v>
                </c:pt>
                <c:pt idx="519">
                  <c:v>0.97</c:v>
                </c:pt>
                <c:pt idx="520">
                  <c:v>0.98</c:v>
                </c:pt>
                <c:pt idx="523">
                  <c:v>0.94</c:v>
                </c:pt>
                <c:pt idx="525">
                  <c:v>0.87</c:v>
                </c:pt>
                <c:pt idx="526">
                  <c:v>0.97</c:v>
                </c:pt>
                <c:pt idx="528">
                  <c:v>0.99</c:v>
                </c:pt>
                <c:pt idx="529">
                  <c:v>0.96</c:v>
                </c:pt>
                <c:pt idx="531">
                  <c:v>0.99</c:v>
                </c:pt>
                <c:pt idx="532">
                  <c:v>0.7</c:v>
                </c:pt>
                <c:pt idx="543">
                  <c:v>1</c:v>
                </c:pt>
                <c:pt idx="546">
                  <c:v>0.99</c:v>
                </c:pt>
                <c:pt idx="548">
                  <c:v>1.03</c:v>
                </c:pt>
                <c:pt idx="551">
                  <c:v>1.06</c:v>
                </c:pt>
                <c:pt idx="554">
                  <c:v>1.03</c:v>
                </c:pt>
                <c:pt idx="556">
                  <c:v>0.99</c:v>
                </c:pt>
                <c:pt idx="557">
                  <c:v>0.81</c:v>
                </c:pt>
                <c:pt idx="561">
                  <c:v>0.84</c:v>
                </c:pt>
                <c:pt idx="562">
                  <c:v>0.87</c:v>
                </c:pt>
                <c:pt idx="567">
                  <c:v>0.89</c:v>
                </c:pt>
                <c:pt idx="568">
                  <c:v>0.88</c:v>
                </c:pt>
                <c:pt idx="570">
                  <c:v>0.85</c:v>
                </c:pt>
                <c:pt idx="571">
                  <c:v>0.94</c:v>
                </c:pt>
                <c:pt idx="573">
                  <c:v>0.91</c:v>
                </c:pt>
                <c:pt idx="574">
                  <c:v>0.97</c:v>
                </c:pt>
                <c:pt idx="575">
                  <c:v>0.86</c:v>
                </c:pt>
                <c:pt idx="577">
                  <c:v>0.9</c:v>
                </c:pt>
                <c:pt idx="581">
                  <c:v>0.87</c:v>
                </c:pt>
                <c:pt idx="582">
                  <c:v>0.93</c:v>
                </c:pt>
                <c:pt idx="585">
                  <c:v>0.82</c:v>
                </c:pt>
                <c:pt idx="586">
                  <c:v>0.8</c:v>
                </c:pt>
                <c:pt idx="587">
                  <c:v>0.94</c:v>
                </c:pt>
                <c:pt idx="588">
                  <c:v>0.92</c:v>
                </c:pt>
                <c:pt idx="589">
                  <c:v>1.04</c:v>
                </c:pt>
                <c:pt idx="590">
                  <c:v>0.94</c:v>
                </c:pt>
                <c:pt idx="591">
                  <c:v>0.83</c:v>
                </c:pt>
                <c:pt idx="592">
                  <c:v>0.83</c:v>
                </c:pt>
                <c:pt idx="595">
                  <c:v>0.8</c:v>
                </c:pt>
                <c:pt idx="596">
                  <c:v>0.9</c:v>
                </c:pt>
                <c:pt idx="597">
                  <c:v>1.4</c:v>
                </c:pt>
                <c:pt idx="598">
                  <c:v>0.84</c:v>
                </c:pt>
                <c:pt idx="599">
                  <c:v>0.98</c:v>
                </c:pt>
                <c:pt idx="600">
                  <c:v>0.82</c:v>
                </c:pt>
              </c:numCache>
            </c:numRef>
          </c:xVal>
          <c:yVal>
            <c:numRef>
              <c:f>'Anode Record'!$W$2:$W$663</c:f>
              <c:numCache>
                <c:formatCode>General</c:formatCode>
                <c:ptCount val="6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74-4E77-89A5-310A98613D1C}"/>
            </c:ext>
          </c:extLst>
        </c:ser>
        <c:ser>
          <c:idx val="1"/>
          <c:order val="1"/>
          <c:tx>
            <c:v>Baseline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'Anode Record'!$P$298:$P$318</c:f>
              <c:numCache>
                <c:formatCode>0.000</c:formatCode>
                <c:ptCount val="21"/>
                <c:pt idx="1">
                  <c:v>1.28</c:v>
                </c:pt>
                <c:pt idx="2">
                  <c:v>2.528</c:v>
                </c:pt>
                <c:pt idx="3">
                  <c:v>1.8720000000000001</c:v>
                </c:pt>
                <c:pt idx="4">
                  <c:v>1.405</c:v>
                </c:pt>
                <c:pt idx="5">
                  <c:v>1.9790000000000001</c:v>
                </c:pt>
                <c:pt idx="8">
                  <c:v>0.92010000000000003</c:v>
                </c:pt>
                <c:pt idx="9">
                  <c:v>1.0417000000000001</c:v>
                </c:pt>
                <c:pt idx="10">
                  <c:v>0.90280000000000005</c:v>
                </c:pt>
                <c:pt idx="11">
                  <c:v>1.0764</c:v>
                </c:pt>
                <c:pt idx="12">
                  <c:v>1.2847</c:v>
                </c:pt>
                <c:pt idx="13">
                  <c:v>1.6146</c:v>
                </c:pt>
                <c:pt idx="15">
                  <c:v>0.85070000000000001</c:v>
                </c:pt>
                <c:pt idx="16">
                  <c:v>1.712</c:v>
                </c:pt>
                <c:pt idx="17">
                  <c:v>1.367</c:v>
                </c:pt>
                <c:pt idx="18">
                  <c:v>1.4810000000000001</c:v>
                </c:pt>
                <c:pt idx="19">
                  <c:v>0.92010000000000003</c:v>
                </c:pt>
                <c:pt idx="20">
                  <c:v>1.216</c:v>
                </c:pt>
              </c:numCache>
            </c:numRef>
          </c:xVal>
          <c:yVal>
            <c:numRef>
              <c:f>'Anode Record'!$W$298:$W$318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74-4E77-89A5-310A98613D1C}"/>
            </c:ext>
          </c:extLst>
        </c:ser>
        <c:ser>
          <c:idx val="2"/>
          <c:order val="2"/>
          <c:tx>
            <c:v>FTA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'Anode Record'!$P$319:$P$339</c:f>
              <c:numCache>
                <c:formatCode>0.000</c:formatCode>
                <c:ptCount val="21"/>
                <c:pt idx="1">
                  <c:v>1.2</c:v>
                </c:pt>
                <c:pt idx="2">
                  <c:v>1.264</c:v>
                </c:pt>
                <c:pt idx="3">
                  <c:v>1.4236</c:v>
                </c:pt>
                <c:pt idx="4">
                  <c:v>1.1979</c:v>
                </c:pt>
                <c:pt idx="5">
                  <c:v>1.2669999999999999</c:v>
                </c:pt>
                <c:pt idx="6">
                  <c:v>1.2669999999999999</c:v>
                </c:pt>
                <c:pt idx="8">
                  <c:v>1.0417000000000001</c:v>
                </c:pt>
                <c:pt idx="9">
                  <c:v>1.1167</c:v>
                </c:pt>
                <c:pt idx="10">
                  <c:v>1.0243</c:v>
                </c:pt>
                <c:pt idx="11">
                  <c:v>1.2153</c:v>
                </c:pt>
                <c:pt idx="12">
                  <c:v>1.3542000000000001</c:v>
                </c:pt>
                <c:pt idx="13">
                  <c:v>2.3784999999999998</c:v>
                </c:pt>
                <c:pt idx="15">
                  <c:v>2.1875</c:v>
                </c:pt>
                <c:pt idx="16">
                  <c:v>1.7882</c:v>
                </c:pt>
                <c:pt idx="17">
                  <c:v>2.03125</c:v>
                </c:pt>
                <c:pt idx="18">
                  <c:v>1.51</c:v>
                </c:pt>
                <c:pt idx="19">
                  <c:v>2.2568999999999999</c:v>
                </c:pt>
                <c:pt idx="20">
                  <c:v>1.615</c:v>
                </c:pt>
              </c:numCache>
            </c:numRef>
          </c:xVal>
          <c:yVal>
            <c:numRef>
              <c:f>'Anode Record'!$W$319:$W$339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74-4E77-89A5-310A98613D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243647"/>
        <c:axId val="463208543"/>
      </c:scatterChart>
      <c:valAx>
        <c:axId val="538243647"/>
        <c:scaling>
          <c:orientation val="minMax"/>
          <c:max val="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 i="0" u="none" strike="noStrike" kern="1200" baseline="0">
                    <a:solidFill>
                      <a:schemeClr val="tx1"/>
                    </a:solidFill>
                  </a:rPr>
                  <a:t>Ionomer loading (mg/cm</a:t>
                </a:r>
                <a:r>
                  <a:rPr lang="en-US" sz="2400" b="1" i="0" u="none" strike="noStrike" kern="1200" baseline="30000">
                    <a:solidFill>
                      <a:schemeClr val="tx1"/>
                    </a:solidFill>
                  </a:rPr>
                  <a:t>2</a:t>
                </a:r>
                <a:r>
                  <a:rPr lang="en-US" sz="2400" b="1" i="0" u="none" strike="noStrike" kern="1200" baseline="0">
                    <a:solidFill>
                      <a:schemeClr val="tx1"/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208543"/>
        <c:crosses val="autoZero"/>
        <c:crossBetween val="midCat"/>
      </c:valAx>
      <c:valAx>
        <c:axId val="46320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>
                    <a:solidFill>
                      <a:schemeClr val="tx1"/>
                    </a:solidFill>
                  </a:rPr>
                  <a:t>Current density @ 1.8 V (A/cm</a:t>
                </a:r>
                <a:r>
                  <a:rPr lang="en-US" sz="2400" b="1" baseline="30000">
                    <a:solidFill>
                      <a:schemeClr val="tx1"/>
                    </a:solidFill>
                  </a:rPr>
                  <a:t>2</a:t>
                </a:r>
                <a:r>
                  <a:rPr lang="en-US" sz="2400" b="1">
                    <a:solidFill>
                      <a:schemeClr val="tx1"/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243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4346376255395444"/>
          <c:y val="0.91837208870420595"/>
          <c:w val="0.48225513490662064"/>
          <c:h val="7.99551218245154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 b="1">
                <a:solidFill>
                  <a:schemeClr val="tx1"/>
                </a:solidFill>
              </a:rPr>
              <a:t>DIW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249190368385042E-2"/>
          <c:y val="0.1026289209055329"/>
          <c:w val="0.87540010967942206"/>
          <c:h val="0.71439805286051716"/>
        </c:manualLayout>
      </c:layout>
      <c:scatterChart>
        <c:scatterStyle val="lineMarker"/>
        <c:varyColors val="0"/>
        <c:ser>
          <c:idx val="0"/>
          <c:order val="0"/>
          <c:tx>
            <c:v>Background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'Anode Record'!$Q$2:$Q$663</c:f>
              <c:numCache>
                <c:formatCode>General</c:formatCode>
                <c:ptCount val="662"/>
                <c:pt idx="0">
                  <c:v>0.30919999999999997</c:v>
                </c:pt>
                <c:pt idx="12">
                  <c:v>0.2238</c:v>
                </c:pt>
                <c:pt idx="25">
                  <c:v>0.32400000000000001</c:v>
                </c:pt>
                <c:pt idx="65">
                  <c:v>0.2346</c:v>
                </c:pt>
                <c:pt idx="171" formatCode="0.0000">
                  <c:v>0.25439850618049958</c:v>
                </c:pt>
                <c:pt idx="177" formatCode="0.0000">
                  <c:v>5.0485356539011789E-2</c:v>
                </c:pt>
                <c:pt idx="222">
                  <c:v>1.7149874771008024E-2</c:v>
                </c:pt>
                <c:pt idx="236" formatCode="0.0000000">
                  <c:v>4.4234207402762217E-2</c:v>
                </c:pt>
                <c:pt idx="237" formatCode="0.0000000">
                  <c:v>3.4893519626304347E-2</c:v>
                </c:pt>
                <c:pt idx="238" formatCode="0.0000000">
                  <c:v>3.8632738796401507E-2</c:v>
                </c:pt>
                <c:pt idx="239" formatCode="0.0000000">
                  <c:v>3.5239589720140914E-2</c:v>
                </c:pt>
                <c:pt idx="240" formatCode="0.0000000">
                  <c:v>4.1669278833093015E-2</c:v>
                </c:pt>
                <c:pt idx="251" formatCode="0.000000">
                  <c:v>3.8454434276616961E-2</c:v>
                </c:pt>
                <c:pt idx="253">
                  <c:v>3.3900413647249092E-2</c:v>
                </c:pt>
                <c:pt idx="254">
                  <c:v>2.7417577324365804E-2</c:v>
                </c:pt>
                <c:pt idx="255">
                  <c:v>4.3202831324670433E-2</c:v>
                </c:pt>
                <c:pt idx="256">
                  <c:v>2.4563565413842678E-2</c:v>
                </c:pt>
                <c:pt idx="257">
                  <c:v>3.9832898172323758E-2</c:v>
                </c:pt>
                <c:pt idx="258">
                  <c:v>5.7451186317165698E-2</c:v>
                </c:pt>
                <c:pt idx="259">
                  <c:v>3.4825922274684791E-2</c:v>
                </c:pt>
                <c:pt idx="260">
                  <c:v>3.9722598811137766E-2</c:v>
                </c:pt>
                <c:pt idx="261">
                  <c:v>0.56235584843492581</c:v>
                </c:pt>
                <c:pt idx="262">
                  <c:v>0.30035790980672866</c:v>
                </c:pt>
                <c:pt idx="263">
                  <c:v>0.25013262599469493</c:v>
                </c:pt>
                <c:pt idx="264">
                  <c:v>0.39985673352435525</c:v>
                </c:pt>
                <c:pt idx="272" formatCode="0.00000">
                  <c:v>0.53825534517996043</c:v>
                </c:pt>
                <c:pt idx="276" formatCode="0.000000">
                  <c:v>5.4506518789451945E-2</c:v>
                </c:pt>
                <c:pt idx="282" formatCode="0.000000">
                  <c:v>6.0745457995351269E-2</c:v>
                </c:pt>
                <c:pt idx="285" formatCode="0.000000">
                  <c:v>6.6641226835841547E-2</c:v>
                </c:pt>
                <c:pt idx="293" formatCode="0.00000">
                  <c:v>9.3559165555949578E-2</c:v>
                </c:pt>
                <c:pt idx="294" formatCode="0.00000">
                  <c:v>0.13671204667658163</c:v>
                </c:pt>
                <c:pt idx="295" formatCode="0.00000">
                  <c:v>8.7784837861524981E-2</c:v>
                </c:pt>
                <c:pt idx="296" formatCode="0.00000">
                  <c:v>7.4434280599294494E-2</c:v>
                </c:pt>
                <c:pt idx="297" formatCode="0.00000">
                  <c:v>6.0265894714270407E-2</c:v>
                </c:pt>
                <c:pt idx="298" formatCode="0.00000">
                  <c:v>6.2043795620437964E-2</c:v>
                </c:pt>
                <c:pt idx="299" formatCode="0.00000">
                  <c:v>7.6716808371484632E-2</c:v>
                </c:pt>
                <c:pt idx="300" formatCode="0.00000">
                  <c:v>5.8399400042854079E-2</c:v>
                </c:pt>
                <c:pt idx="301" formatCode="0.00000">
                  <c:v>6.2559190701678855E-2</c:v>
                </c:pt>
                <c:pt idx="302" formatCode="0.00000">
                  <c:v>6.5280620489066035E-2</c:v>
                </c:pt>
                <c:pt idx="304" formatCode="0.00000">
                  <c:v>9.8379578246392915E-2</c:v>
                </c:pt>
                <c:pt idx="305" formatCode="0.00000">
                  <c:v>0.11491681654676261</c:v>
                </c:pt>
                <c:pt idx="306" formatCode="0.00000">
                  <c:v>0.12694978936582035</c:v>
                </c:pt>
                <c:pt idx="307" formatCode="0.00000">
                  <c:v>0.1281613123718387</c:v>
                </c:pt>
                <c:pt idx="308" formatCode="0.00000">
                  <c:v>8.7312369891530628E-2</c:v>
                </c:pt>
                <c:pt idx="309" formatCode="0.00000">
                  <c:v>0.10776362823949956</c:v>
                </c:pt>
                <c:pt idx="311" formatCode="0.00000">
                  <c:v>8.5971459934138308E-2</c:v>
                </c:pt>
                <c:pt idx="312" formatCode="0.00000">
                  <c:v>7.6799999999999993E-2</c:v>
                </c:pt>
                <c:pt idx="313" formatCode="0.00000">
                  <c:v>7.4300000000000005E-2</c:v>
                </c:pt>
                <c:pt idx="314" formatCode="0.00000">
                  <c:v>7.0699999999999999E-2</c:v>
                </c:pt>
                <c:pt idx="315" formatCode="0.00000">
                  <c:v>6.6027780768816616E-2</c:v>
                </c:pt>
                <c:pt idx="316" formatCode="0.00000">
                  <c:v>6.1440000000000002E-2</c:v>
                </c:pt>
                <c:pt idx="318" formatCode="0.00000">
                  <c:v>0.11458</c:v>
                </c:pt>
                <c:pt idx="319" formatCode="0.00000">
                  <c:v>9.6681833314837415E-2</c:v>
                </c:pt>
                <c:pt idx="320" formatCode="0.00000">
                  <c:v>8.0436919716002184E-2</c:v>
                </c:pt>
                <c:pt idx="321" formatCode="0.00000">
                  <c:v>9.267646084170994E-2</c:v>
                </c:pt>
                <c:pt idx="322" formatCode="0.00000">
                  <c:v>0.10897680152415107</c:v>
                </c:pt>
                <c:pt idx="323" formatCode="0.00000">
                  <c:v>8.5054824561403508E-2</c:v>
                </c:pt>
                <c:pt idx="325" formatCode="0.00000">
                  <c:v>0.11874222373034725</c:v>
                </c:pt>
                <c:pt idx="326" formatCode="0.00000">
                  <c:v>0.10402632165960295</c:v>
                </c:pt>
                <c:pt idx="327" formatCode="0.00000">
                  <c:v>8.2662877131613466E-2</c:v>
                </c:pt>
                <c:pt idx="328" formatCode="0.00000">
                  <c:v>9.4635335845710489E-2</c:v>
                </c:pt>
                <c:pt idx="329" formatCode="0.00000">
                  <c:v>8.8560722944677095E-2</c:v>
                </c:pt>
                <c:pt idx="330" formatCode="0.00000">
                  <c:v>0.11123709025594972</c:v>
                </c:pt>
                <c:pt idx="331" formatCode="0.00000">
                  <c:v>1.726958187504943E-4</c:v>
                </c:pt>
                <c:pt idx="332" formatCode="0.00000">
                  <c:v>7.5313078514646636E-2</c:v>
                </c:pt>
                <c:pt idx="333" formatCode="0.00000">
                  <c:v>4.9430431244914565E-3</c:v>
                </c:pt>
                <c:pt idx="334" formatCode="0.00000">
                  <c:v>6.5397886564589183E-2</c:v>
                </c:pt>
                <c:pt idx="335" formatCode="0.00000">
                  <c:v>9.8933333333333331E-2</c:v>
                </c:pt>
                <c:pt idx="336" formatCode="0.00000">
                  <c:v>0.12734935641872649</c:v>
                </c:pt>
                <c:pt idx="337" formatCode="0.00000">
                  <c:v>0.11894343045006237</c:v>
                </c:pt>
                <c:pt idx="339" formatCode="0.00000">
                  <c:v>5.2762929661226934E-2</c:v>
                </c:pt>
                <c:pt idx="341" formatCode="0.00000">
                  <c:v>5.0999999999999997E-2</c:v>
                </c:pt>
                <c:pt idx="342" formatCode="0.00000">
                  <c:v>3.6999999999999998E-2</c:v>
                </c:pt>
                <c:pt idx="343" formatCode="0.00000">
                  <c:v>3.099E-2</c:v>
                </c:pt>
                <c:pt idx="344" formatCode="0.00000">
                  <c:v>2.6859999999999998E-2</c:v>
                </c:pt>
                <c:pt idx="345" formatCode="0.00000">
                  <c:v>0.34010000000000001</c:v>
                </c:pt>
                <c:pt idx="346" formatCode="0.00000">
                  <c:v>0.34010000000000001</c:v>
                </c:pt>
                <c:pt idx="347" formatCode="0.00000">
                  <c:v>0.34010000000000001</c:v>
                </c:pt>
                <c:pt idx="348" formatCode="0.00000">
                  <c:v>0.34010000000000001</c:v>
                </c:pt>
                <c:pt idx="357" formatCode="0.00000">
                  <c:v>2.7064400468249698E-2</c:v>
                </c:pt>
                <c:pt idx="358" formatCode="0.00000">
                  <c:v>3.6387884635754687E-2</c:v>
                </c:pt>
                <c:pt idx="359" formatCode="0.00000">
                  <c:v>3.5930242289882931E-2</c:v>
                </c:pt>
                <c:pt idx="361" formatCode="0.00000">
                  <c:v>4.1905212392119008E-2</c:v>
                </c:pt>
                <c:pt idx="362" formatCode="0.00000">
                  <c:v>4.7431369120475603E-2</c:v>
                </c:pt>
                <c:pt idx="364" formatCode="0.00000">
                  <c:v>4.251767434232695E-2</c:v>
                </c:pt>
                <c:pt idx="365" formatCode="0.00000">
                  <c:v>5.0458627130877065E-2</c:v>
                </c:pt>
                <c:pt idx="366" formatCode="0.00000">
                  <c:v>4.9201395362751095E-2</c:v>
                </c:pt>
                <c:pt idx="367" formatCode="0.00000">
                  <c:v>4.3095967463694623E-2</c:v>
                </c:pt>
                <c:pt idx="368" formatCode="0.00000">
                  <c:v>4.5261580067294888E-2</c:v>
                </c:pt>
                <c:pt idx="369" formatCode="0.00000">
                  <c:v>4.6284340587241096E-2</c:v>
                </c:pt>
                <c:pt idx="370" formatCode="0.00000">
                  <c:v>4.9741602067183463E-2</c:v>
                </c:pt>
                <c:pt idx="371" formatCode="0.00000">
                  <c:v>5.4496431403647898E-2</c:v>
                </c:pt>
                <c:pt idx="372" formatCode="0.00000">
                  <c:v>6.3186080500112013E-2</c:v>
                </c:pt>
                <c:pt idx="373" formatCode="0.00000">
                  <c:v>4.9896268837473813E-2</c:v>
                </c:pt>
                <c:pt idx="374" formatCode="0.00000">
                  <c:v>6.6231752312710543E-2</c:v>
                </c:pt>
                <c:pt idx="376">
                  <c:v>0.10048</c:v>
                </c:pt>
                <c:pt idx="377" formatCode="0.00000">
                  <c:v>9.4967298525662353E-2</c:v>
                </c:pt>
                <c:pt idx="378" formatCode="0.00000">
                  <c:v>0.11393304024349002</c:v>
                </c:pt>
                <c:pt idx="380" formatCode="0.00000">
                  <c:v>0.10563310593546545</c:v>
                </c:pt>
                <c:pt idx="383">
                  <c:v>1.7149999999999999E-2</c:v>
                </c:pt>
                <c:pt idx="384" formatCode="0.00000">
                  <c:v>1.682469523062665E-2</c:v>
                </c:pt>
                <c:pt idx="385" formatCode="0.00000">
                  <c:v>1.8598289202376335E-2</c:v>
                </c:pt>
                <c:pt idx="386" formatCode="0.00000">
                  <c:v>1.5105401911586576E-2</c:v>
                </c:pt>
                <c:pt idx="387" formatCode="0.00000">
                  <c:v>1.8076527023031513E-2</c:v>
                </c:pt>
                <c:pt idx="389" formatCode="0.00000000">
                  <c:v>8.5512442439569222E-2</c:v>
                </c:pt>
                <c:pt idx="392">
                  <c:v>9.3973075188825639E-2</c:v>
                </c:pt>
                <c:pt idx="395">
                  <c:v>8.7777339050146355E-2</c:v>
                </c:pt>
                <c:pt idx="396">
                  <c:v>0.10810807272110801</c:v>
                </c:pt>
                <c:pt idx="399">
                  <c:v>6.4881645279861233E-2</c:v>
                </c:pt>
                <c:pt idx="400">
                  <c:v>6.4645148388601498E-2</c:v>
                </c:pt>
                <c:pt idx="402">
                  <c:v>6.4990971258657673E-2</c:v>
                </c:pt>
                <c:pt idx="404">
                  <c:v>6.9687831331961506E-2</c:v>
                </c:pt>
                <c:pt idx="406">
                  <c:v>3.3096640528134276E-2</c:v>
                </c:pt>
                <c:pt idx="420">
                  <c:v>6.2937062937062929E-2</c:v>
                </c:pt>
                <c:pt idx="421">
                  <c:v>4.1031102201898081E-2</c:v>
                </c:pt>
                <c:pt idx="422">
                  <c:v>5.3275044457617077E-2</c:v>
                </c:pt>
                <c:pt idx="423">
                  <c:v>3.7986298655933594E-2</c:v>
                </c:pt>
                <c:pt idx="424">
                  <c:v>3.3444573418456178E-2</c:v>
                </c:pt>
                <c:pt idx="425">
                  <c:v>5.5788212593165888E-2</c:v>
                </c:pt>
                <c:pt idx="426">
                  <c:v>5.3685168334849862E-2</c:v>
                </c:pt>
                <c:pt idx="427">
                  <c:v>2.1678357482975783E-2</c:v>
                </c:pt>
                <c:pt idx="428">
                  <c:v>5.5534383468834693E-2</c:v>
                </c:pt>
                <c:pt idx="429">
                  <c:v>5.461989293950871E-2</c:v>
                </c:pt>
                <c:pt idx="430">
                  <c:v>3.9838723155343862E-2</c:v>
                </c:pt>
                <c:pt idx="431">
                  <c:v>3.503883384106718E-2</c:v>
                </c:pt>
                <c:pt idx="432">
                  <c:v>4.1590393204949838E-2</c:v>
                </c:pt>
                <c:pt idx="433">
                  <c:v>2.8163635988358894E-2</c:v>
                </c:pt>
                <c:pt idx="434">
                  <c:v>5.9373902306619694E-2</c:v>
                </c:pt>
                <c:pt idx="435">
                  <c:v>2.9996685449121645E-2</c:v>
                </c:pt>
                <c:pt idx="436">
                  <c:v>4.7800805442520224E-2</c:v>
                </c:pt>
                <c:pt idx="437">
                  <c:v>1.9509002975429696E-2</c:v>
                </c:pt>
                <c:pt idx="445">
                  <c:v>6.3953550539451037E-2</c:v>
                </c:pt>
                <c:pt idx="448">
                  <c:v>3.5295463051524097E-2</c:v>
                </c:pt>
                <c:pt idx="449">
                  <c:v>2.677348601085356E-2</c:v>
                </c:pt>
                <c:pt idx="453">
                  <c:v>4.3607905502254685E-2</c:v>
                </c:pt>
                <c:pt idx="458">
                  <c:v>4.4077947462959725E-2</c:v>
                </c:pt>
                <c:pt idx="459">
                  <c:v>4.5074058879283611E-2</c:v>
                </c:pt>
                <c:pt idx="481">
                  <c:v>4.3493192738237534E-2</c:v>
                </c:pt>
                <c:pt idx="483">
                  <c:v>3.6817564209138079E-2</c:v>
                </c:pt>
                <c:pt idx="484">
                  <c:v>3.6719654889117777E-2</c:v>
                </c:pt>
                <c:pt idx="485">
                  <c:v>3.6646926767386616E-2</c:v>
                </c:pt>
                <c:pt idx="486">
                  <c:v>4.1218051275951392E-2</c:v>
                </c:pt>
                <c:pt idx="487">
                  <c:v>3.5700113908361288E-2</c:v>
                </c:pt>
                <c:pt idx="488">
                  <c:v>3.5843977944947161E-2</c:v>
                </c:pt>
                <c:pt idx="489">
                  <c:v>3.5255629777063972E-2</c:v>
                </c:pt>
                <c:pt idx="492">
                  <c:v>3.845324869600053E-2</c:v>
                </c:pt>
                <c:pt idx="493">
                  <c:v>4.6188913883301083E-2</c:v>
                </c:pt>
                <c:pt idx="496">
                  <c:v>4.139670282893148E-2</c:v>
                </c:pt>
                <c:pt idx="500">
                  <c:v>4.1132759585459859E-2</c:v>
                </c:pt>
                <c:pt idx="503">
                  <c:v>4.1463966487231101E-2</c:v>
                </c:pt>
                <c:pt idx="506">
                  <c:v>3.9979006029297354E-2</c:v>
                </c:pt>
                <c:pt idx="509">
                  <c:v>3.7764591093161347E-2</c:v>
                </c:pt>
                <c:pt idx="512">
                  <c:v>3.8825820863341583E-2</c:v>
                </c:pt>
                <c:pt idx="515">
                  <c:v>5.1553525712916132E-2</c:v>
                </c:pt>
                <c:pt idx="518">
                  <c:v>3.970290763595119E-2</c:v>
                </c:pt>
                <c:pt idx="519">
                  <c:v>4.0419388256192693E-2</c:v>
                </c:pt>
                <c:pt idx="520">
                  <c:v>4.6297945705829881E-2</c:v>
                </c:pt>
                <c:pt idx="523">
                  <c:v>3.9446660746431647E-2</c:v>
                </c:pt>
                <c:pt idx="528">
                  <c:v>4.1139258643316218E-2</c:v>
                </c:pt>
                <c:pt idx="529">
                  <c:v>3.621690244757788E-2</c:v>
                </c:pt>
                <c:pt idx="532">
                  <c:v>4.4734737029398855E-2</c:v>
                </c:pt>
                <c:pt idx="533">
                  <c:v>4.0743158546249707E-2</c:v>
                </c:pt>
                <c:pt idx="538">
                  <c:v>4.0377008823778239E-2</c:v>
                </c:pt>
                <c:pt idx="539">
                  <c:v>4.0031328430711166E-2</c:v>
                </c:pt>
                <c:pt idx="540">
                  <c:v>3.7029555377233105E-2</c:v>
                </c:pt>
                <c:pt idx="541">
                  <c:v>3.629672560166914E-2</c:v>
                </c:pt>
                <c:pt idx="543">
                  <c:v>3.6797647624652534E-2</c:v>
                </c:pt>
                <c:pt idx="546">
                  <c:v>4.5192563365741567E-2</c:v>
                </c:pt>
                <c:pt idx="548">
                  <c:v>4.7013702982326266E-2</c:v>
                </c:pt>
                <c:pt idx="551">
                  <c:v>3.6941301121849832E-2</c:v>
                </c:pt>
                <c:pt idx="554">
                  <c:v>3.8890852050126871E-2</c:v>
                </c:pt>
                <c:pt idx="556">
                  <c:v>5.0193096133261818E-2</c:v>
                </c:pt>
                <c:pt idx="557">
                  <c:v>4.06223166018395E-2</c:v>
                </c:pt>
                <c:pt idx="559">
                  <c:v>3.5472095823473791E-2</c:v>
                </c:pt>
                <c:pt idx="560">
                  <c:v>3.1522289006569663E-2</c:v>
                </c:pt>
                <c:pt idx="561">
                  <c:v>3.7487057121320742E-2</c:v>
                </c:pt>
                <c:pt idx="562">
                  <c:v>3.8987666264807368E-2</c:v>
                </c:pt>
                <c:pt idx="563">
                  <c:v>3.8504904860151935E-2</c:v>
                </c:pt>
                <c:pt idx="565">
                  <c:v>2.9869923062604005E-2</c:v>
                </c:pt>
                <c:pt idx="566">
                  <c:v>2.8163815315324789E-2</c:v>
                </c:pt>
                <c:pt idx="567">
                  <c:v>3.5544479191271988E-2</c:v>
                </c:pt>
                <c:pt idx="568">
                  <c:v>3.639435195618651E-2</c:v>
                </c:pt>
                <c:pt idx="569">
                  <c:v>2.7342312120739787E-2</c:v>
                </c:pt>
                <c:pt idx="570">
                  <c:v>3.4371669248549619E-2</c:v>
                </c:pt>
                <c:pt idx="571">
                  <c:v>3.7130278533895514E-2</c:v>
                </c:pt>
                <c:pt idx="572">
                  <c:v>3.0932363752100761E-2</c:v>
                </c:pt>
                <c:pt idx="573">
                  <c:v>3.2694752165409124E-2</c:v>
                </c:pt>
                <c:pt idx="574">
                  <c:v>2.4969908138425746E-2</c:v>
                </c:pt>
                <c:pt idx="575">
                  <c:v>2.5999999999999999E-2</c:v>
                </c:pt>
                <c:pt idx="577">
                  <c:v>3.0700000000000002E-2</c:v>
                </c:pt>
                <c:pt idx="581">
                  <c:v>4.0000000000000001E-3</c:v>
                </c:pt>
                <c:pt idx="582">
                  <c:v>3.6999999999999998E-2</c:v>
                </c:pt>
                <c:pt idx="585">
                  <c:v>2.5999999999999999E-2</c:v>
                </c:pt>
                <c:pt idx="586">
                  <c:v>2.58E-2</c:v>
                </c:pt>
                <c:pt idx="587">
                  <c:v>0.03</c:v>
                </c:pt>
                <c:pt idx="588">
                  <c:v>2.8000000000000001E-2</c:v>
                </c:pt>
                <c:pt idx="589">
                  <c:v>0.03</c:v>
                </c:pt>
                <c:pt idx="590">
                  <c:v>2.4799999999999999E-2</c:v>
                </c:pt>
                <c:pt idx="591">
                  <c:v>2.58E-2</c:v>
                </c:pt>
                <c:pt idx="592">
                  <c:v>2.5000000000000001E-2</c:v>
                </c:pt>
                <c:pt idx="595">
                  <c:v>3.5700000000000003E-2</c:v>
                </c:pt>
                <c:pt idx="596">
                  <c:v>3.15E-2</c:v>
                </c:pt>
                <c:pt idx="599">
                  <c:v>4.3999999999999997E-2</c:v>
                </c:pt>
                <c:pt idx="600">
                  <c:v>3.4599999999999999E-2</c:v>
                </c:pt>
              </c:numCache>
            </c:numRef>
          </c:xVal>
          <c:yVal>
            <c:numRef>
              <c:f>'Anode Record'!$W$2:$W$663</c:f>
              <c:numCache>
                <c:formatCode>General</c:formatCode>
                <c:ptCount val="6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3-4E69-87FB-740FCCF954EA}"/>
            </c:ext>
          </c:extLst>
        </c:ser>
        <c:ser>
          <c:idx val="1"/>
          <c:order val="1"/>
          <c:tx>
            <c:v>Baseline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'Anode Record'!$Q$298:$Q$318</c:f>
              <c:numCache>
                <c:formatCode>0.00000</c:formatCode>
                <c:ptCount val="21"/>
                <c:pt idx="0">
                  <c:v>7.4434280599294494E-2</c:v>
                </c:pt>
                <c:pt idx="1">
                  <c:v>6.0265894714270407E-2</c:v>
                </c:pt>
                <c:pt idx="2">
                  <c:v>6.2043795620437964E-2</c:v>
                </c:pt>
                <c:pt idx="3">
                  <c:v>7.6716808371484632E-2</c:v>
                </c:pt>
                <c:pt idx="4">
                  <c:v>5.8399400042854079E-2</c:v>
                </c:pt>
                <c:pt idx="5">
                  <c:v>6.2559190701678855E-2</c:v>
                </c:pt>
                <c:pt idx="6">
                  <c:v>6.5280620489066035E-2</c:v>
                </c:pt>
                <c:pt idx="8">
                  <c:v>9.8379578246392915E-2</c:v>
                </c:pt>
                <c:pt idx="9">
                  <c:v>0.11491681654676261</c:v>
                </c:pt>
                <c:pt idx="10">
                  <c:v>0.12694978936582035</c:v>
                </c:pt>
                <c:pt idx="11">
                  <c:v>0.1281613123718387</c:v>
                </c:pt>
                <c:pt idx="12">
                  <c:v>8.7312369891530628E-2</c:v>
                </c:pt>
                <c:pt idx="13">
                  <c:v>0.10776362823949956</c:v>
                </c:pt>
                <c:pt idx="15">
                  <c:v>8.5971459934138308E-2</c:v>
                </c:pt>
                <c:pt idx="16">
                  <c:v>7.6799999999999993E-2</c:v>
                </c:pt>
                <c:pt idx="17">
                  <c:v>7.4300000000000005E-2</c:v>
                </c:pt>
                <c:pt idx="18">
                  <c:v>7.0699999999999999E-2</c:v>
                </c:pt>
                <c:pt idx="19">
                  <c:v>6.6027780768816616E-2</c:v>
                </c:pt>
                <c:pt idx="20">
                  <c:v>6.1440000000000002E-2</c:v>
                </c:pt>
              </c:numCache>
            </c:numRef>
          </c:xVal>
          <c:yVal>
            <c:numRef>
              <c:f>'Anode Record'!$W$298:$W$318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63-4E69-87FB-740FCCF954EA}"/>
            </c:ext>
          </c:extLst>
        </c:ser>
        <c:ser>
          <c:idx val="2"/>
          <c:order val="2"/>
          <c:tx>
            <c:v>FTA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'Anode Record'!$Q$319:$Q$339</c:f>
              <c:numCache>
                <c:formatCode>0.00000</c:formatCode>
                <c:ptCount val="21"/>
                <c:pt idx="1">
                  <c:v>0.11458</c:v>
                </c:pt>
                <c:pt idx="2">
                  <c:v>9.6681833314837415E-2</c:v>
                </c:pt>
                <c:pt idx="3">
                  <c:v>8.0436919716002184E-2</c:v>
                </c:pt>
                <c:pt idx="4">
                  <c:v>9.267646084170994E-2</c:v>
                </c:pt>
                <c:pt idx="5">
                  <c:v>0.10897680152415107</c:v>
                </c:pt>
                <c:pt idx="6">
                  <c:v>8.5054824561403508E-2</c:v>
                </c:pt>
                <c:pt idx="8">
                  <c:v>0.11874222373034725</c:v>
                </c:pt>
                <c:pt idx="9">
                  <c:v>0.10402632165960295</c:v>
                </c:pt>
                <c:pt idx="10">
                  <c:v>8.2662877131613466E-2</c:v>
                </c:pt>
                <c:pt idx="11">
                  <c:v>9.4635335845710489E-2</c:v>
                </c:pt>
                <c:pt idx="12">
                  <c:v>8.8560722944677095E-2</c:v>
                </c:pt>
                <c:pt idx="13">
                  <c:v>0.11123709025594972</c:v>
                </c:pt>
                <c:pt idx="14">
                  <c:v>1.726958187504943E-4</c:v>
                </c:pt>
                <c:pt idx="15">
                  <c:v>7.5313078514646636E-2</c:v>
                </c:pt>
                <c:pt idx="16">
                  <c:v>4.9430431244914565E-3</c:v>
                </c:pt>
                <c:pt idx="17">
                  <c:v>6.5397886564589183E-2</c:v>
                </c:pt>
                <c:pt idx="18">
                  <c:v>9.8933333333333331E-2</c:v>
                </c:pt>
                <c:pt idx="19">
                  <c:v>0.12734935641872649</c:v>
                </c:pt>
                <c:pt idx="20">
                  <c:v>0.11894343045006237</c:v>
                </c:pt>
              </c:numCache>
            </c:numRef>
          </c:xVal>
          <c:yVal>
            <c:numRef>
              <c:f>'Anode Record'!$W$319:$W$339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63-4E69-87FB-740FCCF95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243647"/>
        <c:axId val="463208543"/>
      </c:scatterChart>
      <c:valAx>
        <c:axId val="538243647"/>
        <c:scaling>
          <c:orientation val="minMax"/>
          <c:max val="0.3500000000000000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 i="0" u="none" strike="noStrike" kern="1200" baseline="0">
                    <a:solidFill>
                      <a:schemeClr val="tx1"/>
                    </a:solidFill>
                  </a:rPr>
                  <a:t>XRF Ni:Fe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208543"/>
        <c:crosses val="autoZero"/>
        <c:crossBetween val="midCat"/>
      </c:valAx>
      <c:valAx>
        <c:axId val="46320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>
                    <a:solidFill>
                      <a:schemeClr val="tx1"/>
                    </a:solidFill>
                  </a:rPr>
                  <a:t>Current density @ 1.8 V (A/cm</a:t>
                </a:r>
                <a:r>
                  <a:rPr lang="en-US" sz="2400" b="1" baseline="30000">
                    <a:solidFill>
                      <a:schemeClr val="tx1"/>
                    </a:solidFill>
                  </a:rPr>
                  <a:t>2</a:t>
                </a:r>
                <a:r>
                  <a:rPr lang="en-US" sz="2400" b="1">
                    <a:solidFill>
                      <a:schemeClr val="tx1"/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243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4346376255395444"/>
          <c:y val="0.91837208870420595"/>
          <c:w val="0.48225513490662064"/>
          <c:h val="7.99551218245154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 b="1" i="0" u="none" strike="noStrike" kern="1200" spc="0" baseline="0">
                <a:solidFill>
                  <a:schemeClr val="tx1"/>
                </a:solidFill>
              </a:rPr>
              <a:t>10 mM KOH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249190368385042E-2"/>
          <c:y val="0.1026289209055329"/>
          <c:w val="0.87540010967942206"/>
          <c:h val="0.71439805286051716"/>
        </c:manualLayout>
      </c:layout>
      <c:scatterChart>
        <c:scatterStyle val="lineMarker"/>
        <c:varyColors val="0"/>
        <c:ser>
          <c:idx val="0"/>
          <c:order val="0"/>
          <c:tx>
            <c:v>Background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'Anode Record'!$AE$2:$AE$663</c:f>
              <c:numCache>
                <c:formatCode>General</c:formatCode>
                <c:ptCount val="6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</c:numCache>
            </c:numRef>
          </c:xVal>
          <c:yVal>
            <c:numRef>
              <c:f>'Anode Record'!$X$2:$X$663</c:f>
              <c:numCache>
                <c:formatCode>General</c:formatCode>
                <c:ptCount val="6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1B-43E0-990E-830B880D634D}"/>
            </c:ext>
          </c:extLst>
        </c:ser>
        <c:ser>
          <c:idx val="1"/>
          <c:order val="1"/>
          <c:tx>
            <c:v>Baseline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'Anode Record'!$AE$298:$AE$318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'Anode Record'!$X$298:$X$318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1B-43E0-990E-830B880D634D}"/>
            </c:ext>
          </c:extLst>
        </c:ser>
        <c:ser>
          <c:idx val="2"/>
          <c:order val="2"/>
          <c:tx>
            <c:v>FTA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'Anode Record'!$AE$319:$AE$339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'Anode Record'!$X$319:$X$339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61B-43E0-990E-830B880D6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243647"/>
        <c:axId val="463208543"/>
      </c:scatterChart>
      <c:valAx>
        <c:axId val="538243647"/>
        <c:scaling>
          <c:orientation val="minMax"/>
          <c:min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>
                    <a:solidFill>
                      <a:schemeClr val="tx1"/>
                    </a:solidFill>
                  </a:rPr>
                  <a:t>HFR (m</a:t>
                </a:r>
                <a:r>
                  <a:rPr lang="el-GR" sz="2400" b="1">
                    <a:solidFill>
                      <a:schemeClr val="tx1"/>
                    </a:solidFill>
                  </a:rPr>
                  <a:t>Ω</a:t>
                </a:r>
                <a:r>
                  <a:rPr lang="en-US" sz="2400" b="1">
                    <a:solidFill>
                      <a:schemeClr val="tx1"/>
                    </a:solidFill>
                  </a:rPr>
                  <a:t> cm</a:t>
                </a:r>
                <a:r>
                  <a:rPr lang="en-US" sz="2400" b="1" baseline="30000">
                    <a:solidFill>
                      <a:schemeClr val="tx1"/>
                    </a:solidFill>
                  </a:rPr>
                  <a:t>2</a:t>
                </a:r>
                <a:r>
                  <a:rPr lang="en-US" sz="2400" b="1">
                    <a:solidFill>
                      <a:schemeClr val="tx1"/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208543"/>
        <c:crosses val="autoZero"/>
        <c:crossBetween val="midCat"/>
      </c:valAx>
      <c:valAx>
        <c:axId val="463208543"/>
        <c:scaling>
          <c:orientation val="minMax"/>
          <c:max val="2.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>
                    <a:solidFill>
                      <a:schemeClr val="tx1"/>
                    </a:solidFill>
                  </a:rPr>
                  <a:t>Current density @ 1.8 V (A/cm</a:t>
                </a:r>
                <a:r>
                  <a:rPr lang="en-US" sz="2400" b="1" baseline="30000">
                    <a:solidFill>
                      <a:schemeClr val="tx1"/>
                    </a:solidFill>
                  </a:rPr>
                  <a:t>2</a:t>
                </a:r>
                <a:r>
                  <a:rPr lang="en-US" sz="2400" b="1">
                    <a:solidFill>
                      <a:schemeClr val="tx1"/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243647"/>
        <c:crosses val="autoZero"/>
        <c:crossBetween val="midCat"/>
        <c:majorUnit val="0.4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4346376255395444"/>
          <c:y val="0.91837208870420595"/>
          <c:w val="0.48225513490662064"/>
          <c:h val="7.99551218245154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 b="1" i="0" u="none" strike="noStrike" kern="1200" spc="0" baseline="0">
                <a:solidFill>
                  <a:schemeClr val="tx1"/>
                </a:solidFill>
              </a:rPr>
              <a:t>10 mM KOH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249190368385042E-2"/>
          <c:y val="0.1026289209055329"/>
          <c:w val="0.87540010967942206"/>
          <c:h val="0.71439805286051716"/>
        </c:manualLayout>
      </c:layout>
      <c:scatterChart>
        <c:scatterStyle val="lineMarker"/>
        <c:varyColors val="0"/>
        <c:ser>
          <c:idx val="0"/>
          <c:order val="0"/>
          <c:tx>
            <c:v>Background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'Anode Record'!$P$2:$P$663</c:f>
              <c:numCache>
                <c:formatCode>0.000</c:formatCode>
                <c:ptCount val="662"/>
                <c:pt idx="0">
                  <c:v>1.2185846560846652</c:v>
                </c:pt>
                <c:pt idx="1">
                  <c:v>1.1274005486968368</c:v>
                </c:pt>
                <c:pt idx="2">
                  <c:v>1.2612612612612684</c:v>
                </c:pt>
                <c:pt idx="3">
                  <c:v>1.3311247026843267</c:v>
                </c:pt>
                <c:pt idx="4">
                  <c:v>1.2844036697247674</c:v>
                </c:pt>
                <c:pt idx="5">
                  <c:v>1.6938498131158586</c:v>
                </c:pt>
                <c:pt idx="7">
                  <c:v>#N/A</c:v>
                </c:pt>
                <c:pt idx="9">
                  <c:v>#N/A</c:v>
                </c:pt>
                <c:pt idx="12">
                  <c:v>1.1040000000000001</c:v>
                </c:pt>
                <c:pt idx="13">
                  <c:v>1.1200000000000001</c:v>
                </c:pt>
                <c:pt idx="14">
                  <c:v>#N/A</c:v>
                </c:pt>
                <c:pt idx="16">
                  <c:v>1.2184146763586057</c:v>
                </c:pt>
                <c:pt idx="17">
                  <c:v>1.3145252860511922</c:v>
                </c:pt>
                <c:pt idx="18">
                  <c:v>1.3727737612413995</c:v>
                </c:pt>
                <c:pt idx="20">
                  <c:v>1.3715818622360685</c:v>
                </c:pt>
                <c:pt idx="21">
                  <c:v>1.5023146126299138</c:v>
                </c:pt>
                <c:pt idx="22">
                  <c:v>1.5809327846364891</c:v>
                </c:pt>
                <c:pt idx="23">
                  <c:v>1.5707070707070583</c:v>
                </c:pt>
                <c:pt idx="25">
                  <c:v>1.1896296296296203</c:v>
                </c:pt>
                <c:pt idx="29">
                  <c:v>1.0379446640316168</c:v>
                </c:pt>
                <c:pt idx="36">
                  <c:v>1.49</c:v>
                </c:pt>
                <c:pt idx="39">
                  <c:v>1.7635860159224588</c:v>
                </c:pt>
                <c:pt idx="40">
                  <c:v>1.8449290411907278</c:v>
                </c:pt>
                <c:pt idx="41">
                  <c:v>1.4901960784313726</c:v>
                </c:pt>
                <c:pt idx="42">
                  <c:v>1.8310834198684725</c:v>
                </c:pt>
                <c:pt idx="43">
                  <c:v>2.0413237311385553</c:v>
                </c:pt>
                <c:pt idx="44">
                  <c:v>0</c:v>
                </c:pt>
                <c:pt idx="46">
                  <c:v>0.19</c:v>
                </c:pt>
                <c:pt idx="47">
                  <c:v>0.49</c:v>
                </c:pt>
                <c:pt idx="48">
                  <c:v>2.8490000000000002</c:v>
                </c:pt>
                <c:pt idx="51">
                  <c:v>1.4183266932270948</c:v>
                </c:pt>
                <c:pt idx="52">
                  <c:v>1.6064257028112463</c:v>
                </c:pt>
                <c:pt idx="53">
                  <c:v>1.1680000000000135</c:v>
                </c:pt>
                <c:pt idx="54">
                  <c:v>1.6800000000000102</c:v>
                </c:pt>
                <c:pt idx="57">
                  <c:v>3.235294117647042</c:v>
                </c:pt>
                <c:pt idx="61">
                  <c:v>1.1120000000000019</c:v>
                </c:pt>
                <c:pt idx="65">
                  <c:v>#N/A</c:v>
                </c:pt>
                <c:pt idx="66">
                  <c:v>#N/A</c:v>
                </c:pt>
                <c:pt idx="68">
                  <c:v>1.186363636363637</c:v>
                </c:pt>
                <c:pt idx="72">
                  <c:v>1.1068244170095964</c:v>
                </c:pt>
                <c:pt idx="73">
                  <c:v>1.087746625129804</c:v>
                </c:pt>
                <c:pt idx="74">
                  <c:v>1.1000170677590015</c:v>
                </c:pt>
                <c:pt idx="75">
                  <c:v>1.0620155038759724</c:v>
                </c:pt>
                <c:pt idx="79">
                  <c:v>1.1651234567901187</c:v>
                </c:pt>
                <c:pt idx="80">
                  <c:v>1.17</c:v>
                </c:pt>
                <c:pt idx="81">
                  <c:v>1.744324970131419</c:v>
                </c:pt>
                <c:pt idx="82">
                  <c:v>1.247554879374045</c:v>
                </c:pt>
                <c:pt idx="94">
                  <c:v>1.1076658053402129</c:v>
                </c:pt>
                <c:pt idx="96">
                  <c:v>1.17</c:v>
                </c:pt>
                <c:pt idx="97">
                  <c:v>1.17</c:v>
                </c:pt>
                <c:pt idx="122">
                  <c:v>-1.3480000000000001</c:v>
                </c:pt>
                <c:pt idx="123">
                  <c:v>1.125</c:v>
                </c:pt>
                <c:pt idx="129">
                  <c:v>1.353</c:v>
                </c:pt>
                <c:pt idx="130">
                  <c:v>#N/A</c:v>
                </c:pt>
                <c:pt idx="131">
                  <c:v>1.08</c:v>
                </c:pt>
                <c:pt idx="133">
                  <c:v>1.0884</c:v>
                </c:pt>
                <c:pt idx="138">
                  <c:v>1.0668</c:v>
                </c:pt>
                <c:pt idx="143">
                  <c:v>1.0469999999999999</c:v>
                </c:pt>
                <c:pt idx="144">
                  <c:v>1.121</c:v>
                </c:pt>
                <c:pt idx="147">
                  <c:v>2.3722222222222444</c:v>
                </c:pt>
                <c:pt idx="148">
                  <c:v>1.5147975077881597</c:v>
                </c:pt>
                <c:pt idx="168">
                  <c:v>1.4960562414266125</c:v>
                </c:pt>
                <c:pt idx="169">
                  <c:v>1.427469135802462</c:v>
                </c:pt>
                <c:pt idx="171">
                  <c:v>1.45</c:v>
                </c:pt>
                <c:pt idx="172">
                  <c:v>1.1325883418906675</c:v>
                </c:pt>
                <c:pt idx="173">
                  <c:v>1.1023859861069223</c:v>
                </c:pt>
                <c:pt idx="174">
                  <c:v>1.9268115062507634</c:v>
                </c:pt>
                <c:pt idx="175">
                  <c:v>1.3742071881606712</c:v>
                </c:pt>
                <c:pt idx="176">
                  <c:v>1.1174871639987949</c:v>
                </c:pt>
                <c:pt idx="177">
                  <c:v>1.2080942313500518</c:v>
                </c:pt>
                <c:pt idx="190">
                  <c:v>1.087284808215039</c:v>
                </c:pt>
                <c:pt idx="191">
                  <c:v>1.2080942313500409</c:v>
                </c:pt>
                <c:pt idx="204">
                  <c:v>1.07</c:v>
                </c:pt>
                <c:pt idx="216">
                  <c:v>1.1399999999999999</c:v>
                </c:pt>
                <c:pt idx="218">
                  <c:v>1.1759999999999999</c:v>
                </c:pt>
                <c:pt idx="219">
                  <c:v>1.0610999999999999</c:v>
                </c:pt>
                <c:pt idx="223">
                  <c:v>1.6000000000000014</c:v>
                </c:pt>
                <c:pt idx="224">
                  <c:v>1.0537716242718715</c:v>
                </c:pt>
                <c:pt idx="225">
                  <c:v>1.3132706774468115</c:v>
                </c:pt>
                <c:pt idx="226">
                  <c:v>1.3652946574453309</c:v>
                </c:pt>
                <c:pt idx="227">
                  <c:v>1.196</c:v>
                </c:pt>
                <c:pt idx="233">
                  <c:v>1.169</c:v>
                </c:pt>
                <c:pt idx="237" formatCode="General">
                  <c:v>1.4410000000000001</c:v>
                </c:pt>
                <c:pt idx="238" formatCode="General">
                  <c:v>1.4582999999999999</c:v>
                </c:pt>
                <c:pt idx="239" formatCode="General">
                  <c:v>1.3889</c:v>
                </c:pt>
                <c:pt idx="240" formatCode="General">
                  <c:v>1.0417000000000001</c:v>
                </c:pt>
                <c:pt idx="244">
                  <c:v>0.63227953410982118</c:v>
                </c:pt>
                <c:pt idx="245">
                  <c:v>1.1080000000000001</c:v>
                </c:pt>
                <c:pt idx="247">
                  <c:v>1.05</c:v>
                </c:pt>
                <c:pt idx="248">
                  <c:v>1.196</c:v>
                </c:pt>
                <c:pt idx="249">
                  <c:v>1.6559999999999999</c:v>
                </c:pt>
                <c:pt idx="250">
                  <c:v>1.0469999999999999</c:v>
                </c:pt>
                <c:pt idx="251">
                  <c:v>1.151</c:v>
                </c:pt>
                <c:pt idx="253" formatCode="0.0000">
                  <c:v>1.3889</c:v>
                </c:pt>
                <c:pt idx="254" formatCode="0.0000">
                  <c:v>1.3193999999999999</c:v>
                </c:pt>
                <c:pt idx="255" formatCode="0.0000">
                  <c:v>0.85070000000000001</c:v>
                </c:pt>
                <c:pt idx="256" formatCode="0.0000">
                  <c:v>0.9375</c:v>
                </c:pt>
                <c:pt idx="257" formatCode="0.0000">
                  <c:v>1.0243</c:v>
                </c:pt>
                <c:pt idx="258" formatCode="0.0000">
                  <c:v>1.2153</c:v>
                </c:pt>
                <c:pt idx="259" formatCode="0.0000">
                  <c:v>1.1632</c:v>
                </c:pt>
                <c:pt idx="260" formatCode="0.0000">
                  <c:v>1.0243</c:v>
                </c:pt>
                <c:pt idx="261">
                  <c:v>0.86809999999999998</c:v>
                </c:pt>
                <c:pt idx="262" formatCode="0.0000">
                  <c:v>0.86809999999999998</c:v>
                </c:pt>
                <c:pt idx="263" formatCode="0.0000">
                  <c:v>1.0764</c:v>
                </c:pt>
                <c:pt idx="264" formatCode="0.0000">
                  <c:v>0.88539999999999996</c:v>
                </c:pt>
                <c:pt idx="266">
                  <c:v>0.92800000000000005</c:v>
                </c:pt>
                <c:pt idx="267">
                  <c:v>1.0880000000000001</c:v>
                </c:pt>
                <c:pt idx="268">
                  <c:v>0.55000000000000004</c:v>
                </c:pt>
                <c:pt idx="269">
                  <c:v>1.36</c:v>
                </c:pt>
                <c:pt idx="270">
                  <c:v>1.93</c:v>
                </c:pt>
                <c:pt idx="271">
                  <c:v>1.07</c:v>
                </c:pt>
                <c:pt idx="272">
                  <c:v>1.07</c:v>
                </c:pt>
                <c:pt idx="273">
                  <c:v>1.048</c:v>
                </c:pt>
                <c:pt idx="276">
                  <c:v>1.0209999999999999</c:v>
                </c:pt>
                <c:pt idx="279">
                  <c:v>1.26</c:v>
                </c:pt>
                <c:pt idx="282">
                  <c:v>1.046</c:v>
                </c:pt>
                <c:pt idx="285">
                  <c:v>1.6180000000000001</c:v>
                </c:pt>
                <c:pt idx="288">
                  <c:v>1.4400000000000011</c:v>
                </c:pt>
                <c:pt idx="291">
                  <c:v>1.2319999999999887</c:v>
                </c:pt>
                <c:pt idx="293">
                  <c:v>1.306</c:v>
                </c:pt>
                <c:pt idx="297">
                  <c:v>1.28</c:v>
                </c:pt>
                <c:pt idx="298">
                  <c:v>2.528</c:v>
                </c:pt>
                <c:pt idx="299">
                  <c:v>1.8720000000000001</c:v>
                </c:pt>
                <c:pt idx="300">
                  <c:v>1.405</c:v>
                </c:pt>
                <c:pt idx="301">
                  <c:v>1.9790000000000001</c:v>
                </c:pt>
                <c:pt idx="304">
                  <c:v>0.92010000000000003</c:v>
                </c:pt>
                <c:pt idx="305">
                  <c:v>1.0417000000000001</c:v>
                </c:pt>
                <c:pt idx="306">
                  <c:v>0.90280000000000005</c:v>
                </c:pt>
                <c:pt idx="307">
                  <c:v>1.0764</c:v>
                </c:pt>
                <c:pt idx="308">
                  <c:v>1.2847</c:v>
                </c:pt>
                <c:pt idx="309">
                  <c:v>1.6146</c:v>
                </c:pt>
                <c:pt idx="311">
                  <c:v>0.85070000000000001</c:v>
                </c:pt>
                <c:pt idx="312">
                  <c:v>1.712</c:v>
                </c:pt>
                <c:pt idx="313">
                  <c:v>1.367</c:v>
                </c:pt>
                <c:pt idx="314">
                  <c:v>1.4810000000000001</c:v>
                </c:pt>
                <c:pt idx="315">
                  <c:v>0.92010000000000003</c:v>
                </c:pt>
                <c:pt idx="316">
                  <c:v>1.216</c:v>
                </c:pt>
                <c:pt idx="318">
                  <c:v>1.2</c:v>
                </c:pt>
                <c:pt idx="319">
                  <c:v>1.264</c:v>
                </c:pt>
                <c:pt idx="320">
                  <c:v>1.4236</c:v>
                </c:pt>
                <c:pt idx="321">
                  <c:v>1.1979</c:v>
                </c:pt>
                <c:pt idx="322">
                  <c:v>1.2669999999999999</c:v>
                </c:pt>
                <c:pt idx="323">
                  <c:v>1.2669999999999999</c:v>
                </c:pt>
                <c:pt idx="325">
                  <c:v>1.0417000000000001</c:v>
                </c:pt>
                <c:pt idx="326">
                  <c:v>1.1167</c:v>
                </c:pt>
                <c:pt idx="327">
                  <c:v>1.0243</c:v>
                </c:pt>
                <c:pt idx="328">
                  <c:v>1.2153</c:v>
                </c:pt>
                <c:pt idx="329">
                  <c:v>1.3542000000000001</c:v>
                </c:pt>
                <c:pt idx="330">
                  <c:v>2.3784999999999998</c:v>
                </c:pt>
                <c:pt idx="332">
                  <c:v>2.1875</c:v>
                </c:pt>
                <c:pt idx="333">
                  <c:v>1.7882</c:v>
                </c:pt>
                <c:pt idx="334">
                  <c:v>2.03125</c:v>
                </c:pt>
                <c:pt idx="335">
                  <c:v>1.51</c:v>
                </c:pt>
                <c:pt idx="336">
                  <c:v>2.2568999999999999</c:v>
                </c:pt>
                <c:pt idx="337">
                  <c:v>1.615</c:v>
                </c:pt>
                <c:pt idx="339">
                  <c:v>1.0189999999999999</c:v>
                </c:pt>
                <c:pt idx="341" formatCode="0.0000">
                  <c:v>1.2153</c:v>
                </c:pt>
                <c:pt idx="342" formatCode="0.0000">
                  <c:v>1.4757</c:v>
                </c:pt>
                <c:pt idx="343" formatCode="0.0000">
                  <c:v>1.1632</c:v>
                </c:pt>
                <c:pt idx="344" formatCode="0.0000">
                  <c:v>1.3889</c:v>
                </c:pt>
                <c:pt idx="345">
                  <c:v>1.04</c:v>
                </c:pt>
                <c:pt idx="346">
                  <c:v>1.04</c:v>
                </c:pt>
                <c:pt idx="347">
                  <c:v>1.04</c:v>
                </c:pt>
                <c:pt idx="348">
                  <c:v>1.04</c:v>
                </c:pt>
                <c:pt idx="357">
                  <c:v>1.0980000000000001</c:v>
                </c:pt>
                <c:pt idx="358">
                  <c:v>1.19</c:v>
                </c:pt>
                <c:pt idx="359">
                  <c:v>1.1259999999999999</c:v>
                </c:pt>
                <c:pt idx="361">
                  <c:v>1.0649999999999999</c:v>
                </c:pt>
                <c:pt idx="362">
                  <c:v>1.2430000000000001</c:v>
                </c:pt>
                <c:pt idx="367">
                  <c:v>0.97</c:v>
                </c:pt>
                <c:pt idx="368">
                  <c:v>0.97</c:v>
                </c:pt>
                <c:pt idx="369">
                  <c:v>0.97</c:v>
                </c:pt>
                <c:pt idx="370">
                  <c:v>0.97</c:v>
                </c:pt>
                <c:pt idx="371">
                  <c:v>2.1139999999999999</c:v>
                </c:pt>
                <c:pt idx="372">
                  <c:v>2.1139999999999999</c:v>
                </c:pt>
                <c:pt idx="373">
                  <c:v>2.1139999999999999</c:v>
                </c:pt>
                <c:pt idx="374">
                  <c:v>2.1139999999999999</c:v>
                </c:pt>
                <c:pt idx="376">
                  <c:v>1.0109999999999999</c:v>
                </c:pt>
                <c:pt idx="381">
                  <c:v>1.3368055555555434</c:v>
                </c:pt>
                <c:pt idx="382">
                  <c:v>1.2499999999999973</c:v>
                </c:pt>
                <c:pt idx="389">
                  <c:v>1.1379999999999999</c:v>
                </c:pt>
                <c:pt idx="392">
                  <c:v>1.319</c:v>
                </c:pt>
                <c:pt idx="395">
                  <c:v>1.2949999999999999</c:v>
                </c:pt>
                <c:pt idx="396">
                  <c:v>1.298</c:v>
                </c:pt>
                <c:pt idx="398">
                  <c:v>1.9023000000000001</c:v>
                </c:pt>
                <c:pt idx="399">
                  <c:v>0.93710000000000004</c:v>
                </c:pt>
                <c:pt idx="400">
                  <c:v>0.27900000000000003</c:v>
                </c:pt>
                <c:pt idx="406">
                  <c:v>0.54</c:v>
                </c:pt>
                <c:pt idx="458">
                  <c:v>0.74</c:v>
                </c:pt>
                <c:pt idx="481">
                  <c:v>0.59</c:v>
                </c:pt>
                <c:pt idx="483">
                  <c:v>0.55000000000000004</c:v>
                </c:pt>
                <c:pt idx="484">
                  <c:v>0.48</c:v>
                </c:pt>
                <c:pt idx="485">
                  <c:v>0.64</c:v>
                </c:pt>
                <c:pt idx="486">
                  <c:v>1.1200000000000001</c:v>
                </c:pt>
                <c:pt idx="487">
                  <c:v>0.9</c:v>
                </c:pt>
                <c:pt idx="488">
                  <c:v>0.86</c:v>
                </c:pt>
                <c:pt idx="489">
                  <c:v>0.73</c:v>
                </c:pt>
                <c:pt idx="493">
                  <c:v>0.76</c:v>
                </c:pt>
                <c:pt idx="496">
                  <c:v>0.97</c:v>
                </c:pt>
                <c:pt idx="500">
                  <c:v>0.94</c:v>
                </c:pt>
                <c:pt idx="503">
                  <c:v>1.22</c:v>
                </c:pt>
                <c:pt idx="506">
                  <c:v>1.03</c:v>
                </c:pt>
                <c:pt idx="509">
                  <c:v>0.7</c:v>
                </c:pt>
                <c:pt idx="512">
                  <c:v>1.03</c:v>
                </c:pt>
                <c:pt idx="515">
                  <c:v>0.85</c:v>
                </c:pt>
                <c:pt idx="518">
                  <c:v>0.94</c:v>
                </c:pt>
                <c:pt idx="519">
                  <c:v>0.97</c:v>
                </c:pt>
                <c:pt idx="520">
                  <c:v>0.98</c:v>
                </c:pt>
                <c:pt idx="523">
                  <c:v>0.94</c:v>
                </c:pt>
                <c:pt idx="525">
                  <c:v>0.87</c:v>
                </c:pt>
                <c:pt idx="526">
                  <c:v>0.97</c:v>
                </c:pt>
                <c:pt idx="528">
                  <c:v>0.99</c:v>
                </c:pt>
                <c:pt idx="529">
                  <c:v>0.96</c:v>
                </c:pt>
                <c:pt idx="531">
                  <c:v>0.99</c:v>
                </c:pt>
                <c:pt idx="532">
                  <c:v>0.7</c:v>
                </c:pt>
                <c:pt idx="543">
                  <c:v>1</c:v>
                </c:pt>
                <c:pt idx="546">
                  <c:v>0.99</c:v>
                </c:pt>
                <c:pt idx="548">
                  <c:v>1.03</c:v>
                </c:pt>
                <c:pt idx="551">
                  <c:v>1.06</c:v>
                </c:pt>
                <c:pt idx="554">
                  <c:v>1.03</c:v>
                </c:pt>
                <c:pt idx="556">
                  <c:v>0.99</c:v>
                </c:pt>
                <c:pt idx="557">
                  <c:v>0.81</c:v>
                </c:pt>
                <c:pt idx="561">
                  <c:v>0.84</c:v>
                </c:pt>
                <c:pt idx="562">
                  <c:v>0.87</c:v>
                </c:pt>
                <c:pt idx="567">
                  <c:v>0.89</c:v>
                </c:pt>
                <c:pt idx="568">
                  <c:v>0.88</c:v>
                </c:pt>
                <c:pt idx="570">
                  <c:v>0.85</c:v>
                </c:pt>
                <c:pt idx="571">
                  <c:v>0.94</c:v>
                </c:pt>
                <c:pt idx="573">
                  <c:v>0.91</c:v>
                </c:pt>
                <c:pt idx="574">
                  <c:v>0.97</c:v>
                </c:pt>
                <c:pt idx="575">
                  <c:v>0.86</c:v>
                </c:pt>
                <c:pt idx="577">
                  <c:v>0.9</c:v>
                </c:pt>
                <c:pt idx="581">
                  <c:v>0.87</c:v>
                </c:pt>
                <c:pt idx="582">
                  <c:v>0.93</c:v>
                </c:pt>
                <c:pt idx="585">
                  <c:v>0.82</c:v>
                </c:pt>
                <c:pt idx="586">
                  <c:v>0.8</c:v>
                </c:pt>
                <c:pt idx="587">
                  <c:v>0.94</c:v>
                </c:pt>
                <c:pt idx="588">
                  <c:v>0.92</c:v>
                </c:pt>
                <c:pt idx="589">
                  <c:v>1.04</c:v>
                </c:pt>
                <c:pt idx="590">
                  <c:v>0.94</c:v>
                </c:pt>
                <c:pt idx="591">
                  <c:v>0.83</c:v>
                </c:pt>
                <c:pt idx="592">
                  <c:v>0.83</c:v>
                </c:pt>
                <c:pt idx="595">
                  <c:v>0.8</c:v>
                </c:pt>
                <c:pt idx="596">
                  <c:v>0.9</c:v>
                </c:pt>
                <c:pt idx="597">
                  <c:v>1.4</c:v>
                </c:pt>
                <c:pt idx="598">
                  <c:v>0.84</c:v>
                </c:pt>
                <c:pt idx="599">
                  <c:v>0.98</c:v>
                </c:pt>
                <c:pt idx="600">
                  <c:v>0.82</c:v>
                </c:pt>
              </c:numCache>
            </c:numRef>
          </c:xVal>
          <c:yVal>
            <c:numRef>
              <c:f>'Anode Record'!$X$2:$X$663</c:f>
              <c:numCache>
                <c:formatCode>General</c:formatCode>
                <c:ptCount val="6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EA-4477-9FD5-4BF75EF60DAE}"/>
            </c:ext>
          </c:extLst>
        </c:ser>
        <c:ser>
          <c:idx val="1"/>
          <c:order val="1"/>
          <c:tx>
            <c:v>Baseline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'Anode Record'!$P$298:$P$318</c:f>
              <c:numCache>
                <c:formatCode>0.000</c:formatCode>
                <c:ptCount val="21"/>
                <c:pt idx="1">
                  <c:v>1.28</c:v>
                </c:pt>
                <c:pt idx="2">
                  <c:v>2.528</c:v>
                </c:pt>
                <c:pt idx="3">
                  <c:v>1.8720000000000001</c:v>
                </c:pt>
                <c:pt idx="4">
                  <c:v>1.405</c:v>
                </c:pt>
                <c:pt idx="5">
                  <c:v>1.9790000000000001</c:v>
                </c:pt>
                <c:pt idx="8">
                  <c:v>0.92010000000000003</c:v>
                </c:pt>
                <c:pt idx="9">
                  <c:v>1.0417000000000001</c:v>
                </c:pt>
                <c:pt idx="10">
                  <c:v>0.90280000000000005</c:v>
                </c:pt>
                <c:pt idx="11">
                  <c:v>1.0764</c:v>
                </c:pt>
                <c:pt idx="12">
                  <c:v>1.2847</c:v>
                </c:pt>
                <c:pt idx="13">
                  <c:v>1.6146</c:v>
                </c:pt>
                <c:pt idx="15">
                  <c:v>0.85070000000000001</c:v>
                </c:pt>
                <c:pt idx="16">
                  <c:v>1.712</c:v>
                </c:pt>
                <c:pt idx="17">
                  <c:v>1.367</c:v>
                </c:pt>
                <c:pt idx="18">
                  <c:v>1.4810000000000001</c:v>
                </c:pt>
                <c:pt idx="19">
                  <c:v>0.92010000000000003</c:v>
                </c:pt>
                <c:pt idx="20">
                  <c:v>1.216</c:v>
                </c:pt>
              </c:numCache>
            </c:numRef>
          </c:xVal>
          <c:yVal>
            <c:numRef>
              <c:f>'Anode Record'!$X$298:$X$318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EA-4477-9FD5-4BF75EF60DAE}"/>
            </c:ext>
          </c:extLst>
        </c:ser>
        <c:ser>
          <c:idx val="2"/>
          <c:order val="2"/>
          <c:tx>
            <c:v>FTA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'Anode Record'!$P$319:$P$339</c:f>
              <c:numCache>
                <c:formatCode>0.000</c:formatCode>
                <c:ptCount val="21"/>
                <c:pt idx="1">
                  <c:v>1.2</c:v>
                </c:pt>
                <c:pt idx="2">
                  <c:v>1.264</c:v>
                </c:pt>
                <c:pt idx="3">
                  <c:v>1.4236</c:v>
                </c:pt>
                <c:pt idx="4">
                  <c:v>1.1979</c:v>
                </c:pt>
                <c:pt idx="5">
                  <c:v>1.2669999999999999</c:v>
                </c:pt>
                <c:pt idx="6">
                  <c:v>1.2669999999999999</c:v>
                </c:pt>
                <c:pt idx="8">
                  <c:v>1.0417000000000001</c:v>
                </c:pt>
                <c:pt idx="9">
                  <c:v>1.1167</c:v>
                </c:pt>
                <c:pt idx="10">
                  <c:v>1.0243</c:v>
                </c:pt>
                <c:pt idx="11">
                  <c:v>1.2153</c:v>
                </c:pt>
                <c:pt idx="12">
                  <c:v>1.3542000000000001</c:v>
                </c:pt>
                <c:pt idx="13">
                  <c:v>2.3784999999999998</c:v>
                </c:pt>
                <c:pt idx="15">
                  <c:v>2.1875</c:v>
                </c:pt>
                <c:pt idx="16">
                  <c:v>1.7882</c:v>
                </c:pt>
                <c:pt idx="17">
                  <c:v>2.03125</c:v>
                </c:pt>
                <c:pt idx="18">
                  <c:v>1.51</c:v>
                </c:pt>
                <c:pt idx="19">
                  <c:v>2.2568999999999999</c:v>
                </c:pt>
                <c:pt idx="20">
                  <c:v>1.615</c:v>
                </c:pt>
              </c:numCache>
            </c:numRef>
          </c:xVal>
          <c:yVal>
            <c:numRef>
              <c:f>'Anode Record'!$X$319:$X$339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EA-4477-9FD5-4BF75EF60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243647"/>
        <c:axId val="463208543"/>
      </c:scatterChart>
      <c:valAx>
        <c:axId val="538243647"/>
        <c:scaling>
          <c:orientation val="minMax"/>
          <c:max val="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 i="0" u="none" strike="noStrike" kern="1200" baseline="0">
                    <a:solidFill>
                      <a:schemeClr val="tx1"/>
                    </a:solidFill>
                  </a:rPr>
                  <a:t>Ionomer loading (mg/cm</a:t>
                </a:r>
                <a:r>
                  <a:rPr lang="en-US" sz="2400" b="1" i="0" u="none" strike="noStrike" kern="1200" baseline="30000">
                    <a:solidFill>
                      <a:schemeClr val="tx1"/>
                    </a:solidFill>
                  </a:rPr>
                  <a:t>2</a:t>
                </a:r>
                <a:r>
                  <a:rPr lang="en-US" sz="2400" b="1" i="0" u="none" strike="noStrike" kern="1200" baseline="0">
                    <a:solidFill>
                      <a:schemeClr val="tx1"/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208543"/>
        <c:crosses val="autoZero"/>
        <c:crossBetween val="midCat"/>
      </c:valAx>
      <c:valAx>
        <c:axId val="463208543"/>
        <c:scaling>
          <c:orientation val="minMax"/>
          <c:max val="2.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>
                    <a:solidFill>
                      <a:schemeClr val="tx1"/>
                    </a:solidFill>
                  </a:rPr>
                  <a:t>Current density @ 1.8 V (A/cm</a:t>
                </a:r>
                <a:r>
                  <a:rPr lang="en-US" sz="2400" b="1" baseline="30000">
                    <a:solidFill>
                      <a:schemeClr val="tx1"/>
                    </a:solidFill>
                  </a:rPr>
                  <a:t>2</a:t>
                </a:r>
                <a:r>
                  <a:rPr lang="en-US" sz="2400" b="1">
                    <a:solidFill>
                      <a:schemeClr val="tx1"/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243647"/>
        <c:crosses val="autoZero"/>
        <c:crossBetween val="midCat"/>
        <c:majorUnit val="0.4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4346376255395444"/>
          <c:y val="0.91837208870420595"/>
          <c:w val="0.48225513490662064"/>
          <c:h val="7.99551218245154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 b="1" i="0" u="none" strike="noStrike" kern="1200" spc="0" baseline="0">
                <a:solidFill>
                  <a:schemeClr val="tx1"/>
                </a:solidFill>
              </a:rPr>
              <a:t>10 mM KOH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249190368385042E-2"/>
          <c:y val="0.1026289209055329"/>
          <c:w val="0.87540010967942206"/>
          <c:h val="0.71439805286051716"/>
        </c:manualLayout>
      </c:layout>
      <c:scatterChart>
        <c:scatterStyle val="lineMarker"/>
        <c:varyColors val="0"/>
        <c:ser>
          <c:idx val="0"/>
          <c:order val="0"/>
          <c:tx>
            <c:v>Background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'Anode Record'!$Q$2:$Q$663</c:f>
              <c:numCache>
                <c:formatCode>General</c:formatCode>
                <c:ptCount val="662"/>
                <c:pt idx="0">
                  <c:v>0.30919999999999997</c:v>
                </c:pt>
                <c:pt idx="12">
                  <c:v>0.2238</c:v>
                </c:pt>
                <c:pt idx="25">
                  <c:v>0.32400000000000001</c:v>
                </c:pt>
                <c:pt idx="65">
                  <c:v>0.2346</c:v>
                </c:pt>
                <c:pt idx="171" formatCode="0.0000">
                  <c:v>0.25439850618049958</c:v>
                </c:pt>
                <c:pt idx="177" formatCode="0.0000">
                  <c:v>5.0485356539011789E-2</c:v>
                </c:pt>
                <c:pt idx="222">
                  <c:v>1.7149874771008024E-2</c:v>
                </c:pt>
                <c:pt idx="236" formatCode="0.0000000">
                  <c:v>4.4234207402762217E-2</c:v>
                </c:pt>
                <c:pt idx="237" formatCode="0.0000000">
                  <c:v>3.4893519626304347E-2</c:v>
                </c:pt>
                <c:pt idx="238" formatCode="0.0000000">
                  <c:v>3.8632738796401507E-2</c:v>
                </c:pt>
                <c:pt idx="239" formatCode="0.0000000">
                  <c:v>3.5239589720140914E-2</c:v>
                </c:pt>
                <c:pt idx="240" formatCode="0.0000000">
                  <c:v>4.1669278833093015E-2</c:v>
                </c:pt>
                <c:pt idx="251" formatCode="0.000000">
                  <c:v>3.8454434276616961E-2</c:v>
                </c:pt>
                <c:pt idx="253">
                  <c:v>3.3900413647249092E-2</c:v>
                </c:pt>
                <c:pt idx="254">
                  <c:v>2.7417577324365804E-2</c:v>
                </c:pt>
                <c:pt idx="255">
                  <c:v>4.3202831324670433E-2</c:v>
                </c:pt>
                <c:pt idx="256">
                  <c:v>2.4563565413842678E-2</c:v>
                </c:pt>
                <c:pt idx="257">
                  <c:v>3.9832898172323758E-2</c:v>
                </c:pt>
                <c:pt idx="258">
                  <c:v>5.7451186317165698E-2</c:v>
                </c:pt>
                <c:pt idx="259">
                  <c:v>3.4825922274684791E-2</c:v>
                </c:pt>
                <c:pt idx="260">
                  <c:v>3.9722598811137766E-2</c:v>
                </c:pt>
                <c:pt idx="261">
                  <c:v>0.56235584843492581</c:v>
                </c:pt>
                <c:pt idx="262">
                  <c:v>0.30035790980672866</c:v>
                </c:pt>
                <c:pt idx="263">
                  <c:v>0.25013262599469493</c:v>
                </c:pt>
                <c:pt idx="264">
                  <c:v>0.39985673352435525</c:v>
                </c:pt>
                <c:pt idx="272" formatCode="0.00000">
                  <c:v>0.53825534517996043</c:v>
                </c:pt>
                <c:pt idx="276" formatCode="0.000000">
                  <c:v>5.4506518789451945E-2</c:v>
                </c:pt>
                <c:pt idx="282" formatCode="0.000000">
                  <c:v>6.0745457995351269E-2</c:v>
                </c:pt>
                <c:pt idx="285" formatCode="0.000000">
                  <c:v>6.6641226835841547E-2</c:v>
                </c:pt>
                <c:pt idx="293" formatCode="0.00000">
                  <c:v>9.3559165555949578E-2</c:v>
                </c:pt>
                <c:pt idx="294" formatCode="0.00000">
                  <c:v>0.13671204667658163</c:v>
                </c:pt>
                <c:pt idx="295" formatCode="0.00000">
                  <c:v>8.7784837861524981E-2</c:v>
                </c:pt>
                <c:pt idx="296" formatCode="0.00000">
                  <c:v>7.4434280599294494E-2</c:v>
                </c:pt>
                <c:pt idx="297" formatCode="0.00000">
                  <c:v>6.0265894714270407E-2</c:v>
                </c:pt>
                <c:pt idx="298" formatCode="0.00000">
                  <c:v>6.2043795620437964E-2</c:v>
                </c:pt>
                <c:pt idx="299" formatCode="0.00000">
                  <c:v>7.6716808371484632E-2</c:v>
                </c:pt>
                <c:pt idx="300" formatCode="0.00000">
                  <c:v>5.8399400042854079E-2</c:v>
                </c:pt>
                <c:pt idx="301" formatCode="0.00000">
                  <c:v>6.2559190701678855E-2</c:v>
                </c:pt>
                <c:pt idx="302" formatCode="0.00000">
                  <c:v>6.5280620489066035E-2</c:v>
                </c:pt>
                <c:pt idx="304" formatCode="0.00000">
                  <c:v>9.8379578246392915E-2</c:v>
                </c:pt>
                <c:pt idx="305" formatCode="0.00000">
                  <c:v>0.11491681654676261</c:v>
                </c:pt>
                <c:pt idx="306" formatCode="0.00000">
                  <c:v>0.12694978936582035</c:v>
                </c:pt>
                <c:pt idx="307" formatCode="0.00000">
                  <c:v>0.1281613123718387</c:v>
                </c:pt>
                <c:pt idx="308" formatCode="0.00000">
                  <c:v>8.7312369891530628E-2</c:v>
                </c:pt>
                <c:pt idx="309" formatCode="0.00000">
                  <c:v>0.10776362823949956</c:v>
                </c:pt>
                <c:pt idx="311" formatCode="0.00000">
                  <c:v>8.5971459934138308E-2</c:v>
                </c:pt>
                <c:pt idx="312" formatCode="0.00000">
                  <c:v>7.6799999999999993E-2</c:v>
                </c:pt>
                <c:pt idx="313" formatCode="0.00000">
                  <c:v>7.4300000000000005E-2</c:v>
                </c:pt>
                <c:pt idx="314" formatCode="0.00000">
                  <c:v>7.0699999999999999E-2</c:v>
                </c:pt>
                <c:pt idx="315" formatCode="0.00000">
                  <c:v>6.6027780768816616E-2</c:v>
                </c:pt>
                <c:pt idx="316" formatCode="0.00000">
                  <c:v>6.1440000000000002E-2</c:v>
                </c:pt>
                <c:pt idx="318" formatCode="0.00000">
                  <c:v>0.11458</c:v>
                </c:pt>
                <c:pt idx="319" formatCode="0.00000">
                  <c:v>9.6681833314837415E-2</c:v>
                </c:pt>
                <c:pt idx="320" formatCode="0.00000">
                  <c:v>8.0436919716002184E-2</c:v>
                </c:pt>
                <c:pt idx="321" formatCode="0.00000">
                  <c:v>9.267646084170994E-2</c:v>
                </c:pt>
                <c:pt idx="322" formatCode="0.00000">
                  <c:v>0.10897680152415107</c:v>
                </c:pt>
                <c:pt idx="323" formatCode="0.00000">
                  <c:v>8.5054824561403508E-2</c:v>
                </c:pt>
                <c:pt idx="325" formatCode="0.00000">
                  <c:v>0.11874222373034725</c:v>
                </c:pt>
                <c:pt idx="326" formatCode="0.00000">
                  <c:v>0.10402632165960295</c:v>
                </c:pt>
                <c:pt idx="327" formatCode="0.00000">
                  <c:v>8.2662877131613466E-2</c:v>
                </c:pt>
                <c:pt idx="328" formatCode="0.00000">
                  <c:v>9.4635335845710489E-2</c:v>
                </c:pt>
                <c:pt idx="329" formatCode="0.00000">
                  <c:v>8.8560722944677095E-2</c:v>
                </c:pt>
                <c:pt idx="330" formatCode="0.00000">
                  <c:v>0.11123709025594972</c:v>
                </c:pt>
                <c:pt idx="331" formatCode="0.00000">
                  <c:v>1.726958187504943E-4</c:v>
                </c:pt>
                <c:pt idx="332" formatCode="0.00000">
                  <c:v>7.5313078514646636E-2</c:v>
                </c:pt>
                <c:pt idx="333" formatCode="0.00000">
                  <c:v>4.9430431244914565E-3</c:v>
                </c:pt>
                <c:pt idx="334" formatCode="0.00000">
                  <c:v>6.5397886564589183E-2</c:v>
                </c:pt>
                <c:pt idx="335" formatCode="0.00000">
                  <c:v>9.8933333333333331E-2</c:v>
                </c:pt>
                <c:pt idx="336" formatCode="0.00000">
                  <c:v>0.12734935641872649</c:v>
                </c:pt>
                <c:pt idx="337" formatCode="0.00000">
                  <c:v>0.11894343045006237</c:v>
                </c:pt>
                <c:pt idx="339" formatCode="0.00000">
                  <c:v>5.2762929661226934E-2</c:v>
                </c:pt>
                <c:pt idx="341" formatCode="0.00000">
                  <c:v>5.0999999999999997E-2</c:v>
                </c:pt>
                <c:pt idx="342" formatCode="0.00000">
                  <c:v>3.6999999999999998E-2</c:v>
                </c:pt>
                <c:pt idx="343" formatCode="0.00000">
                  <c:v>3.099E-2</c:v>
                </c:pt>
                <c:pt idx="344" formatCode="0.00000">
                  <c:v>2.6859999999999998E-2</c:v>
                </c:pt>
                <c:pt idx="345" formatCode="0.00000">
                  <c:v>0.34010000000000001</c:v>
                </c:pt>
                <c:pt idx="346" formatCode="0.00000">
                  <c:v>0.34010000000000001</c:v>
                </c:pt>
                <c:pt idx="347" formatCode="0.00000">
                  <c:v>0.34010000000000001</c:v>
                </c:pt>
                <c:pt idx="348" formatCode="0.00000">
                  <c:v>0.34010000000000001</c:v>
                </c:pt>
                <c:pt idx="357" formatCode="0.00000">
                  <c:v>2.7064400468249698E-2</c:v>
                </c:pt>
                <c:pt idx="358" formatCode="0.00000">
                  <c:v>3.6387884635754687E-2</c:v>
                </c:pt>
                <c:pt idx="359" formatCode="0.00000">
                  <c:v>3.5930242289882931E-2</c:v>
                </c:pt>
                <c:pt idx="361" formatCode="0.00000">
                  <c:v>4.1905212392119008E-2</c:v>
                </c:pt>
                <c:pt idx="362" formatCode="0.00000">
                  <c:v>4.7431369120475603E-2</c:v>
                </c:pt>
                <c:pt idx="364" formatCode="0.00000">
                  <c:v>4.251767434232695E-2</c:v>
                </c:pt>
                <c:pt idx="365" formatCode="0.00000">
                  <c:v>5.0458627130877065E-2</c:v>
                </c:pt>
                <c:pt idx="366" formatCode="0.00000">
                  <c:v>4.9201395362751095E-2</c:v>
                </c:pt>
                <c:pt idx="367" formatCode="0.00000">
                  <c:v>4.3095967463694623E-2</c:v>
                </c:pt>
                <c:pt idx="368" formatCode="0.00000">
                  <c:v>4.5261580067294888E-2</c:v>
                </c:pt>
                <c:pt idx="369" formatCode="0.00000">
                  <c:v>4.6284340587241096E-2</c:v>
                </c:pt>
                <c:pt idx="370" formatCode="0.00000">
                  <c:v>4.9741602067183463E-2</c:v>
                </c:pt>
                <c:pt idx="371" formatCode="0.00000">
                  <c:v>5.4496431403647898E-2</c:v>
                </c:pt>
                <c:pt idx="372" formatCode="0.00000">
                  <c:v>6.3186080500112013E-2</c:v>
                </c:pt>
                <c:pt idx="373" formatCode="0.00000">
                  <c:v>4.9896268837473813E-2</c:v>
                </c:pt>
                <c:pt idx="374" formatCode="0.00000">
                  <c:v>6.6231752312710543E-2</c:v>
                </c:pt>
                <c:pt idx="376">
                  <c:v>0.10048</c:v>
                </c:pt>
                <c:pt idx="377" formatCode="0.00000">
                  <c:v>9.4967298525662353E-2</c:v>
                </c:pt>
                <c:pt idx="378" formatCode="0.00000">
                  <c:v>0.11393304024349002</c:v>
                </c:pt>
                <c:pt idx="380" formatCode="0.00000">
                  <c:v>0.10563310593546545</c:v>
                </c:pt>
                <c:pt idx="383">
                  <c:v>1.7149999999999999E-2</c:v>
                </c:pt>
                <c:pt idx="384" formatCode="0.00000">
                  <c:v>1.682469523062665E-2</c:v>
                </c:pt>
                <c:pt idx="385" formatCode="0.00000">
                  <c:v>1.8598289202376335E-2</c:v>
                </c:pt>
                <c:pt idx="386" formatCode="0.00000">
                  <c:v>1.5105401911586576E-2</c:v>
                </c:pt>
                <c:pt idx="387" formatCode="0.00000">
                  <c:v>1.8076527023031513E-2</c:v>
                </c:pt>
                <c:pt idx="389" formatCode="0.00000000">
                  <c:v>8.5512442439569222E-2</c:v>
                </c:pt>
                <c:pt idx="392">
                  <c:v>9.3973075188825639E-2</c:v>
                </c:pt>
                <c:pt idx="395">
                  <c:v>8.7777339050146355E-2</c:v>
                </c:pt>
                <c:pt idx="396">
                  <c:v>0.10810807272110801</c:v>
                </c:pt>
                <c:pt idx="399">
                  <c:v>6.4881645279861233E-2</c:v>
                </c:pt>
                <c:pt idx="400">
                  <c:v>6.4645148388601498E-2</c:v>
                </c:pt>
                <c:pt idx="402">
                  <c:v>6.4990971258657673E-2</c:v>
                </c:pt>
                <c:pt idx="404">
                  <c:v>6.9687831331961506E-2</c:v>
                </c:pt>
                <c:pt idx="406">
                  <c:v>3.3096640528134276E-2</c:v>
                </c:pt>
                <c:pt idx="420">
                  <c:v>6.2937062937062929E-2</c:v>
                </c:pt>
                <c:pt idx="421">
                  <c:v>4.1031102201898081E-2</c:v>
                </c:pt>
                <c:pt idx="422">
                  <c:v>5.3275044457617077E-2</c:v>
                </c:pt>
                <c:pt idx="423">
                  <c:v>3.7986298655933594E-2</c:v>
                </c:pt>
                <c:pt idx="424">
                  <c:v>3.3444573418456178E-2</c:v>
                </c:pt>
                <c:pt idx="425">
                  <c:v>5.5788212593165888E-2</c:v>
                </c:pt>
                <c:pt idx="426">
                  <c:v>5.3685168334849862E-2</c:v>
                </c:pt>
                <c:pt idx="427">
                  <c:v>2.1678357482975783E-2</c:v>
                </c:pt>
                <c:pt idx="428">
                  <c:v>5.5534383468834693E-2</c:v>
                </c:pt>
                <c:pt idx="429">
                  <c:v>5.461989293950871E-2</c:v>
                </c:pt>
                <c:pt idx="430">
                  <c:v>3.9838723155343862E-2</c:v>
                </c:pt>
                <c:pt idx="431">
                  <c:v>3.503883384106718E-2</c:v>
                </c:pt>
                <c:pt idx="432">
                  <c:v>4.1590393204949838E-2</c:v>
                </c:pt>
                <c:pt idx="433">
                  <c:v>2.8163635988358894E-2</c:v>
                </c:pt>
                <c:pt idx="434">
                  <c:v>5.9373902306619694E-2</c:v>
                </c:pt>
                <c:pt idx="435">
                  <c:v>2.9996685449121645E-2</c:v>
                </c:pt>
                <c:pt idx="436">
                  <c:v>4.7800805442520224E-2</c:v>
                </c:pt>
                <c:pt idx="437">
                  <c:v>1.9509002975429696E-2</c:v>
                </c:pt>
                <c:pt idx="445">
                  <c:v>6.3953550539451037E-2</c:v>
                </c:pt>
                <c:pt idx="448">
                  <c:v>3.5295463051524097E-2</c:v>
                </c:pt>
                <c:pt idx="449">
                  <c:v>2.677348601085356E-2</c:v>
                </c:pt>
                <c:pt idx="453">
                  <c:v>4.3607905502254685E-2</c:v>
                </c:pt>
                <c:pt idx="458">
                  <c:v>4.4077947462959725E-2</c:v>
                </c:pt>
                <c:pt idx="459">
                  <c:v>4.5074058879283611E-2</c:v>
                </c:pt>
                <c:pt idx="481">
                  <c:v>4.3493192738237534E-2</c:v>
                </c:pt>
                <c:pt idx="483">
                  <c:v>3.6817564209138079E-2</c:v>
                </c:pt>
                <c:pt idx="484">
                  <c:v>3.6719654889117777E-2</c:v>
                </c:pt>
                <c:pt idx="485">
                  <c:v>3.6646926767386616E-2</c:v>
                </c:pt>
                <c:pt idx="486">
                  <c:v>4.1218051275951392E-2</c:v>
                </c:pt>
                <c:pt idx="487">
                  <c:v>3.5700113908361288E-2</c:v>
                </c:pt>
                <c:pt idx="488">
                  <c:v>3.5843977944947161E-2</c:v>
                </c:pt>
                <c:pt idx="489">
                  <c:v>3.5255629777063972E-2</c:v>
                </c:pt>
                <c:pt idx="492">
                  <c:v>3.845324869600053E-2</c:v>
                </c:pt>
                <c:pt idx="493">
                  <c:v>4.6188913883301083E-2</c:v>
                </c:pt>
                <c:pt idx="496">
                  <c:v>4.139670282893148E-2</c:v>
                </c:pt>
                <c:pt idx="500">
                  <c:v>4.1132759585459859E-2</c:v>
                </c:pt>
                <c:pt idx="503">
                  <c:v>4.1463966487231101E-2</c:v>
                </c:pt>
                <c:pt idx="506">
                  <c:v>3.9979006029297354E-2</c:v>
                </c:pt>
                <c:pt idx="509">
                  <c:v>3.7764591093161347E-2</c:v>
                </c:pt>
                <c:pt idx="512">
                  <c:v>3.8825820863341583E-2</c:v>
                </c:pt>
                <c:pt idx="515">
                  <c:v>5.1553525712916132E-2</c:v>
                </c:pt>
                <c:pt idx="518">
                  <c:v>3.970290763595119E-2</c:v>
                </c:pt>
                <c:pt idx="519">
                  <c:v>4.0419388256192693E-2</c:v>
                </c:pt>
                <c:pt idx="520">
                  <c:v>4.6297945705829881E-2</c:v>
                </c:pt>
                <c:pt idx="523">
                  <c:v>3.9446660746431647E-2</c:v>
                </c:pt>
                <c:pt idx="528">
                  <c:v>4.1139258643316218E-2</c:v>
                </c:pt>
                <c:pt idx="529">
                  <c:v>3.621690244757788E-2</c:v>
                </c:pt>
                <c:pt idx="532">
                  <c:v>4.4734737029398855E-2</c:v>
                </c:pt>
                <c:pt idx="533">
                  <c:v>4.0743158546249707E-2</c:v>
                </c:pt>
                <c:pt idx="538">
                  <c:v>4.0377008823778239E-2</c:v>
                </c:pt>
                <c:pt idx="539">
                  <c:v>4.0031328430711166E-2</c:v>
                </c:pt>
                <c:pt idx="540">
                  <c:v>3.7029555377233105E-2</c:v>
                </c:pt>
                <c:pt idx="541">
                  <c:v>3.629672560166914E-2</c:v>
                </c:pt>
                <c:pt idx="543">
                  <c:v>3.6797647624652534E-2</c:v>
                </c:pt>
                <c:pt idx="546">
                  <c:v>4.5192563365741567E-2</c:v>
                </c:pt>
                <c:pt idx="548">
                  <c:v>4.7013702982326266E-2</c:v>
                </c:pt>
                <c:pt idx="551">
                  <c:v>3.6941301121849832E-2</c:v>
                </c:pt>
                <c:pt idx="554">
                  <c:v>3.8890852050126871E-2</c:v>
                </c:pt>
                <c:pt idx="556">
                  <c:v>5.0193096133261818E-2</c:v>
                </c:pt>
                <c:pt idx="557">
                  <c:v>4.06223166018395E-2</c:v>
                </c:pt>
                <c:pt idx="559">
                  <c:v>3.5472095823473791E-2</c:v>
                </c:pt>
                <c:pt idx="560">
                  <c:v>3.1522289006569663E-2</c:v>
                </c:pt>
                <c:pt idx="561">
                  <c:v>3.7487057121320742E-2</c:v>
                </c:pt>
                <c:pt idx="562">
                  <c:v>3.8987666264807368E-2</c:v>
                </c:pt>
                <c:pt idx="563">
                  <c:v>3.8504904860151935E-2</c:v>
                </c:pt>
                <c:pt idx="565">
                  <c:v>2.9869923062604005E-2</c:v>
                </c:pt>
                <c:pt idx="566">
                  <c:v>2.8163815315324789E-2</c:v>
                </c:pt>
                <c:pt idx="567">
                  <c:v>3.5544479191271988E-2</c:v>
                </c:pt>
                <c:pt idx="568">
                  <c:v>3.639435195618651E-2</c:v>
                </c:pt>
                <c:pt idx="569">
                  <c:v>2.7342312120739787E-2</c:v>
                </c:pt>
                <c:pt idx="570">
                  <c:v>3.4371669248549619E-2</c:v>
                </c:pt>
                <c:pt idx="571">
                  <c:v>3.7130278533895514E-2</c:v>
                </c:pt>
                <c:pt idx="572">
                  <c:v>3.0932363752100761E-2</c:v>
                </c:pt>
                <c:pt idx="573">
                  <c:v>3.2694752165409124E-2</c:v>
                </c:pt>
                <c:pt idx="574">
                  <c:v>2.4969908138425746E-2</c:v>
                </c:pt>
                <c:pt idx="575">
                  <c:v>2.5999999999999999E-2</c:v>
                </c:pt>
                <c:pt idx="577">
                  <c:v>3.0700000000000002E-2</c:v>
                </c:pt>
                <c:pt idx="581">
                  <c:v>4.0000000000000001E-3</c:v>
                </c:pt>
                <c:pt idx="582">
                  <c:v>3.6999999999999998E-2</c:v>
                </c:pt>
                <c:pt idx="585">
                  <c:v>2.5999999999999999E-2</c:v>
                </c:pt>
                <c:pt idx="586">
                  <c:v>2.58E-2</c:v>
                </c:pt>
                <c:pt idx="587">
                  <c:v>0.03</c:v>
                </c:pt>
                <c:pt idx="588">
                  <c:v>2.8000000000000001E-2</c:v>
                </c:pt>
                <c:pt idx="589">
                  <c:v>0.03</c:v>
                </c:pt>
                <c:pt idx="590">
                  <c:v>2.4799999999999999E-2</c:v>
                </c:pt>
                <c:pt idx="591">
                  <c:v>2.58E-2</c:v>
                </c:pt>
                <c:pt idx="592">
                  <c:v>2.5000000000000001E-2</c:v>
                </c:pt>
                <c:pt idx="595">
                  <c:v>3.5700000000000003E-2</c:v>
                </c:pt>
                <c:pt idx="596">
                  <c:v>3.15E-2</c:v>
                </c:pt>
                <c:pt idx="599">
                  <c:v>4.3999999999999997E-2</c:v>
                </c:pt>
                <c:pt idx="600">
                  <c:v>3.4599999999999999E-2</c:v>
                </c:pt>
              </c:numCache>
            </c:numRef>
          </c:xVal>
          <c:yVal>
            <c:numRef>
              <c:f>'Anode Record'!$X$2:$X$663</c:f>
              <c:numCache>
                <c:formatCode>General</c:formatCode>
                <c:ptCount val="6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2B-46C0-8068-09FA775C7C3E}"/>
            </c:ext>
          </c:extLst>
        </c:ser>
        <c:ser>
          <c:idx val="1"/>
          <c:order val="1"/>
          <c:tx>
            <c:v>Baseline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'Anode Record'!$Q$298:$Q$318</c:f>
              <c:numCache>
                <c:formatCode>0.00000</c:formatCode>
                <c:ptCount val="21"/>
                <c:pt idx="0">
                  <c:v>7.4434280599294494E-2</c:v>
                </c:pt>
                <c:pt idx="1">
                  <c:v>6.0265894714270407E-2</c:v>
                </c:pt>
                <c:pt idx="2">
                  <c:v>6.2043795620437964E-2</c:v>
                </c:pt>
                <c:pt idx="3">
                  <c:v>7.6716808371484632E-2</c:v>
                </c:pt>
                <c:pt idx="4">
                  <c:v>5.8399400042854079E-2</c:v>
                </c:pt>
                <c:pt idx="5">
                  <c:v>6.2559190701678855E-2</c:v>
                </c:pt>
                <c:pt idx="6">
                  <c:v>6.5280620489066035E-2</c:v>
                </c:pt>
                <c:pt idx="8">
                  <c:v>9.8379578246392915E-2</c:v>
                </c:pt>
                <c:pt idx="9">
                  <c:v>0.11491681654676261</c:v>
                </c:pt>
                <c:pt idx="10">
                  <c:v>0.12694978936582035</c:v>
                </c:pt>
                <c:pt idx="11">
                  <c:v>0.1281613123718387</c:v>
                </c:pt>
                <c:pt idx="12">
                  <c:v>8.7312369891530628E-2</c:v>
                </c:pt>
                <c:pt idx="13">
                  <c:v>0.10776362823949956</c:v>
                </c:pt>
                <c:pt idx="15">
                  <c:v>8.5971459934138308E-2</c:v>
                </c:pt>
                <c:pt idx="16">
                  <c:v>7.6799999999999993E-2</c:v>
                </c:pt>
                <c:pt idx="17">
                  <c:v>7.4300000000000005E-2</c:v>
                </c:pt>
                <c:pt idx="18">
                  <c:v>7.0699999999999999E-2</c:v>
                </c:pt>
                <c:pt idx="19">
                  <c:v>6.6027780768816616E-2</c:v>
                </c:pt>
                <c:pt idx="20">
                  <c:v>6.1440000000000002E-2</c:v>
                </c:pt>
              </c:numCache>
            </c:numRef>
          </c:xVal>
          <c:yVal>
            <c:numRef>
              <c:f>'Anode Record'!$X$298:$X$318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2B-46C0-8068-09FA775C7C3E}"/>
            </c:ext>
          </c:extLst>
        </c:ser>
        <c:ser>
          <c:idx val="2"/>
          <c:order val="2"/>
          <c:tx>
            <c:v>FTA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'Anode Record'!$Q$319:$Q$339</c:f>
              <c:numCache>
                <c:formatCode>0.00000</c:formatCode>
                <c:ptCount val="21"/>
                <c:pt idx="1">
                  <c:v>0.11458</c:v>
                </c:pt>
                <c:pt idx="2">
                  <c:v>9.6681833314837415E-2</c:v>
                </c:pt>
                <c:pt idx="3">
                  <c:v>8.0436919716002184E-2</c:v>
                </c:pt>
                <c:pt idx="4">
                  <c:v>9.267646084170994E-2</c:v>
                </c:pt>
                <c:pt idx="5">
                  <c:v>0.10897680152415107</c:v>
                </c:pt>
                <c:pt idx="6">
                  <c:v>8.5054824561403508E-2</c:v>
                </c:pt>
                <c:pt idx="8">
                  <c:v>0.11874222373034725</c:v>
                </c:pt>
                <c:pt idx="9">
                  <c:v>0.10402632165960295</c:v>
                </c:pt>
                <c:pt idx="10">
                  <c:v>8.2662877131613466E-2</c:v>
                </c:pt>
                <c:pt idx="11">
                  <c:v>9.4635335845710489E-2</c:v>
                </c:pt>
                <c:pt idx="12">
                  <c:v>8.8560722944677095E-2</c:v>
                </c:pt>
                <c:pt idx="13">
                  <c:v>0.11123709025594972</c:v>
                </c:pt>
                <c:pt idx="14">
                  <c:v>1.726958187504943E-4</c:v>
                </c:pt>
                <c:pt idx="15">
                  <c:v>7.5313078514646636E-2</c:v>
                </c:pt>
                <c:pt idx="16">
                  <c:v>4.9430431244914565E-3</c:v>
                </c:pt>
                <c:pt idx="17">
                  <c:v>6.5397886564589183E-2</c:v>
                </c:pt>
                <c:pt idx="18">
                  <c:v>9.8933333333333331E-2</c:v>
                </c:pt>
                <c:pt idx="19">
                  <c:v>0.12734935641872649</c:v>
                </c:pt>
                <c:pt idx="20">
                  <c:v>0.11894343045006237</c:v>
                </c:pt>
              </c:numCache>
            </c:numRef>
          </c:xVal>
          <c:yVal>
            <c:numRef>
              <c:f>'Anode Record'!$X$319:$X$339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72B-46C0-8068-09FA775C7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243647"/>
        <c:axId val="463208543"/>
      </c:scatterChart>
      <c:valAx>
        <c:axId val="538243647"/>
        <c:scaling>
          <c:orientation val="minMax"/>
          <c:max val="0.3500000000000000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 i="0" u="none" strike="noStrike" kern="1200" baseline="0">
                    <a:solidFill>
                      <a:schemeClr val="tx1"/>
                    </a:solidFill>
                  </a:rPr>
                  <a:t>XRF Ni:Fe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208543"/>
        <c:crosses val="autoZero"/>
        <c:crossBetween val="midCat"/>
      </c:valAx>
      <c:valAx>
        <c:axId val="463208543"/>
        <c:scaling>
          <c:orientation val="minMax"/>
          <c:max val="2.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>
                    <a:solidFill>
                      <a:schemeClr val="tx1"/>
                    </a:solidFill>
                  </a:rPr>
                  <a:t>Current density @ 1.8 V (A/cm</a:t>
                </a:r>
                <a:r>
                  <a:rPr lang="en-US" sz="2400" b="1" baseline="30000">
                    <a:solidFill>
                      <a:schemeClr val="tx1"/>
                    </a:solidFill>
                  </a:rPr>
                  <a:t>2</a:t>
                </a:r>
                <a:r>
                  <a:rPr lang="en-US" sz="2400" b="1">
                    <a:solidFill>
                      <a:schemeClr val="tx1"/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243647"/>
        <c:crosses val="autoZero"/>
        <c:crossBetween val="midCat"/>
        <c:majorUnit val="0.4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4346376255395444"/>
          <c:y val="0.91837208870420595"/>
          <c:w val="0.48225513490662064"/>
          <c:h val="7.99551218245154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 b="1">
                <a:solidFill>
                  <a:schemeClr val="tx1"/>
                </a:solidFill>
              </a:rPr>
              <a:t>DIW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249190368385042E-2"/>
          <c:y val="0.1026289209055329"/>
          <c:w val="0.87540010967942206"/>
          <c:h val="0.71439805286051716"/>
        </c:manualLayout>
      </c:layout>
      <c:scatterChart>
        <c:scatterStyle val="lineMarker"/>
        <c:varyColors val="0"/>
        <c:ser>
          <c:idx val="0"/>
          <c:order val="0"/>
          <c:tx>
            <c:v>Baseline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'Anode Record'!$AC$2:$AC$663</c:f>
              <c:numCache>
                <c:formatCode>General</c:formatCode>
                <c:ptCount val="6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</c:numCache>
            </c:numRef>
          </c:xVal>
          <c:yVal>
            <c:numRef>
              <c:f>'Anode Record'!$AD$2:$AD$663</c:f>
              <c:numCache>
                <c:formatCode>General</c:formatCode>
                <c:ptCount val="6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15-4AA8-8985-0C0EDA671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243647"/>
        <c:axId val="463208543"/>
      </c:scatterChart>
      <c:valAx>
        <c:axId val="538243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 i="0" u="none" strike="noStrike" kern="1200" baseline="0">
                    <a:solidFill>
                      <a:schemeClr val="tx1"/>
                    </a:solidFill>
                  </a:rPr>
                  <a:t>ICR (m</a:t>
                </a:r>
                <a:r>
                  <a:rPr lang="el-GR" sz="2400" b="1" i="0" u="none" strike="noStrike" kern="1200" baseline="0">
                    <a:solidFill>
                      <a:schemeClr val="tx1"/>
                    </a:solidFill>
                  </a:rPr>
                  <a:t>Ω</a:t>
                </a:r>
                <a:r>
                  <a:rPr lang="en-US" sz="2400" b="1" i="0" u="none" strike="noStrike" kern="1200" baseline="0">
                    <a:solidFill>
                      <a:schemeClr val="tx1"/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208543"/>
        <c:crosses val="autoZero"/>
        <c:crossBetween val="midCat"/>
      </c:valAx>
      <c:valAx>
        <c:axId val="46320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 i="0" u="none" strike="noStrike" kern="1200" baseline="0">
                    <a:solidFill>
                      <a:schemeClr val="tx1"/>
                    </a:solidFill>
                  </a:rPr>
                  <a:t>HFR (m</a:t>
                </a:r>
                <a:r>
                  <a:rPr lang="el-GR" sz="2400" b="1" i="0" u="none" strike="noStrike" kern="1200" baseline="0">
                    <a:solidFill>
                      <a:schemeClr val="tx1"/>
                    </a:solidFill>
                  </a:rPr>
                  <a:t>Ω</a:t>
                </a:r>
                <a:r>
                  <a:rPr lang="en-US" sz="2400" b="1" i="0" u="none" strike="noStrike" kern="1200" baseline="0">
                    <a:solidFill>
                      <a:schemeClr val="tx1"/>
                    </a:solidFill>
                  </a:rPr>
                  <a:t> cm</a:t>
                </a:r>
                <a:r>
                  <a:rPr lang="en-US" sz="2400" b="1" i="0" u="none" strike="noStrike" kern="1200" baseline="30000">
                    <a:solidFill>
                      <a:schemeClr val="tx1"/>
                    </a:solidFill>
                  </a:rPr>
                  <a:t>2</a:t>
                </a:r>
                <a:r>
                  <a:rPr lang="en-US" sz="2400" b="1" i="0" u="none" strike="noStrike" kern="1200" baseline="0">
                    <a:solidFill>
                      <a:schemeClr val="tx1"/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243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4346376255395444"/>
          <c:y val="0.91837208870420595"/>
          <c:w val="0.48225513490662064"/>
          <c:h val="7.99551218245154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249190368385042E-2"/>
          <c:y val="0.1026289209055329"/>
          <c:w val="0.87540010967942206"/>
          <c:h val="0.71439805286051716"/>
        </c:manualLayout>
      </c:layout>
      <c:scatterChart>
        <c:scatterStyle val="lineMarker"/>
        <c:varyColors val="0"/>
        <c:ser>
          <c:idx val="0"/>
          <c:order val="0"/>
          <c:tx>
            <c:v>Background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'Anode Record'!$AE$2:$AE$663</c:f>
              <c:numCache>
                <c:formatCode>General</c:formatCode>
                <c:ptCount val="6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</c:numCache>
            </c:numRef>
          </c:xVal>
          <c:yVal>
            <c:numRef>
              <c:f>'Anode Record'!$W$2:$W$663</c:f>
              <c:numCache>
                <c:formatCode>General</c:formatCode>
                <c:ptCount val="6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63-4325-88D6-22A4402F3AC8}"/>
            </c:ext>
          </c:extLst>
        </c:ser>
        <c:ser>
          <c:idx val="1"/>
          <c:order val="1"/>
          <c:tx>
            <c:v>Baseline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'Anode Record'!$AE$298:$AE$318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'Anode Record'!$W$298:$W$318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63-4325-88D6-22A4402F3AC8}"/>
            </c:ext>
          </c:extLst>
        </c:ser>
        <c:ser>
          <c:idx val="2"/>
          <c:order val="2"/>
          <c:tx>
            <c:v>FTA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'Anode Record'!$AE$319:$AE$339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'Anode Record'!$W$319:$W$339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63-4325-88D6-22A4402F3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243647"/>
        <c:axId val="463208543"/>
      </c:scatterChart>
      <c:valAx>
        <c:axId val="538243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>
                    <a:solidFill>
                      <a:schemeClr val="tx1"/>
                    </a:solidFill>
                  </a:rPr>
                  <a:t>10 mM KOH</a:t>
                </a:r>
                <a:r>
                  <a:rPr lang="en-US" sz="2400" b="1" baseline="0">
                    <a:solidFill>
                      <a:schemeClr val="tx1"/>
                    </a:solidFill>
                  </a:rPr>
                  <a:t> </a:t>
                </a:r>
                <a:r>
                  <a:rPr lang="en-US" sz="2400" b="1">
                    <a:solidFill>
                      <a:schemeClr val="tx1"/>
                    </a:solidFill>
                  </a:rPr>
                  <a:t>HFR (m</a:t>
                </a:r>
                <a:r>
                  <a:rPr lang="el-GR" sz="2400" b="1">
                    <a:solidFill>
                      <a:schemeClr val="tx1"/>
                    </a:solidFill>
                  </a:rPr>
                  <a:t>Ω</a:t>
                </a:r>
                <a:r>
                  <a:rPr lang="en-US" sz="2400" b="1">
                    <a:solidFill>
                      <a:schemeClr val="tx1"/>
                    </a:solidFill>
                  </a:rPr>
                  <a:t> cm</a:t>
                </a:r>
                <a:r>
                  <a:rPr lang="en-US" sz="2400" b="1" baseline="30000">
                    <a:solidFill>
                      <a:schemeClr val="tx1"/>
                    </a:solidFill>
                  </a:rPr>
                  <a:t>2</a:t>
                </a:r>
                <a:r>
                  <a:rPr lang="en-US" sz="2400" b="1">
                    <a:solidFill>
                      <a:schemeClr val="tx1"/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208543"/>
        <c:crosses val="autoZero"/>
        <c:crossBetween val="midCat"/>
      </c:valAx>
      <c:valAx>
        <c:axId val="46320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>
                    <a:solidFill>
                      <a:schemeClr val="tx1"/>
                    </a:solidFill>
                  </a:rPr>
                  <a:t>DI Current density @ 1.8 V (A/cm</a:t>
                </a:r>
                <a:r>
                  <a:rPr lang="en-US" sz="2400" b="1" baseline="30000">
                    <a:solidFill>
                      <a:schemeClr val="tx1"/>
                    </a:solidFill>
                  </a:rPr>
                  <a:t>2</a:t>
                </a:r>
                <a:r>
                  <a:rPr lang="en-US" sz="2400" b="1">
                    <a:solidFill>
                      <a:schemeClr val="tx1"/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243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4346376255395444"/>
          <c:y val="0.91837208870420595"/>
          <c:w val="0.48225513490662064"/>
          <c:h val="7.99551218245154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249190368385042E-2"/>
          <c:y val="0.1026289209055329"/>
          <c:w val="0.87540010967942206"/>
          <c:h val="0.71439805286051716"/>
        </c:manualLayout>
      </c:layout>
      <c:scatterChart>
        <c:scatterStyle val="lineMarker"/>
        <c:varyColors val="0"/>
        <c:ser>
          <c:idx val="0"/>
          <c:order val="0"/>
          <c:tx>
            <c:v>Background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'Anode Record'!$AE$2:$AE$663</c:f>
              <c:numCache>
                <c:formatCode>General</c:formatCode>
                <c:ptCount val="6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</c:numCache>
            </c:numRef>
          </c:xVal>
          <c:yVal>
            <c:numRef>
              <c:f>'Anode Record'!$AD$2:$AD$663</c:f>
              <c:numCache>
                <c:formatCode>General</c:formatCode>
                <c:ptCount val="6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9F-4F09-98AD-1261440697BE}"/>
            </c:ext>
          </c:extLst>
        </c:ser>
        <c:ser>
          <c:idx val="1"/>
          <c:order val="1"/>
          <c:tx>
            <c:v>Baseline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'Anode Record'!$AE$298:$AE$318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'Anode Record'!$AD$298:$AD$318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9F-4F09-98AD-1261440697BE}"/>
            </c:ext>
          </c:extLst>
        </c:ser>
        <c:ser>
          <c:idx val="2"/>
          <c:order val="2"/>
          <c:tx>
            <c:v>FTA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'Anode Record'!$AE$319:$AE$339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'Anode Record'!$AD$319:$AD$339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9F-4F09-98AD-1261440697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243647"/>
        <c:axId val="463208543"/>
      </c:scatterChart>
      <c:valAx>
        <c:axId val="538243647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>
                    <a:solidFill>
                      <a:schemeClr val="tx1"/>
                    </a:solidFill>
                  </a:rPr>
                  <a:t>10 mM KOH</a:t>
                </a:r>
                <a:r>
                  <a:rPr lang="en-US" sz="2400" b="1" baseline="0">
                    <a:solidFill>
                      <a:schemeClr val="tx1"/>
                    </a:solidFill>
                  </a:rPr>
                  <a:t> </a:t>
                </a:r>
                <a:r>
                  <a:rPr lang="en-US" sz="2400" b="1">
                    <a:solidFill>
                      <a:schemeClr val="tx1"/>
                    </a:solidFill>
                  </a:rPr>
                  <a:t>HFR (m</a:t>
                </a:r>
                <a:r>
                  <a:rPr lang="el-GR" sz="2400" b="1">
                    <a:solidFill>
                      <a:schemeClr val="tx1"/>
                    </a:solidFill>
                  </a:rPr>
                  <a:t>Ω</a:t>
                </a:r>
                <a:r>
                  <a:rPr lang="en-US" sz="2400" b="1">
                    <a:solidFill>
                      <a:schemeClr val="tx1"/>
                    </a:solidFill>
                  </a:rPr>
                  <a:t> cm</a:t>
                </a:r>
                <a:r>
                  <a:rPr lang="en-US" sz="2400" b="1" baseline="30000">
                    <a:solidFill>
                      <a:schemeClr val="tx1"/>
                    </a:solidFill>
                  </a:rPr>
                  <a:t>2</a:t>
                </a:r>
                <a:r>
                  <a:rPr lang="en-US" sz="2400" b="1">
                    <a:solidFill>
                      <a:schemeClr val="tx1"/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208543"/>
        <c:crosses val="autoZero"/>
        <c:crossBetween val="midCat"/>
      </c:valAx>
      <c:valAx>
        <c:axId val="463208543"/>
        <c:scaling>
          <c:orientation val="minMax"/>
          <c:max val="20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>
                    <a:solidFill>
                      <a:schemeClr val="tx1"/>
                    </a:solidFill>
                  </a:rPr>
                  <a:t>DI HFR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243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4346376255395444"/>
          <c:y val="0.91837208870420595"/>
          <c:w val="0.48225513490662064"/>
          <c:h val="7.99551218245154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 b="1" i="0" u="none" strike="noStrike" kern="1200" spc="0" baseline="0">
                <a:solidFill>
                  <a:schemeClr val="tx1"/>
                </a:solidFill>
              </a:rPr>
              <a:t>DIW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345397186758374E-2"/>
          <c:y val="9.0948005827287612E-2"/>
          <c:w val="0.86551170273391409"/>
          <c:h val="0.7735111126901665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'Anode Record'!$AF$298:$AF$339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xVal>
          <c:yVal>
            <c:numRef>
              <c:f>'Anode Record'!$W$298:$W$339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55-4FD2-A5B5-31260055E6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037376"/>
        <c:axId val="1024829152"/>
      </c:scatterChart>
      <c:valAx>
        <c:axId val="77703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 i="0" u="none" strike="noStrike" kern="1200" baseline="0">
                    <a:solidFill>
                      <a:schemeClr val="tx1"/>
                    </a:solidFill>
                  </a:rPr>
                  <a:t>Ionic resistance (</a:t>
                </a:r>
                <a:r>
                  <a:rPr lang="el-GR" sz="2400" b="1" i="0" u="none" strike="noStrike" kern="1200" baseline="0">
                    <a:solidFill>
                      <a:schemeClr val="tx1"/>
                    </a:solidFill>
                  </a:rPr>
                  <a:t>Ω</a:t>
                </a:r>
                <a:r>
                  <a:rPr lang="en-US" sz="2400" b="1" i="0" u="none" strike="noStrike" kern="1200" baseline="0">
                    <a:solidFill>
                      <a:schemeClr val="tx1"/>
                    </a:solidFill>
                  </a:rPr>
                  <a:t> cm</a:t>
                </a:r>
                <a:r>
                  <a:rPr lang="en-US" sz="2400" b="1" i="0" u="none" strike="noStrike" kern="1200" baseline="30000">
                    <a:solidFill>
                      <a:schemeClr val="tx1"/>
                    </a:solidFill>
                  </a:rPr>
                  <a:t>2</a:t>
                </a:r>
                <a:r>
                  <a:rPr lang="en-US" sz="2400" b="1" i="0" u="none" strike="noStrike" kern="1200" baseline="0">
                    <a:solidFill>
                      <a:schemeClr val="tx1"/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829152"/>
        <c:crosses val="autoZero"/>
        <c:crossBetween val="midCat"/>
      </c:valAx>
      <c:valAx>
        <c:axId val="102482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 i="0" u="none" strike="noStrike" kern="1200" baseline="0">
                    <a:solidFill>
                      <a:schemeClr val="tx1"/>
                    </a:solidFill>
                  </a:rPr>
                  <a:t>Current density @ 1.8 V (A/cm</a:t>
                </a:r>
                <a:r>
                  <a:rPr lang="en-US" sz="2400" b="1" i="0" u="none" strike="noStrike" kern="1200" baseline="30000">
                    <a:solidFill>
                      <a:schemeClr val="tx1"/>
                    </a:solidFill>
                  </a:rPr>
                  <a:t>2</a:t>
                </a:r>
                <a:r>
                  <a:rPr lang="en-US" sz="2400" b="1" i="0" u="none" strike="noStrike" kern="1200" baseline="0">
                    <a:solidFill>
                      <a:schemeClr val="tx1"/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037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 b="1" i="0" u="none" strike="noStrike" kern="1200" spc="0" baseline="0">
                <a:solidFill>
                  <a:schemeClr val="tx1"/>
                </a:solidFill>
              </a:rPr>
              <a:t>10 mM KOH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345397186758374E-2"/>
          <c:y val="9.0948005827287612E-2"/>
          <c:w val="0.86551170273391409"/>
          <c:h val="0.7735111126901665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'Anode Record'!$AH$298:$AH$339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xVal>
          <c:yVal>
            <c:numRef>
              <c:f>'Anode Record'!$X$298:$X$339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F0-427E-9090-1C1B2E095D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037376"/>
        <c:axId val="1024829152"/>
      </c:scatterChart>
      <c:valAx>
        <c:axId val="77703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 i="0" u="none" strike="noStrike" kern="1200" baseline="0">
                    <a:solidFill>
                      <a:schemeClr val="tx1"/>
                    </a:solidFill>
                  </a:rPr>
                  <a:t>Ionic resistance (</a:t>
                </a:r>
                <a:r>
                  <a:rPr lang="el-GR" sz="2400" b="1" i="0" u="none" strike="noStrike" kern="1200" baseline="0">
                    <a:solidFill>
                      <a:schemeClr val="tx1"/>
                    </a:solidFill>
                  </a:rPr>
                  <a:t>Ω</a:t>
                </a:r>
                <a:r>
                  <a:rPr lang="en-US" sz="2400" b="1" i="0" u="none" strike="noStrike" kern="1200" baseline="0">
                    <a:solidFill>
                      <a:schemeClr val="tx1"/>
                    </a:solidFill>
                  </a:rPr>
                  <a:t> cm</a:t>
                </a:r>
                <a:r>
                  <a:rPr lang="en-US" sz="2400" b="1" i="0" u="none" strike="noStrike" kern="1200" baseline="30000">
                    <a:solidFill>
                      <a:schemeClr val="tx1"/>
                    </a:solidFill>
                  </a:rPr>
                  <a:t>2</a:t>
                </a:r>
                <a:r>
                  <a:rPr lang="en-US" sz="2400" b="1" i="0" u="none" strike="noStrike" kern="1200" baseline="0">
                    <a:solidFill>
                      <a:schemeClr val="tx1"/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829152"/>
        <c:crosses val="autoZero"/>
        <c:crossBetween val="midCat"/>
      </c:valAx>
      <c:valAx>
        <c:axId val="102482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 i="0" u="none" strike="noStrike" kern="1200" baseline="0">
                    <a:solidFill>
                      <a:schemeClr val="tx1"/>
                    </a:solidFill>
                  </a:rPr>
                  <a:t>Current density @ 1.8 V (A/cm</a:t>
                </a:r>
                <a:r>
                  <a:rPr lang="en-US" sz="2400" b="1" i="0" u="none" strike="noStrike" kern="1200" baseline="30000">
                    <a:solidFill>
                      <a:schemeClr val="tx1"/>
                    </a:solidFill>
                  </a:rPr>
                  <a:t>2</a:t>
                </a:r>
                <a:r>
                  <a:rPr lang="en-US" sz="2400" b="1" i="0" u="none" strike="noStrike" kern="1200" baseline="0">
                    <a:solidFill>
                      <a:schemeClr val="tx1"/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037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'Anode Record'!$Q$1</c:f>
              <c:strCache>
                <c:ptCount val="1"/>
                <c:pt idx="0">
                  <c:v>XRF alloy method Fe:Ni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519466652819675"/>
                  <c:y val="-0.17117204868004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'Anode Record'!$N$2:$N$384</c:f>
              <c:numCache>
                <c:formatCode>0.00</c:formatCode>
                <c:ptCount val="383"/>
                <c:pt idx="56" formatCode="General">
                  <c:v>3.1709999999999998</c:v>
                </c:pt>
                <c:pt idx="60" formatCode="General">
                  <c:v>5.657</c:v>
                </c:pt>
                <c:pt idx="62" formatCode="General">
                  <c:v>5.8</c:v>
                </c:pt>
                <c:pt idx="65" formatCode="General">
                  <c:v>3.6</c:v>
                </c:pt>
                <c:pt idx="66" formatCode="General">
                  <c:v>4.1669999999999998</c:v>
                </c:pt>
                <c:pt idx="83" formatCode="General">
                  <c:v>4.6749999999999998</c:v>
                </c:pt>
                <c:pt idx="86" formatCode="General">
                  <c:v>2.1709999999999998</c:v>
                </c:pt>
                <c:pt idx="87" formatCode="General">
                  <c:v>2.9569999999999999</c:v>
                </c:pt>
                <c:pt idx="88" formatCode="General">
                  <c:v>2.2290000000000001</c:v>
                </c:pt>
                <c:pt idx="89" formatCode="General">
                  <c:v>2.843</c:v>
                </c:pt>
                <c:pt idx="90" formatCode="General">
                  <c:v>3.18</c:v>
                </c:pt>
                <c:pt idx="91" formatCode="General">
                  <c:v>4.3710000000000004</c:v>
                </c:pt>
                <c:pt idx="95" formatCode="General">
                  <c:v>3.18</c:v>
                </c:pt>
                <c:pt idx="98" formatCode="General">
                  <c:v>3</c:v>
                </c:pt>
                <c:pt idx="99" formatCode="General">
                  <c:v>2.5299999999999998</c:v>
                </c:pt>
                <c:pt idx="101" formatCode="General">
                  <c:v>4.0599999999999996</c:v>
                </c:pt>
                <c:pt idx="102" formatCode="General">
                  <c:v>2.96</c:v>
                </c:pt>
                <c:pt idx="103">
                  <c:v>0</c:v>
                </c:pt>
                <c:pt idx="104">
                  <c:v>4.6669999999999998</c:v>
                </c:pt>
                <c:pt idx="106">
                  <c:v>5.5</c:v>
                </c:pt>
                <c:pt idx="114">
                  <c:v>6.55</c:v>
                </c:pt>
                <c:pt idx="119">
                  <c:v>9.3249999999999993</c:v>
                </c:pt>
                <c:pt idx="122">
                  <c:v>3.964</c:v>
                </c:pt>
                <c:pt idx="123">
                  <c:v>4.3890000000000002</c:v>
                </c:pt>
                <c:pt idx="125">
                  <c:v>3.1120000000000001</c:v>
                </c:pt>
                <c:pt idx="128">
                  <c:v>3.56</c:v>
                </c:pt>
                <c:pt idx="133">
                  <c:v>3.56</c:v>
                </c:pt>
                <c:pt idx="138">
                  <c:v>3.56</c:v>
                </c:pt>
                <c:pt idx="146">
                  <c:v>4.5380000000000003</c:v>
                </c:pt>
                <c:pt idx="151">
                  <c:v>3.7709999999999999</c:v>
                </c:pt>
                <c:pt idx="155">
                  <c:v>4.9279999999999999</c:v>
                </c:pt>
                <c:pt idx="156">
                  <c:v>4.8070000000000004</c:v>
                </c:pt>
                <c:pt idx="159">
                  <c:v>4.5129999999999999</c:v>
                </c:pt>
                <c:pt idx="160">
                  <c:v>3.8610000000000002</c:v>
                </c:pt>
                <c:pt idx="162">
                  <c:v>4.0670000000000002</c:v>
                </c:pt>
                <c:pt idx="164">
                  <c:v>4.55</c:v>
                </c:pt>
                <c:pt idx="165">
                  <c:v>3.4420000000000002</c:v>
                </c:pt>
                <c:pt idx="168">
                  <c:v>3.9390000000000001</c:v>
                </c:pt>
                <c:pt idx="169">
                  <c:v>2.97</c:v>
                </c:pt>
                <c:pt idx="171">
                  <c:v>4.258</c:v>
                </c:pt>
                <c:pt idx="172">
                  <c:v>2.95</c:v>
                </c:pt>
                <c:pt idx="173">
                  <c:v>2.569</c:v>
                </c:pt>
                <c:pt idx="174">
                  <c:v>3.0310000000000001</c:v>
                </c:pt>
                <c:pt idx="175">
                  <c:v>3.625</c:v>
                </c:pt>
                <c:pt idx="176">
                  <c:v>2.5249999999999999</c:v>
                </c:pt>
                <c:pt idx="177">
                  <c:v>3.7290000000000001</c:v>
                </c:pt>
                <c:pt idx="190">
                  <c:v>2.7170000000000001</c:v>
                </c:pt>
                <c:pt idx="191">
                  <c:v>2.83</c:v>
                </c:pt>
                <c:pt idx="194">
                  <c:v>0.63333333333331909</c:v>
                </c:pt>
                <c:pt idx="195">
                  <c:v>0.94999999999999596</c:v>
                </c:pt>
                <c:pt idx="196">
                  <c:v>0.83333333333333526</c:v>
                </c:pt>
                <c:pt idx="197">
                  <c:v>1.8000000000000029</c:v>
                </c:pt>
                <c:pt idx="198">
                  <c:v>1.5250000000000055</c:v>
                </c:pt>
                <c:pt idx="199">
                  <c:v>1.2333333333333396</c:v>
                </c:pt>
                <c:pt idx="200">
                  <c:v>1.87777777777777</c:v>
                </c:pt>
                <c:pt idx="201">
                  <c:v>2.3333333333333259</c:v>
                </c:pt>
                <c:pt idx="202">
                  <c:v>4.5916666666666677</c:v>
                </c:pt>
                <c:pt idx="204">
                  <c:v>3.6389999999999998</c:v>
                </c:pt>
                <c:pt idx="216">
                  <c:v>3.6389999999999998</c:v>
                </c:pt>
                <c:pt idx="218">
                  <c:v>0</c:v>
                </c:pt>
                <c:pt idx="222">
                  <c:v>3.35</c:v>
                </c:pt>
                <c:pt idx="224" formatCode="0.000">
                  <c:v>3.3222222222222264</c:v>
                </c:pt>
                <c:pt idx="225" formatCode="0.000">
                  <c:v>3.1694444444444394</c:v>
                </c:pt>
                <c:pt idx="226" formatCode="0.000">
                  <c:v>4.613333333333328</c:v>
                </c:pt>
                <c:pt idx="227" formatCode="0.000">
                  <c:v>3.927</c:v>
                </c:pt>
                <c:pt idx="233" formatCode="0.000">
                  <c:v>2.0609999999999999</c:v>
                </c:pt>
                <c:pt idx="236">
                  <c:v>3.25</c:v>
                </c:pt>
                <c:pt idx="242" formatCode="0.000">
                  <c:v>0</c:v>
                </c:pt>
                <c:pt idx="244">
                  <c:v>0</c:v>
                </c:pt>
                <c:pt idx="245">
                  <c:v>2.52</c:v>
                </c:pt>
                <c:pt idx="247">
                  <c:v>2.25</c:v>
                </c:pt>
                <c:pt idx="248">
                  <c:v>1.6</c:v>
                </c:pt>
                <c:pt idx="249">
                  <c:v>4.22</c:v>
                </c:pt>
                <c:pt idx="250">
                  <c:v>2.2799999999999998</c:v>
                </c:pt>
                <c:pt idx="251">
                  <c:v>0</c:v>
                </c:pt>
                <c:pt idx="253">
                  <c:v>0</c:v>
                </c:pt>
                <c:pt idx="266">
                  <c:v>0</c:v>
                </c:pt>
                <c:pt idx="270">
                  <c:v>2.2833333333333297</c:v>
                </c:pt>
                <c:pt idx="271">
                  <c:v>3.72</c:v>
                </c:pt>
                <c:pt idx="272">
                  <c:v>3.98</c:v>
                </c:pt>
                <c:pt idx="276">
                  <c:v>3.0667248572683308</c:v>
                </c:pt>
                <c:pt idx="279">
                  <c:v>3.55</c:v>
                </c:pt>
                <c:pt idx="282">
                  <c:v>0</c:v>
                </c:pt>
                <c:pt idx="285">
                  <c:v>3.1638888888888888</c:v>
                </c:pt>
                <c:pt idx="296">
                  <c:v>2.8393939393939398</c:v>
                </c:pt>
                <c:pt idx="303">
                  <c:v>3.3646464646464573</c:v>
                </c:pt>
                <c:pt idx="310">
                  <c:v>3.2999999999999976</c:v>
                </c:pt>
                <c:pt idx="317">
                  <c:v>3.4999999999999964</c:v>
                </c:pt>
                <c:pt idx="324">
                  <c:v>3.6303030303030255</c:v>
                </c:pt>
                <c:pt idx="331">
                  <c:v>3.0857142857142859</c:v>
                </c:pt>
                <c:pt idx="339">
                  <c:v>2.9633333333333343</c:v>
                </c:pt>
                <c:pt idx="357">
                  <c:v>2.083333333333333</c:v>
                </c:pt>
                <c:pt idx="358">
                  <c:v>2.6923789173789179</c:v>
                </c:pt>
                <c:pt idx="359">
                  <c:v>2.2864102564102589</c:v>
                </c:pt>
                <c:pt idx="361">
                  <c:v>2.7333333333333378</c:v>
                </c:pt>
                <c:pt idx="362">
                  <c:v>3.7869463869463864</c:v>
                </c:pt>
                <c:pt idx="376">
                  <c:v>4.0969038208168653</c:v>
                </c:pt>
                <c:pt idx="380">
                  <c:v>5.25</c:v>
                </c:pt>
              </c:numCache>
            </c:numRef>
          </c:xVal>
          <c:yVal>
            <c:numRef>
              <c:f>'Anode Record'!$Q$2:$Q$384</c:f>
              <c:numCache>
                <c:formatCode>General</c:formatCode>
                <c:ptCount val="383"/>
                <c:pt idx="0">
                  <c:v>0.30919999999999997</c:v>
                </c:pt>
                <c:pt idx="12">
                  <c:v>0.2238</c:v>
                </c:pt>
                <c:pt idx="25">
                  <c:v>0.32400000000000001</c:v>
                </c:pt>
                <c:pt idx="65">
                  <c:v>0.2346</c:v>
                </c:pt>
                <c:pt idx="171" formatCode="0.0000">
                  <c:v>0.25439850618049958</c:v>
                </c:pt>
                <c:pt idx="177" formatCode="0.0000">
                  <c:v>5.0485356539011789E-2</c:v>
                </c:pt>
                <c:pt idx="222">
                  <c:v>1.7149874771008024E-2</c:v>
                </c:pt>
                <c:pt idx="236" formatCode="0.0000000">
                  <c:v>4.4234207402762217E-2</c:v>
                </c:pt>
                <c:pt idx="237" formatCode="0.0000000">
                  <c:v>3.4893519626304347E-2</c:v>
                </c:pt>
                <c:pt idx="238" formatCode="0.0000000">
                  <c:v>3.8632738796401507E-2</c:v>
                </c:pt>
                <c:pt idx="239" formatCode="0.0000000">
                  <c:v>3.5239589720140914E-2</c:v>
                </c:pt>
                <c:pt idx="240" formatCode="0.0000000">
                  <c:v>4.1669278833093015E-2</c:v>
                </c:pt>
                <c:pt idx="251" formatCode="0.000000">
                  <c:v>3.8454434276616961E-2</c:v>
                </c:pt>
                <c:pt idx="253">
                  <c:v>3.3900413647249092E-2</c:v>
                </c:pt>
                <c:pt idx="254">
                  <c:v>2.7417577324365804E-2</c:v>
                </c:pt>
                <c:pt idx="255">
                  <c:v>4.3202831324670433E-2</c:v>
                </c:pt>
                <c:pt idx="256">
                  <c:v>2.4563565413842678E-2</c:v>
                </c:pt>
                <c:pt idx="257">
                  <c:v>3.9832898172323758E-2</c:v>
                </c:pt>
                <c:pt idx="258">
                  <c:v>5.7451186317165698E-2</c:v>
                </c:pt>
                <c:pt idx="259">
                  <c:v>3.4825922274684791E-2</c:v>
                </c:pt>
                <c:pt idx="260">
                  <c:v>3.9722598811137766E-2</c:v>
                </c:pt>
                <c:pt idx="261">
                  <c:v>0.56235584843492581</c:v>
                </c:pt>
                <c:pt idx="262">
                  <c:v>0.30035790980672866</c:v>
                </c:pt>
                <c:pt idx="263">
                  <c:v>0.25013262599469493</c:v>
                </c:pt>
                <c:pt idx="264">
                  <c:v>0.39985673352435525</c:v>
                </c:pt>
                <c:pt idx="272" formatCode="0.00000">
                  <c:v>0.53825534517996043</c:v>
                </c:pt>
                <c:pt idx="276" formatCode="0.000000">
                  <c:v>5.4506518789451945E-2</c:v>
                </c:pt>
                <c:pt idx="282" formatCode="0.000000">
                  <c:v>6.0745457995351269E-2</c:v>
                </c:pt>
                <c:pt idx="285" formatCode="0.000000">
                  <c:v>6.6641226835841547E-2</c:v>
                </c:pt>
                <c:pt idx="293" formatCode="0.00000">
                  <c:v>9.3559165555949578E-2</c:v>
                </c:pt>
                <c:pt idx="294" formatCode="0.00000">
                  <c:v>0.13671204667658163</c:v>
                </c:pt>
                <c:pt idx="295" formatCode="0.00000">
                  <c:v>8.7784837861524981E-2</c:v>
                </c:pt>
                <c:pt idx="296" formatCode="0.00000">
                  <c:v>7.4434280599294494E-2</c:v>
                </c:pt>
                <c:pt idx="297" formatCode="0.00000">
                  <c:v>6.0265894714270407E-2</c:v>
                </c:pt>
                <c:pt idx="298" formatCode="0.00000">
                  <c:v>6.2043795620437964E-2</c:v>
                </c:pt>
                <c:pt idx="299" formatCode="0.00000">
                  <c:v>7.6716808371484632E-2</c:v>
                </c:pt>
                <c:pt idx="300" formatCode="0.00000">
                  <c:v>5.8399400042854079E-2</c:v>
                </c:pt>
                <c:pt idx="301" formatCode="0.00000">
                  <c:v>6.2559190701678855E-2</c:v>
                </c:pt>
                <c:pt idx="302" formatCode="0.00000">
                  <c:v>6.5280620489066035E-2</c:v>
                </c:pt>
                <c:pt idx="304" formatCode="0.00000">
                  <c:v>9.8379578246392915E-2</c:v>
                </c:pt>
                <c:pt idx="305" formatCode="0.00000">
                  <c:v>0.11491681654676261</c:v>
                </c:pt>
                <c:pt idx="306" formatCode="0.00000">
                  <c:v>0.12694978936582035</c:v>
                </c:pt>
                <c:pt idx="307" formatCode="0.00000">
                  <c:v>0.1281613123718387</c:v>
                </c:pt>
                <c:pt idx="308" formatCode="0.00000">
                  <c:v>8.7312369891530628E-2</c:v>
                </c:pt>
                <c:pt idx="309" formatCode="0.00000">
                  <c:v>0.10776362823949956</c:v>
                </c:pt>
                <c:pt idx="311" formatCode="0.00000">
                  <c:v>8.5971459934138308E-2</c:v>
                </c:pt>
                <c:pt idx="312" formatCode="0.00000">
                  <c:v>7.6799999999999993E-2</c:v>
                </c:pt>
                <c:pt idx="313" formatCode="0.00000">
                  <c:v>7.4300000000000005E-2</c:v>
                </c:pt>
                <c:pt idx="314" formatCode="0.00000">
                  <c:v>7.0699999999999999E-2</c:v>
                </c:pt>
                <c:pt idx="315" formatCode="0.00000">
                  <c:v>6.6027780768816616E-2</c:v>
                </c:pt>
                <c:pt idx="316" formatCode="0.00000">
                  <c:v>6.1440000000000002E-2</c:v>
                </c:pt>
                <c:pt idx="318" formatCode="0.00000">
                  <c:v>0.11458</c:v>
                </c:pt>
                <c:pt idx="319" formatCode="0.00000">
                  <c:v>9.6681833314837415E-2</c:v>
                </c:pt>
                <c:pt idx="320" formatCode="0.00000">
                  <c:v>8.0436919716002184E-2</c:v>
                </c:pt>
                <c:pt idx="321" formatCode="0.00000">
                  <c:v>9.267646084170994E-2</c:v>
                </c:pt>
                <c:pt idx="322" formatCode="0.00000">
                  <c:v>0.10897680152415107</c:v>
                </c:pt>
                <c:pt idx="323" formatCode="0.00000">
                  <c:v>8.5054824561403508E-2</c:v>
                </c:pt>
                <c:pt idx="325" formatCode="0.00000">
                  <c:v>0.11874222373034725</c:v>
                </c:pt>
                <c:pt idx="326" formatCode="0.00000">
                  <c:v>0.10402632165960295</c:v>
                </c:pt>
                <c:pt idx="327" formatCode="0.00000">
                  <c:v>8.2662877131613466E-2</c:v>
                </c:pt>
                <c:pt idx="328" formatCode="0.00000">
                  <c:v>9.4635335845710489E-2</c:v>
                </c:pt>
                <c:pt idx="329" formatCode="0.00000">
                  <c:v>8.8560722944677095E-2</c:v>
                </c:pt>
                <c:pt idx="330" formatCode="0.00000">
                  <c:v>0.11123709025594972</c:v>
                </c:pt>
                <c:pt idx="331" formatCode="0.00000">
                  <c:v>1.726958187504943E-4</c:v>
                </c:pt>
                <c:pt idx="332" formatCode="0.00000">
                  <c:v>7.5313078514646636E-2</c:v>
                </c:pt>
                <c:pt idx="333" formatCode="0.00000">
                  <c:v>4.9430431244914565E-3</c:v>
                </c:pt>
                <c:pt idx="334" formatCode="0.00000">
                  <c:v>6.5397886564589183E-2</c:v>
                </c:pt>
                <c:pt idx="335" formatCode="0.00000">
                  <c:v>9.8933333333333331E-2</c:v>
                </c:pt>
                <c:pt idx="336" formatCode="0.00000">
                  <c:v>0.12734935641872649</c:v>
                </c:pt>
                <c:pt idx="337" formatCode="0.00000">
                  <c:v>0.11894343045006237</c:v>
                </c:pt>
                <c:pt idx="339" formatCode="0.00000">
                  <c:v>5.2762929661226934E-2</c:v>
                </c:pt>
                <c:pt idx="341" formatCode="0.00000">
                  <c:v>5.0999999999999997E-2</c:v>
                </c:pt>
                <c:pt idx="342" formatCode="0.00000">
                  <c:v>3.6999999999999998E-2</c:v>
                </c:pt>
                <c:pt idx="343" formatCode="0.00000">
                  <c:v>3.099E-2</c:v>
                </c:pt>
                <c:pt idx="344" formatCode="0.00000">
                  <c:v>2.6859999999999998E-2</c:v>
                </c:pt>
                <c:pt idx="345" formatCode="0.00000">
                  <c:v>0.34010000000000001</c:v>
                </c:pt>
                <c:pt idx="346" formatCode="0.00000">
                  <c:v>0.34010000000000001</c:v>
                </c:pt>
                <c:pt idx="347" formatCode="0.00000">
                  <c:v>0.34010000000000001</c:v>
                </c:pt>
                <c:pt idx="348" formatCode="0.00000">
                  <c:v>0.34010000000000001</c:v>
                </c:pt>
                <c:pt idx="357" formatCode="0.00000">
                  <c:v>2.7064400468249698E-2</c:v>
                </c:pt>
                <c:pt idx="358" formatCode="0.00000">
                  <c:v>3.6387884635754687E-2</c:v>
                </c:pt>
                <c:pt idx="359" formatCode="0.00000">
                  <c:v>3.5930242289882931E-2</c:v>
                </c:pt>
                <c:pt idx="361" formatCode="0.00000">
                  <c:v>4.1905212392119008E-2</c:v>
                </c:pt>
                <c:pt idx="362" formatCode="0.00000">
                  <c:v>4.7431369120475603E-2</c:v>
                </c:pt>
                <c:pt idx="364" formatCode="0.00000">
                  <c:v>4.251767434232695E-2</c:v>
                </c:pt>
                <c:pt idx="365" formatCode="0.00000">
                  <c:v>5.0458627130877065E-2</c:v>
                </c:pt>
                <c:pt idx="366" formatCode="0.00000">
                  <c:v>4.9201395362751095E-2</c:v>
                </c:pt>
                <c:pt idx="367" formatCode="0.00000">
                  <c:v>4.3095967463694623E-2</c:v>
                </c:pt>
                <c:pt idx="368" formatCode="0.00000">
                  <c:v>4.5261580067294888E-2</c:v>
                </c:pt>
                <c:pt idx="369" formatCode="0.00000">
                  <c:v>4.6284340587241096E-2</c:v>
                </c:pt>
                <c:pt idx="370" formatCode="0.00000">
                  <c:v>4.9741602067183463E-2</c:v>
                </c:pt>
                <c:pt idx="371" formatCode="0.00000">
                  <c:v>5.4496431403647898E-2</c:v>
                </c:pt>
                <c:pt idx="372" formatCode="0.00000">
                  <c:v>6.3186080500112013E-2</c:v>
                </c:pt>
                <c:pt idx="373" formatCode="0.00000">
                  <c:v>4.9896268837473813E-2</c:v>
                </c:pt>
                <c:pt idx="374" formatCode="0.00000">
                  <c:v>6.6231752312710543E-2</c:v>
                </c:pt>
                <c:pt idx="376">
                  <c:v>0.10048</c:v>
                </c:pt>
                <c:pt idx="377" formatCode="0.00000">
                  <c:v>9.4967298525662353E-2</c:v>
                </c:pt>
                <c:pt idx="378" formatCode="0.00000">
                  <c:v>0.11393304024349002</c:v>
                </c:pt>
                <c:pt idx="380" formatCode="0.00000">
                  <c:v>0.10563310593546545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7B-49CE-A43C-7C93C715C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6730431"/>
        <c:axId val="14681775"/>
      </c:scatterChart>
      <c:valAx>
        <c:axId val="2006730431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Catalyst loading (mg/cm2)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1775"/>
        <c:crosses val="autoZero"/>
        <c:crossBetween val="midCat"/>
      </c:valAx>
      <c:valAx>
        <c:axId val="1468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Fe:Ni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730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'Anode Record'!$P$2:$P$335</c:f>
              <c:numCache>
                <c:formatCode>0.000</c:formatCode>
                <c:ptCount val="334"/>
                <c:pt idx="0">
                  <c:v>1.2185846560846652</c:v>
                </c:pt>
                <c:pt idx="1">
                  <c:v>1.1274005486968368</c:v>
                </c:pt>
                <c:pt idx="2">
                  <c:v>1.2612612612612684</c:v>
                </c:pt>
                <c:pt idx="3">
                  <c:v>1.3311247026843267</c:v>
                </c:pt>
                <c:pt idx="4">
                  <c:v>1.2844036697247674</c:v>
                </c:pt>
                <c:pt idx="5">
                  <c:v>1.6938498131158586</c:v>
                </c:pt>
                <c:pt idx="7">
                  <c:v>#N/A</c:v>
                </c:pt>
                <c:pt idx="9">
                  <c:v>#N/A</c:v>
                </c:pt>
                <c:pt idx="12">
                  <c:v>1.1040000000000001</c:v>
                </c:pt>
                <c:pt idx="13">
                  <c:v>1.1200000000000001</c:v>
                </c:pt>
                <c:pt idx="14">
                  <c:v>#N/A</c:v>
                </c:pt>
                <c:pt idx="16">
                  <c:v>1.2184146763586057</c:v>
                </c:pt>
                <c:pt idx="17">
                  <c:v>1.3145252860511922</c:v>
                </c:pt>
                <c:pt idx="18">
                  <c:v>1.3727737612413995</c:v>
                </c:pt>
                <c:pt idx="20">
                  <c:v>1.3715818622360685</c:v>
                </c:pt>
                <c:pt idx="21">
                  <c:v>1.5023146126299138</c:v>
                </c:pt>
                <c:pt idx="22">
                  <c:v>1.5809327846364891</c:v>
                </c:pt>
                <c:pt idx="23">
                  <c:v>1.5707070707070583</c:v>
                </c:pt>
                <c:pt idx="25">
                  <c:v>1.1896296296296203</c:v>
                </c:pt>
                <c:pt idx="29">
                  <c:v>1.0379446640316168</c:v>
                </c:pt>
                <c:pt idx="36">
                  <c:v>1.49</c:v>
                </c:pt>
                <c:pt idx="39">
                  <c:v>1.7635860159224588</c:v>
                </c:pt>
                <c:pt idx="40">
                  <c:v>1.8449290411907278</c:v>
                </c:pt>
                <c:pt idx="41">
                  <c:v>1.4901960784313726</c:v>
                </c:pt>
                <c:pt idx="42">
                  <c:v>1.8310834198684725</c:v>
                </c:pt>
                <c:pt idx="43">
                  <c:v>2.0413237311385553</c:v>
                </c:pt>
                <c:pt idx="44">
                  <c:v>0</c:v>
                </c:pt>
                <c:pt idx="46">
                  <c:v>0.19</c:v>
                </c:pt>
                <c:pt idx="47">
                  <c:v>0.49</c:v>
                </c:pt>
                <c:pt idx="48">
                  <c:v>2.8490000000000002</c:v>
                </c:pt>
                <c:pt idx="51">
                  <c:v>1.4183266932270948</c:v>
                </c:pt>
                <c:pt idx="52">
                  <c:v>1.6064257028112463</c:v>
                </c:pt>
                <c:pt idx="53">
                  <c:v>1.1680000000000135</c:v>
                </c:pt>
                <c:pt idx="54">
                  <c:v>1.6800000000000102</c:v>
                </c:pt>
                <c:pt idx="57">
                  <c:v>3.235294117647042</c:v>
                </c:pt>
                <c:pt idx="61">
                  <c:v>1.1120000000000019</c:v>
                </c:pt>
                <c:pt idx="65">
                  <c:v>#N/A</c:v>
                </c:pt>
                <c:pt idx="66">
                  <c:v>#N/A</c:v>
                </c:pt>
                <c:pt idx="68">
                  <c:v>1.186363636363637</c:v>
                </c:pt>
                <c:pt idx="72">
                  <c:v>1.1068244170095964</c:v>
                </c:pt>
                <c:pt idx="73">
                  <c:v>1.087746625129804</c:v>
                </c:pt>
                <c:pt idx="74">
                  <c:v>1.1000170677590015</c:v>
                </c:pt>
                <c:pt idx="75">
                  <c:v>1.0620155038759724</c:v>
                </c:pt>
                <c:pt idx="79">
                  <c:v>1.1651234567901187</c:v>
                </c:pt>
                <c:pt idx="80">
                  <c:v>1.17</c:v>
                </c:pt>
                <c:pt idx="81">
                  <c:v>1.744324970131419</c:v>
                </c:pt>
                <c:pt idx="82">
                  <c:v>1.247554879374045</c:v>
                </c:pt>
                <c:pt idx="94">
                  <c:v>1.1076658053402129</c:v>
                </c:pt>
                <c:pt idx="96">
                  <c:v>1.17</c:v>
                </c:pt>
                <c:pt idx="97">
                  <c:v>1.17</c:v>
                </c:pt>
                <c:pt idx="122">
                  <c:v>-1.3480000000000001</c:v>
                </c:pt>
                <c:pt idx="123">
                  <c:v>1.125</c:v>
                </c:pt>
                <c:pt idx="129">
                  <c:v>1.353</c:v>
                </c:pt>
                <c:pt idx="130">
                  <c:v>#N/A</c:v>
                </c:pt>
                <c:pt idx="131">
                  <c:v>1.08</c:v>
                </c:pt>
                <c:pt idx="133">
                  <c:v>1.0884</c:v>
                </c:pt>
                <c:pt idx="138">
                  <c:v>1.0668</c:v>
                </c:pt>
                <c:pt idx="143">
                  <c:v>1.0469999999999999</c:v>
                </c:pt>
                <c:pt idx="144">
                  <c:v>1.121</c:v>
                </c:pt>
                <c:pt idx="147">
                  <c:v>2.3722222222222444</c:v>
                </c:pt>
                <c:pt idx="148">
                  <c:v>1.5147975077881597</c:v>
                </c:pt>
                <c:pt idx="168">
                  <c:v>1.4960562414266125</c:v>
                </c:pt>
                <c:pt idx="169">
                  <c:v>1.427469135802462</c:v>
                </c:pt>
                <c:pt idx="171">
                  <c:v>1.45</c:v>
                </c:pt>
                <c:pt idx="172">
                  <c:v>1.1325883418906675</c:v>
                </c:pt>
                <c:pt idx="173">
                  <c:v>1.1023859861069223</c:v>
                </c:pt>
                <c:pt idx="174">
                  <c:v>1.9268115062507634</c:v>
                </c:pt>
                <c:pt idx="175">
                  <c:v>1.3742071881606712</c:v>
                </c:pt>
                <c:pt idx="176">
                  <c:v>1.1174871639987949</c:v>
                </c:pt>
                <c:pt idx="177">
                  <c:v>1.2080942313500518</c:v>
                </c:pt>
                <c:pt idx="190">
                  <c:v>1.087284808215039</c:v>
                </c:pt>
                <c:pt idx="191">
                  <c:v>1.2080942313500409</c:v>
                </c:pt>
                <c:pt idx="204">
                  <c:v>1.07</c:v>
                </c:pt>
                <c:pt idx="216">
                  <c:v>1.1399999999999999</c:v>
                </c:pt>
                <c:pt idx="218">
                  <c:v>1.1759999999999999</c:v>
                </c:pt>
                <c:pt idx="219">
                  <c:v>1.0610999999999999</c:v>
                </c:pt>
                <c:pt idx="223">
                  <c:v>1.6000000000000014</c:v>
                </c:pt>
                <c:pt idx="224">
                  <c:v>1.0537716242718715</c:v>
                </c:pt>
                <c:pt idx="225">
                  <c:v>1.3132706774468115</c:v>
                </c:pt>
                <c:pt idx="226">
                  <c:v>1.3652946574453309</c:v>
                </c:pt>
                <c:pt idx="227">
                  <c:v>1.196</c:v>
                </c:pt>
                <c:pt idx="233">
                  <c:v>1.169</c:v>
                </c:pt>
                <c:pt idx="237" formatCode="General">
                  <c:v>1.4410000000000001</c:v>
                </c:pt>
                <c:pt idx="238" formatCode="General">
                  <c:v>1.4582999999999999</c:v>
                </c:pt>
                <c:pt idx="239" formatCode="General">
                  <c:v>1.3889</c:v>
                </c:pt>
                <c:pt idx="240" formatCode="General">
                  <c:v>1.0417000000000001</c:v>
                </c:pt>
                <c:pt idx="244">
                  <c:v>0.63227953410982118</c:v>
                </c:pt>
                <c:pt idx="245">
                  <c:v>1.1080000000000001</c:v>
                </c:pt>
                <c:pt idx="247">
                  <c:v>1.05</c:v>
                </c:pt>
                <c:pt idx="248">
                  <c:v>1.196</c:v>
                </c:pt>
                <c:pt idx="249">
                  <c:v>1.6559999999999999</c:v>
                </c:pt>
                <c:pt idx="250">
                  <c:v>1.0469999999999999</c:v>
                </c:pt>
                <c:pt idx="251">
                  <c:v>1.151</c:v>
                </c:pt>
                <c:pt idx="253" formatCode="0.0000">
                  <c:v>1.3889</c:v>
                </c:pt>
                <c:pt idx="254" formatCode="0.0000">
                  <c:v>1.3193999999999999</c:v>
                </c:pt>
                <c:pt idx="255" formatCode="0.0000">
                  <c:v>0.85070000000000001</c:v>
                </c:pt>
                <c:pt idx="256" formatCode="0.0000">
                  <c:v>0.9375</c:v>
                </c:pt>
                <c:pt idx="257" formatCode="0.0000">
                  <c:v>1.0243</c:v>
                </c:pt>
                <c:pt idx="258" formatCode="0.0000">
                  <c:v>1.2153</c:v>
                </c:pt>
                <c:pt idx="259" formatCode="0.0000">
                  <c:v>1.1632</c:v>
                </c:pt>
                <c:pt idx="260" formatCode="0.0000">
                  <c:v>1.0243</c:v>
                </c:pt>
                <c:pt idx="261">
                  <c:v>0.86809999999999998</c:v>
                </c:pt>
                <c:pt idx="262" formatCode="0.0000">
                  <c:v>0.86809999999999998</c:v>
                </c:pt>
                <c:pt idx="263" formatCode="0.0000">
                  <c:v>1.0764</c:v>
                </c:pt>
                <c:pt idx="264" formatCode="0.0000">
                  <c:v>0.88539999999999996</c:v>
                </c:pt>
                <c:pt idx="266">
                  <c:v>0.92800000000000005</c:v>
                </c:pt>
                <c:pt idx="267">
                  <c:v>1.0880000000000001</c:v>
                </c:pt>
                <c:pt idx="268">
                  <c:v>0.55000000000000004</c:v>
                </c:pt>
                <c:pt idx="269">
                  <c:v>1.36</c:v>
                </c:pt>
                <c:pt idx="270">
                  <c:v>1.93</c:v>
                </c:pt>
                <c:pt idx="271">
                  <c:v>1.07</c:v>
                </c:pt>
                <c:pt idx="272">
                  <c:v>1.07</c:v>
                </c:pt>
                <c:pt idx="273">
                  <c:v>1.048</c:v>
                </c:pt>
                <c:pt idx="276">
                  <c:v>1.0209999999999999</c:v>
                </c:pt>
                <c:pt idx="279">
                  <c:v>1.26</c:v>
                </c:pt>
                <c:pt idx="282">
                  <c:v>1.046</c:v>
                </c:pt>
                <c:pt idx="285">
                  <c:v>1.6180000000000001</c:v>
                </c:pt>
                <c:pt idx="288">
                  <c:v>1.4400000000000011</c:v>
                </c:pt>
                <c:pt idx="291">
                  <c:v>1.2319999999999887</c:v>
                </c:pt>
                <c:pt idx="293">
                  <c:v>1.306</c:v>
                </c:pt>
                <c:pt idx="297">
                  <c:v>1.28</c:v>
                </c:pt>
                <c:pt idx="298">
                  <c:v>2.528</c:v>
                </c:pt>
                <c:pt idx="299">
                  <c:v>1.8720000000000001</c:v>
                </c:pt>
                <c:pt idx="300">
                  <c:v>1.405</c:v>
                </c:pt>
                <c:pt idx="301">
                  <c:v>1.9790000000000001</c:v>
                </c:pt>
                <c:pt idx="304">
                  <c:v>0.92010000000000003</c:v>
                </c:pt>
                <c:pt idx="305">
                  <c:v>1.0417000000000001</c:v>
                </c:pt>
                <c:pt idx="306">
                  <c:v>0.90280000000000005</c:v>
                </c:pt>
                <c:pt idx="307">
                  <c:v>1.0764</c:v>
                </c:pt>
                <c:pt idx="308">
                  <c:v>1.2847</c:v>
                </c:pt>
                <c:pt idx="309">
                  <c:v>1.6146</c:v>
                </c:pt>
                <c:pt idx="311">
                  <c:v>0.85070000000000001</c:v>
                </c:pt>
                <c:pt idx="312">
                  <c:v>1.712</c:v>
                </c:pt>
                <c:pt idx="313">
                  <c:v>1.367</c:v>
                </c:pt>
                <c:pt idx="314">
                  <c:v>1.4810000000000001</c:v>
                </c:pt>
                <c:pt idx="315">
                  <c:v>0.92010000000000003</c:v>
                </c:pt>
                <c:pt idx="316">
                  <c:v>1.216</c:v>
                </c:pt>
                <c:pt idx="318">
                  <c:v>1.2</c:v>
                </c:pt>
                <c:pt idx="319">
                  <c:v>1.264</c:v>
                </c:pt>
                <c:pt idx="320">
                  <c:v>1.4236</c:v>
                </c:pt>
                <c:pt idx="321">
                  <c:v>1.1979</c:v>
                </c:pt>
                <c:pt idx="322">
                  <c:v>1.2669999999999999</c:v>
                </c:pt>
                <c:pt idx="323">
                  <c:v>1.2669999999999999</c:v>
                </c:pt>
                <c:pt idx="325">
                  <c:v>1.0417000000000001</c:v>
                </c:pt>
                <c:pt idx="326">
                  <c:v>1.1167</c:v>
                </c:pt>
                <c:pt idx="327">
                  <c:v>1.0243</c:v>
                </c:pt>
                <c:pt idx="328">
                  <c:v>1.2153</c:v>
                </c:pt>
                <c:pt idx="329">
                  <c:v>1.3542000000000001</c:v>
                </c:pt>
                <c:pt idx="330">
                  <c:v>2.3784999999999998</c:v>
                </c:pt>
                <c:pt idx="332">
                  <c:v>2.1875</c:v>
                </c:pt>
                <c:pt idx="333">
                  <c:v>1.7882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0A-4A03-98D0-CC7FFE5D31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496160"/>
        <c:axId val="244715968"/>
      </c:scatterChart>
      <c:valAx>
        <c:axId val="481496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715968"/>
        <c:crosses val="autoZero"/>
        <c:crossBetween val="midCat"/>
      </c:valAx>
      <c:valAx>
        <c:axId val="24471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496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075343662078211"/>
          <c:y val="5.0925925925925923E-2"/>
          <c:w val="0.84042726448762239"/>
          <c:h val="0.7712809857101196"/>
        </c:manualLayout>
      </c:layout>
      <c:scatterChart>
        <c:scatterStyle val="lineMarker"/>
        <c:varyColors val="0"/>
        <c:ser>
          <c:idx val="0"/>
          <c:order val="0"/>
          <c:tx>
            <c:strRef>
              <c:f>'Ionomer loading impact'!$Z$1</c:f>
              <c:strCache>
                <c:ptCount val="1"/>
                <c:pt idx="0">
                  <c:v>HFR DIW/ mOhm cm2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rgbClr val="0070C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'Ionomer loading impact'!$N$2:$N$254</c:f>
              <c:numCache>
                <c:formatCode>0.00</c:formatCode>
                <c:ptCount val="253"/>
                <c:pt idx="0">
                  <c:v>1.2185846560846652</c:v>
                </c:pt>
                <c:pt idx="1">
                  <c:v>1.1274005486968368</c:v>
                </c:pt>
                <c:pt idx="2">
                  <c:v>1.2612612612612684</c:v>
                </c:pt>
                <c:pt idx="3">
                  <c:v>1.3311247026843267</c:v>
                </c:pt>
                <c:pt idx="4">
                  <c:v>1.2844036697247674</c:v>
                </c:pt>
                <c:pt idx="5">
                  <c:v>1.6938498131158586</c:v>
                </c:pt>
                <c:pt idx="12">
                  <c:v>1.1040000000000001</c:v>
                </c:pt>
                <c:pt idx="13">
                  <c:v>1.1200000000000001</c:v>
                </c:pt>
                <c:pt idx="16">
                  <c:v>1.2184146763586057</c:v>
                </c:pt>
                <c:pt idx="17">
                  <c:v>1.3145252860511922</c:v>
                </c:pt>
                <c:pt idx="18">
                  <c:v>1.3727737612413995</c:v>
                </c:pt>
                <c:pt idx="20">
                  <c:v>1.3715818622360685</c:v>
                </c:pt>
                <c:pt idx="21">
                  <c:v>1.5023146126299138</c:v>
                </c:pt>
                <c:pt idx="22">
                  <c:v>1.5809327846364891</c:v>
                </c:pt>
                <c:pt idx="23">
                  <c:v>1.5707070707070583</c:v>
                </c:pt>
                <c:pt idx="25">
                  <c:v>1.1896296296296203</c:v>
                </c:pt>
                <c:pt idx="29">
                  <c:v>1.0379446640316168</c:v>
                </c:pt>
                <c:pt idx="36">
                  <c:v>1.49</c:v>
                </c:pt>
                <c:pt idx="39">
                  <c:v>1.7635860159224588</c:v>
                </c:pt>
                <c:pt idx="40">
                  <c:v>1.8449290411907278</c:v>
                </c:pt>
                <c:pt idx="41">
                  <c:v>1.4901960784313726</c:v>
                </c:pt>
                <c:pt idx="42">
                  <c:v>1.8310834198684725</c:v>
                </c:pt>
                <c:pt idx="43">
                  <c:v>2.0413237311385553</c:v>
                </c:pt>
                <c:pt idx="46">
                  <c:v>0.19</c:v>
                </c:pt>
                <c:pt idx="47">
                  <c:v>0.49</c:v>
                </c:pt>
                <c:pt idx="48">
                  <c:v>2.8490000000000002</c:v>
                </c:pt>
                <c:pt idx="51">
                  <c:v>1.4183266932270948</c:v>
                </c:pt>
                <c:pt idx="52">
                  <c:v>1.6064257028112463</c:v>
                </c:pt>
                <c:pt idx="53">
                  <c:v>1.1680000000000135</c:v>
                </c:pt>
                <c:pt idx="54">
                  <c:v>1.6800000000000102</c:v>
                </c:pt>
                <c:pt idx="57">
                  <c:v>3.235294117647042</c:v>
                </c:pt>
                <c:pt idx="61">
                  <c:v>1.1120000000000019</c:v>
                </c:pt>
                <c:pt idx="68">
                  <c:v>1.186363636363637</c:v>
                </c:pt>
                <c:pt idx="71">
                  <c:v>1.0891509034435936</c:v>
                </c:pt>
                <c:pt idx="72">
                  <c:v>1.1068244170095964</c:v>
                </c:pt>
                <c:pt idx="73">
                  <c:v>1.087746625129804</c:v>
                </c:pt>
                <c:pt idx="74">
                  <c:v>1.1000170677590015</c:v>
                </c:pt>
                <c:pt idx="75">
                  <c:v>1.0620155038759724</c:v>
                </c:pt>
                <c:pt idx="79">
                  <c:v>1.1651234567901187</c:v>
                </c:pt>
                <c:pt idx="80">
                  <c:v>1.17</c:v>
                </c:pt>
                <c:pt idx="81">
                  <c:v>1.744324970131419</c:v>
                </c:pt>
                <c:pt idx="82">
                  <c:v>1.247554879374045</c:v>
                </c:pt>
                <c:pt idx="94">
                  <c:v>1.1076658053402129</c:v>
                </c:pt>
                <c:pt idx="96">
                  <c:v>1.17</c:v>
                </c:pt>
                <c:pt idx="97">
                  <c:v>1.17</c:v>
                </c:pt>
                <c:pt idx="122">
                  <c:v>-1.3480000000000001</c:v>
                </c:pt>
                <c:pt idx="123">
                  <c:v>1.125</c:v>
                </c:pt>
                <c:pt idx="129">
                  <c:v>1.353</c:v>
                </c:pt>
                <c:pt idx="131">
                  <c:v>1.08</c:v>
                </c:pt>
                <c:pt idx="133">
                  <c:v>1.0884</c:v>
                </c:pt>
                <c:pt idx="138">
                  <c:v>1.0668</c:v>
                </c:pt>
                <c:pt idx="143">
                  <c:v>1.0469999999999999</c:v>
                </c:pt>
                <c:pt idx="144">
                  <c:v>1.121</c:v>
                </c:pt>
                <c:pt idx="147">
                  <c:v>2.3722222222222444</c:v>
                </c:pt>
                <c:pt idx="148">
                  <c:v>1.5147975077881597</c:v>
                </c:pt>
                <c:pt idx="168">
                  <c:v>1.4960562414266125</c:v>
                </c:pt>
                <c:pt idx="169">
                  <c:v>1.427469135802462</c:v>
                </c:pt>
                <c:pt idx="171">
                  <c:v>1.45</c:v>
                </c:pt>
                <c:pt idx="172">
                  <c:v>1.1325883418906675</c:v>
                </c:pt>
                <c:pt idx="173">
                  <c:v>1.1023859861069223</c:v>
                </c:pt>
                <c:pt idx="175">
                  <c:v>1.3742071881606712</c:v>
                </c:pt>
                <c:pt idx="176">
                  <c:v>1.1174871639987949</c:v>
                </c:pt>
                <c:pt idx="177">
                  <c:v>1.2080942313500518</c:v>
                </c:pt>
                <c:pt idx="178">
                  <c:v>1.087284808215039</c:v>
                </c:pt>
                <c:pt idx="179">
                  <c:v>1.2080942313500409</c:v>
                </c:pt>
                <c:pt idx="192">
                  <c:v>1.07</c:v>
                </c:pt>
                <c:pt idx="204">
                  <c:v>1.1399999999999999</c:v>
                </c:pt>
                <c:pt idx="206">
                  <c:v>1.1759999999999999</c:v>
                </c:pt>
                <c:pt idx="207">
                  <c:v>1.0610999999999999</c:v>
                </c:pt>
                <c:pt idx="211">
                  <c:v>1.6000000000000014</c:v>
                </c:pt>
                <c:pt idx="212">
                  <c:v>1.0537716242718715</c:v>
                </c:pt>
                <c:pt idx="213">
                  <c:v>1.3132706774468115</c:v>
                </c:pt>
                <c:pt idx="214">
                  <c:v>1.3652946574453309</c:v>
                </c:pt>
                <c:pt idx="215">
                  <c:v>1.196</c:v>
                </c:pt>
                <c:pt idx="221">
                  <c:v>1.169</c:v>
                </c:pt>
                <c:pt idx="229" formatCode="0.000">
                  <c:v>1.1080000000000001</c:v>
                </c:pt>
                <c:pt idx="231" formatCode="0.000">
                  <c:v>1.05</c:v>
                </c:pt>
                <c:pt idx="232" formatCode="0.000">
                  <c:v>1.196</c:v>
                </c:pt>
                <c:pt idx="233" formatCode="0.000">
                  <c:v>1.6559999999999999</c:v>
                </c:pt>
                <c:pt idx="234" formatCode="0.000">
                  <c:v>1.0469999999999999</c:v>
                </c:pt>
                <c:pt idx="235">
                  <c:v>1.151</c:v>
                </c:pt>
                <c:pt idx="239">
                  <c:v>0.55000000000000004</c:v>
                </c:pt>
                <c:pt idx="240">
                  <c:v>1.36</c:v>
                </c:pt>
                <c:pt idx="241">
                  <c:v>1.93</c:v>
                </c:pt>
                <c:pt idx="242">
                  <c:v>1.07</c:v>
                </c:pt>
                <c:pt idx="243">
                  <c:v>1.07</c:v>
                </c:pt>
                <c:pt idx="246">
                  <c:v>1.26</c:v>
                </c:pt>
                <c:pt idx="249">
                  <c:v>1.4400000000000011</c:v>
                </c:pt>
                <c:pt idx="252">
                  <c:v>1.2319999999999887</c:v>
                </c:pt>
              </c:numCache>
            </c:numRef>
          </c:xVal>
          <c:yVal>
            <c:numRef>
              <c:f>'Ionomer loading impact'!$Z$2:$Z$254</c:f>
              <c:numCache>
                <c:formatCode>General</c:formatCode>
                <c:ptCount val="253"/>
                <c:pt idx="68">
                  <c:v>166.3</c:v>
                </c:pt>
                <c:pt idx="69">
                  <c:v>160.4</c:v>
                </c:pt>
                <c:pt idx="71">
                  <c:v>125.5</c:v>
                </c:pt>
                <c:pt idx="79">
                  <c:v>122.6</c:v>
                </c:pt>
                <c:pt idx="135">
                  <c:v>130</c:v>
                </c:pt>
                <c:pt idx="136">
                  <c:v>174.1</c:v>
                </c:pt>
                <c:pt idx="137">
                  <c:v>239.2</c:v>
                </c:pt>
                <c:pt idx="237">
                  <c:v>163.9</c:v>
                </c:pt>
                <c:pt idx="238">
                  <c:v>120.1</c:v>
                </c:pt>
                <c:pt idx="241">
                  <c:v>169.38</c:v>
                </c:pt>
                <c:pt idx="249">
                  <c:v>128.80000000000001</c:v>
                </c:pt>
                <c:pt idx="252">
                  <c:v>95.63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31-4D1C-B5FD-D040CF9748F9}"/>
            </c:ext>
          </c:extLst>
        </c:ser>
        <c:ser>
          <c:idx val="1"/>
          <c:order val="1"/>
          <c:tx>
            <c:strRef>
              <c:f>'Ionomer loading impact'!$AA$1</c:f>
              <c:strCache>
                <c:ptCount val="1"/>
                <c:pt idx="0">
                  <c:v>HFR 10 mM KOH/ mOhm cm2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4877971638437281E-2"/>
                  <c:y val="0.120409879704263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'Ionomer loading impact'!$N$2:$N$254</c:f>
              <c:numCache>
                <c:formatCode>0.00</c:formatCode>
                <c:ptCount val="253"/>
                <c:pt idx="0">
                  <c:v>1.2185846560846652</c:v>
                </c:pt>
                <c:pt idx="1">
                  <c:v>1.1274005486968368</c:v>
                </c:pt>
                <c:pt idx="2">
                  <c:v>1.2612612612612684</c:v>
                </c:pt>
                <c:pt idx="3">
                  <c:v>1.3311247026843267</c:v>
                </c:pt>
                <c:pt idx="4">
                  <c:v>1.2844036697247674</c:v>
                </c:pt>
                <c:pt idx="5">
                  <c:v>1.6938498131158586</c:v>
                </c:pt>
                <c:pt idx="12">
                  <c:v>1.1040000000000001</c:v>
                </c:pt>
                <c:pt idx="13">
                  <c:v>1.1200000000000001</c:v>
                </c:pt>
                <c:pt idx="16">
                  <c:v>1.2184146763586057</c:v>
                </c:pt>
                <c:pt idx="17">
                  <c:v>1.3145252860511922</c:v>
                </c:pt>
                <c:pt idx="18">
                  <c:v>1.3727737612413995</c:v>
                </c:pt>
                <c:pt idx="20">
                  <c:v>1.3715818622360685</c:v>
                </c:pt>
                <c:pt idx="21">
                  <c:v>1.5023146126299138</c:v>
                </c:pt>
                <c:pt idx="22">
                  <c:v>1.5809327846364891</c:v>
                </c:pt>
                <c:pt idx="23">
                  <c:v>1.5707070707070583</c:v>
                </c:pt>
                <c:pt idx="25">
                  <c:v>1.1896296296296203</c:v>
                </c:pt>
                <c:pt idx="29">
                  <c:v>1.0379446640316168</c:v>
                </c:pt>
                <c:pt idx="36">
                  <c:v>1.49</c:v>
                </c:pt>
                <c:pt idx="39">
                  <c:v>1.7635860159224588</c:v>
                </c:pt>
                <c:pt idx="40">
                  <c:v>1.8449290411907278</c:v>
                </c:pt>
                <c:pt idx="41">
                  <c:v>1.4901960784313726</c:v>
                </c:pt>
                <c:pt idx="42">
                  <c:v>1.8310834198684725</c:v>
                </c:pt>
                <c:pt idx="43">
                  <c:v>2.0413237311385553</c:v>
                </c:pt>
                <c:pt idx="46">
                  <c:v>0.19</c:v>
                </c:pt>
                <c:pt idx="47">
                  <c:v>0.49</c:v>
                </c:pt>
                <c:pt idx="48">
                  <c:v>2.8490000000000002</c:v>
                </c:pt>
                <c:pt idx="51">
                  <c:v>1.4183266932270948</c:v>
                </c:pt>
                <c:pt idx="52">
                  <c:v>1.6064257028112463</c:v>
                </c:pt>
                <c:pt idx="53">
                  <c:v>1.1680000000000135</c:v>
                </c:pt>
                <c:pt idx="54">
                  <c:v>1.6800000000000102</c:v>
                </c:pt>
                <c:pt idx="57">
                  <c:v>3.235294117647042</c:v>
                </c:pt>
                <c:pt idx="61">
                  <c:v>1.1120000000000019</c:v>
                </c:pt>
                <c:pt idx="68">
                  <c:v>1.186363636363637</c:v>
                </c:pt>
                <c:pt idx="71">
                  <c:v>1.0891509034435936</c:v>
                </c:pt>
                <c:pt idx="72">
                  <c:v>1.1068244170095964</c:v>
                </c:pt>
                <c:pt idx="73">
                  <c:v>1.087746625129804</c:v>
                </c:pt>
                <c:pt idx="74">
                  <c:v>1.1000170677590015</c:v>
                </c:pt>
                <c:pt idx="75">
                  <c:v>1.0620155038759724</c:v>
                </c:pt>
                <c:pt idx="79">
                  <c:v>1.1651234567901187</c:v>
                </c:pt>
                <c:pt idx="80">
                  <c:v>1.17</c:v>
                </c:pt>
                <c:pt idx="81">
                  <c:v>1.744324970131419</c:v>
                </c:pt>
                <c:pt idx="82">
                  <c:v>1.247554879374045</c:v>
                </c:pt>
                <c:pt idx="94">
                  <c:v>1.1076658053402129</c:v>
                </c:pt>
                <c:pt idx="96">
                  <c:v>1.17</c:v>
                </c:pt>
                <c:pt idx="97">
                  <c:v>1.17</c:v>
                </c:pt>
                <c:pt idx="122">
                  <c:v>-1.3480000000000001</c:v>
                </c:pt>
                <c:pt idx="123">
                  <c:v>1.125</c:v>
                </c:pt>
                <c:pt idx="129">
                  <c:v>1.353</c:v>
                </c:pt>
                <c:pt idx="131">
                  <c:v>1.08</c:v>
                </c:pt>
                <c:pt idx="133">
                  <c:v>1.0884</c:v>
                </c:pt>
                <c:pt idx="138">
                  <c:v>1.0668</c:v>
                </c:pt>
                <c:pt idx="143">
                  <c:v>1.0469999999999999</c:v>
                </c:pt>
                <c:pt idx="144">
                  <c:v>1.121</c:v>
                </c:pt>
                <c:pt idx="147">
                  <c:v>2.3722222222222444</c:v>
                </c:pt>
                <c:pt idx="148">
                  <c:v>1.5147975077881597</c:v>
                </c:pt>
                <c:pt idx="168">
                  <c:v>1.4960562414266125</c:v>
                </c:pt>
                <c:pt idx="169">
                  <c:v>1.427469135802462</c:v>
                </c:pt>
                <c:pt idx="171">
                  <c:v>1.45</c:v>
                </c:pt>
                <c:pt idx="172">
                  <c:v>1.1325883418906675</c:v>
                </c:pt>
                <c:pt idx="173">
                  <c:v>1.1023859861069223</c:v>
                </c:pt>
                <c:pt idx="175">
                  <c:v>1.3742071881606712</c:v>
                </c:pt>
                <c:pt idx="176">
                  <c:v>1.1174871639987949</c:v>
                </c:pt>
                <c:pt idx="177">
                  <c:v>1.2080942313500518</c:v>
                </c:pt>
                <c:pt idx="178">
                  <c:v>1.087284808215039</c:v>
                </c:pt>
                <c:pt idx="179">
                  <c:v>1.2080942313500409</c:v>
                </c:pt>
                <c:pt idx="192">
                  <c:v>1.07</c:v>
                </c:pt>
                <c:pt idx="204">
                  <c:v>1.1399999999999999</c:v>
                </c:pt>
                <c:pt idx="206">
                  <c:v>1.1759999999999999</c:v>
                </c:pt>
                <c:pt idx="207">
                  <c:v>1.0610999999999999</c:v>
                </c:pt>
                <c:pt idx="211">
                  <c:v>1.6000000000000014</c:v>
                </c:pt>
                <c:pt idx="212">
                  <c:v>1.0537716242718715</c:v>
                </c:pt>
                <c:pt idx="213">
                  <c:v>1.3132706774468115</c:v>
                </c:pt>
                <c:pt idx="214">
                  <c:v>1.3652946574453309</c:v>
                </c:pt>
                <c:pt idx="215">
                  <c:v>1.196</c:v>
                </c:pt>
                <c:pt idx="221">
                  <c:v>1.169</c:v>
                </c:pt>
                <c:pt idx="229" formatCode="0.000">
                  <c:v>1.1080000000000001</c:v>
                </c:pt>
                <c:pt idx="231" formatCode="0.000">
                  <c:v>1.05</c:v>
                </c:pt>
                <c:pt idx="232" formatCode="0.000">
                  <c:v>1.196</c:v>
                </c:pt>
                <c:pt idx="233" formatCode="0.000">
                  <c:v>1.6559999999999999</c:v>
                </c:pt>
                <c:pt idx="234" formatCode="0.000">
                  <c:v>1.0469999999999999</c:v>
                </c:pt>
                <c:pt idx="235">
                  <c:v>1.151</c:v>
                </c:pt>
                <c:pt idx="239">
                  <c:v>0.55000000000000004</c:v>
                </c:pt>
                <c:pt idx="240">
                  <c:v>1.36</c:v>
                </c:pt>
                <c:pt idx="241">
                  <c:v>1.93</c:v>
                </c:pt>
                <c:pt idx="242">
                  <c:v>1.07</c:v>
                </c:pt>
                <c:pt idx="243">
                  <c:v>1.07</c:v>
                </c:pt>
                <c:pt idx="246">
                  <c:v>1.26</c:v>
                </c:pt>
                <c:pt idx="249">
                  <c:v>1.4400000000000011</c:v>
                </c:pt>
                <c:pt idx="252">
                  <c:v>1.2319999999999887</c:v>
                </c:pt>
              </c:numCache>
            </c:numRef>
          </c:xVal>
          <c:yVal>
            <c:numRef>
              <c:f>'Ionomer loading impact'!$AA$2:$AA$254</c:f>
              <c:numCache>
                <c:formatCode>General</c:formatCode>
                <c:ptCount val="253"/>
                <c:pt idx="68">
                  <c:v>98.1</c:v>
                </c:pt>
                <c:pt idx="69">
                  <c:v>96.8</c:v>
                </c:pt>
                <c:pt idx="79">
                  <c:v>85</c:v>
                </c:pt>
                <c:pt idx="136">
                  <c:v>104.2</c:v>
                </c:pt>
                <c:pt idx="137">
                  <c:v>134.4</c:v>
                </c:pt>
                <c:pt idx="237">
                  <c:v>79.5</c:v>
                </c:pt>
                <c:pt idx="238">
                  <c:v>88.7</c:v>
                </c:pt>
                <c:pt idx="241">
                  <c:v>107.08</c:v>
                </c:pt>
                <c:pt idx="249">
                  <c:v>89.9</c:v>
                </c:pt>
                <c:pt idx="252">
                  <c:v>82.34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31-4D1C-B5FD-D040CF974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3456576"/>
        <c:axId val="2118511840"/>
      </c:scatterChart>
      <c:valAx>
        <c:axId val="205345657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Ionomer loading (mg/cm</a:t>
                </a:r>
                <a:r>
                  <a:rPr lang="en-US" baseline="30000"/>
                  <a:t>2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511840"/>
        <c:crosses val="autoZero"/>
        <c:crossBetween val="midCat"/>
      </c:valAx>
      <c:valAx>
        <c:axId val="211851184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HFR (mohms.cm</a:t>
                </a:r>
                <a:r>
                  <a:rPr lang="en-US" baseline="30000"/>
                  <a:t>2</a:t>
                </a:r>
                <a:r>
                  <a:rPr lang="en-US"/>
                  <a:t>)</a:t>
                </a:r>
              </a:p>
            </c:rich>
          </c:tx>
          <c:layout>
            <c:manualLayout>
              <c:xMode val="edge"/>
              <c:yMode val="edge"/>
              <c:x val="9.8795766536377005E-3"/>
              <c:y val="0.350450875960946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456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12257324062010237"/>
          <c:y val="6.3972390191557552E-2"/>
          <c:w val="0.48653687286391356"/>
          <c:h val="0.15527699921487714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075343662078211"/>
          <c:y val="5.0925925925925923E-2"/>
          <c:w val="0.84042726448762239"/>
          <c:h val="0.7712809857101196"/>
        </c:manualLayout>
      </c:layout>
      <c:scatterChart>
        <c:scatterStyle val="lineMarker"/>
        <c:varyColors val="0"/>
        <c:ser>
          <c:idx val="0"/>
          <c:order val="0"/>
          <c:tx>
            <c:strRef>
              <c:f>'Ionomer loading impact'!$Z$1</c:f>
              <c:strCache>
                <c:ptCount val="1"/>
                <c:pt idx="0">
                  <c:v>HFR DIW/ mOhm cm2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rgbClr val="0070C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'Ionomer loading impact'!$AD$2:$AD$254</c:f>
              <c:strCache>
                <c:ptCount val="247"/>
                <c:pt idx="16">
                  <c:v>0.28</c:v>
                </c:pt>
                <c:pt idx="17">
                  <c:v>0.265</c:v>
                </c:pt>
                <c:pt idx="18">
                  <c:v>0.264</c:v>
                </c:pt>
                <c:pt idx="20">
                  <c:v>0.262</c:v>
                </c:pt>
                <c:pt idx="21">
                  <c:v>0.278</c:v>
                </c:pt>
                <c:pt idx="22">
                  <c:v>0.273</c:v>
                </c:pt>
                <c:pt idx="23">
                  <c:v>0.276</c:v>
                </c:pt>
                <c:pt idx="29">
                  <c:v>0.27</c:v>
                </c:pt>
                <c:pt idx="39">
                  <c:v>0.27</c:v>
                </c:pt>
                <c:pt idx="40">
                  <c:v>0.273</c:v>
                </c:pt>
                <c:pt idx="46">
                  <c:v>0.269</c:v>
                </c:pt>
                <c:pt idx="72">
                  <c:v>0.28</c:v>
                </c:pt>
                <c:pt idx="74">
                  <c:v>0.284</c:v>
                </c:pt>
                <c:pt idx="75">
                  <c:v>0.295</c:v>
                </c:pt>
                <c:pt idx="79">
                  <c:v>0.285</c:v>
                </c:pt>
                <c:pt idx="80">
                  <c:v>0.265</c:v>
                </c:pt>
                <c:pt idx="81">
                  <c:v>0.272</c:v>
                </c:pt>
                <c:pt idx="82">
                  <c:v>0.263</c:v>
                </c:pt>
                <c:pt idx="94">
                  <c:v>0.262</c:v>
                </c:pt>
                <c:pt idx="96">
                  <c:v>0.253</c:v>
                </c:pt>
                <c:pt idx="97">
                  <c:v>0.254</c:v>
                </c:pt>
                <c:pt idx="168">
                  <c:v>0.284</c:v>
                </c:pt>
                <c:pt idx="169">
                  <c:v>0.281</c:v>
                </c:pt>
                <c:pt idx="172">
                  <c:v>0.284</c:v>
                </c:pt>
                <c:pt idx="173">
                  <c:v>0.285</c:v>
                </c:pt>
                <c:pt idx="174">
                  <c:v>0.276</c:v>
                </c:pt>
                <c:pt idx="175">
                  <c:v>0.274</c:v>
                </c:pt>
                <c:pt idx="176">
                  <c:v>0.293</c:v>
                </c:pt>
                <c:pt idx="177">
                  <c:v>0.267</c:v>
                </c:pt>
                <c:pt idx="178">
                  <c:v>0.269</c:v>
                </c:pt>
                <c:pt idx="179">
                  <c:v>0.284</c:v>
                </c:pt>
                <c:pt idx="192">
                  <c:v>0.264</c:v>
                </c:pt>
                <c:pt idx="204">
                  <c:v>0.257</c:v>
                </c:pt>
                <c:pt idx="206">
                  <c:v>0.277</c:v>
                </c:pt>
                <c:pt idx="207">
                  <c:v>0.269</c:v>
                </c:pt>
                <c:pt idx="212">
                  <c:v>0.276</c:v>
                </c:pt>
                <c:pt idx="213">
                  <c:v>0.295</c:v>
                </c:pt>
                <c:pt idx="214">
                  <c:v>0.296</c:v>
                </c:pt>
                <c:pt idx="215">
                  <c:v>0.285</c:v>
                </c:pt>
                <c:pt idx="218">
                  <c:v>0.296</c:v>
                </c:pt>
                <c:pt idx="219">
                  <c:v>0.294</c:v>
                </c:pt>
                <c:pt idx="220">
                  <c:v>0.292</c:v>
                </c:pt>
                <c:pt idx="221">
                  <c:v>0.267</c:v>
                </c:pt>
                <c:pt idx="226">
                  <c:v>0.265</c:v>
                </c:pt>
                <c:pt idx="227">
                  <c:v>0.272</c:v>
                </c:pt>
                <c:pt idx="228">
                  <c:v>N/A</c:v>
                </c:pt>
                <c:pt idx="229">
                  <c:v>0.27</c:v>
                </c:pt>
                <c:pt idx="231">
                  <c:v>0.270 + 0.003</c:v>
                </c:pt>
                <c:pt idx="232">
                  <c:v>0.262 + 0.004</c:v>
                </c:pt>
                <c:pt idx="233">
                  <c:v>0.296 + 0.006</c:v>
                </c:pt>
                <c:pt idx="234">
                  <c:v>0.270 + 0.005</c:v>
                </c:pt>
                <c:pt idx="235">
                  <c:v>0.264 + 0.004</c:v>
                </c:pt>
                <c:pt idx="237">
                  <c:v>N/A</c:v>
                </c:pt>
                <c:pt idx="241">
                  <c:v>0.264 + 0.004</c:v>
                </c:pt>
                <c:pt idx="242">
                  <c:v>0.283 + 0.003</c:v>
                </c:pt>
                <c:pt idx="243">
                  <c:v>0.283 + 0.003</c:v>
                </c:pt>
                <c:pt idx="246">
                  <c:v>0.295 + 0.003</c:v>
                </c:pt>
              </c:strCache>
            </c:strRef>
          </c:xVal>
          <c:yVal>
            <c:numRef>
              <c:f>'Ionomer loading impact'!$Z$2:$Z$254</c:f>
              <c:numCache>
                <c:formatCode>General</c:formatCode>
                <c:ptCount val="253"/>
                <c:pt idx="68">
                  <c:v>166.3</c:v>
                </c:pt>
                <c:pt idx="69">
                  <c:v>160.4</c:v>
                </c:pt>
                <c:pt idx="71">
                  <c:v>125.5</c:v>
                </c:pt>
                <c:pt idx="79">
                  <c:v>122.6</c:v>
                </c:pt>
                <c:pt idx="135">
                  <c:v>130</c:v>
                </c:pt>
                <c:pt idx="136">
                  <c:v>174.1</c:v>
                </c:pt>
                <c:pt idx="137">
                  <c:v>239.2</c:v>
                </c:pt>
                <c:pt idx="237">
                  <c:v>163.9</c:v>
                </c:pt>
                <c:pt idx="238">
                  <c:v>120.1</c:v>
                </c:pt>
                <c:pt idx="241">
                  <c:v>169.38</c:v>
                </c:pt>
                <c:pt idx="249">
                  <c:v>128.80000000000001</c:v>
                </c:pt>
                <c:pt idx="252">
                  <c:v>95.63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D8-4CE9-8954-51507132B5D9}"/>
            </c:ext>
          </c:extLst>
        </c:ser>
        <c:ser>
          <c:idx val="1"/>
          <c:order val="1"/>
          <c:tx>
            <c:strRef>
              <c:f>'Ionomer loading impact'!$AA$1</c:f>
              <c:strCache>
                <c:ptCount val="1"/>
                <c:pt idx="0">
                  <c:v>HFR 10 mM KOH/ mOhm cm2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'Ionomer loading impact'!$AD$2:$AD$254</c:f>
              <c:strCache>
                <c:ptCount val="247"/>
                <c:pt idx="16">
                  <c:v>0.28</c:v>
                </c:pt>
                <c:pt idx="17">
                  <c:v>0.265</c:v>
                </c:pt>
                <c:pt idx="18">
                  <c:v>0.264</c:v>
                </c:pt>
                <c:pt idx="20">
                  <c:v>0.262</c:v>
                </c:pt>
                <c:pt idx="21">
                  <c:v>0.278</c:v>
                </c:pt>
                <c:pt idx="22">
                  <c:v>0.273</c:v>
                </c:pt>
                <c:pt idx="23">
                  <c:v>0.276</c:v>
                </c:pt>
                <c:pt idx="29">
                  <c:v>0.27</c:v>
                </c:pt>
                <c:pt idx="39">
                  <c:v>0.27</c:v>
                </c:pt>
                <c:pt idx="40">
                  <c:v>0.273</c:v>
                </c:pt>
                <c:pt idx="46">
                  <c:v>0.269</c:v>
                </c:pt>
                <c:pt idx="72">
                  <c:v>0.28</c:v>
                </c:pt>
                <c:pt idx="74">
                  <c:v>0.284</c:v>
                </c:pt>
                <c:pt idx="75">
                  <c:v>0.295</c:v>
                </c:pt>
                <c:pt idx="79">
                  <c:v>0.285</c:v>
                </c:pt>
                <c:pt idx="80">
                  <c:v>0.265</c:v>
                </c:pt>
                <c:pt idx="81">
                  <c:v>0.272</c:v>
                </c:pt>
                <c:pt idx="82">
                  <c:v>0.263</c:v>
                </c:pt>
                <c:pt idx="94">
                  <c:v>0.262</c:v>
                </c:pt>
                <c:pt idx="96">
                  <c:v>0.253</c:v>
                </c:pt>
                <c:pt idx="97">
                  <c:v>0.254</c:v>
                </c:pt>
                <c:pt idx="168">
                  <c:v>0.284</c:v>
                </c:pt>
                <c:pt idx="169">
                  <c:v>0.281</c:v>
                </c:pt>
                <c:pt idx="172">
                  <c:v>0.284</c:v>
                </c:pt>
                <c:pt idx="173">
                  <c:v>0.285</c:v>
                </c:pt>
                <c:pt idx="174">
                  <c:v>0.276</c:v>
                </c:pt>
                <c:pt idx="175">
                  <c:v>0.274</c:v>
                </c:pt>
                <c:pt idx="176">
                  <c:v>0.293</c:v>
                </c:pt>
                <c:pt idx="177">
                  <c:v>0.267</c:v>
                </c:pt>
                <c:pt idx="178">
                  <c:v>0.269</c:v>
                </c:pt>
                <c:pt idx="179">
                  <c:v>0.284</c:v>
                </c:pt>
                <c:pt idx="192">
                  <c:v>0.264</c:v>
                </c:pt>
                <c:pt idx="204">
                  <c:v>0.257</c:v>
                </c:pt>
                <c:pt idx="206">
                  <c:v>0.277</c:v>
                </c:pt>
                <c:pt idx="207">
                  <c:v>0.269</c:v>
                </c:pt>
                <c:pt idx="212">
                  <c:v>0.276</c:v>
                </c:pt>
                <c:pt idx="213">
                  <c:v>0.295</c:v>
                </c:pt>
                <c:pt idx="214">
                  <c:v>0.296</c:v>
                </c:pt>
                <c:pt idx="215">
                  <c:v>0.285</c:v>
                </c:pt>
                <c:pt idx="218">
                  <c:v>0.296</c:v>
                </c:pt>
                <c:pt idx="219">
                  <c:v>0.294</c:v>
                </c:pt>
                <c:pt idx="220">
                  <c:v>0.292</c:v>
                </c:pt>
                <c:pt idx="221">
                  <c:v>0.267</c:v>
                </c:pt>
                <c:pt idx="226">
                  <c:v>0.265</c:v>
                </c:pt>
                <c:pt idx="227">
                  <c:v>0.272</c:v>
                </c:pt>
                <c:pt idx="228">
                  <c:v>N/A</c:v>
                </c:pt>
                <c:pt idx="229">
                  <c:v>0.27</c:v>
                </c:pt>
                <c:pt idx="231">
                  <c:v>0.270 + 0.003</c:v>
                </c:pt>
                <c:pt idx="232">
                  <c:v>0.262 + 0.004</c:v>
                </c:pt>
                <c:pt idx="233">
                  <c:v>0.296 + 0.006</c:v>
                </c:pt>
                <c:pt idx="234">
                  <c:v>0.270 + 0.005</c:v>
                </c:pt>
                <c:pt idx="235">
                  <c:v>0.264 + 0.004</c:v>
                </c:pt>
                <c:pt idx="237">
                  <c:v>N/A</c:v>
                </c:pt>
                <c:pt idx="241">
                  <c:v>0.264 + 0.004</c:v>
                </c:pt>
                <c:pt idx="242">
                  <c:v>0.283 + 0.003</c:v>
                </c:pt>
                <c:pt idx="243">
                  <c:v>0.283 + 0.003</c:v>
                </c:pt>
                <c:pt idx="246">
                  <c:v>0.295 + 0.003</c:v>
                </c:pt>
              </c:strCache>
            </c:strRef>
          </c:xVal>
          <c:yVal>
            <c:numRef>
              <c:f>'Ionomer loading impact'!$AA$2:$AA$254</c:f>
              <c:numCache>
                <c:formatCode>General</c:formatCode>
                <c:ptCount val="253"/>
                <c:pt idx="68">
                  <c:v>98.1</c:v>
                </c:pt>
                <c:pt idx="69">
                  <c:v>96.8</c:v>
                </c:pt>
                <c:pt idx="79">
                  <c:v>85</c:v>
                </c:pt>
                <c:pt idx="136">
                  <c:v>104.2</c:v>
                </c:pt>
                <c:pt idx="137">
                  <c:v>134.4</c:v>
                </c:pt>
                <c:pt idx="237">
                  <c:v>79.5</c:v>
                </c:pt>
                <c:pt idx="238">
                  <c:v>88.7</c:v>
                </c:pt>
                <c:pt idx="241">
                  <c:v>107.08</c:v>
                </c:pt>
                <c:pt idx="249">
                  <c:v>89.9</c:v>
                </c:pt>
                <c:pt idx="252">
                  <c:v>82.34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D8-4CE9-8954-51507132B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3456576"/>
        <c:axId val="2118511840"/>
      </c:scatterChart>
      <c:valAx>
        <c:axId val="205345657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Thickness of anode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511840"/>
        <c:crosses val="autoZero"/>
        <c:crossBetween val="midCat"/>
      </c:valAx>
      <c:valAx>
        <c:axId val="211851184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HFR (mohms.cm</a:t>
                </a:r>
                <a:r>
                  <a:rPr lang="en-US" baseline="30000"/>
                  <a:t>2</a:t>
                </a:r>
                <a:r>
                  <a:rPr lang="en-US"/>
                  <a:t>)</a:t>
                </a:r>
              </a:p>
            </c:rich>
          </c:tx>
          <c:layout>
            <c:manualLayout>
              <c:xMode val="edge"/>
              <c:yMode val="edge"/>
              <c:x val="9.8795766536377005E-3"/>
              <c:y val="0.350450875960946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456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12257324062010237"/>
          <c:y val="6.3972390191557552E-2"/>
          <c:w val="0.48653687286391356"/>
          <c:h val="0.15527699921487714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269-baseline anode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55809959748595"/>
          <c:y val="9.4134274359647732E-2"/>
          <c:w val="0.84407315738723454"/>
          <c:h val="0.79061380617987331"/>
        </c:manualLayout>
      </c:layout>
      <c:scatterChart>
        <c:scatterStyle val="smoothMarker"/>
        <c:varyColors val="0"/>
        <c:ser>
          <c:idx val="0"/>
          <c:order val="0"/>
          <c:tx>
            <c:v>269-Fresh anode (Try 1)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'https://versogen.sharepoint.com/sites/Electrolyzer/Shared Documents/600 cm2 AEMEL R&amp;D/Anode/3E test/[3E test_baslineFTA_python_summary.xlsx]Summary-BA'!$E$48:$E$54</c:f>
                <c:numCache>
                  <c:formatCode>General</c:formatCode>
                  <c:ptCount val="7"/>
                  <c:pt idx="0">
                    <c:v>4.4226311589980385E-3</c:v>
                  </c:pt>
                  <c:pt idx="1">
                    <c:v>2.5156589592890913E-3</c:v>
                  </c:pt>
                  <c:pt idx="2">
                    <c:v>1.9264425303554549E-3</c:v>
                  </c:pt>
                  <c:pt idx="3">
                    <c:v>2.3396171479793553E-3</c:v>
                  </c:pt>
                  <c:pt idx="4">
                    <c:v>2.6062959730240899E-3</c:v>
                  </c:pt>
                  <c:pt idx="5">
                    <c:v>3.3102577034395176E-3</c:v>
                  </c:pt>
                  <c:pt idx="6">
                    <c:v>3.917224679197656E-3</c:v>
                  </c:pt>
                </c:numCache>
              </c:numRef>
            </c:plus>
            <c:minus>
              <c:numRef>
                <c:f>'https://versogen.sharepoint.com/sites/Electrolyzer/Shared Documents/600 cm2 AEMEL R&amp;D/Anode/3E test/[3E test_baslineFTA_python_summary.xlsx]Summary-BA'!$E$48:$E$54</c:f>
                <c:numCache>
                  <c:formatCode>General</c:formatCode>
                  <c:ptCount val="7"/>
                  <c:pt idx="0">
                    <c:v>4.4226311589980385E-3</c:v>
                  </c:pt>
                  <c:pt idx="1">
                    <c:v>2.5156589592890913E-3</c:v>
                  </c:pt>
                  <c:pt idx="2">
                    <c:v>1.9264425303554549E-3</c:v>
                  </c:pt>
                  <c:pt idx="3">
                    <c:v>2.3396171479793553E-3</c:v>
                  </c:pt>
                  <c:pt idx="4">
                    <c:v>2.6062959730240899E-3</c:v>
                  </c:pt>
                  <c:pt idx="5">
                    <c:v>3.3102577034395176E-3</c:v>
                  </c:pt>
                  <c:pt idx="6">
                    <c:v>3.917224679197656E-3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'[3]Summary-BA'!$C$48:$C$54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</c:strCache>
            </c:strRef>
          </c:xVal>
          <c:yVal>
            <c:numRef>
              <c:f>'[3]Summary-BA'!$D$48:$D$54</c:f>
              <c:numCache>
                <c:formatCode>General</c:formatCode>
                <c:ptCount val="7"/>
                <c:pt idx="0">
                  <c:v>1.4127872590261468</c:v>
                </c:pt>
                <c:pt idx="1">
                  <c:v>1.4228311428800167</c:v>
                </c:pt>
                <c:pt idx="2">
                  <c:v>1.4357988222967568</c:v>
                </c:pt>
                <c:pt idx="3">
                  <c:v>1.4460955530872901</c:v>
                </c:pt>
                <c:pt idx="4">
                  <c:v>1.45611740384661</c:v>
                </c:pt>
                <c:pt idx="5">
                  <c:v>1.4724101746242535</c:v>
                </c:pt>
                <c:pt idx="6">
                  <c:v>1.4864182388363265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F2-4746-B8F7-33B8B83B9D8D}"/>
            </c:ext>
          </c:extLst>
        </c:ser>
        <c:ser>
          <c:idx val="1"/>
          <c:order val="1"/>
          <c:tx>
            <c:v>269-Used anode (Try 2)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'https://versogen.sharepoint.com/sites/Electrolyzer/Shared Documents/600 cm2 AEMEL R&amp;D/Anode/3E test/[3E test_baslineFTA_python_summary.xlsx]Summary-BA'!$I$48:$I$54</c:f>
                <c:numCache>
                  <c:formatCode>General</c:formatCode>
                  <c:ptCount val="7"/>
                  <c:pt idx="0">
                    <c:v>2.3507853443757885E-3</c:v>
                  </c:pt>
                  <c:pt idx="1">
                    <c:v>2.5152293798800301E-3</c:v>
                  </c:pt>
                  <c:pt idx="2">
                    <c:v>2.7424417565166067E-3</c:v>
                  </c:pt>
                  <c:pt idx="3">
                    <c:v>2.9419323132336378E-3</c:v>
                  </c:pt>
                  <c:pt idx="4">
                    <c:v>3.0928117517683377E-3</c:v>
                  </c:pt>
                  <c:pt idx="5">
                    <c:v>4.1569701234006095E-3</c:v>
                  </c:pt>
                  <c:pt idx="6">
                    <c:v>4.8577365668014735E-3</c:v>
                  </c:pt>
                </c:numCache>
              </c:numRef>
            </c:plus>
            <c:minus>
              <c:numRef>
                <c:f>'https://versogen.sharepoint.com/sites/Electrolyzer/Shared Documents/600 cm2 AEMEL R&amp;D/Anode/3E test/[3E test_baslineFTA_python_summary.xlsx]Summary-BA'!$I$48:$I$54</c:f>
                <c:numCache>
                  <c:formatCode>General</c:formatCode>
                  <c:ptCount val="7"/>
                  <c:pt idx="0">
                    <c:v>2.3507853443757885E-3</c:v>
                  </c:pt>
                  <c:pt idx="1">
                    <c:v>2.5152293798800301E-3</c:v>
                  </c:pt>
                  <c:pt idx="2">
                    <c:v>2.7424417565166067E-3</c:v>
                  </c:pt>
                  <c:pt idx="3">
                    <c:v>2.9419323132336378E-3</c:v>
                  </c:pt>
                  <c:pt idx="4">
                    <c:v>3.0928117517683377E-3</c:v>
                  </c:pt>
                  <c:pt idx="5">
                    <c:v>4.1569701234006095E-3</c:v>
                  </c:pt>
                  <c:pt idx="6">
                    <c:v>4.8577365668014735E-3</c:v>
                  </c:pt>
                </c:numCache>
              </c:numRef>
            </c:minus>
            <c:spPr>
              <a:noFill/>
              <a:ln w="19050" cap="flat" cmpd="sng" algn="ctr">
                <a:solidFill>
                  <a:srgbClr val="C00000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'[3]Summary-BA'!$G$48:$G$54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</c:strCache>
            </c:strRef>
          </c:xVal>
          <c:yVal>
            <c:numRef>
              <c:f>'[3]Summary-BA'!$H$48:$H$54</c:f>
              <c:numCache>
                <c:formatCode>General</c:formatCode>
                <c:ptCount val="7"/>
                <c:pt idx="0">
                  <c:v>1.4137476946676666</c:v>
                </c:pt>
                <c:pt idx="1">
                  <c:v>1.4211845126110134</c:v>
                </c:pt>
                <c:pt idx="2">
                  <c:v>1.4320262225796767</c:v>
                </c:pt>
                <c:pt idx="3">
                  <c:v>1.4413789788671967</c:v>
                </c:pt>
                <c:pt idx="4">
                  <c:v>1.45128409136253</c:v>
                </c:pt>
                <c:pt idx="5">
                  <c:v>1.4677099289161502</c:v>
                </c:pt>
                <c:pt idx="6">
                  <c:v>1.4818158549246967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9F2-4746-B8F7-33B8B83B9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807455"/>
        <c:axId val="1166318368"/>
      </c:scatterChart>
      <c:valAx>
        <c:axId val="1095807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density (mA/cm2)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318368"/>
        <c:crosses val="autoZero"/>
        <c:crossBetween val="midCat"/>
      </c:valAx>
      <c:valAx>
        <c:axId val="116631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Avg. potential (V vs RHE)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8074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824230113047131"/>
          <c:y val="0.67782715833039864"/>
          <c:w val="0.26656207488069705"/>
          <c:h val="0.121049502004041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270.01-baseline anode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41872797660365"/>
          <c:y val="8.9350438077877486E-2"/>
          <c:w val="0.84407315738723454"/>
          <c:h val="0.79061380617987331"/>
        </c:manualLayout>
      </c:layout>
      <c:scatterChart>
        <c:scatterStyle val="smoothMarker"/>
        <c:varyColors val="0"/>
        <c:ser>
          <c:idx val="0"/>
          <c:order val="0"/>
          <c:tx>
            <c:v>270.01-Fresh anode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'https://versogen.sharepoint.com/sites/Electrolyzer/Shared Documents/600 cm2 AEMEL R&amp;D/Anode/3E test/[3E test_baslineFTA_python_summary.xlsx]Summary-BA'!$O$48:$O$54</c:f>
                <c:numCache>
                  <c:formatCode>General</c:formatCode>
                  <c:ptCount val="7"/>
                  <c:pt idx="0">
                    <c:v>2.1350071575369244E-3</c:v>
                  </c:pt>
                  <c:pt idx="1">
                    <c:v>2.3307209849466578E-3</c:v>
                  </c:pt>
                  <c:pt idx="2">
                    <c:v>2.6156035827234287E-3</c:v>
                  </c:pt>
                  <c:pt idx="3">
                    <c:v>2.8930759328795745E-3</c:v>
                  </c:pt>
                  <c:pt idx="4">
                    <c:v>3.2361083763404034E-3</c:v>
                  </c:pt>
                  <c:pt idx="5">
                    <c:v>3.4376999445612671E-3</c:v>
                  </c:pt>
                  <c:pt idx="6">
                    <c:v>4.1319574635006063E-3</c:v>
                  </c:pt>
                </c:numCache>
              </c:numRef>
            </c:plus>
            <c:minus>
              <c:numRef>
                <c:f>'https://versogen.sharepoint.com/sites/Electrolyzer/Shared Documents/600 cm2 AEMEL R&amp;D/Anode/3E test/[3E test_baslineFTA_python_summary.xlsx]Summary-BA'!$O$48:$O$54</c:f>
                <c:numCache>
                  <c:formatCode>General</c:formatCode>
                  <c:ptCount val="7"/>
                  <c:pt idx="0">
                    <c:v>2.1350071575369244E-3</c:v>
                  </c:pt>
                  <c:pt idx="1">
                    <c:v>2.3307209849466578E-3</c:v>
                  </c:pt>
                  <c:pt idx="2">
                    <c:v>2.6156035827234287E-3</c:v>
                  </c:pt>
                  <c:pt idx="3">
                    <c:v>2.8930759328795745E-3</c:v>
                  </c:pt>
                  <c:pt idx="4">
                    <c:v>3.2361083763404034E-3</c:v>
                  </c:pt>
                  <c:pt idx="5">
                    <c:v>3.4376999445612671E-3</c:v>
                  </c:pt>
                  <c:pt idx="6">
                    <c:v>4.1319574635006063E-3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'[3]Summary-BA'!$M$48:$M$54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</c:strCache>
            </c:strRef>
          </c:xVal>
          <c:yVal>
            <c:numRef>
              <c:f>'[3]Summary-BA'!$N$48:$N$54</c:f>
              <c:numCache>
                <c:formatCode>General</c:formatCode>
                <c:ptCount val="7"/>
                <c:pt idx="0">
                  <c:v>1.4186653624082968</c:v>
                </c:pt>
                <c:pt idx="1">
                  <c:v>1.4260505698645467</c:v>
                </c:pt>
                <c:pt idx="2">
                  <c:v>1.4369698273211868</c:v>
                </c:pt>
                <c:pt idx="3">
                  <c:v>1.4463582230031833</c:v>
                </c:pt>
                <c:pt idx="4">
                  <c:v>1.4568305424074734</c:v>
                </c:pt>
                <c:pt idx="5">
                  <c:v>1.4715115505456733</c:v>
                </c:pt>
                <c:pt idx="6">
                  <c:v>1.4861713666378469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EA-4E86-80A0-69ED6F20B91A}"/>
            </c:ext>
          </c:extLst>
        </c:ser>
        <c:ser>
          <c:idx val="1"/>
          <c:order val="1"/>
          <c:tx>
            <c:v>270.01-used anode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'https://versogen.sharepoint.com/sites/Electrolyzer/Shared Documents/600 cm2 AEMEL R&amp;D/Anode/3E test/[3E test_baslineFTA_python_summary.xlsx]Summary-BA'!$S$48:$S$54</c:f>
                <c:numCache>
                  <c:formatCode>General</c:formatCode>
                  <c:ptCount val="7"/>
                  <c:pt idx="0">
                    <c:v>2.5503434994975338E-4</c:v>
                  </c:pt>
                  <c:pt idx="1">
                    <c:v>3.2452716586162003E-4</c:v>
                  </c:pt>
                  <c:pt idx="2">
                    <c:v>4.5846242013263932E-4</c:v>
                  </c:pt>
                  <c:pt idx="3">
                    <c:v>8.1175232530900446E-4</c:v>
                  </c:pt>
                  <c:pt idx="4">
                    <c:v>2.0467157363297794E-3</c:v>
                  </c:pt>
                  <c:pt idx="5">
                    <c:v>1.7080595124378745E-3</c:v>
                  </c:pt>
                  <c:pt idx="6">
                    <c:v>2.6896823211956253E-3</c:v>
                  </c:pt>
                </c:numCache>
              </c:numRef>
            </c:plus>
            <c:minus>
              <c:numRef>
                <c:f>'https://versogen.sharepoint.com/sites/Electrolyzer/Shared Documents/600 cm2 AEMEL R&amp;D/Anode/3E test/[3E test_baslineFTA_python_summary.xlsx]Summary-BA'!$S$48:$S$54</c:f>
                <c:numCache>
                  <c:formatCode>General</c:formatCode>
                  <c:ptCount val="7"/>
                  <c:pt idx="0">
                    <c:v>2.5503434994975338E-4</c:v>
                  </c:pt>
                  <c:pt idx="1">
                    <c:v>3.2452716586162003E-4</c:v>
                  </c:pt>
                  <c:pt idx="2">
                    <c:v>4.5846242013263932E-4</c:v>
                  </c:pt>
                  <c:pt idx="3">
                    <c:v>8.1175232530900446E-4</c:v>
                  </c:pt>
                  <c:pt idx="4">
                    <c:v>2.0467157363297794E-3</c:v>
                  </c:pt>
                  <c:pt idx="5">
                    <c:v>1.7080595124378745E-3</c:v>
                  </c:pt>
                  <c:pt idx="6">
                    <c:v>2.6896823211956253E-3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'[3]Summary-BA'!$Q$48:$Q$54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</c:strCache>
            </c:strRef>
          </c:xVal>
          <c:yVal>
            <c:numRef>
              <c:f>'[3]Summary-BA'!$R$48:$R$54</c:f>
              <c:numCache>
                <c:formatCode>General</c:formatCode>
                <c:ptCount val="7"/>
                <c:pt idx="0">
                  <c:v>1.417478418095695</c:v>
                </c:pt>
                <c:pt idx="1">
                  <c:v>1.42528971597826</c:v>
                </c:pt>
                <c:pt idx="2">
                  <c:v>1.436723757692425</c:v>
                </c:pt>
                <c:pt idx="3">
                  <c:v>1.44663342160866</c:v>
                </c:pt>
                <c:pt idx="4">
                  <c:v>1.4571737942876499</c:v>
                </c:pt>
                <c:pt idx="5">
                  <c:v>1.4725541320869551</c:v>
                </c:pt>
                <c:pt idx="6">
                  <c:v>1.486041359881775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EA-4E86-80A0-69ED6F20B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807455"/>
        <c:axId val="1166318368"/>
      </c:scatterChart>
      <c:valAx>
        <c:axId val="1095807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density (mA/cm2)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318368"/>
        <c:crosses val="autoZero"/>
        <c:crossBetween val="midCat"/>
      </c:valAx>
      <c:valAx>
        <c:axId val="1166318368"/>
        <c:scaling>
          <c:orientation val="minMax"/>
          <c:max val="1.5"/>
          <c:min val="1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Avg. potential (V vs RHE)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807455"/>
        <c:crosses val="autoZero"/>
        <c:crossBetween val="midCat"/>
        <c:majorUnit val="1.0000000000000002E-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7245595263749703"/>
          <c:y val="0.67782715833039864"/>
          <c:w val="0.20894952099635891"/>
          <c:h val="0.120211886760589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271.01-baseline anode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41403118491703"/>
          <c:y val="9.6550779926666649E-2"/>
          <c:w val="0.84407315738723454"/>
          <c:h val="0.79061380617987331"/>
        </c:manualLayout>
      </c:layout>
      <c:scatterChart>
        <c:scatterStyle val="smoothMarker"/>
        <c:varyColors val="0"/>
        <c:ser>
          <c:idx val="0"/>
          <c:order val="0"/>
          <c:tx>
            <c:v>271.01-fresh anode</c:v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'https://versogen.sharepoint.com/sites/Electrolyzer/Shared Documents/600 cm2 AEMEL R&amp;D/Anode/3E test/[3E test_baslineFTA_python_summary.xlsx]Summary-BA'!$Y$48:$Y$54</c:f>
                <c:numCache>
                  <c:formatCode>General</c:formatCode>
                  <c:ptCount val="7"/>
                  <c:pt idx="0">
                    <c:v>1.8647054575662786E-3</c:v>
                  </c:pt>
                  <c:pt idx="1">
                    <c:v>1.8244692007460474E-3</c:v>
                  </c:pt>
                  <c:pt idx="2">
                    <c:v>1.9132559235251617E-3</c:v>
                  </c:pt>
                  <c:pt idx="3">
                    <c:v>2.1570537627709154E-3</c:v>
                  </c:pt>
                  <c:pt idx="4">
                    <c:v>2.3650100310674406E-3</c:v>
                  </c:pt>
                  <c:pt idx="5">
                    <c:v>1.135783062600869E-3</c:v>
                  </c:pt>
                  <c:pt idx="6">
                    <c:v>1.4079611165894845E-3</c:v>
                  </c:pt>
                </c:numCache>
              </c:numRef>
            </c:plus>
            <c:minus>
              <c:numRef>
                <c:f>'https://versogen.sharepoint.com/sites/Electrolyzer/Shared Documents/600 cm2 AEMEL R&amp;D/Anode/3E test/[3E test_baslineFTA_python_summary.xlsx]Summary-BA'!$Y$48:$Y$54</c:f>
                <c:numCache>
                  <c:formatCode>General</c:formatCode>
                  <c:ptCount val="7"/>
                  <c:pt idx="0">
                    <c:v>1.8647054575662786E-3</c:v>
                  </c:pt>
                  <c:pt idx="1">
                    <c:v>1.8244692007460474E-3</c:v>
                  </c:pt>
                  <c:pt idx="2">
                    <c:v>1.9132559235251617E-3</c:v>
                  </c:pt>
                  <c:pt idx="3">
                    <c:v>2.1570537627709154E-3</c:v>
                  </c:pt>
                  <c:pt idx="4">
                    <c:v>2.3650100310674406E-3</c:v>
                  </c:pt>
                  <c:pt idx="5">
                    <c:v>1.135783062600869E-3</c:v>
                  </c:pt>
                  <c:pt idx="6">
                    <c:v>1.4079611165894845E-3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'[3]Summary-BA'!$W$48:$W$54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</c:strCache>
            </c:strRef>
          </c:xVal>
          <c:yVal>
            <c:numRef>
              <c:f>'[3]Summary-BA'!$X$48:$X$54</c:f>
              <c:numCache>
                <c:formatCode>General</c:formatCode>
                <c:ptCount val="7"/>
                <c:pt idx="0">
                  <c:v>1.4171485770097367</c:v>
                </c:pt>
                <c:pt idx="1">
                  <c:v>1.4247422790374202</c:v>
                </c:pt>
                <c:pt idx="2">
                  <c:v>1.4358451068006899</c:v>
                </c:pt>
                <c:pt idx="3">
                  <c:v>1.4449004738310398</c:v>
                </c:pt>
                <c:pt idx="4">
                  <c:v>1.4555804863779898</c:v>
                </c:pt>
                <c:pt idx="5">
                  <c:v>1.4723034102596932</c:v>
                </c:pt>
                <c:pt idx="6">
                  <c:v>1.4882347357538901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4E-4199-BDE7-55C4CE42C395}"/>
            </c:ext>
          </c:extLst>
        </c:ser>
        <c:ser>
          <c:idx val="1"/>
          <c:order val="1"/>
          <c:tx>
            <c:v>271.01-used anode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'https://versogen.sharepoint.com/sites/Electrolyzer/Shared Documents/600 cm2 AEMEL R&amp;D/Anode/3E test/[3E test_baslineFTA_python_summary.xlsx]Summary-BA'!$AC$48:$AC$54</c:f>
                <c:numCache>
                  <c:formatCode>General</c:formatCode>
                  <c:ptCount val="7"/>
                  <c:pt idx="0">
                    <c:v>2.2023980744191071E-3</c:v>
                  </c:pt>
                  <c:pt idx="1">
                    <c:v>2.3960917217248317E-3</c:v>
                  </c:pt>
                  <c:pt idx="2">
                    <c:v>2.6985965190635106E-3</c:v>
                  </c:pt>
                  <c:pt idx="3">
                    <c:v>2.880982841837668E-3</c:v>
                  </c:pt>
                  <c:pt idx="4">
                    <c:v>2.7486889646961298E-3</c:v>
                  </c:pt>
                  <c:pt idx="5">
                    <c:v>3.5564353949752952E-3</c:v>
                  </c:pt>
                  <c:pt idx="6">
                    <c:v>4.2242557282723813E-3</c:v>
                  </c:pt>
                </c:numCache>
              </c:numRef>
            </c:plus>
            <c:minus>
              <c:numRef>
                <c:f>'https://versogen.sharepoint.com/sites/Electrolyzer/Shared Documents/600 cm2 AEMEL R&amp;D/Anode/3E test/[3E test_baslineFTA_python_summary.xlsx]Summary-BA'!$AC$48:$AC$54</c:f>
                <c:numCache>
                  <c:formatCode>General</c:formatCode>
                  <c:ptCount val="7"/>
                  <c:pt idx="0">
                    <c:v>2.2023980744191071E-3</c:v>
                  </c:pt>
                  <c:pt idx="1">
                    <c:v>2.3960917217248317E-3</c:v>
                  </c:pt>
                  <c:pt idx="2">
                    <c:v>2.6985965190635106E-3</c:v>
                  </c:pt>
                  <c:pt idx="3">
                    <c:v>2.880982841837668E-3</c:v>
                  </c:pt>
                  <c:pt idx="4">
                    <c:v>2.7486889646961298E-3</c:v>
                  </c:pt>
                  <c:pt idx="5">
                    <c:v>3.5564353949752952E-3</c:v>
                  </c:pt>
                  <c:pt idx="6">
                    <c:v>4.2242557282723813E-3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'[3]Summary-BA'!$W$48:$W$54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</c:strCache>
            </c:strRef>
          </c:xVal>
          <c:yVal>
            <c:numRef>
              <c:f>'[3]Summary-BA'!$AB$48:$AB$54</c:f>
              <c:numCache>
                <c:formatCode>General</c:formatCode>
                <c:ptCount val="7"/>
                <c:pt idx="0">
                  <c:v>1.4142271068833601</c:v>
                </c:pt>
                <c:pt idx="1">
                  <c:v>1.4217954426609698</c:v>
                </c:pt>
                <c:pt idx="2">
                  <c:v>1.4329465007930866</c:v>
                </c:pt>
                <c:pt idx="3">
                  <c:v>1.4425654290547731</c:v>
                </c:pt>
                <c:pt idx="4">
                  <c:v>1.4531456647251566</c:v>
                </c:pt>
                <c:pt idx="5">
                  <c:v>1.4697435674368433</c:v>
                </c:pt>
                <c:pt idx="6">
                  <c:v>1.4854876845271801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4E-4199-BDE7-55C4CE42C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807455"/>
        <c:axId val="1166318368"/>
      </c:scatterChart>
      <c:valAx>
        <c:axId val="1095807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density (mA/cm2)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318368"/>
        <c:crosses val="autoZero"/>
        <c:crossBetween val="midCat"/>
      </c:valAx>
      <c:valAx>
        <c:axId val="116631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Avg. potential (V vs RHE)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8074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7216271001699892"/>
          <c:y val="0.64678666198809753"/>
          <c:w val="0.22444270522278062"/>
          <c:h val="0.120283229153290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271.01-baseline anode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841403118491703"/>
          <c:y val="9.6550779926666649E-2"/>
          <c:w val="0.84407315738723454"/>
          <c:h val="0.79061380617987331"/>
        </c:manualLayout>
      </c:layout>
      <c:scatterChart>
        <c:scatterStyle val="smoothMarker"/>
        <c:varyColors val="0"/>
        <c:ser>
          <c:idx val="2"/>
          <c:order val="0"/>
          <c:tx>
            <c:v>269-Fresh anode</c:v>
          </c:tx>
          <c:spPr>
            <a:ln w="25400">
              <a:solidFill>
                <a:srgbClr val="C00000"/>
              </a:solidFill>
            </a:ln>
          </c:spPr>
          <c:errBars>
            <c:errDir val="y"/>
            <c:errBarType val="both"/>
            <c:errValType val="cust"/>
            <c:noEndCap val="0"/>
            <c:plus>
              <c:numRef>
                <c:f>'https://versogen.sharepoint.com/sites/Electrolyzer/Shared Documents/600 cm2 AEMEL R&amp;D/Anode/3E test/[3E test_baslineFTA_python_summary.xlsx]Summary-BA'!$E$48:$E$54</c:f>
                <c:numCache>
                  <c:formatCode>General</c:formatCode>
                  <c:ptCount val="7"/>
                  <c:pt idx="0">
                    <c:v>4.4226311589980385E-3</c:v>
                  </c:pt>
                  <c:pt idx="1">
                    <c:v>2.5156589592890913E-3</c:v>
                  </c:pt>
                  <c:pt idx="2">
                    <c:v>1.9264425303554549E-3</c:v>
                  </c:pt>
                  <c:pt idx="3">
                    <c:v>2.3396171479793553E-3</c:v>
                  </c:pt>
                  <c:pt idx="4">
                    <c:v>2.6062959730240899E-3</c:v>
                  </c:pt>
                  <c:pt idx="5">
                    <c:v>3.3102577034395176E-3</c:v>
                  </c:pt>
                  <c:pt idx="6">
                    <c:v>3.917224679197656E-3</c:v>
                  </c:pt>
                </c:numCache>
              </c:numRef>
            </c:plus>
            <c:minus>
              <c:numRef>
                <c:f>'https://versogen.sharepoint.com/sites/Electrolyzer/Shared Documents/600 cm2 AEMEL R&amp;D/Anode/3E test/[3E test_baslineFTA_python_summary.xlsx]Summary-BA'!$E$48:$E$54</c:f>
                <c:numCache>
                  <c:formatCode>General</c:formatCode>
                  <c:ptCount val="7"/>
                  <c:pt idx="0">
                    <c:v>4.4226311589980385E-3</c:v>
                  </c:pt>
                  <c:pt idx="1">
                    <c:v>2.5156589592890913E-3</c:v>
                  </c:pt>
                  <c:pt idx="2">
                    <c:v>1.9264425303554549E-3</c:v>
                  </c:pt>
                  <c:pt idx="3">
                    <c:v>2.3396171479793553E-3</c:v>
                  </c:pt>
                  <c:pt idx="4">
                    <c:v>2.6062959730240899E-3</c:v>
                  </c:pt>
                  <c:pt idx="5">
                    <c:v>3.3102577034395176E-3</c:v>
                  </c:pt>
                  <c:pt idx="6">
                    <c:v>3.917224679197656E-3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strRef>
              <c:f>'[3]Summary-BA'!$C$48:$C$54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</c:strCache>
            </c:strRef>
          </c:xVal>
          <c:yVal>
            <c:numRef>
              <c:f>'[3]Summary-BA'!$D$48:$D$54</c:f>
              <c:numCache>
                <c:formatCode>General</c:formatCode>
                <c:ptCount val="7"/>
                <c:pt idx="0">
                  <c:v>1.4127872590261468</c:v>
                </c:pt>
                <c:pt idx="1">
                  <c:v>1.4228311428800167</c:v>
                </c:pt>
                <c:pt idx="2">
                  <c:v>1.4357988222967568</c:v>
                </c:pt>
                <c:pt idx="3">
                  <c:v>1.4460955530872901</c:v>
                </c:pt>
                <c:pt idx="4">
                  <c:v>1.45611740384661</c:v>
                </c:pt>
                <c:pt idx="5">
                  <c:v>1.4724101746242535</c:v>
                </c:pt>
                <c:pt idx="6">
                  <c:v>1.4864182388363265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00-4ED3-9BDE-D6984BC6AD4A}"/>
            </c:ext>
          </c:extLst>
        </c:ser>
        <c:ser>
          <c:idx val="3"/>
          <c:order val="1"/>
          <c:tx>
            <c:v>269-Used anode</c:v>
          </c:tx>
          <c:spPr>
            <a:ln w="22225">
              <a:solidFill>
                <a:schemeClr val="tx1">
                  <a:lumMod val="75000"/>
                  <a:lumOff val="25000"/>
                </a:schemeClr>
              </a:solidFill>
            </a:ln>
          </c:spPr>
          <c:marker>
            <c:symbol val="triangle"/>
            <c:size val="7"/>
            <c:spPr>
              <a:noFill/>
              <a:ln>
                <a:solidFill>
                  <a:schemeClr val="tx1">
                    <a:lumMod val="85000"/>
                    <a:lumOff val="15000"/>
                  </a:schemeClr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'https://versogen.sharepoint.com/sites/Electrolyzer/Shared Documents/600 cm2 AEMEL R&amp;D/Anode/3E test/[3E test_baslineFTA_python_summary.xlsx]Summary-BA'!$I$48:$I$54</c:f>
                <c:numCache>
                  <c:formatCode>General</c:formatCode>
                  <c:ptCount val="7"/>
                  <c:pt idx="0">
                    <c:v>2.3507853443757885E-3</c:v>
                  </c:pt>
                  <c:pt idx="1">
                    <c:v>2.5152293798800301E-3</c:v>
                  </c:pt>
                  <c:pt idx="2">
                    <c:v>2.7424417565166067E-3</c:v>
                  </c:pt>
                  <c:pt idx="3">
                    <c:v>2.9419323132336378E-3</c:v>
                  </c:pt>
                  <c:pt idx="4">
                    <c:v>3.0928117517683377E-3</c:v>
                  </c:pt>
                  <c:pt idx="5">
                    <c:v>4.1569701234006095E-3</c:v>
                  </c:pt>
                  <c:pt idx="6">
                    <c:v>4.8577365668014735E-3</c:v>
                  </c:pt>
                </c:numCache>
              </c:numRef>
            </c:plus>
            <c:minus>
              <c:numRef>
                <c:f>'https://versogen.sharepoint.com/sites/Electrolyzer/Shared Documents/600 cm2 AEMEL R&amp;D/Anode/3E test/[3E test_baslineFTA_python_summary.xlsx]Summary-BA'!$I$48:$I$54</c:f>
                <c:numCache>
                  <c:formatCode>General</c:formatCode>
                  <c:ptCount val="7"/>
                  <c:pt idx="0">
                    <c:v>2.3507853443757885E-3</c:v>
                  </c:pt>
                  <c:pt idx="1">
                    <c:v>2.5152293798800301E-3</c:v>
                  </c:pt>
                  <c:pt idx="2">
                    <c:v>2.7424417565166067E-3</c:v>
                  </c:pt>
                  <c:pt idx="3">
                    <c:v>2.9419323132336378E-3</c:v>
                  </c:pt>
                  <c:pt idx="4">
                    <c:v>3.0928117517683377E-3</c:v>
                  </c:pt>
                  <c:pt idx="5">
                    <c:v>4.1569701234006095E-3</c:v>
                  </c:pt>
                  <c:pt idx="6">
                    <c:v>4.8577365668014735E-3</c:v>
                  </c:pt>
                </c:numCache>
              </c:numRef>
            </c:minus>
            <c:spPr>
              <a:ln w="19050">
                <a:solidFill>
                  <a:srgbClr val="C00000"/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strRef>
              <c:f>'[3]Summary-BA'!$G$48:$G$54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</c:strCache>
            </c:strRef>
          </c:xVal>
          <c:yVal>
            <c:numRef>
              <c:f>'[3]Summary-BA'!$H$48:$H$54</c:f>
              <c:numCache>
                <c:formatCode>General</c:formatCode>
                <c:ptCount val="7"/>
                <c:pt idx="0">
                  <c:v>1.4137476946676666</c:v>
                </c:pt>
                <c:pt idx="1">
                  <c:v>1.4211845126110134</c:v>
                </c:pt>
                <c:pt idx="2">
                  <c:v>1.4320262225796767</c:v>
                </c:pt>
                <c:pt idx="3">
                  <c:v>1.4413789788671967</c:v>
                </c:pt>
                <c:pt idx="4">
                  <c:v>1.45128409136253</c:v>
                </c:pt>
                <c:pt idx="5">
                  <c:v>1.4677099289161502</c:v>
                </c:pt>
                <c:pt idx="6">
                  <c:v>1.4818158549246967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300-4ED3-9BDE-D6984BC6AD4A}"/>
            </c:ext>
          </c:extLst>
        </c:ser>
        <c:ser>
          <c:idx val="4"/>
          <c:order val="2"/>
          <c:tx>
            <c:v>270.01-Fresh anode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errBars>
            <c:errDir val="y"/>
            <c:errBarType val="both"/>
            <c:errValType val="cust"/>
            <c:noEndCap val="0"/>
            <c:plus>
              <c:numRef>
                <c:f>'https://versogen.sharepoint.com/sites/Electrolyzer/Shared Documents/600 cm2 AEMEL R&amp;D/Anode/3E test/[3E test_baslineFTA_python_summary.xlsx]Summary-BA'!$O$48:$O$54</c:f>
                <c:numCache>
                  <c:formatCode>General</c:formatCode>
                  <c:ptCount val="7"/>
                  <c:pt idx="0">
                    <c:v>2.1350071575369244E-3</c:v>
                  </c:pt>
                  <c:pt idx="1">
                    <c:v>2.3307209849466578E-3</c:v>
                  </c:pt>
                  <c:pt idx="2">
                    <c:v>2.6156035827234287E-3</c:v>
                  </c:pt>
                  <c:pt idx="3">
                    <c:v>2.8930759328795745E-3</c:v>
                  </c:pt>
                  <c:pt idx="4">
                    <c:v>3.2361083763404034E-3</c:v>
                  </c:pt>
                  <c:pt idx="5">
                    <c:v>3.4376999445612671E-3</c:v>
                  </c:pt>
                  <c:pt idx="6">
                    <c:v>4.1319574635006063E-3</c:v>
                  </c:pt>
                </c:numCache>
              </c:numRef>
            </c:plus>
            <c:minus>
              <c:numRef>
                <c:f>'https://versogen.sharepoint.com/sites/Electrolyzer/Shared Documents/600 cm2 AEMEL R&amp;D/Anode/3E test/[3E test_baslineFTA_python_summary.xlsx]Summary-BA'!$O$48:$O$54</c:f>
                <c:numCache>
                  <c:formatCode>General</c:formatCode>
                  <c:ptCount val="7"/>
                  <c:pt idx="0">
                    <c:v>2.1350071575369244E-3</c:v>
                  </c:pt>
                  <c:pt idx="1">
                    <c:v>2.3307209849466578E-3</c:v>
                  </c:pt>
                  <c:pt idx="2">
                    <c:v>2.6156035827234287E-3</c:v>
                  </c:pt>
                  <c:pt idx="3">
                    <c:v>2.8930759328795745E-3</c:v>
                  </c:pt>
                  <c:pt idx="4">
                    <c:v>3.2361083763404034E-3</c:v>
                  </c:pt>
                  <c:pt idx="5">
                    <c:v>3.4376999445612671E-3</c:v>
                  </c:pt>
                  <c:pt idx="6">
                    <c:v>4.1319574635006063E-3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'[3]Summary-BA'!$M$48:$M$54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</c:strCache>
            </c:strRef>
          </c:xVal>
          <c:yVal>
            <c:numRef>
              <c:f>'[3]Summary-BA'!$N$48:$N$54</c:f>
              <c:numCache>
                <c:formatCode>General</c:formatCode>
                <c:ptCount val="7"/>
                <c:pt idx="0">
                  <c:v>1.4186653624082968</c:v>
                </c:pt>
                <c:pt idx="1">
                  <c:v>1.4260505698645467</c:v>
                </c:pt>
                <c:pt idx="2">
                  <c:v>1.4369698273211868</c:v>
                </c:pt>
                <c:pt idx="3">
                  <c:v>1.4463582230031833</c:v>
                </c:pt>
                <c:pt idx="4">
                  <c:v>1.4568305424074734</c:v>
                </c:pt>
                <c:pt idx="5">
                  <c:v>1.4715115505456733</c:v>
                </c:pt>
                <c:pt idx="6">
                  <c:v>1.4861713666378469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300-4ED3-9BDE-D6984BC6AD4A}"/>
            </c:ext>
          </c:extLst>
        </c:ser>
        <c:ser>
          <c:idx val="5"/>
          <c:order val="3"/>
          <c:tx>
            <c:v>270.01-used anode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errBars>
            <c:errDir val="y"/>
            <c:errBarType val="both"/>
            <c:errValType val="cust"/>
            <c:noEndCap val="0"/>
            <c:plus>
              <c:numRef>
                <c:f>'https://versogen.sharepoint.com/sites/Electrolyzer/Shared Documents/600 cm2 AEMEL R&amp;D/Anode/3E test/[3E test_baslineFTA_python_summary.xlsx]Summary-BA'!$S$48:$S$54</c:f>
                <c:numCache>
                  <c:formatCode>General</c:formatCode>
                  <c:ptCount val="7"/>
                  <c:pt idx="0">
                    <c:v>2.5503434994975338E-4</c:v>
                  </c:pt>
                  <c:pt idx="1">
                    <c:v>3.2452716586162003E-4</c:v>
                  </c:pt>
                  <c:pt idx="2">
                    <c:v>4.5846242013263932E-4</c:v>
                  </c:pt>
                  <c:pt idx="3">
                    <c:v>8.1175232530900446E-4</c:v>
                  </c:pt>
                  <c:pt idx="4">
                    <c:v>2.0467157363297794E-3</c:v>
                  </c:pt>
                  <c:pt idx="5">
                    <c:v>1.7080595124378745E-3</c:v>
                  </c:pt>
                  <c:pt idx="6">
                    <c:v>2.6896823211956253E-3</c:v>
                  </c:pt>
                </c:numCache>
              </c:numRef>
            </c:plus>
            <c:minus>
              <c:numRef>
                <c:f>'https://versogen.sharepoint.com/sites/Electrolyzer/Shared Documents/600 cm2 AEMEL R&amp;D/Anode/3E test/[3E test_baslineFTA_python_summary.xlsx]Summary-BA'!$S$48:$S$54</c:f>
                <c:numCache>
                  <c:formatCode>General</c:formatCode>
                  <c:ptCount val="7"/>
                  <c:pt idx="0">
                    <c:v>2.5503434994975338E-4</c:v>
                  </c:pt>
                  <c:pt idx="1">
                    <c:v>3.2452716586162003E-4</c:v>
                  </c:pt>
                  <c:pt idx="2">
                    <c:v>4.5846242013263932E-4</c:v>
                  </c:pt>
                  <c:pt idx="3">
                    <c:v>8.1175232530900446E-4</c:v>
                  </c:pt>
                  <c:pt idx="4">
                    <c:v>2.0467157363297794E-3</c:v>
                  </c:pt>
                  <c:pt idx="5">
                    <c:v>1.7080595124378745E-3</c:v>
                  </c:pt>
                  <c:pt idx="6">
                    <c:v>2.6896823211956253E-3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'[3]Summary-BA'!$Q$48:$Q$54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</c:strCache>
            </c:strRef>
          </c:xVal>
          <c:yVal>
            <c:numRef>
              <c:f>'[3]Summary-BA'!$R$48:$R$54</c:f>
              <c:numCache>
                <c:formatCode>General</c:formatCode>
                <c:ptCount val="7"/>
                <c:pt idx="0">
                  <c:v>1.417478418095695</c:v>
                </c:pt>
                <c:pt idx="1">
                  <c:v>1.42528971597826</c:v>
                </c:pt>
                <c:pt idx="2">
                  <c:v>1.436723757692425</c:v>
                </c:pt>
                <c:pt idx="3">
                  <c:v>1.44663342160866</c:v>
                </c:pt>
                <c:pt idx="4">
                  <c:v>1.4571737942876499</c:v>
                </c:pt>
                <c:pt idx="5">
                  <c:v>1.4725541320869551</c:v>
                </c:pt>
                <c:pt idx="6">
                  <c:v>1.486041359881775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300-4ED3-9BDE-D6984BC6AD4A}"/>
            </c:ext>
          </c:extLst>
        </c:ser>
        <c:ser>
          <c:idx val="6"/>
          <c:order val="4"/>
          <c:tx>
            <c:v>271.01-fresh anode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'https://versogen.sharepoint.com/sites/Electrolyzer/Shared Documents/600 cm2 AEMEL R&amp;D/Anode/3E test/[3E test_baslineFTA_python_summary.xlsx]Summary-BA'!$Y$48:$Y$54</c:f>
                <c:numCache>
                  <c:formatCode>General</c:formatCode>
                  <c:ptCount val="7"/>
                  <c:pt idx="0">
                    <c:v>1.8647054575662786E-3</c:v>
                  </c:pt>
                  <c:pt idx="1">
                    <c:v>1.8244692007460474E-3</c:v>
                  </c:pt>
                  <c:pt idx="2">
                    <c:v>1.9132559235251617E-3</c:v>
                  </c:pt>
                  <c:pt idx="3">
                    <c:v>2.1570537627709154E-3</c:v>
                  </c:pt>
                  <c:pt idx="4">
                    <c:v>2.3650100310674406E-3</c:v>
                  </c:pt>
                  <c:pt idx="5">
                    <c:v>1.135783062600869E-3</c:v>
                  </c:pt>
                  <c:pt idx="6">
                    <c:v>1.4079611165894845E-3</c:v>
                  </c:pt>
                </c:numCache>
              </c:numRef>
            </c:plus>
            <c:minus>
              <c:numRef>
                <c:f>'https://versogen.sharepoint.com/sites/Electrolyzer/Shared Documents/600 cm2 AEMEL R&amp;D/Anode/3E test/[3E test_baslineFTA_python_summary.xlsx]Summary-BA'!$Y$48:$Y$54</c:f>
                <c:numCache>
                  <c:formatCode>General</c:formatCode>
                  <c:ptCount val="7"/>
                  <c:pt idx="0">
                    <c:v>1.8647054575662786E-3</c:v>
                  </c:pt>
                  <c:pt idx="1">
                    <c:v>1.8244692007460474E-3</c:v>
                  </c:pt>
                  <c:pt idx="2">
                    <c:v>1.9132559235251617E-3</c:v>
                  </c:pt>
                  <c:pt idx="3">
                    <c:v>2.1570537627709154E-3</c:v>
                  </c:pt>
                  <c:pt idx="4">
                    <c:v>2.3650100310674406E-3</c:v>
                  </c:pt>
                  <c:pt idx="5">
                    <c:v>1.135783062600869E-3</c:v>
                  </c:pt>
                  <c:pt idx="6">
                    <c:v>1.4079611165894845E-3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'[3]Summary-BA'!$W$48:$W$54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</c:strCache>
            </c:strRef>
          </c:xVal>
          <c:yVal>
            <c:numRef>
              <c:f>'[3]Summary-BA'!$X$48:$X$54</c:f>
              <c:numCache>
                <c:formatCode>General</c:formatCode>
                <c:ptCount val="7"/>
                <c:pt idx="0">
                  <c:v>1.4171485770097367</c:v>
                </c:pt>
                <c:pt idx="1">
                  <c:v>1.4247422790374202</c:v>
                </c:pt>
                <c:pt idx="2">
                  <c:v>1.4358451068006899</c:v>
                </c:pt>
                <c:pt idx="3">
                  <c:v>1.4449004738310398</c:v>
                </c:pt>
                <c:pt idx="4">
                  <c:v>1.4555804863779898</c:v>
                </c:pt>
                <c:pt idx="5">
                  <c:v>1.4723034102596932</c:v>
                </c:pt>
                <c:pt idx="6">
                  <c:v>1.4882347357538901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300-4ED3-9BDE-D6984BC6AD4A}"/>
            </c:ext>
          </c:extLst>
        </c:ser>
        <c:ser>
          <c:idx val="1"/>
          <c:order val="5"/>
          <c:tx>
            <c:v>271.01-used anode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7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'https://versogen.sharepoint.com/sites/Electrolyzer/Shared Documents/600 cm2 AEMEL R&amp;D/Anode/3E test/[3E test_baslineFTA_python_summary.xlsx]Summary-BA'!$AC$48:$AC$54</c:f>
                <c:numCache>
                  <c:formatCode>General</c:formatCode>
                  <c:ptCount val="7"/>
                  <c:pt idx="0">
                    <c:v>2.2023980744191071E-3</c:v>
                  </c:pt>
                  <c:pt idx="1">
                    <c:v>2.3960917217248317E-3</c:v>
                  </c:pt>
                  <c:pt idx="2">
                    <c:v>2.6985965190635106E-3</c:v>
                  </c:pt>
                  <c:pt idx="3">
                    <c:v>2.880982841837668E-3</c:v>
                  </c:pt>
                  <c:pt idx="4">
                    <c:v>2.7486889646961298E-3</c:v>
                  </c:pt>
                  <c:pt idx="5">
                    <c:v>3.5564353949752952E-3</c:v>
                  </c:pt>
                  <c:pt idx="6">
                    <c:v>4.2242557282723813E-3</c:v>
                  </c:pt>
                </c:numCache>
              </c:numRef>
            </c:plus>
            <c:minus>
              <c:numRef>
                <c:f>'https://versogen.sharepoint.com/sites/Electrolyzer/Shared Documents/600 cm2 AEMEL R&amp;D/Anode/3E test/[3E test_baslineFTA_python_summary.xlsx]Summary-BA'!$AC$48:$AC$54</c:f>
                <c:numCache>
                  <c:formatCode>General</c:formatCode>
                  <c:ptCount val="7"/>
                  <c:pt idx="0">
                    <c:v>2.2023980744191071E-3</c:v>
                  </c:pt>
                  <c:pt idx="1">
                    <c:v>2.3960917217248317E-3</c:v>
                  </c:pt>
                  <c:pt idx="2">
                    <c:v>2.6985965190635106E-3</c:v>
                  </c:pt>
                  <c:pt idx="3">
                    <c:v>2.880982841837668E-3</c:v>
                  </c:pt>
                  <c:pt idx="4">
                    <c:v>2.7486889646961298E-3</c:v>
                  </c:pt>
                  <c:pt idx="5">
                    <c:v>3.5564353949752952E-3</c:v>
                  </c:pt>
                  <c:pt idx="6">
                    <c:v>4.2242557282723813E-3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'[3]Summary-BA'!$W$48:$W$54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</c:strCache>
            </c:strRef>
          </c:xVal>
          <c:yVal>
            <c:numRef>
              <c:f>'[3]Summary-BA'!$AB$48:$AB$54</c:f>
              <c:numCache>
                <c:formatCode>General</c:formatCode>
                <c:ptCount val="7"/>
                <c:pt idx="0">
                  <c:v>1.4142271068833601</c:v>
                </c:pt>
                <c:pt idx="1">
                  <c:v>1.4217954426609698</c:v>
                </c:pt>
                <c:pt idx="2">
                  <c:v>1.4329465007930866</c:v>
                </c:pt>
                <c:pt idx="3">
                  <c:v>1.4425654290547731</c:v>
                </c:pt>
                <c:pt idx="4">
                  <c:v>1.4531456647251566</c:v>
                </c:pt>
                <c:pt idx="5">
                  <c:v>1.4697435674368433</c:v>
                </c:pt>
                <c:pt idx="6">
                  <c:v>1.4854876845271801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300-4ED3-9BDE-D6984BC6A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807455"/>
        <c:axId val="1166318368"/>
      </c:scatterChart>
      <c:valAx>
        <c:axId val="1095807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density (mA/cm2)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318368"/>
        <c:crosses val="autoZero"/>
        <c:crossBetween val="midCat"/>
      </c:valAx>
      <c:valAx>
        <c:axId val="116631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Avg. potential (V vs RHE)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807455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3565361148038313"/>
          <c:y val="0.35034275407562854"/>
          <c:w val="0.31246437290576312"/>
          <c:h val="0.455797854032462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 sz="16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062774867754891E-2"/>
          <c:y val="3.09668970134576E-2"/>
          <c:w val="0.85839712014389047"/>
          <c:h val="0.85487915091271005"/>
        </c:manualLayout>
      </c:layout>
      <c:scatterChart>
        <c:scatterStyle val="lineMarker"/>
        <c:varyColors val="0"/>
        <c:ser>
          <c:idx val="0"/>
          <c:order val="0"/>
          <c:tx>
            <c:v>271.02-Fresh anode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'https://versogen.sharepoint.com/sites/Electrolyzer/Shared Documents/600 cm2 AEMEL R&amp;D/Anode/3E test/[3E test_baslineFTA_python_summary.xlsx]Summary-FTA'!$P$49:$P$55</c:f>
                <c:numCache>
                  <c:formatCode>General</c:formatCode>
                  <c:ptCount val="7"/>
                  <c:pt idx="0">
                    <c:v>1.2573667294670209E-3</c:v>
                  </c:pt>
                  <c:pt idx="1">
                    <c:v>1.5387974336884219E-3</c:v>
                  </c:pt>
                  <c:pt idx="2">
                    <c:v>2.3713841909963397E-3</c:v>
                  </c:pt>
                  <c:pt idx="3">
                    <c:v>3.3107858690105004E-3</c:v>
                  </c:pt>
                  <c:pt idx="4">
                    <c:v>4.8318254944380605E-3</c:v>
                  </c:pt>
                  <c:pt idx="5">
                    <c:v>1.0822316058355701E-2</c:v>
                  </c:pt>
                  <c:pt idx="6">
                    <c:v>1.8971747623248724E-2</c:v>
                  </c:pt>
                </c:numCache>
              </c:numRef>
            </c:plus>
            <c:minus>
              <c:numRef>
                <c:f>'https://versogen.sharepoint.com/sites/Electrolyzer/Shared Documents/600 cm2 AEMEL R&amp;D/Anode/3E test/[3E test_baslineFTA_python_summary.xlsx]Summary-FTA'!$P$49:$P$55</c:f>
                <c:numCache>
                  <c:formatCode>General</c:formatCode>
                  <c:ptCount val="7"/>
                  <c:pt idx="0">
                    <c:v>1.2573667294670209E-3</c:v>
                  </c:pt>
                  <c:pt idx="1">
                    <c:v>1.5387974336884219E-3</c:v>
                  </c:pt>
                  <c:pt idx="2">
                    <c:v>2.3713841909963397E-3</c:v>
                  </c:pt>
                  <c:pt idx="3">
                    <c:v>3.3107858690105004E-3</c:v>
                  </c:pt>
                  <c:pt idx="4">
                    <c:v>4.8318254944380605E-3</c:v>
                  </c:pt>
                  <c:pt idx="5">
                    <c:v>1.0822316058355701E-2</c:v>
                  </c:pt>
                  <c:pt idx="6">
                    <c:v>1.8971747623248724E-2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'[3]Summary-FTA'!$N$49:$N$55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</c:strCache>
            </c:strRef>
          </c:xVal>
          <c:yVal>
            <c:numRef>
              <c:f>'[3]Summary-FTA'!$O$49:$O$55</c:f>
              <c:numCache>
                <c:formatCode>General</c:formatCode>
                <c:ptCount val="7"/>
                <c:pt idx="0">
                  <c:v>1.4186511075395201</c:v>
                </c:pt>
                <c:pt idx="1">
                  <c:v>1.4257353176099334</c:v>
                </c:pt>
                <c:pt idx="2">
                  <c:v>1.4360823537577698</c:v>
                </c:pt>
                <c:pt idx="3">
                  <c:v>1.4449330568692631</c:v>
                </c:pt>
                <c:pt idx="4">
                  <c:v>1.4539848226566534</c:v>
                </c:pt>
                <c:pt idx="5">
                  <c:v>1.4668563378089268</c:v>
                </c:pt>
                <c:pt idx="6">
                  <c:v>1.4753795824502702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9E-44CD-A0DD-37DFA59C5037}"/>
            </c:ext>
          </c:extLst>
        </c:ser>
        <c:ser>
          <c:idx val="1"/>
          <c:order val="1"/>
          <c:tx>
            <c:v>271.02-Used anodes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'https://versogen.sharepoint.com/sites/Electrolyzer/Shared Documents/600 cm2 AEMEL R&amp;D/Anode/3E test/[3E test_baslineFTA_python_summary.xlsx]Summary-FTA'!$T$49:$T$55</c:f>
                <c:numCache>
                  <c:formatCode>General</c:formatCode>
                  <c:ptCount val="7"/>
                  <c:pt idx="0">
                    <c:v>1.8486698739997691E-3</c:v>
                  </c:pt>
                  <c:pt idx="1">
                    <c:v>1.8842878617210132E-3</c:v>
                  </c:pt>
                  <c:pt idx="2">
                    <c:v>2.040673765973756E-3</c:v>
                  </c:pt>
                  <c:pt idx="3">
                    <c:v>2.0110286116139667E-3</c:v>
                  </c:pt>
                  <c:pt idx="4">
                    <c:v>2.2483857715968323E-3</c:v>
                  </c:pt>
                  <c:pt idx="5">
                    <c:v>8.4779093317997563E-4</c:v>
                  </c:pt>
                  <c:pt idx="6">
                    <c:v>6.0758784835515645E-4</c:v>
                  </c:pt>
                </c:numCache>
              </c:numRef>
            </c:plus>
            <c:minus>
              <c:numRef>
                <c:f>'https://versogen.sharepoint.com/sites/Electrolyzer/Shared Documents/600 cm2 AEMEL R&amp;D/Anode/3E test/[3E test_baslineFTA_python_summary.xlsx]Summary-FTA'!$T$49:$T$55</c:f>
                <c:numCache>
                  <c:formatCode>General</c:formatCode>
                  <c:ptCount val="7"/>
                  <c:pt idx="0">
                    <c:v>1.8486698739997691E-3</c:v>
                  </c:pt>
                  <c:pt idx="1">
                    <c:v>1.8842878617210132E-3</c:v>
                  </c:pt>
                  <c:pt idx="2">
                    <c:v>2.040673765973756E-3</c:v>
                  </c:pt>
                  <c:pt idx="3">
                    <c:v>2.0110286116139667E-3</c:v>
                  </c:pt>
                  <c:pt idx="4">
                    <c:v>2.2483857715968323E-3</c:v>
                  </c:pt>
                  <c:pt idx="5">
                    <c:v>8.4779093317997563E-4</c:v>
                  </c:pt>
                  <c:pt idx="6">
                    <c:v>6.0758784835515645E-4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'[3]Summary-FTA'!$R$49:$R$55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</c:strCache>
            </c:strRef>
          </c:xVal>
          <c:yVal>
            <c:numRef>
              <c:f>'[3]Summary-FTA'!$S$49:$S$55</c:f>
              <c:numCache>
                <c:formatCode>General</c:formatCode>
                <c:ptCount val="7"/>
                <c:pt idx="0">
                  <c:v>1.4140178143110165</c:v>
                </c:pt>
                <c:pt idx="1">
                  <c:v>1.4216908969263</c:v>
                </c:pt>
                <c:pt idx="2">
                  <c:v>1.4328461858634034</c:v>
                </c:pt>
                <c:pt idx="3">
                  <c:v>1.4422993717035066</c:v>
                </c:pt>
                <c:pt idx="4">
                  <c:v>1.4529646252058803</c:v>
                </c:pt>
                <c:pt idx="5">
                  <c:v>1.4693554875666568</c:v>
                </c:pt>
                <c:pt idx="6">
                  <c:v>1.4834961327445499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9E-44CD-A0DD-37DFA59C5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3733839"/>
        <c:axId val="1080551743"/>
      </c:scatterChart>
      <c:valAx>
        <c:axId val="863733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551743"/>
        <c:crosses val="autoZero"/>
        <c:crossBetween val="midCat"/>
      </c:valAx>
      <c:valAx>
        <c:axId val="108055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7338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4891511938678195"/>
          <c:y val="0.71415091745163806"/>
          <c:w val="0.19796266164278875"/>
          <c:h val="0.116195209659202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062774867754891E-2"/>
          <c:y val="3.09668970134576E-2"/>
          <c:w val="0.85839712014389047"/>
          <c:h val="0.85487915091271005"/>
        </c:manualLayout>
      </c:layout>
      <c:scatterChart>
        <c:scatterStyle val="lineMarker"/>
        <c:varyColors val="0"/>
        <c:ser>
          <c:idx val="0"/>
          <c:order val="0"/>
          <c:tx>
            <c:v>272.01-Fresh anode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'https://versogen.sharepoint.com/sites/Electrolyzer/Shared Documents/600 cm2 AEMEL R&amp;D/Anode/3E test/[3E test_baslineFTA_python_summary.xlsx]Summary-FTA'!$AA$49:$AA$55</c:f>
                <c:numCache>
                  <c:formatCode>General</c:formatCode>
                  <c:ptCount val="7"/>
                  <c:pt idx="0">
                    <c:v>3.7019394149696355E-3</c:v>
                  </c:pt>
                  <c:pt idx="1">
                    <c:v>3.6165611551674404E-3</c:v>
                  </c:pt>
                  <c:pt idx="2">
                    <c:v>3.6472377282658671E-3</c:v>
                  </c:pt>
                  <c:pt idx="3">
                    <c:v>3.4546296864197638E-3</c:v>
                  </c:pt>
                  <c:pt idx="4">
                    <c:v>3.380364309376588E-3</c:v>
                  </c:pt>
                  <c:pt idx="5">
                    <c:v>4.3465096503257951E-3</c:v>
                  </c:pt>
                  <c:pt idx="6">
                    <c:v>1.7614345311793484E-3</c:v>
                  </c:pt>
                </c:numCache>
              </c:numRef>
            </c:plus>
            <c:minus>
              <c:numRef>
                <c:f>'https://versogen.sharepoint.com/sites/Electrolyzer/Shared Documents/600 cm2 AEMEL R&amp;D/Anode/3E test/[3E test_baslineFTA_python_summary.xlsx]Summary-FTA'!$AA$49:$AA$55</c:f>
                <c:numCache>
                  <c:formatCode>General</c:formatCode>
                  <c:ptCount val="7"/>
                  <c:pt idx="0">
                    <c:v>3.7019394149696355E-3</c:v>
                  </c:pt>
                  <c:pt idx="1">
                    <c:v>3.6165611551674404E-3</c:v>
                  </c:pt>
                  <c:pt idx="2">
                    <c:v>3.6472377282658671E-3</c:v>
                  </c:pt>
                  <c:pt idx="3">
                    <c:v>3.4546296864197638E-3</c:v>
                  </c:pt>
                  <c:pt idx="4">
                    <c:v>3.380364309376588E-3</c:v>
                  </c:pt>
                  <c:pt idx="5">
                    <c:v>4.3465096503257951E-3</c:v>
                  </c:pt>
                  <c:pt idx="6">
                    <c:v>1.7614345311793484E-3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'[3]Summary-FTA'!$Y$49:$Y$55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</c:strCache>
            </c:strRef>
          </c:xVal>
          <c:yVal>
            <c:numRef>
              <c:f>'[3]Summary-FTA'!$Z$49:$Z$55</c:f>
              <c:numCache>
                <c:formatCode>General</c:formatCode>
                <c:ptCount val="7"/>
                <c:pt idx="0">
                  <c:v>1.4151780381498</c:v>
                </c:pt>
                <c:pt idx="1">
                  <c:v>1.4226541484788899</c:v>
                </c:pt>
                <c:pt idx="2">
                  <c:v>1.43345175095577</c:v>
                </c:pt>
                <c:pt idx="3">
                  <c:v>1.4426145629448666</c:v>
                </c:pt>
                <c:pt idx="4">
                  <c:v>1.4530687380831033</c:v>
                </c:pt>
                <c:pt idx="5">
                  <c:v>1.4676358870251267</c:v>
                </c:pt>
                <c:pt idx="6">
                  <c:v>1.4832017913287932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F9-4FD5-AC5D-E56D3BA55527}"/>
            </c:ext>
          </c:extLst>
        </c:ser>
        <c:ser>
          <c:idx val="1"/>
          <c:order val="1"/>
          <c:tx>
            <c:v>272.01-Used anodes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'https://versogen.sharepoint.com/sites/Electrolyzer/Shared Documents/600 cm2 AEMEL R&amp;D/Anode/3E test/[3E test_baslineFTA_python_summary.xlsx]Summary-FTA'!$AE$49:$AE$55</c:f>
                <c:numCache>
                  <c:formatCode>General</c:formatCode>
                  <c:ptCount val="7"/>
                  <c:pt idx="0">
                    <c:v>1.02869632227175E-3</c:v>
                  </c:pt>
                  <c:pt idx="1">
                    <c:v>1.0884922658829232E-3</c:v>
                  </c:pt>
                  <c:pt idx="2">
                    <c:v>1.4747631859578058E-3</c:v>
                  </c:pt>
                  <c:pt idx="3">
                    <c:v>1.9191576188645749E-3</c:v>
                  </c:pt>
                  <c:pt idx="4">
                    <c:v>2.2026833573304209E-3</c:v>
                  </c:pt>
                  <c:pt idx="5">
                    <c:v>1.7746459739351821E-3</c:v>
                  </c:pt>
                  <c:pt idx="6">
                    <c:v>1.6072125335341403E-3</c:v>
                  </c:pt>
                </c:numCache>
              </c:numRef>
            </c:plus>
            <c:minus>
              <c:numRef>
                <c:f>'https://versogen.sharepoint.com/sites/Electrolyzer/Shared Documents/600 cm2 AEMEL R&amp;D/Anode/3E test/[3E test_baslineFTA_python_summary.xlsx]Summary-FTA'!$AE$49:$AE$55</c:f>
                <c:numCache>
                  <c:formatCode>General</c:formatCode>
                  <c:ptCount val="7"/>
                  <c:pt idx="0">
                    <c:v>1.02869632227175E-3</c:v>
                  </c:pt>
                  <c:pt idx="1">
                    <c:v>1.0884922658829232E-3</c:v>
                  </c:pt>
                  <c:pt idx="2">
                    <c:v>1.4747631859578058E-3</c:v>
                  </c:pt>
                  <c:pt idx="3">
                    <c:v>1.9191576188645749E-3</c:v>
                  </c:pt>
                  <c:pt idx="4">
                    <c:v>2.2026833573304209E-3</c:v>
                  </c:pt>
                  <c:pt idx="5">
                    <c:v>1.7746459739351821E-3</c:v>
                  </c:pt>
                  <c:pt idx="6">
                    <c:v>1.6072125335341403E-3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'[3]Summary-FTA'!$AC$49:$AC$55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</c:strCache>
            </c:strRef>
          </c:xVal>
          <c:yVal>
            <c:numRef>
              <c:f>'[3]Summary-FTA'!$AD$49:$AD$55</c:f>
              <c:numCache>
                <c:formatCode>General</c:formatCode>
                <c:ptCount val="7"/>
                <c:pt idx="0">
                  <c:v>1.4130757457744401</c:v>
                </c:pt>
                <c:pt idx="1">
                  <c:v>1.4208797560899251</c:v>
                </c:pt>
                <c:pt idx="2">
                  <c:v>1.432133409083985</c:v>
                </c:pt>
                <c:pt idx="3">
                  <c:v>1.441985274755095</c:v>
                </c:pt>
                <c:pt idx="4">
                  <c:v>1.452905613691285</c:v>
                </c:pt>
                <c:pt idx="5">
                  <c:v>1.4681063477305649</c:v>
                </c:pt>
                <c:pt idx="6">
                  <c:v>1.4838580422610099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F9-4FD5-AC5D-E56D3BA55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3733839"/>
        <c:axId val="1080551743"/>
      </c:scatterChart>
      <c:valAx>
        <c:axId val="863733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551743"/>
        <c:crosses val="autoZero"/>
        <c:crossBetween val="midCat"/>
      </c:valAx>
      <c:valAx>
        <c:axId val="108055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7338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4891511938678195"/>
          <c:y val="0.71415091745163806"/>
          <c:w val="0.19796266164278875"/>
          <c:h val="0.116195209659202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Catalyst Loading</a:t>
            </a:r>
            <a:r>
              <a:rPr lang="en-US" baseline="0"/>
              <a:t> vs Overpotential (Flow-Through)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'Sonication cat.loading'!$N$70:$N$73</c:f>
              <c:numCache>
                <c:formatCode>0.00</c:formatCode>
                <c:ptCount val="4"/>
                <c:pt idx="0">
                  <c:v>0.63333333333331909</c:v>
                </c:pt>
                <c:pt idx="1">
                  <c:v>0.94999999999999596</c:v>
                </c:pt>
                <c:pt idx="2">
                  <c:v>0.83333333333333526</c:v>
                </c:pt>
                <c:pt idx="3">
                  <c:v>1.8000000000000029</c:v>
                </c:pt>
              </c:numCache>
            </c:numRef>
          </c:xVal>
          <c:yVal>
            <c:numRef>
              <c:f>'Sonication cat.loading'!$P$70:$P$73</c:f>
              <c:numCache>
                <c:formatCode>0.00</c:formatCode>
                <c:ptCount val="4"/>
                <c:pt idx="0">
                  <c:v>242.94</c:v>
                </c:pt>
                <c:pt idx="1">
                  <c:v>243</c:v>
                </c:pt>
                <c:pt idx="2">
                  <c:v>244.72</c:v>
                </c:pt>
                <c:pt idx="3">
                  <c:v>246.58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FA-43FE-AE4C-6D560A07B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469968"/>
        <c:axId val="1778479088"/>
      </c:scatterChart>
      <c:valAx>
        <c:axId val="177846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Catalyst</a:t>
                </a:r>
                <a:r>
                  <a:rPr lang="en-US" baseline="0"/>
                  <a:t> Loading (mg/cm</a:t>
                </a:r>
                <a:r>
                  <a:rPr lang="en-US" baseline="30000"/>
                  <a:t>2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479088"/>
        <c:crosses val="autoZero"/>
        <c:crossBetween val="midCat"/>
      </c:valAx>
      <c:valAx>
        <c:axId val="177847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Overpotential</a:t>
                </a:r>
                <a:r>
                  <a:rPr lang="en-US" baseline="0"/>
                  <a:t> (mV)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469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Overpotential vs</a:t>
            </a:r>
            <a:r>
              <a:rPr lang="en-US" baseline="0"/>
              <a:t> Catalyst Load (Flow-Through)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'Sonication cat.loading'!$N$70:$N$78</c:f>
              <c:numCache>
                <c:formatCode>0.00</c:formatCode>
                <c:ptCount val="9"/>
                <c:pt idx="0">
                  <c:v>0.63333333333331909</c:v>
                </c:pt>
                <c:pt idx="1">
                  <c:v>0.94999999999999596</c:v>
                </c:pt>
                <c:pt idx="2">
                  <c:v>0.83333333333333526</c:v>
                </c:pt>
                <c:pt idx="3">
                  <c:v>1.8000000000000029</c:v>
                </c:pt>
                <c:pt idx="4">
                  <c:v>1.5250000000000055</c:v>
                </c:pt>
                <c:pt idx="5">
                  <c:v>1.2333333333333396</c:v>
                </c:pt>
                <c:pt idx="6">
                  <c:v>1.87777777777777</c:v>
                </c:pt>
                <c:pt idx="7">
                  <c:v>2.3333333333333259</c:v>
                </c:pt>
                <c:pt idx="8">
                  <c:v>4.5916666666666677</c:v>
                </c:pt>
              </c:numCache>
            </c:numRef>
          </c:xVal>
          <c:yVal>
            <c:numRef>
              <c:f>'Sonication cat.loading'!$P$70:$P$78</c:f>
              <c:numCache>
                <c:formatCode>0.00</c:formatCode>
                <c:ptCount val="9"/>
                <c:pt idx="0">
                  <c:v>242.94</c:v>
                </c:pt>
                <c:pt idx="1">
                  <c:v>243</c:v>
                </c:pt>
                <c:pt idx="2">
                  <c:v>244.72</c:v>
                </c:pt>
                <c:pt idx="3">
                  <c:v>246.58</c:v>
                </c:pt>
                <c:pt idx="4">
                  <c:v>251.4</c:v>
                </c:pt>
                <c:pt idx="6">
                  <c:v>239.95</c:v>
                </c:pt>
                <c:pt idx="8">
                  <c:v>238.24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98-4CFA-A05D-108C1ED95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1759488"/>
        <c:axId val="2021741248"/>
      </c:scatterChart>
      <c:valAx>
        <c:axId val="2021759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741248"/>
        <c:crosses val="autoZero"/>
        <c:crossBetween val="midCat"/>
      </c:valAx>
      <c:valAx>
        <c:axId val="202174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759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Catalyst Loading vs Overpotential (Flow-Through)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978937007874015"/>
          <c:y val="0.15782407407407409"/>
          <c:w val="0.77116907261592305"/>
          <c:h val="0.6227161708953047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6381452318460193E-2"/>
                  <c:y val="-0.180805628463108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('Sonication cat.loading'!$N$70:$N$74,'Sonication cat.loading'!$N$76,'Sonication cat.loading'!$N$78)</c:f>
              <c:numCache>
                <c:formatCode>0.00</c:formatCode>
                <c:ptCount val="7"/>
                <c:pt idx="0">
                  <c:v>0.63333333333331909</c:v>
                </c:pt>
                <c:pt idx="1">
                  <c:v>0.94999999999999596</c:v>
                </c:pt>
                <c:pt idx="2">
                  <c:v>0.83333333333333526</c:v>
                </c:pt>
                <c:pt idx="3">
                  <c:v>1.8000000000000029</c:v>
                </c:pt>
                <c:pt idx="4">
                  <c:v>1.5250000000000055</c:v>
                </c:pt>
                <c:pt idx="5">
                  <c:v>1.87777777777777</c:v>
                </c:pt>
                <c:pt idx="6">
                  <c:v>4.5916666666666677</c:v>
                </c:pt>
              </c:numCache>
            </c:numRef>
          </c:xVal>
          <c:yVal>
            <c:numRef>
              <c:f>('Sonication cat.loading'!$P$70:$P$74,'Sonication cat.loading'!$P$76,'Sonication cat.loading'!$P$78)</c:f>
              <c:numCache>
                <c:formatCode>0.00</c:formatCode>
                <c:ptCount val="7"/>
                <c:pt idx="0">
                  <c:v>242.94</c:v>
                </c:pt>
                <c:pt idx="1">
                  <c:v>243</c:v>
                </c:pt>
                <c:pt idx="2">
                  <c:v>244.72</c:v>
                </c:pt>
                <c:pt idx="3">
                  <c:v>246.58</c:v>
                </c:pt>
                <c:pt idx="4">
                  <c:v>251.4</c:v>
                </c:pt>
                <c:pt idx="5">
                  <c:v>239.95</c:v>
                </c:pt>
                <c:pt idx="6">
                  <c:v>238.24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9D-4A2E-9497-7F6523784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6913184"/>
        <c:axId val="1776913664"/>
      </c:scatterChart>
      <c:valAx>
        <c:axId val="177691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Catalyst Loading (mg/cm</a:t>
                </a:r>
                <a:r>
                  <a:rPr lang="en-US" sz="10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2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913664"/>
        <c:crosses val="autoZero"/>
        <c:crossBetween val="midCat"/>
      </c:valAx>
      <c:valAx>
        <c:axId val="177691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Overpotential (mV)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91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Catalyst Loading vs Overpotential Baseline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('Sonication cat.loading'!$N$82,'Sonication cat.loading'!$N$84,'Sonication cat.loading'!$N$86,'Sonication cat.loading'!$N$88,'Sonication cat.loading'!$N$90)</c:f>
              <c:numCache>
                <c:formatCode>0.00</c:formatCode>
                <c:ptCount val="5"/>
                <c:pt idx="0">
                  <c:v>0.76666666666667238</c:v>
                </c:pt>
                <c:pt idx="1">
                  <c:v>0.96666666666667467</c:v>
                </c:pt>
                <c:pt idx="2">
                  <c:v>0.89999999999999103</c:v>
                </c:pt>
                <c:pt idx="3">
                  <c:v>1.5499999999999994</c:v>
                </c:pt>
                <c:pt idx="4">
                  <c:v>3.4999999999999996</c:v>
                </c:pt>
              </c:numCache>
            </c:numRef>
          </c:xVal>
          <c:yVal>
            <c:numRef>
              <c:f>('Sonication cat.loading'!$P$82,'Sonication cat.loading'!$P$84,'Sonication cat.loading'!$P$86,'Sonication cat.loading'!$P$88,'Sonication cat.loading'!$P$90)</c:f>
              <c:numCache>
                <c:formatCode>0.00</c:formatCode>
                <c:ptCount val="5"/>
                <c:pt idx="0">
                  <c:v>248.13</c:v>
                </c:pt>
                <c:pt idx="1">
                  <c:v>250.31</c:v>
                </c:pt>
                <c:pt idx="2">
                  <c:v>248.86</c:v>
                </c:pt>
                <c:pt idx="3">
                  <c:v>237.85</c:v>
                </c:pt>
                <c:pt idx="4">
                  <c:v>229.33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CA-442C-859F-9E0C064D7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1755616"/>
        <c:axId val="1891754656"/>
      </c:scatterChart>
      <c:valAx>
        <c:axId val="189175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Catalyst Loading (mg/cm</a:t>
                </a:r>
                <a:r>
                  <a:rPr lang="en-US" sz="10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2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754656"/>
        <c:crosses val="autoZero"/>
        <c:crossBetween val="midCat"/>
      </c:valAx>
      <c:valAx>
        <c:axId val="189175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Overpotential (mV)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755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'Sonication cat.loading'!$P$1</c:f>
              <c:strCache>
                <c:ptCount val="1"/>
                <c:pt idx="0">
                  <c:v>Overpotential (@ 20 mA/cm2)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'Sonication cat.loading'!$N$2:$N$144</c:f>
              <c:numCache>
                <c:formatCode>General</c:formatCode>
                <c:ptCount val="143"/>
                <c:pt idx="4" formatCode="0.00">
                  <c:v>3.1714285714285686</c:v>
                </c:pt>
                <c:pt idx="5" formatCode="0.00">
                  <c:v>5.6571428571428584</c:v>
                </c:pt>
                <c:pt idx="6" formatCode="0.00">
                  <c:v>5.7999999999999989</c:v>
                </c:pt>
                <c:pt idx="7" formatCode="0.00">
                  <c:v>3.6000000000000005</c:v>
                </c:pt>
                <c:pt idx="8" formatCode="0.00">
                  <c:v>4.1666666666666652</c:v>
                </c:pt>
                <c:pt idx="10" formatCode="0.00">
                  <c:v>4.6749999999999989</c:v>
                </c:pt>
                <c:pt idx="12" formatCode="0.00">
                  <c:v>2.1714285714285713</c:v>
                </c:pt>
                <c:pt idx="13" formatCode="0.00">
                  <c:v>2.9571428571428569</c:v>
                </c:pt>
                <c:pt idx="14" formatCode="0.00">
                  <c:v>2.2285714285714286</c:v>
                </c:pt>
                <c:pt idx="15" formatCode="0.00">
                  <c:v>2.8428571428571412</c:v>
                </c:pt>
                <c:pt idx="16" formatCode="0.00">
                  <c:v>3.1799999999999997</c:v>
                </c:pt>
                <c:pt idx="17" formatCode="0.00">
                  <c:v>4.3714285714285701</c:v>
                </c:pt>
                <c:pt idx="19" formatCode="0.00">
                  <c:v>3.1799999999999975</c:v>
                </c:pt>
                <c:pt idx="20" formatCode="0.00">
                  <c:v>2.9999999999999991</c:v>
                </c:pt>
                <c:pt idx="21" formatCode="0.00">
                  <c:v>2.5299999999999989</c:v>
                </c:pt>
                <c:pt idx="23" formatCode="0.00">
                  <c:v>4.0599999999999996</c:v>
                </c:pt>
                <c:pt idx="24" formatCode="0.00">
                  <c:v>2.9600000000000044</c:v>
                </c:pt>
                <c:pt idx="26" formatCode="0.00">
                  <c:v>4.6666666666666687</c:v>
                </c:pt>
                <c:pt idx="28" formatCode="0.00">
                  <c:v>5.5000000000000018</c:v>
                </c:pt>
                <c:pt idx="30" formatCode="0.00">
                  <c:v>6.5500000000000034</c:v>
                </c:pt>
                <c:pt idx="31" formatCode="0.00">
                  <c:v>9.3250000000000028</c:v>
                </c:pt>
                <c:pt idx="33" formatCode="0.00">
                  <c:v>3.9638095238095263</c:v>
                </c:pt>
                <c:pt idx="34" formatCode="0.00">
                  <c:v>4.388888888888884</c:v>
                </c:pt>
                <c:pt idx="36" formatCode="0.00">
                  <c:v>3.111904761904762</c:v>
                </c:pt>
                <c:pt idx="37" formatCode="0.00">
                  <c:v>3.5633333333333352</c:v>
                </c:pt>
                <c:pt idx="39" formatCode="0.00">
                  <c:v>4.538095238095238</c:v>
                </c:pt>
                <c:pt idx="41" formatCode="0.00">
                  <c:v>3.7714285714285709</c:v>
                </c:pt>
                <c:pt idx="43" formatCode="0.00">
                  <c:v>4.9277777777777905</c:v>
                </c:pt>
                <c:pt idx="44" formatCode="0.00">
                  <c:v>4.8066666666666649</c:v>
                </c:pt>
                <c:pt idx="46" formatCode="0.00">
                  <c:v>4.5124999999999993</c:v>
                </c:pt>
                <c:pt idx="47" formatCode="0.00">
                  <c:v>3.8611111111111072</c:v>
                </c:pt>
                <c:pt idx="49" formatCode="0.00">
                  <c:v>4.0666666666666629</c:v>
                </c:pt>
                <c:pt idx="51" formatCode="0.00">
                  <c:v>4.5500000000000016</c:v>
                </c:pt>
                <c:pt idx="52" formatCode="0.00">
                  <c:v>3.4416666666666669</c:v>
                </c:pt>
                <c:pt idx="54" formatCode="0.00">
                  <c:v>3.9388888888888949</c:v>
                </c:pt>
                <c:pt idx="55" formatCode="0.00">
                  <c:v>2.97</c:v>
                </c:pt>
                <c:pt idx="57" formatCode="0.00">
                  <c:v>4.2583333333333346</c:v>
                </c:pt>
                <c:pt idx="58" formatCode="0.00">
                  <c:v>2.950000000000006</c:v>
                </c:pt>
                <c:pt idx="59" formatCode="0.00">
                  <c:v>2.5694444444444411</c:v>
                </c:pt>
                <c:pt idx="60" formatCode="0.00">
                  <c:v>3.0305555555555568</c:v>
                </c:pt>
                <c:pt idx="61" formatCode="0.00">
                  <c:v>3.6249999999999973</c:v>
                </c:pt>
                <c:pt idx="62" formatCode="0.00">
                  <c:v>2.525000000000003</c:v>
                </c:pt>
                <c:pt idx="63" formatCode="0.00">
                  <c:v>3.7285714285714318</c:v>
                </c:pt>
                <c:pt idx="64" formatCode="0.00">
                  <c:v>2.7166666666666677</c:v>
                </c:pt>
                <c:pt idx="65" formatCode="0.00">
                  <c:v>2.8333333333333357</c:v>
                </c:pt>
                <c:pt idx="68" formatCode="0.00">
                  <c:v>0.63333333333331909</c:v>
                </c:pt>
                <c:pt idx="69" formatCode="0.00">
                  <c:v>0.94999999999999596</c:v>
                </c:pt>
                <c:pt idx="70" formatCode="0.00">
                  <c:v>0.83333333333333526</c:v>
                </c:pt>
                <c:pt idx="71" formatCode="0.00">
                  <c:v>1.8000000000000029</c:v>
                </c:pt>
                <c:pt idx="72" formatCode="0.00">
                  <c:v>1.5250000000000055</c:v>
                </c:pt>
                <c:pt idx="73" formatCode="0.00">
                  <c:v>1.2333333333333396</c:v>
                </c:pt>
                <c:pt idx="74" formatCode="0.00">
                  <c:v>1.87777777777777</c:v>
                </c:pt>
                <c:pt idx="75" formatCode="0.00">
                  <c:v>2.3333333333333259</c:v>
                </c:pt>
                <c:pt idx="76" formatCode="0.00">
                  <c:v>4.5916666666666677</c:v>
                </c:pt>
                <c:pt idx="78" formatCode="0.00">
                  <c:v>3.6388888888888902</c:v>
                </c:pt>
                <c:pt idx="80" formatCode="0.00">
                  <c:v>0.76666666666667238</c:v>
                </c:pt>
                <c:pt idx="81" formatCode="0.00">
                  <c:v>0.96666666666667123</c:v>
                </c:pt>
                <c:pt idx="82" formatCode="0.00">
                  <c:v>0.96666666666667467</c:v>
                </c:pt>
                <c:pt idx="83" formatCode="0.00">
                  <c:v>1.1333333333333335</c:v>
                </c:pt>
                <c:pt idx="84" formatCode="0.00">
                  <c:v>0.89999999999999103</c:v>
                </c:pt>
                <c:pt idx="85" formatCode="0.00">
                  <c:v>1.6666666666666594</c:v>
                </c:pt>
                <c:pt idx="86" formatCode="0.00">
                  <c:v>1.5499999999999994</c:v>
                </c:pt>
                <c:pt idx="87" formatCode="0.00">
                  <c:v>2.3111111111111109</c:v>
                </c:pt>
                <c:pt idx="88" formatCode="0.00">
                  <c:v>3.4999999999999996</c:v>
                </c:pt>
                <c:pt idx="92" formatCode="0.00">
                  <c:v>3.3466666666666662</c:v>
                </c:pt>
                <c:pt idx="93" formatCode="0.00">
                  <c:v>3.5933333333333373</c:v>
                </c:pt>
                <c:pt idx="94" formatCode="0.00">
                  <c:v>3.1694444444444394</c:v>
                </c:pt>
                <c:pt idx="95" formatCode="0.00">
                  <c:v>4.613333333333328</c:v>
                </c:pt>
                <c:pt idx="96" formatCode="0.00">
                  <c:v>3.9266666666666672</c:v>
                </c:pt>
                <c:pt idx="97" formatCode="0.00">
                  <c:v>2.0611111111111087</c:v>
                </c:pt>
                <c:pt idx="98" formatCode="0.00">
                  <c:v>3.5250000000000146</c:v>
                </c:pt>
                <c:pt idx="100" formatCode="0.00">
                  <c:v>2.3694444444444449</c:v>
                </c:pt>
                <c:pt idx="101" formatCode="0.00">
                  <c:v>2.6666666666666714</c:v>
                </c:pt>
                <c:pt idx="102" formatCode="0.00">
                  <c:v>2.3713039024206344</c:v>
                </c:pt>
                <c:pt idx="103" formatCode="0.00">
                  <c:v>2.1357545682106545</c:v>
                </c:pt>
                <c:pt idx="104" formatCode="0.00">
                  <c:v>1.6759548801581754</c:v>
                </c:pt>
                <c:pt idx="105" formatCode="0.00">
                  <c:v>1.5265376878738419</c:v>
                </c:pt>
                <c:pt idx="106" formatCode="0.00">
                  <c:v>5.0157181571815705</c:v>
                </c:pt>
                <c:pt idx="107" formatCode="0.00">
                  <c:v>3.4333333333333371</c:v>
                </c:pt>
                <c:pt idx="108" formatCode="0.00">
                  <c:v>2.4666666666666632</c:v>
                </c:pt>
                <c:pt idx="109" formatCode="0.00">
                  <c:v>2.0833333333333353</c:v>
                </c:pt>
                <c:pt idx="110" formatCode="0.00">
                  <c:v>2.2833333333333297</c:v>
                </c:pt>
                <c:pt idx="111" formatCode="0.00">
                  <c:v>3.4666666666666699</c:v>
                </c:pt>
                <c:pt idx="112" formatCode="0.00">
                  <c:v>3.9800000000000004</c:v>
                </c:pt>
                <c:pt idx="113" formatCode="0.00">
                  <c:v>3.2755555555555476</c:v>
                </c:pt>
                <c:pt idx="114" formatCode="0.00">
                  <c:v>2.8578941589811144</c:v>
                </c:pt>
                <c:pt idx="115" formatCode="0.00">
                  <c:v>3.3166666666666624</c:v>
                </c:pt>
                <c:pt idx="116" formatCode="0.00">
                  <c:v>3.7916666666666656</c:v>
                </c:pt>
                <c:pt idx="117" formatCode="0.00">
                  <c:v>2.8393939393939398</c:v>
                </c:pt>
                <c:pt idx="118" formatCode="0.00">
                  <c:v>3.3646464646464573</c:v>
                </c:pt>
                <c:pt idx="119" formatCode="0.00">
                  <c:v>3.4999999999999964</c:v>
                </c:pt>
                <c:pt idx="120" formatCode="0.00">
                  <c:v>3.2999999999999976</c:v>
                </c:pt>
                <c:pt idx="121" formatCode="0.00">
                  <c:v>3.6303030303030255</c:v>
                </c:pt>
                <c:pt idx="122" formatCode="0.00">
                  <c:v>3.0857142857142859</c:v>
                </c:pt>
                <c:pt idx="123" formatCode="0.00">
                  <c:v>3.1638888888888888</c:v>
                </c:pt>
                <c:pt idx="124" formatCode="0.00">
                  <c:v>2.4583333333333299</c:v>
                </c:pt>
                <c:pt idx="125" formatCode="0.00">
                  <c:v>3.5656204906204914</c:v>
                </c:pt>
                <c:pt idx="126" formatCode="0.00">
                  <c:v>2.9633333333333343</c:v>
                </c:pt>
                <c:pt idx="127" formatCode="0.00">
                  <c:v>2.083333333333333</c:v>
                </c:pt>
                <c:pt idx="128" formatCode="0.00">
                  <c:v>2.6923789173789179</c:v>
                </c:pt>
                <c:pt idx="129" formatCode="0.00">
                  <c:v>2.2864102564102589</c:v>
                </c:pt>
                <c:pt idx="130" formatCode="0.00">
                  <c:v>2.7333333333333378</c:v>
                </c:pt>
                <c:pt idx="131" formatCode="0.00">
                  <c:v>3.7869463869463864</c:v>
                </c:pt>
                <c:pt idx="132" formatCode="0.00">
                  <c:v>3.7472222222222196</c:v>
                </c:pt>
                <c:pt idx="133" formatCode="0.00">
                  <c:v>5.2000000000000011</c:v>
                </c:pt>
                <c:pt idx="134" formatCode="0.00">
                  <c:v>3.5666666666666647</c:v>
                </c:pt>
                <c:pt idx="135" formatCode="0.00">
                  <c:v>2.7733333333333361</c:v>
                </c:pt>
                <c:pt idx="136" formatCode="0.00">
                  <c:v>2.8999999999999972</c:v>
                </c:pt>
                <c:pt idx="137" formatCode="0.00">
                  <c:v>4.0969038208168653</c:v>
                </c:pt>
                <c:pt idx="138" formatCode="0.00">
                  <c:v>6.0984848484848442</c:v>
                </c:pt>
                <c:pt idx="139" formatCode="0.00">
                  <c:v>4.3932539682539762</c:v>
                </c:pt>
                <c:pt idx="140" formatCode="0.00">
                  <c:v>5.3722222222222253</c:v>
                </c:pt>
                <c:pt idx="141" formatCode="0.00">
                  <c:v>5.4666666666666686</c:v>
                </c:pt>
                <c:pt idx="142" formatCode="0.00">
                  <c:v>0.35000000000000303</c:v>
                </c:pt>
              </c:numCache>
            </c:numRef>
          </c:xVal>
          <c:yVal>
            <c:numRef>
              <c:f>'Sonication cat.loading'!$P$2:$P$144</c:f>
              <c:numCache>
                <c:formatCode>General</c:formatCode>
                <c:ptCount val="143"/>
                <c:pt idx="68" formatCode="0.00">
                  <c:v>242.94</c:v>
                </c:pt>
                <c:pt idx="69" formatCode="0.00">
                  <c:v>243</c:v>
                </c:pt>
                <c:pt idx="70" formatCode="0.00">
                  <c:v>244.72</c:v>
                </c:pt>
                <c:pt idx="71" formatCode="0.00">
                  <c:v>246.58</c:v>
                </c:pt>
                <c:pt idx="72" formatCode="0.00">
                  <c:v>251.4</c:v>
                </c:pt>
                <c:pt idx="74" formatCode="0.00">
                  <c:v>239.95</c:v>
                </c:pt>
                <c:pt idx="76" formatCode="0.00">
                  <c:v>238.24</c:v>
                </c:pt>
                <c:pt idx="80" formatCode="0.00">
                  <c:v>248.13</c:v>
                </c:pt>
                <c:pt idx="82" formatCode="0.00">
                  <c:v>250.31</c:v>
                </c:pt>
                <c:pt idx="84" formatCode="0.00">
                  <c:v>248.86</c:v>
                </c:pt>
                <c:pt idx="86" formatCode="0.00">
                  <c:v>237.85</c:v>
                </c:pt>
                <c:pt idx="88" formatCode="0.00">
                  <c:v>229.33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E2-4B57-BD8F-B55E74EF4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0849711"/>
        <c:axId val="1021151519"/>
      </c:scatterChart>
      <c:valAx>
        <c:axId val="1020849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151519"/>
        <c:crosses val="autoZero"/>
        <c:crossBetween val="midCat"/>
      </c:valAx>
      <c:valAx>
        <c:axId val="1021151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849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'Python 3-E Test summary'!$D$2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'Python 3-E Test summary'!$D$3:$D$72</c:f>
              <c:numCache>
                <c:formatCode>General</c:formatCode>
                <c:ptCount val="70"/>
                <c:pt idx="0">
                  <c:v>5.66</c:v>
                </c:pt>
                <c:pt idx="1">
                  <c:v>5.8</c:v>
                </c:pt>
                <c:pt idx="2">
                  <c:v>3.6</c:v>
                </c:pt>
                <c:pt idx="3">
                  <c:v>4.1669999999999998</c:v>
                </c:pt>
                <c:pt idx="4">
                  <c:v>4.68</c:v>
                </c:pt>
                <c:pt idx="5" formatCode="0.000">
                  <c:v>2.17</c:v>
                </c:pt>
                <c:pt idx="6" formatCode="0.000">
                  <c:v>2.96</c:v>
                </c:pt>
                <c:pt idx="7">
                  <c:v>2.29</c:v>
                </c:pt>
                <c:pt idx="8">
                  <c:v>4.37</c:v>
                </c:pt>
                <c:pt idx="9">
                  <c:v>3.18</c:v>
                </c:pt>
                <c:pt idx="10">
                  <c:v>3.18</c:v>
                </c:pt>
                <c:pt idx="11">
                  <c:v>2.5299999999999998</c:v>
                </c:pt>
                <c:pt idx="12">
                  <c:v>4.67</c:v>
                </c:pt>
                <c:pt idx="13">
                  <c:v>5.5</c:v>
                </c:pt>
                <c:pt idx="14">
                  <c:v>6.6</c:v>
                </c:pt>
                <c:pt idx="15">
                  <c:v>6.55</c:v>
                </c:pt>
                <c:pt idx="16">
                  <c:v>9.33</c:v>
                </c:pt>
                <c:pt idx="17">
                  <c:v>3.96</c:v>
                </c:pt>
                <c:pt idx="18">
                  <c:v>4.3899999999999997</c:v>
                </c:pt>
                <c:pt idx="19">
                  <c:v>3.11</c:v>
                </c:pt>
                <c:pt idx="20">
                  <c:v>3.56</c:v>
                </c:pt>
                <c:pt idx="21">
                  <c:v>4.54</c:v>
                </c:pt>
                <c:pt idx="22">
                  <c:v>3.77</c:v>
                </c:pt>
                <c:pt idx="23">
                  <c:v>4.93</c:v>
                </c:pt>
                <c:pt idx="25">
                  <c:v>4.5</c:v>
                </c:pt>
                <c:pt idx="26">
                  <c:v>4.2</c:v>
                </c:pt>
                <c:pt idx="28">
                  <c:v>4.07</c:v>
                </c:pt>
                <c:pt idx="29">
                  <c:v>4.55</c:v>
                </c:pt>
                <c:pt idx="30">
                  <c:v>3.44</c:v>
                </c:pt>
                <c:pt idx="31">
                  <c:v>3.94</c:v>
                </c:pt>
                <c:pt idx="32" formatCode="0.00">
                  <c:v>2.569</c:v>
                </c:pt>
                <c:pt idx="33">
                  <c:v>3.03</c:v>
                </c:pt>
                <c:pt idx="55">
                  <c:v>0</c:v>
                </c:pt>
                <c:pt idx="56" formatCode="0.00">
                  <c:v>3.3222222222222264</c:v>
                </c:pt>
                <c:pt idx="57" formatCode="0.00">
                  <c:v>3.1694444444444394</c:v>
                </c:pt>
                <c:pt idx="58" formatCode="0.00">
                  <c:v>4.613333333333328</c:v>
                </c:pt>
                <c:pt idx="59" formatCode="0.00">
                  <c:v>3.927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87-480E-9B2D-8AC765484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1444239"/>
        <c:axId val="238926127"/>
      </c:lineChart>
      <c:catAx>
        <c:axId val="10214442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26127"/>
        <c:crosses val="autoZero"/>
        <c:auto val="1"/>
        <c:lblAlgn val="ctr"/>
        <c:lblOffset val="100"/>
        <c:noMultiLvlLbl val="0"/>
      </c:catAx>
      <c:valAx>
        <c:axId val="23892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44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'Python 3-E Test summary'!$D$3:$D$36</c:f>
              <c:numCache>
                <c:formatCode>General</c:formatCode>
                <c:ptCount val="34"/>
                <c:pt idx="0">
                  <c:v>5.66</c:v>
                </c:pt>
                <c:pt idx="1">
                  <c:v>5.8</c:v>
                </c:pt>
                <c:pt idx="2">
                  <c:v>3.6</c:v>
                </c:pt>
                <c:pt idx="3">
                  <c:v>4.1669999999999998</c:v>
                </c:pt>
                <c:pt idx="4">
                  <c:v>4.68</c:v>
                </c:pt>
                <c:pt idx="5" formatCode="0.000">
                  <c:v>2.17</c:v>
                </c:pt>
                <c:pt idx="6" formatCode="0.000">
                  <c:v>2.96</c:v>
                </c:pt>
                <c:pt idx="7">
                  <c:v>2.29</c:v>
                </c:pt>
                <c:pt idx="8">
                  <c:v>4.37</c:v>
                </c:pt>
                <c:pt idx="9">
                  <c:v>3.18</c:v>
                </c:pt>
                <c:pt idx="10">
                  <c:v>3.18</c:v>
                </c:pt>
                <c:pt idx="11">
                  <c:v>2.5299999999999998</c:v>
                </c:pt>
                <c:pt idx="12">
                  <c:v>4.67</c:v>
                </c:pt>
                <c:pt idx="13">
                  <c:v>5.5</c:v>
                </c:pt>
                <c:pt idx="14">
                  <c:v>6.6</c:v>
                </c:pt>
                <c:pt idx="15">
                  <c:v>6.55</c:v>
                </c:pt>
                <c:pt idx="16">
                  <c:v>9.33</c:v>
                </c:pt>
                <c:pt idx="17">
                  <c:v>3.96</c:v>
                </c:pt>
                <c:pt idx="18">
                  <c:v>4.3899999999999997</c:v>
                </c:pt>
                <c:pt idx="19">
                  <c:v>3.11</c:v>
                </c:pt>
                <c:pt idx="20">
                  <c:v>3.56</c:v>
                </c:pt>
                <c:pt idx="21">
                  <c:v>4.54</c:v>
                </c:pt>
                <c:pt idx="22">
                  <c:v>3.77</c:v>
                </c:pt>
                <c:pt idx="23">
                  <c:v>4.93</c:v>
                </c:pt>
                <c:pt idx="25">
                  <c:v>4.5</c:v>
                </c:pt>
                <c:pt idx="26">
                  <c:v>4.2</c:v>
                </c:pt>
                <c:pt idx="28">
                  <c:v>4.07</c:v>
                </c:pt>
                <c:pt idx="29">
                  <c:v>4.55</c:v>
                </c:pt>
                <c:pt idx="30">
                  <c:v>3.44</c:v>
                </c:pt>
                <c:pt idx="31">
                  <c:v>3.94</c:v>
                </c:pt>
                <c:pt idx="32" formatCode="0.00">
                  <c:v>2.569</c:v>
                </c:pt>
                <c:pt idx="33">
                  <c:v>3.03</c:v>
                </c:pt>
              </c:numCache>
            </c:numRef>
          </c:xVal>
          <c:yVal>
            <c:numRef>
              <c:f>'Python 3-E Test summary'!$F$3:$F$36</c:f>
              <c:numCache>
                <c:formatCode>General</c:formatCode>
                <c:ptCount val="34"/>
                <c:pt idx="0">
                  <c:v>227.39</c:v>
                </c:pt>
                <c:pt idx="1">
                  <c:v>214.38</c:v>
                </c:pt>
                <c:pt idx="2">
                  <c:v>239.26</c:v>
                </c:pt>
                <c:pt idx="3">
                  <c:v>230.9</c:v>
                </c:pt>
                <c:pt idx="4">
                  <c:v>202</c:v>
                </c:pt>
                <c:pt idx="5">
                  <c:v>227.13</c:v>
                </c:pt>
                <c:pt idx="6">
                  <c:v>233.08</c:v>
                </c:pt>
                <c:pt idx="7">
                  <c:v>229.76</c:v>
                </c:pt>
                <c:pt idx="8">
                  <c:v>224.13</c:v>
                </c:pt>
                <c:pt idx="9">
                  <c:v>218.76</c:v>
                </c:pt>
                <c:pt idx="10">
                  <c:v>231.02</c:v>
                </c:pt>
                <c:pt idx="11">
                  <c:v>230.71</c:v>
                </c:pt>
                <c:pt idx="12">
                  <c:v>220.61</c:v>
                </c:pt>
                <c:pt idx="13">
                  <c:v>211.67</c:v>
                </c:pt>
                <c:pt idx="14">
                  <c:v>223.45</c:v>
                </c:pt>
                <c:pt idx="15">
                  <c:v>217.87</c:v>
                </c:pt>
                <c:pt idx="16">
                  <c:v>221.46</c:v>
                </c:pt>
                <c:pt idx="17">
                  <c:v>235.76</c:v>
                </c:pt>
                <c:pt idx="18">
                  <c:v>231.53</c:v>
                </c:pt>
                <c:pt idx="19">
                  <c:v>228.27</c:v>
                </c:pt>
                <c:pt idx="20">
                  <c:v>229.77</c:v>
                </c:pt>
                <c:pt idx="21">
                  <c:v>228.2</c:v>
                </c:pt>
                <c:pt idx="22">
                  <c:v>234.83</c:v>
                </c:pt>
                <c:pt idx="23">
                  <c:v>231.64</c:v>
                </c:pt>
                <c:pt idx="25">
                  <c:v>226.21</c:v>
                </c:pt>
                <c:pt idx="26">
                  <c:v>226.41</c:v>
                </c:pt>
                <c:pt idx="28">
                  <c:v>227.34</c:v>
                </c:pt>
                <c:pt idx="29">
                  <c:v>230.81</c:v>
                </c:pt>
                <c:pt idx="30">
                  <c:v>233.65</c:v>
                </c:pt>
                <c:pt idx="31">
                  <c:v>228.49</c:v>
                </c:pt>
                <c:pt idx="32">
                  <c:v>213.8</c:v>
                </c:pt>
                <c:pt idx="33">
                  <c:v>215.09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BA-4332-A5FC-E1DD87F132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243615"/>
        <c:axId val="244230319"/>
      </c:scatterChart>
      <c:valAx>
        <c:axId val="1071243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Catalyst loading (mg/cm2)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230319"/>
        <c:crosses val="autoZero"/>
        <c:crossBetween val="midCat"/>
      </c:valAx>
      <c:valAx>
        <c:axId val="24423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Overpotential (mV)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243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'Python 3-E Test summary'!$B$2:$B$86</c:f>
              <c:numCache>
                <c:formatCode>General</c:formatCode>
                <c:ptCount val="85"/>
                <c:pt idx="0">
                  <c:v>23114</c:v>
                </c:pt>
                <c:pt idx="1">
                  <c:v>23122</c:v>
                </c:pt>
                <c:pt idx="2">
                  <c:v>23122</c:v>
                </c:pt>
                <c:pt idx="3">
                  <c:v>23123</c:v>
                </c:pt>
                <c:pt idx="4">
                  <c:v>23123</c:v>
                </c:pt>
                <c:pt idx="5">
                  <c:v>23129</c:v>
                </c:pt>
                <c:pt idx="6">
                  <c:v>23130</c:v>
                </c:pt>
                <c:pt idx="7">
                  <c:v>23130</c:v>
                </c:pt>
                <c:pt idx="8">
                  <c:v>23130</c:v>
                </c:pt>
                <c:pt idx="9">
                  <c:v>23130</c:v>
                </c:pt>
                <c:pt idx="10">
                  <c:v>23130</c:v>
                </c:pt>
                <c:pt idx="11">
                  <c:v>23136</c:v>
                </c:pt>
                <c:pt idx="12">
                  <c:v>23136</c:v>
                </c:pt>
                <c:pt idx="13">
                  <c:v>23142</c:v>
                </c:pt>
                <c:pt idx="14">
                  <c:v>23143</c:v>
                </c:pt>
                <c:pt idx="15">
                  <c:v>23152</c:v>
                </c:pt>
                <c:pt idx="16">
                  <c:v>23153</c:v>
                </c:pt>
                <c:pt idx="17">
                  <c:v>23153</c:v>
                </c:pt>
                <c:pt idx="18">
                  <c:v>23156</c:v>
                </c:pt>
                <c:pt idx="19">
                  <c:v>23156</c:v>
                </c:pt>
                <c:pt idx="20">
                  <c:v>23157</c:v>
                </c:pt>
                <c:pt idx="21">
                  <c:v>23158</c:v>
                </c:pt>
                <c:pt idx="22">
                  <c:v>23163</c:v>
                </c:pt>
                <c:pt idx="23">
                  <c:v>23164</c:v>
                </c:pt>
                <c:pt idx="24">
                  <c:v>23165</c:v>
                </c:pt>
                <c:pt idx="26">
                  <c:v>23166</c:v>
                </c:pt>
                <c:pt idx="27">
                  <c:v>23166</c:v>
                </c:pt>
                <c:pt idx="29">
                  <c:v>23171</c:v>
                </c:pt>
                <c:pt idx="30">
                  <c:v>23173</c:v>
                </c:pt>
                <c:pt idx="31">
                  <c:v>23174</c:v>
                </c:pt>
                <c:pt idx="32">
                  <c:v>23177</c:v>
                </c:pt>
                <c:pt idx="33">
                  <c:v>23179</c:v>
                </c:pt>
                <c:pt idx="34">
                  <c:v>23180</c:v>
                </c:pt>
                <c:pt idx="36">
                  <c:v>23181</c:v>
                </c:pt>
                <c:pt idx="37">
                  <c:v>23182</c:v>
                </c:pt>
                <c:pt idx="38">
                  <c:v>23183</c:v>
                </c:pt>
                <c:pt idx="39">
                  <c:v>23188</c:v>
                </c:pt>
                <c:pt idx="40">
                  <c:v>23192</c:v>
                </c:pt>
                <c:pt idx="41">
                  <c:v>23193</c:v>
                </c:pt>
                <c:pt idx="44">
                  <c:v>23202</c:v>
                </c:pt>
                <c:pt idx="46">
                  <c:v>23206</c:v>
                </c:pt>
                <c:pt idx="48">
                  <c:v>23207</c:v>
                </c:pt>
                <c:pt idx="50">
                  <c:v>23208</c:v>
                </c:pt>
                <c:pt idx="52">
                  <c:v>23215</c:v>
                </c:pt>
                <c:pt idx="53">
                  <c:v>23216</c:v>
                </c:pt>
                <c:pt idx="55">
                  <c:v>23219</c:v>
                </c:pt>
                <c:pt idx="56">
                  <c:v>23220</c:v>
                </c:pt>
                <c:pt idx="57">
                  <c:v>23221</c:v>
                </c:pt>
                <c:pt idx="58">
                  <c:v>23222</c:v>
                </c:pt>
                <c:pt idx="59">
                  <c:v>23226</c:v>
                </c:pt>
                <c:pt idx="60">
                  <c:v>23227</c:v>
                </c:pt>
                <c:pt idx="61">
                  <c:v>23228</c:v>
                </c:pt>
                <c:pt idx="62">
                  <c:v>23229</c:v>
                </c:pt>
                <c:pt idx="63">
                  <c:v>23233</c:v>
                </c:pt>
                <c:pt idx="64">
                  <c:v>23234</c:v>
                </c:pt>
                <c:pt idx="65">
                  <c:v>23234</c:v>
                </c:pt>
                <c:pt idx="66">
                  <c:v>23234</c:v>
                </c:pt>
                <c:pt idx="67">
                  <c:v>23235</c:v>
                </c:pt>
                <c:pt idx="69">
                  <c:v>23240</c:v>
                </c:pt>
                <c:pt idx="70">
                  <c:v>23241</c:v>
                </c:pt>
                <c:pt idx="72">
                  <c:v>23243</c:v>
                </c:pt>
                <c:pt idx="73">
                  <c:v>23247</c:v>
                </c:pt>
                <c:pt idx="74">
                  <c:v>23247</c:v>
                </c:pt>
                <c:pt idx="75">
                  <c:v>23247</c:v>
                </c:pt>
                <c:pt idx="76">
                  <c:v>23248</c:v>
                </c:pt>
                <c:pt idx="77">
                  <c:v>23248</c:v>
                </c:pt>
                <c:pt idx="78">
                  <c:v>23249</c:v>
                </c:pt>
                <c:pt idx="79">
                  <c:v>23249</c:v>
                </c:pt>
                <c:pt idx="80">
                  <c:v>23253</c:v>
                </c:pt>
                <c:pt idx="81">
                  <c:v>23254</c:v>
                </c:pt>
                <c:pt idx="82">
                  <c:v>23254</c:v>
                </c:pt>
                <c:pt idx="83">
                  <c:v>23255</c:v>
                </c:pt>
                <c:pt idx="84">
                  <c:v>23255</c:v>
                </c:pt>
              </c:numCache>
            </c:numRef>
          </c:xVal>
          <c:yVal>
            <c:numRef>
              <c:f>'Python 3-E Test summary'!$E$2:$E$86</c:f>
              <c:numCache>
                <c:formatCode>General</c:formatCode>
                <c:ptCount val="85"/>
                <c:pt idx="0">
                  <c:v>0.92100000000000004</c:v>
                </c:pt>
                <c:pt idx="1">
                  <c:v>1.1559999999999999</c:v>
                </c:pt>
                <c:pt idx="2">
                  <c:v>0.99299999999999999</c:v>
                </c:pt>
                <c:pt idx="3">
                  <c:v>1.4510000000000001</c:v>
                </c:pt>
                <c:pt idx="4">
                  <c:v>1.2290000000000001</c:v>
                </c:pt>
                <c:pt idx="5">
                  <c:v>1.343</c:v>
                </c:pt>
                <c:pt idx="6">
                  <c:v>1.02</c:v>
                </c:pt>
                <c:pt idx="7">
                  <c:v>1.151</c:v>
                </c:pt>
                <c:pt idx="8">
                  <c:v>1.149</c:v>
                </c:pt>
                <c:pt idx="9">
                  <c:v>1.19</c:v>
                </c:pt>
                <c:pt idx="10">
                  <c:v>1.0309999999999999</c:v>
                </c:pt>
                <c:pt idx="11">
                  <c:v>1.5349999999999999</c:v>
                </c:pt>
                <c:pt idx="12">
                  <c:v>1.419</c:v>
                </c:pt>
                <c:pt idx="13">
                  <c:v>0.94499999999999995</c:v>
                </c:pt>
                <c:pt idx="14">
                  <c:v>0.92400000000000004</c:v>
                </c:pt>
                <c:pt idx="15">
                  <c:v>1.022</c:v>
                </c:pt>
                <c:pt idx="16">
                  <c:v>1.1160000000000001</c:v>
                </c:pt>
                <c:pt idx="17" formatCode="0.000">
                  <c:v>1.18</c:v>
                </c:pt>
                <c:pt idx="18" formatCode="0.000">
                  <c:v>1.2450000000000001</c:v>
                </c:pt>
                <c:pt idx="19" formatCode="0.000">
                  <c:v>1.2070000000000001</c:v>
                </c:pt>
                <c:pt idx="20">
                  <c:v>1.6870000000000001</c:v>
                </c:pt>
                <c:pt idx="21">
                  <c:v>1.6990000000000001</c:v>
                </c:pt>
                <c:pt idx="22">
                  <c:v>1.1930000000000001</c:v>
                </c:pt>
                <c:pt idx="23">
                  <c:v>1.3759999999999999</c:v>
                </c:pt>
                <c:pt idx="24">
                  <c:v>1.266</c:v>
                </c:pt>
                <c:pt idx="26">
                  <c:v>1.3660000000000001</c:v>
                </c:pt>
                <c:pt idx="27">
                  <c:v>1.345</c:v>
                </c:pt>
                <c:pt idx="29">
                  <c:v>1.3320000000000001</c:v>
                </c:pt>
                <c:pt idx="30">
                  <c:v>1.1579999999999999</c:v>
                </c:pt>
                <c:pt idx="31">
                  <c:v>1.135</c:v>
                </c:pt>
                <c:pt idx="32">
                  <c:v>1.1779999999999999</c:v>
                </c:pt>
                <c:pt idx="33">
                  <c:v>1.2669999999999999</c:v>
                </c:pt>
                <c:pt idx="34">
                  <c:v>1.208</c:v>
                </c:pt>
                <c:pt idx="53" formatCode="0.00">
                  <c:v>1.1180000000000001</c:v>
                </c:pt>
                <c:pt idx="56">
                  <c:v>1.22</c:v>
                </c:pt>
                <c:pt idx="57">
                  <c:v>1.1399999999999999</c:v>
                </c:pt>
                <c:pt idx="58">
                  <c:v>1.44</c:v>
                </c:pt>
                <c:pt idx="60" formatCode="0.00">
                  <c:v>1.0840000000000001</c:v>
                </c:pt>
                <c:pt idx="72">
                  <c:v>1.02</c:v>
                </c:pt>
                <c:pt idx="73" formatCode="0.00">
                  <c:v>0.98399999999999999</c:v>
                </c:pt>
                <c:pt idx="76">
                  <c:v>1.34</c:v>
                </c:pt>
                <c:pt idx="79">
                  <c:v>1.0900000000000001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6C-47D8-8948-FA7FB568F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6175232"/>
        <c:axId val="907716448"/>
      </c:scatterChart>
      <c:valAx>
        <c:axId val="120617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 of batch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716448"/>
        <c:crosses val="autoZero"/>
        <c:crossBetween val="midCat"/>
      </c:valAx>
      <c:valAx>
        <c:axId val="90771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Overpotential at 20 mA/cm2 (mV)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175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>
      <cx:tx>
        <cx:txData>
          <cx:v>XRF for Root-Cause Anode Testing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XRF for Root-Cause Anode Testing</a:t>
          </a:r>
        </a:p>
      </cx:txPr>
    </cx:title>
    <cx:plotArea>
      <cx:plotAreaRegion>
        <cx:series layoutId="boxWhisker" uniqueId="{7647D3C2-0477-47E7-B4AC-68B3C1BB4A7E}">
          <cx:tx>
            <cx:txData>
              <cx:f/>
              <cx:v>Baseline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90BE33E-68AB-44FA-A879-907CB39FF577}">
          <cx:tx>
            <cx:txData>
              <cx:f/>
              <cx:v>Flow Through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Fe:Ni Ratio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Fe:Ni Ratio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  <cx:legend pos="r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_xlchart.v1.4</cx:f>
      </cx:numDim>
    </cx:data>
  </cx:chartData>
  <cx:chart>
    <cx:title pos="t" align="ctr" overlay="0">
      <cx:tx>
        <cx:txData>
          <cx:v>Chart Title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Chart Title</a:t>
          </a:r>
        </a:p>
      </cx:txPr>
    </cx:title>
    <cx:plotArea>
      <cx:plotAreaRegion>
        <cx:series layoutId="boxWhisker" uniqueId="{AD1B1362-D730-4D8F-9546-A4CF1B7E8388}" formatIdx="1">
          <cx:tx>
            <cx:txData>
              <cx:f>_xlchart.v1.3</cx:f>
              <cx:v>Overpotential/mV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_xlchart.v1.5</cx:f>
      </cx:numDim>
    </cx:data>
  </cx:chartData>
  <cx:chart>
    <cx:title pos="t" align="ctr" overlay="0">
      <cx:tx>
        <cx:txData>
          <cx:v>Loading vs. Fabrication method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 b="1">
              <a:solidFill>
                <a:sysClr val="windowText" lastClr="000000"/>
              </a:solidFill>
            </a:defRPr>
          </a:pPr>
          <a:r>
            <a:rPr lang="en-US" sz="1200" b="1" i="0" u="none" strike="noStrike" baseline="0">
              <a:solidFill>
                <a:sysClr val="windowText" lastClr="000000"/>
              </a:solidFill>
              <a:latin typeface="Calibri" panose="020F0502020204030204"/>
            </a:rPr>
            <a:t>Loading vs. Fabrication method</a:t>
          </a:r>
        </a:p>
      </cx:txPr>
    </cx:title>
    <cx:plotArea>
      <cx:plotAreaRegion>
        <cx:series layoutId="boxWhisker" uniqueId="{FF45489F-23B1-4682-A641-3AD7D15A8A70}">
          <cx:tx>
            <cx:txData>
              <cx:f/>
              <cx:v>Baseline anode</cx:v>
            </cx:txData>
          </cx:tx>
          <cx:dataId val="0"/>
          <cx:layoutPr>
            <cx:visibility meanLine="0" meanMarker="1" nonoutliers="0" outliers="1"/>
            <cx:statistics quartileMethod="inclusive"/>
          </cx:layoutPr>
        </cx:series>
        <cx:series layoutId="boxWhisker" uniqueId="{00000001-28CD-4B23-8F83-41DE6AE39AB7}">
          <cx:tx>
            <cx:txData>
              <cx:f/>
              <cx:v>FTA</cx:v>
            </cx:txData>
          </cx:tx>
          <cx:dataId val="1"/>
          <cx:layoutPr>
            <cx:statistics quartileMethod="inclusive"/>
          </cx:layoutPr>
        </cx:series>
      </cx:plotAreaRegion>
      <cx:axis id="0" hidden="1">
        <cx:catScaling gapWidth="1"/>
        <cx:title>
          <cx:tx>
            <cx:txData>
              <cx:v>Baseline anode		Flow though anode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200" b="1">
                  <a:solidFill>
                    <a:sysClr val="windowText" lastClr="000000"/>
                  </a:solidFill>
                </a:defRPr>
              </a:pPr>
              <a:r>
                <a:rPr lang="en-US" sz="1200" b="1" i="0" u="none" strike="noStrike" baseline="0">
                  <a:solidFill>
                    <a:sysClr val="windowText" lastClr="000000"/>
                  </a:solidFill>
                  <a:latin typeface="Calibri" panose="020F0502020204030204"/>
                </a:rPr>
                <a:t>Baseline anode		Flow though anode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1" i="0">
                <a:solidFill>
                  <a:sysClr val="windowText" lastClr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200" b="1">
              <a:solidFill>
                <a:sysClr val="windowText" lastClr="000000"/>
              </a:solidFill>
            </a:endParaRPr>
          </a:p>
        </cx:txPr>
      </cx:axis>
      <cx:axis id="1">
        <cx:valScaling min="2"/>
        <cx:title>
          <cx:tx>
            <cx:txData>
              <cx:v>Catalyst laoding (mg/cm2)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200" b="1">
                  <a:solidFill>
                    <a:sysClr val="windowText" lastClr="000000"/>
                  </a:solidFill>
                </a:defRPr>
              </a:pPr>
              <a:r>
                <a:rPr lang="en-US" sz="1200" b="1" i="0" u="none" strike="noStrike" baseline="0">
                  <a:solidFill>
                    <a:sysClr val="windowText" lastClr="000000"/>
                  </a:solidFill>
                  <a:latin typeface="Calibri" panose="020F0502020204030204"/>
                </a:rPr>
                <a:t>Catalyst laoding (mg/cm2)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ysClr val="windowText" lastClr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200" b="0">
              <a:solidFill>
                <a:sysClr val="windowText" lastClr="000000"/>
              </a:solidFill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_xlchart.v1.9</cx:f>
      </cx:numDim>
    </cx:data>
  </cx:chartData>
  <cx:chart>
    <cx:title pos="t" align="ctr" overlay="0">
      <cx:tx>
        <cx:txData>
          <cx:v>Fabrication Method vs Overpotential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Fabrication Method vs Overpotential</a:t>
          </a:r>
        </a:p>
      </cx:txPr>
    </cx:title>
    <cx:plotArea>
      <cx:plotAreaRegion>
        <cx:series layoutId="boxWhisker" uniqueId="{4CB60857-CDDD-4F63-A75B-53046F54D0F1}" formatIdx="0">
          <cx:tx>
            <cx:txData>
              <cx:f>_xlchart.v1.8</cx:f>
              <cx:v>Overpotential η (mV)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Fabrication Method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Fabrication Method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title>
          <cx:tx>
            <cx:txData>
              <cx:v>Overpotential (mV)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Overpotential (mV)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ocumenttasks/documenttask1.xml><?xml version="1.0" encoding="utf-8"?>
<Tasks xmlns="http://schemas.microsoft.com/office/tasks/2019/documenttasks">
  <Task id="{20CBF32D-F186-410E-B0F2-7D70775E6200}">
    <Anchor>
      <Comment id="{B5C947C7-23AE-4E84-920A-983DBECA3988}"/>
    </Anchor>
    <History>
      <Event time="2023-07-07T15:33:10.71" id="{80FE69E7-9C84-43E7-B428-9A5775533D29}">
        <Attribution userId="S::lisa.dunsmore@versogen.com::ffd333d8-3b61-44b5-a127-ce6728f84f43" userName="Lisa Dunsmore" userProvider="AD"/>
        <Anchor>
          <Comment id="{B5C947C7-23AE-4E84-920A-983DBECA3988}"/>
        </Anchor>
        <Create/>
      </Event>
      <Event time="2023-07-07T15:33:10.71" id="{E6292E62-5D67-4215-B732-79022443C49F}">
        <Attribution userId="S::lisa.dunsmore@versogen.com::ffd333d8-3b61-44b5-a127-ce6728f84f43" userName="Lisa Dunsmore" userProvider="AD"/>
        <Anchor>
          <Comment id="{B5C947C7-23AE-4E84-920A-983DBECA3988}"/>
        </Anchor>
        <Assign userId="S::udari.kodithuwakku@versogen.com::9b4252cc-3249-44dd-83eb-7c68f0c4e153" userName="Udari Kodithuwakku" userProvider="AD"/>
      </Event>
      <Event time="2023-07-07T15:33:10.71" id="{049D23F3-0E7D-4FFC-95D6-80D688E855BE}">
        <Attribution userId="S::lisa.dunsmore@versogen.com::ffd333d8-3b61-44b5-a127-ce6728f84f43" userName="Lisa Dunsmore" userProvider="AD"/>
        <Anchor>
          <Comment id="{B5C947C7-23AE-4E84-920A-983DBECA3988}"/>
        </Anchor>
        <SetTitle title="@Udari Kodithuwakku @Chris Kiser what is the thickness and standard deviation of the mwp003 anode?"/>
      </Event>
    </History>
  </Task>
  <Task id="{DBB4CF37-6FC5-408F-AC91-285C611AB098}">
    <Anchor>
      <Comment id="{38F7B60D-83C7-472C-9961-F4B46860972F}"/>
    </Anchor>
    <History>
      <Event time="2023-09-18T20:19:10.39" id="{E59B387A-E721-494C-848B-CB66D20ED707}">
        <Attribution userId="S::brian@versogen.com::c7842547-0e5f-4424-bd9f-536b294a66b7" userName="Brian Setzler" userProvider="AD"/>
        <Anchor>
          <Comment id="{38F7B60D-83C7-472C-9961-F4B46860972F}"/>
        </Anchor>
        <Create/>
      </Event>
      <Event time="2023-09-18T20:19:10.39" id="{3E4BF5F9-342A-465F-A781-88E7327B55FD}">
        <Attribution userId="S::brian@versogen.com::c7842547-0e5f-4424-bd9f-536b294a66b7" userName="Brian Setzler" userProvider="AD"/>
        <Anchor>
          <Comment id="{38F7B60D-83C7-472C-9961-F4B46860972F}"/>
        </Anchor>
        <Assign userId="S::udari.kodithuwakku@versogen.com::9b4252cc-3249-44dd-83eb-7c68f0c4e153" userName="Udari Kodithuwakku" userProvider="AD"/>
      </Event>
      <Event time="2023-09-18T20:19:10.39" id="{A2383121-C83A-4BB2-A852-AB4D48AF4AD6}">
        <Attribution userId="S::brian@versogen.com::c7842547-0e5f-4424-bd9f-536b294a66b7" userName="Brian Setzler" userProvider="AD"/>
        <Anchor>
          <Comment id="{38F7B60D-83C7-472C-9961-F4B46860972F}"/>
        </Anchor>
        <SetTitle title="@Udari Kodithuwakku Am I on the right sheet? There should be 4 measurements for batch 23129C1, but I only see one."/>
      </Event>
    </History>
  </Task>
  <Task id="{DE5E9884-73C2-4E6E-8B14-2505EFF75C9E}">
    <Anchor>
      <Comment id="{455224ED-B7AD-447F-A42E-324F2E0CAA29}"/>
    </Anchor>
    <History>
      <Event time="2023-08-02T20:01:12.02" id="{2FCBA6AD-8027-4142-BE6D-5034C5554988}">
        <Attribution userId="S::lisa.dunsmore@versogen.com::ffd333d8-3b61-44b5-a127-ce6728f84f43" userName="Lisa Dunsmore" userProvider="AD"/>
        <Anchor>
          <Comment id="{455224ED-B7AD-447F-A42E-324F2E0CAA29}"/>
        </Anchor>
        <Create/>
      </Event>
      <Event time="2023-08-02T20:01:12.02" id="{EAAB6E7A-37F1-4AB9-8F54-D45EDDA9B3D4}">
        <Attribution userId="S::lisa.dunsmore@versogen.com::ffd333d8-3b61-44b5-a127-ce6728f84f43" userName="Lisa Dunsmore" userProvider="AD"/>
        <Anchor>
          <Comment id="{455224ED-B7AD-447F-A42E-324F2E0CAA29}"/>
        </Anchor>
        <Assign userId="S::william@versogen.com::f16eb08e-90ce-43e3-b524-bd1c7371a9be" userName="William Wilhelm" userProvider="AD"/>
      </Event>
      <Event time="2023-08-02T20:01:12.02" id="{C1424243-3FCC-4E69-A6BB-6487E5CFDBCB}">
        <Attribution userId="S::lisa.dunsmore@versogen.com::ffd333d8-3b61-44b5-a127-ce6728f84f43" userName="Lisa Dunsmore" userProvider="AD"/>
        <Anchor>
          <Comment id="{455224ED-B7AD-447F-A42E-324F2E0CAA29}"/>
        </Anchor>
        <SetTitle title="@William Wilhelm @Luke Brusse @Siddhantha Awasthi update the stack number for each of these anodes by 9 am tomorrow morning 8/3/23"/>
      </Event>
    </History>
  </Task>
  <Task id="{75F8A7A7-23A2-4799-8F37-E005BE08E96E}">
    <Anchor>
      <Comment id="{87DB442D-E29D-4C19-A69B-2EBD4A83E5C6}"/>
    </Anchor>
    <History>
      <Event time="2023-06-29T06:18:31.20" id="{3AD78774-251B-4EC6-AA64-2D079F3597A9}">
        <Attribution userId="S::udari.kodithuwakku@versogen.com::9b4252cc-3249-44dd-83eb-7c68f0c4e153" userName="Udari Kodithuwakku" userProvider="AD"/>
        <Anchor>
          <Comment id="{87DB442D-E29D-4C19-A69B-2EBD4A83E5C6}"/>
        </Anchor>
        <Create/>
      </Event>
      <Event time="2023-06-29T06:18:31.20" id="{1C8ED583-CF46-4A95-A850-CAB0275D339B}">
        <Attribution userId="S::udari.kodithuwakku@versogen.com::9b4252cc-3249-44dd-83eb-7c68f0c4e153" userName="Udari Kodithuwakku" userProvider="AD"/>
        <Anchor>
          <Comment id="{87DB442D-E29D-4C19-A69B-2EBD4A83E5C6}"/>
        </Anchor>
        <Assign userId="S::christopher.kiser@versogen.com::5f4f0c49-3a54-43d4-8191-2f3ed56ddba9" userName="Chris Kiser" userProvider="AD"/>
      </Event>
      <Event time="2023-06-29T06:18:31.20" id="{AEC8C830-A475-492A-9F96-0172FCF98D8F}">
        <Attribution userId="S::udari.kodithuwakku@versogen.com::9b4252cc-3249-44dd-83eb-7c68f0c4e153" userName="Udari Kodithuwakku" userProvider="AD"/>
        <Anchor>
          <Comment id="{87DB442D-E29D-4C19-A69B-2EBD4A83E5C6}"/>
        </Anchor>
        <SetTitle title="@Chris Kiser Please update this"/>
      </Event>
      <Event time="2023-06-29T14:09:28.93" id="{FE54064E-B844-4F69-8C27-194142B474C8}">
        <Attribution userId="S::christopher.kiser@versogen.com::5f4f0c49-3a54-43d4-8191-2f3ed56ddba9" userName="Chris Kiser" userProvider="AD"/>
        <Progress percentComplete="100"/>
      </Event>
    </History>
  </Task>
</Tasks>
</file>

<file path=xl/documenttasks/documenttask2.xml><?xml version="1.0" encoding="utf-8"?>
<Tasks xmlns="http://schemas.microsoft.com/office/tasks/2019/documenttasks">
  <Task id="{033A9D10-A63B-49AA-BDC3-B0D4EB912EC6}">
    <Anchor>
      <Comment id="{BBEF80A4-78DA-4ED4-9BCA-8BAE4DC91D9E}"/>
    </Anchor>
    <History>
      <Event time="2023-07-07T15:33:10.71" id="{80FE69E7-9C84-43E7-B428-9A5775533D29}">
        <Attribution userId="S::lisa.dunsmore@versogen.com::ffd333d8-3b61-44b5-a127-ce6728f84f43" userName="Lisa Dunsmore" userProvider="AD"/>
        <Anchor>
          <Comment id="{BBEF80A4-78DA-4ED4-9BCA-8BAE4DC91D9E}"/>
        </Anchor>
        <Create/>
      </Event>
      <Event time="2023-07-07T15:33:10.71" id="{E6292E62-5D67-4215-B732-79022443C49F}">
        <Attribution userId="S::lisa.dunsmore@versogen.com::ffd333d8-3b61-44b5-a127-ce6728f84f43" userName="Lisa Dunsmore" userProvider="AD"/>
        <Anchor>
          <Comment id="{BBEF80A4-78DA-4ED4-9BCA-8BAE4DC91D9E}"/>
        </Anchor>
        <Assign userId="S::udari.kodithuwakku@versogen.com::9b4252cc-3249-44dd-83eb-7c68f0c4e153" userName="Udari Kodithuwakku" userProvider="AD"/>
      </Event>
      <Event time="2023-07-07T15:33:10.71" id="{049D23F3-0E7D-4FFC-95D6-80D688E855BE}">
        <Attribution userId="S::lisa.dunsmore@versogen.com::ffd333d8-3b61-44b5-a127-ce6728f84f43" userName="Lisa Dunsmore" userProvider="AD"/>
        <Anchor>
          <Comment id="{BBEF80A4-78DA-4ED4-9BCA-8BAE4DC91D9E}"/>
        </Anchor>
        <SetTitle title="@Udari Kodithuwakku @Chris Kiser what is the thickness and standard deviation of the mwp003 anode?"/>
      </Event>
    </History>
  </Task>
  <Task id="{697E571B-A322-47FD-AC94-9886C42D0CE6}">
    <Anchor>
      <Comment id="{96916BAE-DCAA-41A0-B9F6-69EE151FB2A7}"/>
    </Anchor>
    <History>
      <Event time="2023-06-29T06:18:31.20" id="{3AD78774-251B-4EC6-AA64-2D079F3597A9}">
        <Attribution userId="S::udari.kodithuwakku@versogen.com::9b4252cc-3249-44dd-83eb-7c68f0c4e153" userName="Udari Kodithuwakku" userProvider="AD"/>
        <Anchor>
          <Comment id="{96916BAE-DCAA-41A0-B9F6-69EE151FB2A7}"/>
        </Anchor>
        <Create/>
      </Event>
      <Event time="2023-06-29T06:18:31.20" id="{1C8ED583-CF46-4A95-A850-CAB0275D339B}">
        <Attribution userId="S::udari.kodithuwakku@versogen.com::9b4252cc-3249-44dd-83eb-7c68f0c4e153" userName="Udari Kodithuwakku" userProvider="AD"/>
        <Anchor>
          <Comment id="{96916BAE-DCAA-41A0-B9F6-69EE151FB2A7}"/>
        </Anchor>
        <Assign userId="S::christopher.kiser@versogen.com::5f4f0c49-3a54-43d4-8191-2f3ed56ddba9" userName="Chris Kiser" userProvider="AD"/>
      </Event>
      <Event time="2023-06-29T06:18:31.20" id="{AEC8C830-A475-492A-9F96-0172FCF98D8F}">
        <Attribution userId="S::udari.kodithuwakku@versogen.com::9b4252cc-3249-44dd-83eb-7c68f0c4e153" userName="Udari Kodithuwakku" userProvider="AD"/>
        <Anchor>
          <Comment id="{96916BAE-DCAA-41A0-B9F6-69EE151FB2A7}"/>
        </Anchor>
        <SetTitle title="@Chris Kiser Please update this"/>
      </Event>
      <Event time="2023-06-29T14:09:28.93" id="{FE54064E-B844-4F69-8C27-194142B474C8}">
        <Attribution userId="S::christopher.kiser@versogen.com::5f4f0c49-3a54-43d4-8191-2f3ed56ddba9" userName="Chris Kiser" userProvider="AD"/>
        <Progress percentComplete="100"/>
      </Event>
    </History>
  </Task>
  <Task id="{0C0C905E-E81D-425B-8ADC-222678790053}">
    <Anchor>
      <Comment id="{70CA78E0-1D9D-44F3-8030-71C2A9B4D41D}"/>
    </Anchor>
    <History>
      <Event time="2023-08-02T20:01:12.02" id="{2FCBA6AD-8027-4142-BE6D-5034C5554988}">
        <Attribution userId="S::lisa.dunsmore@versogen.com::ffd333d8-3b61-44b5-a127-ce6728f84f43" userName="Lisa Dunsmore" userProvider="AD"/>
        <Anchor>
          <Comment id="{70CA78E0-1D9D-44F3-8030-71C2A9B4D41D}"/>
        </Anchor>
        <Create/>
      </Event>
      <Event time="2023-08-02T20:01:12.02" id="{EAAB6E7A-37F1-4AB9-8F54-D45EDDA9B3D4}">
        <Attribution userId="S::lisa.dunsmore@versogen.com::ffd333d8-3b61-44b5-a127-ce6728f84f43" userName="Lisa Dunsmore" userProvider="AD"/>
        <Anchor>
          <Comment id="{70CA78E0-1D9D-44F3-8030-71C2A9B4D41D}"/>
        </Anchor>
        <Assign userId="S::william@versogen.com::f16eb08e-90ce-43e3-b524-bd1c7371a9be" userName="William Wilhelm" userProvider="AD"/>
      </Event>
      <Event time="2023-08-02T20:01:12.02" id="{C1424243-3FCC-4E69-A6BB-6487E5CFDBCB}">
        <Attribution userId="S::lisa.dunsmore@versogen.com::ffd333d8-3b61-44b5-a127-ce6728f84f43" userName="Lisa Dunsmore" userProvider="AD"/>
        <Anchor>
          <Comment id="{70CA78E0-1D9D-44F3-8030-71C2A9B4D41D}"/>
        </Anchor>
        <SetTitle title="@William Wilhelm @Luke Brusse @Siddhantha Awasthi update the stack number for each of these anodes by 9 am tomorrow morning 8/3/23"/>
      </Event>
    </History>
  </Task>
  <Task id="{075F4E65-4F9A-4F36-A21E-7F755F9DCFDE}">
    <Anchor>
      <Comment id="{2DA8EFA4-BB89-4296-B671-C6B08786D51E}"/>
    </Anchor>
    <History>
      <Event time="2023-06-29T06:18:31.20" id="{3AD78774-251B-4EC6-AA64-2D079F3597A9}">
        <Attribution userId="S::udari.kodithuwakku@versogen.com::9b4252cc-3249-44dd-83eb-7c68f0c4e153" userName="Udari Kodithuwakku" userProvider="AD"/>
        <Anchor>
          <Comment id="{2DA8EFA4-BB89-4296-B671-C6B08786D51E}"/>
        </Anchor>
        <Create/>
      </Event>
      <Event time="2023-06-29T06:18:31.20" id="{1C8ED583-CF46-4A95-A850-CAB0275D339B}">
        <Attribution userId="S::udari.kodithuwakku@versogen.com::9b4252cc-3249-44dd-83eb-7c68f0c4e153" userName="Udari Kodithuwakku" userProvider="AD"/>
        <Anchor>
          <Comment id="{2DA8EFA4-BB89-4296-B671-C6B08786D51E}"/>
        </Anchor>
        <Assign userId="S::christopher.kiser@versogen.com::5f4f0c49-3a54-43d4-8191-2f3ed56ddba9" userName="Chris Kiser" userProvider="AD"/>
      </Event>
      <Event time="2023-06-29T06:18:31.20" id="{AEC8C830-A475-492A-9F96-0172FCF98D8F}">
        <Attribution userId="S::udari.kodithuwakku@versogen.com::9b4252cc-3249-44dd-83eb-7c68f0c4e153" userName="Udari Kodithuwakku" userProvider="AD"/>
        <Anchor>
          <Comment id="{2DA8EFA4-BB89-4296-B671-C6B08786D51E}"/>
        </Anchor>
        <SetTitle title="@Chris Kiser Please update this"/>
      </Event>
      <Event time="2023-06-29T14:09:28.93" id="{FE54064E-B844-4F69-8C27-194142B474C8}">
        <Attribution userId="S::christopher.kiser@versogen.com::5f4f0c49-3a54-43d4-8191-2f3ed56ddba9" userName="Chris Kiser" userProvider="AD"/>
        <Progress percentComplete="100"/>
      </Event>
    </History>
  </Task>
  <Task id="{FEF53E6C-6299-4CBD-9EFD-A86805EAB9F8}">
    <Anchor>
      <Comment id="{23588F1E-1C94-4FCB-9967-F7972A43B9FE}"/>
    </Anchor>
    <History>
      <Event time="2023-09-18T20:19:10.39" id="{E59B387A-E721-494C-848B-CB66D20ED707}">
        <Attribution userId="S::brian@versogen.com::c7842547-0e5f-4424-bd9f-536b294a66b7" userName="Brian Setzler" userProvider="AD"/>
        <Anchor>
          <Comment id="{23588F1E-1C94-4FCB-9967-F7972A43B9FE}"/>
        </Anchor>
        <Create/>
      </Event>
      <Event time="2023-09-18T20:19:10.39" id="{3E4BF5F9-342A-465F-A781-88E7327B55FD}">
        <Attribution userId="S::brian@versogen.com::c7842547-0e5f-4424-bd9f-536b294a66b7" userName="Brian Setzler" userProvider="AD"/>
        <Anchor>
          <Comment id="{23588F1E-1C94-4FCB-9967-F7972A43B9FE}"/>
        </Anchor>
        <Assign userId="S::udari.kodithuwakku@versogen.com::9b4252cc-3249-44dd-83eb-7c68f0c4e153" userName="Udari Kodithuwakku" userProvider="AD"/>
      </Event>
      <Event time="2023-09-18T20:19:10.39" id="{A2383121-C83A-4BB2-A852-AB4D48AF4AD6}">
        <Attribution userId="S::brian@versogen.com::c7842547-0e5f-4424-bd9f-536b294a66b7" userName="Brian Setzler" userProvider="AD"/>
        <Anchor>
          <Comment id="{23588F1E-1C94-4FCB-9967-F7972A43B9FE}"/>
        </Anchor>
        <SetTitle title="@Udari Kodithuwakku Am I on the right sheet? There should be 4 measurements for batch 23129C1, but I only see one."/>
      </Event>
    </History>
  </Task>
</Tasks>
</file>

<file path=xl/documenttasks/documenttask3.xml><?xml version="1.0" encoding="utf-8"?>
<Tasks xmlns="http://schemas.microsoft.com/office/tasks/2019/documenttasks">
  <Task id="{C1B9769B-8975-4888-B7AA-CD2FA39B90AD}">
    <Anchor>
      <Comment id="{F899C66D-7EEE-4CE1-998B-A03F6D406F72}"/>
    </Anchor>
    <History>
      <Event time="2023-09-15T09:25:31.82" id="{38E26B41-CFF5-470C-B7DB-F2B267BE5CB7}">
        <Attribution userId="S::udari.kodithuwakku@versogen.com::9b4252cc-3249-44dd-83eb-7c68f0c4e153" userName="Udari Kodithuwakku" userProvider="AD"/>
        <Anchor>
          <Comment id="{F899C66D-7EEE-4CE1-998B-A03F6D406F72}"/>
        </Anchor>
        <Create/>
      </Event>
      <Event time="2023-09-15T09:25:31.82" id="{47889E2F-A461-47C9-BB1E-DDE5347B8A73}">
        <Attribution userId="S::udari.kodithuwakku@versogen.com::9b4252cc-3249-44dd-83eb-7c68f0c4e153" userName="Udari Kodithuwakku" userProvider="AD"/>
        <Anchor>
          <Comment id="{F899C66D-7EEE-4CE1-998B-A03F6D406F72}"/>
        </Anchor>
        <Assign userId="S::christopher.kiser@versogen.com::5f4f0c49-3a54-43d4-8191-2f3ed56ddba9" userName="Chris Kiser" userProvider="AD"/>
      </Event>
      <Event time="2023-09-15T09:25:31.82" id="{E1F809D9-DE95-460A-A29A-6FF25EBA555A}">
        <Attribution userId="S::udari.kodithuwakku@versogen.com::9b4252cc-3249-44dd-83eb-7c68f0c4e153" userName="Udari Kodithuwakku" userProvider="AD"/>
        <Anchor>
          <Comment id="{F899C66D-7EEE-4CE1-998B-A03F6D406F72}"/>
        </Anchor>
        <SetTitle title="@Chris Kiser could you please check whether we have any 3E test for these samples. Today morning, we both work together to fill this table (9 am to 10 am)"/>
      </Event>
    </History>
  </Task>
</Task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2" Type="http://schemas.openxmlformats.org/officeDocument/2006/relationships/chart" Target="../charts/chart27.xml"/><Relationship Id="rId1" Type="http://schemas.openxmlformats.org/officeDocument/2006/relationships/chart" Target="../charts/chart2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7" Type="http://schemas.microsoft.com/office/2014/relationships/chartEx" Target="../charts/chartEx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6" Type="http://schemas.openxmlformats.org/officeDocument/2006/relationships/chart" Target="../charts/chart34.xml"/><Relationship Id="rId5" Type="http://schemas.openxmlformats.org/officeDocument/2006/relationships/chart" Target="../charts/chart33.xml"/><Relationship Id="rId4" Type="http://schemas.openxmlformats.org/officeDocument/2006/relationships/chart" Target="../charts/chart3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7.xml"/><Relationship Id="rId2" Type="http://schemas.openxmlformats.org/officeDocument/2006/relationships/chart" Target="../charts/chart36.xml"/><Relationship Id="rId1" Type="http://schemas.openxmlformats.org/officeDocument/2006/relationships/chart" Target="../charts/chart35.xml"/><Relationship Id="rId5" Type="http://schemas.openxmlformats.org/officeDocument/2006/relationships/chart" Target="../charts/chart39.xml"/><Relationship Id="rId4" Type="http://schemas.openxmlformats.org/officeDocument/2006/relationships/chart" Target="../charts/chart38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1.xml"/><Relationship Id="rId2" Type="http://schemas.openxmlformats.org/officeDocument/2006/relationships/chart" Target="../charts/chart40.xml"/><Relationship Id="rId1" Type="http://schemas.microsoft.com/office/2014/relationships/chartEx" Target="../charts/chartEx2.xml"/><Relationship Id="rId4" Type="http://schemas.openxmlformats.org/officeDocument/2006/relationships/chart" Target="../charts/chart42.xml"/></Relationships>
</file>

<file path=xl/drawings/_rels/drawing8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44450</xdr:colOff>
      <xdr:row>0</xdr:row>
      <xdr:rowOff>63500</xdr:rowOff>
    </xdr:from>
    <xdr:to>
      <xdr:col>16</xdr:col>
      <xdr:colOff>193485</xdr:colOff>
      <xdr:row>10</xdr:row>
      <xdr:rowOff>130792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1A437D-F81C-88D4-92B9-BB5B3E494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60700" y="63500"/>
          <a:ext cx="7464235" cy="246124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139</xdr:col>
      <xdr:colOff>381000</xdr:colOff>
      <xdr:row>0</xdr:row>
      <xdr:rowOff>14845</xdr:rowOff>
    </xdr:from>
    <xdr:to>
      <xdr:col>151</xdr:col>
      <xdr:colOff>494554</xdr:colOff>
      <xdr:row>23</xdr:row>
      <xdr:rowOff>97040</xdr:rowOff>
    </xdr:to>
    <xdr:graphicFrame macro="">
      <xdr:nvGraphicFramePr>
        <xdr:cNvPr id="194" name="Chart 1">
          <a:extLst>
            <a:ext uri="{FF2B5EF4-FFF2-40B4-BE49-F238E27FC236}">
              <a16:creationId xmlns:a16="http://schemas.microsoft.com/office/drawing/2014/main" id="{56EA5007-2FA0-B2D0-5C9D-3A6760FED4E4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93</xdr:col>
      <xdr:colOff>159685</xdr:colOff>
      <xdr:row>0</xdr:row>
      <xdr:rowOff>70274</xdr:rowOff>
    </xdr:from>
    <xdr:to>
      <xdr:col>107</xdr:col>
      <xdr:colOff>381001</xdr:colOff>
      <xdr:row>24</xdr:row>
      <xdr:rowOff>87064</xdr:rowOff>
    </xdr:to>
    <xdr:graphicFrame macro="">
      <xdr:nvGraphicFramePr>
        <xdr:cNvPr id="398" name="Chart 8">
          <a:extLst>
            <a:ext uri="{FF2B5EF4-FFF2-40B4-BE49-F238E27FC236}">
              <a16:creationId xmlns:a16="http://schemas.microsoft.com/office/drawing/2014/main" id="{6881C2BB-6141-D656-F468-16ADAAB85323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107</xdr:col>
      <xdr:colOff>521621</xdr:colOff>
      <xdr:row>0</xdr:row>
      <xdr:rowOff>56667</xdr:rowOff>
    </xdr:from>
    <xdr:to>
      <xdr:col>122</xdr:col>
      <xdr:colOff>108945</xdr:colOff>
      <xdr:row>24</xdr:row>
      <xdr:rowOff>76277</xdr:rowOff>
    </xdr:to>
    <xdr:graphicFrame macro="">
      <xdr:nvGraphicFramePr>
        <xdr:cNvPr id="123" name="Chart 10">
          <a:extLst>
            <a:ext uri="{FF2B5EF4-FFF2-40B4-BE49-F238E27FC236}">
              <a16:creationId xmlns:a16="http://schemas.microsoft.com/office/drawing/2014/main" id="{F3AD7632-609E-4741-80E2-6D4809853797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139</xdr:col>
      <xdr:colOff>381000</xdr:colOff>
      <xdr:row>24</xdr:row>
      <xdr:rowOff>158031</xdr:rowOff>
    </xdr:from>
    <xdr:to>
      <xdr:col>151</xdr:col>
      <xdr:colOff>486144</xdr:colOff>
      <xdr:row>48</xdr:row>
      <xdr:rowOff>106623</xdr:rowOff>
    </xdr:to>
    <xdr:graphicFrame macro="">
      <xdr:nvGraphicFramePr>
        <xdr:cNvPr id="37" name="Chart 12">
          <a:extLst>
            <a:ext uri="{FF2B5EF4-FFF2-40B4-BE49-F238E27FC236}">
              <a16:creationId xmlns:a16="http://schemas.microsoft.com/office/drawing/2014/main" id="{7E1AB9C5-C946-436F-B964-6BA68C230E3B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139</xdr:col>
      <xdr:colOff>398318</xdr:colOff>
      <xdr:row>49</xdr:row>
      <xdr:rowOff>97414</xdr:rowOff>
    </xdr:from>
    <xdr:to>
      <xdr:col>151</xdr:col>
      <xdr:colOff>487584</xdr:colOff>
      <xdr:row>75</xdr:row>
      <xdr:rowOff>175259</xdr:rowOff>
    </xdr:to>
    <xdr:graphicFrame macro="">
      <xdr:nvGraphicFramePr>
        <xdr:cNvPr id="300" name="Chart 13">
          <a:extLst>
            <a:ext uri="{FF2B5EF4-FFF2-40B4-BE49-F238E27FC236}">
              <a16:creationId xmlns:a16="http://schemas.microsoft.com/office/drawing/2014/main" id="{A06385A8-EB78-4FB4-8CDD-6AAA63ADC54E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152</xdr:col>
      <xdr:colOff>557648</xdr:colOff>
      <xdr:row>0</xdr:row>
      <xdr:rowOff>0</xdr:rowOff>
    </xdr:from>
    <xdr:to>
      <xdr:col>165</xdr:col>
      <xdr:colOff>16452</xdr:colOff>
      <xdr:row>23</xdr:row>
      <xdr:rowOff>113402</xdr:rowOff>
    </xdr:to>
    <xdr:graphicFrame macro="">
      <xdr:nvGraphicFramePr>
        <xdr:cNvPr id="211" name="Chart 14">
          <a:extLst>
            <a:ext uri="{FF2B5EF4-FFF2-40B4-BE49-F238E27FC236}">
              <a16:creationId xmlns:a16="http://schemas.microsoft.com/office/drawing/2014/main" id="{74DCBFEB-4230-4EC0-8E89-CC543BD1A7BC}"/>
            </a:ext>
            <a:ext uri="{147F2762-F138-4A5C-976F-8EAC2B608ADB}">
              <a16:predDERef xmlns:a16="http://schemas.microsoft.com/office/drawing/2014/main" pred="{A06385A8-EB78-4FB4-8CDD-6AAA63ADC54E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152</xdr:col>
      <xdr:colOff>471922</xdr:colOff>
      <xdr:row>24</xdr:row>
      <xdr:rowOff>140713</xdr:rowOff>
    </xdr:from>
    <xdr:to>
      <xdr:col>164</xdr:col>
      <xdr:colOff>484909</xdr:colOff>
      <xdr:row>48</xdr:row>
      <xdr:rowOff>114399</xdr:rowOff>
    </xdr:to>
    <xdr:graphicFrame macro="">
      <xdr:nvGraphicFramePr>
        <xdr:cNvPr id="68" name="Chart 15">
          <a:extLst>
            <a:ext uri="{FF2B5EF4-FFF2-40B4-BE49-F238E27FC236}">
              <a16:creationId xmlns:a16="http://schemas.microsoft.com/office/drawing/2014/main" id="{C1590A57-D212-4D1F-A92C-948A4197720C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152</xdr:col>
      <xdr:colOff>454603</xdr:colOff>
      <xdr:row>49</xdr:row>
      <xdr:rowOff>132050</xdr:rowOff>
    </xdr:from>
    <xdr:to>
      <xdr:col>164</xdr:col>
      <xdr:colOff>363682</xdr:colOff>
      <xdr:row>75</xdr:row>
      <xdr:rowOff>172431</xdr:rowOff>
    </xdr:to>
    <xdr:graphicFrame macro="">
      <xdr:nvGraphicFramePr>
        <xdr:cNvPr id="310" name="Chart 16">
          <a:extLst>
            <a:ext uri="{FF2B5EF4-FFF2-40B4-BE49-F238E27FC236}">
              <a16:creationId xmlns:a16="http://schemas.microsoft.com/office/drawing/2014/main" id="{C9BE5581-BCEA-430F-A8AE-FCC47CD85C8E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93</xdr:col>
      <xdr:colOff>182096</xdr:colOff>
      <xdr:row>25</xdr:row>
      <xdr:rowOff>26035</xdr:rowOff>
    </xdr:from>
    <xdr:to>
      <xdr:col>107</xdr:col>
      <xdr:colOff>356516</xdr:colOff>
      <xdr:row>50</xdr:row>
      <xdr:rowOff>115767</xdr:rowOff>
    </xdr:to>
    <xdr:graphicFrame macro="">
      <xdr:nvGraphicFramePr>
        <xdr:cNvPr id="146" name="Chart 2">
          <a:extLst>
            <a:ext uri="{FF2B5EF4-FFF2-40B4-BE49-F238E27FC236}">
              <a16:creationId xmlns:a16="http://schemas.microsoft.com/office/drawing/2014/main" id="{0C40C606-C057-4260-BD5E-3F074354887D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108</xdr:col>
      <xdr:colOff>10571</xdr:colOff>
      <xdr:row>25</xdr:row>
      <xdr:rowOff>40369</xdr:rowOff>
    </xdr:from>
    <xdr:to>
      <xdr:col>122</xdr:col>
      <xdr:colOff>102391</xdr:colOff>
      <xdr:row>50</xdr:row>
      <xdr:rowOff>53866</xdr:rowOff>
    </xdr:to>
    <xdr:graphicFrame macro="">
      <xdr:nvGraphicFramePr>
        <xdr:cNvPr id="147" name="Chart 3">
          <a:extLst>
            <a:ext uri="{FF2B5EF4-FFF2-40B4-BE49-F238E27FC236}">
              <a16:creationId xmlns:a16="http://schemas.microsoft.com/office/drawing/2014/main" id="{647A0735-DEC0-499C-9D29-DA46975AE374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94</xdr:col>
      <xdr:colOff>231402</xdr:colOff>
      <xdr:row>50</xdr:row>
      <xdr:rowOff>73380</xdr:rowOff>
    </xdr:from>
    <xdr:to>
      <xdr:col>108</xdr:col>
      <xdr:colOff>386758</xdr:colOff>
      <xdr:row>75</xdr:row>
      <xdr:rowOff>172041</xdr:rowOff>
    </xdr:to>
    <xdr:graphicFrame macro="">
      <xdr:nvGraphicFramePr>
        <xdr:cNvPr id="133" name="Chart 2">
          <a:extLst>
            <a:ext uri="{FF2B5EF4-FFF2-40B4-BE49-F238E27FC236}">
              <a16:creationId xmlns:a16="http://schemas.microsoft.com/office/drawing/2014/main" id="{3BDE1CC3-7AA1-4820-B69C-50945B4B2BA8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108</xdr:col>
      <xdr:colOff>419088</xdr:colOff>
      <xdr:row>50</xdr:row>
      <xdr:rowOff>110852</xdr:rowOff>
    </xdr:from>
    <xdr:to>
      <xdr:col>122</xdr:col>
      <xdr:colOff>492436</xdr:colOff>
      <xdr:row>75</xdr:row>
      <xdr:rowOff>119797</xdr:rowOff>
    </xdr:to>
    <xdr:graphicFrame macro="">
      <xdr:nvGraphicFramePr>
        <xdr:cNvPr id="163" name="Chart 3">
          <a:extLst>
            <a:ext uri="{FF2B5EF4-FFF2-40B4-BE49-F238E27FC236}">
              <a16:creationId xmlns:a16="http://schemas.microsoft.com/office/drawing/2014/main" id="{3E554591-31ED-41CB-84C2-21DAA640028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122</xdr:col>
      <xdr:colOff>502227</xdr:colOff>
      <xdr:row>0</xdr:row>
      <xdr:rowOff>14748</xdr:rowOff>
    </xdr:from>
    <xdr:to>
      <xdr:col>135</xdr:col>
      <xdr:colOff>380797</xdr:colOff>
      <xdr:row>24</xdr:row>
      <xdr:rowOff>188557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0AD7D01-9A1C-F368-387B-15F9007479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43</xdr:col>
      <xdr:colOff>44792</xdr:colOff>
      <xdr:row>6</xdr:row>
      <xdr:rowOff>160820</xdr:rowOff>
    </xdr:from>
    <xdr:to>
      <xdr:col>54</xdr:col>
      <xdr:colOff>218486</xdr:colOff>
      <xdr:row>46</xdr:row>
      <xdr:rowOff>132929</xdr:rowOff>
    </xdr:to>
    <xdr:graphicFrame macro="">
      <xdr:nvGraphicFramePr>
        <xdr:cNvPr id="18" name="Chart 3">
          <a:extLst>
            <a:ext uri="{FF2B5EF4-FFF2-40B4-BE49-F238E27FC236}">
              <a16:creationId xmlns:a16="http://schemas.microsoft.com/office/drawing/2014/main" id="{551A570A-62D0-626A-E542-841E78E5BF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42</xdr:col>
      <xdr:colOff>1354666</xdr:colOff>
      <xdr:row>46</xdr:row>
      <xdr:rowOff>95250</xdr:rowOff>
    </xdr:from>
    <xdr:to>
      <xdr:col>54</xdr:col>
      <xdr:colOff>36110</xdr:colOff>
      <xdr:row>86</xdr:row>
      <xdr:rowOff>67359</xdr:rowOff>
    </xdr:to>
    <xdr:graphicFrame macro="">
      <xdr:nvGraphicFramePr>
        <xdr:cNvPr id="49" name="Chart 3">
          <a:extLst>
            <a:ext uri="{FF2B5EF4-FFF2-40B4-BE49-F238E27FC236}">
              <a16:creationId xmlns:a16="http://schemas.microsoft.com/office/drawing/2014/main" id="{94104C8C-93A0-4E4A-952C-94C389857B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42</xdr:col>
      <xdr:colOff>1344084</xdr:colOff>
      <xdr:row>87</xdr:row>
      <xdr:rowOff>10584</xdr:rowOff>
    </xdr:from>
    <xdr:to>
      <xdr:col>54</xdr:col>
      <xdr:colOff>25528</xdr:colOff>
      <xdr:row>127</xdr:row>
      <xdr:rowOff>3860</xdr:rowOff>
    </xdr:to>
    <xdr:graphicFrame macro="">
      <xdr:nvGraphicFramePr>
        <xdr:cNvPr id="62" name="Chart 3">
          <a:extLst>
            <a:ext uri="{FF2B5EF4-FFF2-40B4-BE49-F238E27FC236}">
              <a16:creationId xmlns:a16="http://schemas.microsoft.com/office/drawing/2014/main" id="{36A4F2DA-D56D-4F9B-A58B-221045DC9C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54</xdr:col>
      <xdr:colOff>127000</xdr:colOff>
      <xdr:row>5</xdr:row>
      <xdr:rowOff>148167</xdr:rowOff>
    </xdr:from>
    <xdr:to>
      <xdr:col>74</xdr:col>
      <xdr:colOff>89028</xdr:colOff>
      <xdr:row>45</xdr:row>
      <xdr:rowOff>120276</xdr:rowOff>
    </xdr:to>
    <xdr:graphicFrame macro="">
      <xdr:nvGraphicFramePr>
        <xdr:cNvPr id="20" name="Chart 3">
          <a:extLst>
            <a:ext uri="{FF2B5EF4-FFF2-40B4-BE49-F238E27FC236}">
              <a16:creationId xmlns:a16="http://schemas.microsoft.com/office/drawing/2014/main" id="{405F8F62-CAC1-4BF3-A2B7-C7EB78F2A7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54</xdr:col>
      <xdr:colOff>156882</xdr:colOff>
      <xdr:row>46</xdr:row>
      <xdr:rowOff>78442</xdr:rowOff>
    </xdr:from>
    <xdr:to>
      <xdr:col>74</xdr:col>
      <xdr:colOff>118910</xdr:colOff>
      <xdr:row>86</xdr:row>
      <xdr:rowOff>50551</xdr:rowOff>
    </xdr:to>
    <xdr:graphicFrame macro="">
      <xdr:nvGraphicFramePr>
        <xdr:cNvPr id="87" name="Chart 4">
          <a:extLst>
            <a:ext uri="{FF2B5EF4-FFF2-40B4-BE49-F238E27FC236}">
              <a16:creationId xmlns:a16="http://schemas.microsoft.com/office/drawing/2014/main" id="{AA4F90F5-157D-4284-A5E3-6A4081CA0B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54</xdr:col>
      <xdr:colOff>145676</xdr:colOff>
      <xdr:row>87</xdr:row>
      <xdr:rowOff>11206</xdr:rowOff>
    </xdr:from>
    <xdr:to>
      <xdr:col>74</xdr:col>
      <xdr:colOff>107704</xdr:colOff>
      <xdr:row>127</xdr:row>
      <xdr:rowOff>5727</xdr:rowOff>
    </xdr:to>
    <xdr:graphicFrame macro="">
      <xdr:nvGraphicFramePr>
        <xdr:cNvPr id="95" name="Chart 6">
          <a:extLst>
            <a:ext uri="{FF2B5EF4-FFF2-40B4-BE49-F238E27FC236}">
              <a16:creationId xmlns:a16="http://schemas.microsoft.com/office/drawing/2014/main" id="{17A91935-F7F9-45C6-B380-B9D024E27D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43</xdr:col>
      <xdr:colOff>123825</xdr:colOff>
      <xdr:row>129</xdr:row>
      <xdr:rowOff>19050</xdr:rowOff>
    </xdr:from>
    <xdr:to>
      <xdr:col>54</xdr:col>
      <xdr:colOff>300694</xdr:colOff>
      <xdr:row>168</xdr:row>
      <xdr:rowOff>29259</xdr:rowOff>
    </xdr:to>
    <xdr:graphicFrame macro="">
      <xdr:nvGraphicFramePr>
        <xdr:cNvPr id="16" name="Chart 3">
          <a:extLst>
            <a:ext uri="{FF2B5EF4-FFF2-40B4-BE49-F238E27FC236}">
              <a16:creationId xmlns:a16="http://schemas.microsoft.com/office/drawing/2014/main" id="{A3267587-C293-4B9B-9E5A-8703BDC3DE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74</xdr:col>
      <xdr:colOff>173182</xdr:colOff>
      <xdr:row>5</xdr:row>
      <xdr:rowOff>155864</xdr:rowOff>
    </xdr:from>
    <xdr:to>
      <xdr:col>94</xdr:col>
      <xdr:colOff>140501</xdr:colOff>
      <xdr:row>45</xdr:row>
      <xdr:rowOff>127973</xdr:rowOff>
    </xdr:to>
    <xdr:graphicFrame macro="">
      <xdr:nvGraphicFramePr>
        <xdr:cNvPr id="30" name="Chart 3">
          <a:extLst>
            <a:ext uri="{FF2B5EF4-FFF2-40B4-BE49-F238E27FC236}">
              <a16:creationId xmlns:a16="http://schemas.microsoft.com/office/drawing/2014/main" id="{C46680D4-E346-4801-B1FC-6B73761F0D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74</xdr:col>
      <xdr:colOff>138545</xdr:colOff>
      <xdr:row>46</xdr:row>
      <xdr:rowOff>155864</xdr:rowOff>
    </xdr:from>
    <xdr:to>
      <xdr:col>94</xdr:col>
      <xdr:colOff>105864</xdr:colOff>
      <xdr:row>86</xdr:row>
      <xdr:rowOff>127973</xdr:rowOff>
    </xdr:to>
    <xdr:graphicFrame macro="">
      <xdr:nvGraphicFramePr>
        <xdr:cNvPr id="42" name="Chart 4">
          <a:extLst>
            <a:ext uri="{FF2B5EF4-FFF2-40B4-BE49-F238E27FC236}">
              <a16:creationId xmlns:a16="http://schemas.microsoft.com/office/drawing/2014/main" id="{64A60EC7-65EB-485C-A3E8-69C02AF1A7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75</xdr:col>
      <xdr:colOff>285750</xdr:colOff>
      <xdr:row>89</xdr:row>
      <xdr:rowOff>71437</xdr:rowOff>
    </xdr:from>
    <xdr:to>
      <xdr:col>94</xdr:col>
      <xdr:colOff>313766</xdr:colOff>
      <xdr:row>126</xdr:row>
      <xdr:rowOff>16808</xdr:rowOff>
    </xdr:to>
    <xdr:graphicFrame macro="">
      <xdr:nvGraphicFramePr>
        <xdr:cNvPr id="2" name="Chart 9">
          <a:extLst>
            <a:ext uri="{FF2B5EF4-FFF2-40B4-BE49-F238E27FC236}">
              <a16:creationId xmlns:a16="http://schemas.microsoft.com/office/drawing/2014/main" id="{EADB3C8E-06C4-4A0A-82ED-153598FCA6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75</xdr:col>
      <xdr:colOff>312965</xdr:colOff>
      <xdr:row>127</xdr:row>
      <xdr:rowOff>54428</xdr:rowOff>
    </xdr:from>
    <xdr:to>
      <xdr:col>94</xdr:col>
      <xdr:colOff>340981</xdr:colOff>
      <xdr:row>163</xdr:row>
      <xdr:rowOff>176691</xdr:rowOff>
    </xdr:to>
    <xdr:graphicFrame macro="">
      <xdr:nvGraphicFramePr>
        <xdr:cNvPr id="3" name="Chart 10">
          <a:extLst>
            <a:ext uri="{FF2B5EF4-FFF2-40B4-BE49-F238E27FC236}">
              <a16:creationId xmlns:a16="http://schemas.microsoft.com/office/drawing/2014/main" id="{4779A074-D08C-4A4E-BBFE-7E8D66E644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20</xdr:col>
      <xdr:colOff>2269016</xdr:colOff>
      <xdr:row>272</xdr:row>
      <xdr:rowOff>46983</xdr:rowOff>
    </xdr:from>
    <xdr:to>
      <xdr:col>24</xdr:col>
      <xdr:colOff>499212</xdr:colOff>
      <xdr:row>314</xdr:row>
      <xdr:rowOff>10645</xdr:rowOff>
    </xdr:to>
    <xdr:graphicFrame macro="">
      <xdr:nvGraphicFramePr>
        <xdr:cNvPr id="5" name="Chart 6">
          <a:extLst>
            <a:ext uri="{FF2B5EF4-FFF2-40B4-BE49-F238E27FC236}">
              <a16:creationId xmlns:a16="http://schemas.microsoft.com/office/drawing/2014/main" id="{FC8C0E6D-2FCA-C9E5-A025-00EA8FBC99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0.75853</cdr:x>
      <cdr:y>0.32201</cdr:y>
    </cdr:from>
    <cdr:to>
      <cdr:x>0.84399</cdr:x>
      <cdr:y>0.44726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61185429-0572-CB3F-6A94-A3753076F00E}"/>
            </a:ext>
          </a:extLst>
        </cdr:cNvPr>
        <cdr:cNvSpPr txBox="1"/>
      </cdr:nvSpPr>
      <cdr:spPr>
        <a:xfrm xmlns:a="http://schemas.openxmlformats.org/drawingml/2006/main">
          <a:off x="8116409" y="2350682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2000"/>
            <a:t>Degraded ionomer</a:t>
          </a:r>
        </a:p>
      </cdr:txBody>
    </cdr:sp>
  </cdr:relSizeAnchor>
  <cdr:relSizeAnchor xmlns:cdr="http://schemas.openxmlformats.org/drawingml/2006/chartDrawing">
    <cdr:from>
      <cdr:x>0.44363</cdr:x>
      <cdr:y>0.50156</cdr:y>
    </cdr:from>
    <cdr:to>
      <cdr:x>0.52908</cdr:x>
      <cdr:y>0.62682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ECCFCA50-0975-8C53-6CDE-E857776C66D9}"/>
            </a:ext>
          </a:extLst>
        </cdr:cNvPr>
        <cdr:cNvSpPr txBox="1"/>
      </cdr:nvSpPr>
      <cdr:spPr>
        <a:xfrm xmlns:a="http://schemas.openxmlformats.org/drawingml/2006/main">
          <a:off x="4746846" y="366144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/>
            <a:t>Low</a:t>
          </a:r>
          <a:r>
            <a:rPr lang="en-US" sz="2000" baseline="0"/>
            <a:t> Fe (no good explanation for outlier)</a:t>
          </a:r>
          <a:endParaRPr lang="en-US" sz="20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427173</xdr:colOff>
      <xdr:row>142</xdr:row>
      <xdr:rowOff>36648</xdr:rowOff>
    </xdr:from>
    <xdr:to>
      <xdr:col>11</xdr:col>
      <xdr:colOff>1030514</xdr:colOff>
      <xdr:row>159</xdr:row>
      <xdr:rowOff>25853</xdr:rowOff>
    </xdr:to>
    <xdr:graphicFrame macro="">
      <xdr:nvGraphicFramePr>
        <xdr:cNvPr id="2" name="Chart 6">
          <a:extLst>
            <a:ext uri="{FF2B5EF4-FFF2-40B4-BE49-F238E27FC236}">
              <a16:creationId xmlns:a16="http://schemas.microsoft.com/office/drawing/2014/main" id="{585CB326-CB4D-4B6C-8A0A-A2436905AE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38100</xdr:colOff>
      <xdr:row>1</xdr:row>
      <xdr:rowOff>64770</xdr:rowOff>
    </xdr:from>
    <xdr:to>
      <xdr:col>43</xdr:col>
      <xdr:colOff>586740</xdr:colOff>
      <xdr:row>27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EEBCF2-CFF6-1C40-B146-B0EAD3C2DF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0</xdr:colOff>
      <xdr:row>28</xdr:row>
      <xdr:rowOff>0</xdr:rowOff>
    </xdr:from>
    <xdr:to>
      <xdr:col>43</xdr:col>
      <xdr:colOff>548640</xdr:colOff>
      <xdr:row>54</xdr:row>
      <xdr:rowOff>72390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FE9494-2218-47D5-AE09-D8C35646DE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56</xdr:row>
      <xdr:rowOff>23812</xdr:rowOff>
    </xdr:from>
    <xdr:to>
      <xdr:col>10</xdr:col>
      <xdr:colOff>143012</xdr:colOff>
      <xdr:row>85</xdr:row>
      <xdr:rowOff>122235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15F8AC-4464-49CC-B532-3F5306CD1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446881</xdr:colOff>
      <xdr:row>56</xdr:row>
      <xdr:rowOff>21431</xdr:rowOff>
    </xdr:from>
    <xdr:to>
      <xdr:col>21</xdr:col>
      <xdr:colOff>116817</xdr:colOff>
      <xdr:row>85</xdr:row>
      <xdr:rowOff>123029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773742-4DE5-467A-8B34-7A15648FF6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486568</xdr:colOff>
      <xdr:row>56</xdr:row>
      <xdr:rowOff>7144</xdr:rowOff>
    </xdr:from>
    <xdr:to>
      <xdr:col>35</xdr:col>
      <xdr:colOff>42999</xdr:colOff>
      <xdr:row>85</xdr:row>
      <xdr:rowOff>111917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A309CB9-E349-4510-97F7-367AAC4022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</xdr:colOff>
      <xdr:row>86</xdr:row>
      <xdr:rowOff>53975</xdr:rowOff>
    </xdr:from>
    <xdr:to>
      <xdr:col>10</xdr:col>
      <xdr:colOff>152401</xdr:colOff>
      <xdr:row>110</xdr:row>
      <xdr:rowOff>28574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6560956-486B-4FC2-9F77-D25E743115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35</xdr:col>
      <xdr:colOff>177800</xdr:colOff>
      <xdr:row>56</xdr:row>
      <xdr:rowOff>80962</xdr:rowOff>
    </xdr:from>
    <xdr:to>
      <xdr:col>45</xdr:col>
      <xdr:colOff>113693</xdr:colOff>
      <xdr:row>79</xdr:row>
      <xdr:rowOff>136525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8ACABBA-DE56-4ACF-81D7-75F59D61C7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45</xdr:col>
      <xdr:colOff>438150</xdr:colOff>
      <xdr:row>56</xdr:row>
      <xdr:rowOff>112712</xdr:rowOff>
    </xdr:from>
    <xdr:to>
      <xdr:col>56</xdr:col>
      <xdr:colOff>602643</xdr:colOff>
      <xdr:row>79</xdr:row>
      <xdr:rowOff>165100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59A1C17-513A-45B4-97DF-DED5DA21EC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69</xdr:col>
      <xdr:colOff>139700</xdr:colOff>
      <xdr:row>8</xdr:row>
      <xdr:rowOff>6350</xdr:rowOff>
    </xdr:from>
    <xdr:to>
      <xdr:col>76</xdr:col>
      <xdr:colOff>444500</xdr:colOff>
      <xdr:row>22</xdr:row>
      <xdr:rowOff>168275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3" name="Chart 8">
              <a:extLst>
                <a:ext uri="{FF2B5EF4-FFF2-40B4-BE49-F238E27FC236}">
                  <a16:creationId xmlns:a16="http://schemas.microsoft.com/office/drawing/2014/main" id="{28018373-E8B6-A769-32F8-0D9062455D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413950</xdr:colOff>
      <xdr:row>80</xdr:row>
      <xdr:rowOff>88266</xdr:rowOff>
    </xdr:from>
    <xdr:to>
      <xdr:col>33</xdr:col>
      <xdr:colOff>584270</xdr:colOff>
      <xdr:row>145</xdr:row>
      <xdr:rowOff>83821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A271C7C2-E901-1018-8D51-C804C08E4F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175259</xdr:colOff>
      <xdr:row>78</xdr:row>
      <xdr:rowOff>60960</xdr:rowOff>
    </xdr:from>
    <xdr:to>
      <xdr:col>26</xdr:col>
      <xdr:colOff>292734</xdr:colOff>
      <xdr:row>103</xdr:row>
      <xdr:rowOff>106680</xdr:rowOff>
    </xdr:to>
    <xdr:graphicFrame macro="">
      <xdr:nvGraphicFramePr>
        <xdr:cNvPr id="26" name="Chart 4">
          <a:extLst>
            <a:ext uri="{FF2B5EF4-FFF2-40B4-BE49-F238E27FC236}">
              <a16:creationId xmlns:a16="http://schemas.microsoft.com/office/drawing/2014/main" id="{E3DA149B-6520-204E-B251-AE40E31199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254000</xdr:colOff>
      <xdr:row>64</xdr:row>
      <xdr:rowOff>47625</xdr:rowOff>
    </xdr:from>
    <xdr:to>
      <xdr:col>27</xdr:col>
      <xdr:colOff>558800</xdr:colOff>
      <xdr:row>79</xdr:row>
      <xdr:rowOff>28575</xdr:rowOff>
    </xdr:to>
    <xdr:graphicFrame macro="">
      <xdr:nvGraphicFramePr>
        <xdr:cNvPr id="37" name="Chart 1">
          <a:extLst>
            <a:ext uri="{FF2B5EF4-FFF2-40B4-BE49-F238E27FC236}">
              <a16:creationId xmlns:a16="http://schemas.microsoft.com/office/drawing/2014/main" id="{91EA263E-4AD4-4A30-92A7-E8EF6F7205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600075</xdr:colOff>
      <xdr:row>64</xdr:row>
      <xdr:rowOff>76200</xdr:rowOff>
    </xdr:from>
    <xdr:to>
      <xdr:col>35</xdr:col>
      <xdr:colOff>285750</xdr:colOff>
      <xdr:row>79</xdr:row>
      <xdr:rowOff>57150</xdr:rowOff>
    </xdr:to>
    <xdr:graphicFrame macro="">
      <xdr:nvGraphicFramePr>
        <xdr:cNvPr id="69" name="Chart 2">
          <a:extLst>
            <a:ext uri="{FF2B5EF4-FFF2-40B4-BE49-F238E27FC236}">
              <a16:creationId xmlns:a16="http://schemas.microsoft.com/office/drawing/2014/main" id="{C03A0DF5-1DC8-C322-C6EC-82EFEC5BE7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353060</xdr:colOff>
      <xdr:row>60</xdr:row>
      <xdr:rowOff>19050</xdr:rowOff>
    </xdr:from>
    <xdr:to>
      <xdr:col>20</xdr:col>
      <xdr:colOff>234950</xdr:colOff>
      <xdr:row>74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ECBADC-BEF6-12EA-8974-77CE735528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357188</xdr:colOff>
      <xdr:row>23</xdr:row>
      <xdr:rowOff>128588</xdr:rowOff>
    </xdr:from>
    <xdr:to>
      <xdr:col>22</xdr:col>
      <xdr:colOff>40481</xdr:colOff>
      <xdr:row>38</xdr:row>
      <xdr:rowOff>153989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39B249E-6EC1-95AC-FC7B-5251CC1472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157653</xdr:colOff>
      <xdr:row>3</xdr:row>
      <xdr:rowOff>72333</xdr:rowOff>
    </xdr:from>
    <xdr:to>
      <xdr:col>24</xdr:col>
      <xdr:colOff>41852</xdr:colOff>
      <xdr:row>16</xdr:row>
      <xdr:rowOff>166141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6BCD63-46BC-7890-FA45-3F93FE240A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39024</xdr:colOff>
      <xdr:row>20</xdr:row>
      <xdr:rowOff>136122</xdr:rowOff>
    </xdr:from>
    <xdr:to>
      <xdr:col>18</xdr:col>
      <xdr:colOff>530803</xdr:colOff>
      <xdr:row>34</xdr:row>
      <xdr:rowOff>143626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D196744-A00A-ED45-1C48-9474F55791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48953</xdr:colOff>
      <xdr:row>0</xdr:row>
      <xdr:rowOff>63940</xdr:rowOff>
    </xdr:from>
    <xdr:to>
      <xdr:col>32</xdr:col>
      <xdr:colOff>567013</xdr:colOff>
      <xdr:row>20</xdr:row>
      <xdr:rowOff>36632</xdr:rowOff>
    </xdr:to>
    <xdr:graphicFrame macro="">
      <xdr:nvGraphicFramePr>
        <xdr:cNvPr id="78" name="Chart 4">
          <a:extLst>
            <a:ext uri="{FF2B5EF4-FFF2-40B4-BE49-F238E27FC236}">
              <a16:creationId xmlns:a16="http://schemas.microsoft.com/office/drawing/2014/main" id="{7D15AA99-0F8F-2FC3-216B-BDF73DA7F8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539529</xdr:colOff>
      <xdr:row>19</xdr:row>
      <xdr:rowOff>165091</xdr:rowOff>
    </xdr:from>
    <xdr:to>
      <xdr:col>24</xdr:col>
      <xdr:colOff>472064</xdr:colOff>
      <xdr:row>56</xdr:row>
      <xdr:rowOff>105912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3">
              <a:extLst>
                <a:ext uri="{FF2B5EF4-FFF2-40B4-BE49-F238E27FC236}">
                  <a16:creationId xmlns:a16="http://schemas.microsoft.com/office/drawing/2014/main" id="{E0433E66-5F21-CFCF-B321-03FB0FEDE7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517811</xdr:colOff>
      <xdr:row>1</xdr:row>
      <xdr:rowOff>36068</xdr:rowOff>
    </xdr:from>
    <xdr:to>
      <xdr:col>16</xdr:col>
      <xdr:colOff>210483</xdr:colOff>
      <xdr:row>19</xdr:row>
      <xdr:rowOff>17019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0" name="Chart 3">
              <a:extLst>
                <a:ext uri="{FF2B5EF4-FFF2-40B4-BE49-F238E27FC236}">
                  <a16:creationId xmlns:a16="http://schemas.microsoft.com/office/drawing/2014/main" id="{EC62713C-C1D1-0078-4220-170D331519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versogen.sharepoint.com/sites/Electrolyzer/Shared%20Documents/AEMEL%20R&amp;D/Cell%20testing/5%20cm2%20AEMEL%20raw%20data/5%20cm2%20test%20records.xlsx" TargetMode="External"/><Relationship Id="rId1" Type="http://schemas.openxmlformats.org/officeDocument/2006/relationships/externalLinkPath" Target="Cell%20testing/5%20cm2%20AEMEL%20raw%20data/5%20cm2%20test%20record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versogen.sharepoint.com/sites/Electrolyzer/Shared%20Documents/600%20cm2%20AEMEL%20R&amp;D/Anode/Characterization/XRF/ISO%20plot%20XRF%20data.xlsx" TargetMode="External"/><Relationship Id="rId1" Type="http://schemas.openxmlformats.org/officeDocument/2006/relationships/externalLinkPath" Target="/sites/Electrolyzer/Shared%20Documents/600%20cm2%20AEMEL%20R&amp;D/Anode/Characterization/XRF/ISO%20plot%20XRF%20data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versogen.sharepoint.com/sites/Electrolyzer/Shared%20Documents/600%20cm2%20AEMEL%20R&amp;D/Anode/3E%20test/3E%20test_baslineFTA_python_summary.xlsx" TargetMode="External"/><Relationship Id="rId1" Type="http://schemas.openxmlformats.org/officeDocument/2006/relationships/externalLinkPath" Target="/sites/Electrolyzer/Shared%20Documents/600%20cm2%20AEMEL%20R&amp;D/Anode/3E%20test/3E%20test_baslineFTA_python_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XNXcwcaeLUi50MLXBMNz69Rp1rAt8FJKilS8hwoTncKpoZN5OeknT7TsgVCDEOPz" itemId="01WTDUL6H3M3M2NTO3ZRCZSQ4I2RKM6T5B">
      <xxl21:absoluteUrl r:id="rId2"/>
    </xxl21:alternateUrls>
    <sheetNames>
      <sheetName val="Record"/>
      <sheetName val="Sheet2"/>
      <sheetName val="Sheet1"/>
      <sheetName val="Queue"/>
      <sheetName val="100uS Analysis"/>
      <sheetName val="10mM Analysis"/>
      <sheetName val="5 cm2 test record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188 BA"/>
      <sheetName val="220 BA"/>
      <sheetName val="235 BA"/>
      <sheetName val="243-BA"/>
      <sheetName val="247.03"/>
      <sheetName val="248.01"/>
      <sheetName val=""/>
      <sheetName val="Lan 7-24-2023"/>
      <sheetName val="Lan 9-14-2023"/>
      <sheetName val="248.02"/>
      <sheetName val="249.01"/>
      <sheetName val="249.02"/>
      <sheetName val="250.02"/>
      <sheetName val="254.01-BA"/>
      <sheetName val="255.01-BA"/>
      <sheetName val="255.02-BA"/>
      <sheetName val="261-FTA"/>
      <sheetName val="264 FTA"/>
      <sheetName val="269-BA"/>
      <sheetName val="270.01-BA"/>
      <sheetName val="271.01-BA"/>
      <sheetName val="270.02-FTA"/>
      <sheetName val="272.01-FTA"/>
      <sheetName val="271.02-FTA"/>
      <sheetName val="272.02 Ni Felt"/>
      <sheetName val="261.02-FTA"/>
      <sheetName val="276.01-BA"/>
      <sheetName val="277.01-BA"/>
      <sheetName val="277.02-BA"/>
      <sheetName val="277.03-BA"/>
      <sheetName val="279.01 BA"/>
      <sheetName val="279.02 BA"/>
      <sheetName val="282.01 BA"/>
      <sheetName val="282.02 BA"/>
      <sheetName val="282.03 BA"/>
      <sheetName val="284 FTA"/>
      <sheetName val="293 FTA"/>
      <sheetName val="296 FTA"/>
      <sheetName val="297 FTA"/>
      <sheetName val="298 FTA"/>
      <sheetName val="Overall isoplot"/>
      <sheetName val="Learn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3">
          <cell r="B13">
            <v>93.693333333333328</v>
          </cell>
          <cell r="C13">
            <v>5.6914444444444445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Summary-BA"/>
      <sheetName val="Summary-FTA"/>
    </sheetNames>
    <sheetDataSet>
      <sheetData sheetId="0"/>
      <sheetData sheetId="1">
        <row r="48">
          <cell r="C48">
            <v>1</v>
          </cell>
          <cell r="D48">
            <v>1.4127872590261468</v>
          </cell>
          <cell r="E48">
            <v>4.4226311589980385E-3</v>
          </cell>
          <cell r="G48">
            <v>1</v>
          </cell>
          <cell r="H48">
            <v>1.4137476946676666</v>
          </cell>
          <cell r="I48">
            <v>2.3507853443757885E-3</v>
          </cell>
          <cell r="M48">
            <v>1</v>
          </cell>
          <cell r="N48">
            <v>1.4186653624082968</v>
          </cell>
          <cell r="O48">
            <v>2.1350071575369244E-3</v>
          </cell>
          <cell r="Q48">
            <v>1</v>
          </cell>
          <cell r="R48">
            <v>1.417478418095695</v>
          </cell>
          <cell r="S48">
            <v>2.5503434994975338E-4</v>
          </cell>
          <cell r="W48">
            <v>1</v>
          </cell>
          <cell r="X48">
            <v>1.4171485770097367</v>
          </cell>
          <cell r="Y48">
            <v>1.8647054575662786E-3</v>
          </cell>
          <cell r="AB48">
            <v>1.4142271068833601</v>
          </cell>
          <cell r="AC48">
            <v>2.2023980744191071E-3</v>
          </cell>
        </row>
        <row r="49">
          <cell r="C49">
            <v>2</v>
          </cell>
          <cell r="D49">
            <v>1.4228311428800167</v>
          </cell>
          <cell r="E49">
            <v>2.5156589592890913E-3</v>
          </cell>
          <cell r="G49">
            <v>2</v>
          </cell>
          <cell r="H49">
            <v>1.4211845126110134</v>
          </cell>
          <cell r="I49">
            <v>2.5152293798800301E-3</v>
          </cell>
          <cell r="M49">
            <v>2</v>
          </cell>
          <cell r="N49">
            <v>1.4260505698645467</v>
          </cell>
          <cell r="O49">
            <v>2.3307209849466578E-3</v>
          </cell>
          <cell r="Q49">
            <v>2</v>
          </cell>
          <cell r="R49">
            <v>1.42528971597826</v>
          </cell>
          <cell r="S49">
            <v>3.2452716586162003E-4</v>
          </cell>
          <cell r="W49">
            <v>2</v>
          </cell>
          <cell r="X49">
            <v>1.4247422790374202</v>
          </cell>
          <cell r="Y49">
            <v>1.8244692007460474E-3</v>
          </cell>
          <cell r="AB49">
            <v>1.4217954426609698</v>
          </cell>
          <cell r="AC49">
            <v>2.3960917217248317E-3</v>
          </cell>
        </row>
        <row r="50">
          <cell r="C50">
            <v>5</v>
          </cell>
          <cell r="D50">
            <v>1.4357988222967568</v>
          </cell>
          <cell r="E50">
            <v>1.9264425303554549E-3</v>
          </cell>
          <cell r="G50">
            <v>5</v>
          </cell>
          <cell r="H50">
            <v>1.4320262225796767</v>
          </cell>
          <cell r="I50">
            <v>2.7424417565166067E-3</v>
          </cell>
          <cell r="M50">
            <v>5</v>
          </cell>
          <cell r="N50">
            <v>1.4369698273211868</v>
          </cell>
          <cell r="O50">
            <v>2.6156035827234287E-3</v>
          </cell>
          <cell r="Q50">
            <v>5</v>
          </cell>
          <cell r="R50">
            <v>1.436723757692425</v>
          </cell>
          <cell r="S50">
            <v>4.5846242013263932E-4</v>
          </cell>
          <cell r="W50">
            <v>5</v>
          </cell>
          <cell r="X50">
            <v>1.4358451068006899</v>
          </cell>
          <cell r="Y50">
            <v>1.9132559235251617E-3</v>
          </cell>
          <cell r="AB50">
            <v>1.4329465007930866</v>
          </cell>
          <cell r="AC50">
            <v>2.6985965190635106E-3</v>
          </cell>
        </row>
        <row r="51">
          <cell r="C51">
            <v>10</v>
          </cell>
          <cell r="D51">
            <v>1.4460955530872901</v>
          </cell>
          <cell r="E51">
            <v>2.3396171479793553E-3</v>
          </cell>
          <cell r="G51">
            <v>10</v>
          </cell>
          <cell r="H51">
            <v>1.4413789788671967</v>
          </cell>
          <cell r="I51">
            <v>2.9419323132336378E-3</v>
          </cell>
          <cell r="M51">
            <v>10</v>
          </cell>
          <cell r="N51">
            <v>1.4463582230031833</v>
          </cell>
          <cell r="O51">
            <v>2.8930759328795745E-3</v>
          </cell>
          <cell r="Q51">
            <v>10</v>
          </cell>
          <cell r="R51">
            <v>1.44663342160866</v>
          </cell>
          <cell r="S51">
            <v>8.1175232530900446E-4</v>
          </cell>
          <cell r="W51">
            <v>10</v>
          </cell>
          <cell r="X51">
            <v>1.4449004738310398</v>
          </cell>
          <cell r="Y51">
            <v>2.1570537627709154E-3</v>
          </cell>
          <cell r="AB51">
            <v>1.4425654290547731</v>
          </cell>
          <cell r="AC51">
            <v>2.880982841837668E-3</v>
          </cell>
        </row>
        <row r="52">
          <cell r="C52">
            <v>20</v>
          </cell>
          <cell r="D52">
            <v>1.45611740384661</v>
          </cell>
          <cell r="E52">
            <v>2.6062959730240899E-3</v>
          </cell>
          <cell r="G52">
            <v>20</v>
          </cell>
          <cell r="H52">
            <v>1.45128409136253</v>
          </cell>
          <cell r="I52">
            <v>3.0928117517683377E-3</v>
          </cell>
          <cell r="M52">
            <v>20</v>
          </cell>
          <cell r="N52">
            <v>1.4568305424074734</v>
          </cell>
          <cell r="O52">
            <v>3.2361083763404034E-3</v>
          </cell>
          <cell r="Q52">
            <v>20</v>
          </cell>
          <cell r="R52">
            <v>1.4571737942876499</v>
          </cell>
          <cell r="S52">
            <v>2.0467157363297794E-3</v>
          </cell>
          <cell r="W52">
            <v>20</v>
          </cell>
          <cell r="X52">
            <v>1.4555804863779898</v>
          </cell>
          <cell r="Y52">
            <v>2.3650100310674406E-3</v>
          </cell>
          <cell r="AB52">
            <v>1.4531456647251566</v>
          </cell>
          <cell r="AC52">
            <v>2.7486889646961298E-3</v>
          </cell>
        </row>
        <row r="53">
          <cell r="C53">
            <v>50</v>
          </cell>
          <cell r="D53">
            <v>1.4724101746242535</v>
          </cell>
          <cell r="E53">
            <v>3.3102577034395176E-3</v>
          </cell>
          <cell r="G53">
            <v>50</v>
          </cell>
          <cell r="H53">
            <v>1.4677099289161502</v>
          </cell>
          <cell r="I53">
            <v>4.1569701234006095E-3</v>
          </cell>
          <cell r="M53">
            <v>50</v>
          </cell>
          <cell r="N53">
            <v>1.4715115505456733</v>
          </cell>
          <cell r="O53">
            <v>3.4376999445612671E-3</v>
          </cell>
          <cell r="Q53">
            <v>50</v>
          </cell>
          <cell r="R53">
            <v>1.4725541320869551</v>
          </cell>
          <cell r="S53">
            <v>1.7080595124378745E-3</v>
          </cell>
          <cell r="W53">
            <v>50</v>
          </cell>
          <cell r="X53">
            <v>1.4723034102596932</v>
          </cell>
          <cell r="Y53">
            <v>1.135783062600869E-3</v>
          </cell>
          <cell r="AB53">
            <v>1.4697435674368433</v>
          </cell>
          <cell r="AC53">
            <v>3.5564353949752952E-3</v>
          </cell>
        </row>
        <row r="54">
          <cell r="C54">
            <v>100</v>
          </cell>
          <cell r="D54">
            <v>1.4864182388363265</v>
          </cell>
          <cell r="E54">
            <v>3.917224679197656E-3</v>
          </cell>
          <cell r="G54">
            <v>100</v>
          </cell>
          <cell r="H54">
            <v>1.4818158549246967</v>
          </cell>
          <cell r="I54">
            <v>4.8577365668014735E-3</v>
          </cell>
          <cell r="M54">
            <v>100</v>
          </cell>
          <cell r="N54">
            <v>1.4861713666378469</v>
          </cell>
          <cell r="O54">
            <v>4.1319574635006063E-3</v>
          </cell>
          <cell r="Q54">
            <v>100</v>
          </cell>
          <cell r="R54">
            <v>1.486041359881775</v>
          </cell>
          <cell r="S54">
            <v>2.6896823211956253E-3</v>
          </cell>
          <cell r="W54">
            <v>100</v>
          </cell>
          <cell r="X54">
            <v>1.4882347357538901</v>
          </cell>
          <cell r="Y54">
            <v>1.4079611165894845E-3</v>
          </cell>
          <cell r="AB54">
            <v>1.4854876845271801</v>
          </cell>
          <cell r="AC54">
            <v>4.2242557282723813E-3</v>
          </cell>
        </row>
      </sheetData>
      <sheetData sheetId="2">
        <row r="49">
          <cell r="N49">
            <v>1</v>
          </cell>
          <cell r="O49">
            <v>1.4186511075395201</v>
          </cell>
          <cell r="P49">
            <v>1.2573667294670209E-3</v>
          </cell>
          <cell r="R49">
            <v>1</v>
          </cell>
          <cell r="S49">
            <v>1.4140178143110165</v>
          </cell>
          <cell r="T49">
            <v>1.8486698739997691E-3</v>
          </cell>
          <cell r="Y49">
            <v>1</v>
          </cell>
          <cell r="Z49">
            <v>1.4151780381498</v>
          </cell>
          <cell r="AA49">
            <v>3.7019394149696355E-3</v>
          </cell>
          <cell r="AC49">
            <v>1</v>
          </cell>
          <cell r="AD49">
            <v>1.4130757457744401</v>
          </cell>
          <cell r="AE49">
            <v>1.02869632227175E-3</v>
          </cell>
        </row>
        <row r="50">
          <cell r="N50">
            <v>2</v>
          </cell>
          <cell r="O50">
            <v>1.4257353176099334</v>
          </cell>
          <cell r="P50">
            <v>1.5387974336884219E-3</v>
          </cell>
          <cell r="R50">
            <v>2</v>
          </cell>
          <cell r="S50">
            <v>1.4216908969263</v>
          </cell>
          <cell r="T50">
            <v>1.8842878617210132E-3</v>
          </cell>
          <cell r="Y50">
            <v>2</v>
          </cell>
          <cell r="Z50">
            <v>1.4226541484788899</v>
          </cell>
          <cell r="AA50">
            <v>3.6165611551674404E-3</v>
          </cell>
          <cell r="AC50">
            <v>2</v>
          </cell>
          <cell r="AD50">
            <v>1.4208797560899251</v>
          </cell>
          <cell r="AE50">
            <v>1.0884922658829232E-3</v>
          </cell>
        </row>
        <row r="51">
          <cell r="N51">
            <v>5</v>
          </cell>
          <cell r="O51">
            <v>1.4360823537577698</v>
          </cell>
          <cell r="P51">
            <v>2.3713841909963397E-3</v>
          </cell>
          <cell r="R51">
            <v>5</v>
          </cell>
          <cell r="S51">
            <v>1.4328461858634034</v>
          </cell>
          <cell r="T51">
            <v>2.040673765973756E-3</v>
          </cell>
          <cell r="Y51">
            <v>5</v>
          </cell>
          <cell r="Z51">
            <v>1.43345175095577</v>
          </cell>
          <cell r="AA51">
            <v>3.6472377282658671E-3</v>
          </cell>
          <cell r="AC51">
            <v>5</v>
          </cell>
          <cell r="AD51">
            <v>1.432133409083985</v>
          </cell>
          <cell r="AE51">
            <v>1.4747631859578058E-3</v>
          </cell>
        </row>
        <row r="52">
          <cell r="N52">
            <v>10</v>
          </cell>
          <cell r="O52">
            <v>1.4449330568692631</v>
          </cell>
          <cell r="P52">
            <v>3.3107858690105004E-3</v>
          </cell>
          <cell r="R52">
            <v>10</v>
          </cell>
          <cell r="S52">
            <v>1.4422993717035066</v>
          </cell>
          <cell r="T52">
            <v>2.0110286116139667E-3</v>
          </cell>
          <cell r="Y52">
            <v>10</v>
          </cell>
          <cell r="Z52">
            <v>1.4426145629448666</v>
          </cell>
          <cell r="AA52">
            <v>3.4546296864197638E-3</v>
          </cell>
          <cell r="AC52">
            <v>10</v>
          </cell>
          <cell r="AD52">
            <v>1.441985274755095</v>
          </cell>
          <cell r="AE52">
            <v>1.9191576188645749E-3</v>
          </cell>
        </row>
        <row r="53">
          <cell r="N53">
            <v>20</v>
          </cell>
          <cell r="O53">
            <v>1.4539848226566534</v>
          </cell>
          <cell r="P53">
            <v>4.8318254944380605E-3</v>
          </cell>
          <cell r="R53">
            <v>20</v>
          </cell>
          <cell r="S53">
            <v>1.4529646252058803</v>
          </cell>
          <cell r="T53">
            <v>2.2483857715968323E-3</v>
          </cell>
          <cell r="Y53">
            <v>20</v>
          </cell>
          <cell r="Z53">
            <v>1.4530687380831033</v>
          </cell>
          <cell r="AA53">
            <v>3.380364309376588E-3</v>
          </cell>
          <cell r="AC53">
            <v>20</v>
          </cell>
          <cell r="AD53">
            <v>1.452905613691285</v>
          </cell>
          <cell r="AE53">
            <v>2.2026833573304209E-3</v>
          </cell>
        </row>
        <row r="54">
          <cell r="N54">
            <v>50</v>
          </cell>
          <cell r="O54">
            <v>1.4668563378089268</v>
          </cell>
          <cell r="P54">
            <v>1.0822316058355701E-2</v>
          </cell>
          <cell r="R54">
            <v>50</v>
          </cell>
          <cell r="S54">
            <v>1.4693554875666568</v>
          </cell>
          <cell r="T54">
            <v>8.4779093317997563E-4</v>
          </cell>
          <cell r="Y54">
            <v>50</v>
          </cell>
          <cell r="Z54">
            <v>1.4676358870251267</v>
          </cell>
          <cell r="AA54">
            <v>4.3465096503257951E-3</v>
          </cell>
          <cell r="AC54">
            <v>50</v>
          </cell>
          <cell r="AD54">
            <v>1.4681063477305649</v>
          </cell>
          <cell r="AE54">
            <v>1.7746459739351821E-3</v>
          </cell>
        </row>
        <row r="55">
          <cell r="N55">
            <v>100</v>
          </cell>
          <cell r="O55">
            <v>1.4753795824502702</v>
          </cell>
          <cell r="P55">
            <v>1.8971747623248724E-2</v>
          </cell>
          <cell r="R55">
            <v>100</v>
          </cell>
          <cell r="S55">
            <v>1.4834961327445499</v>
          </cell>
          <cell r="T55">
            <v>6.0758784835515645E-4</v>
          </cell>
          <cell r="Y55">
            <v>100</v>
          </cell>
          <cell r="Z55">
            <v>1.4832017913287932</v>
          </cell>
          <cell r="AA55">
            <v>1.7614345311793484E-3</v>
          </cell>
          <cell r="AC55">
            <v>100</v>
          </cell>
          <cell r="AD55">
            <v>1.4838580422610099</v>
          </cell>
          <cell r="AE55">
            <v>1.6072125335341403E-3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Lin Shi" id="{31DFFBAA-179C-478C-8160-7D3019BF562E}" userId="Lin@versogen.com" providerId="PeoplePicker"/>
  <person displayName="Balsu Lakshmanan" id="{528E9DF1-9D13-4D5D-8463-921FD53D25A5}" userId="balsu@versogen.com" providerId="PeoplePicker"/>
  <person displayName="Brian Setzler" id="{753D5F13-7F60-4EFC-A024-066A437D17F9}" userId="brian@versogen.com" providerId="PeoplePicker"/>
  <person displayName="William Wilhelm" id="{E8C3D74F-1C9C-4FBC-9953-831787C4F45C}" userId="william@versogen.com" providerId="PeoplePicker"/>
  <person displayName="Mehul Vora" id="{0481B36B-8262-4AF8-8C51-BDD992C304C9}" userId="mehul.vora@versogen.com" providerId="PeoplePicker"/>
  <person displayName="Luke Brusse" id="{050EBDF1-2CDB-418B-8DAB-9A509A9C38E0}" userId="luke.brusse@versogen.com" providerId="PeoplePicker"/>
  <person displayName="Siddhantha Awasthi" id="{5C96C20C-FFB2-4E20-81A2-D7CA1D086FF6}" userId="sid.awasthi@versogen.com" providerId="PeoplePicker"/>
  <person displayName="Lisa Dunsmore" id="{4C8B005D-6077-40F1-BFD3-D5FA24C3BA35}" userId="lisa.dunsmore@versogen.com" providerId="PeoplePicker"/>
  <person displayName="Chris Kiser" id="{44A71048-F783-4CC9-8862-2A1100530CAF}" userId="christopher.kiser@versogen.com" providerId="PeoplePicker"/>
  <person displayName="Udari Kodithuwakku" id="{C8823895-3D8E-4840-98FD-9096C81D7307}" userId="udari.kodithuwakku@versogen.com" providerId="PeoplePicker"/>
  <person displayName="Balsu Lakshmanan" id="{19C76A8F-6F36-43B8-99DF-23419F8B1114}" userId="S::balsu@versogen.com::eb68aed9-1d89-4e27-9338-df218f0d06dc" providerId="AD"/>
  <person displayName="Brian Setzler" id="{967B5524-202B-4C76-BCDF-922A70953CA0}" userId="S::brian@versogen.com::c7842547-0e5f-4424-bd9f-536b294a66b7" providerId="AD"/>
  <person displayName="Lisa Dunsmore" id="{73955035-836C-45A6-879A-66D524840262}" userId="S::lisa.dunsmore@versogen.com::ffd333d8-3b61-44b5-a127-ce6728f84f43" providerId="AD"/>
  <person displayName="Chris Kiser" id="{5E66AEBD-65F9-4C9A-85B4-F31619189688}" userId="S::christopher.kiser@versogen.com::5f4f0c49-3a54-43d4-8191-2f3ed56ddba9" providerId="AD"/>
  <person displayName="Udari Kodithuwakku" id="{CCFD95C0-1603-4165-A551-508BBAE70AF3}" userId="S::udari.kodithuwakku@versogen.com::9b4252cc-3249-44dd-83eb-7c68f0c4e153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A01953-47C5-43C0-8C76-5BEC170D3E01}" name="Table1" displayName="Table1" ref="A1:AJ2141" totalsRowShown="0" headerRowDxfId="70" dataDxfId="69" tableBorderDxfId="68">
  <autoFilter ref="A1:AJ2141" xr:uid="{5EA01953-47C5-43C0-8C76-5BEC170D3E01}"/>
  <tableColumns count="36">
    <tableColumn id="1" xr3:uid="{6C86A55D-EF41-45AE-8F74-5AEF99A4BCCE}" name="Stack #" dataDxfId="67"/>
    <tableColumn id="2" xr3:uid="{19000DF0-430A-43BD-8329-E1FB3AA61BB8}" name="Anode PN (Stack/cell electrodes)" dataDxfId="66"/>
    <tableColumn id="3" xr3:uid="{75334A60-F9AE-4A09-A74D-DDA2BCA10470}" name="Location/description" dataDxfId="65"/>
    <tableColumn id="4" xr3:uid="{8C91FC75-6C49-4A1A-8034-CB3116E5660D}" name="Current Location" dataDxfId="64"/>
    <tableColumn id="5" xr3:uid="{4FEE905E-5251-43B0-9C69-1D8D5492A4DF}" name="Claimed by" dataDxfId="63"/>
    <tableColumn id="6" xr3:uid="{F142AD93-1566-421F-8300-0A7681C4EBAE}" name="To stack" dataDxfId="62"/>
    <tableColumn id="7" xr3:uid="{A29232C3-FCE4-4F70-B853-439A7C35478C}" name="Which cell?" dataDxfId="61"/>
    <tableColumn id="8" xr3:uid="{7C3E0015-E276-479F-926B-B467375EA328}" name="Date to Stack" dataDxfId="60"/>
    <tableColumn id="9" xr3:uid="{56DCF7FF-06EB-46D7-9575-0A5563548BED}" name="Synthesis tank" dataDxfId="59"/>
    <tableColumn id="10" xr3:uid="{48EA5119-E427-4B66-8AFD-18B3ECCE6315}" name="PTL batch no." dataDxfId="58"/>
    <tableColumn id="32" xr3:uid="{B56C0CCB-259E-4C64-9FB4-C2EF68909918}" name="MQN batch" dataDxfId="57"/>
    <tableColumn id="31" xr3:uid="{1ADDE94B-B778-4CA6-8CC1-ECE2FF769045}" name="Ionomer batch no." dataDxfId="56"/>
    <tableColumn id="11" xr3:uid="{38D14C4C-D50A-4D7D-95B8-BD57965672D7}" name="Mass gain/mgcm-2" dataDxfId="55"/>
    <tableColumn id="12" xr3:uid="{31EB04DC-64F1-4431-8D00-F9C3797580B3}" name="Sonication loading/ mgcm2" dataDxfId="54"/>
    <tableColumn id="13" xr3:uid="{264795EC-77FE-4183-88BB-ED85AE0828BB}" name="Thickness of the ionomer/mm" dataDxfId="53"/>
    <tableColumn id="14" xr3:uid="{BF418113-16BB-447A-98EC-7C58D9EE961E}" name="Ionomer loading/mgcm-2" dataDxfId="52"/>
    <tableColumn id="15" xr3:uid="{539C2435-A569-4AC1-915B-0581FD41E0B8}" name="XRF alloy method Fe:Ni" dataDxfId="51"/>
    <tableColumn id="16" xr3:uid="{5CE3FC09-A71E-4C98-B450-1852C650DFDD}" name="HFR (Ohm cm2)" dataDxfId="50"/>
    <tableColumn id="17" xr3:uid="{0D98EB5C-92B5-4D8A-9DFE-5970858B308A}" name="ƞ at 20mAcm-2 (mV)" dataDxfId="49"/>
    <tableColumn id="18" xr3:uid="{E80D2584-9194-4CC8-8632-7855AB3CAA7F}" name="Tafel slope (mV/dec)" dataDxfId="48"/>
    <tableColumn id="19" xr3:uid="{A1B0F411-6CB9-4608-924E-A34B2EB049F9}" name="Date tested in 5 cm2 cell" dataDxfId="47" dataCellStyle="20% - Accent5"/>
    <tableColumn id="34" xr3:uid="{5F172B8D-2130-4C20-942D-E0884B423C06}" name="5 cm2 cell test code" dataDxfId="46" dataCellStyle="20% - Accent5"/>
    <tableColumn id="20" xr3:uid="{21948149-B2D0-4A3F-8B74-3F58949B3CEE}" name="i @ 1.8 V DIW (A/cm2)" dataDxfId="45">
      <calculatedColumnFormula array="1">_xlfn.XLOOKUP(Table1[[#This Row],[5 cm2 cell test code]:[5 cm2 cell test code]],[1]!Table1[[Test code]:[Test code]],[1]!Table1[i @ 1.8 V DIW (A/cm2)],"",0)</calculatedColumnFormula>
    </tableColumn>
    <tableColumn id="21" xr3:uid="{5BCF6738-5743-4CDB-B8DC-3E9ABE65F75D}" name="i at 1.8 V 10 mM KOH (A/cm2)" dataDxfId="44">
      <calculatedColumnFormula array="1">_xlfn.XLOOKUP(Table1[[#This Row],[5 cm2 cell test code]:[5 cm2 cell test code]],[1]!Table1[[Test code]:[Test code]],[1]!Table1[i @ 1.8 V 10 mM KOH (A/cm2)],"",0)</calculatedColumnFormula>
    </tableColumn>
    <tableColumn id="30" xr3:uid="{C783A393-7553-4C22-83B4-04E62BC92A01}" name="3-E ƞ at 20mAcm-2 (mV)" dataDxfId="43">
      <calculatedColumnFormula array="1">_xlfn.XLOOKUP(Table1[[#This Row],[5 cm2 cell test code]:[5 cm2 cell test code]],[1]!Table1[[Test code]:[Test code]],[1]!Table1[3-E ƞ at 20mAcm-2 (mV)],"",0)</calculatedColumnFormula>
    </tableColumn>
    <tableColumn id="29" xr3:uid="{28726373-294C-40C9-83F4-45E72BEB4F3A}" name="3-E Tafel slope (mV/dec)" dataDxfId="42">
      <calculatedColumnFormula array="1">_xlfn.XLOOKUP(Table1[[#This Row],[5 cm2 cell test code]:[5 cm2 cell test code]],[1]!Table1[[Test code]:[Test code]],[1]!Table1[3-E Tafel slope (mV/dec)],"",0)</calculatedColumnFormula>
    </tableColumn>
    <tableColumn id="22" xr3:uid="{7D6DD5B3-66CB-4D79-8964-A142D6AD822B}" name="E @ 100 mA/cm2 DIW/V" dataDxfId="41">
      <calculatedColumnFormula array="1">_xlfn.XLOOKUP(Table1[[#This Row],[5 cm2 cell test code]:[5 cm2 cell test code]],[1]!Table1[[Test code]:[Test code]],[1]!Table1[E @ 100 mA/cm2 DIW/V],"",0)</calculatedColumnFormula>
    </tableColumn>
    <tableColumn id="23" xr3:uid="{7F16B1B8-3F69-4DF5-98FB-12E11D5906B7}" name="E @ 100 mA/cm2 10 mM KOH/V" dataDxfId="40">
      <calculatedColumnFormula array="1">_xlfn.XLOOKUP(Table1[[#This Row],[5 cm2 cell test code]:[5 cm2 cell test code]],[1]!Table1[[Test code]:[Test code]],[1]!Table1[E @ 100 mA/cm2 10 mM KOH/V],"",0)</calculatedColumnFormula>
    </tableColumn>
    <tableColumn id="28" xr3:uid="{D574F898-F8B2-4AF2-9D0E-69DDCFC16D1F}" name="Anode ICR/mOhm" dataDxfId="39">
      <calculatedColumnFormula array="1">_xlfn.XLOOKUP(Table1[[#This Row],[5 cm2 cell test code]:[5 cm2 cell test code]],[1]!Table1[[Test code]:[Test code]],[1]!Table1[Anode ICR/mOhm],"",0)</calculatedColumnFormula>
    </tableColumn>
    <tableColumn id="24" xr3:uid="{3E6D0AB1-DCC8-4E00-BB4D-FC77337025AC}" name="HFR DIW/ mOhm cm2" dataDxfId="38">
      <calculatedColumnFormula array="1">_xlfn.XLOOKUP(Table1[[#This Row],[5 cm2 cell test code]:[5 cm2 cell test code]],[1]!Table1[[Test code]:[Test code]],[1]!Table1[HFR DIW/ mOhm cm2],"",0)</calculatedColumnFormula>
    </tableColumn>
    <tableColumn id="25" xr3:uid="{59C80B1B-CF00-4E8B-904C-DD55F62251D5}" name="HFR 10 mM KOH/ mOhm cm2" dataDxfId="37">
      <calculatedColumnFormula array="1">_xlfn.XLOOKUP(Table1[[#This Row],[5 cm2 cell test code]:[5 cm2 cell test code]],[1]!Table1[[Test code]:[Test code]],[1]!Table1[HFR 10 mM KOH/ mOhm cm2],"",0)</calculatedColumnFormula>
    </tableColumn>
    <tableColumn id="26" xr3:uid="{05223B73-64F7-4CDF-8098-2B7977BB2479}" name="Ionic resistance DIW/Ohm cm2" dataDxfId="36">
      <calculatedColumnFormula array="1">_xlfn.XLOOKUP(Table1[[#This Row],[5 cm2 cell test code]:[5 cm2 cell test code]],[1]!Table1[[Test code]:[Test code]],[1]!Table1[Ionic resistance DIW/Ohm cm2],"",0)</calculatedColumnFormula>
    </tableColumn>
    <tableColumn id="33" xr3:uid="{44DC30B9-1B45-4628-BCAC-505955E3F0F7}" name="Q_int_frac DIW" dataDxfId="35">
      <calculatedColumnFormula array="1">_xlfn.XLOOKUP(Table1[[#This Row],[5 cm2 cell test code]:[5 cm2 cell test code]],[1]!Table1[[Test code]:[Test code]],[1]!Table1[Q_int_frac DIW],"",0)</calculatedColumnFormula>
    </tableColumn>
    <tableColumn id="27" xr3:uid="{569EBC4B-49FA-477F-8716-0D954A81E977}" name="Ionic resistance 10 mM KOH/Ohm cm2" dataDxfId="34">
      <calculatedColumnFormula array="1">_xlfn.XLOOKUP(Table1[[#This Row],[5 cm2 cell test code]:[5 cm2 cell test code]],[1]!Table1[[Test code]:[Test code]],[1]!Table1[Ionic resistance 10 mM KOH/Ohm cm2],"",0)</calculatedColumnFormula>
    </tableColumn>
    <tableColumn id="36" xr3:uid="{6D554F77-E35E-4AFF-8B15-DA6883F45EF1}" name="Q_int_frac DIW 10 mM KOH" dataDxfId="33">
      <calculatedColumnFormula array="1">_xlfn.XLOOKUP(Table1[[#This Row],[5 cm2 cell test code]:[5 cm2 cell test code]],[1]!Table1[[Test code]:[Test code]],[1]!Table1[Q_int_frac DIW 10 mM KOH],"",0)</calculatedColumnFormula>
    </tableColumn>
    <tableColumn id="35" xr3:uid="{E0106F85-61B4-490A-8E5E-C7BE053D1555}" name="DIW conductivity (µS/cm)" dataDxfId="32">
      <calculatedColumnFormula array="1">_xlfn.XLOOKUP(Table1[[#This Row],[5 cm2 cell test code]:[5 cm2 cell test code]],[1]!Table1[[Test code]:[Test code]],[1]!Table1[DIW conductivity (µS/cm)],"",0)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93309B-D018-445F-B2D1-D0464D8DA34F}" name="Table13" displayName="Table13" ref="A1:AC255" totalsRowShown="0" headerRowDxfId="31" dataDxfId="30" tableBorderDxfId="29">
  <autoFilter ref="A1:AC255" xr:uid="{FB93309B-D018-445F-B2D1-D0464D8DA34F}"/>
  <tableColumns count="29">
    <tableColumn id="1" xr3:uid="{D97C0D95-7194-4201-BFAE-526B800F3C69}" name="Stack #" dataDxfId="28"/>
    <tableColumn id="2" xr3:uid="{00AC2C89-FE4C-410C-A3DD-585B0C008A9D}" name="Anode PN (Stack/cell electrodes)" dataDxfId="27"/>
    <tableColumn id="3" xr3:uid="{0ADB1958-C628-464E-A9A0-875ADB0A589A}" name="Location/description" dataDxfId="26"/>
    <tableColumn id="4" xr3:uid="{F6244B07-87E3-4051-B2A1-B1823ADC16A1}" name="Current Location" dataDxfId="25"/>
    <tableColumn id="5" xr3:uid="{FAB822C8-6A60-46CE-AD6F-3743057FE95D}" name="Claimed by" dataDxfId="24"/>
    <tableColumn id="6" xr3:uid="{40CC2A6F-7D3C-4012-B9E0-35199F2F8D9E}" name="To stack" dataDxfId="23"/>
    <tableColumn id="7" xr3:uid="{A32DD904-2D3D-4284-91F6-E74004961132}" name="Which cell?" dataDxfId="22"/>
    <tableColumn id="8" xr3:uid="{D8931B08-B02D-43F4-A69E-8D416EFA8F9F}" name="Date to Stack" dataDxfId="21"/>
    <tableColumn id="9" xr3:uid="{361D18A4-788C-465E-98F1-BD20AB917EB3}" name="Synthesis tank" dataDxfId="20"/>
    <tableColumn id="10" xr3:uid="{A27241D6-5D47-4000-9459-A8CAB2C51543}" name="PTL batch no." dataDxfId="19"/>
    <tableColumn id="11" xr3:uid="{ED43E012-082B-4153-B9AF-30908BE55794}" name="Mass gain/mgcm-2" dataDxfId="18"/>
    <tableColumn id="12" xr3:uid="{985E8CD1-7F51-467F-876D-94502A1557DA}" name="Sonication loading/ mgcm2" dataDxfId="17"/>
    <tableColumn id="13" xr3:uid="{7E52CC24-1448-47AA-89B5-1839F9B84FAE}" name="Thickness of the ionomer/mm" dataDxfId="16"/>
    <tableColumn id="14" xr3:uid="{A6465CD6-0636-4937-ADB8-8E94BE2609BD}" name="Ionomer loading/mgcm-2" dataDxfId="15"/>
    <tableColumn id="15" xr3:uid="{3AB90882-74EB-44F3-A9A8-36C8CB704047}" name="Color measurement (∆E)" dataDxfId="14"/>
    <tableColumn id="16" xr3:uid="{70BE9323-00BC-4AF9-9835-BBE7253BDCF3}" name="HFR (Ohm cm2)" dataDxfId="13"/>
    <tableColumn id="17" xr3:uid="{04AB692E-FF46-452B-8B60-720415FCECC7}" name="ƞ at 20mAcm-2 (mV)" dataDxfId="12"/>
    <tableColumn id="18" xr3:uid="{4ADC9916-4613-48FF-8B2F-63182DDADBB5}" name="Tafel slope (mV/dec)" dataDxfId="11"/>
    <tableColumn id="19" xr3:uid="{286AD791-8BB9-431A-9C88-8530F03D9511}" name="Date tested in 5 cm2 cell" dataDxfId="10" dataCellStyle="20% - Accent5"/>
    <tableColumn id="20" xr3:uid="{A260559A-A5C2-4FA4-AD84-C1DCF03520B5}" name="i @ 1.8 V DIW (A/cm2)" dataDxfId="9"/>
    <tableColumn id="21" xr3:uid="{150C9B83-429B-4211-BE0A-BB71CA085482}" name="i at 1.8 V 10 mM KOH (A/cm2)" dataDxfId="8"/>
    <tableColumn id="30" xr3:uid="{E1876F11-F8A0-42AB-BF9B-2481AF9C9399}" name="3-E ƞ at 20mAcm-2 (mV)" dataDxfId="7"/>
    <tableColumn id="29" xr3:uid="{2E32ADA1-676F-4827-AB57-D70E0BC7EFF2}" name="3-E Tafel slope (mV/dec)" dataDxfId="6"/>
    <tableColumn id="22" xr3:uid="{42EE80C5-C297-4747-A981-A1B63D17BD29}" name="E @ 100 mA/cm2 DIW/V" dataDxfId="5"/>
    <tableColumn id="23" xr3:uid="{337954DE-6A2B-4344-810E-C029552EDA4C}" name="E @ 100 mA/cm2 10 mM KOH/V" dataDxfId="4"/>
    <tableColumn id="24" xr3:uid="{2547FA53-6746-412C-B108-390FF7BE2861}" name="HFR DIW/ mOhm cm2" dataDxfId="3"/>
    <tableColumn id="25" xr3:uid="{DDF95423-CE36-47E4-B3AF-00EABF989124}" name="HFR 10 mM KOH/ mOhm cm2" dataDxfId="2"/>
    <tableColumn id="26" xr3:uid="{8FC72D42-AC31-4B9C-9CE1-9C98CAD82BB1}" name="Ionic resistance DIW/Ohm cm2" dataDxfId="1"/>
    <tableColumn id="27" xr3:uid="{BAB5BC5A-7347-424C-AE06-5C6688FAAE75}" name="Ionic resistance 10 mM KOH/Ohm cm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3-03-27T17:57:20.31" personId="{CCFD95C0-1603-4165-A551-508BBAE70AF3}" id="{F56C8B95-A9B3-4889-9645-C1001E1E9A24}">
    <text xml:space="preserve">@Lisa Dunsmore If you need more information about anode, please review this spreadsheet. This is linked to your PN guide too. </text>
    <mentions>
      <mention mentionpersonId="{4C8B005D-6077-40F1-BFD3-D5FA24C3BA35}" mentionId="{0F47F592-08E7-42D8-80A9-8B18485E3E2E}" startIndex="0" length="14"/>
    </mentions>
  </threadedComment>
  <threadedComment ref="A2" dT="2023-03-27T18:55:31.01" personId="{73955035-836C-45A6-879A-66D524840262}" id="{93391542-FD91-4A4D-A62C-14831E4919A7}" parentId="{F56C8B95-A9B3-4889-9645-C1001E1E9A24}">
    <text>This is great, thank you.</text>
  </threadedComment>
  <threadedComment ref="B2" dT="2023-09-11T15:27:55.50" personId="{CCFD95C0-1603-4165-A551-508BBAE70AF3}" id="{6027FDC7-726B-4956-85FB-CA52EF529102}">
    <text>@Lin Shi @Balsu Lakshmanan @Brian Setzler @Mehul Vora Anode PN guide</text>
    <mentions>
      <mention mentionpersonId="{31DFFBAA-179C-478C-8160-7D3019BF562E}" mentionId="{5A675624-CA44-4EAD-8B11-950F1F296977}" startIndex="0" length="8"/>
      <mention mentionpersonId="{528E9DF1-9D13-4D5D-8463-921FD53D25A5}" mentionId="{48C7F529-802C-469D-83F8-E82D4B9BDB9D}" startIndex="9" length="17"/>
      <mention mentionpersonId="{753D5F13-7F60-4EFC-A024-066A437D17F9}" mentionId="{49CE7562-9D18-420A-A433-1A4A0D6CC325}" startIndex="27" length="14"/>
      <mention mentionpersonId="{0481B36B-8262-4AF8-8C51-BDD992C304C9}" mentionId="{42E72C25-5D4D-4AED-B7C0-535811CA82A4}" startIndex="42" length="11"/>
    </mentions>
  </threadedComment>
  <threadedComment ref="W8" dT="2023-03-14T14:24:27.02" personId="{CCFD95C0-1603-4165-A551-508BBAE70AF3}" id="{9E48B348-819D-4A62-BF76-5795AABA16AD}">
    <text>@Lin Shi Could you please update these columns if you have anything important to add here</text>
    <mentions>
      <mention mentionpersonId="{31DFFBAA-179C-478C-8160-7D3019BF562E}" mentionId="{92976F3E-607C-4870-ADC1-F7F55DA15CA3}" startIndex="0" length="8"/>
    </mentions>
  </threadedComment>
  <threadedComment ref="W14" dT="2023-03-14T14:25:30.49" personId="{CCFD95C0-1603-4165-A551-508BBAE70AF3}" id="{B3A3D365-01E5-4894-ABC5-9D2B6E0B96C0}">
    <text>@Lin Shi Could you also please update these cells?</text>
    <mentions>
      <mention mentionpersonId="{31DFFBAA-179C-478C-8160-7D3019BF562E}" mentionId="{F72B13C6-87AF-4076-9C62-BCA7BA818D16}" startIndex="0" length="8"/>
    </mentions>
  </threadedComment>
  <threadedComment ref="B27" dT="2023-05-11T19:10:53.93" personId="{CCFD95C0-1603-4165-A551-508BBAE70AF3}" id="{45566732-63CE-4A18-842D-8DC3F4815792}">
    <text xml:space="preserve">@Lin Shi Please check this.
</text>
    <mentions>
      <mention mentionpersonId="{31DFFBAA-179C-478C-8160-7D3019BF562E}" mentionId="{444789CD-467D-4D6D-B68A-C128794A4BFA}" startIndex="0" length="8"/>
    </mentions>
  </threadedComment>
  <threadedComment ref="B38" dT="2023-05-11T18:54:32.51" personId="{CCFD95C0-1603-4165-A551-508BBAE70AF3}" id="{95D25892-385F-4AE9-AEF0-0DCC56A8AB55}">
    <text>@Lin Shi MOTT PTL info</text>
    <mentions>
      <mention mentionpersonId="{31DFFBAA-179C-478C-8160-7D3019BF562E}" mentionId="{DD3FD8CD-7D7D-4E4F-AF5A-1A968C2C3480}" startIndex="0" length="8"/>
    </mentions>
  </threadedComment>
  <threadedComment ref="P59" dT="2023-04-28T14:36:33.58" personId="{5E66AEBD-65F9-4C9A-85B4-F31619189688}" id="{EF8110B1-9131-43CF-BE95-9E233EBA1BE1}">
    <text>This loading mass was calculated using the PTL mass after drying from acetone treatment</text>
  </threadedComment>
  <threadedComment ref="C67" dT="2023-05-04T00:22:44.35" personId="{CCFD95C0-1603-4165-A551-508BBAE70AF3}" id="{F2430A15-6226-48E3-BC19-FF7AE38DF656}" done="1">
    <text>@Chris Kiser Can you put the DO value?</text>
    <mentions>
      <mention mentionpersonId="{44A71048-F783-4CC9-8862-2A1100530CAF}" mentionId="{F9F6FED9-8B53-43E3-B6E3-E29310E368D4}" startIndex="0" length="12"/>
    </mentions>
  </threadedComment>
  <threadedComment ref="C68" dT="2023-05-04T00:23:14.76" personId="{CCFD95C0-1603-4165-A551-508BBAE70AF3}" id="{B46A781B-283B-44C9-8783-6663A7933C5B}" done="1">
    <text>@Chris Kiser Update the DO value and temperature</text>
    <mentions>
      <mention mentionpersonId="{44A71048-F783-4CC9-8862-2A1100530CAF}" mentionId="{484E4851-6AF3-4F99-97DA-8E0144ADDEE5}" startIndex="0" length="12"/>
    </mentions>
  </threadedComment>
  <threadedComment ref="B70" dT="2023-05-22T13:39:36.18" personId="{CCFD95C0-1603-4165-A551-508BBAE70AF3}" id="{6CF1DB1A-1151-467C-BBDD-3C809C6AF219}">
    <text>@Chris Kiser is this the one?</text>
    <mentions>
      <mention mentionpersonId="{44A71048-F783-4CC9-8862-2A1100530CAF}" mentionId="{CD2EF18E-D639-463C-86CE-D36150A18379}" startIndex="0" length="12"/>
    </mentions>
  </threadedComment>
  <threadedComment ref="R81" dT="2023-09-19T15:20:14.59" personId="{CCFD95C0-1603-4165-A551-508BBAE70AF3}" id="{DD6C2908-5B56-435A-85FB-D3C39697183F}">
    <text>Outlier</text>
  </threadedComment>
  <threadedComment ref="R82" dT="2023-09-19T15:20:36.64" personId="{CCFD95C0-1603-4165-A551-508BBAE70AF3}" id="{5B5AF5A5-AF04-4305-93D1-BF38A8F1EEF3}">
    <text>Outlier</text>
  </threadedComment>
  <threadedComment ref="R83" dT="2023-09-19T15:20:47.29" personId="{CCFD95C0-1603-4165-A551-508BBAE70AF3}" id="{E6C35DBC-99D8-48C1-8535-6E722625893F}">
    <text>Outlier</text>
  </threadedComment>
  <threadedComment ref="S85" dT="2023-09-18T20:19:10.39" personId="{967B5524-202B-4C76-BCDF-922A70953CA0}" id="{38F7B60D-83C7-472C-9961-F4B46860972F}">
    <text>@Udari Kodithuwakku Am I on the right sheet? There should be 4 measurements for batch 23129C1, but I only see one.</text>
    <mentions>
      <mention mentionpersonId="{C8823895-3D8E-4840-98FD-9096C81D7307}" mentionId="{F8F75DAF-845B-4865-9EF9-5528D5E25F64}" startIndex="0" length="19"/>
    </mentions>
  </threadedComment>
  <threadedComment ref="S85" dT="2023-09-19T04:15:26.40" personId="{CCFD95C0-1603-4165-A551-508BBAE70AF3}" id="{4D289A8B-C1F2-493C-B302-5E000925184E}" parentId="{38F7B60D-83C7-472C-9961-F4B46860972F}">
    <text>I updated the spreadsheet Brian. You can work on that.</text>
  </threadedComment>
  <threadedComment ref="B127" dT="2023-06-20T08:10:19.92" personId="{CCFD95C0-1603-4165-A551-508BBAE70AF3}" id="{B1E6B875-805C-4B81-A9BC-A4052458C551}">
    <text xml:space="preserve">@Chris Kiser please update this anode </text>
    <mentions>
      <mention mentionpersonId="{44A71048-F783-4CC9-8862-2A1100530CAF}" mentionId="{E7AB3D60-9D75-491D-8307-3A7C5BCB0D77}" startIndex="0" length="12"/>
    </mentions>
  </threadedComment>
  <threadedComment ref="B135" dT="2023-07-31T17:01:47.63" personId="{CCFD95C0-1603-4165-A551-508BBAE70AF3}" id="{6992D703-74AB-46DA-B53F-B6D7E3909B7E}">
    <text>@Lin Shi Updated.</text>
    <mentions>
      <mention mentionpersonId="{31DFFBAA-179C-478C-8160-7D3019BF562E}" mentionId="{5105887C-5F4D-46F0-9136-B1AEA7E65DD2}" startIndex="0" length="8"/>
    </mentions>
  </threadedComment>
  <threadedComment ref="O169" dT="2023-06-29T06:18:31.20" personId="{CCFD95C0-1603-4165-A551-508BBAE70AF3}" id="{87DB442D-E29D-4C19-A69B-2EBD4A83E5C6}" done="1">
    <text>@Chris Kiser Please update this</text>
    <mentions>
      <mention mentionpersonId="{44A71048-F783-4CC9-8862-2A1100530CAF}" mentionId="{7EC060AE-60DE-4E76-8CF8-CC22703F6C26}" startIndex="0" length="12"/>
    </mentions>
  </threadedComment>
  <threadedComment ref="A173" dT="2023-07-07T15:33:10.71" personId="{73955035-836C-45A6-879A-66D524840262}" id="{B5C947C7-23AE-4E84-920A-983DBECA3988}">
    <text>@Udari Kodithuwakku @Chris Kiser what is the thickness and standard deviation of the mwp003 anode?</text>
    <mentions>
      <mention mentionpersonId="{C8823895-3D8E-4840-98FD-9096C81D7307}" mentionId="{378C5DB6-7383-4986-AE1C-3B9663E40691}" startIndex="0" length="19"/>
      <mention mentionpersonId="{44A71048-F783-4CC9-8862-2A1100530CAF}" mentionId="{75F0A6F0-F94A-4A5D-9E8F-96E5AFCD3DF4}" startIndex="20" length="12"/>
    </mentions>
  </threadedComment>
  <threadedComment ref="A173" dT="2023-07-07T15:48:49.63" personId="{5E66AEBD-65F9-4C9A-85B4-F31619189688}" id="{A4CAA5BF-D370-4BE3-BE80-40C86C14EDF1}" parentId="{B5C947C7-23AE-4E84-920A-983DBECA3988}">
    <text>I didn't measure the thickness before stack loading</text>
  </threadedComment>
  <threadedComment ref="A173" dT="2023-07-10T07:30:09.70" personId="{CCFD95C0-1603-4165-A551-508BBAE70AF3}" id="{8FC15839-068C-40DB-A671-6EB36858F024}" parentId="{B5C947C7-23AE-4E84-920A-983DBECA3988}">
    <text xml:space="preserve">@Lisa Dunsmore Is the thickness after ionomer loading or before?
after we finish ionomer coating we will report the thickness. </text>
    <mentions>
      <mention mentionpersonId="{4C8B005D-6077-40F1-BFD3-D5FA24C3BA35}" mentionId="{0AAEE15A-80A8-42E8-8592-9440847E3A4C}" startIndex="0" length="14"/>
    </mentions>
  </threadedComment>
  <threadedComment ref="A173" dT="2023-07-10T15:10:59.38" personId="{73955035-836C-45A6-879A-66D524840262}" id="{5EB14BED-7915-4D9B-9A68-BBC873CC7FCC}" parentId="{B5C947C7-23AE-4E84-920A-983DBECA3988}">
    <text>@Udari Kodithuwakku  after ionomer coating</text>
    <mentions>
      <mention mentionpersonId="{C8823895-3D8E-4840-98FD-9096C81D7307}" mentionId="{FBA4AEA4-FB7F-4DB0-A429-B0EE119F56AD}" startIndex="0" length="19"/>
    </mentions>
  </threadedComment>
  <threadedComment ref="B174" dT="2023-08-02T20:01:12.02" personId="{73955035-836C-45A6-879A-66D524840262}" id="{455224ED-B7AD-447F-A42E-324F2E0CAA29}">
    <text>@William Wilhelm @Luke Brusse @Siddhantha Awasthi update the stack number for each of these anodes by 9 am tomorrow morning 8/3/23</text>
    <mentions>
      <mention mentionpersonId="{E8C3D74F-1C9C-4FBC-9953-831787C4F45C}" mentionId="{D03BC22F-F81F-403D-975E-522EDAE87AB0}" startIndex="0" length="16"/>
      <mention mentionpersonId="{050EBDF1-2CDB-418B-8DAB-9A509A9C38E0}" mentionId="{E08E4860-210A-48D8-B354-6318522A8DF5}" startIndex="17" length="12"/>
      <mention mentionpersonId="{5C96C20C-FFB2-4E20-81A2-D7CA1D086FF6}" mentionId="{9C93E09B-16C7-4136-94BF-8E2F3D8B79ED}" startIndex="30" length="19"/>
    </mentions>
  </threadedComment>
  <threadedComment ref="P238" dT="2023-10-22T04:23:43.30" personId="{CCFD95C0-1603-4165-A551-508BBAE70AF3}" id="{96404029-203D-4959-A37B-47700321ADAC}">
    <text>@Chris Kiser what is the ionomer loading and thickness of this electrode?</text>
    <mentions>
      <mention mentionpersonId="{44A71048-F783-4CC9-8862-2A1100530CAF}" mentionId="{19DB6E70-95D0-4B60-BC8E-1BBF311B1113}" startIndex="0" length="12"/>
    </mentions>
  </threadedComment>
  <threadedComment ref="M255" dT="2023-10-27T12:14:01.21" personId="{CCFD95C0-1603-4165-A551-508BBAE70AF3}" id="{4723ED99-865A-4B09-A069-C5331909F3DF}">
    <text>@Chris Kiser Can you update the mass gain of this anode?</text>
    <mentions>
      <mention mentionpersonId="{44A71048-F783-4CC9-8862-2A1100530CAF}" mentionId="{65938CA4-43A7-4C67-A73A-E591716F03BD}" startIndex="0" length="12"/>
    </mentions>
  </threadedComment>
  <threadedComment ref="M255" dT="2023-10-27T13:27:24.26" personId="{5E66AEBD-65F9-4C9A-85B4-F31619189688}" id="{8093EB9D-4491-4DB6-A910-CD8C61CF1E8E}" parentId="{4723ED99-865A-4B09-A069-C5331909F3DF}">
    <text>@Udari Kodithuwakku You wrote down the initial and final masses. Do you have them? I can update them if you have them.</text>
    <mentions>
      <mention mentionpersonId="{C8823895-3D8E-4840-98FD-9096C81D7307}" mentionId="{330983CA-B7C1-4FA8-970F-0170AEDF8940}" startIndex="0" length="19"/>
    </mentions>
  </threadedComment>
  <threadedComment ref="Q255" dT="2023-10-27T12:51:00.35" personId="{CCFD95C0-1603-4165-A551-508BBAE70AF3}" id="{F86A518E-7208-4D18-96F7-ECCAC995FF44}">
    <text>@Chris Kiser Please update this column ASAP</text>
    <mentions>
      <mention mentionpersonId="{44A71048-F783-4CC9-8862-2A1100530CAF}" mentionId="{7CBEB5DA-37A4-4445-94CE-8C8FCCEF86BA}" startIndex="0" length="12"/>
    </mentions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3-04-21T13:09:33.21" personId="{CCFD95C0-1603-4165-A551-508BBAE70AF3}" id="{8489A45F-5FD6-44CD-9C07-41E252147E4D}">
    <text xml:space="preserve">@Chris Kiser Please keep this spreadsheet updated every time.
 </text>
    <mentions>
      <mention mentionpersonId="{44A71048-F783-4CC9-8862-2A1100530CAF}" mentionId="{8745742B-19DD-4B4A-81D0-25EB60A50295}" startIndex="0" length="12"/>
    </mentions>
  </threadedComment>
  <threadedComment ref="A8" dT="2023-05-11T19:10:53.93" personId="{CCFD95C0-1603-4165-A551-508BBAE70AF3}" id="{FB098AFD-AD10-40C5-BC0E-B08A210EBAD5}">
    <text xml:space="preserve">@Lin Shi Please check this.
</text>
    <mentions>
      <mention mentionpersonId="{31DFFBAA-179C-478C-8160-7D3019BF562E}" mentionId="{48BC646C-AA7C-474D-922B-124394F8ABBA}" startIndex="0" length="8"/>
    </mentions>
  </threadedComment>
  <threadedComment ref="A12" dT="2023-05-11T18:54:32.51" personId="{CCFD95C0-1603-4165-A551-508BBAE70AF3}" id="{A9A6A825-E145-4213-BFED-7B51FF626A5C}">
    <text>@Lin Shi MOTT PTL info</text>
    <mentions>
      <mention mentionpersonId="{31DFFBAA-179C-478C-8160-7D3019BF562E}" mentionId="{76F8A5D7-64FD-4FEE-B417-3CE677BF1FFE}" startIndex="0" length="8"/>
    </mentions>
  </threadedComment>
  <threadedComment ref="A19" dT="2023-05-22T13:39:36.18" personId="{CCFD95C0-1603-4165-A551-508BBAE70AF3}" id="{AAA70766-7289-4B7D-905B-AF6970B166C7}">
    <text>@Chris Kiser is this the one?</text>
    <mentions>
      <mention mentionpersonId="{44A71048-F783-4CC9-8862-2A1100530CAF}" mentionId="{AAAB8A9B-5C39-4EB3-AFF2-1DFDBE437698}" startIndex="0" length="12"/>
    </mentions>
  </threadedComment>
  <threadedComment ref="A27" dT="2023-07-31T17:01:47.63" personId="{CCFD95C0-1603-4165-A551-508BBAE70AF3}" id="{53F74A8C-7DFA-4C0E-A285-90AC7E94D0A3}">
    <text>@Lin Shi Updated.</text>
    <mentions>
      <mention mentionpersonId="{31DFFBAA-179C-478C-8160-7D3019BF562E}" mentionId="{3D99FA58-0CA3-4ED8-B0D8-A37ABD42A370}" startIndex="0" length="8"/>
    </mentions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3-03-15T12:35:01.76" personId="{CCFD95C0-1603-4165-A551-508BBAE70AF3}" id="{9AD02612-BA20-4D0E-A9A8-5F34FD325539}">
    <text>@Balsu Lakshmanan Could you please review this and give your comments/suggestions?</text>
    <mentions>
      <mention mentionpersonId="{528E9DF1-9D13-4D5D-8463-921FD53D25A5}" mentionId="{7637EACD-A964-45AE-8473-147989C5326E}" startIndex="0" length="17"/>
    </mentions>
  </threadedComment>
  <threadedComment ref="A1" dT="2023-03-16T11:44:24.95" personId="{19C76A8F-6F36-43B8-99DF-23419F8B1114}" id="{653FA372-160E-4EA7-92DB-7C63A1A394D9}" parentId="{9AD02612-BA20-4D0E-A9A8-5F34FD325539}">
    <text>Is there a simple identifier for synthesis method?</text>
  </threadedComment>
  <threadedComment ref="A1" dT="2023-03-16T16:53:09.18" personId="{CCFD95C0-1603-4165-A551-508BBAE70AF3}" id="{45F824B9-5BD9-4712-9D17-C5868A9BD93A}" parentId="{9AD02612-BA20-4D0E-A9A8-5F34FD325539}">
    <text>@Balsu Lakshmanan Can I add an assigned letter to the PN number for the fish tank (Vertical), S-tank, or flat synthesis (Horizontal) etc.?</text>
    <mentions>
      <mention mentionpersonId="{528E9DF1-9D13-4D5D-8463-921FD53D25A5}" mentionId="{077EAB24-27F8-476F-A0E3-986629B7868F}" startIndex="0" length="17"/>
    </mentions>
  </threadedComment>
  <threadedComment ref="A1" dT="2023-03-16T17:56:39.12" personId="{19C76A8F-6F36-43B8-99DF-23419F8B1114}" id="{30C10C18-CA8C-414F-A88A-A184EAB73314}" parentId="{9AD02612-BA20-4D0E-A9A8-5F34FD325539}">
    <text xml:space="preserve">The synthesis method should not change the part number. Let's catch up so we can update it. This table is fine for now. </text>
  </threadedComment>
  <threadedComment ref="B1" dT="2023-04-21T13:09:33.21" personId="{CCFD95C0-1603-4165-A551-508BBAE70AF3}" id="{E7F91124-0703-4EB2-88F7-1A75DA68A679}">
    <text xml:space="preserve">@Chris Kiser Please keep this spreadsheet updated every time.
 </text>
    <mentions>
      <mention mentionpersonId="{44A71048-F783-4CC9-8862-2A1100530CAF}" mentionId="{0C6C0890-10CC-424D-8CA6-AA51E2720872}" startIndex="0" length="12"/>
    </mentions>
  </threadedComment>
  <threadedComment ref="J1" dT="2023-03-16T11:45:27.51" personId="{19C76A8F-6F36-43B8-99DF-23419F8B1114}" id="{FA13D1AB-68BB-45AA-B63D-7390B77165F4}">
    <text xml:space="preserve">@Udari Kodithuwakku  - Thanks for adding this. Please scan and place any data / CoA sheets from the suppliers in a common shared folder. </text>
    <mentions>
      <mention mentionpersonId="{C8823895-3D8E-4840-98FD-9096C81D7307}" mentionId="{F284B555-9B7C-4F11-8F78-937A4B17A5D6}" startIndex="0" length="19"/>
    </mentions>
  </threadedComment>
  <threadedComment ref="J1" dT="2023-03-16T17:21:31.69" personId="{CCFD95C0-1603-4165-A551-508BBAE70AF3}" id="{1C20066D-F813-4DBF-B671-17D89A528028}" parentId="{FA13D1AB-68BB-45AA-B63D-7390B77165F4}">
    <text xml:space="preserve">@Balsu Lakshmanan Check the links for the PTL info. </text>
    <mentions>
      <mention mentionpersonId="{528E9DF1-9D13-4D5D-8463-921FD53D25A5}" mentionId="{0A5F27BA-42B1-4B65-B3CA-19642EAA6E45}" startIndex="0" length="17"/>
    </mentions>
  </threadedComment>
  <threadedComment ref="A2" dT="2023-03-27T17:57:20.31" personId="{CCFD95C0-1603-4165-A551-508BBAE70AF3}" id="{3CF7AC06-D24C-4F87-82B9-70D5245CDCC4}">
    <text xml:space="preserve">@Lisa Dunsmore If you need more information about anode, please review this spreadsheet. This is linked to your PN guide too. </text>
    <mentions>
      <mention mentionpersonId="{4C8B005D-6077-40F1-BFD3-D5FA24C3BA35}" mentionId="{CF6CBF7C-AE78-435C-8290-E1B331B467C7}" startIndex="0" length="14"/>
    </mentions>
  </threadedComment>
  <threadedComment ref="A2" dT="2023-03-27T18:55:31.01" personId="{73955035-836C-45A6-879A-66D524840262}" id="{713DB487-23BF-4CAC-96A5-366B72CA26D4}" parentId="{3CF7AC06-D24C-4F87-82B9-70D5245CDCC4}">
    <text>This is great, thank you.</text>
  </threadedComment>
  <threadedComment ref="B2" dT="2023-09-11T15:27:55.50" personId="{CCFD95C0-1603-4165-A551-508BBAE70AF3}" id="{8EB41583-63D8-4904-A3B4-2CE2D802A55F}">
    <text>@Lin Shi @Balsu Lakshmanan @Brian Setzler @Mehul Vora Anode PN guide</text>
    <mentions>
      <mention mentionpersonId="{31DFFBAA-179C-478C-8160-7D3019BF562E}" mentionId="{0B060F0A-22F7-4448-9CCE-B840CFB20A63}" startIndex="0" length="8"/>
      <mention mentionpersonId="{528E9DF1-9D13-4D5D-8463-921FD53D25A5}" mentionId="{A6BC857F-C968-456F-8952-155F040EF9A9}" startIndex="9" length="17"/>
      <mention mentionpersonId="{753D5F13-7F60-4EFC-A024-066A437D17F9}" mentionId="{BF08EFE0-1D6C-46F8-A601-A132D1D57B15}" startIndex="27" length="14"/>
      <mention mentionpersonId="{0481B36B-8262-4AF8-8C51-BDD992C304C9}" mentionId="{6BA712A9-09BB-4FAD-8AF2-875FB16E0F4D}" startIndex="42" length="11"/>
    </mentions>
  </threadedComment>
  <threadedComment ref="T8" dT="2023-03-14T14:24:27.02" personId="{CCFD95C0-1603-4165-A551-508BBAE70AF3}" id="{C4B179C8-8D4A-45B4-BC00-EB930A3A9A5E}">
    <text>@Lin Shi Could you please update these columns if you have anything important to add here</text>
    <mentions>
      <mention mentionpersonId="{31DFFBAA-179C-478C-8160-7D3019BF562E}" mentionId="{6E8D5C91-5B85-46CF-B2FD-AC0785F7F55D}" startIndex="0" length="8"/>
    </mentions>
  </threadedComment>
  <threadedComment ref="T14" dT="2023-03-14T14:25:30.49" personId="{CCFD95C0-1603-4165-A551-508BBAE70AF3}" id="{3AAFD7D5-FDFC-4089-81E1-4DECC41DCC21}">
    <text>@Lin Shi Could you also please update these cells?</text>
    <mentions>
      <mention mentionpersonId="{31DFFBAA-179C-478C-8160-7D3019BF562E}" mentionId="{36C4DE1A-318D-452E-840D-AEFD260787E9}" startIndex="0" length="8"/>
    </mentions>
  </threadedComment>
  <threadedComment ref="B27" dT="2023-05-11T19:10:53.93" personId="{CCFD95C0-1603-4165-A551-508BBAE70AF3}" id="{44FCD272-CAAA-488E-A66F-F7CF114DED73}">
    <text xml:space="preserve">@Lin Shi Please check this.
</text>
    <mentions>
      <mention mentionpersonId="{31DFFBAA-179C-478C-8160-7D3019BF562E}" mentionId="{4B68062A-25A3-4FF2-A265-36237DE044BF}" startIndex="0" length="8"/>
    </mentions>
  </threadedComment>
  <threadedComment ref="B38" dT="2023-05-11T18:54:32.51" personId="{CCFD95C0-1603-4165-A551-508BBAE70AF3}" id="{8A9BD9AF-E234-4C81-90FF-6F15879CB2D5}">
    <text>@Lin Shi MOTT PTL info</text>
    <mentions>
      <mention mentionpersonId="{31DFFBAA-179C-478C-8160-7D3019BF562E}" mentionId="{2F073FAA-9B2D-424F-AB23-9A0CEB20A7AD}" startIndex="0" length="8"/>
    </mentions>
  </threadedComment>
  <threadedComment ref="N59" dT="2023-04-28T14:36:33.58" personId="{5E66AEBD-65F9-4C9A-85B4-F31619189688}" id="{AE6CF9DE-BE44-490E-8ED3-EEB6BC973A58}">
    <text>This loading mass was calculated using the PTL mass after drying from acetone treatment</text>
  </threadedComment>
  <threadedComment ref="C67" dT="2023-05-04T00:22:44.35" personId="{CCFD95C0-1603-4165-A551-508BBAE70AF3}" id="{10272901-B75D-4702-933A-E899B7D9A0F3}" done="1">
    <text>@Chris Kiser Can you put the DO value?</text>
    <mentions>
      <mention mentionpersonId="{44A71048-F783-4CC9-8862-2A1100530CAF}" mentionId="{6AABD86A-7CDE-4CBD-A36C-D04EA83923F6}" startIndex="0" length="12"/>
    </mentions>
  </threadedComment>
  <threadedComment ref="C68" dT="2023-05-04T00:23:14.76" personId="{CCFD95C0-1603-4165-A551-508BBAE70AF3}" id="{F984450E-1E6F-4679-B2BC-48E78C4C55D4}" done="1">
    <text>@Chris Kiser Update the DO value and temperature</text>
    <mentions>
      <mention mentionpersonId="{44A71048-F783-4CC9-8862-2A1100530CAF}" mentionId="{AFB3C8A6-4A9E-4612-977B-03F94EFA6C83}" startIndex="0" length="12"/>
    </mentions>
  </threadedComment>
  <threadedComment ref="B70" dT="2023-05-22T13:39:36.18" personId="{CCFD95C0-1603-4165-A551-508BBAE70AF3}" id="{12443FF0-969E-426F-A6C1-0ED50EF39D12}">
    <text>@Chris Kiser is this the one?</text>
    <mentions>
      <mention mentionpersonId="{44A71048-F783-4CC9-8862-2A1100530CAF}" mentionId="{89C09DD1-01BB-4A97-9DE5-091D08E3DF34}" startIndex="0" length="12"/>
    </mentions>
  </threadedComment>
  <threadedComment ref="P81" dT="2023-09-19T15:20:14.59" personId="{CCFD95C0-1603-4165-A551-508BBAE70AF3}" id="{FC5F8BFA-3027-4A0B-A4E4-2CA7314AC276}">
    <text>Outlier</text>
  </threadedComment>
  <threadedComment ref="P82" dT="2023-09-19T15:20:36.64" personId="{CCFD95C0-1603-4165-A551-508BBAE70AF3}" id="{BF3452FE-1447-42E2-8BA6-5EFC2A499205}">
    <text>Outlier</text>
  </threadedComment>
  <threadedComment ref="P83" dT="2023-09-19T15:20:47.29" personId="{CCFD95C0-1603-4165-A551-508BBAE70AF3}" id="{BEEFC87F-60F4-4982-95A8-5298D8CB4038}">
    <text>Outlier</text>
  </threadedComment>
  <threadedComment ref="Q85" dT="2023-09-18T20:19:10.39" personId="{967B5524-202B-4C76-BCDF-922A70953CA0}" id="{23588F1E-1C94-4FCB-9967-F7972A43B9FE}">
    <text>@Udari Kodithuwakku Am I on the right sheet? There should be 4 measurements for batch 23129C1, but I only see one.</text>
    <mentions>
      <mention mentionpersonId="{C8823895-3D8E-4840-98FD-9096C81D7307}" mentionId="{843DD74A-6BE6-4EE7-AA8E-E9A2E7CBDE66}" startIndex="0" length="19"/>
    </mentions>
  </threadedComment>
  <threadedComment ref="Q85" dT="2023-09-19T04:15:26.40" personId="{CCFD95C0-1603-4165-A551-508BBAE70AF3}" id="{9912E8A8-AB45-4741-9A1B-B84572CB7984}" parentId="{23588F1E-1C94-4FCB-9967-F7972A43B9FE}">
    <text>I updated the spreadsheet Brian. You can work on that.</text>
  </threadedComment>
  <threadedComment ref="B127" dT="2023-06-20T08:10:19.92" personId="{CCFD95C0-1603-4165-A551-508BBAE70AF3}" id="{0C596D21-32F0-4BA8-81BD-E89C720D569A}">
    <text xml:space="preserve">@Chris Kiser please update this anode </text>
    <mentions>
      <mention mentionpersonId="{44A71048-F783-4CC9-8862-2A1100530CAF}" mentionId="{D3B2DC50-ED7C-40A2-94E2-87200CFF98BB}" startIndex="0" length="12"/>
    </mentions>
  </threadedComment>
  <threadedComment ref="B135" dT="2023-07-31T17:01:47.63" personId="{CCFD95C0-1603-4165-A551-508BBAE70AF3}" id="{274CC236-5D6C-4272-822A-2259AE94E7BD}">
    <text>@Lin Shi Updated.</text>
    <mentions>
      <mention mentionpersonId="{31DFFBAA-179C-478C-8160-7D3019BF562E}" mentionId="{084A66BA-5F6E-4527-BF5B-387D321C53F3}" startIndex="0" length="8"/>
    </mentions>
  </threadedComment>
  <threadedComment ref="M169" dT="2023-06-29T06:18:31.20" personId="{CCFD95C0-1603-4165-A551-508BBAE70AF3}" id="{96916BAE-DCAA-41A0-B9F6-69EE151FB2A7}" done="1">
    <text>@Chris Kiser Please update this</text>
    <mentions>
      <mention mentionpersonId="{44A71048-F783-4CC9-8862-2A1100530CAF}" mentionId="{D4EF0CA4-5BF5-4329-BA56-86BCFA18E762}" startIndex="0" length="12"/>
    </mentions>
  </threadedComment>
  <threadedComment ref="AD169" dT="2023-06-29T06:18:31.20" personId="{CCFD95C0-1603-4165-A551-508BBAE70AF3}" id="{2DA8EFA4-BB89-4296-B671-C6B08786D51E}" done="1">
    <text>@Chris Kiser Please update this</text>
    <mentions>
      <mention mentionpersonId="{44A71048-F783-4CC9-8862-2A1100530CAF}" mentionId="{8FD85F29-5E8A-47CA-A558-3AA29319216D}" startIndex="0" length="12"/>
    </mentions>
  </threadedComment>
  <threadedComment ref="A173" dT="2023-07-07T15:33:10.71" personId="{73955035-836C-45A6-879A-66D524840262}" id="{BBEF80A4-78DA-4ED4-9BCA-8BAE4DC91D9E}">
    <text>@Udari Kodithuwakku @Chris Kiser what is the thickness and standard deviation of the mwp003 anode?</text>
    <mentions>
      <mention mentionpersonId="{C8823895-3D8E-4840-98FD-9096C81D7307}" mentionId="{16D102E4-0F6A-4C57-AD21-A155FC278372}" startIndex="0" length="19"/>
      <mention mentionpersonId="{44A71048-F783-4CC9-8862-2A1100530CAF}" mentionId="{15ADF1B6-96AA-4368-949B-E88A9D9083EA}" startIndex="20" length="12"/>
    </mentions>
  </threadedComment>
  <threadedComment ref="A173" dT="2023-07-07T15:48:49.63" personId="{5E66AEBD-65F9-4C9A-85B4-F31619189688}" id="{0C3F67B2-6050-4D45-95F4-C2EDAD191C4A}" parentId="{BBEF80A4-78DA-4ED4-9BCA-8BAE4DC91D9E}">
    <text>I didn't measure the thickness before stack loading</text>
  </threadedComment>
  <threadedComment ref="A173" dT="2023-07-10T07:30:09.70" personId="{CCFD95C0-1603-4165-A551-508BBAE70AF3}" id="{1922E1E6-0727-4EB0-8642-0DD11FB1A331}" parentId="{BBEF80A4-78DA-4ED4-9BCA-8BAE4DC91D9E}">
    <text xml:space="preserve">@Lisa Dunsmore Is the thickness after ionomer loading or before?
after we finish ionomer coating we will report the thickness. </text>
    <mentions>
      <mention mentionpersonId="{4C8B005D-6077-40F1-BFD3-D5FA24C3BA35}" mentionId="{CF3157F5-7A8E-4D93-9936-E1F8A2F114A0}" startIndex="0" length="14"/>
    </mentions>
  </threadedComment>
  <threadedComment ref="A173" dT="2023-07-10T15:10:59.38" personId="{73955035-836C-45A6-879A-66D524840262}" id="{2360006F-AA97-4C82-93C6-2805BBCCC6E1}" parentId="{BBEF80A4-78DA-4ED4-9BCA-8BAE4DC91D9E}">
    <text>@Udari Kodithuwakku  after ionomer coating</text>
    <mentions>
      <mention mentionpersonId="{C8823895-3D8E-4840-98FD-9096C81D7307}" mentionId="{5E2C5CB5-AB48-4733-AFDB-8BB4BD83DC06}" startIndex="0" length="19"/>
    </mentions>
  </threadedComment>
  <threadedComment ref="B174" dT="2023-08-02T20:01:12.02" personId="{73955035-836C-45A6-879A-66D524840262}" id="{70CA78E0-1D9D-44F3-8030-71C2A9B4D41D}">
    <text>@William Wilhelm @Luke Brusse @Siddhantha Awasthi update the stack number for each of these anodes by 9 am tomorrow morning 8/3/23</text>
    <mentions>
      <mention mentionpersonId="{E8C3D74F-1C9C-4FBC-9953-831787C4F45C}" mentionId="{392AE95E-C9D4-4CAC-9565-6AE006D70AA5}" startIndex="0" length="16"/>
      <mention mentionpersonId="{050EBDF1-2CDB-418B-8DAB-9A509A9C38E0}" mentionId="{53C4ECF9-23A1-4EAF-9C81-51BAA31A49EB}" startIndex="17" length="12"/>
      <mention mentionpersonId="{5C96C20C-FFB2-4E20-81A2-D7CA1D086FF6}" mentionId="{E641186C-B1CF-4700-A925-0421E765BAE3}" startIndex="30" length="19"/>
    </mentions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36" dT="2023-06-21T09:02:51.99" personId="{CCFD95C0-1603-4165-A551-508BBAE70AF3}" id="{BDCF0FB4-8289-4E0D-83C4-99082EF10A5A}">
    <text>@Chris Kiser where is this in the PN anode record table?</text>
    <mentions>
      <mention mentionpersonId="{44A71048-F783-4CC9-8862-2A1100530CAF}" mentionId="{ED006069-9499-4AAA-A55A-AA675AA07C24}" startIndex="0" length="12"/>
    </mentions>
  </threadedComment>
  <threadedComment ref="A38" dT="2023-06-20T08:12:23.71" personId="{CCFD95C0-1603-4165-A551-508BBAE70AF3}" id="{66A7798F-9C5D-46BD-9C41-EBCF1D2D6AE5}" done="1">
    <text>@Chris Kiser I am confused. Why do we have two sets of loading for this anode?</text>
    <mentions>
      <mention mentionpersonId="{44A71048-F783-4CC9-8862-2A1100530CAF}" mentionId="{C15BAC09-D7A8-436D-A89D-952419324DA5}" startIndex="0" length="12"/>
    </mentions>
  </threadedComment>
  <threadedComment ref="O71" dT="2023-07-26T20:27:02.50" personId="{CCFD95C0-1603-4165-A551-508BBAE70AF3}" id="{E2AB476C-E958-4643-9D83-DA729783C70C}">
    <text>@Chris Kiser could you please update this based on today's data?</text>
    <mentions>
      <mention mentionpersonId="{44A71048-F783-4CC9-8862-2A1100530CAF}" mentionId="{D0B5C2F4-8C40-4708-AC63-ECB1BF00FC57}" startIndex="0" length="12"/>
    </mentions>
  </threadedComment>
  <threadedComment ref="N84" dT="2023-07-28T19:21:34.88" personId="{CCFD95C0-1603-4165-A551-508BBAE70AF3}" id="{5B5B9F5E-7A98-4F10-BD29-386362A9DD28}">
    <text>@Chris Kiser We may need to repeat this sample again. I am skeptical about this. What do you think?</text>
    <mentions>
      <mention mentionpersonId="{44A71048-F783-4CC9-8862-2A1100530CAF}" mentionId="{52955CEF-FC85-4A09-A595-678CA911E9D3}" startIndex="0" length="12"/>
    </mentions>
  </threadedComment>
  <threadedComment ref="N84" dT="2023-07-28T19:27:54.93" personId="{5E66AEBD-65F9-4C9A-85B4-F31619189688}" id="{BFA75F13-A57A-4D29-B499-6621DE3BE55A}" parentId="{5B5B9F5E-7A98-4F10-BD29-386362A9DD28}">
    <text>I agree. I can cut another sample from the characterization bag.</text>
  </threadedComment>
  <threadedComment ref="N84" dT="2023-07-31T18:08:53.86" personId="{CCFD95C0-1603-4165-A551-508BBAE70AF3}" id="{E78848F2-59BE-44AC-8284-E15AFF84F0C4}" parentId="{5B5B9F5E-7A98-4F10-BD29-386362A9DD28}">
    <text>@Chris Kiser Will you be able to update this?</text>
    <mentions>
      <mention mentionpersonId="{44A71048-F783-4CC9-8862-2A1100530CAF}" mentionId="{2F0E9D07-BBA9-4495-B0AC-2EE52E010F64}" startIndex="0" length="12"/>
    </mentions>
  </threadedComment>
  <threadedComment ref="N84" dT="2023-08-01T12:55:17.34" personId="{5E66AEBD-65F9-4C9A-85B4-F31619189688}" id="{C2BB2687-932C-4526-B57F-6343E4A58089}" parentId="{5B5B9F5E-7A98-4F10-BD29-386362A9DD28}">
    <text>I added the data from yesterday's samples. The loading is about the same with a slightly higher standard dev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57" dT="2023-09-15T09:25:31.82" personId="{CCFD95C0-1603-4165-A551-508BBAE70AF3}" id="{F899C66D-7EEE-4CE1-998B-A03F6D406F72}">
    <text>@Chris Kiser could you please check whether we have any 3E test for these samples. Today morning, we both work together to fill this table (9 am to 10 am)</text>
    <mentions>
      <mention mentionpersonId="{44A71048-F783-4CC9-8862-2A1100530CAF}" mentionId="{1C87A04C-C426-466A-A4FC-E9F4E82083DD}" startIndex="0" length="12"/>
    </mentions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2" dT="2023-08-16T05:17:10.18" personId="{CCFD95C0-1603-4165-A551-508BBAE70AF3}" id="{F8196D27-39E3-47CC-BF72-74A2B0674AAC}">
    <text>@Chris Kiser What is this sample?</text>
    <mentions>
      <mention mentionpersonId="{44A71048-F783-4CC9-8862-2A1100530CAF}" mentionId="{F17D3D51-C781-4258-934C-2E512E80CB68}" startIndex="0" length="12"/>
    </mentions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../Suppliers/Beakart/Ni%20felt%20data%20sheets/CS03606A26.pdf" TargetMode="External"/><Relationship Id="rId7" Type="http://schemas.openxmlformats.org/officeDocument/2006/relationships/drawing" Target="../drawings/drawing2.xml"/><Relationship Id="rId12" Type="http://schemas.microsoft.com/office/2019/04/relationships/documenttask" Target="../documenttasks/documenttask1.xml"/><Relationship Id="rId2" Type="http://schemas.openxmlformats.org/officeDocument/2006/relationships/hyperlink" Target="../Suppliers/Beakart/Ni%20felt%20data%20sheets/CS0395102.pdf" TargetMode="External"/><Relationship Id="rId1" Type="http://schemas.openxmlformats.org/officeDocument/2006/relationships/hyperlink" Target="../Suppliers/Beakart/Ni%20felt%20data%20sheets/CS0395102.pdf" TargetMode="External"/><Relationship Id="rId6" Type="http://schemas.openxmlformats.org/officeDocument/2006/relationships/printerSettings" Target="../printerSettings/printerSettings1.bin"/><Relationship Id="rId11" Type="http://schemas.microsoft.com/office/2017/10/relationships/threadedComment" Target="../threadedComments/threadedComment1.xml"/><Relationship Id="rId5" Type="http://schemas.openxmlformats.org/officeDocument/2006/relationships/hyperlink" Target="Anode/Ionomer%20inventory/Ionomer%20inventory.xlsx?web=1" TargetMode="External"/><Relationship Id="rId10" Type="http://schemas.openxmlformats.org/officeDocument/2006/relationships/comments" Target="../comments1.xml"/><Relationship Id="rId4" Type="http://schemas.openxmlformats.org/officeDocument/2006/relationships/hyperlink" Target="../Suppliers/Beakart/Ni%20felt%20data%20sheets/CS03606B26.pdf" TargetMode="External"/><Relationship Id="rId9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../Suppliers/Beakart/Ni%20felt%20data%20sheets/CS03606A26.pdf" TargetMode="External"/><Relationship Id="rId7" Type="http://schemas.openxmlformats.org/officeDocument/2006/relationships/table" Target="../tables/table2.xml"/><Relationship Id="rId2" Type="http://schemas.openxmlformats.org/officeDocument/2006/relationships/hyperlink" Target="../Suppliers/Beakart/Ni%20felt%20data%20sheets/CS0395102.pdf" TargetMode="External"/><Relationship Id="rId1" Type="http://schemas.openxmlformats.org/officeDocument/2006/relationships/hyperlink" Target="../Suppliers/Beakart/Ni%20felt%20data%20sheets/CS0395102.pdf" TargetMode="External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4.xml"/><Relationship Id="rId10" Type="http://schemas.microsoft.com/office/2019/04/relationships/documenttask" Target="../documenttasks/documenttask2.xml"/><Relationship Id="rId4" Type="http://schemas.openxmlformats.org/officeDocument/2006/relationships/hyperlink" Target="../Suppliers/Beakart/Ni%20felt%20data%20sheets/CS03606B26.pdf" TargetMode="External"/><Relationship Id="rId9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Relationship Id="rId6" Type="http://schemas.microsoft.com/office/2019/04/relationships/documenttask" Target="../documenttasks/documenttask3.xml"/><Relationship Id="rId5" Type="http://schemas.microsoft.com/office/2017/10/relationships/threadedComment" Target="../threadedComments/threadedComment5.xml"/><Relationship Id="rId4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Relationship Id="rId5" Type="http://schemas.microsoft.com/office/2017/10/relationships/threadedComment" Target="../threadedComments/threadedComment6.xml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D1FF0-395C-42E5-A10A-C15A3DDE1A41}">
  <dimension ref="A1:D6"/>
  <sheetViews>
    <sheetView workbookViewId="0">
      <selection sqref="A1:D6"/>
    </sheetView>
  </sheetViews>
  <sheetFormatPr defaultRowHeight="14.45"/>
  <cols>
    <col min="1" max="1" width="13.5703125" style="3" customWidth="1"/>
    <col min="2" max="2" width="10.5703125" customWidth="1"/>
    <col min="3" max="3" width="11.42578125" style="3" customWidth="1"/>
  </cols>
  <sheetData>
    <row r="1" spans="1:4" s="1" customFormat="1" ht="43.5">
      <c r="A1" s="2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4</v>
      </c>
      <c r="B2" t="s">
        <v>5</v>
      </c>
      <c r="C2" s="3">
        <v>1</v>
      </c>
      <c r="D2" t="s">
        <v>6</v>
      </c>
    </row>
    <row r="3" spans="1:4">
      <c r="A3" s="3" t="s">
        <v>7</v>
      </c>
      <c r="B3" t="s">
        <v>8</v>
      </c>
      <c r="C3" s="3">
        <v>2</v>
      </c>
      <c r="D3" t="s">
        <v>9</v>
      </c>
    </row>
    <row r="4" spans="1:4">
      <c r="A4" s="3" t="s">
        <v>10</v>
      </c>
      <c r="B4" t="s">
        <v>11</v>
      </c>
      <c r="C4" s="3">
        <v>3</v>
      </c>
      <c r="D4" t="s">
        <v>12</v>
      </c>
    </row>
    <row r="5" spans="1:4">
      <c r="A5" s="3" t="s">
        <v>13</v>
      </c>
      <c r="B5" t="s">
        <v>14</v>
      </c>
      <c r="C5" s="3">
        <v>4</v>
      </c>
      <c r="D5" t="s">
        <v>15</v>
      </c>
    </row>
    <row r="6" spans="1:4">
      <c r="A6" s="3" t="s">
        <v>16</v>
      </c>
      <c r="B6" t="s">
        <v>17</v>
      </c>
      <c r="C6" s="3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A5EB-CB08-4112-9440-F4432AE7EF9C}">
  <dimension ref="A1:BB2141"/>
  <sheetViews>
    <sheetView tabSelected="1" zoomScale="85" zoomScaleNormal="175" workbookViewId="0">
      <pane xSplit="2" ySplit="1" topLeftCell="O2" activePane="bottomRight" state="frozen"/>
      <selection pane="bottomRight" activeCell="R11" sqref="R11"/>
      <selection pane="bottomLeft" activeCell="S81" sqref="S81"/>
      <selection pane="topRight" activeCell="C1" sqref="C1"/>
    </sheetView>
  </sheetViews>
  <sheetFormatPr defaultColWidth="8.5703125" defaultRowHeight="14.45"/>
  <cols>
    <col min="1" max="1" width="17.42578125" style="4" bestFit="1" customWidth="1"/>
    <col min="2" max="2" width="39.140625" style="11" bestFit="1" customWidth="1"/>
    <col min="3" max="3" width="162.42578125" style="4" customWidth="1"/>
    <col min="4" max="4" width="19.5703125" style="4" customWidth="1"/>
    <col min="5" max="5" width="13.5703125" style="4" customWidth="1"/>
    <col min="6" max="6" width="11.42578125" style="4" customWidth="1"/>
    <col min="7" max="7" width="14" style="4" customWidth="1"/>
    <col min="8" max="8" width="16.42578125" style="4" customWidth="1"/>
    <col min="9" max="9" width="25.42578125" style="11" customWidth="1"/>
    <col min="10" max="12" width="16.42578125" style="11" customWidth="1"/>
    <col min="13" max="13" width="23.5703125" style="13" customWidth="1"/>
    <col min="14" max="14" width="29.5703125" style="13" customWidth="1"/>
    <col min="15" max="15" width="31.42578125" style="11" customWidth="1"/>
    <col min="16" max="16" width="27.5703125" style="28" customWidth="1"/>
    <col min="17" max="17" width="31.42578125" style="4" customWidth="1"/>
    <col min="18" max="18" width="21.5703125" style="4" customWidth="1"/>
    <col min="19" max="19" width="16.42578125" style="4" customWidth="1"/>
    <col min="20" max="20" width="23.5703125" style="4" customWidth="1"/>
    <col min="21" max="21" width="33" style="97" bestFit="1" customWidth="1"/>
    <col min="22" max="22" width="33" style="97" customWidth="1"/>
    <col min="23" max="23" width="33" style="72" bestFit="1" customWidth="1"/>
    <col min="24" max="24" width="33" style="72" customWidth="1"/>
    <col min="25" max="25" width="26.28515625" style="72" bestFit="1" customWidth="1"/>
    <col min="26" max="26" width="33" style="72" customWidth="1"/>
    <col min="27" max="27" width="31.5703125" style="72" bestFit="1" customWidth="1"/>
    <col min="28" max="29" width="34.42578125" style="72" customWidth="1"/>
    <col min="30" max="31" width="33.5703125" style="72" customWidth="1"/>
    <col min="32" max="32" width="32.42578125" style="72" bestFit="1" customWidth="1"/>
    <col min="33" max="33" width="32.42578125" style="72" customWidth="1"/>
    <col min="34" max="36" width="39.5703125" style="72" customWidth="1"/>
    <col min="37" max="42" width="8.5703125" style="4"/>
    <col min="43" max="43" width="22.42578125" style="4" bestFit="1" customWidth="1"/>
    <col min="44" max="44" width="19.5703125" style="96" bestFit="1" customWidth="1"/>
    <col min="45" max="45" width="20.42578125" style="96" bestFit="1" customWidth="1"/>
    <col min="46" max="46" width="30.42578125" style="96" bestFit="1" customWidth="1"/>
    <col min="47" max="47" width="18.42578125" style="96" bestFit="1" customWidth="1"/>
    <col min="48" max="48" width="28" style="96" bestFit="1" customWidth="1"/>
    <col min="49" max="16384" width="8.5703125" style="4"/>
  </cols>
  <sheetData>
    <row r="1" spans="1:48" s="44" customFormat="1" ht="15.6">
      <c r="A1" s="80" t="s">
        <v>18</v>
      </c>
      <c r="B1" s="45" t="s">
        <v>19</v>
      </c>
      <c r="C1" s="44" t="s">
        <v>20</v>
      </c>
      <c r="D1" s="44" t="s">
        <v>21</v>
      </c>
      <c r="E1" s="46" t="s">
        <v>22</v>
      </c>
      <c r="F1" s="46" t="s">
        <v>23</v>
      </c>
      <c r="G1" s="46" t="s">
        <v>24</v>
      </c>
      <c r="H1" s="46" t="s">
        <v>25</v>
      </c>
      <c r="I1" s="45" t="s">
        <v>26</v>
      </c>
      <c r="J1" s="205" t="s">
        <v>27</v>
      </c>
      <c r="K1" s="205" t="s">
        <v>28</v>
      </c>
      <c r="L1" s="206" t="s">
        <v>29</v>
      </c>
      <c r="M1" s="204" t="s">
        <v>30</v>
      </c>
      <c r="N1" s="47" t="s">
        <v>31</v>
      </c>
      <c r="O1" s="218" t="s">
        <v>32</v>
      </c>
      <c r="P1" s="208" t="s">
        <v>33</v>
      </c>
      <c r="Q1" s="209" t="s">
        <v>34</v>
      </c>
      <c r="R1" s="75" t="s">
        <v>35</v>
      </c>
      <c r="S1" s="75" t="s">
        <v>36</v>
      </c>
      <c r="T1" s="76" t="s">
        <v>37</v>
      </c>
      <c r="U1" s="152" t="s">
        <v>38</v>
      </c>
      <c r="V1" s="152" t="s">
        <v>39</v>
      </c>
      <c r="W1" s="67" t="s">
        <v>40</v>
      </c>
      <c r="X1" s="67" t="s">
        <v>41</v>
      </c>
      <c r="Y1" s="67" t="s">
        <v>42</v>
      </c>
      <c r="Z1" s="67" t="s">
        <v>43</v>
      </c>
      <c r="AA1" s="67" t="s">
        <v>44</v>
      </c>
      <c r="AB1" s="67" t="s">
        <v>45</v>
      </c>
      <c r="AC1" s="67" t="s">
        <v>46</v>
      </c>
      <c r="AD1" s="68" t="s">
        <v>47</v>
      </c>
      <c r="AE1" s="68" t="s">
        <v>48</v>
      </c>
      <c r="AF1" s="68" t="s">
        <v>49</v>
      </c>
      <c r="AG1" s="85" t="s">
        <v>50</v>
      </c>
      <c r="AH1" s="85" t="s">
        <v>51</v>
      </c>
      <c r="AI1" s="143" t="s">
        <v>52</v>
      </c>
      <c r="AJ1" s="142" t="s">
        <v>53</v>
      </c>
      <c r="AR1" s="94" t="s">
        <v>54</v>
      </c>
      <c r="AS1" s="94"/>
      <c r="AT1" s="94"/>
      <c r="AU1" s="94"/>
      <c r="AV1" s="94"/>
    </row>
    <row r="2" spans="1:48" s="5" customFormat="1" ht="15.6">
      <c r="A2" s="81">
        <v>7</v>
      </c>
      <c r="B2" s="11" t="s">
        <v>55</v>
      </c>
      <c r="C2" s="4" t="s">
        <v>56</v>
      </c>
      <c r="D2" s="4"/>
      <c r="E2" s="4"/>
      <c r="F2" s="4"/>
      <c r="G2" s="4"/>
      <c r="H2" s="4"/>
      <c r="I2" s="11" t="s">
        <v>57</v>
      </c>
      <c r="J2" s="43" t="s">
        <v>58</v>
      </c>
      <c r="K2" s="43" t="s">
        <v>59</v>
      </c>
      <c r="L2" s="43"/>
      <c r="M2" s="24"/>
      <c r="N2" s="24"/>
      <c r="O2" s="12"/>
      <c r="P2" s="28">
        <f>((12.0342-11.8868)/(10.8*11.2))*1000</f>
        <v>1.2185846560846652</v>
      </c>
      <c r="Q2" s="11">
        <v>0.30919999999999997</v>
      </c>
      <c r="R2" s="11"/>
      <c r="S2" s="11"/>
      <c r="T2" s="7"/>
      <c r="U2" s="99"/>
      <c r="V2" s="99"/>
      <c r="W2" s="69" t="e" cm="1">
        <f t="array" ref="W2">_xlfn.XLOOKUP(Table1[[#This Row],[5 cm2 cell test code]:[5 cm2 cell test code]],[1]!Table1[[Test code]:[Test code]],[1]!Table1[i @ 1.8 V DIW (A/cm2)],"",0)</f>
        <v>#REF!</v>
      </c>
      <c r="X2" s="69" t="e" cm="1">
        <f t="array" ref="X2">_xlfn.XLOOKUP(Table1[[#This Row],[5 cm2 cell test code]:[5 cm2 cell test code]],[1]!Table1[[Test code]:[Test code]],[1]!Table1[i @ 1.8 V 10 mM KOH (A/cm2)],"",0)</f>
        <v>#REF!</v>
      </c>
      <c r="Y2" s="69" t="e" cm="1">
        <f t="array" ref="Y2">_xlfn.XLOOKUP(Table1[[#This Row],[5 cm2 cell test code]:[5 cm2 cell test code]],[1]!Table1[[Test code]:[Test code]],[1]!Table1[3-E ƞ at 20mAcm-2 (mV)],"",0)</f>
        <v>#REF!</v>
      </c>
      <c r="Z2" s="69" t="e" cm="1">
        <f t="array" ref="Z2">_xlfn.XLOOKUP(Table1[[#This Row],[5 cm2 cell test code]:[5 cm2 cell test code]],[1]!Table1[[Test code]:[Test code]],[1]!Table1[3-E Tafel slope (mV/dec)],"",0)</f>
        <v>#REF!</v>
      </c>
      <c r="AA2" s="69" t="e" cm="1">
        <f t="array" ref="AA2">_xlfn.XLOOKUP(Table1[[#This Row],[5 cm2 cell test code]:[5 cm2 cell test code]],[1]!Table1[[Test code]:[Test code]],[1]!Table1[E @ 100 mA/cm2 DIW/V],"",0)</f>
        <v>#REF!</v>
      </c>
      <c r="AB2" s="69" t="e" cm="1">
        <f t="array" ref="AB2">_xlfn.XLOOKUP(Table1[[#This Row],[5 cm2 cell test code]:[5 cm2 cell test code]],[1]!Table1[[Test code]:[Test code]],[1]!Table1[E @ 100 mA/cm2 10 mM KOH/V],"",0)</f>
        <v>#REF!</v>
      </c>
      <c r="AC2" s="69" t="e" cm="1">
        <f t="array" ref="AC2">_xlfn.XLOOKUP(Table1[[#This Row],[5 cm2 cell test code]:[5 cm2 cell test code]],[1]!Table1[[Test code]:[Test code]],[1]!Table1[Anode ICR/mOhm],"",0)</f>
        <v>#REF!</v>
      </c>
      <c r="AD2" s="69" t="e" cm="1">
        <f t="array" ref="AD2">_xlfn.XLOOKUP(Table1[[#This Row],[5 cm2 cell test code]:[5 cm2 cell test code]],[1]!Table1[[Test code]:[Test code]],[1]!Table1[HFR DIW/ mOhm cm2],"",0)</f>
        <v>#REF!</v>
      </c>
      <c r="AE2" s="69" t="e" cm="1">
        <f t="array" ref="AE2">_xlfn.XLOOKUP(Table1[[#This Row],[5 cm2 cell test code]:[5 cm2 cell test code]],[1]!Table1[[Test code]:[Test code]],[1]!Table1[HFR 10 mM KOH/ mOhm cm2],"",0)</f>
        <v>#REF!</v>
      </c>
      <c r="AF2" s="69" t="e" cm="1">
        <f t="array" ref="AF2">_xlfn.XLOOKUP(Table1[[#This Row],[5 cm2 cell test code]:[5 cm2 cell test code]],[1]!Table1[[Test code]:[Test code]],[1]!Table1[Ionic resistance DIW/Ohm cm2],"",0)</f>
        <v>#REF!</v>
      </c>
      <c r="AG2" s="69" t="e" cm="1">
        <f t="array" ref="AG2">_xlfn.XLOOKUP(Table1[[#This Row],[5 cm2 cell test code]:[5 cm2 cell test code]],[1]!Table1[[Test code]:[Test code]],[1]!Table1[Q_int_frac DIW],"",0)</f>
        <v>#REF!</v>
      </c>
      <c r="AH2" s="69" t="e" cm="1">
        <f t="array" ref="AH2">_xlfn.XLOOKUP(Table1[[#This Row],[5 cm2 cell test code]:[5 cm2 cell test code]],[1]!Table1[[Test code]:[Test code]],[1]!Table1[Ionic resistance 10 mM KOH/Ohm cm2],"",0)</f>
        <v>#REF!</v>
      </c>
      <c r="AI2" s="69" t="e" cm="1">
        <f t="array" ref="AI2">_xlfn.XLOOKUP(Table1[[#This Row],[5 cm2 cell test code]:[5 cm2 cell test code]],[1]!Table1[[Test code]:[Test code]],[1]!Table1[Q_int_frac DIW 10 mM KOH],"",0)</f>
        <v>#REF!</v>
      </c>
      <c r="AJ2" s="69" t="e" cm="1">
        <f t="array" ref="AJ2">_xlfn.XLOOKUP(Table1[[#This Row],[5 cm2 cell test code]:[5 cm2 cell test code]],[1]!Table1[[Test code]:[Test code]],[1]!Table1[DIW conductivity (µS/cm)],"",0)</f>
        <v>#REF!</v>
      </c>
      <c r="AQ2" s="44" t="s">
        <v>60</v>
      </c>
      <c r="AR2" s="94" t="s">
        <v>61</v>
      </c>
      <c r="AS2" s="94" t="s">
        <v>62</v>
      </c>
      <c r="AT2" s="94" t="s">
        <v>63</v>
      </c>
      <c r="AU2" s="94" t="s">
        <v>64</v>
      </c>
      <c r="AV2" s="94" t="s">
        <v>65</v>
      </c>
    </row>
    <row r="3" spans="1:48" s="5" customFormat="1">
      <c r="A3" s="81">
        <v>7</v>
      </c>
      <c r="B3" s="11" t="s">
        <v>66</v>
      </c>
      <c r="C3" s="4" t="s">
        <v>56</v>
      </c>
      <c r="D3" s="4"/>
      <c r="E3" s="4"/>
      <c r="F3" s="4"/>
      <c r="G3" s="4"/>
      <c r="H3" s="4"/>
      <c r="I3" s="11" t="s">
        <v>67</v>
      </c>
      <c r="J3" s="43" t="s">
        <v>58</v>
      </c>
      <c r="K3" s="43" t="s">
        <v>59</v>
      </c>
      <c r="L3" s="43"/>
      <c r="M3" s="24"/>
      <c r="N3" s="24"/>
      <c r="O3" s="12"/>
      <c r="P3" s="28">
        <f>((10.8768-10.7453)/(10.8*10.8))*1000</f>
        <v>1.1274005486968368</v>
      </c>
      <c r="Q3" s="11"/>
      <c r="R3" s="11"/>
      <c r="S3" s="11"/>
      <c r="T3" s="8"/>
      <c r="U3" s="100"/>
      <c r="V3" s="100"/>
      <c r="W3" s="69" t="e" cm="1">
        <f t="array" ref="W3">_xlfn.XLOOKUP(Table1[[#This Row],[5 cm2 cell test code]:[5 cm2 cell test code]],[1]!Table1[[Test code]:[Test code]],[1]!Table1[i @ 1.8 V DIW (A/cm2)],"",0)</f>
        <v>#REF!</v>
      </c>
      <c r="X3" s="69" t="e" cm="1">
        <f t="array" ref="X3">_xlfn.XLOOKUP(Table1[[#This Row],[5 cm2 cell test code]:[5 cm2 cell test code]],[1]!Table1[[Test code]:[Test code]],[1]!Table1[i @ 1.8 V 10 mM KOH (A/cm2)],"",0)</f>
        <v>#REF!</v>
      </c>
      <c r="Y3" s="69" t="e" cm="1">
        <f t="array" ref="Y3">_xlfn.XLOOKUP(Table1[[#This Row],[5 cm2 cell test code]:[5 cm2 cell test code]],[1]!Table1[[Test code]:[Test code]],[1]!Table1[3-E ƞ at 20mAcm-2 (mV)],"",0)</f>
        <v>#REF!</v>
      </c>
      <c r="Z3" s="69" t="e" cm="1">
        <f t="array" ref="Z3">_xlfn.XLOOKUP(Table1[[#This Row],[5 cm2 cell test code]:[5 cm2 cell test code]],[1]!Table1[[Test code]:[Test code]],[1]!Table1[3-E Tafel slope (mV/dec)],"",0)</f>
        <v>#REF!</v>
      </c>
      <c r="AA3" s="69" t="e" cm="1">
        <f t="array" ref="AA3">_xlfn.XLOOKUP(Table1[[#This Row],[5 cm2 cell test code]:[5 cm2 cell test code]],[1]!Table1[[Test code]:[Test code]],[1]!Table1[E @ 100 mA/cm2 DIW/V],"",0)</f>
        <v>#REF!</v>
      </c>
      <c r="AB3" s="69" t="e" cm="1">
        <f t="array" ref="AB3">_xlfn.XLOOKUP(Table1[[#This Row],[5 cm2 cell test code]:[5 cm2 cell test code]],[1]!Table1[[Test code]:[Test code]],[1]!Table1[E @ 100 mA/cm2 10 mM KOH/V],"",0)</f>
        <v>#REF!</v>
      </c>
      <c r="AC3" s="69" t="e" cm="1">
        <f t="array" ref="AC3">_xlfn.XLOOKUP(Table1[[#This Row],[5 cm2 cell test code]:[5 cm2 cell test code]],[1]!Table1[[Test code]:[Test code]],[1]!Table1[Anode ICR/mOhm],"",0)</f>
        <v>#REF!</v>
      </c>
      <c r="AD3" s="69" t="e" cm="1">
        <f t="array" ref="AD3">_xlfn.XLOOKUP(Table1[[#This Row],[5 cm2 cell test code]:[5 cm2 cell test code]],[1]!Table1[[Test code]:[Test code]],[1]!Table1[HFR DIW/ mOhm cm2],"",0)</f>
        <v>#REF!</v>
      </c>
      <c r="AE3" s="69" t="e" cm="1">
        <f t="array" ref="AE3">_xlfn.XLOOKUP(Table1[[#This Row],[5 cm2 cell test code]:[5 cm2 cell test code]],[1]!Table1[[Test code]:[Test code]],[1]!Table1[HFR 10 mM KOH/ mOhm cm2],"",0)</f>
        <v>#REF!</v>
      </c>
      <c r="AF3" s="69" t="e" cm="1">
        <f t="array" ref="AF3">_xlfn.XLOOKUP(Table1[[#This Row],[5 cm2 cell test code]:[5 cm2 cell test code]],[1]!Table1[[Test code]:[Test code]],[1]!Table1[Ionic resistance DIW/Ohm cm2],"",0)</f>
        <v>#REF!</v>
      </c>
      <c r="AG3" s="69" t="e" cm="1">
        <f t="array" ref="AG3">_xlfn.XLOOKUP(Table1[[#This Row],[5 cm2 cell test code]:[5 cm2 cell test code]],[1]!Table1[[Test code]:[Test code]],[1]!Table1[Q_int_frac DIW],"",0)</f>
        <v>#REF!</v>
      </c>
      <c r="AH3" s="69" t="e" cm="1">
        <f t="array" ref="AH3">_xlfn.XLOOKUP(Table1[[#This Row],[5 cm2 cell test code]:[5 cm2 cell test code]],[1]!Table1[[Test code]:[Test code]],[1]!Table1[Ionic resistance 10 mM KOH/Ohm cm2],"",0)</f>
        <v>#REF!</v>
      </c>
      <c r="AI3" s="69" t="e" cm="1">
        <f t="array" ref="AI3">_xlfn.XLOOKUP(Table1[[#This Row],[5 cm2 cell test code]:[5 cm2 cell test code]],[1]!Table1[[Test code]:[Test code]],[1]!Table1[Q_int_frac DIW 10 mM KOH],"",0)</f>
        <v>#REF!</v>
      </c>
      <c r="AJ3" s="69" t="e" cm="1">
        <f t="array" ref="AJ3">_xlfn.XLOOKUP(Table1[[#This Row],[5 cm2 cell test code]:[5 cm2 cell test code]],[1]!Table1[[Test code]:[Test code]],[1]!Table1[DIW conductivity (µS/cm)],"",0)</f>
        <v>#REF!</v>
      </c>
      <c r="AQ3" s="5" t="str" cm="1">
        <f t="array" ref="AQ3:AQ509">_xlfn.UNIQUE(Table1[Anode PN (Stack/cell electrodes)])</f>
        <v>VSG01A-23039C1.04</v>
      </c>
      <c r="AR3" s="95">
        <f>COUNTIFS(Table1[Anode PN (Stack/cell electrodes)],AQ3,Table1[ƞ at 20mAcm-2 (mV)],"&lt;&gt;")</f>
        <v>0</v>
      </c>
      <c r="AS3" s="95">
        <f>COUNTIFS(Table1[Anode PN (Stack/cell electrodes)],AQ3,Table1[i @ 1.8 V DIW (A/cm2)],"&lt;&gt;")</f>
        <v>1</v>
      </c>
      <c r="AT3" s="95">
        <f>COUNTIFS(Table1[Anode PN (Stack/cell electrodes)],AQ3,Table1[i at 1.8 V 10 mM KOH (A/cm2)],"&lt;&gt;")</f>
        <v>1</v>
      </c>
      <c r="AU3" s="95">
        <f>COUNTIFS(Table1[Anode PN (Stack/cell electrodes)],AQ3,Table1[Ionic resistance DIW/Ohm cm2],"&lt;&gt;")</f>
        <v>1</v>
      </c>
      <c r="AV3" s="95">
        <f>COUNTIFS(Table1[Anode PN (Stack/cell electrodes)],AQ3,Table1[Ionic resistance 10 mM KOH/Ohm cm2],"&lt;&gt;")</f>
        <v>1</v>
      </c>
    </row>
    <row r="4" spans="1:48" s="5" customFormat="1">
      <c r="A4" s="81">
        <v>7</v>
      </c>
      <c r="B4" s="11" t="s">
        <v>68</v>
      </c>
      <c r="C4" s="4" t="s">
        <v>56</v>
      </c>
      <c r="D4" s="4"/>
      <c r="E4" s="4"/>
      <c r="F4" s="4"/>
      <c r="G4" s="4"/>
      <c r="H4" s="4"/>
      <c r="I4" s="12"/>
      <c r="J4" s="11" t="s">
        <v>58</v>
      </c>
      <c r="K4" s="43" t="s">
        <v>59</v>
      </c>
      <c r="L4" s="11"/>
      <c r="M4" s="24"/>
      <c r="N4" s="24"/>
      <c r="O4" s="12"/>
      <c r="P4" s="28">
        <f>((11.2187-11.0689)/(11.1*10.7))*1000</f>
        <v>1.2612612612612684</v>
      </c>
      <c r="Q4" s="11"/>
      <c r="R4" s="11"/>
      <c r="S4" s="11"/>
      <c r="T4" s="8"/>
      <c r="U4" s="100"/>
      <c r="V4" s="100"/>
      <c r="W4" s="69" t="e" cm="1">
        <f t="array" ref="W4">_xlfn.XLOOKUP(Table1[[#This Row],[5 cm2 cell test code]:[5 cm2 cell test code]],[1]!Table1[[Test code]:[Test code]],[1]!Table1[i @ 1.8 V DIW (A/cm2)],"",0)</f>
        <v>#REF!</v>
      </c>
      <c r="X4" s="69" t="e" cm="1">
        <f t="array" ref="X4">_xlfn.XLOOKUP(Table1[[#This Row],[5 cm2 cell test code]:[5 cm2 cell test code]],[1]!Table1[[Test code]:[Test code]],[1]!Table1[i @ 1.8 V 10 mM KOH (A/cm2)],"",0)</f>
        <v>#REF!</v>
      </c>
      <c r="Y4" s="69" t="e" cm="1">
        <f t="array" ref="Y4">_xlfn.XLOOKUP(Table1[[#This Row],[5 cm2 cell test code]:[5 cm2 cell test code]],[1]!Table1[[Test code]:[Test code]],[1]!Table1[3-E ƞ at 20mAcm-2 (mV)],"",0)</f>
        <v>#REF!</v>
      </c>
      <c r="Z4" s="69" t="e" cm="1">
        <f t="array" ref="Z4">_xlfn.XLOOKUP(Table1[[#This Row],[5 cm2 cell test code]:[5 cm2 cell test code]],[1]!Table1[[Test code]:[Test code]],[1]!Table1[3-E Tafel slope (mV/dec)],"",0)</f>
        <v>#REF!</v>
      </c>
      <c r="AA4" s="69" t="e" cm="1">
        <f t="array" ref="AA4">_xlfn.XLOOKUP(Table1[[#This Row],[5 cm2 cell test code]:[5 cm2 cell test code]],[1]!Table1[[Test code]:[Test code]],[1]!Table1[E @ 100 mA/cm2 DIW/V],"",0)</f>
        <v>#REF!</v>
      </c>
      <c r="AB4" s="69" t="e" cm="1">
        <f t="array" ref="AB4">_xlfn.XLOOKUP(Table1[[#This Row],[5 cm2 cell test code]:[5 cm2 cell test code]],[1]!Table1[[Test code]:[Test code]],[1]!Table1[E @ 100 mA/cm2 10 mM KOH/V],"",0)</f>
        <v>#REF!</v>
      </c>
      <c r="AC4" s="69" t="e" cm="1">
        <f t="array" ref="AC4">_xlfn.XLOOKUP(Table1[[#This Row],[5 cm2 cell test code]:[5 cm2 cell test code]],[1]!Table1[[Test code]:[Test code]],[1]!Table1[Anode ICR/mOhm],"",0)</f>
        <v>#REF!</v>
      </c>
      <c r="AD4" s="69" t="e" cm="1">
        <f t="array" ref="AD4">_xlfn.XLOOKUP(Table1[[#This Row],[5 cm2 cell test code]:[5 cm2 cell test code]],[1]!Table1[[Test code]:[Test code]],[1]!Table1[HFR DIW/ mOhm cm2],"",0)</f>
        <v>#REF!</v>
      </c>
      <c r="AE4" s="69" t="e" cm="1">
        <f t="array" ref="AE4">_xlfn.XLOOKUP(Table1[[#This Row],[5 cm2 cell test code]:[5 cm2 cell test code]],[1]!Table1[[Test code]:[Test code]],[1]!Table1[HFR 10 mM KOH/ mOhm cm2],"",0)</f>
        <v>#REF!</v>
      </c>
      <c r="AF4" s="69" t="e" cm="1">
        <f t="array" ref="AF4">_xlfn.XLOOKUP(Table1[[#This Row],[5 cm2 cell test code]:[5 cm2 cell test code]],[1]!Table1[[Test code]:[Test code]],[1]!Table1[Ionic resistance DIW/Ohm cm2],"",0)</f>
        <v>#REF!</v>
      </c>
      <c r="AG4" s="69" t="e" cm="1">
        <f t="array" ref="AG4">_xlfn.XLOOKUP(Table1[[#This Row],[5 cm2 cell test code]:[5 cm2 cell test code]],[1]!Table1[[Test code]:[Test code]],[1]!Table1[Q_int_frac DIW],"",0)</f>
        <v>#REF!</v>
      </c>
      <c r="AH4" s="69" t="e" cm="1">
        <f t="array" ref="AH4">_xlfn.XLOOKUP(Table1[[#This Row],[5 cm2 cell test code]:[5 cm2 cell test code]],[1]!Table1[[Test code]:[Test code]],[1]!Table1[Ionic resistance 10 mM KOH/Ohm cm2],"",0)</f>
        <v>#REF!</v>
      </c>
      <c r="AI4" s="69" t="e" cm="1">
        <f t="array" ref="AI4">_xlfn.XLOOKUP(Table1[[#This Row],[5 cm2 cell test code]:[5 cm2 cell test code]],[1]!Table1[[Test code]:[Test code]],[1]!Table1[Q_int_frac DIW 10 mM KOH],"",0)</f>
        <v>#REF!</v>
      </c>
      <c r="AJ4" s="69" t="e" cm="1">
        <f t="array" ref="AJ4">_xlfn.XLOOKUP(Table1[[#This Row],[5 cm2 cell test code]:[5 cm2 cell test code]],[1]!Table1[[Test code]:[Test code]],[1]!Table1[DIW conductivity (µS/cm)],"",0)</f>
        <v>#REF!</v>
      </c>
      <c r="AQ4" s="5" t="str">
        <v>VSG01A-23039C1.05</v>
      </c>
      <c r="AR4" s="95">
        <f>COUNTIFS(Table1[Anode PN (Stack/cell electrodes)],AQ4,Table1[ƞ at 20mAcm-2 (mV)],"&lt;&gt;")</f>
        <v>0</v>
      </c>
      <c r="AS4" s="95">
        <f>COUNTIFS(Table1[Anode PN (Stack/cell electrodes)],AQ4,Table1[i @ 1.8 V DIW (A/cm2)],"&lt;&gt;")</f>
        <v>1</v>
      </c>
      <c r="AT4" s="95">
        <f>COUNTIFS(Table1[Anode PN (Stack/cell electrodes)],AQ4,Table1[i at 1.8 V 10 mM KOH (A/cm2)],"&lt;&gt;")</f>
        <v>1</v>
      </c>
      <c r="AU4" s="95">
        <f>COUNTIFS(Table1[Anode PN (Stack/cell electrodes)],AQ4,Table1[Ionic resistance DIW/Ohm cm2],"&lt;&gt;")</f>
        <v>1</v>
      </c>
      <c r="AV4" s="95">
        <f>COUNTIFS(Table1[Anode PN (Stack/cell electrodes)],AQ4,Table1[Ionic resistance 10 mM KOH/Ohm cm2],"&lt;&gt;")</f>
        <v>1</v>
      </c>
    </row>
    <row r="5" spans="1:48" s="5" customFormat="1">
      <c r="A5" s="81">
        <v>8</v>
      </c>
      <c r="B5" s="11" t="s">
        <v>69</v>
      </c>
      <c r="C5" s="4" t="s">
        <v>70</v>
      </c>
      <c r="D5" s="4"/>
      <c r="E5" s="4"/>
      <c r="F5" s="4"/>
      <c r="G5" s="4"/>
      <c r="H5" s="4"/>
      <c r="I5" s="11" t="s">
        <v>57</v>
      </c>
      <c r="J5" s="11" t="s">
        <v>58</v>
      </c>
      <c r="K5" s="43" t="s">
        <v>59</v>
      </c>
      <c r="L5" s="11"/>
      <c r="M5" s="13"/>
      <c r="N5" s="13"/>
      <c r="O5" s="11"/>
      <c r="P5" s="28">
        <f>(11.068-10.9113)*1000/(10.8*10.9)</f>
        <v>1.3311247026843267</v>
      </c>
      <c r="Q5" s="12"/>
      <c r="R5" s="12"/>
      <c r="S5" s="12"/>
      <c r="T5" s="9"/>
      <c r="U5" s="100"/>
      <c r="V5" s="100"/>
      <c r="W5" s="69" t="e" cm="1">
        <f t="array" ref="W5">_xlfn.XLOOKUP(Table1[[#This Row],[5 cm2 cell test code]:[5 cm2 cell test code]],[1]!Table1[[Test code]:[Test code]],[1]!Table1[i @ 1.8 V DIW (A/cm2)],"",0)</f>
        <v>#REF!</v>
      </c>
      <c r="X5" s="69" t="e" cm="1">
        <f t="array" ref="X5">_xlfn.XLOOKUP(Table1[[#This Row],[5 cm2 cell test code]:[5 cm2 cell test code]],[1]!Table1[[Test code]:[Test code]],[1]!Table1[i @ 1.8 V 10 mM KOH (A/cm2)],"",0)</f>
        <v>#REF!</v>
      </c>
      <c r="Y5" s="69" t="e" cm="1">
        <f t="array" ref="Y5">_xlfn.XLOOKUP(Table1[[#This Row],[5 cm2 cell test code]:[5 cm2 cell test code]],[1]!Table1[[Test code]:[Test code]],[1]!Table1[3-E ƞ at 20mAcm-2 (mV)],"",0)</f>
        <v>#REF!</v>
      </c>
      <c r="Z5" s="69" t="e" cm="1">
        <f t="array" ref="Z5">_xlfn.XLOOKUP(Table1[[#This Row],[5 cm2 cell test code]:[5 cm2 cell test code]],[1]!Table1[[Test code]:[Test code]],[1]!Table1[3-E Tafel slope (mV/dec)],"",0)</f>
        <v>#REF!</v>
      </c>
      <c r="AA5" s="69" t="e" cm="1">
        <f t="array" ref="AA5">_xlfn.XLOOKUP(Table1[[#This Row],[5 cm2 cell test code]:[5 cm2 cell test code]],[1]!Table1[[Test code]:[Test code]],[1]!Table1[E @ 100 mA/cm2 DIW/V],"",0)</f>
        <v>#REF!</v>
      </c>
      <c r="AB5" s="69" t="e" cm="1">
        <f t="array" ref="AB5">_xlfn.XLOOKUP(Table1[[#This Row],[5 cm2 cell test code]:[5 cm2 cell test code]],[1]!Table1[[Test code]:[Test code]],[1]!Table1[E @ 100 mA/cm2 10 mM KOH/V],"",0)</f>
        <v>#REF!</v>
      </c>
      <c r="AC5" s="69" t="e" cm="1">
        <f t="array" ref="AC5">_xlfn.XLOOKUP(Table1[[#This Row],[5 cm2 cell test code]:[5 cm2 cell test code]],[1]!Table1[[Test code]:[Test code]],[1]!Table1[Anode ICR/mOhm],"",0)</f>
        <v>#REF!</v>
      </c>
      <c r="AD5" s="69" t="e" cm="1">
        <f t="array" ref="AD5">_xlfn.XLOOKUP(Table1[[#This Row],[5 cm2 cell test code]:[5 cm2 cell test code]],[1]!Table1[[Test code]:[Test code]],[1]!Table1[HFR DIW/ mOhm cm2],"",0)</f>
        <v>#REF!</v>
      </c>
      <c r="AE5" s="69" t="e" cm="1">
        <f t="array" ref="AE5">_xlfn.XLOOKUP(Table1[[#This Row],[5 cm2 cell test code]:[5 cm2 cell test code]],[1]!Table1[[Test code]:[Test code]],[1]!Table1[HFR 10 mM KOH/ mOhm cm2],"",0)</f>
        <v>#REF!</v>
      </c>
      <c r="AF5" s="69" t="e" cm="1">
        <f t="array" ref="AF5">_xlfn.XLOOKUP(Table1[[#This Row],[5 cm2 cell test code]:[5 cm2 cell test code]],[1]!Table1[[Test code]:[Test code]],[1]!Table1[Ionic resistance DIW/Ohm cm2],"",0)</f>
        <v>#REF!</v>
      </c>
      <c r="AG5" s="69" t="e" cm="1">
        <f t="array" ref="AG5">_xlfn.XLOOKUP(Table1[[#This Row],[5 cm2 cell test code]:[5 cm2 cell test code]],[1]!Table1[[Test code]:[Test code]],[1]!Table1[Q_int_frac DIW],"",0)</f>
        <v>#REF!</v>
      </c>
      <c r="AH5" s="69" t="e" cm="1">
        <f t="array" ref="AH5">_xlfn.XLOOKUP(Table1[[#This Row],[5 cm2 cell test code]:[5 cm2 cell test code]],[1]!Table1[[Test code]:[Test code]],[1]!Table1[Ionic resistance 10 mM KOH/Ohm cm2],"",0)</f>
        <v>#REF!</v>
      </c>
      <c r="AI5" s="69" t="e" cm="1">
        <f t="array" ref="AI5">_xlfn.XLOOKUP(Table1[[#This Row],[5 cm2 cell test code]:[5 cm2 cell test code]],[1]!Table1[[Test code]:[Test code]],[1]!Table1[Q_int_frac DIW 10 mM KOH],"",0)</f>
        <v>#REF!</v>
      </c>
      <c r="AJ5" s="69" t="e" cm="1">
        <f t="array" ref="AJ5">_xlfn.XLOOKUP(Table1[[#This Row],[5 cm2 cell test code]:[5 cm2 cell test code]],[1]!Table1[[Test code]:[Test code]],[1]!Table1[DIW conductivity (µS/cm)],"",0)</f>
        <v>#REF!</v>
      </c>
      <c r="AQ5" s="5" t="str">
        <v>VSG01A-23039C1.06</v>
      </c>
      <c r="AR5" s="95">
        <f>COUNTIFS(Table1[Anode PN (Stack/cell electrodes)],AQ5,Table1[ƞ at 20mAcm-2 (mV)],"&lt;&gt;")</f>
        <v>0</v>
      </c>
      <c r="AS5" s="95">
        <f>COUNTIFS(Table1[Anode PN (Stack/cell electrodes)],AQ5,Table1[i @ 1.8 V DIW (A/cm2)],"&lt;&gt;")</f>
        <v>1</v>
      </c>
      <c r="AT5" s="95">
        <f>COUNTIFS(Table1[Anode PN (Stack/cell electrodes)],AQ5,Table1[i at 1.8 V 10 mM KOH (A/cm2)],"&lt;&gt;")</f>
        <v>1</v>
      </c>
      <c r="AU5" s="95">
        <f>COUNTIFS(Table1[Anode PN (Stack/cell electrodes)],AQ5,Table1[Ionic resistance DIW/Ohm cm2],"&lt;&gt;")</f>
        <v>1</v>
      </c>
      <c r="AV5" s="95">
        <f>COUNTIFS(Table1[Anode PN (Stack/cell electrodes)],AQ5,Table1[Ionic resistance 10 mM KOH/Ohm cm2],"&lt;&gt;")</f>
        <v>1</v>
      </c>
    </row>
    <row r="6" spans="1:48" s="5" customFormat="1">
      <c r="A6" s="81">
        <v>8</v>
      </c>
      <c r="B6" s="11" t="s">
        <v>71</v>
      </c>
      <c r="C6" s="4" t="s">
        <v>72</v>
      </c>
      <c r="D6" s="4"/>
      <c r="E6" s="4"/>
      <c r="F6" s="4"/>
      <c r="G6" s="4"/>
      <c r="H6" s="4"/>
      <c r="I6" s="11" t="s">
        <v>67</v>
      </c>
      <c r="J6" s="11" t="s">
        <v>58</v>
      </c>
      <c r="K6" s="43" t="s">
        <v>59</v>
      </c>
      <c r="L6" s="11"/>
      <c r="M6" s="13"/>
      <c r="N6" s="13"/>
      <c r="O6" s="11"/>
      <c r="P6" s="28">
        <f>(11.0314-10.8788)*1000/(10.9*10.9)</f>
        <v>1.2844036697247674</v>
      </c>
      <c r="Q6" s="12"/>
      <c r="R6" s="12"/>
      <c r="S6" s="12"/>
      <c r="T6" s="9"/>
      <c r="U6" s="100"/>
      <c r="V6" s="100"/>
      <c r="W6" s="69" t="e" cm="1">
        <f t="array" ref="W6">_xlfn.XLOOKUP(Table1[[#This Row],[5 cm2 cell test code]:[5 cm2 cell test code]],[1]!Table1[[Test code]:[Test code]],[1]!Table1[i @ 1.8 V DIW (A/cm2)],"",0)</f>
        <v>#REF!</v>
      </c>
      <c r="X6" s="69" t="e" cm="1">
        <f t="array" ref="X6">_xlfn.XLOOKUP(Table1[[#This Row],[5 cm2 cell test code]:[5 cm2 cell test code]],[1]!Table1[[Test code]:[Test code]],[1]!Table1[i @ 1.8 V 10 mM KOH (A/cm2)],"",0)</f>
        <v>#REF!</v>
      </c>
      <c r="Y6" s="69" t="e" cm="1">
        <f t="array" ref="Y6">_xlfn.XLOOKUP(Table1[[#This Row],[5 cm2 cell test code]:[5 cm2 cell test code]],[1]!Table1[[Test code]:[Test code]],[1]!Table1[3-E ƞ at 20mAcm-2 (mV)],"",0)</f>
        <v>#REF!</v>
      </c>
      <c r="Z6" s="69" t="e" cm="1">
        <f t="array" ref="Z6">_xlfn.XLOOKUP(Table1[[#This Row],[5 cm2 cell test code]:[5 cm2 cell test code]],[1]!Table1[[Test code]:[Test code]],[1]!Table1[3-E Tafel slope (mV/dec)],"",0)</f>
        <v>#REF!</v>
      </c>
      <c r="AA6" s="69" t="e" cm="1">
        <f t="array" ref="AA6">_xlfn.XLOOKUP(Table1[[#This Row],[5 cm2 cell test code]:[5 cm2 cell test code]],[1]!Table1[[Test code]:[Test code]],[1]!Table1[E @ 100 mA/cm2 DIW/V],"",0)</f>
        <v>#REF!</v>
      </c>
      <c r="AB6" s="69" t="e" cm="1">
        <f t="array" ref="AB6">_xlfn.XLOOKUP(Table1[[#This Row],[5 cm2 cell test code]:[5 cm2 cell test code]],[1]!Table1[[Test code]:[Test code]],[1]!Table1[E @ 100 mA/cm2 10 mM KOH/V],"",0)</f>
        <v>#REF!</v>
      </c>
      <c r="AC6" s="69" t="e" cm="1">
        <f t="array" ref="AC6">_xlfn.XLOOKUP(Table1[[#This Row],[5 cm2 cell test code]:[5 cm2 cell test code]],[1]!Table1[[Test code]:[Test code]],[1]!Table1[Anode ICR/mOhm],"",0)</f>
        <v>#REF!</v>
      </c>
      <c r="AD6" s="69" t="e" cm="1">
        <f t="array" ref="AD6">_xlfn.XLOOKUP(Table1[[#This Row],[5 cm2 cell test code]:[5 cm2 cell test code]],[1]!Table1[[Test code]:[Test code]],[1]!Table1[HFR DIW/ mOhm cm2],"",0)</f>
        <v>#REF!</v>
      </c>
      <c r="AE6" s="69" t="e" cm="1">
        <f t="array" ref="AE6">_xlfn.XLOOKUP(Table1[[#This Row],[5 cm2 cell test code]:[5 cm2 cell test code]],[1]!Table1[[Test code]:[Test code]],[1]!Table1[HFR 10 mM KOH/ mOhm cm2],"",0)</f>
        <v>#REF!</v>
      </c>
      <c r="AF6" s="69" t="e" cm="1">
        <f t="array" ref="AF6">_xlfn.XLOOKUP(Table1[[#This Row],[5 cm2 cell test code]:[5 cm2 cell test code]],[1]!Table1[[Test code]:[Test code]],[1]!Table1[Ionic resistance DIW/Ohm cm2],"",0)</f>
        <v>#REF!</v>
      </c>
      <c r="AG6" s="69" t="e" cm="1">
        <f t="array" ref="AG6">_xlfn.XLOOKUP(Table1[[#This Row],[5 cm2 cell test code]:[5 cm2 cell test code]],[1]!Table1[[Test code]:[Test code]],[1]!Table1[Q_int_frac DIW],"",0)</f>
        <v>#REF!</v>
      </c>
      <c r="AH6" s="69" t="e" cm="1">
        <f t="array" ref="AH6">_xlfn.XLOOKUP(Table1[[#This Row],[5 cm2 cell test code]:[5 cm2 cell test code]],[1]!Table1[[Test code]:[Test code]],[1]!Table1[Ionic resistance 10 mM KOH/Ohm cm2],"",0)</f>
        <v>#REF!</v>
      </c>
      <c r="AI6" s="69" t="e" cm="1">
        <f t="array" ref="AI6">_xlfn.XLOOKUP(Table1[[#This Row],[5 cm2 cell test code]:[5 cm2 cell test code]],[1]!Table1[[Test code]:[Test code]],[1]!Table1[Q_int_frac DIW 10 mM KOH],"",0)</f>
        <v>#REF!</v>
      </c>
      <c r="AJ6" s="69" t="e" cm="1">
        <f t="array" ref="AJ6">_xlfn.XLOOKUP(Table1[[#This Row],[5 cm2 cell test code]:[5 cm2 cell test code]],[1]!Table1[[Test code]:[Test code]],[1]!Table1[DIW conductivity (µS/cm)],"",0)</f>
        <v>#REF!</v>
      </c>
      <c r="AQ6" s="5" t="str">
        <v>VSG01A-23039C1.01</v>
      </c>
      <c r="AR6" s="95">
        <f>COUNTIFS(Table1[Anode PN (Stack/cell electrodes)],AQ6,Table1[ƞ at 20mAcm-2 (mV)],"&lt;&gt;")</f>
        <v>0</v>
      </c>
      <c r="AS6" s="95">
        <f>COUNTIFS(Table1[Anode PN (Stack/cell electrodes)],AQ6,Table1[i @ 1.8 V DIW (A/cm2)],"&lt;&gt;")</f>
        <v>1</v>
      </c>
      <c r="AT6" s="95">
        <f>COUNTIFS(Table1[Anode PN (Stack/cell electrodes)],AQ6,Table1[i at 1.8 V 10 mM KOH (A/cm2)],"&lt;&gt;")</f>
        <v>1</v>
      </c>
      <c r="AU6" s="95">
        <f>COUNTIFS(Table1[Anode PN (Stack/cell electrodes)],AQ6,Table1[Ionic resistance DIW/Ohm cm2],"&lt;&gt;")</f>
        <v>1</v>
      </c>
      <c r="AV6" s="95">
        <f>COUNTIFS(Table1[Anode PN (Stack/cell electrodes)],AQ6,Table1[Ionic resistance 10 mM KOH/Ohm cm2],"&lt;&gt;")</f>
        <v>1</v>
      </c>
    </row>
    <row r="7" spans="1:48" s="5" customFormat="1">
      <c r="A7" s="81">
        <v>8</v>
      </c>
      <c r="B7" s="11" t="s">
        <v>73</v>
      </c>
      <c r="C7" s="4" t="s">
        <v>72</v>
      </c>
      <c r="D7" s="4"/>
      <c r="E7" s="4"/>
      <c r="F7" s="4"/>
      <c r="G7" s="4"/>
      <c r="H7" s="4"/>
      <c r="I7" s="11"/>
      <c r="J7" s="11" t="s">
        <v>58</v>
      </c>
      <c r="K7" s="43" t="s">
        <v>59</v>
      </c>
      <c r="L7" s="11"/>
      <c r="M7" s="13"/>
      <c r="N7" s="13"/>
      <c r="O7" s="11"/>
      <c r="P7" s="28">
        <f>(11.1107-10.9113)*1000/(10.8*10.9)</f>
        <v>1.6938498131158586</v>
      </c>
      <c r="Q7" s="12"/>
      <c r="R7" s="12"/>
      <c r="S7" s="12"/>
      <c r="T7" s="9"/>
      <c r="U7" s="100"/>
      <c r="V7" s="100"/>
      <c r="W7" s="69" t="e" cm="1">
        <f t="array" ref="W7">_xlfn.XLOOKUP(Table1[[#This Row],[5 cm2 cell test code]:[5 cm2 cell test code]],[1]!Table1[[Test code]:[Test code]],[1]!Table1[i @ 1.8 V DIW (A/cm2)],"",0)</f>
        <v>#REF!</v>
      </c>
      <c r="X7" s="69" t="e" cm="1">
        <f t="array" ref="X7">_xlfn.XLOOKUP(Table1[[#This Row],[5 cm2 cell test code]:[5 cm2 cell test code]],[1]!Table1[[Test code]:[Test code]],[1]!Table1[i @ 1.8 V 10 mM KOH (A/cm2)],"",0)</f>
        <v>#REF!</v>
      </c>
      <c r="Y7" s="69" t="e" cm="1">
        <f t="array" ref="Y7">_xlfn.XLOOKUP(Table1[[#This Row],[5 cm2 cell test code]:[5 cm2 cell test code]],[1]!Table1[[Test code]:[Test code]],[1]!Table1[3-E ƞ at 20mAcm-2 (mV)],"",0)</f>
        <v>#REF!</v>
      </c>
      <c r="Z7" s="69" t="e" cm="1">
        <f t="array" ref="Z7">_xlfn.XLOOKUP(Table1[[#This Row],[5 cm2 cell test code]:[5 cm2 cell test code]],[1]!Table1[[Test code]:[Test code]],[1]!Table1[3-E Tafel slope (mV/dec)],"",0)</f>
        <v>#REF!</v>
      </c>
      <c r="AA7" s="69" t="e" cm="1">
        <f t="array" ref="AA7">_xlfn.XLOOKUP(Table1[[#This Row],[5 cm2 cell test code]:[5 cm2 cell test code]],[1]!Table1[[Test code]:[Test code]],[1]!Table1[E @ 100 mA/cm2 DIW/V],"",0)</f>
        <v>#REF!</v>
      </c>
      <c r="AB7" s="69" t="e" cm="1">
        <f t="array" ref="AB7">_xlfn.XLOOKUP(Table1[[#This Row],[5 cm2 cell test code]:[5 cm2 cell test code]],[1]!Table1[[Test code]:[Test code]],[1]!Table1[E @ 100 mA/cm2 10 mM KOH/V],"",0)</f>
        <v>#REF!</v>
      </c>
      <c r="AC7" s="69" t="e" cm="1">
        <f t="array" ref="AC7">_xlfn.XLOOKUP(Table1[[#This Row],[5 cm2 cell test code]:[5 cm2 cell test code]],[1]!Table1[[Test code]:[Test code]],[1]!Table1[Anode ICR/mOhm],"",0)</f>
        <v>#REF!</v>
      </c>
      <c r="AD7" s="69" t="e" cm="1">
        <f t="array" ref="AD7">_xlfn.XLOOKUP(Table1[[#This Row],[5 cm2 cell test code]:[5 cm2 cell test code]],[1]!Table1[[Test code]:[Test code]],[1]!Table1[HFR DIW/ mOhm cm2],"",0)</f>
        <v>#REF!</v>
      </c>
      <c r="AE7" s="69" t="e" cm="1">
        <f t="array" ref="AE7">_xlfn.XLOOKUP(Table1[[#This Row],[5 cm2 cell test code]:[5 cm2 cell test code]],[1]!Table1[[Test code]:[Test code]],[1]!Table1[HFR 10 mM KOH/ mOhm cm2],"",0)</f>
        <v>#REF!</v>
      </c>
      <c r="AF7" s="69" t="e" cm="1">
        <f t="array" ref="AF7">_xlfn.XLOOKUP(Table1[[#This Row],[5 cm2 cell test code]:[5 cm2 cell test code]],[1]!Table1[[Test code]:[Test code]],[1]!Table1[Ionic resistance DIW/Ohm cm2],"",0)</f>
        <v>#REF!</v>
      </c>
      <c r="AG7" s="69" t="e" cm="1">
        <f t="array" ref="AG7">_xlfn.XLOOKUP(Table1[[#This Row],[5 cm2 cell test code]:[5 cm2 cell test code]],[1]!Table1[[Test code]:[Test code]],[1]!Table1[Q_int_frac DIW],"",0)</f>
        <v>#REF!</v>
      </c>
      <c r="AH7" s="69" t="e" cm="1">
        <f t="array" ref="AH7">_xlfn.XLOOKUP(Table1[[#This Row],[5 cm2 cell test code]:[5 cm2 cell test code]],[1]!Table1[[Test code]:[Test code]],[1]!Table1[Ionic resistance 10 mM KOH/Ohm cm2],"",0)</f>
        <v>#REF!</v>
      </c>
      <c r="AI7" s="69" t="e" cm="1">
        <f t="array" ref="AI7">_xlfn.XLOOKUP(Table1[[#This Row],[5 cm2 cell test code]:[5 cm2 cell test code]],[1]!Table1[[Test code]:[Test code]],[1]!Table1[Q_int_frac DIW 10 mM KOH],"",0)</f>
        <v>#REF!</v>
      </c>
      <c r="AJ7" s="69" t="e" cm="1">
        <f t="array" ref="AJ7">_xlfn.XLOOKUP(Table1[[#This Row],[5 cm2 cell test code]:[5 cm2 cell test code]],[1]!Table1[[Test code]:[Test code]],[1]!Table1[DIW conductivity (µS/cm)],"",0)</f>
        <v>#REF!</v>
      </c>
      <c r="AQ7" s="5" t="str">
        <v>VSG01A-23039C1.02</v>
      </c>
      <c r="AR7" s="95">
        <f>COUNTIFS(Table1[Anode PN (Stack/cell electrodes)],AQ7,Table1[ƞ at 20mAcm-2 (mV)],"&lt;&gt;")</f>
        <v>0</v>
      </c>
      <c r="AS7" s="95">
        <f>COUNTIFS(Table1[Anode PN (Stack/cell electrodes)],AQ7,Table1[i @ 1.8 V DIW (A/cm2)],"&lt;&gt;")</f>
        <v>1</v>
      </c>
      <c r="AT7" s="95">
        <f>COUNTIFS(Table1[Anode PN (Stack/cell electrodes)],AQ7,Table1[i at 1.8 V 10 mM KOH (A/cm2)],"&lt;&gt;")</f>
        <v>1</v>
      </c>
      <c r="AU7" s="95">
        <f>COUNTIFS(Table1[Anode PN (Stack/cell electrodes)],AQ7,Table1[Ionic resistance DIW/Ohm cm2],"&lt;&gt;")</f>
        <v>1</v>
      </c>
      <c r="AV7" s="95">
        <f>COUNTIFS(Table1[Anode PN (Stack/cell electrodes)],AQ7,Table1[Ionic resistance 10 mM KOH/Ohm cm2],"&lt;&gt;")</f>
        <v>1</v>
      </c>
    </row>
    <row r="8" spans="1:48" s="5" customFormat="1">
      <c r="A8" s="81"/>
      <c r="B8" s="11" t="s">
        <v>74</v>
      </c>
      <c r="C8" s="4" t="s">
        <v>75</v>
      </c>
      <c r="D8" s="4"/>
      <c r="E8" s="4"/>
      <c r="F8" s="4"/>
      <c r="G8" s="4"/>
      <c r="H8" s="4"/>
      <c r="I8" s="11"/>
      <c r="J8" s="11"/>
      <c r="K8" s="43" t="s">
        <v>59</v>
      </c>
      <c r="L8" s="11"/>
      <c r="M8" s="13"/>
      <c r="N8" s="13"/>
      <c r="O8" s="11"/>
      <c r="P8" s="28"/>
      <c r="Q8" s="11"/>
      <c r="R8" s="11"/>
      <c r="S8" s="11"/>
      <c r="T8" s="8"/>
      <c r="U8" s="100"/>
      <c r="V8" s="100"/>
      <c r="W8" s="69" t="e" cm="1">
        <f t="array" ref="W8">_xlfn.XLOOKUP(Table1[[#This Row],[5 cm2 cell test code]:[5 cm2 cell test code]],[1]!Table1[[Test code]:[Test code]],[1]!Table1[i @ 1.8 V DIW (A/cm2)],"",0)</f>
        <v>#REF!</v>
      </c>
      <c r="X8" s="69" t="e" cm="1">
        <f t="array" ref="X8">_xlfn.XLOOKUP(Table1[[#This Row],[5 cm2 cell test code]:[5 cm2 cell test code]],[1]!Table1[[Test code]:[Test code]],[1]!Table1[i @ 1.8 V 10 mM KOH (A/cm2)],"",0)</f>
        <v>#REF!</v>
      </c>
      <c r="Y8" s="69" t="e" cm="1">
        <f t="array" ref="Y8">_xlfn.XLOOKUP(Table1[[#This Row],[5 cm2 cell test code]:[5 cm2 cell test code]],[1]!Table1[[Test code]:[Test code]],[1]!Table1[3-E ƞ at 20mAcm-2 (mV)],"",0)</f>
        <v>#REF!</v>
      </c>
      <c r="Z8" s="69" t="e" cm="1">
        <f t="array" ref="Z8">_xlfn.XLOOKUP(Table1[[#This Row],[5 cm2 cell test code]:[5 cm2 cell test code]],[1]!Table1[[Test code]:[Test code]],[1]!Table1[3-E Tafel slope (mV/dec)],"",0)</f>
        <v>#REF!</v>
      </c>
      <c r="AA8" s="69" t="e" cm="1">
        <f t="array" ref="AA8">_xlfn.XLOOKUP(Table1[[#This Row],[5 cm2 cell test code]:[5 cm2 cell test code]],[1]!Table1[[Test code]:[Test code]],[1]!Table1[E @ 100 mA/cm2 DIW/V],"",0)</f>
        <v>#REF!</v>
      </c>
      <c r="AB8" s="69" t="e" cm="1">
        <f t="array" ref="AB8">_xlfn.XLOOKUP(Table1[[#This Row],[5 cm2 cell test code]:[5 cm2 cell test code]],[1]!Table1[[Test code]:[Test code]],[1]!Table1[E @ 100 mA/cm2 10 mM KOH/V],"",0)</f>
        <v>#REF!</v>
      </c>
      <c r="AC8" s="69" t="e" cm="1">
        <f t="array" ref="AC8">_xlfn.XLOOKUP(Table1[[#This Row],[5 cm2 cell test code]:[5 cm2 cell test code]],[1]!Table1[[Test code]:[Test code]],[1]!Table1[Anode ICR/mOhm],"",0)</f>
        <v>#REF!</v>
      </c>
      <c r="AD8" s="69" t="e" cm="1">
        <f t="array" ref="AD8">_xlfn.XLOOKUP(Table1[[#This Row],[5 cm2 cell test code]:[5 cm2 cell test code]],[1]!Table1[[Test code]:[Test code]],[1]!Table1[HFR DIW/ mOhm cm2],"",0)</f>
        <v>#REF!</v>
      </c>
      <c r="AE8" s="69" t="e" cm="1">
        <f t="array" ref="AE8">_xlfn.XLOOKUP(Table1[[#This Row],[5 cm2 cell test code]:[5 cm2 cell test code]],[1]!Table1[[Test code]:[Test code]],[1]!Table1[HFR 10 mM KOH/ mOhm cm2],"",0)</f>
        <v>#REF!</v>
      </c>
      <c r="AF8" s="69" t="e" cm="1">
        <f t="array" ref="AF8">_xlfn.XLOOKUP(Table1[[#This Row],[5 cm2 cell test code]:[5 cm2 cell test code]],[1]!Table1[[Test code]:[Test code]],[1]!Table1[Ionic resistance DIW/Ohm cm2],"",0)</f>
        <v>#REF!</v>
      </c>
      <c r="AG8" s="69" t="e" cm="1">
        <f t="array" ref="AG8">_xlfn.XLOOKUP(Table1[[#This Row],[5 cm2 cell test code]:[5 cm2 cell test code]],[1]!Table1[[Test code]:[Test code]],[1]!Table1[Q_int_frac DIW],"",0)</f>
        <v>#REF!</v>
      </c>
      <c r="AH8" s="69" t="e" cm="1">
        <f t="array" ref="AH8">_xlfn.XLOOKUP(Table1[[#This Row],[5 cm2 cell test code]:[5 cm2 cell test code]],[1]!Table1[[Test code]:[Test code]],[1]!Table1[Ionic resistance 10 mM KOH/Ohm cm2],"",0)</f>
        <v>#REF!</v>
      </c>
      <c r="AI8" s="69" t="e" cm="1">
        <f t="array" ref="AI8">_xlfn.XLOOKUP(Table1[[#This Row],[5 cm2 cell test code]:[5 cm2 cell test code]],[1]!Table1[[Test code]:[Test code]],[1]!Table1[Q_int_frac DIW 10 mM KOH],"",0)</f>
        <v>#REF!</v>
      </c>
      <c r="AJ8" s="69" t="e" cm="1">
        <f t="array" ref="AJ8">_xlfn.XLOOKUP(Table1[[#This Row],[5 cm2 cell test code]:[5 cm2 cell test code]],[1]!Table1[[Test code]:[Test code]],[1]!Table1[DIW conductivity (µS/cm)],"",0)</f>
        <v>#REF!</v>
      </c>
      <c r="AQ8" s="5" t="str">
        <v>VSG01A-23039C1.03</v>
      </c>
      <c r="AR8" s="95">
        <f>COUNTIFS(Table1[Anode PN (Stack/cell electrodes)],AQ8,Table1[ƞ at 20mAcm-2 (mV)],"&lt;&gt;")</f>
        <v>0</v>
      </c>
      <c r="AS8" s="95">
        <f>COUNTIFS(Table1[Anode PN (Stack/cell electrodes)],AQ8,Table1[i @ 1.8 V DIW (A/cm2)],"&lt;&gt;")</f>
        <v>1</v>
      </c>
      <c r="AT8" s="95">
        <f>COUNTIFS(Table1[Anode PN (Stack/cell electrodes)],AQ8,Table1[i at 1.8 V 10 mM KOH (A/cm2)],"&lt;&gt;")</f>
        <v>1</v>
      </c>
      <c r="AU8" s="95">
        <f>COUNTIFS(Table1[Anode PN (Stack/cell electrodes)],AQ8,Table1[Ionic resistance DIW/Ohm cm2],"&lt;&gt;")</f>
        <v>1</v>
      </c>
      <c r="AV8" s="95">
        <f>COUNTIFS(Table1[Anode PN (Stack/cell electrodes)],AQ8,Table1[Ionic resistance 10 mM KOH/Ohm cm2],"&lt;&gt;")</f>
        <v>1</v>
      </c>
    </row>
    <row r="9" spans="1:48" s="5" customFormat="1">
      <c r="A9" s="81"/>
      <c r="B9" s="11" t="s">
        <v>76</v>
      </c>
      <c r="C9" s="4" t="s">
        <v>77</v>
      </c>
      <c r="D9" s="4"/>
      <c r="E9" s="4"/>
      <c r="F9" s="4"/>
      <c r="G9" s="4"/>
      <c r="H9" s="4"/>
      <c r="I9" s="11"/>
      <c r="J9" s="11"/>
      <c r="K9" s="43" t="s">
        <v>59</v>
      </c>
      <c r="L9" s="11"/>
      <c r="M9" s="13"/>
      <c r="N9" s="13"/>
      <c r="O9" s="11"/>
      <c r="P9" s="28" t="e">
        <f>NA()</f>
        <v>#N/A</v>
      </c>
      <c r="Q9" s="11"/>
      <c r="R9" s="11"/>
      <c r="S9" s="11"/>
      <c r="T9" s="8"/>
      <c r="U9" s="100"/>
      <c r="V9" s="100"/>
      <c r="W9" s="69" t="e" cm="1">
        <f t="array" ref="W9">_xlfn.XLOOKUP(Table1[[#This Row],[5 cm2 cell test code]:[5 cm2 cell test code]],[1]!Table1[[Test code]:[Test code]],[1]!Table1[i @ 1.8 V DIW (A/cm2)],"",0)</f>
        <v>#REF!</v>
      </c>
      <c r="X9" s="69" t="e" cm="1">
        <f t="array" ref="X9">_xlfn.XLOOKUP(Table1[[#This Row],[5 cm2 cell test code]:[5 cm2 cell test code]],[1]!Table1[[Test code]:[Test code]],[1]!Table1[i @ 1.8 V 10 mM KOH (A/cm2)],"",0)</f>
        <v>#REF!</v>
      </c>
      <c r="Y9" s="69" t="e" cm="1">
        <f t="array" ref="Y9">_xlfn.XLOOKUP(Table1[[#This Row],[5 cm2 cell test code]:[5 cm2 cell test code]],[1]!Table1[[Test code]:[Test code]],[1]!Table1[3-E ƞ at 20mAcm-2 (mV)],"",0)</f>
        <v>#REF!</v>
      </c>
      <c r="Z9" s="69" t="e" cm="1">
        <f t="array" ref="Z9">_xlfn.XLOOKUP(Table1[[#This Row],[5 cm2 cell test code]:[5 cm2 cell test code]],[1]!Table1[[Test code]:[Test code]],[1]!Table1[3-E Tafel slope (mV/dec)],"",0)</f>
        <v>#REF!</v>
      </c>
      <c r="AA9" s="69" t="e" cm="1">
        <f t="array" ref="AA9">_xlfn.XLOOKUP(Table1[[#This Row],[5 cm2 cell test code]:[5 cm2 cell test code]],[1]!Table1[[Test code]:[Test code]],[1]!Table1[E @ 100 mA/cm2 DIW/V],"",0)</f>
        <v>#REF!</v>
      </c>
      <c r="AB9" s="69" t="e" cm="1">
        <f t="array" ref="AB9">_xlfn.XLOOKUP(Table1[[#This Row],[5 cm2 cell test code]:[5 cm2 cell test code]],[1]!Table1[[Test code]:[Test code]],[1]!Table1[E @ 100 mA/cm2 10 mM KOH/V],"",0)</f>
        <v>#REF!</v>
      </c>
      <c r="AC9" s="69" t="e" cm="1">
        <f t="array" ref="AC9">_xlfn.XLOOKUP(Table1[[#This Row],[5 cm2 cell test code]:[5 cm2 cell test code]],[1]!Table1[[Test code]:[Test code]],[1]!Table1[Anode ICR/mOhm],"",0)</f>
        <v>#REF!</v>
      </c>
      <c r="AD9" s="69" t="e" cm="1">
        <f t="array" ref="AD9">_xlfn.XLOOKUP(Table1[[#This Row],[5 cm2 cell test code]:[5 cm2 cell test code]],[1]!Table1[[Test code]:[Test code]],[1]!Table1[HFR DIW/ mOhm cm2],"",0)</f>
        <v>#REF!</v>
      </c>
      <c r="AE9" s="69" t="e" cm="1">
        <f t="array" ref="AE9">_xlfn.XLOOKUP(Table1[[#This Row],[5 cm2 cell test code]:[5 cm2 cell test code]],[1]!Table1[[Test code]:[Test code]],[1]!Table1[HFR 10 mM KOH/ mOhm cm2],"",0)</f>
        <v>#REF!</v>
      </c>
      <c r="AF9" s="69" t="e" cm="1">
        <f t="array" ref="AF9">_xlfn.XLOOKUP(Table1[[#This Row],[5 cm2 cell test code]:[5 cm2 cell test code]],[1]!Table1[[Test code]:[Test code]],[1]!Table1[Ionic resistance DIW/Ohm cm2],"",0)</f>
        <v>#REF!</v>
      </c>
      <c r="AG9" s="69" t="e" cm="1">
        <f t="array" ref="AG9">_xlfn.XLOOKUP(Table1[[#This Row],[5 cm2 cell test code]:[5 cm2 cell test code]],[1]!Table1[[Test code]:[Test code]],[1]!Table1[Q_int_frac DIW],"",0)</f>
        <v>#REF!</v>
      </c>
      <c r="AH9" s="69" t="e" cm="1">
        <f t="array" ref="AH9">_xlfn.XLOOKUP(Table1[[#This Row],[5 cm2 cell test code]:[5 cm2 cell test code]],[1]!Table1[[Test code]:[Test code]],[1]!Table1[Ionic resistance 10 mM KOH/Ohm cm2],"",0)</f>
        <v>#REF!</v>
      </c>
      <c r="AI9" s="69" t="e" cm="1">
        <f t="array" ref="AI9">_xlfn.XLOOKUP(Table1[[#This Row],[5 cm2 cell test code]:[5 cm2 cell test code]],[1]!Table1[[Test code]:[Test code]],[1]!Table1[Q_int_frac DIW 10 mM KOH],"",0)</f>
        <v>#REF!</v>
      </c>
      <c r="AJ9" s="69" t="e" cm="1">
        <f t="array" ref="AJ9">_xlfn.XLOOKUP(Table1[[#This Row],[5 cm2 cell test code]:[5 cm2 cell test code]],[1]!Table1[[Test code]:[Test code]],[1]!Table1[DIW conductivity (µS/cm)],"",0)</f>
        <v>#REF!</v>
      </c>
      <c r="AQ9" s="5" t="str">
        <v>VSG01A-23039C1.07</v>
      </c>
      <c r="AR9" s="95">
        <f>COUNTIFS(Table1[Anode PN (Stack/cell electrodes)],AQ9,Table1[ƞ at 20mAcm-2 (mV)],"&lt;&gt;")</f>
        <v>0</v>
      </c>
      <c r="AS9" s="95">
        <f>COUNTIFS(Table1[Anode PN (Stack/cell electrodes)],AQ9,Table1[i @ 1.8 V DIW (A/cm2)],"&lt;&gt;")</f>
        <v>1</v>
      </c>
      <c r="AT9" s="95">
        <f>COUNTIFS(Table1[Anode PN (Stack/cell electrodes)],AQ9,Table1[i at 1.8 V 10 mM KOH (A/cm2)],"&lt;&gt;")</f>
        <v>1</v>
      </c>
      <c r="AU9" s="95">
        <f>COUNTIFS(Table1[Anode PN (Stack/cell electrodes)],AQ9,Table1[Ionic resistance DIW/Ohm cm2],"&lt;&gt;")</f>
        <v>1</v>
      </c>
      <c r="AV9" s="95">
        <f>COUNTIFS(Table1[Anode PN (Stack/cell electrodes)],AQ9,Table1[Ionic resistance 10 mM KOH/Ohm cm2],"&lt;&gt;")</f>
        <v>1</v>
      </c>
    </row>
    <row r="10" spans="1:48" s="5" customFormat="1">
      <c r="A10" s="81"/>
      <c r="B10" s="11"/>
      <c r="C10" s="4"/>
      <c r="D10" s="4"/>
      <c r="E10" s="4"/>
      <c r="F10" s="4"/>
      <c r="G10" s="4"/>
      <c r="H10" s="4"/>
      <c r="I10" s="11"/>
      <c r="J10" s="11"/>
      <c r="K10" s="43" t="s">
        <v>59</v>
      </c>
      <c r="L10" s="11"/>
      <c r="M10" s="13"/>
      <c r="N10" s="13"/>
      <c r="O10" s="11"/>
      <c r="P10" s="28"/>
      <c r="Q10" s="11"/>
      <c r="R10" s="11"/>
      <c r="S10" s="11"/>
      <c r="T10" s="8"/>
      <c r="U10" s="100"/>
      <c r="V10" s="100"/>
      <c r="W10" s="69" t="e" cm="1">
        <f t="array" ref="W10">_xlfn.XLOOKUP(Table1[[#This Row],[5 cm2 cell test code]:[5 cm2 cell test code]],[1]!Table1[[Test code]:[Test code]],[1]!Table1[i @ 1.8 V DIW (A/cm2)],"",0)</f>
        <v>#REF!</v>
      </c>
      <c r="X10" s="69" t="e" cm="1">
        <f t="array" ref="X10">_xlfn.XLOOKUP(Table1[[#This Row],[5 cm2 cell test code]:[5 cm2 cell test code]],[1]!Table1[[Test code]:[Test code]],[1]!Table1[i @ 1.8 V 10 mM KOH (A/cm2)],"",0)</f>
        <v>#REF!</v>
      </c>
      <c r="Y10" s="69" t="e" cm="1">
        <f t="array" ref="Y10">_xlfn.XLOOKUP(Table1[[#This Row],[5 cm2 cell test code]:[5 cm2 cell test code]],[1]!Table1[[Test code]:[Test code]],[1]!Table1[3-E ƞ at 20mAcm-2 (mV)],"",0)</f>
        <v>#REF!</v>
      </c>
      <c r="Z10" s="69" t="e" cm="1">
        <f t="array" ref="Z10">_xlfn.XLOOKUP(Table1[[#This Row],[5 cm2 cell test code]:[5 cm2 cell test code]],[1]!Table1[[Test code]:[Test code]],[1]!Table1[3-E Tafel slope (mV/dec)],"",0)</f>
        <v>#REF!</v>
      </c>
      <c r="AA10" s="69" t="e" cm="1">
        <f t="array" ref="AA10">_xlfn.XLOOKUP(Table1[[#This Row],[5 cm2 cell test code]:[5 cm2 cell test code]],[1]!Table1[[Test code]:[Test code]],[1]!Table1[E @ 100 mA/cm2 DIW/V],"",0)</f>
        <v>#REF!</v>
      </c>
      <c r="AB10" s="69" t="e" cm="1">
        <f t="array" ref="AB10">_xlfn.XLOOKUP(Table1[[#This Row],[5 cm2 cell test code]:[5 cm2 cell test code]],[1]!Table1[[Test code]:[Test code]],[1]!Table1[E @ 100 mA/cm2 10 mM KOH/V],"",0)</f>
        <v>#REF!</v>
      </c>
      <c r="AC10" s="69" t="e" cm="1">
        <f t="array" ref="AC10">_xlfn.XLOOKUP(Table1[[#This Row],[5 cm2 cell test code]:[5 cm2 cell test code]],[1]!Table1[[Test code]:[Test code]],[1]!Table1[Anode ICR/mOhm],"",0)</f>
        <v>#REF!</v>
      </c>
      <c r="AD10" s="69" t="e" cm="1">
        <f t="array" ref="AD10">_xlfn.XLOOKUP(Table1[[#This Row],[5 cm2 cell test code]:[5 cm2 cell test code]],[1]!Table1[[Test code]:[Test code]],[1]!Table1[HFR DIW/ mOhm cm2],"",0)</f>
        <v>#REF!</v>
      </c>
      <c r="AE10" s="69" t="e" cm="1">
        <f t="array" ref="AE10">_xlfn.XLOOKUP(Table1[[#This Row],[5 cm2 cell test code]:[5 cm2 cell test code]],[1]!Table1[[Test code]:[Test code]],[1]!Table1[HFR 10 mM KOH/ mOhm cm2],"",0)</f>
        <v>#REF!</v>
      </c>
      <c r="AF10" s="69" t="e" cm="1">
        <f t="array" ref="AF10">_xlfn.XLOOKUP(Table1[[#This Row],[5 cm2 cell test code]:[5 cm2 cell test code]],[1]!Table1[[Test code]:[Test code]],[1]!Table1[Ionic resistance DIW/Ohm cm2],"",0)</f>
        <v>#REF!</v>
      </c>
      <c r="AG10" s="69" t="e" cm="1">
        <f t="array" ref="AG10">_xlfn.XLOOKUP(Table1[[#This Row],[5 cm2 cell test code]:[5 cm2 cell test code]],[1]!Table1[[Test code]:[Test code]],[1]!Table1[Q_int_frac DIW],"",0)</f>
        <v>#REF!</v>
      </c>
      <c r="AH10" s="69" t="e" cm="1">
        <f t="array" ref="AH10">_xlfn.XLOOKUP(Table1[[#This Row],[5 cm2 cell test code]:[5 cm2 cell test code]],[1]!Table1[[Test code]:[Test code]],[1]!Table1[Ionic resistance 10 mM KOH/Ohm cm2],"",0)</f>
        <v>#REF!</v>
      </c>
      <c r="AI10" s="69" t="e" cm="1">
        <f t="array" ref="AI10">_xlfn.XLOOKUP(Table1[[#This Row],[5 cm2 cell test code]:[5 cm2 cell test code]],[1]!Table1[[Test code]:[Test code]],[1]!Table1[Q_int_frac DIW 10 mM KOH],"",0)</f>
        <v>#REF!</v>
      </c>
      <c r="AJ10" s="69" t="e" cm="1">
        <f t="array" ref="AJ10">_xlfn.XLOOKUP(Table1[[#This Row],[5 cm2 cell test code]:[5 cm2 cell test code]],[1]!Table1[[Test code]:[Test code]],[1]!Table1[DIW conductivity (µS/cm)],"",0)</f>
        <v>#REF!</v>
      </c>
      <c r="AQ10" s="5" t="str">
        <v>VSG01A-23039C1.08</v>
      </c>
      <c r="AR10" s="95">
        <f>COUNTIFS(Table1[Anode PN (Stack/cell electrodes)],AQ10,Table1[ƞ at 20mAcm-2 (mV)],"&lt;&gt;")</f>
        <v>0</v>
      </c>
      <c r="AS10" s="95">
        <f>COUNTIFS(Table1[Anode PN (Stack/cell electrodes)],AQ10,Table1[i @ 1.8 V DIW (A/cm2)],"&lt;&gt;")</f>
        <v>1</v>
      </c>
      <c r="AT10" s="95">
        <f>COUNTIFS(Table1[Anode PN (Stack/cell electrodes)],AQ10,Table1[i at 1.8 V 10 mM KOH (A/cm2)],"&lt;&gt;")</f>
        <v>1</v>
      </c>
      <c r="AU10" s="95">
        <f>COUNTIFS(Table1[Anode PN (Stack/cell electrodes)],AQ10,Table1[Ionic resistance DIW/Ohm cm2],"&lt;&gt;")</f>
        <v>1</v>
      </c>
      <c r="AV10" s="95">
        <f>COUNTIFS(Table1[Anode PN (Stack/cell electrodes)],AQ10,Table1[Ionic resistance 10 mM KOH/Ohm cm2],"&lt;&gt;")</f>
        <v>1</v>
      </c>
    </row>
    <row r="11" spans="1:48" s="5" customFormat="1">
      <c r="A11" s="81"/>
      <c r="B11" s="11" t="s">
        <v>78</v>
      </c>
      <c r="C11" s="4" t="s">
        <v>79</v>
      </c>
      <c r="D11" s="4"/>
      <c r="E11" s="4"/>
      <c r="F11" s="4"/>
      <c r="G11" s="4"/>
      <c r="H11" s="4"/>
      <c r="I11" s="11" t="s">
        <v>80</v>
      </c>
      <c r="J11" s="11"/>
      <c r="K11" s="43" t="s">
        <v>59</v>
      </c>
      <c r="L11" s="11"/>
      <c r="M11" s="13"/>
      <c r="N11" s="13"/>
      <c r="O11" s="11"/>
      <c r="P11" s="28" t="e">
        <f>NA()</f>
        <v>#N/A</v>
      </c>
      <c r="Q11" s="12"/>
      <c r="R11" s="12"/>
      <c r="S11" s="12"/>
      <c r="T11" s="7"/>
      <c r="U11" s="99"/>
      <c r="V11" s="99"/>
      <c r="W11" s="69" t="e" cm="1">
        <f t="array" ref="W11">_xlfn.XLOOKUP(Table1[[#This Row],[5 cm2 cell test code]:[5 cm2 cell test code]],[1]!Table1[[Test code]:[Test code]],[1]!Table1[i @ 1.8 V DIW (A/cm2)],"",0)</f>
        <v>#REF!</v>
      </c>
      <c r="X11" s="69" t="e" cm="1">
        <f t="array" ref="X11">_xlfn.XLOOKUP(Table1[[#This Row],[5 cm2 cell test code]:[5 cm2 cell test code]],[1]!Table1[[Test code]:[Test code]],[1]!Table1[i @ 1.8 V 10 mM KOH (A/cm2)],"",0)</f>
        <v>#REF!</v>
      </c>
      <c r="Y11" s="69" t="e" cm="1">
        <f t="array" ref="Y11">_xlfn.XLOOKUP(Table1[[#This Row],[5 cm2 cell test code]:[5 cm2 cell test code]],[1]!Table1[[Test code]:[Test code]],[1]!Table1[3-E ƞ at 20mAcm-2 (mV)],"",0)</f>
        <v>#REF!</v>
      </c>
      <c r="Z11" s="69" t="e" cm="1">
        <f t="array" ref="Z11">_xlfn.XLOOKUP(Table1[[#This Row],[5 cm2 cell test code]:[5 cm2 cell test code]],[1]!Table1[[Test code]:[Test code]],[1]!Table1[3-E Tafel slope (mV/dec)],"",0)</f>
        <v>#REF!</v>
      </c>
      <c r="AA11" s="69" t="e" cm="1">
        <f t="array" ref="AA11">_xlfn.XLOOKUP(Table1[[#This Row],[5 cm2 cell test code]:[5 cm2 cell test code]],[1]!Table1[[Test code]:[Test code]],[1]!Table1[E @ 100 mA/cm2 DIW/V],"",0)</f>
        <v>#REF!</v>
      </c>
      <c r="AB11" s="69" t="e" cm="1">
        <f t="array" ref="AB11">_xlfn.XLOOKUP(Table1[[#This Row],[5 cm2 cell test code]:[5 cm2 cell test code]],[1]!Table1[[Test code]:[Test code]],[1]!Table1[E @ 100 mA/cm2 10 mM KOH/V],"",0)</f>
        <v>#REF!</v>
      </c>
      <c r="AC11" s="69" t="e" cm="1">
        <f t="array" ref="AC11">_xlfn.XLOOKUP(Table1[[#This Row],[5 cm2 cell test code]:[5 cm2 cell test code]],[1]!Table1[[Test code]:[Test code]],[1]!Table1[Anode ICR/mOhm],"",0)</f>
        <v>#REF!</v>
      </c>
      <c r="AD11" s="69" t="e" cm="1">
        <f t="array" ref="AD11">_xlfn.XLOOKUP(Table1[[#This Row],[5 cm2 cell test code]:[5 cm2 cell test code]],[1]!Table1[[Test code]:[Test code]],[1]!Table1[HFR DIW/ mOhm cm2],"",0)</f>
        <v>#REF!</v>
      </c>
      <c r="AE11" s="69" t="e" cm="1">
        <f t="array" ref="AE11">_xlfn.XLOOKUP(Table1[[#This Row],[5 cm2 cell test code]:[5 cm2 cell test code]],[1]!Table1[[Test code]:[Test code]],[1]!Table1[HFR 10 mM KOH/ mOhm cm2],"",0)</f>
        <v>#REF!</v>
      </c>
      <c r="AF11" s="69" t="e" cm="1">
        <f t="array" ref="AF11">_xlfn.XLOOKUP(Table1[[#This Row],[5 cm2 cell test code]:[5 cm2 cell test code]],[1]!Table1[[Test code]:[Test code]],[1]!Table1[Ionic resistance DIW/Ohm cm2],"",0)</f>
        <v>#REF!</v>
      </c>
      <c r="AG11" s="69" t="e" cm="1">
        <f t="array" ref="AG11">_xlfn.XLOOKUP(Table1[[#This Row],[5 cm2 cell test code]:[5 cm2 cell test code]],[1]!Table1[[Test code]:[Test code]],[1]!Table1[Q_int_frac DIW],"",0)</f>
        <v>#REF!</v>
      </c>
      <c r="AH11" s="69" t="e" cm="1">
        <f t="array" ref="AH11">_xlfn.XLOOKUP(Table1[[#This Row],[5 cm2 cell test code]:[5 cm2 cell test code]],[1]!Table1[[Test code]:[Test code]],[1]!Table1[Ionic resistance 10 mM KOH/Ohm cm2],"",0)</f>
        <v>#REF!</v>
      </c>
      <c r="AI11" s="69" t="e" cm="1">
        <f t="array" ref="AI11">_xlfn.XLOOKUP(Table1[[#This Row],[5 cm2 cell test code]:[5 cm2 cell test code]],[1]!Table1[[Test code]:[Test code]],[1]!Table1[Q_int_frac DIW 10 mM KOH],"",0)</f>
        <v>#REF!</v>
      </c>
      <c r="AJ11" s="69" t="e" cm="1">
        <f t="array" ref="AJ11">_xlfn.XLOOKUP(Table1[[#This Row],[5 cm2 cell test code]:[5 cm2 cell test code]],[1]!Table1[[Test code]:[Test code]],[1]!Table1[DIW conductivity (µS/cm)],"",0)</f>
        <v>#REF!</v>
      </c>
      <c r="AQ11" s="5">
        <v>0</v>
      </c>
      <c r="AR11" s="95">
        <f>COUNTIFS(Table1[Anode PN (Stack/cell electrodes)],AQ11,Table1[ƞ at 20mAcm-2 (mV)],"&lt;&gt;")</f>
        <v>0</v>
      </c>
      <c r="AS11" s="95">
        <f>COUNTIFS(Table1[Anode PN (Stack/cell electrodes)],AQ11,Table1[i @ 1.8 V DIW (A/cm2)],"&lt;&gt;")</f>
        <v>0</v>
      </c>
      <c r="AT11" s="95">
        <f>COUNTIFS(Table1[Anode PN (Stack/cell electrodes)],AQ11,Table1[i at 1.8 V 10 mM KOH (A/cm2)],"&lt;&gt;")</f>
        <v>0</v>
      </c>
      <c r="AU11" s="95">
        <f>COUNTIFS(Table1[Anode PN (Stack/cell electrodes)],AQ11,Table1[Ionic resistance DIW/Ohm cm2],"&lt;&gt;")</f>
        <v>0</v>
      </c>
      <c r="AV11" s="95">
        <f>COUNTIFS(Table1[Anode PN (Stack/cell electrodes)],AQ11,Table1[Ionic resistance 10 mM KOH/Ohm cm2],"&lt;&gt;")</f>
        <v>0</v>
      </c>
    </row>
    <row r="12" spans="1:48" s="5" customFormat="1">
      <c r="A12" s="81"/>
      <c r="B12" s="11" t="s">
        <v>81</v>
      </c>
      <c r="C12" s="4" t="s">
        <v>82</v>
      </c>
      <c r="D12" s="4"/>
      <c r="E12" s="4"/>
      <c r="F12" s="4"/>
      <c r="G12" s="4"/>
      <c r="H12" s="4"/>
      <c r="I12" s="11"/>
      <c r="J12" s="11"/>
      <c r="K12" s="43" t="s">
        <v>59</v>
      </c>
      <c r="L12" s="11"/>
      <c r="M12" s="13"/>
      <c r="N12" s="13"/>
      <c r="O12" s="11"/>
      <c r="P12" s="28"/>
      <c r="Q12" s="11"/>
      <c r="R12" s="11"/>
      <c r="S12" s="11"/>
      <c r="T12" s="8"/>
      <c r="U12" s="100"/>
      <c r="V12" s="100"/>
      <c r="W12" s="69" t="e" cm="1">
        <f t="array" ref="W12">_xlfn.XLOOKUP(Table1[[#This Row],[5 cm2 cell test code]:[5 cm2 cell test code]],[1]!Table1[[Test code]:[Test code]],[1]!Table1[i @ 1.8 V DIW (A/cm2)],"",0)</f>
        <v>#REF!</v>
      </c>
      <c r="X12" s="69" t="e" cm="1">
        <f t="array" ref="X12">_xlfn.XLOOKUP(Table1[[#This Row],[5 cm2 cell test code]:[5 cm2 cell test code]],[1]!Table1[[Test code]:[Test code]],[1]!Table1[i @ 1.8 V 10 mM KOH (A/cm2)],"",0)</f>
        <v>#REF!</v>
      </c>
      <c r="Y12" s="69" t="e" cm="1">
        <f t="array" ref="Y12">_xlfn.XLOOKUP(Table1[[#This Row],[5 cm2 cell test code]:[5 cm2 cell test code]],[1]!Table1[[Test code]:[Test code]],[1]!Table1[3-E ƞ at 20mAcm-2 (mV)],"",0)</f>
        <v>#REF!</v>
      </c>
      <c r="Z12" s="69" t="e" cm="1">
        <f t="array" ref="Z12">_xlfn.XLOOKUP(Table1[[#This Row],[5 cm2 cell test code]:[5 cm2 cell test code]],[1]!Table1[[Test code]:[Test code]],[1]!Table1[3-E Tafel slope (mV/dec)],"",0)</f>
        <v>#REF!</v>
      </c>
      <c r="AA12" s="69" t="e" cm="1">
        <f t="array" ref="AA12">_xlfn.XLOOKUP(Table1[[#This Row],[5 cm2 cell test code]:[5 cm2 cell test code]],[1]!Table1[[Test code]:[Test code]],[1]!Table1[E @ 100 mA/cm2 DIW/V],"",0)</f>
        <v>#REF!</v>
      </c>
      <c r="AB12" s="69" t="e" cm="1">
        <f t="array" ref="AB12">_xlfn.XLOOKUP(Table1[[#This Row],[5 cm2 cell test code]:[5 cm2 cell test code]],[1]!Table1[[Test code]:[Test code]],[1]!Table1[E @ 100 mA/cm2 10 mM KOH/V],"",0)</f>
        <v>#REF!</v>
      </c>
      <c r="AC12" s="69" t="e" cm="1">
        <f t="array" ref="AC12">_xlfn.XLOOKUP(Table1[[#This Row],[5 cm2 cell test code]:[5 cm2 cell test code]],[1]!Table1[[Test code]:[Test code]],[1]!Table1[Anode ICR/mOhm],"",0)</f>
        <v>#REF!</v>
      </c>
      <c r="AD12" s="69" t="e" cm="1">
        <f t="array" ref="AD12">_xlfn.XLOOKUP(Table1[[#This Row],[5 cm2 cell test code]:[5 cm2 cell test code]],[1]!Table1[[Test code]:[Test code]],[1]!Table1[HFR DIW/ mOhm cm2],"",0)</f>
        <v>#REF!</v>
      </c>
      <c r="AE12" s="69" t="e" cm="1">
        <f t="array" ref="AE12">_xlfn.XLOOKUP(Table1[[#This Row],[5 cm2 cell test code]:[5 cm2 cell test code]],[1]!Table1[[Test code]:[Test code]],[1]!Table1[HFR 10 mM KOH/ mOhm cm2],"",0)</f>
        <v>#REF!</v>
      </c>
      <c r="AF12" s="69" t="e" cm="1">
        <f t="array" ref="AF12">_xlfn.XLOOKUP(Table1[[#This Row],[5 cm2 cell test code]:[5 cm2 cell test code]],[1]!Table1[[Test code]:[Test code]],[1]!Table1[Ionic resistance DIW/Ohm cm2],"",0)</f>
        <v>#REF!</v>
      </c>
      <c r="AG12" s="69" t="e" cm="1">
        <f t="array" ref="AG12">_xlfn.XLOOKUP(Table1[[#This Row],[5 cm2 cell test code]:[5 cm2 cell test code]],[1]!Table1[[Test code]:[Test code]],[1]!Table1[Q_int_frac DIW],"",0)</f>
        <v>#REF!</v>
      </c>
      <c r="AH12" s="69" t="e" cm="1">
        <f t="array" ref="AH12">_xlfn.XLOOKUP(Table1[[#This Row],[5 cm2 cell test code]:[5 cm2 cell test code]],[1]!Table1[[Test code]:[Test code]],[1]!Table1[Ionic resistance 10 mM KOH/Ohm cm2],"",0)</f>
        <v>#REF!</v>
      </c>
      <c r="AI12" s="69" t="e" cm="1">
        <f t="array" ref="AI12">_xlfn.XLOOKUP(Table1[[#This Row],[5 cm2 cell test code]:[5 cm2 cell test code]],[1]!Table1[[Test code]:[Test code]],[1]!Table1[Q_int_frac DIW 10 mM KOH],"",0)</f>
        <v>#REF!</v>
      </c>
      <c r="AJ12" s="69" t="e" cm="1">
        <f t="array" ref="AJ12">_xlfn.XLOOKUP(Table1[[#This Row],[5 cm2 cell test code]:[5 cm2 cell test code]],[1]!Table1[[Test code]:[Test code]],[1]!Table1[DIW conductivity (µS/cm)],"",0)</f>
        <v>#REF!</v>
      </c>
      <c r="AQ12" s="5" t="str">
        <v>VSG01A-23047C1.01</v>
      </c>
      <c r="AR12" s="95">
        <f>COUNTIFS(Table1[Anode PN (Stack/cell electrodes)],AQ12,Table1[ƞ at 20mAcm-2 (mV)],"&lt;&gt;")</f>
        <v>0</v>
      </c>
      <c r="AS12" s="95">
        <f>COUNTIFS(Table1[Anode PN (Stack/cell electrodes)],AQ12,Table1[i @ 1.8 V DIW (A/cm2)],"&lt;&gt;")</f>
        <v>1</v>
      </c>
      <c r="AT12" s="95">
        <f>COUNTIFS(Table1[Anode PN (Stack/cell electrodes)],AQ12,Table1[i at 1.8 V 10 mM KOH (A/cm2)],"&lt;&gt;")</f>
        <v>1</v>
      </c>
      <c r="AU12" s="95">
        <f>COUNTIFS(Table1[Anode PN (Stack/cell electrodes)],AQ12,Table1[Ionic resistance DIW/Ohm cm2],"&lt;&gt;")</f>
        <v>1</v>
      </c>
      <c r="AV12" s="95">
        <f>COUNTIFS(Table1[Anode PN (Stack/cell electrodes)],AQ12,Table1[Ionic resistance 10 mM KOH/Ohm cm2],"&lt;&gt;")</f>
        <v>1</v>
      </c>
    </row>
    <row r="13" spans="1:48" s="5" customFormat="1">
      <c r="A13" s="82"/>
      <c r="B13" s="12"/>
      <c r="I13" s="12"/>
      <c r="J13" s="12"/>
      <c r="K13" s="43" t="s">
        <v>59</v>
      </c>
      <c r="L13" s="12"/>
      <c r="M13" s="24"/>
      <c r="N13" s="24"/>
      <c r="O13" s="12"/>
      <c r="P13" s="136"/>
      <c r="Q13" s="12"/>
      <c r="R13" s="12"/>
      <c r="S13" s="12"/>
      <c r="T13" s="10"/>
      <c r="U13" s="100"/>
      <c r="V13" s="100"/>
      <c r="W13" s="69" t="e" cm="1">
        <f t="array" ref="W13">_xlfn.XLOOKUP(Table1[[#This Row],[5 cm2 cell test code]:[5 cm2 cell test code]],[1]!Table1[[Test code]:[Test code]],[1]!Table1[i @ 1.8 V DIW (A/cm2)],"",0)</f>
        <v>#REF!</v>
      </c>
      <c r="X13" s="69" t="e" cm="1">
        <f t="array" ref="X13">_xlfn.XLOOKUP(Table1[[#This Row],[5 cm2 cell test code]:[5 cm2 cell test code]],[1]!Table1[[Test code]:[Test code]],[1]!Table1[i @ 1.8 V 10 mM KOH (A/cm2)],"",0)</f>
        <v>#REF!</v>
      </c>
      <c r="Y13" s="69" t="e" cm="1">
        <f t="array" ref="Y13">_xlfn.XLOOKUP(Table1[[#This Row],[5 cm2 cell test code]:[5 cm2 cell test code]],[1]!Table1[[Test code]:[Test code]],[1]!Table1[3-E ƞ at 20mAcm-2 (mV)],"",0)</f>
        <v>#REF!</v>
      </c>
      <c r="Z13" s="69" t="e" cm="1">
        <f t="array" ref="Z13">_xlfn.XLOOKUP(Table1[[#This Row],[5 cm2 cell test code]:[5 cm2 cell test code]],[1]!Table1[[Test code]:[Test code]],[1]!Table1[3-E Tafel slope (mV/dec)],"",0)</f>
        <v>#REF!</v>
      </c>
      <c r="AA13" s="69" t="e" cm="1">
        <f t="array" ref="AA13">_xlfn.XLOOKUP(Table1[[#This Row],[5 cm2 cell test code]:[5 cm2 cell test code]],[1]!Table1[[Test code]:[Test code]],[1]!Table1[E @ 100 mA/cm2 DIW/V],"",0)</f>
        <v>#REF!</v>
      </c>
      <c r="AB13" s="69" t="e" cm="1">
        <f t="array" ref="AB13">_xlfn.XLOOKUP(Table1[[#This Row],[5 cm2 cell test code]:[5 cm2 cell test code]],[1]!Table1[[Test code]:[Test code]],[1]!Table1[E @ 100 mA/cm2 10 mM KOH/V],"",0)</f>
        <v>#REF!</v>
      </c>
      <c r="AC13" s="69" t="e" cm="1">
        <f t="array" ref="AC13">_xlfn.XLOOKUP(Table1[[#This Row],[5 cm2 cell test code]:[5 cm2 cell test code]],[1]!Table1[[Test code]:[Test code]],[1]!Table1[Anode ICR/mOhm],"",0)</f>
        <v>#REF!</v>
      </c>
      <c r="AD13" s="69" t="e" cm="1">
        <f t="array" ref="AD13">_xlfn.XLOOKUP(Table1[[#This Row],[5 cm2 cell test code]:[5 cm2 cell test code]],[1]!Table1[[Test code]:[Test code]],[1]!Table1[HFR DIW/ mOhm cm2],"",0)</f>
        <v>#REF!</v>
      </c>
      <c r="AE13" s="69" t="e" cm="1">
        <f t="array" ref="AE13">_xlfn.XLOOKUP(Table1[[#This Row],[5 cm2 cell test code]:[5 cm2 cell test code]],[1]!Table1[[Test code]:[Test code]],[1]!Table1[HFR 10 mM KOH/ mOhm cm2],"",0)</f>
        <v>#REF!</v>
      </c>
      <c r="AF13" s="69" t="e" cm="1">
        <f t="array" ref="AF13">_xlfn.XLOOKUP(Table1[[#This Row],[5 cm2 cell test code]:[5 cm2 cell test code]],[1]!Table1[[Test code]:[Test code]],[1]!Table1[Ionic resistance DIW/Ohm cm2],"",0)</f>
        <v>#REF!</v>
      </c>
      <c r="AG13" s="69" t="e" cm="1">
        <f t="array" ref="AG13">_xlfn.XLOOKUP(Table1[[#This Row],[5 cm2 cell test code]:[5 cm2 cell test code]],[1]!Table1[[Test code]:[Test code]],[1]!Table1[Q_int_frac DIW],"",0)</f>
        <v>#REF!</v>
      </c>
      <c r="AH13" s="69" t="e" cm="1">
        <f t="array" ref="AH13">_xlfn.XLOOKUP(Table1[[#This Row],[5 cm2 cell test code]:[5 cm2 cell test code]],[1]!Table1[[Test code]:[Test code]],[1]!Table1[Ionic resistance 10 mM KOH/Ohm cm2],"",0)</f>
        <v>#REF!</v>
      </c>
      <c r="AI13" s="69" t="e" cm="1">
        <f t="array" ref="AI13">_xlfn.XLOOKUP(Table1[[#This Row],[5 cm2 cell test code]:[5 cm2 cell test code]],[1]!Table1[[Test code]:[Test code]],[1]!Table1[Q_int_frac DIW 10 mM KOH],"",0)</f>
        <v>#REF!</v>
      </c>
      <c r="AJ13" s="69" t="e" cm="1">
        <f t="array" ref="AJ13">_xlfn.XLOOKUP(Table1[[#This Row],[5 cm2 cell test code]:[5 cm2 cell test code]],[1]!Table1[[Test code]:[Test code]],[1]!Table1[DIW conductivity (µS/cm)],"",0)</f>
        <v>#REF!</v>
      </c>
      <c r="AQ13" s="5" t="str">
        <v>VSG01A-23047C1.02</v>
      </c>
      <c r="AR13" s="95">
        <f>COUNTIFS(Table1[Anode PN (Stack/cell electrodes)],AQ13,Table1[ƞ at 20mAcm-2 (mV)],"&lt;&gt;")</f>
        <v>0</v>
      </c>
      <c r="AS13" s="95">
        <f>COUNTIFS(Table1[Anode PN (Stack/cell electrodes)],AQ13,Table1[i @ 1.8 V DIW (A/cm2)],"&lt;&gt;")</f>
        <v>1</v>
      </c>
      <c r="AT13" s="95">
        <f>COUNTIFS(Table1[Anode PN (Stack/cell electrodes)],AQ13,Table1[i at 1.8 V 10 mM KOH (A/cm2)],"&lt;&gt;")</f>
        <v>1</v>
      </c>
      <c r="AU13" s="95">
        <f>COUNTIFS(Table1[Anode PN (Stack/cell electrodes)],AQ13,Table1[Ionic resistance DIW/Ohm cm2],"&lt;&gt;")</f>
        <v>1</v>
      </c>
      <c r="AV13" s="95">
        <f>COUNTIFS(Table1[Anode PN (Stack/cell electrodes)],AQ13,Table1[Ionic resistance 10 mM KOH/Ohm cm2],"&lt;&gt;")</f>
        <v>1</v>
      </c>
    </row>
    <row r="14" spans="1:48">
      <c r="A14" s="81"/>
      <c r="B14" s="11" t="s">
        <v>83</v>
      </c>
      <c r="C14" s="4" t="s">
        <v>84</v>
      </c>
      <c r="I14" s="11" t="s">
        <v>85</v>
      </c>
      <c r="J14" s="11" t="s">
        <v>58</v>
      </c>
      <c r="K14" s="43" t="s">
        <v>59</v>
      </c>
      <c r="P14" s="28">
        <v>1.1040000000000001</v>
      </c>
      <c r="Q14" s="11">
        <v>0.2238</v>
      </c>
      <c r="R14" s="11"/>
      <c r="S14" s="11"/>
      <c r="T14" s="8"/>
      <c r="U14" s="100"/>
      <c r="V14" s="100"/>
      <c r="W14" s="69" t="e" cm="1">
        <f t="array" ref="W14">_xlfn.XLOOKUP(Table1[[#This Row],[5 cm2 cell test code]:[5 cm2 cell test code]],[1]!Table1[[Test code]:[Test code]],[1]!Table1[i @ 1.8 V DIW (A/cm2)],"",0)</f>
        <v>#REF!</v>
      </c>
      <c r="X14" s="69" t="e" cm="1">
        <f t="array" ref="X14">_xlfn.XLOOKUP(Table1[[#This Row],[5 cm2 cell test code]:[5 cm2 cell test code]],[1]!Table1[[Test code]:[Test code]],[1]!Table1[i @ 1.8 V 10 mM KOH (A/cm2)],"",0)</f>
        <v>#REF!</v>
      </c>
      <c r="Y14" s="69" t="e" cm="1">
        <f t="array" ref="Y14">_xlfn.XLOOKUP(Table1[[#This Row],[5 cm2 cell test code]:[5 cm2 cell test code]],[1]!Table1[[Test code]:[Test code]],[1]!Table1[3-E ƞ at 20mAcm-2 (mV)],"",0)</f>
        <v>#REF!</v>
      </c>
      <c r="Z14" s="69" t="e" cm="1">
        <f t="array" ref="Z14">_xlfn.XLOOKUP(Table1[[#This Row],[5 cm2 cell test code]:[5 cm2 cell test code]],[1]!Table1[[Test code]:[Test code]],[1]!Table1[3-E Tafel slope (mV/dec)],"",0)</f>
        <v>#REF!</v>
      </c>
      <c r="AA14" s="69" t="e" cm="1">
        <f t="array" ref="AA14">_xlfn.XLOOKUP(Table1[[#This Row],[5 cm2 cell test code]:[5 cm2 cell test code]],[1]!Table1[[Test code]:[Test code]],[1]!Table1[E @ 100 mA/cm2 DIW/V],"",0)</f>
        <v>#REF!</v>
      </c>
      <c r="AB14" s="69" t="e" cm="1">
        <f t="array" ref="AB14">_xlfn.XLOOKUP(Table1[[#This Row],[5 cm2 cell test code]:[5 cm2 cell test code]],[1]!Table1[[Test code]:[Test code]],[1]!Table1[E @ 100 mA/cm2 10 mM KOH/V],"",0)</f>
        <v>#REF!</v>
      </c>
      <c r="AC14" s="69" t="e" cm="1">
        <f t="array" ref="AC14">_xlfn.XLOOKUP(Table1[[#This Row],[5 cm2 cell test code]:[5 cm2 cell test code]],[1]!Table1[[Test code]:[Test code]],[1]!Table1[Anode ICR/mOhm],"",0)</f>
        <v>#REF!</v>
      </c>
      <c r="AD14" s="69" t="e" cm="1">
        <f t="array" ref="AD14">_xlfn.XLOOKUP(Table1[[#This Row],[5 cm2 cell test code]:[5 cm2 cell test code]],[1]!Table1[[Test code]:[Test code]],[1]!Table1[HFR DIW/ mOhm cm2],"",0)</f>
        <v>#REF!</v>
      </c>
      <c r="AE14" s="69" t="e" cm="1">
        <f t="array" ref="AE14">_xlfn.XLOOKUP(Table1[[#This Row],[5 cm2 cell test code]:[5 cm2 cell test code]],[1]!Table1[[Test code]:[Test code]],[1]!Table1[HFR 10 mM KOH/ mOhm cm2],"",0)</f>
        <v>#REF!</v>
      </c>
      <c r="AF14" s="69" t="e" cm="1">
        <f t="array" ref="AF14">_xlfn.XLOOKUP(Table1[[#This Row],[5 cm2 cell test code]:[5 cm2 cell test code]],[1]!Table1[[Test code]:[Test code]],[1]!Table1[Ionic resistance DIW/Ohm cm2],"",0)</f>
        <v>#REF!</v>
      </c>
      <c r="AG14" s="69" t="e" cm="1">
        <f t="array" ref="AG14">_xlfn.XLOOKUP(Table1[[#This Row],[5 cm2 cell test code]:[5 cm2 cell test code]],[1]!Table1[[Test code]:[Test code]],[1]!Table1[Q_int_frac DIW],"",0)</f>
        <v>#REF!</v>
      </c>
      <c r="AH14" s="69" t="e" cm="1">
        <f t="array" ref="AH14">_xlfn.XLOOKUP(Table1[[#This Row],[5 cm2 cell test code]:[5 cm2 cell test code]],[1]!Table1[[Test code]:[Test code]],[1]!Table1[Ionic resistance 10 mM KOH/Ohm cm2],"",0)</f>
        <v>#REF!</v>
      </c>
      <c r="AI14" s="69" t="e" cm="1">
        <f t="array" ref="AI14">_xlfn.XLOOKUP(Table1[[#This Row],[5 cm2 cell test code]:[5 cm2 cell test code]],[1]!Table1[[Test code]:[Test code]],[1]!Table1[Q_int_frac DIW 10 mM KOH],"",0)</f>
        <v>#REF!</v>
      </c>
      <c r="AJ14" s="69" t="e" cm="1">
        <f t="array" ref="AJ14">_xlfn.XLOOKUP(Table1[[#This Row],[5 cm2 cell test code]:[5 cm2 cell test code]],[1]!Table1[[Test code]:[Test code]],[1]!Table1[DIW conductivity (µS/cm)],"",0)</f>
        <v>#REF!</v>
      </c>
      <c r="AQ14" s="4" t="str">
        <v>VSG01A-23054C1.01</v>
      </c>
      <c r="AR14" s="95">
        <f>COUNTIFS(Table1[Anode PN (Stack/cell electrodes)],AQ14,Table1[ƞ at 20mAcm-2 (mV)],"&lt;&gt;")</f>
        <v>0</v>
      </c>
      <c r="AS14" s="95">
        <f>COUNTIFS(Table1[Anode PN (Stack/cell electrodes)],AQ14,Table1[i @ 1.8 V DIW (A/cm2)],"&lt;&gt;")</f>
        <v>1</v>
      </c>
      <c r="AT14" s="95">
        <f>COUNTIFS(Table1[Anode PN (Stack/cell electrodes)],AQ14,Table1[i at 1.8 V 10 mM KOH (A/cm2)],"&lt;&gt;")</f>
        <v>1</v>
      </c>
      <c r="AU14" s="95">
        <f>COUNTIFS(Table1[Anode PN (Stack/cell electrodes)],AQ14,Table1[Ionic resistance DIW/Ohm cm2],"&lt;&gt;")</f>
        <v>1</v>
      </c>
      <c r="AV14" s="95">
        <f>COUNTIFS(Table1[Anode PN (Stack/cell electrodes)],AQ14,Table1[Ionic resistance 10 mM KOH/Ohm cm2],"&lt;&gt;")</f>
        <v>1</v>
      </c>
    </row>
    <row r="15" spans="1:48">
      <c r="A15" s="81"/>
      <c r="B15" s="11" t="s">
        <v>86</v>
      </c>
      <c r="C15" s="4" t="s">
        <v>87</v>
      </c>
      <c r="I15" s="11" t="s">
        <v>88</v>
      </c>
      <c r="J15" s="11" t="s">
        <v>58</v>
      </c>
      <c r="K15" s="43" t="s">
        <v>59</v>
      </c>
      <c r="P15" s="28">
        <v>1.1200000000000001</v>
      </c>
      <c r="Q15" s="11"/>
      <c r="R15" s="11"/>
      <c r="S15" s="11"/>
      <c r="T15" s="8"/>
      <c r="U15" s="100"/>
      <c r="V15" s="100"/>
      <c r="W15" s="69" t="e" cm="1">
        <f t="array" ref="W15">_xlfn.XLOOKUP(Table1[[#This Row],[5 cm2 cell test code]:[5 cm2 cell test code]],[1]!Table1[[Test code]:[Test code]],[1]!Table1[i @ 1.8 V DIW (A/cm2)],"",0)</f>
        <v>#REF!</v>
      </c>
      <c r="X15" s="69" t="e" cm="1">
        <f t="array" ref="X15">_xlfn.XLOOKUP(Table1[[#This Row],[5 cm2 cell test code]:[5 cm2 cell test code]],[1]!Table1[[Test code]:[Test code]],[1]!Table1[i @ 1.8 V 10 mM KOH (A/cm2)],"",0)</f>
        <v>#REF!</v>
      </c>
      <c r="Y15" s="69" t="e" cm="1">
        <f t="array" ref="Y15">_xlfn.XLOOKUP(Table1[[#This Row],[5 cm2 cell test code]:[5 cm2 cell test code]],[1]!Table1[[Test code]:[Test code]],[1]!Table1[3-E ƞ at 20mAcm-2 (mV)],"",0)</f>
        <v>#REF!</v>
      </c>
      <c r="Z15" s="69" t="e" cm="1">
        <f t="array" ref="Z15">_xlfn.XLOOKUP(Table1[[#This Row],[5 cm2 cell test code]:[5 cm2 cell test code]],[1]!Table1[[Test code]:[Test code]],[1]!Table1[3-E Tafel slope (mV/dec)],"",0)</f>
        <v>#REF!</v>
      </c>
      <c r="AA15" s="69" t="e" cm="1">
        <f t="array" ref="AA15">_xlfn.XLOOKUP(Table1[[#This Row],[5 cm2 cell test code]:[5 cm2 cell test code]],[1]!Table1[[Test code]:[Test code]],[1]!Table1[E @ 100 mA/cm2 DIW/V],"",0)</f>
        <v>#REF!</v>
      </c>
      <c r="AB15" s="69" t="e" cm="1">
        <f t="array" ref="AB15">_xlfn.XLOOKUP(Table1[[#This Row],[5 cm2 cell test code]:[5 cm2 cell test code]],[1]!Table1[[Test code]:[Test code]],[1]!Table1[E @ 100 mA/cm2 10 mM KOH/V],"",0)</f>
        <v>#REF!</v>
      </c>
      <c r="AC15" s="69" t="e" cm="1">
        <f t="array" ref="AC15">_xlfn.XLOOKUP(Table1[[#This Row],[5 cm2 cell test code]:[5 cm2 cell test code]],[1]!Table1[[Test code]:[Test code]],[1]!Table1[Anode ICR/mOhm],"",0)</f>
        <v>#REF!</v>
      </c>
      <c r="AD15" s="69" t="e" cm="1">
        <f t="array" ref="AD15">_xlfn.XLOOKUP(Table1[[#This Row],[5 cm2 cell test code]:[5 cm2 cell test code]],[1]!Table1[[Test code]:[Test code]],[1]!Table1[HFR DIW/ mOhm cm2],"",0)</f>
        <v>#REF!</v>
      </c>
      <c r="AE15" s="69" t="e" cm="1">
        <f t="array" ref="AE15">_xlfn.XLOOKUP(Table1[[#This Row],[5 cm2 cell test code]:[5 cm2 cell test code]],[1]!Table1[[Test code]:[Test code]],[1]!Table1[HFR 10 mM KOH/ mOhm cm2],"",0)</f>
        <v>#REF!</v>
      </c>
      <c r="AF15" s="69" t="e" cm="1">
        <f t="array" ref="AF15">_xlfn.XLOOKUP(Table1[[#This Row],[5 cm2 cell test code]:[5 cm2 cell test code]],[1]!Table1[[Test code]:[Test code]],[1]!Table1[Ionic resistance DIW/Ohm cm2],"",0)</f>
        <v>#REF!</v>
      </c>
      <c r="AG15" s="69" t="e" cm="1">
        <f t="array" ref="AG15">_xlfn.XLOOKUP(Table1[[#This Row],[5 cm2 cell test code]:[5 cm2 cell test code]],[1]!Table1[[Test code]:[Test code]],[1]!Table1[Q_int_frac DIW],"",0)</f>
        <v>#REF!</v>
      </c>
      <c r="AH15" s="69" t="e" cm="1">
        <f t="array" ref="AH15">_xlfn.XLOOKUP(Table1[[#This Row],[5 cm2 cell test code]:[5 cm2 cell test code]],[1]!Table1[[Test code]:[Test code]],[1]!Table1[Ionic resistance 10 mM KOH/Ohm cm2],"",0)</f>
        <v>#REF!</v>
      </c>
      <c r="AI15" s="69" t="e" cm="1">
        <f t="array" ref="AI15">_xlfn.XLOOKUP(Table1[[#This Row],[5 cm2 cell test code]:[5 cm2 cell test code]],[1]!Table1[[Test code]:[Test code]],[1]!Table1[Q_int_frac DIW 10 mM KOH],"",0)</f>
        <v>#REF!</v>
      </c>
      <c r="AJ15" s="69" t="e" cm="1">
        <f t="array" ref="AJ15">_xlfn.XLOOKUP(Table1[[#This Row],[5 cm2 cell test code]:[5 cm2 cell test code]],[1]!Table1[[Test code]:[Test code]],[1]!Table1[DIW conductivity (µS/cm)],"",0)</f>
        <v>#REF!</v>
      </c>
      <c r="AQ15" s="4" t="str">
        <v>VSG01A-23054C1.02</v>
      </c>
      <c r="AR15" s="95">
        <f>COUNTIFS(Table1[Anode PN (Stack/cell electrodes)],AQ15,Table1[ƞ at 20mAcm-2 (mV)],"&lt;&gt;")</f>
        <v>0</v>
      </c>
      <c r="AS15" s="95">
        <f>COUNTIFS(Table1[Anode PN (Stack/cell electrodes)],AQ15,Table1[i @ 1.8 V DIW (A/cm2)],"&lt;&gt;")</f>
        <v>1</v>
      </c>
      <c r="AT15" s="95">
        <f>COUNTIFS(Table1[Anode PN (Stack/cell electrodes)],AQ15,Table1[i at 1.8 V 10 mM KOH (A/cm2)],"&lt;&gt;")</f>
        <v>1</v>
      </c>
      <c r="AU15" s="95">
        <f>COUNTIFS(Table1[Anode PN (Stack/cell electrodes)],AQ15,Table1[Ionic resistance DIW/Ohm cm2],"&lt;&gt;")</f>
        <v>1</v>
      </c>
      <c r="AV15" s="95">
        <f>COUNTIFS(Table1[Anode PN (Stack/cell electrodes)],AQ15,Table1[Ionic resistance 10 mM KOH/Ohm cm2],"&lt;&gt;")</f>
        <v>1</v>
      </c>
    </row>
    <row r="16" spans="1:48">
      <c r="A16" s="81"/>
      <c r="B16" s="11" t="s">
        <v>89</v>
      </c>
      <c r="C16" s="4" t="s">
        <v>90</v>
      </c>
      <c r="J16" s="11" t="s">
        <v>58</v>
      </c>
      <c r="K16" s="43" t="s">
        <v>59</v>
      </c>
      <c r="P16" s="28" t="e">
        <f>NA()</f>
        <v>#N/A</v>
      </c>
      <c r="Q16" s="11"/>
      <c r="R16" s="11"/>
      <c r="S16" s="11"/>
      <c r="T16" s="8"/>
      <c r="U16" s="100"/>
      <c r="V16" s="100"/>
      <c r="W16" s="69" t="e" cm="1">
        <f t="array" ref="W16">_xlfn.XLOOKUP(Table1[[#This Row],[5 cm2 cell test code]:[5 cm2 cell test code]],[1]!Table1[[Test code]:[Test code]],[1]!Table1[i @ 1.8 V DIW (A/cm2)],"",0)</f>
        <v>#REF!</v>
      </c>
      <c r="X16" s="69" t="e" cm="1">
        <f t="array" ref="X16">_xlfn.XLOOKUP(Table1[[#This Row],[5 cm2 cell test code]:[5 cm2 cell test code]],[1]!Table1[[Test code]:[Test code]],[1]!Table1[i @ 1.8 V 10 mM KOH (A/cm2)],"",0)</f>
        <v>#REF!</v>
      </c>
      <c r="Y16" s="69" t="e" cm="1">
        <f t="array" ref="Y16">_xlfn.XLOOKUP(Table1[[#This Row],[5 cm2 cell test code]:[5 cm2 cell test code]],[1]!Table1[[Test code]:[Test code]],[1]!Table1[3-E ƞ at 20mAcm-2 (mV)],"",0)</f>
        <v>#REF!</v>
      </c>
      <c r="Z16" s="69" t="e" cm="1">
        <f t="array" ref="Z16">_xlfn.XLOOKUP(Table1[[#This Row],[5 cm2 cell test code]:[5 cm2 cell test code]],[1]!Table1[[Test code]:[Test code]],[1]!Table1[3-E Tafel slope (mV/dec)],"",0)</f>
        <v>#REF!</v>
      </c>
      <c r="AA16" s="69" t="e" cm="1">
        <f t="array" ref="AA16">_xlfn.XLOOKUP(Table1[[#This Row],[5 cm2 cell test code]:[5 cm2 cell test code]],[1]!Table1[[Test code]:[Test code]],[1]!Table1[E @ 100 mA/cm2 DIW/V],"",0)</f>
        <v>#REF!</v>
      </c>
      <c r="AB16" s="69" t="e" cm="1">
        <f t="array" ref="AB16">_xlfn.XLOOKUP(Table1[[#This Row],[5 cm2 cell test code]:[5 cm2 cell test code]],[1]!Table1[[Test code]:[Test code]],[1]!Table1[E @ 100 mA/cm2 10 mM KOH/V],"",0)</f>
        <v>#REF!</v>
      </c>
      <c r="AC16" s="69" t="e" cm="1">
        <f t="array" ref="AC16">_xlfn.XLOOKUP(Table1[[#This Row],[5 cm2 cell test code]:[5 cm2 cell test code]],[1]!Table1[[Test code]:[Test code]],[1]!Table1[Anode ICR/mOhm],"",0)</f>
        <v>#REF!</v>
      </c>
      <c r="AD16" s="69" t="e" cm="1">
        <f t="array" ref="AD16">_xlfn.XLOOKUP(Table1[[#This Row],[5 cm2 cell test code]:[5 cm2 cell test code]],[1]!Table1[[Test code]:[Test code]],[1]!Table1[HFR DIW/ mOhm cm2],"",0)</f>
        <v>#REF!</v>
      </c>
      <c r="AE16" s="69" t="e" cm="1">
        <f t="array" ref="AE16">_xlfn.XLOOKUP(Table1[[#This Row],[5 cm2 cell test code]:[5 cm2 cell test code]],[1]!Table1[[Test code]:[Test code]],[1]!Table1[HFR 10 mM KOH/ mOhm cm2],"",0)</f>
        <v>#REF!</v>
      </c>
      <c r="AF16" s="69" t="e" cm="1">
        <f t="array" ref="AF16">_xlfn.XLOOKUP(Table1[[#This Row],[5 cm2 cell test code]:[5 cm2 cell test code]],[1]!Table1[[Test code]:[Test code]],[1]!Table1[Ionic resistance DIW/Ohm cm2],"",0)</f>
        <v>#REF!</v>
      </c>
      <c r="AG16" s="69" t="e" cm="1">
        <f t="array" ref="AG16">_xlfn.XLOOKUP(Table1[[#This Row],[5 cm2 cell test code]:[5 cm2 cell test code]],[1]!Table1[[Test code]:[Test code]],[1]!Table1[Q_int_frac DIW],"",0)</f>
        <v>#REF!</v>
      </c>
      <c r="AH16" s="69" t="e" cm="1">
        <f t="array" ref="AH16">_xlfn.XLOOKUP(Table1[[#This Row],[5 cm2 cell test code]:[5 cm2 cell test code]],[1]!Table1[[Test code]:[Test code]],[1]!Table1[Ionic resistance 10 mM KOH/Ohm cm2],"",0)</f>
        <v>#REF!</v>
      </c>
      <c r="AI16" s="69" t="e" cm="1">
        <f t="array" ref="AI16">_xlfn.XLOOKUP(Table1[[#This Row],[5 cm2 cell test code]:[5 cm2 cell test code]],[1]!Table1[[Test code]:[Test code]],[1]!Table1[Q_int_frac DIW 10 mM KOH],"",0)</f>
        <v>#REF!</v>
      </c>
      <c r="AJ16" s="69" t="e" cm="1">
        <f t="array" ref="AJ16">_xlfn.XLOOKUP(Table1[[#This Row],[5 cm2 cell test code]:[5 cm2 cell test code]],[1]!Table1[[Test code]:[Test code]],[1]!Table1[DIW conductivity (µS/cm)],"",0)</f>
        <v>#REF!</v>
      </c>
      <c r="AQ16" s="4" t="str">
        <v>VSG01A-23054C1.03</v>
      </c>
      <c r="AR16" s="95">
        <f>COUNTIFS(Table1[Anode PN (Stack/cell electrodes)],AQ16,Table1[ƞ at 20mAcm-2 (mV)],"&lt;&gt;")</f>
        <v>0</v>
      </c>
      <c r="AS16" s="95">
        <f>COUNTIFS(Table1[Anode PN (Stack/cell electrodes)],AQ16,Table1[i @ 1.8 V DIW (A/cm2)],"&lt;&gt;")</f>
        <v>1</v>
      </c>
      <c r="AT16" s="95">
        <f>COUNTIFS(Table1[Anode PN (Stack/cell electrodes)],AQ16,Table1[i at 1.8 V 10 mM KOH (A/cm2)],"&lt;&gt;")</f>
        <v>1</v>
      </c>
      <c r="AU16" s="95">
        <f>COUNTIFS(Table1[Anode PN (Stack/cell electrodes)],AQ16,Table1[Ionic resistance DIW/Ohm cm2],"&lt;&gt;")</f>
        <v>1</v>
      </c>
      <c r="AV16" s="95">
        <f>COUNTIFS(Table1[Anode PN (Stack/cell electrodes)],AQ16,Table1[Ionic resistance 10 mM KOH/Ohm cm2],"&lt;&gt;")</f>
        <v>1</v>
      </c>
    </row>
    <row r="17" spans="1:48">
      <c r="A17" s="81"/>
      <c r="K17" s="43" t="s">
        <v>59</v>
      </c>
      <c r="Q17" s="11"/>
      <c r="R17" s="11"/>
      <c r="S17" s="11"/>
      <c r="T17" s="8"/>
      <c r="U17" s="100"/>
      <c r="V17" s="100"/>
      <c r="W17" s="69" t="e" cm="1">
        <f t="array" ref="W17">_xlfn.XLOOKUP(Table1[[#This Row],[5 cm2 cell test code]:[5 cm2 cell test code]],[1]!Table1[[Test code]:[Test code]],[1]!Table1[i @ 1.8 V DIW (A/cm2)],"",0)</f>
        <v>#REF!</v>
      </c>
      <c r="X17" s="69" t="e" cm="1">
        <f t="array" ref="X17">_xlfn.XLOOKUP(Table1[[#This Row],[5 cm2 cell test code]:[5 cm2 cell test code]],[1]!Table1[[Test code]:[Test code]],[1]!Table1[i @ 1.8 V 10 mM KOH (A/cm2)],"",0)</f>
        <v>#REF!</v>
      </c>
      <c r="Y17" s="69" t="e" cm="1">
        <f t="array" ref="Y17">_xlfn.XLOOKUP(Table1[[#This Row],[5 cm2 cell test code]:[5 cm2 cell test code]],[1]!Table1[[Test code]:[Test code]],[1]!Table1[3-E ƞ at 20mAcm-2 (mV)],"",0)</f>
        <v>#REF!</v>
      </c>
      <c r="Z17" s="69" t="e" cm="1">
        <f t="array" ref="Z17">_xlfn.XLOOKUP(Table1[[#This Row],[5 cm2 cell test code]:[5 cm2 cell test code]],[1]!Table1[[Test code]:[Test code]],[1]!Table1[3-E Tafel slope (mV/dec)],"",0)</f>
        <v>#REF!</v>
      </c>
      <c r="AA17" s="69" t="e" cm="1">
        <f t="array" ref="AA17">_xlfn.XLOOKUP(Table1[[#This Row],[5 cm2 cell test code]:[5 cm2 cell test code]],[1]!Table1[[Test code]:[Test code]],[1]!Table1[E @ 100 mA/cm2 DIW/V],"",0)</f>
        <v>#REF!</v>
      </c>
      <c r="AB17" s="69" t="e" cm="1">
        <f t="array" ref="AB17">_xlfn.XLOOKUP(Table1[[#This Row],[5 cm2 cell test code]:[5 cm2 cell test code]],[1]!Table1[[Test code]:[Test code]],[1]!Table1[E @ 100 mA/cm2 10 mM KOH/V],"",0)</f>
        <v>#REF!</v>
      </c>
      <c r="AC17" s="69" t="e" cm="1">
        <f t="array" ref="AC17">_xlfn.XLOOKUP(Table1[[#This Row],[5 cm2 cell test code]:[5 cm2 cell test code]],[1]!Table1[[Test code]:[Test code]],[1]!Table1[Anode ICR/mOhm],"",0)</f>
        <v>#REF!</v>
      </c>
      <c r="AD17" s="69" t="e" cm="1">
        <f t="array" ref="AD17">_xlfn.XLOOKUP(Table1[[#This Row],[5 cm2 cell test code]:[5 cm2 cell test code]],[1]!Table1[[Test code]:[Test code]],[1]!Table1[HFR DIW/ mOhm cm2],"",0)</f>
        <v>#REF!</v>
      </c>
      <c r="AE17" s="69" t="e" cm="1">
        <f t="array" ref="AE17">_xlfn.XLOOKUP(Table1[[#This Row],[5 cm2 cell test code]:[5 cm2 cell test code]],[1]!Table1[[Test code]:[Test code]],[1]!Table1[HFR 10 mM KOH/ mOhm cm2],"",0)</f>
        <v>#REF!</v>
      </c>
      <c r="AF17" s="69" t="e" cm="1">
        <f t="array" ref="AF17">_xlfn.XLOOKUP(Table1[[#This Row],[5 cm2 cell test code]:[5 cm2 cell test code]],[1]!Table1[[Test code]:[Test code]],[1]!Table1[Ionic resistance DIW/Ohm cm2],"",0)</f>
        <v>#REF!</v>
      </c>
      <c r="AG17" s="69" t="e" cm="1">
        <f t="array" ref="AG17">_xlfn.XLOOKUP(Table1[[#This Row],[5 cm2 cell test code]:[5 cm2 cell test code]],[1]!Table1[[Test code]:[Test code]],[1]!Table1[Q_int_frac DIW],"",0)</f>
        <v>#REF!</v>
      </c>
      <c r="AH17" s="69" t="e" cm="1">
        <f t="array" ref="AH17">_xlfn.XLOOKUP(Table1[[#This Row],[5 cm2 cell test code]:[5 cm2 cell test code]],[1]!Table1[[Test code]:[Test code]],[1]!Table1[Ionic resistance 10 mM KOH/Ohm cm2],"",0)</f>
        <v>#REF!</v>
      </c>
      <c r="AI17" s="69" t="e" cm="1">
        <f t="array" ref="AI17">_xlfn.XLOOKUP(Table1[[#This Row],[5 cm2 cell test code]:[5 cm2 cell test code]],[1]!Table1[[Test code]:[Test code]],[1]!Table1[Q_int_frac DIW 10 mM KOH],"",0)</f>
        <v>#REF!</v>
      </c>
      <c r="AJ17" s="69" t="e" cm="1">
        <f t="array" ref="AJ17">_xlfn.XLOOKUP(Table1[[#This Row],[5 cm2 cell test code]:[5 cm2 cell test code]],[1]!Table1[[Test code]:[Test code]],[1]!Table1[DIW conductivity (µS/cm)],"",0)</f>
        <v>#REF!</v>
      </c>
      <c r="AQ17" s="4" t="str">
        <v>VSG01A-23066C1.01</v>
      </c>
      <c r="AR17" s="95">
        <f>COUNTIFS(Table1[Anode PN (Stack/cell electrodes)],AQ17,Table1[ƞ at 20mAcm-2 (mV)],"&lt;&gt;")</f>
        <v>0</v>
      </c>
      <c r="AS17" s="95">
        <f>COUNTIFS(Table1[Anode PN (Stack/cell electrodes)],AQ17,Table1[i @ 1.8 V DIW (A/cm2)],"&lt;&gt;")</f>
        <v>1</v>
      </c>
      <c r="AT17" s="95">
        <f>COUNTIFS(Table1[Anode PN (Stack/cell electrodes)],AQ17,Table1[i at 1.8 V 10 mM KOH (A/cm2)],"&lt;&gt;")</f>
        <v>1</v>
      </c>
      <c r="AU17" s="95">
        <f>COUNTIFS(Table1[Anode PN (Stack/cell electrodes)],AQ17,Table1[Ionic resistance DIW/Ohm cm2],"&lt;&gt;")</f>
        <v>1</v>
      </c>
      <c r="AV17" s="95">
        <f>COUNTIFS(Table1[Anode PN (Stack/cell electrodes)],AQ17,Table1[Ionic resistance 10 mM KOH/Ohm cm2],"&lt;&gt;")</f>
        <v>1</v>
      </c>
    </row>
    <row r="18" spans="1:48">
      <c r="A18" s="81">
        <v>11</v>
      </c>
      <c r="B18" s="11" t="s">
        <v>91</v>
      </c>
      <c r="C18" s="4" t="s">
        <v>92</v>
      </c>
      <c r="I18" s="11" t="s">
        <v>57</v>
      </c>
      <c r="J18" s="43" t="s">
        <v>93</v>
      </c>
      <c r="K18" s="43" t="s">
        <v>59</v>
      </c>
      <c r="L18" s="43"/>
      <c r="M18" s="13">
        <f>(44.37-44.05)*1000/(21.3*21.7)</f>
        <v>0.69232599900478198</v>
      </c>
      <c r="O18" s="13" t="s">
        <v>94</v>
      </c>
      <c r="P18" s="28">
        <f>((10.9046-10.7638)/(10.8*10.7))*1000</f>
        <v>1.2184146763586057</v>
      </c>
      <c r="Q18" s="11"/>
      <c r="R18" s="11"/>
      <c r="S18" s="11"/>
      <c r="T18" s="8"/>
      <c r="U18" s="100"/>
      <c r="V18" s="100"/>
      <c r="W18" s="69" t="e" cm="1">
        <f t="array" ref="W18">_xlfn.XLOOKUP(Table1[[#This Row],[5 cm2 cell test code]:[5 cm2 cell test code]],[1]!Table1[[Test code]:[Test code]],[1]!Table1[i @ 1.8 V DIW (A/cm2)],"",0)</f>
        <v>#REF!</v>
      </c>
      <c r="X18" s="69" t="e" cm="1">
        <f t="array" ref="X18">_xlfn.XLOOKUP(Table1[[#This Row],[5 cm2 cell test code]:[5 cm2 cell test code]],[1]!Table1[[Test code]:[Test code]],[1]!Table1[i @ 1.8 V 10 mM KOH (A/cm2)],"",0)</f>
        <v>#REF!</v>
      </c>
      <c r="Y18" s="69" t="e" cm="1">
        <f t="array" ref="Y18">_xlfn.XLOOKUP(Table1[[#This Row],[5 cm2 cell test code]:[5 cm2 cell test code]],[1]!Table1[[Test code]:[Test code]],[1]!Table1[3-E ƞ at 20mAcm-2 (mV)],"",0)</f>
        <v>#REF!</v>
      </c>
      <c r="Z18" s="69" t="e" cm="1">
        <f t="array" ref="Z18">_xlfn.XLOOKUP(Table1[[#This Row],[5 cm2 cell test code]:[5 cm2 cell test code]],[1]!Table1[[Test code]:[Test code]],[1]!Table1[3-E Tafel slope (mV/dec)],"",0)</f>
        <v>#REF!</v>
      </c>
      <c r="AA18" s="69" t="e" cm="1">
        <f t="array" ref="AA18">_xlfn.XLOOKUP(Table1[[#This Row],[5 cm2 cell test code]:[5 cm2 cell test code]],[1]!Table1[[Test code]:[Test code]],[1]!Table1[E @ 100 mA/cm2 DIW/V],"",0)</f>
        <v>#REF!</v>
      </c>
      <c r="AB18" s="69" t="e" cm="1">
        <f t="array" ref="AB18">_xlfn.XLOOKUP(Table1[[#This Row],[5 cm2 cell test code]:[5 cm2 cell test code]],[1]!Table1[[Test code]:[Test code]],[1]!Table1[E @ 100 mA/cm2 10 mM KOH/V],"",0)</f>
        <v>#REF!</v>
      </c>
      <c r="AC18" s="69" t="e" cm="1">
        <f t="array" ref="AC18">_xlfn.XLOOKUP(Table1[[#This Row],[5 cm2 cell test code]:[5 cm2 cell test code]],[1]!Table1[[Test code]:[Test code]],[1]!Table1[Anode ICR/mOhm],"",0)</f>
        <v>#REF!</v>
      </c>
      <c r="AD18" s="69" t="e" cm="1">
        <f t="array" ref="AD18">_xlfn.XLOOKUP(Table1[[#This Row],[5 cm2 cell test code]:[5 cm2 cell test code]],[1]!Table1[[Test code]:[Test code]],[1]!Table1[HFR DIW/ mOhm cm2],"",0)</f>
        <v>#REF!</v>
      </c>
      <c r="AE18" s="69" t="e" cm="1">
        <f t="array" ref="AE18">_xlfn.XLOOKUP(Table1[[#This Row],[5 cm2 cell test code]:[5 cm2 cell test code]],[1]!Table1[[Test code]:[Test code]],[1]!Table1[HFR 10 mM KOH/ mOhm cm2],"",0)</f>
        <v>#REF!</v>
      </c>
      <c r="AF18" s="69" t="e" cm="1">
        <f t="array" ref="AF18">_xlfn.XLOOKUP(Table1[[#This Row],[5 cm2 cell test code]:[5 cm2 cell test code]],[1]!Table1[[Test code]:[Test code]],[1]!Table1[Ionic resistance DIW/Ohm cm2],"",0)</f>
        <v>#REF!</v>
      </c>
      <c r="AG18" s="69" t="e" cm="1">
        <f t="array" ref="AG18">_xlfn.XLOOKUP(Table1[[#This Row],[5 cm2 cell test code]:[5 cm2 cell test code]],[1]!Table1[[Test code]:[Test code]],[1]!Table1[Q_int_frac DIW],"",0)</f>
        <v>#REF!</v>
      </c>
      <c r="AH18" s="69" t="e" cm="1">
        <f t="array" ref="AH18">_xlfn.XLOOKUP(Table1[[#This Row],[5 cm2 cell test code]:[5 cm2 cell test code]],[1]!Table1[[Test code]:[Test code]],[1]!Table1[Ionic resistance 10 mM KOH/Ohm cm2],"",0)</f>
        <v>#REF!</v>
      </c>
      <c r="AI18" s="69" t="e" cm="1">
        <f t="array" ref="AI18">_xlfn.XLOOKUP(Table1[[#This Row],[5 cm2 cell test code]:[5 cm2 cell test code]],[1]!Table1[[Test code]:[Test code]],[1]!Table1[Q_int_frac DIW 10 mM KOH],"",0)</f>
        <v>#REF!</v>
      </c>
      <c r="AJ18" s="69" t="e" cm="1">
        <f t="array" ref="AJ18">_xlfn.XLOOKUP(Table1[[#This Row],[5 cm2 cell test code]:[5 cm2 cell test code]],[1]!Table1[[Test code]:[Test code]],[1]!Table1[DIW conductivity (µS/cm)],"",0)</f>
        <v>#REF!</v>
      </c>
      <c r="AQ18" s="4" t="str">
        <v>VSG01A-23066C1.02</v>
      </c>
      <c r="AR18" s="95">
        <f>COUNTIFS(Table1[Anode PN (Stack/cell electrodes)],AQ18,Table1[ƞ at 20mAcm-2 (mV)],"&lt;&gt;")</f>
        <v>0</v>
      </c>
      <c r="AS18" s="95">
        <f>COUNTIFS(Table1[Anode PN (Stack/cell electrodes)],AQ18,Table1[i @ 1.8 V DIW (A/cm2)],"&lt;&gt;")</f>
        <v>1</v>
      </c>
      <c r="AT18" s="95">
        <f>COUNTIFS(Table1[Anode PN (Stack/cell electrodes)],AQ18,Table1[i at 1.8 V 10 mM KOH (A/cm2)],"&lt;&gt;")</f>
        <v>1</v>
      </c>
      <c r="AU18" s="95">
        <f>COUNTIFS(Table1[Anode PN (Stack/cell electrodes)],AQ18,Table1[Ionic resistance DIW/Ohm cm2],"&lt;&gt;")</f>
        <v>1</v>
      </c>
      <c r="AV18" s="95">
        <f>COUNTIFS(Table1[Anode PN (Stack/cell electrodes)],AQ18,Table1[Ionic resistance 10 mM KOH/Ohm cm2],"&lt;&gt;")</f>
        <v>1</v>
      </c>
    </row>
    <row r="19" spans="1:48">
      <c r="A19" s="81">
        <v>11</v>
      </c>
      <c r="B19" s="11" t="s">
        <v>95</v>
      </c>
      <c r="C19" s="4" t="s">
        <v>92</v>
      </c>
      <c r="I19" s="11" t="s">
        <v>67</v>
      </c>
      <c r="J19" s="11" t="s">
        <v>93</v>
      </c>
      <c r="K19" s="43" t="s">
        <v>59</v>
      </c>
      <c r="O19" s="11" t="s">
        <v>96</v>
      </c>
      <c r="P19" s="28">
        <f>((10.9182-10.7677)/(10.7*10.7))*1000</f>
        <v>1.3145252860511922</v>
      </c>
      <c r="Q19" s="11"/>
      <c r="R19" s="11"/>
      <c r="S19" s="11"/>
      <c r="T19" s="8"/>
      <c r="U19" s="100"/>
      <c r="V19" s="100"/>
      <c r="W19" s="69" t="e" cm="1">
        <f t="array" ref="W19">_xlfn.XLOOKUP(Table1[[#This Row],[5 cm2 cell test code]:[5 cm2 cell test code]],[1]!Table1[[Test code]:[Test code]],[1]!Table1[i @ 1.8 V DIW (A/cm2)],"",0)</f>
        <v>#REF!</v>
      </c>
      <c r="X19" s="69" t="e" cm="1">
        <f t="array" ref="X19">_xlfn.XLOOKUP(Table1[[#This Row],[5 cm2 cell test code]:[5 cm2 cell test code]],[1]!Table1[[Test code]:[Test code]],[1]!Table1[i @ 1.8 V 10 mM KOH (A/cm2)],"",0)</f>
        <v>#REF!</v>
      </c>
      <c r="Y19" s="69" t="e" cm="1">
        <f t="array" ref="Y19">_xlfn.XLOOKUP(Table1[[#This Row],[5 cm2 cell test code]:[5 cm2 cell test code]],[1]!Table1[[Test code]:[Test code]],[1]!Table1[3-E ƞ at 20mAcm-2 (mV)],"",0)</f>
        <v>#REF!</v>
      </c>
      <c r="Z19" s="69" t="e" cm="1">
        <f t="array" ref="Z19">_xlfn.XLOOKUP(Table1[[#This Row],[5 cm2 cell test code]:[5 cm2 cell test code]],[1]!Table1[[Test code]:[Test code]],[1]!Table1[3-E Tafel slope (mV/dec)],"",0)</f>
        <v>#REF!</v>
      </c>
      <c r="AA19" s="69" t="e" cm="1">
        <f t="array" ref="AA19">_xlfn.XLOOKUP(Table1[[#This Row],[5 cm2 cell test code]:[5 cm2 cell test code]],[1]!Table1[[Test code]:[Test code]],[1]!Table1[E @ 100 mA/cm2 DIW/V],"",0)</f>
        <v>#REF!</v>
      </c>
      <c r="AB19" s="69" t="e" cm="1">
        <f t="array" ref="AB19">_xlfn.XLOOKUP(Table1[[#This Row],[5 cm2 cell test code]:[5 cm2 cell test code]],[1]!Table1[[Test code]:[Test code]],[1]!Table1[E @ 100 mA/cm2 10 mM KOH/V],"",0)</f>
        <v>#REF!</v>
      </c>
      <c r="AC19" s="69" t="e" cm="1">
        <f t="array" ref="AC19">_xlfn.XLOOKUP(Table1[[#This Row],[5 cm2 cell test code]:[5 cm2 cell test code]],[1]!Table1[[Test code]:[Test code]],[1]!Table1[Anode ICR/mOhm],"",0)</f>
        <v>#REF!</v>
      </c>
      <c r="AD19" s="69" t="e" cm="1">
        <f t="array" ref="AD19">_xlfn.XLOOKUP(Table1[[#This Row],[5 cm2 cell test code]:[5 cm2 cell test code]],[1]!Table1[[Test code]:[Test code]],[1]!Table1[HFR DIW/ mOhm cm2],"",0)</f>
        <v>#REF!</v>
      </c>
      <c r="AE19" s="69" t="e" cm="1">
        <f t="array" ref="AE19">_xlfn.XLOOKUP(Table1[[#This Row],[5 cm2 cell test code]:[5 cm2 cell test code]],[1]!Table1[[Test code]:[Test code]],[1]!Table1[HFR 10 mM KOH/ mOhm cm2],"",0)</f>
        <v>#REF!</v>
      </c>
      <c r="AF19" s="69" t="e" cm="1">
        <f t="array" ref="AF19">_xlfn.XLOOKUP(Table1[[#This Row],[5 cm2 cell test code]:[5 cm2 cell test code]],[1]!Table1[[Test code]:[Test code]],[1]!Table1[Ionic resistance DIW/Ohm cm2],"",0)</f>
        <v>#REF!</v>
      </c>
      <c r="AG19" s="69" t="e" cm="1">
        <f t="array" ref="AG19">_xlfn.XLOOKUP(Table1[[#This Row],[5 cm2 cell test code]:[5 cm2 cell test code]],[1]!Table1[[Test code]:[Test code]],[1]!Table1[Q_int_frac DIW],"",0)</f>
        <v>#REF!</v>
      </c>
      <c r="AH19" s="69" t="e" cm="1">
        <f t="array" ref="AH19">_xlfn.XLOOKUP(Table1[[#This Row],[5 cm2 cell test code]:[5 cm2 cell test code]],[1]!Table1[[Test code]:[Test code]],[1]!Table1[Ionic resistance 10 mM KOH/Ohm cm2],"",0)</f>
        <v>#REF!</v>
      </c>
      <c r="AI19" s="69" t="e" cm="1">
        <f t="array" ref="AI19">_xlfn.XLOOKUP(Table1[[#This Row],[5 cm2 cell test code]:[5 cm2 cell test code]],[1]!Table1[[Test code]:[Test code]],[1]!Table1[Q_int_frac DIW 10 mM KOH],"",0)</f>
        <v>#REF!</v>
      </c>
      <c r="AJ19" s="69" t="e" cm="1">
        <f t="array" ref="AJ19">_xlfn.XLOOKUP(Table1[[#This Row],[5 cm2 cell test code]:[5 cm2 cell test code]],[1]!Table1[[Test code]:[Test code]],[1]!Table1[DIW conductivity (µS/cm)],"",0)</f>
        <v>#REF!</v>
      </c>
      <c r="AQ19" s="4" t="str">
        <v>VSG01A-23066C1.03</v>
      </c>
      <c r="AR19" s="95">
        <f>COUNTIFS(Table1[Anode PN (Stack/cell electrodes)],AQ19,Table1[ƞ at 20mAcm-2 (mV)],"&lt;&gt;")</f>
        <v>0</v>
      </c>
      <c r="AS19" s="95">
        <f>COUNTIFS(Table1[Anode PN (Stack/cell electrodes)],AQ19,Table1[i @ 1.8 V DIW (A/cm2)],"&lt;&gt;")</f>
        <v>1</v>
      </c>
      <c r="AT19" s="95">
        <f>COUNTIFS(Table1[Anode PN (Stack/cell electrodes)],AQ19,Table1[i at 1.8 V 10 mM KOH (A/cm2)],"&lt;&gt;")</f>
        <v>1</v>
      </c>
      <c r="AU19" s="95">
        <f>COUNTIFS(Table1[Anode PN (Stack/cell electrodes)],AQ19,Table1[Ionic resistance DIW/Ohm cm2],"&lt;&gt;")</f>
        <v>1</v>
      </c>
      <c r="AV19" s="95">
        <f>COUNTIFS(Table1[Anode PN (Stack/cell electrodes)],AQ19,Table1[Ionic resistance 10 mM KOH/Ohm cm2],"&lt;&gt;")</f>
        <v>1</v>
      </c>
    </row>
    <row r="20" spans="1:48">
      <c r="A20" s="81">
        <v>9</v>
      </c>
      <c r="B20" s="11" t="s">
        <v>97</v>
      </c>
      <c r="C20" s="4" t="s">
        <v>92</v>
      </c>
      <c r="J20" s="11" t="s">
        <v>93</v>
      </c>
      <c r="K20" s="43" t="s">
        <v>59</v>
      </c>
      <c r="O20" s="11" t="s">
        <v>98</v>
      </c>
      <c r="P20" s="28">
        <f>((10.6229-10.4672)/(10.6*10.7))*1000</f>
        <v>1.3727737612413995</v>
      </c>
      <c r="Q20" s="11"/>
      <c r="R20" s="11"/>
      <c r="S20" s="11"/>
      <c r="T20" s="8"/>
      <c r="U20" s="100"/>
      <c r="V20" s="100"/>
      <c r="W20" s="69" t="e" cm="1">
        <f t="array" ref="W20">_xlfn.XLOOKUP(Table1[[#This Row],[5 cm2 cell test code]:[5 cm2 cell test code]],[1]!Table1[[Test code]:[Test code]],[1]!Table1[i @ 1.8 V DIW (A/cm2)],"",0)</f>
        <v>#REF!</v>
      </c>
      <c r="X20" s="69" t="e" cm="1">
        <f t="array" ref="X20">_xlfn.XLOOKUP(Table1[[#This Row],[5 cm2 cell test code]:[5 cm2 cell test code]],[1]!Table1[[Test code]:[Test code]],[1]!Table1[i @ 1.8 V 10 mM KOH (A/cm2)],"",0)</f>
        <v>#REF!</v>
      </c>
      <c r="Y20" s="69" t="e" cm="1">
        <f t="array" ref="Y20">_xlfn.XLOOKUP(Table1[[#This Row],[5 cm2 cell test code]:[5 cm2 cell test code]],[1]!Table1[[Test code]:[Test code]],[1]!Table1[3-E ƞ at 20mAcm-2 (mV)],"",0)</f>
        <v>#REF!</v>
      </c>
      <c r="Z20" s="69" t="e" cm="1">
        <f t="array" ref="Z20">_xlfn.XLOOKUP(Table1[[#This Row],[5 cm2 cell test code]:[5 cm2 cell test code]],[1]!Table1[[Test code]:[Test code]],[1]!Table1[3-E Tafel slope (mV/dec)],"",0)</f>
        <v>#REF!</v>
      </c>
      <c r="AA20" s="69" t="e" cm="1">
        <f t="array" ref="AA20">_xlfn.XLOOKUP(Table1[[#This Row],[5 cm2 cell test code]:[5 cm2 cell test code]],[1]!Table1[[Test code]:[Test code]],[1]!Table1[E @ 100 mA/cm2 DIW/V],"",0)</f>
        <v>#REF!</v>
      </c>
      <c r="AB20" s="69" t="e" cm="1">
        <f t="array" ref="AB20">_xlfn.XLOOKUP(Table1[[#This Row],[5 cm2 cell test code]:[5 cm2 cell test code]],[1]!Table1[[Test code]:[Test code]],[1]!Table1[E @ 100 mA/cm2 10 mM KOH/V],"",0)</f>
        <v>#REF!</v>
      </c>
      <c r="AC20" s="69" t="e" cm="1">
        <f t="array" ref="AC20">_xlfn.XLOOKUP(Table1[[#This Row],[5 cm2 cell test code]:[5 cm2 cell test code]],[1]!Table1[[Test code]:[Test code]],[1]!Table1[Anode ICR/mOhm],"",0)</f>
        <v>#REF!</v>
      </c>
      <c r="AD20" s="69" t="e" cm="1">
        <f t="array" ref="AD20">_xlfn.XLOOKUP(Table1[[#This Row],[5 cm2 cell test code]:[5 cm2 cell test code]],[1]!Table1[[Test code]:[Test code]],[1]!Table1[HFR DIW/ mOhm cm2],"",0)</f>
        <v>#REF!</v>
      </c>
      <c r="AE20" s="69" t="e" cm="1">
        <f t="array" ref="AE20">_xlfn.XLOOKUP(Table1[[#This Row],[5 cm2 cell test code]:[5 cm2 cell test code]],[1]!Table1[[Test code]:[Test code]],[1]!Table1[HFR 10 mM KOH/ mOhm cm2],"",0)</f>
        <v>#REF!</v>
      </c>
      <c r="AF20" s="69" t="e" cm="1">
        <f t="array" ref="AF20">_xlfn.XLOOKUP(Table1[[#This Row],[5 cm2 cell test code]:[5 cm2 cell test code]],[1]!Table1[[Test code]:[Test code]],[1]!Table1[Ionic resistance DIW/Ohm cm2],"",0)</f>
        <v>#REF!</v>
      </c>
      <c r="AG20" s="69" t="e" cm="1">
        <f t="array" ref="AG20">_xlfn.XLOOKUP(Table1[[#This Row],[5 cm2 cell test code]:[5 cm2 cell test code]],[1]!Table1[[Test code]:[Test code]],[1]!Table1[Q_int_frac DIW],"",0)</f>
        <v>#REF!</v>
      </c>
      <c r="AH20" s="69" t="e" cm="1">
        <f t="array" ref="AH20">_xlfn.XLOOKUP(Table1[[#This Row],[5 cm2 cell test code]:[5 cm2 cell test code]],[1]!Table1[[Test code]:[Test code]],[1]!Table1[Ionic resistance 10 mM KOH/Ohm cm2],"",0)</f>
        <v>#REF!</v>
      </c>
      <c r="AI20" s="69" t="e" cm="1">
        <f t="array" ref="AI20">_xlfn.XLOOKUP(Table1[[#This Row],[5 cm2 cell test code]:[5 cm2 cell test code]],[1]!Table1[[Test code]:[Test code]],[1]!Table1[Q_int_frac DIW 10 mM KOH],"",0)</f>
        <v>#REF!</v>
      </c>
      <c r="AJ20" s="69" t="e" cm="1">
        <f t="array" ref="AJ20">_xlfn.XLOOKUP(Table1[[#This Row],[5 cm2 cell test code]:[5 cm2 cell test code]],[1]!Table1[[Test code]:[Test code]],[1]!Table1[DIW conductivity (µS/cm)],"",0)</f>
        <v>#REF!</v>
      </c>
      <c r="AQ20" s="4" t="str">
        <v>VSG01A-23066C1.04</v>
      </c>
      <c r="AR20" s="95">
        <f>COUNTIFS(Table1[Anode PN (Stack/cell electrodes)],AQ20,Table1[ƞ at 20mAcm-2 (mV)],"&lt;&gt;")</f>
        <v>0</v>
      </c>
      <c r="AS20" s="95">
        <f>COUNTIFS(Table1[Anode PN (Stack/cell electrodes)],AQ20,Table1[i @ 1.8 V DIW (A/cm2)],"&lt;&gt;")</f>
        <v>1</v>
      </c>
      <c r="AT20" s="95">
        <f>COUNTIFS(Table1[Anode PN (Stack/cell electrodes)],AQ20,Table1[i at 1.8 V 10 mM KOH (A/cm2)],"&lt;&gt;")</f>
        <v>1</v>
      </c>
      <c r="AU20" s="95">
        <f>COUNTIFS(Table1[Anode PN (Stack/cell electrodes)],AQ20,Table1[Ionic resistance DIW/Ohm cm2],"&lt;&gt;")</f>
        <v>1</v>
      </c>
      <c r="AV20" s="95">
        <f>COUNTIFS(Table1[Anode PN (Stack/cell electrodes)],AQ20,Table1[Ionic resistance 10 mM KOH/Ohm cm2],"&lt;&gt;")</f>
        <v>1</v>
      </c>
    </row>
    <row r="21" spans="1:48">
      <c r="A21" s="81"/>
      <c r="B21" s="11" t="s">
        <v>99</v>
      </c>
      <c r="C21" s="4" t="s">
        <v>100</v>
      </c>
      <c r="J21" s="11" t="s">
        <v>93</v>
      </c>
      <c r="K21" s="43" t="s">
        <v>59</v>
      </c>
      <c r="Q21" s="11"/>
      <c r="R21" s="11"/>
      <c r="S21" s="11"/>
      <c r="T21" s="8"/>
      <c r="U21" s="100"/>
      <c r="V21" s="100"/>
      <c r="W21" s="69" t="e" cm="1">
        <f t="array" ref="W21">_xlfn.XLOOKUP(Table1[[#This Row],[5 cm2 cell test code]:[5 cm2 cell test code]],[1]!Table1[[Test code]:[Test code]],[1]!Table1[i @ 1.8 V DIW (A/cm2)],"",0)</f>
        <v>#REF!</v>
      </c>
      <c r="X21" s="69" t="e" cm="1">
        <f t="array" ref="X21">_xlfn.XLOOKUP(Table1[[#This Row],[5 cm2 cell test code]:[5 cm2 cell test code]],[1]!Table1[[Test code]:[Test code]],[1]!Table1[i @ 1.8 V 10 mM KOH (A/cm2)],"",0)</f>
        <v>#REF!</v>
      </c>
      <c r="Y21" s="69" t="e" cm="1">
        <f t="array" ref="Y21">_xlfn.XLOOKUP(Table1[[#This Row],[5 cm2 cell test code]:[5 cm2 cell test code]],[1]!Table1[[Test code]:[Test code]],[1]!Table1[3-E ƞ at 20mAcm-2 (mV)],"",0)</f>
        <v>#REF!</v>
      </c>
      <c r="Z21" s="69" t="e" cm="1">
        <f t="array" ref="Z21">_xlfn.XLOOKUP(Table1[[#This Row],[5 cm2 cell test code]:[5 cm2 cell test code]],[1]!Table1[[Test code]:[Test code]],[1]!Table1[3-E Tafel slope (mV/dec)],"",0)</f>
        <v>#REF!</v>
      </c>
      <c r="AA21" s="69" t="e" cm="1">
        <f t="array" ref="AA21">_xlfn.XLOOKUP(Table1[[#This Row],[5 cm2 cell test code]:[5 cm2 cell test code]],[1]!Table1[[Test code]:[Test code]],[1]!Table1[E @ 100 mA/cm2 DIW/V],"",0)</f>
        <v>#REF!</v>
      </c>
      <c r="AB21" s="69" t="e" cm="1">
        <f t="array" ref="AB21">_xlfn.XLOOKUP(Table1[[#This Row],[5 cm2 cell test code]:[5 cm2 cell test code]],[1]!Table1[[Test code]:[Test code]],[1]!Table1[E @ 100 mA/cm2 10 mM KOH/V],"",0)</f>
        <v>#REF!</v>
      </c>
      <c r="AC21" s="69" t="e" cm="1">
        <f t="array" ref="AC21">_xlfn.XLOOKUP(Table1[[#This Row],[5 cm2 cell test code]:[5 cm2 cell test code]],[1]!Table1[[Test code]:[Test code]],[1]!Table1[Anode ICR/mOhm],"",0)</f>
        <v>#REF!</v>
      </c>
      <c r="AD21" s="69" t="e" cm="1">
        <f t="array" ref="AD21">_xlfn.XLOOKUP(Table1[[#This Row],[5 cm2 cell test code]:[5 cm2 cell test code]],[1]!Table1[[Test code]:[Test code]],[1]!Table1[HFR DIW/ mOhm cm2],"",0)</f>
        <v>#REF!</v>
      </c>
      <c r="AE21" s="69" t="e" cm="1">
        <f t="array" ref="AE21">_xlfn.XLOOKUP(Table1[[#This Row],[5 cm2 cell test code]:[5 cm2 cell test code]],[1]!Table1[[Test code]:[Test code]],[1]!Table1[HFR 10 mM KOH/ mOhm cm2],"",0)</f>
        <v>#REF!</v>
      </c>
      <c r="AF21" s="69" t="e" cm="1">
        <f t="array" ref="AF21">_xlfn.XLOOKUP(Table1[[#This Row],[5 cm2 cell test code]:[5 cm2 cell test code]],[1]!Table1[[Test code]:[Test code]],[1]!Table1[Ionic resistance DIW/Ohm cm2],"",0)</f>
        <v>#REF!</v>
      </c>
      <c r="AG21" s="69" t="e" cm="1">
        <f t="array" ref="AG21">_xlfn.XLOOKUP(Table1[[#This Row],[5 cm2 cell test code]:[5 cm2 cell test code]],[1]!Table1[[Test code]:[Test code]],[1]!Table1[Q_int_frac DIW],"",0)</f>
        <v>#REF!</v>
      </c>
      <c r="AH21" s="69" t="e" cm="1">
        <f t="array" ref="AH21">_xlfn.XLOOKUP(Table1[[#This Row],[5 cm2 cell test code]:[5 cm2 cell test code]],[1]!Table1[[Test code]:[Test code]],[1]!Table1[Ionic resistance 10 mM KOH/Ohm cm2],"",0)</f>
        <v>#REF!</v>
      </c>
      <c r="AI21" s="69" t="e" cm="1">
        <f t="array" ref="AI21">_xlfn.XLOOKUP(Table1[[#This Row],[5 cm2 cell test code]:[5 cm2 cell test code]],[1]!Table1[[Test code]:[Test code]],[1]!Table1[Q_int_frac DIW 10 mM KOH],"",0)</f>
        <v>#REF!</v>
      </c>
      <c r="AJ21" s="69" t="e" cm="1">
        <f t="array" ref="AJ21">_xlfn.XLOOKUP(Table1[[#This Row],[5 cm2 cell test code]:[5 cm2 cell test code]],[1]!Table1[[Test code]:[Test code]],[1]!Table1[DIW conductivity (µS/cm)],"",0)</f>
        <v>#REF!</v>
      </c>
      <c r="AQ21" s="4" t="str">
        <v>VSG01A-23066C1.05</v>
      </c>
      <c r="AR21" s="95">
        <f>COUNTIFS(Table1[Anode PN (Stack/cell electrodes)],AQ21,Table1[ƞ at 20mAcm-2 (mV)],"&lt;&gt;")</f>
        <v>0</v>
      </c>
      <c r="AS21" s="95">
        <f>COUNTIFS(Table1[Anode PN (Stack/cell electrodes)],AQ21,Table1[i @ 1.8 V DIW (A/cm2)],"&lt;&gt;")</f>
        <v>1</v>
      </c>
      <c r="AT21" s="95">
        <f>COUNTIFS(Table1[Anode PN (Stack/cell electrodes)],AQ21,Table1[i at 1.8 V 10 mM KOH (A/cm2)],"&lt;&gt;")</f>
        <v>1</v>
      </c>
      <c r="AU21" s="95">
        <f>COUNTIFS(Table1[Anode PN (Stack/cell electrodes)],AQ21,Table1[Ionic resistance DIW/Ohm cm2],"&lt;&gt;")</f>
        <v>1</v>
      </c>
      <c r="AV21" s="95">
        <f>COUNTIFS(Table1[Anode PN (Stack/cell electrodes)],AQ21,Table1[Ionic resistance 10 mM KOH/Ohm cm2],"&lt;&gt;")</f>
        <v>1</v>
      </c>
    </row>
    <row r="22" spans="1:48">
      <c r="A22" s="81">
        <v>11</v>
      </c>
      <c r="B22" s="11" t="s">
        <v>101</v>
      </c>
      <c r="C22" s="4" t="s">
        <v>102</v>
      </c>
      <c r="I22" s="11" t="s">
        <v>57</v>
      </c>
      <c r="J22" s="43" t="s">
        <v>103</v>
      </c>
      <c r="K22" s="43" t="s">
        <v>59</v>
      </c>
      <c r="L22" s="43"/>
      <c r="M22" s="13">
        <f>(43.94-43.23)*1000/(21.6*21.7)</f>
        <v>1.5147636115378069</v>
      </c>
      <c r="O22" s="11" t="s">
        <v>104</v>
      </c>
      <c r="P22" s="28">
        <f>(10.6684-10.5099)*1000/(10.7*10.8)</f>
        <v>1.3715818622360685</v>
      </c>
      <c r="Q22" s="11"/>
      <c r="R22" s="11"/>
      <c r="S22" s="11"/>
      <c r="T22" s="8"/>
      <c r="U22" s="100"/>
      <c r="V22" s="100"/>
      <c r="W22" s="69" t="e" cm="1">
        <f t="array" ref="W22">_xlfn.XLOOKUP(Table1[[#This Row],[5 cm2 cell test code]:[5 cm2 cell test code]],[1]!Table1[[Test code]:[Test code]],[1]!Table1[i @ 1.8 V DIW (A/cm2)],"",0)</f>
        <v>#REF!</v>
      </c>
      <c r="X22" s="69" t="e" cm="1">
        <f t="array" ref="X22">_xlfn.XLOOKUP(Table1[[#This Row],[5 cm2 cell test code]:[5 cm2 cell test code]],[1]!Table1[[Test code]:[Test code]],[1]!Table1[i @ 1.8 V 10 mM KOH (A/cm2)],"",0)</f>
        <v>#REF!</v>
      </c>
      <c r="Y22" s="69" t="e" cm="1">
        <f t="array" ref="Y22">_xlfn.XLOOKUP(Table1[[#This Row],[5 cm2 cell test code]:[5 cm2 cell test code]],[1]!Table1[[Test code]:[Test code]],[1]!Table1[3-E ƞ at 20mAcm-2 (mV)],"",0)</f>
        <v>#REF!</v>
      </c>
      <c r="Z22" s="69" t="e" cm="1">
        <f t="array" ref="Z22">_xlfn.XLOOKUP(Table1[[#This Row],[5 cm2 cell test code]:[5 cm2 cell test code]],[1]!Table1[[Test code]:[Test code]],[1]!Table1[3-E Tafel slope (mV/dec)],"",0)</f>
        <v>#REF!</v>
      </c>
      <c r="AA22" s="69" t="e" cm="1">
        <f t="array" ref="AA22">_xlfn.XLOOKUP(Table1[[#This Row],[5 cm2 cell test code]:[5 cm2 cell test code]],[1]!Table1[[Test code]:[Test code]],[1]!Table1[E @ 100 mA/cm2 DIW/V],"",0)</f>
        <v>#REF!</v>
      </c>
      <c r="AB22" s="69" t="e" cm="1">
        <f t="array" ref="AB22">_xlfn.XLOOKUP(Table1[[#This Row],[5 cm2 cell test code]:[5 cm2 cell test code]],[1]!Table1[[Test code]:[Test code]],[1]!Table1[E @ 100 mA/cm2 10 mM KOH/V],"",0)</f>
        <v>#REF!</v>
      </c>
      <c r="AC22" s="69" t="e" cm="1">
        <f t="array" ref="AC22">_xlfn.XLOOKUP(Table1[[#This Row],[5 cm2 cell test code]:[5 cm2 cell test code]],[1]!Table1[[Test code]:[Test code]],[1]!Table1[Anode ICR/mOhm],"",0)</f>
        <v>#REF!</v>
      </c>
      <c r="AD22" s="69" t="e" cm="1">
        <f t="array" ref="AD22">_xlfn.XLOOKUP(Table1[[#This Row],[5 cm2 cell test code]:[5 cm2 cell test code]],[1]!Table1[[Test code]:[Test code]],[1]!Table1[HFR DIW/ mOhm cm2],"",0)</f>
        <v>#REF!</v>
      </c>
      <c r="AE22" s="69" t="e" cm="1">
        <f t="array" ref="AE22">_xlfn.XLOOKUP(Table1[[#This Row],[5 cm2 cell test code]:[5 cm2 cell test code]],[1]!Table1[[Test code]:[Test code]],[1]!Table1[HFR 10 mM KOH/ mOhm cm2],"",0)</f>
        <v>#REF!</v>
      </c>
      <c r="AF22" s="69" t="e" cm="1">
        <f t="array" ref="AF22">_xlfn.XLOOKUP(Table1[[#This Row],[5 cm2 cell test code]:[5 cm2 cell test code]],[1]!Table1[[Test code]:[Test code]],[1]!Table1[Ionic resistance DIW/Ohm cm2],"",0)</f>
        <v>#REF!</v>
      </c>
      <c r="AG22" s="69" t="e" cm="1">
        <f t="array" ref="AG22">_xlfn.XLOOKUP(Table1[[#This Row],[5 cm2 cell test code]:[5 cm2 cell test code]],[1]!Table1[[Test code]:[Test code]],[1]!Table1[Q_int_frac DIW],"",0)</f>
        <v>#REF!</v>
      </c>
      <c r="AH22" s="69" t="e" cm="1">
        <f t="array" ref="AH22">_xlfn.XLOOKUP(Table1[[#This Row],[5 cm2 cell test code]:[5 cm2 cell test code]],[1]!Table1[[Test code]:[Test code]],[1]!Table1[Ionic resistance 10 mM KOH/Ohm cm2],"",0)</f>
        <v>#REF!</v>
      </c>
      <c r="AI22" s="69" t="e" cm="1">
        <f t="array" ref="AI22">_xlfn.XLOOKUP(Table1[[#This Row],[5 cm2 cell test code]:[5 cm2 cell test code]],[1]!Table1[[Test code]:[Test code]],[1]!Table1[Q_int_frac DIW 10 mM KOH],"",0)</f>
        <v>#REF!</v>
      </c>
      <c r="AJ22" s="69" t="e" cm="1">
        <f t="array" ref="AJ22">_xlfn.XLOOKUP(Table1[[#This Row],[5 cm2 cell test code]:[5 cm2 cell test code]],[1]!Table1[[Test code]:[Test code]],[1]!Table1[DIW conductivity (µS/cm)],"",0)</f>
        <v>#REF!</v>
      </c>
      <c r="AQ22" s="4" t="str">
        <v>VSG01A-23066C1.06</v>
      </c>
      <c r="AR22" s="95">
        <f>COUNTIFS(Table1[Anode PN (Stack/cell electrodes)],AQ22,Table1[ƞ at 20mAcm-2 (mV)],"&lt;&gt;")</f>
        <v>0</v>
      </c>
      <c r="AS22" s="95">
        <f>COUNTIFS(Table1[Anode PN (Stack/cell electrodes)],AQ22,Table1[i @ 1.8 V DIW (A/cm2)],"&lt;&gt;")</f>
        <v>1</v>
      </c>
      <c r="AT22" s="95">
        <f>COUNTIFS(Table1[Anode PN (Stack/cell electrodes)],AQ22,Table1[i at 1.8 V 10 mM KOH (A/cm2)],"&lt;&gt;")</f>
        <v>1</v>
      </c>
      <c r="AU22" s="95">
        <f>COUNTIFS(Table1[Anode PN (Stack/cell electrodes)],AQ22,Table1[Ionic resistance DIW/Ohm cm2],"&lt;&gt;")</f>
        <v>1</v>
      </c>
      <c r="AV22" s="95">
        <f>COUNTIFS(Table1[Anode PN (Stack/cell electrodes)],AQ22,Table1[Ionic resistance 10 mM KOH/Ohm cm2],"&lt;&gt;")</f>
        <v>1</v>
      </c>
    </row>
    <row r="23" spans="1:48">
      <c r="A23" s="81">
        <v>12</v>
      </c>
      <c r="B23" s="11" t="s">
        <v>105</v>
      </c>
      <c r="C23" s="4" t="s">
        <v>106</v>
      </c>
      <c r="J23" s="11" t="s">
        <v>103</v>
      </c>
      <c r="K23" s="43" t="s">
        <v>59</v>
      </c>
      <c r="O23" s="11" t="s">
        <v>107</v>
      </c>
      <c r="P23" s="28">
        <f>(10.6497-10.4777)*1000/(10.7*10.7)</f>
        <v>1.5023146126299138</v>
      </c>
      <c r="Q23" s="11"/>
      <c r="R23" s="11"/>
      <c r="S23" s="11"/>
      <c r="T23" s="8"/>
      <c r="U23" s="100"/>
      <c r="V23" s="100"/>
      <c r="W23" s="69" t="e" cm="1">
        <f t="array" ref="W23">_xlfn.XLOOKUP(Table1[[#This Row],[5 cm2 cell test code]:[5 cm2 cell test code]],[1]!Table1[[Test code]:[Test code]],[1]!Table1[i @ 1.8 V DIW (A/cm2)],"",0)</f>
        <v>#REF!</v>
      </c>
      <c r="X23" s="69" t="e" cm="1">
        <f t="array" ref="X23">_xlfn.XLOOKUP(Table1[[#This Row],[5 cm2 cell test code]:[5 cm2 cell test code]],[1]!Table1[[Test code]:[Test code]],[1]!Table1[i @ 1.8 V 10 mM KOH (A/cm2)],"",0)</f>
        <v>#REF!</v>
      </c>
      <c r="Y23" s="69" t="e" cm="1">
        <f t="array" ref="Y23">_xlfn.XLOOKUP(Table1[[#This Row],[5 cm2 cell test code]:[5 cm2 cell test code]],[1]!Table1[[Test code]:[Test code]],[1]!Table1[3-E ƞ at 20mAcm-2 (mV)],"",0)</f>
        <v>#REF!</v>
      </c>
      <c r="Z23" s="69" t="e" cm="1">
        <f t="array" ref="Z23">_xlfn.XLOOKUP(Table1[[#This Row],[5 cm2 cell test code]:[5 cm2 cell test code]],[1]!Table1[[Test code]:[Test code]],[1]!Table1[3-E Tafel slope (mV/dec)],"",0)</f>
        <v>#REF!</v>
      </c>
      <c r="AA23" s="69" t="e" cm="1">
        <f t="array" ref="AA23">_xlfn.XLOOKUP(Table1[[#This Row],[5 cm2 cell test code]:[5 cm2 cell test code]],[1]!Table1[[Test code]:[Test code]],[1]!Table1[E @ 100 mA/cm2 DIW/V],"",0)</f>
        <v>#REF!</v>
      </c>
      <c r="AB23" s="69" t="e" cm="1">
        <f t="array" ref="AB23">_xlfn.XLOOKUP(Table1[[#This Row],[5 cm2 cell test code]:[5 cm2 cell test code]],[1]!Table1[[Test code]:[Test code]],[1]!Table1[E @ 100 mA/cm2 10 mM KOH/V],"",0)</f>
        <v>#REF!</v>
      </c>
      <c r="AC23" s="69" t="e" cm="1">
        <f t="array" ref="AC23">_xlfn.XLOOKUP(Table1[[#This Row],[5 cm2 cell test code]:[5 cm2 cell test code]],[1]!Table1[[Test code]:[Test code]],[1]!Table1[Anode ICR/mOhm],"",0)</f>
        <v>#REF!</v>
      </c>
      <c r="AD23" s="69" t="e" cm="1">
        <f t="array" ref="AD23">_xlfn.XLOOKUP(Table1[[#This Row],[5 cm2 cell test code]:[5 cm2 cell test code]],[1]!Table1[[Test code]:[Test code]],[1]!Table1[HFR DIW/ mOhm cm2],"",0)</f>
        <v>#REF!</v>
      </c>
      <c r="AE23" s="69" t="e" cm="1">
        <f t="array" ref="AE23">_xlfn.XLOOKUP(Table1[[#This Row],[5 cm2 cell test code]:[5 cm2 cell test code]],[1]!Table1[[Test code]:[Test code]],[1]!Table1[HFR 10 mM KOH/ mOhm cm2],"",0)</f>
        <v>#REF!</v>
      </c>
      <c r="AF23" s="69" t="e" cm="1">
        <f t="array" ref="AF23">_xlfn.XLOOKUP(Table1[[#This Row],[5 cm2 cell test code]:[5 cm2 cell test code]],[1]!Table1[[Test code]:[Test code]],[1]!Table1[Ionic resistance DIW/Ohm cm2],"",0)</f>
        <v>#REF!</v>
      </c>
      <c r="AG23" s="69" t="e" cm="1">
        <f t="array" ref="AG23">_xlfn.XLOOKUP(Table1[[#This Row],[5 cm2 cell test code]:[5 cm2 cell test code]],[1]!Table1[[Test code]:[Test code]],[1]!Table1[Q_int_frac DIW],"",0)</f>
        <v>#REF!</v>
      </c>
      <c r="AH23" s="69" t="e" cm="1">
        <f t="array" ref="AH23">_xlfn.XLOOKUP(Table1[[#This Row],[5 cm2 cell test code]:[5 cm2 cell test code]],[1]!Table1[[Test code]:[Test code]],[1]!Table1[Ionic resistance 10 mM KOH/Ohm cm2],"",0)</f>
        <v>#REF!</v>
      </c>
      <c r="AI23" s="69" t="e" cm="1">
        <f t="array" ref="AI23">_xlfn.XLOOKUP(Table1[[#This Row],[5 cm2 cell test code]:[5 cm2 cell test code]],[1]!Table1[[Test code]:[Test code]],[1]!Table1[Q_int_frac DIW 10 mM KOH],"",0)</f>
        <v>#REF!</v>
      </c>
      <c r="AJ23" s="69" t="e" cm="1">
        <f t="array" ref="AJ23">_xlfn.XLOOKUP(Table1[[#This Row],[5 cm2 cell test code]:[5 cm2 cell test code]],[1]!Table1[[Test code]:[Test code]],[1]!Table1[DIW conductivity (µS/cm)],"",0)</f>
        <v>#REF!</v>
      </c>
      <c r="AQ23" s="4" t="str">
        <v>VSG01A-23066C1.07</v>
      </c>
      <c r="AR23" s="95">
        <f>COUNTIFS(Table1[Anode PN (Stack/cell electrodes)],AQ23,Table1[ƞ at 20mAcm-2 (mV)],"&lt;&gt;")</f>
        <v>0</v>
      </c>
      <c r="AS23" s="95">
        <f>COUNTIFS(Table1[Anode PN (Stack/cell electrodes)],AQ23,Table1[i @ 1.8 V DIW (A/cm2)],"&lt;&gt;")</f>
        <v>1</v>
      </c>
      <c r="AT23" s="95">
        <f>COUNTIFS(Table1[Anode PN (Stack/cell electrodes)],AQ23,Table1[i at 1.8 V 10 mM KOH (A/cm2)],"&lt;&gt;")</f>
        <v>1</v>
      </c>
      <c r="AU23" s="95">
        <f>COUNTIFS(Table1[Anode PN (Stack/cell electrodes)],AQ23,Table1[Ionic resistance DIW/Ohm cm2],"&lt;&gt;")</f>
        <v>1</v>
      </c>
      <c r="AV23" s="95">
        <f>COUNTIFS(Table1[Anode PN (Stack/cell electrodes)],AQ23,Table1[Ionic resistance 10 mM KOH/Ohm cm2],"&lt;&gt;")</f>
        <v>1</v>
      </c>
    </row>
    <row r="24" spans="1:48">
      <c r="A24" s="81">
        <v>12</v>
      </c>
      <c r="B24" s="11" t="s">
        <v>108</v>
      </c>
      <c r="C24" s="4" t="s">
        <v>106</v>
      </c>
      <c r="J24" s="11" t="s">
        <v>103</v>
      </c>
      <c r="K24" s="43" t="s">
        <v>59</v>
      </c>
      <c r="O24" s="11" t="s">
        <v>109</v>
      </c>
      <c r="P24" s="28">
        <f>(10.8753-10.6909)*1000/(10.8*10.8)</f>
        <v>1.5809327846364891</v>
      </c>
      <c r="Q24" s="11"/>
      <c r="R24" s="11"/>
      <c r="S24" s="11"/>
      <c r="T24" s="8"/>
      <c r="U24" s="100"/>
      <c r="V24" s="100"/>
      <c r="W24" s="69" t="e" cm="1">
        <f t="array" ref="W24">_xlfn.XLOOKUP(Table1[[#This Row],[5 cm2 cell test code]:[5 cm2 cell test code]],[1]!Table1[[Test code]:[Test code]],[1]!Table1[i @ 1.8 V DIW (A/cm2)],"",0)</f>
        <v>#REF!</v>
      </c>
      <c r="X24" s="69" t="e" cm="1">
        <f t="array" ref="X24">_xlfn.XLOOKUP(Table1[[#This Row],[5 cm2 cell test code]:[5 cm2 cell test code]],[1]!Table1[[Test code]:[Test code]],[1]!Table1[i @ 1.8 V 10 mM KOH (A/cm2)],"",0)</f>
        <v>#REF!</v>
      </c>
      <c r="Y24" s="69" t="e" cm="1">
        <f t="array" ref="Y24">_xlfn.XLOOKUP(Table1[[#This Row],[5 cm2 cell test code]:[5 cm2 cell test code]],[1]!Table1[[Test code]:[Test code]],[1]!Table1[3-E ƞ at 20mAcm-2 (mV)],"",0)</f>
        <v>#REF!</v>
      </c>
      <c r="Z24" s="69" t="e" cm="1">
        <f t="array" ref="Z24">_xlfn.XLOOKUP(Table1[[#This Row],[5 cm2 cell test code]:[5 cm2 cell test code]],[1]!Table1[[Test code]:[Test code]],[1]!Table1[3-E Tafel slope (mV/dec)],"",0)</f>
        <v>#REF!</v>
      </c>
      <c r="AA24" s="69" t="e" cm="1">
        <f t="array" ref="AA24">_xlfn.XLOOKUP(Table1[[#This Row],[5 cm2 cell test code]:[5 cm2 cell test code]],[1]!Table1[[Test code]:[Test code]],[1]!Table1[E @ 100 mA/cm2 DIW/V],"",0)</f>
        <v>#REF!</v>
      </c>
      <c r="AB24" s="69" t="e" cm="1">
        <f t="array" ref="AB24">_xlfn.XLOOKUP(Table1[[#This Row],[5 cm2 cell test code]:[5 cm2 cell test code]],[1]!Table1[[Test code]:[Test code]],[1]!Table1[E @ 100 mA/cm2 10 mM KOH/V],"",0)</f>
        <v>#REF!</v>
      </c>
      <c r="AC24" s="69" t="e" cm="1">
        <f t="array" ref="AC24">_xlfn.XLOOKUP(Table1[[#This Row],[5 cm2 cell test code]:[5 cm2 cell test code]],[1]!Table1[[Test code]:[Test code]],[1]!Table1[Anode ICR/mOhm],"",0)</f>
        <v>#REF!</v>
      </c>
      <c r="AD24" s="69" t="e" cm="1">
        <f t="array" ref="AD24">_xlfn.XLOOKUP(Table1[[#This Row],[5 cm2 cell test code]:[5 cm2 cell test code]],[1]!Table1[[Test code]:[Test code]],[1]!Table1[HFR DIW/ mOhm cm2],"",0)</f>
        <v>#REF!</v>
      </c>
      <c r="AE24" s="69" t="e" cm="1">
        <f t="array" ref="AE24">_xlfn.XLOOKUP(Table1[[#This Row],[5 cm2 cell test code]:[5 cm2 cell test code]],[1]!Table1[[Test code]:[Test code]],[1]!Table1[HFR 10 mM KOH/ mOhm cm2],"",0)</f>
        <v>#REF!</v>
      </c>
      <c r="AF24" s="69" t="e" cm="1">
        <f t="array" ref="AF24">_xlfn.XLOOKUP(Table1[[#This Row],[5 cm2 cell test code]:[5 cm2 cell test code]],[1]!Table1[[Test code]:[Test code]],[1]!Table1[Ionic resistance DIW/Ohm cm2],"",0)</f>
        <v>#REF!</v>
      </c>
      <c r="AG24" s="69" t="e" cm="1">
        <f t="array" ref="AG24">_xlfn.XLOOKUP(Table1[[#This Row],[5 cm2 cell test code]:[5 cm2 cell test code]],[1]!Table1[[Test code]:[Test code]],[1]!Table1[Q_int_frac DIW],"",0)</f>
        <v>#REF!</v>
      </c>
      <c r="AH24" s="69" t="e" cm="1">
        <f t="array" ref="AH24">_xlfn.XLOOKUP(Table1[[#This Row],[5 cm2 cell test code]:[5 cm2 cell test code]],[1]!Table1[[Test code]:[Test code]],[1]!Table1[Ionic resistance 10 mM KOH/Ohm cm2],"",0)</f>
        <v>#REF!</v>
      </c>
      <c r="AI24" s="69" t="e" cm="1">
        <f t="array" ref="AI24">_xlfn.XLOOKUP(Table1[[#This Row],[5 cm2 cell test code]:[5 cm2 cell test code]],[1]!Table1[[Test code]:[Test code]],[1]!Table1[Q_int_frac DIW 10 mM KOH],"",0)</f>
        <v>#REF!</v>
      </c>
      <c r="AJ24" s="69" t="e" cm="1">
        <f t="array" ref="AJ24">_xlfn.XLOOKUP(Table1[[#This Row],[5 cm2 cell test code]:[5 cm2 cell test code]],[1]!Table1[[Test code]:[Test code]],[1]!Table1[DIW conductivity (µS/cm)],"",0)</f>
        <v>#REF!</v>
      </c>
      <c r="AQ24" s="4" t="str">
        <v>VSG01A-23066C1.08</v>
      </c>
      <c r="AR24" s="95">
        <f>COUNTIFS(Table1[Anode PN (Stack/cell electrodes)],AQ24,Table1[ƞ at 20mAcm-2 (mV)],"&lt;&gt;")</f>
        <v>0</v>
      </c>
      <c r="AS24" s="95">
        <f>COUNTIFS(Table1[Anode PN (Stack/cell electrodes)],AQ24,Table1[i @ 1.8 V DIW (A/cm2)],"&lt;&gt;")</f>
        <v>1</v>
      </c>
      <c r="AT24" s="95">
        <f>COUNTIFS(Table1[Anode PN (Stack/cell electrodes)],AQ24,Table1[i at 1.8 V 10 mM KOH (A/cm2)],"&lt;&gt;")</f>
        <v>1</v>
      </c>
      <c r="AU24" s="95">
        <f>COUNTIFS(Table1[Anode PN (Stack/cell electrodes)],AQ24,Table1[Ionic resistance DIW/Ohm cm2],"&lt;&gt;")</f>
        <v>1</v>
      </c>
      <c r="AV24" s="95">
        <f>COUNTIFS(Table1[Anode PN (Stack/cell electrodes)],AQ24,Table1[Ionic resistance 10 mM KOH/Ohm cm2],"&lt;&gt;")</f>
        <v>1</v>
      </c>
    </row>
    <row r="25" spans="1:48">
      <c r="A25" s="81">
        <v>12</v>
      </c>
      <c r="B25" s="11" t="s">
        <v>110</v>
      </c>
      <c r="C25" s="4" t="s">
        <v>106</v>
      </c>
      <c r="J25" s="11" t="s">
        <v>103</v>
      </c>
      <c r="K25" s="43" t="s">
        <v>59</v>
      </c>
      <c r="O25" s="11" t="s">
        <v>111</v>
      </c>
      <c r="P25" s="28">
        <f>(11.04-10.8534)*1000/(10.8*11)</f>
        <v>1.5707070707070583</v>
      </c>
      <c r="Q25" s="11"/>
      <c r="R25" s="11"/>
      <c r="S25" s="11"/>
      <c r="T25" s="8"/>
      <c r="U25" s="100"/>
      <c r="V25" s="100"/>
      <c r="W25" s="69" t="e" cm="1">
        <f t="array" ref="W25">_xlfn.XLOOKUP(Table1[[#This Row],[5 cm2 cell test code]:[5 cm2 cell test code]],[1]!Table1[[Test code]:[Test code]],[1]!Table1[i @ 1.8 V DIW (A/cm2)],"",0)</f>
        <v>#REF!</v>
      </c>
      <c r="X25" s="69" t="e" cm="1">
        <f t="array" ref="X25">_xlfn.XLOOKUP(Table1[[#This Row],[5 cm2 cell test code]:[5 cm2 cell test code]],[1]!Table1[[Test code]:[Test code]],[1]!Table1[i @ 1.8 V 10 mM KOH (A/cm2)],"",0)</f>
        <v>#REF!</v>
      </c>
      <c r="Y25" s="69" t="e" cm="1">
        <f t="array" ref="Y25">_xlfn.XLOOKUP(Table1[[#This Row],[5 cm2 cell test code]:[5 cm2 cell test code]],[1]!Table1[[Test code]:[Test code]],[1]!Table1[3-E ƞ at 20mAcm-2 (mV)],"",0)</f>
        <v>#REF!</v>
      </c>
      <c r="Z25" s="69" t="e" cm="1">
        <f t="array" ref="Z25">_xlfn.XLOOKUP(Table1[[#This Row],[5 cm2 cell test code]:[5 cm2 cell test code]],[1]!Table1[[Test code]:[Test code]],[1]!Table1[3-E Tafel slope (mV/dec)],"",0)</f>
        <v>#REF!</v>
      </c>
      <c r="AA25" s="69" t="e" cm="1">
        <f t="array" ref="AA25">_xlfn.XLOOKUP(Table1[[#This Row],[5 cm2 cell test code]:[5 cm2 cell test code]],[1]!Table1[[Test code]:[Test code]],[1]!Table1[E @ 100 mA/cm2 DIW/V],"",0)</f>
        <v>#REF!</v>
      </c>
      <c r="AB25" s="69" t="e" cm="1">
        <f t="array" ref="AB25">_xlfn.XLOOKUP(Table1[[#This Row],[5 cm2 cell test code]:[5 cm2 cell test code]],[1]!Table1[[Test code]:[Test code]],[1]!Table1[E @ 100 mA/cm2 10 mM KOH/V],"",0)</f>
        <v>#REF!</v>
      </c>
      <c r="AC25" s="69" t="e" cm="1">
        <f t="array" ref="AC25">_xlfn.XLOOKUP(Table1[[#This Row],[5 cm2 cell test code]:[5 cm2 cell test code]],[1]!Table1[[Test code]:[Test code]],[1]!Table1[Anode ICR/mOhm],"",0)</f>
        <v>#REF!</v>
      </c>
      <c r="AD25" s="69" t="e" cm="1">
        <f t="array" ref="AD25">_xlfn.XLOOKUP(Table1[[#This Row],[5 cm2 cell test code]:[5 cm2 cell test code]],[1]!Table1[[Test code]:[Test code]],[1]!Table1[HFR DIW/ mOhm cm2],"",0)</f>
        <v>#REF!</v>
      </c>
      <c r="AE25" s="69" t="e" cm="1">
        <f t="array" ref="AE25">_xlfn.XLOOKUP(Table1[[#This Row],[5 cm2 cell test code]:[5 cm2 cell test code]],[1]!Table1[[Test code]:[Test code]],[1]!Table1[HFR 10 mM KOH/ mOhm cm2],"",0)</f>
        <v>#REF!</v>
      </c>
      <c r="AF25" s="69" t="e" cm="1">
        <f t="array" ref="AF25">_xlfn.XLOOKUP(Table1[[#This Row],[5 cm2 cell test code]:[5 cm2 cell test code]],[1]!Table1[[Test code]:[Test code]],[1]!Table1[Ionic resistance DIW/Ohm cm2],"",0)</f>
        <v>#REF!</v>
      </c>
      <c r="AG25" s="69" t="e" cm="1">
        <f t="array" ref="AG25">_xlfn.XLOOKUP(Table1[[#This Row],[5 cm2 cell test code]:[5 cm2 cell test code]],[1]!Table1[[Test code]:[Test code]],[1]!Table1[Q_int_frac DIW],"",0)</f>
        <v>#REF!</v>
      </c>
      <c r="AH25" s="69" t="e" cm="1">
        <f t="array" ref="AH25">_xlfn.XLOOKUP(Table1[[#This Row],[5 cm2 cell test code]:[5 cm2 cell test code]],[1]!Table1[[Test code]:[Test code]],[1]!Table1[Ionic resistance 10 mM KOH/Ohm cm2],"",0)</f>
        <v>#REF!</v>
      </c>
      <c r="AI25" s="69" t="e" cm="1">
        <f t="array" ref="AI25">_xlfn.XLOOKUP(Table1[[#This Row],[5 cm2 cell test code]:[5 cm2 cell test code]],[1]!Table1[[Test code]:[Test code]],[1]!Table1[Q_int_frac DIW 10 mM KOH],"",0)</f>
        <v>#REF!</v>
      </c>
      <c r="AJ25" s="69" t="e" cm="1">
        <f t="array" ref="AJ25">_xlfn.XLOOKUP(Table1[[#This Row],[5 cm2 cell test code]:[5 cm2 cell test code]],[1]!Table1[[Test code]:[Test code]],[1]!Table1[DIW conductivity (µS/cm)],"",0)</f>
        <v>#REF!</v>
      </c>
      <c r="AQ25" s="4" t="str">
        <v>VSG01A-23072C1.01</v>
      </c>
      <c r="AR25" s="95">
        <f>COUNTIFS(Table1[Anode PN (Stack/cell electrodes)],AQ25,Table1[ƞ at 20mAcm-2 (mV)],"&lt;&gt;")</f>
        <v>1</v>
      </c>
      <c r="AS25" s="95">
        <f>COUNTIFS(Table1[Anode PN (Stack/cell electrodes)],AQ25,Table1[i @ 1.8 V DIW (A/cm2)],"&lt;&gt;")</f>
        <v>1</v>
      </c>
      <c r="AT25" s="95">
        <f>COUNTIFS(Table1[Anode PN (Stack/cell electrodes)],AQ25,Table1[i at 1.8 V 10 mM KOH (A/cm2)],"&lt;&gt;")</f>
        <v>1</v>
      </c>
      <c r="AU25" s="95">
        <f>COUNTIFS(Table1[Anode PN (Stack/cell electrodes)],AQ25,Table1[Ionic resistance DIW/Ohm cm2],"&lt;&gt;")</f>
        <v>1</v>
      </c>
      <c r="AV25" s="95">
        <f>COUNTIFS(Table1[Anode PN (Stack/cell electrodes)],AQ25,Table1[Ionic resistance 10 mM KOH/Ohm cm2],"&lt;&gt;")</f>
        <v>1</v>
      </c>
    </row>
    <row r="26" spans="1:48">
      <c r="A26" s="81"/>
      <c r="K26" s="43" t="s">
        <v>59</v>
      </c>
      <c r="Q26" s="11"/>
      <c r="R26" s="11"/>
      <c r="S26" s="11"/>
      <c r="T26" s="8"/>
      <c r="U26" s="100"/>
      <c r="V26" s="100"/>
      <c r="W26" s="69" t="e" cm="1">
        <f t="array" ref="W26">_xlfn.XLOOKUP(Table1[[#This Row],[5 cm2 cell test code]:[5 cm2 cell test code]],[1]!Table1[[Test code]:[Test code]],[1]!Table1[i @ 1.8 V DIW (A/cm2)],"",0)</f>
        <v>#REF!</v>
      </c>
      <c r="X26" s="69" t="e" cm="1">
        <f t="array" ref="X26">_xlfn.XLOOKUP(Table1[[#This Row],[5 cm2 cell test code]:[5 cm2 cell test code]],[1]!Table1[[Test code]:[Test code]],[1]!Table1[i @ 1.8 V 10 mM KOH (A/cm2)],"",0)</f>
        <v>#REF!</v>
      </c>
      <c r="Y26" s="69" t="e" cm="1">
        <f t="array" ref="Y26">_xlfn.XLOOKUP(Table1[[#This Row],[5 cm2 cell test code]:[5 cm2 cell test code]],[1]!Table1[[Test code]:[Test code]],[1]!Table1[3-E ƞ at 20mAcm-2 (mV)],"",0)</f>
        <v>#REF!</v>
      </c>
      <c r="Z26" s="69" t="e" cm="1">
        <f t="array" ref="Z26">_xlfn.XLOOKUP(Table1[[#This Row],[5 cm2 cell test code]:[5 cm2 cell test code]],[1]!Table1[[Test code]:[Test code]],[1]!Table1[3-E Tafel slope (mV/dec)],"",0)</f>
        <v>#REF!</v>
      </c>
      <c r="AA26" s="69" t="e" cm="1">
        <f t="array" ref="AA26">_xlfn.XLOOKUP(Table1[[#This Row],[5 cm2 cell test code]:[5 cm2 cell test code]],[1]!Table1[[Test code]:[Test code]],[1]!Table1[E @ 100 mA/cm2 DIW/V],"",0)</f>
        <v>#REF!</v>
      </c>
      <c r="AB26" s="69" t="e" cm="1">
        <f t="array" ref="AB26">_xlfn.XLOOKUP(Table1[[#This Row],[5 cm2 cell test code]:[5 cm2 cell test code]],[1]!Table1[[Test code]:[Test code]],[1]!Table1[E @ 100 mA/cm2 10 mM KOH/V],"",0)</f>
        <v>#REF!</v>
      </c>
      <c r="AC26" s="69" t="e" cm="1">
        <f t="array" ref="AC26">_xlfn.XLOOKUP(Table1[[#This Row],[5 cm2 cell test code]:[5 cm2 cell test code]],[1]!Table1[[Test code]:[Test code]],[1]!Table1[Anode ICR/mOhm],"",0)</f>
        <v>#REF!</v>
      </c>
      <c r="AD26" s="69" t="e" cm="1">
        <f t="array" ref="AD26">_xlfn.XLOOKUP(Table1[[#This Row],[5 cm2 cell test code]:[5 cm2 cell test code]],[1]!Table1[[Test code]:[Test code]],[1]!Table1[HFR DIW/ mOhm cm2],"",0)</f>
        <v>#REF!</v>
      </c>
      <c r="AE26" s="69" t="e" cm="1">
        <f t="array" ref="AE26">_xlfn.XLOOKUP(Table1[[#This Row],[5 cm2 cell test code]:[5 cm2 cell test code]],[1]!Table1[[Test code]:[Test code]],[1]!Table1[HFR 10 mM KOH/ mOhm cm2],"",0)</f>
        <v>#REF!</v>
      </c>
      <c r="AF26" s="69" t="e" cm="1">
        <f t="array" ref="AF26">_xlfn.XLOOKUP(Table1[[#This Row],[5 cm2 cell test code]:[5 cm2 cell test code]],[1]!Table1[[Test code]:[Test code]],[1]!Table1[Ionic resistance DIW/Ohm cm2],"",0)</f>
        <v>#REF!</v>
      </c>
      <c r="AG26" s="69" t="e" cm="1">
        <f t="array" ref="AG26">_xlfn.XLOOKUP(Table1[[#This Row],[5 cm2 cell test code]:[5 cm2 cell test code]],[1]!Table1[[Test code]:[Test code]],[1]!Table1[Q_int_frac DIW],"",0)</f>
        <v>#REF!</v>
      </c>
      <c r="AH26" s="69" t="e" cm="1">
        <f t="array" ref="AH26">_xlfn.XLOOKUP(Table1[[#This Row],[5 cm2 cell test code]:[5 cm2 cell test code]],[1]!Table1[[Test code]:[Test code]],[1]!Table1[Ionic resistance 10 mM KOH/Ohm cm2],"",0)</f>
        <v>#REF!</v>
      </c>
      <c r="AI26" s="69" t="e" cm="1">
        <f t="array" ref="AI26">_xlfn.XLOOKUP(Table1[[#This Row],[5 cm2 cell test code]:[5 cm2 cell test code]],[1]!Table1[[Test code]:[Test code]],[1]!Table1[Q_int_frac DIW 10 mM KOH],"",0)</f>
        <v>#REF!</v>
      </c>
      <c r="AJ26" s="69" t="e" cm="1">
        <f t="array" ref="AJ26">_xlfn.XLOOKUP(Table1[[#This Row],[5 cm2 cell test code]:[5 cm2 cell test code]],[1]!Table1[[Test code]:[Test code]],[1]!Table1[DIW conductivity (µS/cm)],"",0)</f>
        <v>#REF!</v>
      </c>
      <c r="AQ26" s="4" t="str">
        <v>VSG01A-23082C1.01</v>
      </c>
      <c r="AR26" s="95">
        <f>COUNTIFS(Table1[Anode PN (Stack/cell electrodes)],AQ26,Table1[ƞ at 20mAcm-2 (mV)],"&lt;&gt;")</f>
        <v>0</v>
      </c>
      <c r="AS26" s="95">
        <f>COUNTIFS(Table1[Anode PN (Stack/cell electrodes)],AQ26,Table1[i @ 1.8 V DIW (A/cm2)],"&lt;&gt;")</f>
        <v>1</v>
      </c>
      <c r="AT26" s="95">
        <f>COUNTIFS(Table1[Anode PN (Stack/cell electrodes)],AQ26,Table1[i at 1.8 V 10 mM KOH (A/cm2)],"&lt;&gt;")</f>
        <v>1</v>
      </c>
      <c r="AU26" s="95">
        <f>COUNTIFS(Table1[Anode PN (Stack/cell electrodes)],AQ26,Table1[Ionic resistance DIW/Ohm cm2],"&lt;&gt;")</f>
        <v>1</v>
      </c>
      <c r="AV26" s="95">
        <f>COUNTIFS(Table1[Anode PN (Stack/cell electrodes)],AQ26,Table1[Ionic resistance 10 mM KOH/Ohm cm2],"&lt;&gt;")</f>
        <v>1</v>
      </c>
    </row>
    <row r="27" spans="1:48">
      <c r="A27" s="81"/>
      <c r="B27" s="11" t="s">
        <v>112</v>
      </c>
      <c r="C27" s="4" t="s">
        <v>113</v>
      </c>
      <c r="I27" s="11" t="s">
        <v>114</v>
      </c>
      <c r="J27" s="11" t="s">
        <v>93</v>
      </c>
      <c r="K27" s="43" t="s">
        <v>59</v>
      </c>
      <c r="M27" s="13">
        <f>(6.89-6.81)*1000/(7.5*10)</f>
        <v>1.0666666666666675</v>
      </c>
      <c r="P27" s="28">
        <f>(6.278-6.1977)*1000/(7.5*9)</f>
        <v>1.1896296296296203</v>
      </c>
      <c r="Q27" s="11">
        <v>0.32400000000000001</v>
      </c>
      <c r="R27" s="4">
        <v>1.1499999999999999</v>
      </c>
      <c r="S27" s="4">
        <v>233.1</v>
      </c>
      <c r="T27" s="29">
        <v>40.07</v>
      </c>
      <c r="U27" s="100">
        <v>20230307</v>
      </c>
      <c r="V27" t="s">
        <v>115</v>
      </c>
      <c r="W27" s="69" t="e" cm="1">
        <f t="array" ref="W27">_xlfn.XLOOKUP(Table1[[#This Row],[5 cm2 cell test code]:[5 cm2 cell test code]],[1]!Table1[[Test code]:[Test code]],[1]!Table1[i @ 1.8 V DIW (A/cm2)],"",0)</f>
        <v>#REF!</v>
      </c>
      <c r="X27" s="69" t="e" cm="1">
        <f t="array" ref="X27">_xlfn.XLOOKUP(Table1[[#This Row],[5 cm2 cell test code]:[5 cm2 cell test code]],[1]!Table1[[Test code]:[Test code]],[1]!Table1[i @ 1.8 V 10 mM KOH (A/cm2)],"",0)</f>
        <v>#REF!</v>
      </c>
      <c r="Y27" s="69" t="e" cm="1">
        <f t="array" ref="Y27">_xlfn.XLOOKUP(Table1[[#This Row],[5 cm2 cell test code]:[5 cm2 cell test code]],[1]!Table1[[Test code]:[Test code]],[1]!Table1[3-E ƞ at 20mAcm-2 (mV)],"",0)</f>
        <v>#REF!</v>
      </c>
      <c r="Z27" s="69" t="e" cm="1">
        <f t="array" ref="Z27">_xlfn.XLOOKUP(Table1[[#This Row],[5 cm2 cell test code]:[5 cm2 cell test code]],[1]!Table1[[Test code]:[Test code]],[1]!Table1[3-E Tafel slope (mV/dec)],"",0)</f>
        <v>#REF!</v>
      </c>
      <c r="AA27" s="69" t="e" cm="1">
        <f t="array" ref="AA27">_xlfn.XLOOKUP(Table1[[#This Row],[5 cm2 cell test code]:[5 cm2 cell test code]],[1]!Table1[[Test code]:[Test code]],[1]!Table1[E @ 100 mA/cm2 DIW/V],"",0)</f>
        <v>#REF!</v>
      </c>
      <c r="AB27" s="69" t="e" cm="1">
        <f t="array" ref="AB27">_xlfn.XLOOKUP(Table1[[#This Row],[5 cm2 cell test code]:[5 cm2 cell test code]],[1]!Table1[[Test code]:[Test code]],[1]!Table1[E @ 100 mA/cm2 10 mM KOH/V],"",0)</f>
        <v>#REF!</v>
      </c>
      <c r="AC27" s="69" t="e" cm="1">
        <f t="array" ref="AC27">_xlfn.XLOOKUP(Table1[[#This Row],[5 cm2 cell test code]:[5 cm2 cell test code]],[1]!Table1[[Test code]:[Test code]],[1]!Table1[Anode ICR/mOhm],"",0)</f>
        <v>#REF!</v>
      </c>
      <c r="AD27" s="69" t="e" cm="1">
        <f t="array" ref="AD27">_xlfn.XLOOKUP(Table1[[#This Row],[5 cm2 cell test code]:[5 cm2 cell test code]],[1]!Table1[[Test code]:[Test code]],[1]!Table1[HFR DIW/ mOhm cm2],"",0)</f>
        <v>#REF!</v>
      </c>
      <c r="AE27" s="69" t="e" cm="1">
        <f t="array" ref="AE27">_xlfn.XLOOKUP(Table1[[#This Row],[5 cm2 cell test code]:[5 cm2 cell test code]],[1]!Table1[[Test code]:[Test code]],[1]!Table1[HFR 10 mM KOH/ mOhm cm2],"",0)</f>
        <v>#REF!</v>
      </c>
      <c r="AF27" s="69" t="e" cm="1">
        <f t="array" ref="AF27">_xlfn.XLOOKUP(Table1[[#This Row],[5 cm2 cell test code]:[5 cm2 cell test code]],[1]!Table1[[Test code]:[Test code]],[1]!Table1[Ionic resistance DIW/Ohm cm2],"",0)</f>
        <v>#REF!</v>
      </c>
      <c r="AG27" s="69" t="e" cm="1">
        <f t="array" ref="AG27">_xlfn.XLOOKUP(Table1[[#This Row],[5 cm2 cell test code]:[5 cm2 cell test code]],[1]!Table1[[Test code]:[Test code]],[1]!Table1[Q_int_frac DIW],"",0)</f>
        <v>#REF!</v>
      </c>
      <c r="AH27" s="69" t="e" cm="1">
        <f t="array" ref="AH27">_xlfn.XLOOKUP(Table1[[#This Row],[5 cm2 cell test code]:[5 cm2 cell test code]],[1]!Table1[[Test code]:[Test code]],[1]!Table1[Ionic resistance 10 mM KOH/Ohm cm2],"",0)</f>
        <v>#REF!</v>
      </c>
      <c r="AI27" s="69" t="e" cm="1">
        <f t="array" ref="AI27">_xlfn.XLOOKUP(Table1[[#This Row],[5 cm2 cell test code]:[5 cm2 cell test code]],[1]!Table1[[Test code]:[Test code]],[1]!Table1[Q_int_frac DIW 10 mM KOH],"",0)</f>
        <v>#REF!</v>
      </c>
      <c r="AJ27" s="69" t="e" cm="1">
        <f t="array" ref="AJ27">_xlfn.XLOOKUP(Table1[[#This Row],[5 cm2 cell test code]:[5 cm2 cell test code]],[1]!Table1[[Test code]:[Test code]],[1]!Table1[DIW conductivity (µS/cm)],"",0)</f>
        <v>#REF!</v>
      </c>
      <c r="AQ27" s="4" t="str">
        <v>VSG01A-23086C3.01</v>
      </c>
      <c r="AR27" s="95">
        <f>COUNTIFS(Table1[Anode PN (Stack/cell electrodes)],AQ27,Table1[ƞ at 20mAcm-2 (mV)],"&lt;&gt;")</f>
        <v>0</v>
      </c>
      <c r="AS27" s="95">
        <f>COUNTIFS(Table1[Anode PN (Stack/cell electrodes)],AQ27,Table1[i @ 1.8 V DIW (A/cm2)],"&lt;&gt;")</f>
        <v>1</v>
      </c>
      <c r="AT27" s="95">
        <f>COUNTIFS(Table1[Anode PN (Stack/cell electrodes)],AQ27,Table1[i at 1.8 V 10 mM KOH (A/cm2)],"&lt;&gt;")</f>
        <v>1</v>
      </c>
      <c r="AU27" s="95">
        <f>COUNTIFS(Table1[Anode PN (Stack/cell electrodes)],AQ27,Table1[Ionic resistance DIW/Ohm cm2],"&lt;&gt;")</f>
        <v>1</v>
      </c>
      <c r="AV27" s="95">
        <f>COUNTIFS(Table1[Anode PN (Stack/cell electrodes)],AQ27,Table1[Ionic resistance 10 mM KOH/Ohm cm2],"&lt;&gt;")</f>
        <v>1</v>
      </c>
    </row>
    <row r="28" spans="1:48">
      <c r="A28" s="81"/>
      <c r="K28" s="43" t="s">
        <v>59</v>
      </c>
      <c r="Q28" s="11"/>
      <c r="R28" s="4">
        <v>0.69899999999999995</v>
      </c>
      <c r="S28" s="4">
        <v>240</v>
      </c>
      <c r="T28" s="29">
        <v>37.99</v>
      </c>
      <c r="U28" s="100">
        <v>20230317</v>
      </c>
      <c r="V28" t="s">
        <v>116</v>
      </c>
      <c r="W28" s="69" t="e" cm="1">
        <f t="array" ref="W28">_xlfn.XLOOKUP(Table1[[#This Row],[5 cm2 cell test code]:[5 cm2 cell test code]],[1]!Table1[[Test code]:[Test code]],[1]!Table1[i @ 1.8 V DIW (A/cm2)],"",0)</f>
        <v>#REF!</v>
      </c>
      <c r="X28" s="69" t="e" cm="1">
        <f t="array" ref="X28">_xlfn.XLOOKUP(Table1[[#This Row],[5 cm2 cell test code]:[5 cm2 cell test code]],[1]!Table1[[Test code]:[Test code]],[1]!Table1[i @ 1.8 V 10 mM KOH (A/cm2)],"",0)</f>
        <v>#REF!</v>
      </c>
      <c r="Y28" s="69" t="e" cm="1">
        <f t="array" ref="Y28">_xlfn.XLOOKUP(Table1[[#This Row],[5 cm2 cell test code]:[5 cm2 cell test code]],[1]!Table1[[Test code]:[Test code]],[1]!Table1[3-E ƞ at 20mAcm-2 (mV)],"",0)</f>
        <v>#REF!</v>
      </c>
      <c r="Z28" s="69" t="e" cm="1">
        <f t="array" ref="Z28">_xlfn.XLOOKUP(Table1[[#This Row],[5 cm2 cell test code]:[5 cm2 cell test code]],[1]!Table1[[Test code]:[Test code]],[1]!Table1[3-E Tafel slope (mV/dec)],"",0)</f>
        <v>#REF!</v>
      </c>
      <c r="AA28" s="69" t="e" cm="1">
        <f t="array" ref="AA28">_xlfn.XLOOKUP(Table1[[#This Row],[5 cm2 cell test code]:[5 cm2 cell test code]],[1]!Table1[[Test code]:[Test code]],[1]!Table1[E @ 100 mA/cm2 DIW/V],"",0)</f>
        <v>#REF!</v>
      </c>
      <c r="AB28" s="69" t="e" cm="1">
        <f t="array" ref="AB28">_xlfn.XLOOKUP(Table1[[#This Row],[5 cm2 cell test code]:[5 cm2 cell test code]],[1]!Table1[[Test code]:[Test code]],[1]!Table1[E @ 100 mA/cm2 10 mM KOH/V],"",0)</f>
        <v>#REF!</v>
      </c>
      <c r="AC28" s="69" t="e" cm="1">
        <f t="array" ref="AC28">_xlfn.XLOOKUP(Table1[[#This Row],[5 cm2 cell test code]:[5 cm2 cell test code]],[1]!Table1[[Test code]:[Test code]],[1]!Table1[Anode ICR/mOhm],"",0)</f>
        <v>#REF!</v>
      </c>
      <c r="AD28" s="69" t="e" cm="1">
        <f t="array" ref="AD28">_xlfn.XLOOKUP(Table1[[#This Row],[5 cm2 cell test code]:[5 cm2 cell test code]],[1]!Table1[[Test code]:[Test code]],[1]!Table1[HFR DIW/ mOhm cm2],"",0)</f>
        <v>#REF!</v>
      </c>
      <c r="AE28" s="69" t="e" cm="1">
        <f t="array" ref="AE28">_xlfn.XLOOKUP(Table1[[#This Row],[5 cm2 cell test code]:[5 cm2 cell test code]],[1]!Table1[[Test code]:[Test code]],[1]!Table1[HFR 10 mM KOH/ mOhm cm2],"",0)</f>
        <v>#REF!</v>
      </c>
      <c r="AF28" s="69" t="e" cm="1">
        <f t="array" ref="AF28">_xlfn.XLOOKUP(Table1[[#This Row],[5 cm2 cell test code]:[5 cm2 cell test code]],[1]!Table1[[Test code]:[Test code]],[1]!Table1[Ionic resistance DIW/Ohm cm2],"",0)</f>
        <v>#REF!</v>
      </c>
      <c r="AG28" s="69" t="e" cm="1">
        <f t="array" ref="AG28">_xlfn.XLOOKUP(Table1[[#This Row],[5 cm2 cell test code]:[5 cm2 cell test code]],[1]!Table1[[Test code]:[Test code]],[1]!Table1[Q_int_frac DIW],"",0)</f>
        <v>#REF!</v>
      </c>
      <c r="AH28" s="69" t="e" cm="1">
        <f t="array" ref="AH28">_xlfn.XLOOKUP(Table1[[#This Row],[5 cm2 cell test code]:[5 cm2 cell test code]],[1]!Table1[[Test code]:[Test code]],[1]!Table1[Ionic resistance 10 mM KOH/Ohm cm2],"",0)</f>
        <v>#REF!</v>
      </c>
      <c r="AI28" s="69" t="e" cm="1">
        <f t="array" ref="AI28">_xlfn.XLOOKUP(Table1[[#This Row],[5 cm2 cell test code]:[5 cm2 cell test code]],[1]!Table1[[Test code]:[Test code]],[1]!Table1[Q_int_frac DIW 10 mM KOH],"",0)</f>
        <v>#REF!</v>
      </c>
      <c r="AJ28" s="69" t="e" cm="1">
        <f t="array" ref="AJ28">_xlfn.XLOOKUP(Table1[[#This Row],[5 cm2 cell test code]:[5 cm2 cell test code]],[1]!Table1[[Test code]:[Test code]],[1]!Table1[DIW conductivity (µS/cm)],"",0)</f>
        <v>#REF!</v>
      </c>
      <c r="AQ28" s="4" t="str">
        <v>VSG01A-23086C1.02</v>
      </c>
      <c r="AR28" s="95"/>
      <c r="AS28" s="95"/>
      <c r="AT28" s="95"/>
      <c r="AU28" s="95"/>
      <c r="AV28" s="95"/>
    </row>
    <row r="29" spans="1:48">
      <c r="A29" s="81"/>
      <c r="K29" s="43" t="s">
        <v>59</v>
      </c>
      <c r="Q29" s="11"/>
      <c r="R29" s="4">
        <v>1.1499999999999999</v>
      </c>
      <c r="S29" s="4">
        <v>231</v>
      </c>
      <c r="T29" s="29">
        <v>42.1</v>
      </c>
      <c r="U29" s="100" t="s">
        <v>117</v>
      </c>
      <c r="V29" t="s">
        <v>118</v>
      </c>
      <c r="W29" s="69" t="e" cm="1">
        <f t="array" ref="W29">_xlfn.XLOOKUP(Table1[[#This Row],[5 cm2 cell test code]:[5 cm2 cell test code]],[1]!Table1[[Test code]:[Test code]],[1]!Table1[i @ 1.8 V DIW (A/cm2)],"",0)</f>
        <v>#REF!</v>
      </c>
      <c r="X29" s="69" t="e" cm="1">
        <f t="array" ref="X29">_xlfn.XLOOKUP(Table1[[#This Row],[5 cm2 cell test code]:[5 cm2 cell test code]],[1]!Table1[[Test code]:[Test code]],[1]!Table1[i @ 1.8 V 10 mM KOH (A/cm2)],"",0)</f>
        <v>#REF!</v>
      </c>
      <c r="Y29" s="69" t="e" cm="1">
        <f t="array" ref="Y29">_xlfn.XLOOKUP(Table1[[#This Row],[5 cm2 cell test code]:[5 cm2 cell test code]],[1]!Table1[[Test code]:[Test code]],[1]!Table1[3-E ƞ at 20mAcm-2 (mV)],"",0)</f>
        <v>#REF!</v>
      </c>
      <c r="Z29" s="69" t="e" cm="1">
        <f t="array" ref="Z29">_xlfn.XLOOKUP(Table1[[#This Row],[5 cm2 cell test code]:[5 cm2 cell test code]],[1]!Table1[[Test code]:[Test code]],[1]!Table1[3-E Tafel slope (mV/dec)],"",0)</f>
        <v>#REF!</v>
      </c>
      <c r="AA29" s="69" t="e" cm="1">
        <f t="array" ref="AA29">_xlfn.XLOOKUP(Table1[[#This Row],[5 cm2 cell test code]:[5 cm2 cell test code]],[1]!Table1[[Test code]:[Test code]],[1]!Table1[E @ 100 mA/cm2 DIW/V],"",0)</f>
        <v>#REF!</v>
      </c>
      <c r="AB29" s="69" t="e" cm="1">
        <f t="array" ref="AB29">_xlfn.XLOOKUP(Table1[[#This Row],[5 cm2 cell test code]:[5 cm2 cell test code]],[1]!Table1[[Test code]:[Test code]],[1]!Table1[E @ 100 mA/cm2 10 mM KOH/V],"",0)</f>
        <v>#REF!</v>
      </c>
      <c r="AC29" s="69" t="e" cm="1">
        <f t="array" ref="AC29">_xlfn.XLOOKUP(Table1[[#This Row],[5 cm2 cell test code]:[5 cm2 cell test code]],[1]!Table1[[Test code]:[Test code]],[1]!Table1[Anode ICR/mOhm],"",0)</f>
        <v>#REF!</v>
      </c>
      <c r="AD29" s="69" t="e" cm="1">
        <f t="array" ref="AD29">_xlfn.XLOOKUP(Table1[[#This Row],[5 cm2 cell test code]:[5 cm2 cell test code]],[1]!Table1[[Test code]:[Test code]],[1]!Table1[HFR DIW/ mOhm cm2],"",0)</f>
        <v>#REF!</v>
      </c>
      <c r="AE29" s="69" t="e" cm="1">
        <f t="array" ref="AE29">_xlfn.XLOOKUP(Table1[[#This Row],[5 cm2 cell test code]:[5 cm2 cell test code]],[1]!Table1[[Test code]:[Test code]],[1]!Table1[HFR 10 mM KOH/ mOhm cm2],"",0)</f>
        <v>#REF!</v>
      </c>
      <c r="AF29" s="69" t="e" cm="1">
        <f t="array" ref="AF29">_xlfn.XLOOKUP(Table1[[#This Row],[5 cm2 cell test code]:[5 cm2 cell test code]],[1]!Table1[[Test code]:[Test code]],[1]!Table1[Ionic resistance DIW/Ohm cm2],"",0)</f>
        <v>#REF!</v>
      </c>
      <c r="AG29" s="69" t="e" cm="1">
        <f t="array" ref="AG29">_xlfn.XLOOKUP(Table1[[#This Row],[5 cm2 cell test code]:[5 cm2 cell test code]],[1]!Table1[[Test code]:[Test code]],[1]!Table1[Q_int_frac DIW],"",0)</f>
        <v>#REF!</v>
      </c>
      <c r="AH29" s="69" t="e" cm="1">
        <f t="array" ref="AH29">_xlfn.XLOOKUP(Table1[[#This Row],[5 cm2 cell test code]:[5 cm2 cell test code]],[1]!Table1[[Test code]:[Test code]],[1]!Table1[Ionic resistance 10 mM KOH/Ohm cm2],"",0)</f>
        <v>#REF!</v>
      </c>
      <c r="AI29" s="69" t="e" cm="1">
        <f t="array" ref="AI29">_xlfn.XLOOKUP(Table1[[#This Row],[5 cm2 cell test code]:[5 cm2 cell test code]],[1]!Table1[[Test code]:[Test code]],[1]!Table1[Q_int_frac DIW 10 mM KOH],"",0)</f>
        <v>#REF!</v>
      </c>
      <c r="AJ29" s="69" t="e" cm="1">
        <f t="array" ref="AJ29">_xlfn.XLOOKUP(Table1[[#This Row],[5 cm2 cell test code]:[5 cm2 cell test code]],[1]!Table1[[Test code]:[Test code]],[1]!Table1[DIW conductivity (µS/cm)],"",0)</f>
        <v>#REF!</v>
      </c>
      <c r="AQ29" s="4" t="str">
        <v>VSG01A-23097C1.01</v>
      </c>
      <c r="AR29" s="95"/>
      <c r="AS29" s="95"/>
      <c r="AT29" s="95"/>
      <c r="AU29" s="95"/>
      <c r="AV29" s="95"/>
    </row>
    <row r="30" spans="1:48">
      <c r="A30" s="81"/>
      <c r="K30" s="43" t="s">
        <v>59</v>
      </c>
      <c r="Q30" s="11"/>
      <c r="R30" s="11"/>
      <c r="S30" s="12">
        <f>AVERAGE(S27:S29)</f>
        <v>234.70000000000002</v>
      </c>
      <c r="T30" s="12">
        <f>AVERAGE(T27:T29)</f>
        <v>40.053333333333335</v>
      </c>
      <c r="U30" s="100" t="s">
        <v>119</v>
      </c>
      <c r="V30" t="s">
        <v>120</v>
      </c>
      <c r="W30" s="69" t="e" cm="1">
        <f t="array" ref="W30">_xlfn.XLOOKUP(Table1[[#This Row],[5 cm2 cell test code]:[5 cm2 cell test code]],[1]!Table1[[Test code]:[Test code]],[1]!Table1[i @ 1.8 V DIW (A/cm2)],"",0)</f>
        <v>#REF!</v>
      </c>
      <c r="X30" s="69" t="e" cm="1">
        <f t="array" ref="X30">_xlfn.XLOOKUP(Table1[[#This Row],[5 cm2 cell test code]:[5 cm2 cell test code]],[1]!Table1[[Test code]:[Test code]],[1]!Table1[i @ 1.8 V 10 mM KOH (A/cm2)],"",0)</f>
        <v>#REF!</v>
      </c>
      <c r="Y30" s="69" t="e" cm="1">
        <f t="array" ref="Y30">_xlfn.XLOOKUP(Table1[[#This Row],[5 cm2 cell test code]:[5 cm2 cell test code]],[1]!Table1[[Test code]:[Test code]],[1]!Table1[3-E ƞ at 20mAcm-2 (mV)],"",0)</f>
        <v>#REF!</v>
      </c>
      <c r="Z30" s="69" t="e" cm="1">
        <f t="array" ref="Z30">_xlfn.XLOOKUP(Table1[[#This Row],[5 cm2 cell test code]:[5 cm2 cell test code]],[1]!Table1[[Test code]:[Test code]],[1]!Table1[3-E Tafel slope (mV/dec)],"",0)</f>
        <v>#REF!</v>
      </c>
      <c r="AA30" s="69" t="e" cm="1">
        <f t="array" ref="AA30">_xlfn.XLOOKUP(Table1[[#This Row],[5 cm2 cell test code]:[5 cm2 cell test code]],[1]!Table1[[Test code]:[Test code]],[1]!Table1[E @ 100 mA/cm2 DIW/V],"",0)</f>
        <v>#REF!</v>
      </c>
      <c r="AB30" s="69" t="e" cm="1">
        <f t="array" ref="AB30">_xlfn.XLOOKUP(Table1[[#This Row],[5 cm2 cell test code]:[5 cm2 cell test code]],[1]!Table1[[Test code]:[Test code]],[1]!Table1[E @ 100 mA/cm2 10 mM KOH/V],"",0)</f>
        <v>#REF!</v>
      </c>
      <c r="AC30" s="69" t="e" cm="1">
        <f t="array" ref="AC30">_xlfn.XLOOKUP(Table1[[#This Row],[5 cm2 cell test code]:[5 cm2 cell test code]],[1]!Table1[[Test code]:[Test code]],[1]!Table1[Anode ICR/mOhm],"",0)</f>
        <v>#REF!</v>
      </c>
      <c r="AD30" s="69" t="e" cm="1">
        <f t="array" ref="AD30">_xlfn.XLOOKUP(Table1[[#This Row],[5 cm2 cell test code]:[5 cm2 cell test code]],[1]!Table1[[Test code]:[Test code]],[1]!Table1[HFR DIW/ mOhm cm2],"",0)</f>
        <v>#REF!</v>
      </c>
      <c r="AE30" s="69" t="e" cm="1">
        <f t="array" ref="AE30">_xlfn.XLOOKUP(Table1[[#This Row],[5 cm2 cell test code]:[5 cm2 cell test code]],[1]!Table1[[Test code]:[Test code]],[1]!Table1[HFR 10 mM KOH/ mOhm cm2],"",0)</f>
        <v>#REF!</v>
      </c>
      <c r="AF30" s="69" t="e" cm="1">
        <f t="array" ref="AF30">_xlfn.XLOOKUP(Table1[[#This Row],[5 cm2 cell test code]:[5 cm2 cell test code]],[1]!Table1[[Test code]:[Test code]],[1]!Table1[Ionic resistance DIW/Ohm cm2],"",0)</f>
        <v>#REF!</v>
      </c>
      <c r="AG30" s="69" t="e" cm="1">
        <f t="array" ref="AG30">_xlfn.XLOOKUP(Table1[[#This Row],[5 cm2 cell test code]:[5 cm2 cell test code]],[1]!Table1[[Test code]:[Test code]],[1]!Table1[Q_int_frac DIW],"",0)</f>
        <v>#REF!</v>
      </c>
      <c r="AH30" s="69" t="e" cm="1">
        <f t="array" ref="AH30">_xlfn.XLOOKUP(Table1[[#This Row],[5 cm2 cell test code]:[5 cm2 cell test code]],[1]!Table1[[Test code]:[Test code]],[1]!Table1[Ionic resistance 10 mM KOH/Ohm cm2],"",0)</f>
        <v>#REF!</v>
      </c>
      <c r="AI30" s="69" t="e" cm="1">
        <f t="array" ref="AI30">_xlfn.XLOOKUP(Table1[[#This Row],[5 cm2 cell test code]:[5 cm2 cell test code]],[1]!Table1[[Test code]:[Test code]],[1]!Table1[Q_int_frac DIW 10 mM KOH],"",0)</f>
        <v>#REF!</v>
      </c>
      <c r="AJ30" s="69" t="e" cm="1">
        <f t="array" ref="AJ30">_xlfn.XLOOKUP(Table1[[#This Row],[5 cm2 cell test code]:[5 cm2 cell test code]],[1]!Table1[[Test code]:[Test code]],[1]!Table1[DIW conductivity (µS/cm)],"",0)</f>
        <v>#REF!</v>
      </c>
      <c r="AQ30" s="4" t="str">
        <v>VSG01A-23097C4.01</v>
      </c>
      <c r="AR30" s="95"/>
      <c r="AS30" s="95"/>
      <c r="AT30" s="95"/>
      <c r="AU30" s="95"/>
      <c r="AV30" s="95"/>
    </row>
    <row r="31" spans="1:48">
      <c r="A31" s="81">
        <v>10</v>
      </c>
      <c r="B31" s="11" t="s">
        <v>121</v>
      </c>
      <c r="C31" s="4" t="s">
        <v>122</v>
      </c>
      <c r="I31" s="11" t="s">
        <v>114</v>
      </c>
      <c r="J31" s="11" t="s">
        <v>58</v>
      </c>
      <c r="K31" s="43" t="s">
        <v>59</v>
      </c>
      <c r="M31" s="13">
        <f>(11.6974-11.4546)*1000/(11.5*11)</f>
        <v>1.9193675889328128</v>
      </c>
      <c r="O31" s="40" t="s">
        <v>123</v>
      </c>
      <c r="P31" s="28">
        <f>(11.8287-11.6974)*1000/(11.5*11)</f>
        <v>1.0379446640316168</v>
      </c>
      <c r="Q31" s="11"/>
      <c r="R31" s="11"/>
      <c r="S31" s="11"/>
      <c r="T31" s="8"/>
      <c r="U31" s="101"/>
      <c r="V31" s="101"/>
      <c r="W31" s="69" t="e" cm="1">
        <f t="array" ref="W31">_xlfn.XLOOKUP(Table1[[#This Row],[5 cm2 cell test code]:[5 cm2 cell test code]],[1]!Table1[[Test code]:[Test code]],[1]!Table1[i @ 1.8 V DIW (A/cm2)],"",0)</f>
        <v>#REF!</v>
      </c>
      <c r="X31" s="69" t="e" cm="1">
        <f t="array" ref="X31">_xlfn.XLOOKUP(Table1[[#This Row],[5 cm2 cell test code]:[5 cm2 cell test code]],[1]!Table1[[Test code]:[Test code]],[1]!Table1[i @ 1.8 V 10 mM KOH (A/cm2)],"",0)</f>
        <v>#REF!</v>
      </c>
      <c r="Y31" s="69" t="e" cm="1">
        <f t="array" ref="Y31">_xlfn.XLOOKUP(Table1[[#This Row],[5 cm2 cell test code]:[5 cm2 cell test code]],[1]!Table1[[Test code]:[Test code]],[1]!Table1[3-E ƞ at 20mAcm-2 (mV)],"",0)</f>
        <v>#REF!</v>
      </c>
      <c r="Z31" s="69" t="e" cm="1">
        <f t="array" ref="Z31">_xlfn.XLOOKUP(Table1[[#This Row],[5 cm2 cell test code]:[5 cm2 cell test code]],[1]!Table1[[Test code]:[Test code]],[1]!Table1[3-E Tafel slope (mV/dec)],"",0)</f>
        <v>#REF!</v>
      </c>
      <c r="AA31" s="69" t="e" cm="1">
        <f t="array" ref="AA31">_xlfn.XLOOKUP(Table1[[#This Row],[5 cm2 cell test code]:[5 cm2 cell test code]],[1]!Table1[[Test code]:[Test code]],[1]!Table1[E @ 100 mA/cm2 DIW/V],"",0)</f>
        <v>#REF!</v>
      </c>
      <c r="AB31" s="69" t="e" cm="1">
        <f t="array" ref="AB31">_xlfn.XLOOKUP(Table1[[#This Row],[5 cm2 cell test code]:[5 cm2 cell test code]],[1]!Table1[[Test code]:[Test code]],[1]!Table1[E @ 100 mA/cm2 10 mM KOH/V],"",0)</f>
        <v>#REF!</v>
      </c>
      <c r="AC31" s="69" t="e" cm="1">
        <f t="array" ref="AC31">_xlfn.XLOOKUP(Table1[[#This Row],[5 cm2 cell test code]:[5 cm2 cell test code]],[1]!Table1[[Test code]:[Test code]],[1]!Table1[Anode ICR/mOhm],"",0)</f>
        <v>#REF!</v>
      </c>
      <c r="AD31" s="69" t="e" cm="1">
        <f t="array" ref="AD31">_xlfn.XLOOKUP(Table1[[#This Row],[5 cm2 cell test code]:[5 cm2 cell test code]],[1]!Table1[[Test code]:[Test code]],[1]!Table1[HFR DIW/ mOhm cm2],"",0)</f>
        <v>#REF!</v>
      </c>
      <c r="AE31" s="69" t="e" cm="1">
        <f t="array" ref="AE31">_xlfn.XLOOKUP(Table1[[#This Row],[5 cm2 cell test code]:[5 cm2 cell test code]],[1]!Table1[[Test code]:[Test code]],[1]!Table1[HFR 10 mM KOH/ mOhm cm2],"",0)</f>
        <v>#REF!</v>
      </c>
      <c r="AF31" s="69" t="e" cm="1">
        <f t="array" ref="AF31">_xlfn.XLOOKUP(Table1[[#This Row],[5 cm2 cell test code]:[5 cm2 cell test code]],[1]!Table1[[Test code]:[Test code]],[1]!Table1[Ionic resistance DIW/Ohm cm2],"",0)</f>
        <v>#REF!</v>
      </c>
      <c r="AG31" s="69" t="e" cm="1">
        <f t="array" ref="AG31">_xlfn.XLOOKUP(Table1[[#This Row],[5 cm2 cell test code]:[5 cm2 cell test code]],[1]!Table1[[Test code]:[Test code]],[1]!Table1[Q_int_frac DIW],"",0)</f>
        <v>#REF!</v>
      </c>
      <c r="AH31" s="69" t="e" cm="1">
        <f t="array" ref="AH31">_xlfn.XLOOKUP(Table1[[#This Row],[5 cm2 cell test code]:[5 cm2 cell test code]],[1]!Table1[[Test code]:[Test code]],[1]!Table1[Ionic resistance 10 mM KOH/Ohm cm2],"",0)</f>
        <v>#REF!</v>
      </c>
      <c r="AI31" s="69" t="e" cm="1">
        <f t="array" ref="AI31">_xlfn.XLOOKUP(Table1[[#This Row],[5 cm2 cell test code]:[5 cm2 cell test code]],[1]!Table1[[Test code]:[Test code]],[1]!Table1[Q_int_frac DIW 10 mM KOH],"",0)</f>
        <v>#REF!</v>
      </c>
      <c r="AJ31" s="69" t="e" cm="1">
        <f t="array" ref="AJ31">_xlfn.XLOOKUP(Table1[[#This Row],[5 cm2 cell test code]:[5 cm2 cell test code]],[1]!Table1[[Test code]:[Test code]],[1]!Table1[DIW conductivity (µS/cm)],"",0)</f>
        <v>#REF!</v>
      </c>
      <c r="AQ31" s="4" t="str">
        <v>VSG01A-23107C1</v>
      </c>
      <c r="AR31" s="95">
        <f>COUNTIFS(Table1[Anode PN (Stack/cell electrodes)],AQ31,Table1[ƞ at 20mAcm-2 (mV)],"&lt;&gt;")</f>
        <v>0</v>
      </c>
      <c r="AS31" s="95">
        <f>COUNTIFS(Table1[Anode PN (Stack/cell electrodes)],AQ31,Table1[i @ 1.8 V DIW (A/cm2)],"&lt;&gt;")</f>
        <v>1</v>
      </c>
      <c r="AT31" s="95">
        <f>COUNTIFS(Table1[Anode PN (Stack/cell electrodes)],AQ31,Table1[i at 1.8 V 10 mM KOH (A/cm2)],"&lt;&gt;")</f>
        <v>1</v>
      </c>
      <c r="AU31" s="95">
        <f>COUNTIFS(Table1[Anode PN (Stack/cell electrodes)],AQ31,Table1[Ionic resistance DIW/Ohm cm2],"&lt;&gt;")</f>
        <v>1</v>
      </c>
      <c r="AV31" s="95">
        <f>COUNTIFS(Table1[Anode PN (Stack/cell electrodes)],AQ31,Table1[Ionic resistance 10 mM KOH/Ohm cm2],"&lt;&gt;")</f>
        <v>1</v>
      </c>
    </row>
    <row r="32" spans="1:48">
      <c r="A32" s="81"/>
      <c r="K32" s="43" t="s">
        <v>59</v>
      </c>
      <c r="Q32" s="11"/>
      <c r="R32" s="11"/>
      <c r="S32" s="11"/>
      <c r="T32" s="8"/>
      <c r="U32" s="101"/>
      <c r="V32" s="101"/>
      <c r="W32" s="69" t="e" cm="1">
        <f t="array" ref="W32">_xlfn.XLOOKUP(Table1[[#This Row],[5 cm2 cell test code]:[5 cm2 cell test code]],[1]!Table1[[Test code]:[Test code]],[1]!Table1[i @ 1.8 V DIW (A/cm2)],"",0)</f>
        <v>#REF!</v>
      </c>
      <c r="X32" s="69" t="e" cm="1">
        <f t="array" ref="X32">_xlfn.XLOOKUP(Table1[[#This Row],[5 cm2 cell test code]:[5 cm2 cell test code]],[1]!Table1[[Test code]:[Test code]],[1]!Table1[i @ 1.8 V 10 mM KOH (A/cm2)],"",0)</f>
        <v>#REF!</v>
      </c>
      <c r="Y32" s="69" t="e" cm="1">
        <f t="array" ref="Y32">_xlfn.XLOOKUP(Table1[[#This Row],[5 cm2 cell test code]:[5 cm2 cell test code]],[1]!Table1[[Test code]:[Test code]],[1]!Table1[3-E ƞ at 20mAcm-2 (mV)],"",0)</f>
        <v>#REF!</v>
      </c>
      <c r="Z32" s="69" t="e" cm="1">
        <f t="array" ref="Z32">_xlfn.XLOOKUP(Table1[[#This Row],[5 cm2 cell test code]:[5 cm2 cell test code]],[1]!Table1[[Test code]:[Test code]],[1]!Table1[3-E Tafel slope (mV/dec)],"",0)</f>
        <v>#REF!</v>
      </c>
      <c r="AA32" s="69" t="e" cm="1">
        <f t="array" ref="AA32">_xlfn.XLOOKUP(Table1[[#This Row],[5 cm2 cell test code]:[5 cm2 cell test code]],[1]!Table1[[Test code]:[Test code]],[1]!Table1[E @ 100 mA/cm2 DIW/V],"",0)</f>
        <v>#REF!</v>
      </c>
      <c r="AB32" s="69" t="e" cm="1">
        <f t="array" ref="AB32">_xlfn.XLOOKUP(Table1[[#This Row],[5 cm2 cell test code]:[5 cm2 cell test code]],[1]!Table1[[Test code]:[Test code]],[1]!Table1[E @ 100 mA/cm2 10 mM KOH/V],"",0)</f>
        <v>#REF!</v>
      </c>
      <c r="AC32" s="69" t="e" cm="1">
        <f t="array" ref="AC32">_xlfn.XLOOKUP(Table1[[#This Row],[5 cm2 cell test code]:[5 cm2 cell test code]],[1]!Table1[[Test code]:[Test code]],[1]!Table1[Anode ICR/mOhm],"",0)</f>
        <v>#REF!</v>
      </c>
      <c r="AD32" s="69" t="e" cm="1">
        <f t="array" ref="AD32">_xlfn.XLOOKUP(Table1[[#This Row],[5 cm2 cell test code]:[5 cm2 cell test code]],[1]!Table1[[Test code]:[Test code]],[1]!Table1[HFR DIW/ mOhm cm2],"",0)</f>
        <v>#REF!</v>
      </c>
      <c r="AE32" s="69" t="e" cm="1">
        <f t="array" ref="AE32">_xlfn.XLOOKUP(Table1[[#This Row],[5 cm2 cell test code]:[5 cm2 cell test code]],[1]!Table1[[Test code]:[Test code]],[1]!Table1[HFR 10 mM KOH/ mOhm cm2],"",0)</f>
        <v>#REF!</v>
      </c>
      <c r="AF32" s="69" t="e" cm="1">
        <f t="array" ref="AF32">_xlfn.XLOOKUP(Table1[[#This Row],[5 cm2 cell test code]:[5 cm2 cell test code]],[1]!Table1[[Test code]:[Test code]],[1]!Table1[Ionic resistance DIW/Ohm cm2],"",0)</f>
        <v>#REF!</v>
      </c>
      <c r="AG32" s="69" t="e" cm="1">
        <f t="array" ref="AG32">_xlfn.XLOOKUP(Table1[[#This Row],[5 cm2 cell test code]:[5 cm2 cell test code]],[1]!Table1[[Test code]:[Test code]],[1]!Table1[Q_int_frac DIW],"",0)</f>
        <v>#REF!</v>
      </c>
      <c r="AH32" s="69" t="e" cm="1">
        <f t="array" ref="AH32">_xlfn.XLOOKUP(Table1[[#This Row],[5 cm2 cell test code]:[5 cm2 cell test code]],[1]!Table1[[Test code]:[Test code]],[1]!Table1[Ionic resistance 10 mM KOH/Ohm cm2],"",0)</f>
        <v>#REF!</v>
      </c>
      <c r="AI32" s="69" t="e" cm="1">
        <f t="array" ref="AI32">_xlfn.XLOOKUP(Table1[[#This Row],[5 cm2 cell test code]:[5 cm2 cell test code]],[1]!Table1[[Test code]:[Test code]],[1]!Table1[Q_int_frac DIW 10 mM KOH],"",0)</f>
        <v>#REF!</v>
      </c>
      <c r="AJ32" s="69" t="e" cm="1">
        <f t="array" ref="AJ32">_xlfn.XLOOKUP(Table1[[#This Row],[5 cm2 cell test code]:[5 cm2 cell test code]],[1]!Table1[[Test code]:[Test code]],[1]!Table1[DIW conductivity (µS/cm)],"",0)</f>
        <v>#REF!</v>
      </c>
      <c r="AQ32" s="4" t="str">
        <v>VSG01A-23107C1.01</v>
      </c>
      <c r="AR32" s="95">
        <f>COUNTIFS(Table1[Anode PN (Stack/cell electrodes)],AQ32,Table1[ƞ at 20mAcm-2 (mV)],"&lt;&gt;")</f>
        <v>0</v>
      </c>
      <c r="AS32" s="95">
        <f>COUNTIFS(Table1[Anode PN (Stack/cell electrodes)],AQ32,Table1[i @ 1.8 V DIW (A/cm2)],"&lt;&gt;")</f>
        <v>1</v>
      </c>
      <c r="AT32" s="95">
        <f>COUNTIFS(Table1[Anode PN (Stack/cell electrodes)],AQ32,Table1[i at 1.8 V 10 mM KOH (A/cm2)],"&lt;&gt;")</f>
        <v>1</v>
      </c>
      <c r="AU32" s="95">
        <f>COUNTIFS(Table1[Anode PN (Stack/cell electrodes)],AQ32,Table1[Ionic resistance DIW/Ohm cm2],"&lt;&gt;")</f>
        <v>1</v>
      </c>
      <c r="AV32" s="95">
        <f>COUNTIFS(Table1[Anode PN (Stack/cell electrodes)],AQ32,Table1[Ionic resistance 10 mM KOH/Ohm cm2],"&lt;&gt;")</f>
        <v>1</v>
      </c>
    </row>
    <row r="33" spans="1:48">
      <c r="A33" s="81"/>
      <c r="K33" s="43" t="s">
        <v>59</v>
      </c>
      <c r="Q33" s="11"/>
      <c r="R33" s="11"/>
      <c r="S33" s="11"/>
      <c r="T33" s="8"/>
      <c r="U33" s="101"/>
      <c r="V33" s="101"/>
      <c r="W33" s="69" t="e" cm="1">
        <f t="array" ref="W33">_xlfn.XLOOKUP(Table1[[#This Row],[5 cm2 cell test code]:[5 cm2 cell test code]],[1]!Table1[[Test code]:[Test code]],[1]!Table1[i @ 1.8 V DIW (A/cm2)],"",0)</f>
        <v>#REF!</v>
      </c>
      <c r="X33" s="69" t="e" cm="1">
        <f t="array" ref="X33">_xlfn.XLOOKUP(Table1[[#This Row],[5 cm2 cell test code]:[5 cm2 cell test code]],[1]!Table1[[Test code]:[Test code]],[1]!Table1[i @ 1.8 V 10 mM KOH (A/cm2)],"",0)</f>
        <v>#REF!</v>
      </c>
      <c r="Y33" s="69" t="e" cm="1">
        <f t="array" ref="Y33">_xlfn.XLOOKUP(Table1[[#This Row],[5 cm2 cell test code]:[5 cm2 cell test code]],[1]!Table1[[Test code]:[Test code]],[1]!Table1[3-E ƞ at 20mAcm-2 (mV)],"",0)</f>
        <v>#REF!</v>
      </c>
      <c r="Z33" s="69" t="e" cm="1">
        <f t="array" ref="Z33">_xlfn.XLOOKUP(Table1[[#This Row],[5 cm2 cell test code]:[5 cm2 cell test code]],[1]!Table1[[Test code]:[Test code]],[1]!Table1[3-E Tafel slope (mV/dec)],"",0)</f>
        <v>#REF!</v>
      </c>
      <c r="AA33" s="69" t="e" cm="1">
        <f t="array" ref="AA33">_xlfn.XLOOKUP(Table1[[#This Row],[5 cm2 cell test code]:[5 cm2 cell test code]],[1]!Table1[[Test code]:[Test code]],[1]!Table1[E @ 100 mA/cm2 DIW/V],"",0)</f>
        <v>#REF!</v>
      </c>
      <c r="AB33" s="69" t="e" cm="1">
        <f t="array" ref="AB33">_xlfn.XLOOKUP(Table1[[#This Row],[5 cm2 cell test code]:[5 cm2 cell test code]],[1]!Table1[[Test code]:[Test code]],[1]!Table1[E @ 100 mA/cm2 10 mM KOH/V],"",0)</f>
        <v>#REF!</v>
      </c>
      <c r="AC33" s="69" t="e" cm="1">
        <f t="array" ref="AC33">_xlfn.XLOOKUP(Table1[[#This Row],[5 cm2 cell test code]:[5 cm2 cell test code]],[1]!Table1[[Test code]:[Test code]],[1]!Table1[Anode ICR/mOhm],"",0)</f>
        <v>#REF!</v>
      </c>
      <c r="AD33" s="69" t="e" cm="1">
        <f t="array" ref="AD33">_xlfn.XLOOKUP(Table1[[#This Row],[5 cm2 cell test code]:[5 cm2 cell test code]],[1]!Table1[[Test code]:[Test code]],[1]!Table1[HFR DIW/ mOhm cm2],"",0)</f>
        <v>#REF!</v>
      </c>
      <c r="AE33" s="69" t="e" cm="1">
        <f t="array" ref="AE33">_xlfn.XLOOKUP(Table1[[#This Row],[5 cm2 cell test code]:[5 cm2 cell test code]],[1]!Table1[[Test code]:[Test code]],[1]!Table1[HFR 10 mM KOH/ mOhm cm2],"",0)</f>
        <v>#REF!</v>
      </c>
      <c r="AF33" s="69" t="e" cm="1">
        <f t="array" ref="AF33">_xlfn.XLOOKUP(Table1[[#This Row],[5 cm2 cell test code]:[5 cm2 cell test code]],[1]!Table1[[Test code]:[Test code]],[1]!Table1[Ionic resistance DIW/Ohm cm2],"",0)</f>
        <v>#REF!</v>
      </c>
      <c r="AG33" s="69" t="e" cm="1">
        <f t="array" ref="AG33">_xlfn.XLOOKUP(Table1[[#This Row],[5 cm2 cell test code]:[5 cm2 cell test code]],[1]!Table1[[Test code]:[Test code]],[1]!Table1[Q_int_frac DIW],"",0)</f>
        <v>#REF!</v>
      </c>
      <c r="AH33" s="69" t="e" cm="1">
        <f t="array" ref="AH33">_xlfn.XLOOKUP(Table1[[#This Row],[5 cm2 cell test code]:[5 cm2 cell test code]],[1]!Table1[[Test code]:[Test code]],[1]!Table1[Ionic resistance 10 mM KOH/Ohm cm2],"",0)</f>
        <v>#REF!</v>
      </c>
      <c r="AI33" s="69" t="e" cm="1">
        <f t="array" ref="AI33">_xlfn.XLOOKUP(Table1[[#This Row],[5 cm2 cell test code]:[5 cm2 cell test code]],[1]!Table1[[Test code]:[Test code]],[1]!Table1[Q_int_frac DIW 10 mM KOH],"",0)</f>
        <v>#REF!</v>
      </c>
      <c r="AJ33" s="69" t="e" cm="1">
        <f t="array" ref="AJ33">_xlfn.XLOOKUP(Table1[[#This Row],[5 cm2 cell test code]:[5 cm2 cell test code]],[1]!Table1[[Test code]:[Test code]],[1]!Table1[DIW conductivity (µS/cm)],"",0)</f>
        <v>#REF!</v>
      </c>
      <c r="AQ33" s="4" t="str">
        <v>VSG01A-23107C1.02</v>
      </c>
      <c r="AR33" s="95">
        <f>COUNTIFS(Table1[Anode PN (Stack/cell electrodes)],AQ33,Table1[ƞ at 20mAcm-2 (mV)],"&lt;&gt;")</f>
        <v>0</v>
      </c>
      <c r="AS33" s="95">
        <f>COUNTIFS(Table1[Anode PN (Stack/cell electrodes)],AQ33,Table1[i @ 1.8 V DIW (A/cm2)],"&lt;&gt;")</f>
        <v>1</v>
      </c>
      <c r="AT33" s="95">
        <f>COUNTIFS(Table1[Anode PN (Stack/cell electrodes)],AQ33,Table1[i at 1.8 V 10 mM KOH (A/cm2)],"&lt;&gt;")</f>
        <v>1</v>
      </c>
      <c r="AU33" s="95">
        <f>COUNTIFS(Table1[Anode PN (Stack/cell electrodes)],AQ33,Table1[Ionic resistance DIW/Ohm cm2],"&lt;&gt;")</f>
        <v>1</v>
      </c>
      <c r="AV33" s="95">
        <f>COUNTIFS(Table1[Anode PN (Stack/cell electrodes)],AQ33,Table1[Ionic resistance 10 mM KOH/Ohm cm2],"&lt;&gt;")</f>
        <v>1</v>
      </c>
    </row>
    <row r="34" spans="1:48">
      <c r="A34" s="81"/>
      <c r="B34" s="11" t="s">
        <v>124</v>
      </c>
      <c r="C34" s="4" t="s">
        <v>125</v>
      </c>
      <c r="I34" s="11" t="s">
        <v>114</v>
      </c>
      <c r="K34" s="43" t="s">
        <v>59</v>
      </c>
      <c r="Q34" s="11"/>
      <c r="R34" s="11"/>
      <c r="S34" s="11"/>
      <c r="T34" s="8"/>
      <c r="U34" s="101"/>
      <c r="V34" s="101"/>
      <c r="W34" s="69" t="e" cm="1">
        <f t="array" ref="W34">_xlfn.XLOOKUP(Table1[[#This Row],[5 cm2 cell test code]:[5 cm2 cell test code]],[1]!Table1[[Test code]:[Test code]],[1]!Table1[i @ 1.8 V DIW (A/cm2)],"",0)</f>
        <v>#REF!</v>
      </c>
      <c r="X34" s="69" t="e" cm="1">
        <f t="array" ref="X34">_xlfn.XLOOKUP(Table1[[#This Row],[5 cm2 cell test code]:[5 cm2 cell test code]],[1]!Table1[[Test code]:[Test code]],[1]!Table1[i @ 1.8 V 10 mM KOH (A/cm2)],"",0)</f>
        <v>#REF!</v>
      </c>
      <c r="Y34" s="69" t="e" cm="1">
        <f t="array" ref="Y34">_xlfn.XLOOKUP(Table1[[#This Row],[5 cm2 cell test code]:[5 cm2 cell test code]],[1]!Table1[[Test code]:[Test code]],[1]!Table1[3-E ƞ at 20mAcm-2 (mV)],"",0)</f>
        <v>#REF!</v>
      </c>
      <c r="Z34" s="69" t="e" cm="1">
        <f t="array" ref="Z34">_xlfn.XLOOKUP(Table1[[#This Row],[5 cm2 cell test code]:[5 cm2 cell test code]],[1]!Table1[[Test code]:[Test code]],[1]!Table1[3-E Tafel slope (mV/dec)],"",0)</f>
        <v>#REF!</v>
      </c>
      <c r="AA34" s="69" t="e" cm="1">
        <f t="array" ref="AA34">_xlfn.XLOOKUP(Table1[[#This Row],[5 cm2 cell test code]:[5 cm2 cell test code]],[1]!Table1[[Test code]:[Test code]],[1]!Table1[E @ 100 mA/cm2 DIW/V],"",0)</f>
        <v>#REF!</v>
      </c>
      <c r="AB34" s="69" t="e" cm="1">
        <f t="array" ref="AB34">_xlfn.XLOOKUP(Table1[[#This Row],[5 cm2 cell test code]:[5 cm2 cell test code]],[1]!Table1[[Test code]:[Test code]],[1]!Table1[E @ 100 mA/cm2 10 mM KOH/V],"",0)</f>
        <v>#REF!</v>
      </c>
      <c r="AC34" s="69" t="e" cm="1">
        <f t="array" ref="AC34">_xlfn.XLOOKUP(Table1[[#This Row],[5 cm2 cell test code]:[5 cm2 cell test code]],[1]!Table1[[Test code]:[Test code]],[1]!Table1[Anode ICR/mOhm],"",0)</f>
        <v>#REF!</v>
      </c>
      <c r="AD34" s="69" t="e" cm="1">
        <f t="array" ref="AD34">_xlfn.XLOOKUP(Table1[[#This Row],[5 cm2 cell test code]:[5 cm2 cell test code]],[1]!Table1[[Test code]:[Test code]],[1]!Table1[HFR DIW/ mOhm cm2],"",0)</f>
        <v>#REF!</v>
      </c>
      <c r="AE34" s="69" t="e" cm="1">
        <f t="array" ref="AE34">_xlfn.XLOOKUP(Table1[[#This Row],[5 cm2 cell test code]:[5 cm2 cell test code]],[1]!Table1[[Test code]:[Test code]],[1]!Table1[HFR 10 mM KOH/ mOhm cm2],"",0)</f>
        <v>#REF!</v>
      </c>
      <c r="AF34" s="69" t="e" cm="1">
        <f t="array" ref="AF34">_xlfn.XLOOKUP(Table1[[#This Row],[5 cm2 cell test code]:[5 cm2 cell test code]],[1]!Table1[[Test code]:[Test code]],[1]!Table1[Ionic resistance DIW/Ohm cm2],"",0)</f>
        <v>#REF!</v>
      </c>
      <c r="AG34" s="69" t="e" cm="1">
        <f t="array" ref="AG34">_xlfn.XLOOKUP(Table1[[#This Row],[5 cm2 cell test code]:[5 cm2 cell test code]],[1]!Table1[[Test code]:[Test code]],[1]!Table1[Q_int_frac DIW],"",0)</f>
        <v>#REF!</v>
      </c>
      <c r="AH34" s="69" t="e" cm="1">
        <f t="array" ref="AH34">_xlfn.XLOOKUP(Table1[[#This Row],[5 cm2 cell test code]:[5 cm2 cell test code]],[1]!Table1[[Test code]:[Test code]],[1]!Table1[Ionic resistance 10 mM KOH/Ohm cm2],"",0)</f>
        <v>#REF!</v>
      </c>
      <c r="AI34" s="69" t="e" cm="1">
        <f t="array" ref="AI34">_xlfn.XLOOKUP(Table1[[#This Row],[5 cm2 cell test code]:[5 cm2 cell test code]],[1]!Table1[[Test code]:[Test code]],[1]!Table1[Q_int_frac DIW 10 mM KOH],"",0)</f>
        <v>#REF!</v>
      </c>
      <c r="AJ34" s="69" t="e" cm="1">
        <f t="array" ref="AJ34">_xlfn.XLOOKUP(Table1[[#This Row],[5 cm2 cell test code]:[5 cm2 cell test code]],[1]!Table1[[Test code]:[Test code]],[1]!Table1[DIW conductivity (µS/cm)],"",0)</f>
        <v>#REF!</v>
      </c>
      <c r="AQ34" s="4" t="str">
        <v>VSG01A-23107C1.03</v>
      </c>
      <c r="AR34" s="95">
        <f>COUNTIFS(Table1[Anode PN (Stack/cell electrodes)],AQ34,Table1[ƞ at 20mAcm-2 (mV)],"&lt;&gt;")</f>
        <v>0</v>
      </c>
      <c r="AS34" s="95">
        <f>COUNTIFS(Table1[Anode PN (Stack/cell electrodes)],AQ34,Table1[i @ 1.8 V DIW (A/cm2)],"&lt;&gt;")</f>
        <v>1</v>
      </c>
      <c r="AT34" s="95">
        <f>COUNTIFS(Table1[Anode PN (Stack/cell electrodes)],AQ34,Table1[i at 1.8 V 10 mM KOH (A/cm2)],"&lt;&gt;")</f>
        <v>1</v>
      </c>
      <c r="AU34" s="95">
        <f>COUNTIFS(Table1[Anode PN (Stack/cell electrodes)],AQ34,Table1[Ionic resistance DIW/Ohm cm2],"&lt;&gt;")</f>
        <v>1</v>
      </c>
      <c r="AV34" s="95">
        <f>COUNTIFS(Table1[Anode PN (Stack/cell electrodes)],AQ34,Table1[Ionic resistance 10 mM KOH/Ohm cm2],"&lt;&gt;")</f>
        <v>1</v>
      </c>
    </row>
    <row r="35" spans="1:48">
      <c r="A35" s="81"/>
      <c r="B35" s="11" t="s">
        <v>126</v>
      </c>
      <c r="C35" s="4" t="s">
        <v>127</v>
      </c>
      <c r="I35" s="11" t="s">
        <v>114</v>
      </c>
      <c r="J35" s="11" t="s">
        <v>58</v>
      </c>
      <c r="K35" s="43" t="s">
        <v>59</v>
      </c>
      <c r="M35" s="13">
        <v>1.02</v>
      </c>
      <c r="Q35" s="11"/>
      <c r="R35" s="11"/>
      <c r="S35" s="11"/>
      <c r="T35" s="8"/>
      <c r="U35" s="100"/>
      <c r="V35" s="100"/>
      <c r="W35" s="69" t="e" cm="1">
        <f t="array" ref="W35">_xlfn.XLOOKUP(Table1[[#This Row],[5 cm2 cell test code]:[5 cm2 cell test code]],[1]!Table1[[Test code]:[Test code]],[1]!Table1[i @ 1.8 V DIW (A/cm2)],"",0)</f>
        <v>#REF!</v>
      </c>
      <c r="X35" s="69" t="e" cm="1">
        <f t="array" ref="X35">_xlfn.XLOOKUP(Table1[[#This Row],[5 cm2 cell test code]:[5 cm2 cell test code]],[1]!Table1[[Test code]:[Test code]],[1]!Table1[i @ 1.8 V 10 mM KOH (A/cm2)],"",0)</f>
        <v>#REF!</v>
      </c>
      <c r="Y35" s="69" t="e" cm="1">
        <f t="array" ref="Y35">_xlfn.XLOOKUP(Table1[[#This Row],[5 cm2 cell test code]:[5 cm2 cell test code]],[1]!Table1[[Test code]:[Test code]],[1]!Table1[3-E ƞ at 20mAcm-2 (mV)],"",0)</f>
        <v>#REF!</v>
      </c>
      <c r="Z35" s="69" t="e" cm="1">
        <f t="array" ref="Z35">_xlfn.XLOOKUP(Table1[[#This Row],[5 cm2 cell test code]:[5 cm2 cell test code]],[1]!Table1[[Test code]:[Test code]],[1]!Table1[3-E Tafel slope (mV/dec)],"",0)</f>
        <v>#REF!</v>
      </c>
      <c r="AA35" s="69" t="e" cm="1">
        <f t="array" ref="AA35">_xlfn.XLOOKUP(Table1[[#This Row],[5 cm2 cell test code]:[5 cm2 cell test code]],[1]!Table1[[Test code]:[Test code]],[1]!Table1[E @ 100 mA/cm2 DIW/V],"",0)</f>
        <v>#REF!</v>
      </c>
      <c r="AB35" s="69" t="e" cm="1">
        <f t="array" ref="AB35">_xlfn.XLOOKUP(Table1[[#This Row],[5 cm2 cell test code]:[5 cm2 cell test code]],[1]!Table1[[Test code]:[Test code]],[1]!Table1[E @ 100 mA/cm2 10 mM KOH/V],"",0)</f>
        <v>#REF!</v>
      </c>
      <c r="AC35" s="69" t="e" cm="1">
        <f t="array" ref="AC35">_xlfn.XLOOKUP(Table1[[#This Row],[5 cm2 cell test code]:[5 cm2 cell test code]],[1]!Table1[[Test code]:[Test code]],[1]!Table1[Anode ICR/mOhm],"",0)</f>
        <v>#REF!</v>
      </c>
      <c r="AD35" s="69" t="e" cm="1">
        <f t="array" ref="AD35">_xlfn.XLOOKUP(Table1[[#This Row],[5 cm2 cell test code]:[5 cm2 cell test code]],[1]!Table1[[Test code]:[Test code]],[1]!Table1[HFR DIW/ mOhm cm2],"",0)</f>
        <v>#REF!</v>
      </c>
      <c r="AE35" s="69" t="e" cm="1">
        <f t="array" ref="AE35">_xlfn.XLOOKUP(Table1[[#This Row],[5 cm2 cell test code]:[5 cm2 cell test code]],[1]!Table1[[Test code]:[Test code]],[1]!Table1[HFR 10 mM KOH/ mOhm cm2],"",0)</f>
        <v>#REF!</v>
      </c>
      <c r="AF35" s="69" t="e" cm="1">
        <f t="array" ref="AF35">_xlfn.XLOOKUP(Table1[[#This Row],[5 cm2 cell test code]:[5 cm2 cell test code]],[1]!Table1[[Test code]:[Test code]],[1]!Table1[Ionic resistance DIW/Ohm cm2],"",0)</f>
        <v>#REF!</v>
      </c>
      <c r="AG35" s="69" t="e" cm="1">
        <f t="array" ref="AG35">_xlfn.XLOOKUP(Table1[[#This Row],[5 cm2 cell test code]:[5 cm2 cell test code]],[1]!Table1[[Test code]:[Test code]],[1]!Table1[Q_int_frac DIW],"",0)</f>
        <v>#REF!</v>
      </c>
      <c r="AH35" s="69" t="e" cm="1">
        <f t="array" ref="AH35">_xlfn.XLOOKUP(Table1[[#This Row],[5 cm2 cell test code]:[5 cm2 cell test code]],[1]!Table1[[Test code]:[Test code]],[1]!Table1[Ionic resistance 10 mM KOH/Ohm cm2],"",0)</f>
        <v>#REF!</v>
      </c>
      <c r="AI35" s="69" t="e" cm="1">
        <f t="array" ref="AI35">_xlfn.XLOOKUP(Table1[[#This Row],[5 cm2 cell test code]:[5 cm2 cell test code]],[1]!Table1[[Test code]:[Test code]],[1]!Table1[Q_int_frac DIW 10 mM KOH],"",0)</f>
        <v>#REF!</v>
      </c>
      <c r="AJ35" s="69" t="e" cm="1">
        <f t="array" ref="AJ35">_xlfn.XLOOKUP(Table1[[#This Row],[5 cm2 cell test code]:[5 cm2 cell test code]],[1]!Table1[[Test code]:[Test code]],[1]!Table1[DIW conductivity (µS/cm)],"",0)</f>
        <v>#REF!</v>
      </c>
      <c r="AQ35" s="4" t="str">
        <v>VSG01A-23107C1.04</v>
      </c>
      <c r="AR35" s="95">
        <f>COUNTIFS(Table1[Anode PN (Stack/cell electrodes)],AQ35,Table1[ƞ at 20mAcm-2 (mV)],"&lt;&gt;")</f>
        <v>0</v>
      </c>
      <c r="AS35" s="95">
        <f>COUNTIFS(Table1[Anode PN (Stack/cell electrodes)],AQ35,Table1[i @ 1.8 V DIW (A/cm2)],"&lt;&gt;")</f>
        <v>1</v>
      </c>
      <c r="AT35" s="95">
        <f>COUNTIFS(Table1[Anode PN (Stack/cell electrodes)],AQ35,Table1[i at 1.8 V 10 mM KOH (A/cm2)],"&lt;&gt;")</f>
        <v>1</v>
      </c>
      <c r="AU35" s="95">
        <f>COUNTIFS(Table1[Anode PN (Stack/cell electrodes)],AQ35,Table1[Ionic resistance DIW/Ohm cm2],"&lt;&gt;")</f>
        <v>1</v>
      </c>
      <c r="AV35" s="95">
        <f>COUNTIFS(Table1[Anode PN (Stack/cell electrodes)],AQ35,Table1[Ionic resistance 10 mM KOH/Ohm cm2],"&lt;&gt;")</f>
        <v>1</v>
      </c>
    </row>
    <row r="36" spans="1:48">
      <c r="A36" s="81"/>
      <c r="K36" s="43" t="s">
        <v>59</v>
      </c>
      <c r="Q36" s="11"/>
      <c r="R36" s="11"/>
      <c r="S36" s="11"/>
      <c r="T36" s="8"/>
      <c r="U36" s="100"/>
      <c r="V36" s="100"/>
      <c r="W36" s="69" t="e" cm="1">
        <f t="array" ref="W36">_xlfn.XLOOKUP(Table1[[#This Row],[5 cm2 cell test code]:[5 cm2 cell test code]],[1]!Table1[[Test code]:[Test code]],[1]!Table1[i @ 1.8 V DIW (A/cm2)],"",0)</f>
        <v>#REF!</v>
      </c>
      <c r="X36" s="69" t="e" cm="1">
        <f t="array" ref="X36">_xlfn.XLOOKUP(Table1[[#This Row],[5 cm2 cell test code]:[5 cm2 cell test code]],[1]!Table1[[Test code]:[Test code]],[1]!Table1[i @ 1.8 V 10 mM KOH (A/cm2)],"",0)</f>
        <v>#REF!</v>
      </c>
      <c r="Y36" s="69" t="e" cm="1">
        <f t="array" ref="Y36">_xlfn.XLOOKUP(Table1[[#This Row],[5 cm2 cell test code]:[5 cm2 cell test code]],[1]!Table1[[Test code]:[Test code]],[1]!Table1[3-E ƞ at 20mAcm-2 (mV)],"",0)</f>
        <v>#REF!</v>
      </c>
      <c r="Z36" s="69" t="e" cm="1">
        <f t="array" ref="Z36">_xlfn.XLOOKUP(Table1[[#This Row],[5 cm2 cell test code]:[5 cm2 cell test code]],[1]!Table1[[Test code]:[Test code]],[1]!Table1[3-E Tafel slope (mV/dec)],"",0)</f>
        <v>#REF!</v>
      </c>
      <c r="AA36" s="69" t="e" cm="1">
        <f t="array" ref="AA36">_xlfn.XLOOKUP(Table1[[#This Row],[5 cm2 cell test code]:[5 cm2 cell test code]],[1]!Table1[[Test code]:[Test code]],[1]!Table1[E @ 100 mA/cm2 DIW/V],"",0)</f>
        <v>#REF!</v>
      </c>
      <c r="AB36" s="69" t="e" cm="1">
        <f t="array" ref="AB36">_xlfn.XLOOKUP(Table1[[#This Row],[5 cm2 cell test code]:[5 cm2 cell test code]],[1]!Table1[[Test code]:[Test code]],[1]!Table1[E @ 100 mA/cm2 10 mM KOH/V],"",0)</f>
        <v>#REF!</v>
      </c>
      <c r="AC36" s="69" t="e" cm="1">
        <f t="array" ref="AC36">_xlfn.XLOOKUP(Table1[[#This Row],[5 cm2 cell test code]:[5 cm2 cell test code]],[1]!Table1[[Test code]:[Test code]],[1]!Table1[Anode ICR/mOhm],"",0)</f>
        <v>#REF!</v>
      </c>
      <c r="AD36" s="69" t="e" cm="1">
        <f t="array" ref="AD36">_xlfn.XLOOKUP(Table1[[#This Row],[5 cm2 cell test code]:[5 cm2 cell test code]],[1]!Table1[[Test code]:[Test code]],[1]!Table1[HFR DIW/ mOhm cm2],"",0)</f>
        <v>#REF!</v>
      </c>
      <c r="AE36" s="69" t="e" cm="1">
        <f t="array" ref="AE36">_xlfn.XLOOKUP(Table1[[#This Row],[5 cm2 cell test code]:[5 cm2 cell test code]],[1]!Table1[[Test code]:[Test code]],[1]!Table1[HFR 10 mM KOH/ mOhm cm2],"",0)</f>
        <v>#REF!</v>
      </c>
      <c r="AF36" s="69" t="e" cm="1">
        <f t="array" ref="AF36">_xlfn.XLOOKUP(Table1[[#This Row],[5 cm2 cell test code]:[5 cm2 cell test code]],[1]!Table1[[Test code]:[Test code]],[1]!Table1[Ionic resistance DIW/Ohm cm2],"",0)</f>
        <v>#REF!</v>
      </c>
      <c r="AG36" s="69" t="e" cm="1">
        <f t="array" ref="AG36">_xlfn.XLOOKUP(Table1[[#This Row],[5 cm2 cell test code]:[5 cm2 cell test code]],[1]!Table1[[Test code]:[Test code]],[1]!Table1[Q_int_frac DIW],"",0)</f>
        <v>#REF!</v>
      </c>
      <c r="AH36" s="69" t="e" cm="1">
        <f t="array" ref="AH36">_xlfn.XLOOKUP(Table1[[#This Row],[5 cm2 cell test code]:[5 cm2 cell test code]],[1]!Table1[[Test code]:[Test code]],[1]!Table1[Ionic resistance 10 mM KOH/Ohm cm2],"",0)</f>
        <v>#REF!</v>
      </c>
      <c r="AI36" s="69" t="e" cm="1">
        <f t="array" ref="AI36">_xlfn.XLOOKUP(Table1[[#This Row],[5 cm2 cell test code]:[5 cm2 cell test code]],[1]!Table1[[Test code]:[Test code]],[1]!Table1[Q_int_frac DIW 10 mM KOH],"",0)</f>
        <v>#REF!</v>
      </c>
      <c r="AJ36" s="69" t="e" cm="1">
        <f t="array" ref="AJ36">_xlfn.XLOOKUP(Table1[[#This Row],[5 cm2 cell test code]:[5 cm2 cell test code]],[1]!Table1[[Test code]:[Test code]],[1]!Table1[DIW conductivity (µS/cm)],"",0)</f>
        <v>#REF!</v>
      </c>
      <c r="AQ36" s="4" t="str">
        <v>VSG01A-23107C1.05</v>
      </c>
      <c r="AR36" s="95">
        <f>COUNTIFS(Table1[Anode PN (Stack/cell electrodes)],AQ36,Table1[ƞ at 20mAcm-2 (mV)],"&lt;&gt;")</f>
        <v>0</v>
      </c>
      <c r="AS36" s="95">
        <f>COUNTIFS(Table1[Anode PN (Stack/cell electrodes)],AQ36,Table1[i @ 1.8 V DIW (A/cm2)],"&lt;&gt;")</f>
        <v>1</v>
      </c>
      <c r="AT36" s="95">
        <f>COUNTIFS(Table1[Anode PN (Stack/cell electrodes)],AQ36,Table1[i at 1.8 V 10 mM KOH (A/cm2)],"&lt;&gt;")</f>
        <v>1</v>
      </c>
      <c r="AU36" s="95">
        <f>COUNTIFS(Table1[Anode PN (Stack/cell electrodes)],AQ36,Table1[Ionic resistance DIW/Ohm cm2],"&lt;&gt;")</f>
        <v>1</v>
      </c>
      <c r="AV36" s="95">
        <f>COUNTIFS(Table1[Anode PN (Stack/cell electrodes)],AQ36,Table1[Ionic resistance 10 mM KOH/Ohm cm2],"&lt;&gt;")</f>
        <v>1</v>
      </c>
    </row>
    <row r="37" spans="1:48">
      <c r="A37" s="81"/>
      <c r="B37" s="11" t="s">
        <v>128</v>
      </c>
      <c r="C37" s="4" t="s">
        <v>129</v>
      </c>
      <c r="I37" s="11" t="s">
        <v>114</v>
      </c>
      <c r="J37" s="11" t="s">
        <v>58</v>
      </c>
      <c r="K37" s="43" t="s">
        <v>59</v>
      </c>
      <c r="M37" s="13">
        <v>1</v>
      </c>
      <c r="T37" s="8"/>
      <c r="U37" s="100"/>
      <c r="V37" s="100"/>
      <c r="W37" s="69" t="e" cm="1">
        <f t="array" ref="W37">_xlfn.XLOOKUP(Table1[[#This Row],[5 cm2 cell test code]:[5 cm2 cell test code]],[1]!Table1[[Test code]:[Test code]],[1]!Table1[i @ 1.8 V DIW (A/cm2)],"",0)</f>
        <v>#REF!</v>
      </c>
      <c r="X37" s="69" t="e" cm="1">
        <f t="array" ref="X37">_xlfn.XLOOKUP(Table1[[#This Row],[5 cm2 cell test code]:[5 cm2 cell test code]],[1]!Table1[[Test code]:[Test code]],[1]!Table1[i @ 1.8 V 10 mM KOH (A/cm2)],"",0)</f>
        <v>#REF!</v>
      </c>
      <c r="Y37" s="69" t="e" cm="1">
        <f t="array" ref="Y37">_xlfn.XLOOKUP(Table1[[#This Row],[5 cm2 cell test code]:[5 cm2 cell test code]],[1]!Table1[[Test code]:[Test code]],[1]!Table1[3-E ƞ at 20mAcm-2 (mV)],"",0)</f>
        <v>#REF!</v>
      </c>
      <c r="Z37" s="69" t="e" cm="1">
        <f t="array" ref="Z37">_xlfn.XLOOKUP(Table1[[#This Row],[5 cm2 cell test code]:[5 cm2 cell test code]],[1]!Table1[[Test code]:[Test code]],[1]!Table1[3-E Tafel slope (mV/dec)],"",0)</f>
        <v>#REF!</v>
      </c>
      <c r="AA37" s="69" t="e" cm="1">
        <f t="array" ref="AA37">_xlfn.XLOOKUP(Table1[[#This Row],[5 cm2 cell test code]:[5 cm2 cell test code]],[1]!Table1[[Test code]:[Test code]],[1]!Table1[E @ 100 mA/cm2 DIW/V],"",0)</f>
        <v>#REF!</v>
      </c>
      <c r="AB37" s="69" t="e" cm="1">
        <f t="array" ref="AB37">_xlfn.XLOOKUP(Table1[[#This Row],[5 cm2 cell test code]:[5 cm2 cell test code]],[1]!Table1[[Test code]:[Test code]],[1]!Table1[E @ 100 mA/cm2 10 mM KOH/V],"",0)</f>
        <v>#REF!</v>
      </c>
      <c r="AC37" s="69" t="e" cm="1">
        <f t="array" ref="AC37">_xlfn.XLOOKUP(Table1[[#This Row],[5 cm2 cell test code]:[5 cm2 cell test code]],[1]!Table1[[Test code]:[Test code]],[1]!Table1[Anode ICR/mOhm],"",0)</f>
        <v>#REF!</v>
      </c>
      <c r="AD37" s="69" t="e" cm="1">
        <f t="array" ref="AD37">_xlfn.XLOOKUP(Table1[[#This Row],[5 cm2 cell test code]:[5 cm2 cell test code]],[1]!Table1[[Test code]:[Test code]],[1]!Table1[HFR DIW/ mOhm cm2],"",0)</f>
        <v>#REF!</v>
      </c>
      <c r="AE37" s="69" t="e" cm="1">
        <f t="array" ref="AE37">_xlfn.XLOOKUP(Table1[[#This Row],[5 cm2 cell test code]:[5 cm2 cell test code]],[1]!Table1[[Test code]:[Test code]],[1]!Table1[HFR 10 mM KOH/ mOhm cm2],"",0)</f>
        <v>#REF!</v>
      </c>
      <c r="AF37" s="69" t="e" cm="1">
        <f t="array" ref="AF37">_xlfn.XLOOKUP(Table1[[#This Row],[5 cm2 cell test code]:[5 cm2 cell test code]],[1]!Table1[[Test code]:[Test code]],[1]!Table1[Ionic resistance DIW/Ohm cm2],"",0)</f>
        <v>#REF!</v>
      </c>
      <c r="AG37" s="69" t="e" cm="1">
        <f t="array" ref="AG37">_xlfn.XLOOKUP(Table1[[#This Row],[5 cm2 cell test code]:[5 cm2 cell test code]],[1]!Table1[[Test code]:[Test code]],[1]!Table1[Q_int_frac DIW],"",0)</f>
        <v>#REF!</v>
      </c>
      <c r="AH37" s="69" t="e" cm="1">
        <f t="array" ref="AH37">_xlfn.XLOOKUP(Table1[[#This Row],[5 cm2 cell test code]:[5 cm2 cell test code]],[1]!Table1[[Test code]:[Test code]],[1]!Table1[Ionic resistance 10 mM KOH/Ohm cm2],"",0)</f>
        <v>#REF!</v>
      </c>
      <c r="AI37" s="69" t="e" cm="1">
        <f t="array" ref="AI37">_xlfn.XLOOKUP(Table1[[#This Row],[5 cm2 cell test code]:[5 cm2 cell test code]],[1]!Table1[[Test code]:[Test code]],[1]!Table1[Q_int_frac DIW 10 mM KOH],"",0)</f>
        <v>#REF!</v>
      </c>
      <c r="AJ37" s="69" t="e" cm="1">
        <f t="array" ref="AJ37">_xlfn.XLOOKUP(Table1[[#This Row],[5 cm2 cell test code]:[5 cm2 cell test code]],[1]!Table1[[Test code]:[Test code]],[1]!Table1[DIW conductivity (µS/cm)],"",0)</f>
        <v>#REF!</v>
      </c>
      <c r="AQ37" s="4" t="str">
        <v>VSG01A-23107C1.06</v>
      </c>
      <c r="AR37" s="95">
        <f>COUNTIFS(Table1[Anode PN (Stack/cell electrodes)],AQ37,Table1[ƞ at 20mAcm-2 (mV)],"&lt;&gt;")</f>
        <v>0</v>
      </c>
      <c r="AS37" s="95">
        <f>COUNTIFS(Table1[Anode PN (Stack/cell electrodes)],AQ37,Table1[i @ 1.8 V DIW (A/cm2)],"&lt;&gt;")</f>
        <v>1</v>
      </c>
      <c r="AT37" s="95">
        <f>COUNTIFS(Table1[Anode PN (Stack/cell electrodes)],AQ37,Table1[i at 1.8 V 10 mM KOH (A/cm2)],"&lt;&gt;")</f>
        <v>1</v>
      </c>
      <c r="AU37" s="95">
        <f>COUNTIFS(Table1[Anode PN (Stack/cell electrodes)],AQ37,Table1[Ionic resistance DIW/Ohm cm2],"&lt;&gt;")</f>
        <v>1</v>
      </c>
      <c r="AV37" s="95">
        <f>COUNTIFS(Table1[Anode PN (Stack/cell electrodes)],AQ37,Table1[Ionic resistance 10 mM KOH/Ohm cm2],"&lt;&gt;")</f>
        <v>1</v>
      </c>
    </row>
    <row r="38" spans="1:48">
      <c r="A38" s="81"/>
      <c r="B38" s="19" t="s">
        <v>130</v>
      </c>
      <c r="C38" s="4" t="s">
        <v>131</v>
      </c>
      <c r="I38" s="11" t="s">
        <v>114</v>
      </c>
      <c r="K38" s="43" t="s">
        <v>59</v>
      </c>
      <c r="M38" s="13">
        <f>(23.9813-23.9558)*1000/25</f>
        <v>1.0200000000000387</v>
      </c>
      <c r="P38" s="28">
        <v>1.49</v>
      </c>
      <c r="T38" s="8"/>
      <c r="U38" s="100"/>
      <c r="V38" s="100"/>
      <c r="W38" s="69" t="e" cm="1">
        <f t="array" ref="W38">_xlfn.XLOOKUP(Table1[[#This Row],[5 cm2 cell test code]:[5 cm2 cell test code]],[1]!Table1[[Test code]:[Test code]],[1]!Table1[i @ 1.8 V DIW (A/cm2)],"",0)</f>
        <v>#REF!</v>
      </c>
      <c r="X38" s="69" t="e" cm="1">
        <f t="array" ref="X38">_xlfn.XLOOKUP(Table1[[#This Row],[5 cm2 cell test code]:[5 cm2 cell test code]],[1]!Table1[[Test code]:[Test code]],[1]!Table1[i @ 1.8 V 10 mM KOH (A/cm2)],"",0)</f>
        <v>#REF!</v>
      </c>
      <c r="Y38" s="69" t="e" cm="1">
        <f t="array" ref="Y38">_xlfn.XLOOKUP(Table1[[#This Row],[5 cm2 cell test code]:[5 cm2 cell test code]],[1]!Table1[[Test code]:[Test code]],[1]!Table1[3-E ƞ at 20mAcm-2 (mV)],"",0)</f>
        <v>#REF!</v>
      </c>
      <c r="Z38" s="69" t="e" cm="1">
        <f t="array" ref="Z38">_xlfn.XLOOKUP(Table1[[#This Row],[5 cm2 cell test code]:[5 cm2 cell test code]],[1]!Table1[[Test code]:[Test code]],[1]!Table1[3-E Tafel slope (mV/dec)],"",0)</f>
        <v>#REF!</v>
      </c>
      <c r="AA38" s="69" t="e" cm="1">
        <f t="array" ref="AA38">_xlfn.XLOOKUP(Table1[[#This Row],[5 cm2 cell test code]:[5 cm2 cell test code]],[1]!Table1[[Test code]:[Test code]],[1]!Table1[E @ 100 mA/cm2 DIW/V],"",0)</f>
        <v>#REF!</v>
      </c>
      <c r="AB38" s="69" t="e" cm="1">
        <f t="array" ref="AB38">_xlfn.XLOOKUP(Table1[[#This Row],[5 cm2 cell test code]:[5 cm2 cell test code]],[1]!Table1[[Test code]:[Test code]],[1]!Table1[E @ 100 mA/cm2 10 mM KOH/V],"",0)</f>
        <v>#REF!</v>
      </c>
      <c r="AC38" s="69" t="e" cm="1">
        <f t="array" ref="AC38">_xlfn.XLOOKUP(Table1[[#This Row],[5 cm2 cell test code]:[5 cm2 cell test code]],[1]!Table1[[Test code]:[Test code]],[1]!Table1[Anode ICR/mOhm],"",0)</f>
        <v>#REF!</v>
      </c>
      <c r="AD38" s="69" t="e" cm="1">
        <f t="array" ref="AD38">_xlfn.XLOOKUP(Table1[[#This Row],[5 cm2 cell test code]:[5 cm2 cell test code]],[1]!Table1[[Test code]:[Test code]],[1]!Table1[HFR DIW/ mOhm cm2],"",0)</f>
        <v>#REF!</v>
      </c>
      <c r="AE38" s="69" t="e" cm="1">
        <f t="array" ref="AE38">_xlfn.XLOOKUP(Table1[[#This Row],[5 cm2 cell test code]:[5 cm2 cell test code]],[1]!Table1[[Test code]:[Test code]],[1]!Table1[HFR 10 mM KOH/ mOhm cm2],"",0)</f>
        <v>#REF!</v>
      </c>
      <c r="AF38" s="69" t="e" cm="1">
        <f t="array" ref="AF38">_xlfn.XLOOKUP(Table1[[#This Row],[5 cm2 cell test code]:[5 cm2 cell test code]],[1]!Table1[[Test code]:[Test code]],[1]!Table1[Ionic resistance DIW/Ohm cm2],"",0)</f>
        <v>#REF!</v>
      </c>
      <c r="AG38" s="69" t="e" cm="1">
        <f t="array" ref="AG38">_xlfn.XLOOKUP(Table1[[#This Row],[5 cm2 cell test code]:[5 cm2 cell test code]],[1]!Table1[[Test code]:[Test code]],[1]!Table1[Q_int_frac DIW],"",0)</f>
        <v>#REF!</v>
      </c>
      <c r="AH38" s="69" t="e" cm="1">
        <f t="array" ref="AH38">_xlfn.XLOOKUP(Table1[[#This Row],[5 cm2 cell test code]:[5 cm2 cell test code]],[1]!Table1[[Test code]:[Test code]],[1]!Table1[Ionic resistance 10 mM KOH/Ohm cm2],"",0)</f>
        <v>#REF!</v>
      </c>
      <c r="AI38" s="69" t="e" cm="1">
        <f t="array" ref="AI38">_xlfn.XLOOKUP(Table1[[#This Row],[5 cm2 cell test code]:[5 cm2 cell test code]],[1]!Table1[[Test code]:[Test code]],[1]!Table1[Q_int_frac DIW 10 mM KOH],"",0)</f>
        <v>#REF!</v>
      </c>
      <c r="AJ38" s="69" t="e" cm="1">
        <f t="array" ref="AJ38">_xlfn.XLOOKUP(Table1[[#This Row],[5 cm2 cell test code]:[5 cm2 cell test code]],[1]!Table1[[Test code]:[Test code]],[1]!Table1[DIW conductivity (µS/cm)],"",0)</f>
        <v>#REF!</v>
      </c>
      <c r="AQ38" s="4" t="str">
        <v>VSG02A-23108C1</v>
      </c>
      <c r="AR38" s="95">
        <f>COUNTIFS(Table1[Anode PN (Stack/cell electrodes)],AQ38,Table1[ƞ at 20mAcm-2 (mV)],"&lt;&gt;")</f>
        <v>0</v>
      </c>
      <c r="AS38" s="95">
        <f>COUNTIFS(Table1[Anode PN (Stack/cell electrodes)],AQ38,Table1[i @ 1.8 V DIW (A/cm2)],"&lt;&gt;")</f>
        <v>1</v>
      </c>
      <c r="AT38" s="95">
        <f>COUNTIFS(Table1[Anode PN (Stack/cell electrodes)],AQ38,Table1[i at 1.8 V 10 mM KOH (A/cm2)],"&lt;&gt;")</f>
        <v>1</v>
      </c>
      <c r="AU38" s="95">
        <f>COUNTIFS(Table1[Anode PN (Stack/cell electrodes)],AQ38,Table1[Ionic resistance DIW/Ohm cm2],"&lt;&gt;")</f>
        <v>1</v>
      </c>
      <c r="AV38" s="95">
        <f>COUNTIFS(Table1[Anode PN (Stack/cell electrodes)],AQ38,Table1[Ionic resistance 10 mM KOH/Ohm cm2],"&lt;&gt;")</f>
        <v>1</v>
      </c>
    </row>
    <row r="39" spans="1:48">
      <c r="A39" s="81"/>
      <c r="K39" s="43" t="s">
        <v>59</v>
      </c>
      <c r="T39" s="8"/>
      <c r="U39" s="100"/>
      <c r="V39" s="100"/>
      <c r="W39" s="69" t="e" cm="1">
        <f t="array" ref="W39">_xlfn.XLOOKUP(Table1[[#This Row],[5 cm2 cell test code]:[5 cm2 cell test code]],[1]!Table1[[Test code]:[Test code]],[1]!Table1[i @ 1.8 V DIW (A/cm2)],"",0)</f>
        <v>#REF!</v>
      </c>
      <c r="X39" s="69" t="e" cm="1">
        <f t="array" ref="X39">_xlfn.XLOOKUP(Table1[[#This Row],[5 cm2 cell test code]:[5 cm2 cell test code]],[1]!Table1[[Test code]:[Test code]],[1]!Table1[i @ 1.8 V 10 mM KOH (A/cm2)],"",0)</f>
        <v>#REF!</v>
      </c>
      <c r="Y39" s="69" t="e" cm="1">
        <f t="array" ref="Y39">_xlfn.XLOOKUP(Table1[[#This Row],[5 cm2 cell test code]:[5 cm2 cell test code]],[1]!Table1[[Test code]:[Test code]],[1]!Table1[3-E ƞ at 20mAcm-2 (mV)],"",0)</f>
        <v>#REF!</v>
      </c>
      <c r="Z39" s="69" t="e" cm="1">
        <f t="array" ref="Z39">_xlfn.XLOOKUP(Table1[[#This Row],[5 cm2 cell test code]:[5 cm2 cell test code]],[1]!Table1[[Test code]:[Test code]],[1]!Table1[3-E Tafel slope (mV/dec)],"",0)</f>
        <v>#REF!</v>
      </c>
      <c r="AA39" s="69" t="e" cm="1">
        <f t="array" ref="AA39">_xlfn.XLOOKUP(Table1[[#This Row],[5 cm2 cell test code]:[5 cm2 cell test code]],[1]!Table1[[Test code]:[Test code]],[1]!Table1[E @ 100 mA/cm2 DIW/V],"",0)</f>
        <v>#REF!</v>
      </c>
      <c r="AB39" s="69" t="e" cm="1">
        <f t="array" ref="AB39">_xlfn.XLOOKUP(Table1[[#This Row],[5 cm2 cell test code]:[5 cm2 cell test code]],[1]!Table1[[Test code]:[Test code]],[1]!Table1[E @ 100 mA/cm2 10 mM KOH/V],"",0)</f>
        <v>#REF!</v>
      </c>
      <c r="AC39" s="69" t="e" cm="1">
        <f t="array" ref="AC39">_xlfn.XLOOKUP(Table1[[#This Row],[5 cm2 cell test code]:[5 cm2 cell test code]],[1]!Table1[[Test code]:[Test code]],[1]!Table1[Anode ICR/mOhm],"",0)</f>
        <v>#REF!</v>
      </c>
      <c r="AD39" s="69" t="e" cm="1">
        <f t="array" ref="AD39">_xlfn.XLOOKUP(Table1[[#This Row],[5 cm2 cell test code]:[5 cm2 cell test code]],[1]!Table1[[Test code]:[Test code]],[1]!Table1[HFR DIW/ mOhm cm2],"",0)</f>
        <v>#REF!</v>
      </c>
      <c r="AE39" s="69" t="e" cm="1">
        <f t="array" ref="AE39">_xlfn.XLOOKUP(Table1[[#This Row],[5 cm2 cell test code]:[5 cm2 cell test code]],[1]!Table1[[Test code]:[Test code]],[1]!Table1[HFR 10 mM KOH/ mOhm cm2],"",0)</f>
        <v>#REF!</v>
      </c>
      <c r="AF39" s="69" t="e" cm="1">
        <f t="array" ref="AF39">_xlfn.XLOOKUP(Table1[[#This Row],[5 cm2 cell test code]:[5 cm2 cell test code]],[1]!Table1[[Test code]:[Test code]],[1]!Table1[Ionic resistance DIW/Ohm cm2],"",0)</f>
        <v>#REF!</v>
      </c>
      <c r="AG39" s="69" t="e" cm="1">
        <f t="array" ref="AG39">_xlfn.XLOOKUP(Table1[[#This Row],[5 cm2 cell test code]:[5 cm2 cell test code]],[1]!Table1[[Test code]:[Test code]],[1]!Table1[Q_int_frac DIW],"",0)</f>
        <v>#REF!</v>
      </c>
      <c r="AH39" s="69" t="e" cm="1">
        <f t="array" ref="AH39">_xlfn.XLOOKUP(Table1[[#This Row],[5 cm2 cell test code]:[5 cm2 cell test code]],[1]!Table1[[Test code]:[Test code]],[1]!Table1[Ionic resistance 10 mM KOH/Ohm cm2],"",0)</f>
        <v>#REF!</v>
      </c>
      <c r="AI39" s="69" t="e" cm="1">
        <f t="array" ref="AI39">_xlfn.XLOOKUP(Table1[[#This Row],[5 cm2 cell test code]:[5 cm2 cell test code]],[1]!Table1[[Test code]:[Test code]],[1]!Table1[Q_int_frac DIW 10 mM KOH],"",0)</f>
        <v>#REF!</v>
      </c>
      <c r="AJ39" s="69" t="e" cm="1">
        <f t="array" ref="AJ39">_xlfn.XLOOKUP(Table1[[#This Row],[5 cm2 cell test code]:[5 cm2 cell test code]],[1]!Table1[[Test code]:[Test code]],[1]!Table1[DIW conductivity (µS/cm)],"",0)</f>
        <v>#REF!</v>
      </c>
      <c r="AQ39" s="4" t="str">
        <v>VSG01A-23114C1</v>
      </c>
      <c r="AR39" s="95">
        <f>COUNTIFS(Table1[Anode PN (Stack/cell electrodes)],AQ39,Table1[ƞ at 20mAcm-2 (mV)],"&lt;&gt;")</f>
        <v>1</v>
      </c>
      <c r="AS39" s="95">
        <f>COUNTIFS(Table1[Anode PN (Stack/cell electrodes)],AQ39,Table1[i @ 1.8 V DIW (A/cm2)],"&lt;&gt;")</f>
        <v>1</v>
      </c>
      <c r="AT39" s="95">
        <f>COUNTIFS(Table1[Anode PN (Stack/cell electrodes)],AQ39,Table1[i at 1.8 V 10 mM KOH (A/cm2)],"&lt;&gt;")</f>
        <v>1</v>
      </c>
      <c r="AU39" s="95">
        <f>COUNTIFS(Table1[Anode PN (Stack/cell electrodes)],AQ39,Table1[Ionic resistance DIW/Ohm cm2],"&lt;&gt;")</f>
        <v>1</v>
      </c>
      <c r="AV39" s="95">
        <f>COUNTIFS(Table1[Anode PN (Stack/cell electrodes)],AQ39,Table1[Ionic resistance 10 mM KOH/Ohm cm2],"&lt;&gt;")</f>
        <v>1</v>
      </c>
    </row>
    <row r="40" spans="1:48">
      <c r="A40" s="81"/>
      <c r="B40" s="11" t="s">
        <v>132</v>
      </c>
      <c r="C40" s="4" t="s">
        <v>133</v>
      </c>
      <c r="I40" s="11" t="s">
        <v>114</v>
      </c>
      <c r="J40" s="11" t="s">
        <v>134</v>
      </c>
      <c r="K40" s="43" t="s">
        <v>59</v>
      </c>
      <c r="M40" s="13">
        <v>0.28999999999999998</v>
      </c>
      <c r="T40" s="8"/>
      <c r="U40" s="100"/>
      <c r="V40" s="100"/>
      <c r="W40" s="69" t="e" cm="1">
        <f t="array" ref="W40">_xlfn.XLOOKUP(Table1[[#This Row],[5 cm2 cell test code]:[5 cm2 cell test code]],[1]!Table1[[Test code]:[Test code]],[1]!Table1[i @ 1.8 V DIW (A/cm2)],"",0)</f>
        <v>#REF!</v>
      </c>
      <c r="X40" s="69" t="e" cm="1">
        <f t="array" ref="X40">_xlfn.XLOOKUP(Table1[[#This Row],[5 cm2 cell test code]:[5 cm2 cell test code]],[1]!Table1[[Test code]:[Test code]],[1]!Table1[i @ 1.8 V 10 mM KOH (A/cm2)],"",0)</f>
        <v>#REF!</v>
      </c>
      <c r="Y40" s="69" t="e" cm="1">
        <f t="array" ref="Y40">_xlfn.XLOOKUP(Table1[[#This Row],[5 cm2 cell test code]:[5 cm2 cell test code]],[1]!Table1[[Test code]:[Test code]],[1]!Table1[3-E ƞ at 20mAcm-2 (mV)],"",0)</f>
        <v>#REF!</v>
      </c>
      <c r="Z40" s="69" t="e" cm="1">
        <f t="array" ref="Z40">_xlfn.XLOOKUP(Table1[[#This Row],[5 cm2 cell test code]:[5 cm2 cell test code]],[1]!Table1[[Test code]:[Test code]],[1]!Table1[3-E Tafel slope (mV/dec)],"",0)</f>
        <v>#REF!</v>
      </c>
      <c r="AA40" s="69" t="e" cm="1">
        <f t="array" ref="AA40">_xlfn.XLOOKUP(Table1[[#This Row],[5 cm2 cell test code]:[5 cm2 cell test code]],[1]!Table1[[Test code]:[Test code]],[1]!Table1[E @ 100 mA/cm2 DIW/V],"",0)</f>
        <v>#REF!</v>
      </c>
      <c r="AB40" s="69" t="e" cm="1">
        <f t="array" ref="AB40">_xlfn.XLOOKUP(Table1[[#This Row],[5 cm2 cell test code]:[5 cm2 cell test code]],[1]!Table1[[Test code]:[Test code]],[1]!Table1[E @ 100 mA/cm2 10 mM KOH/V],"",0)</f>
        <v>#REF!</v>
      </c>
      <c r="AC40" s="69" t="e" cm="1">
        <f t="array" ref="AC40">_xlfn.XLOOKUP(Table1[[#This Row],[5 cm2 cell test code]:[5 cm2 cell test code]],[1]!Table1[[Test code]:[Test code]],[1]!Table1[Anode ICR/mOhm],"",0)</f>
        <v>#REF!</v>
      </c>
      <c r="AD40" s="69" t="e" cm="1">
        <f t="array" ref="AD40">_xlfn.XLOOKUP(Table1[[#This Row],[5 cm2 cell test code]:[5 cm2 cell test code]],[1]!Table1[[Test code]:[Test code]],[1]!Table1[HFR DIW/ mOhm cm2],"",0)</f>
        <v>#REF!</v>
      </c>
      <c r="AE40" s="69" t="e" cm="1">
        <f t="array" ref="AE40">_xlfn.XLOOKUP(Table1[[#This Row],[5 cm2 cell test code]:[5 cm2 cell test code]],[1]!Table1[[Test code]:[Test code]],[1]!Table1[HFR 10 mM KOH/ mOhm cm2],"",0)</f>
        <v>#REF!</v>
      </c>
      <c r="AF40" s="69" t="e" cm="1">
        <f t="array" ref="AF40">_xlfn.XLOOKUP(Table1[[#This Row],[5 cm2 cell test code]:[5 cm2 cell test code]],[1]!Table1[[Test code]:[Test code]],[1]!Table1[Ionic resistance DIW/Ohm cm2],"",0)</f>
        <v>#REF!</v>
      </c>
      <c r="AG40" s="69" t="e" cm="1">
        <f t="array" ref="AG40">_xlfn.XLOOKUP(Table1[[#This Row],[5 cm2 cell test code]:[5 cm2 cell test code]],[1]!Table1[[Test code]:[Test code]],[1]!Table1[Q_int_frac DIW],"",0)</f>
        <v>#REF!</v>
      </c>
      <c r="AH40" s="69" t="e" cm="1">
        <f t="array" ref="AH40">_xlfn.XLOOKUP(Table1[[#This Row],[5 cm2 cell test code]:[5 cm2 cell test code]],[1]!Table1[[Test code]:[Test code]],[1]!Table1[Ionic resistance 10 mM KOH/Ohm cm2],"",0)</f>
        <v>#REF!</v>
      </c>
      <c r="AI40" s="69" t="e" cm="1">
        <f t="array" ref="AI40">_xlfn.XLOOKUP(Table1[[#This Row],[5 cm2 cell test code]:[5 cm2 cell test code]],[1]!Table1[[Test code]:[Test code]],[1]!Table1[Q_int_frac DIW 10 mM KOH],"",0)</f>
        <v>#REF!</v>
      </c>
      <c r="AJ40" s="69" t="e" cm="1">
        <f t="array" ref="AJ40">_xlfn.XLOOKUP(Table1[[#This Row],[5 cm2 cell test code]:[5 cm2 cell test code]],[1]!Table1[[Test code]:[Test code]],[1]!Table1[DIW conductivity (µS/cm)],"",0)</f>
        <v>#REF!</v>
      </c>
      <c r="AQ40" s="4" t="str">
        <v>VSG01A-23114C1.01</v>
      </c>
      <c r="AR40" s="95">
        <f>COUNTIFS(Table1[Anode PN (Stack/cell electrodes)],AQ40,Table1[ƞ at 20mAcm-2 (mV)],"&lt;&gt;")</f>
        <v>0</v>
      </c>
      <c r="AS40" s="95">
        <f>COUNTIFS(Table1[Anode PN (Stack/cell electrodes)],AQ40,Table1[i @ 1.8 V DIW (A/cm2)],"&lt;&gt;")</f>
        <v>1</v>
      </c>
      <c r="AT40" s="95">
        <f>COUNTIFS(Table1[Anode PN (Stack/cell electrodes)],AQ40,Table1[i at 1.8 V 10 mM KOH (A/cm2)],"&lt;&gt;")</f>
        <v>1</v>
      </c>
      <c r="AU40" s="95">
        <f>COUNTIFS(Table1[Anode PN (Stack/cell electrodes)],AQ40,Table1[Ionic resistance DIW/Ohm cm2],"&lt;&gt;")</f>
        <v>1</v>
      </c>
      <c r="AV40" s="95">
        <f>COUNTIFS(Table1[Anode PN (Stack/cell electrodes)],AQ40,Table1[Ionic resistance 10 mM KOH/Ohm cm2],"&lt;&gt;")</f>
        <v>1</v>
      </c>
    </row>
    <row r="41" spans="1:48">
      <c r="A41" s="81">
        <v>13</v>
      </c>
      <c r="B41" s="11" t="s">
        <v>135</v>
      </c>
      <c r="C41" s="4" t="s">
        <v>136</v>
      </c>
      <c r="I41" s="11" t="s">
        <v>137</v>
      </c>
      <c r="K41" s="43" t="s">
        <v>59</v>
      </c>
      <c r="O41" s="40" t="s">
        <v>123</v>
      </c>
      <c r="P41" s="28">
        <f>((11.0505-10.8467)*1000)/(10.7*10.8)</f>
        <v>1.7635860159224588</v>
      </c>
      <c r="T41" s="8"/>
      <c r="U41" s="100"/>
      <c r="V41" s="100"/>
      <c r="W41" s="69" t="e" cm="1">
        <f t="array" ref="W41">_xlfn.XLOOKUP(Table1[[#This Row],[5 cm2 cell test code]:[5 cm2 cell test code]],[1]!Table1[[Test code]:[Test code]],[1]!Table1[i @ 1.8 V DIW (A/cm2)],"",0)</f>
        <v>#REF!</v>
      </c>
      <c r="X41" s="69" t="e" cm="1">
        <f t="array" ref="X41">_xlfn.XLOOKUP(Table1[[#This Row],[5 cm2 cell test code]:[5 cm2 cell test code]],[1]!Table1[[Test code]:[Test code]],[1]!Table1[i @ 1.8 V 10 mM KOH (A/cm2)],"",0)</f>
        <v>#REF!</v>
      </c>
      <c r="Y41" s="69" t="e" cm="1">
        <f t="array" ref="Y41">_xlfn.XLOOKUP(Table1[[#This Row],[5 cm2 cell test code]:[5 cm2 cell test code]],[1]!Table1[[Test code]:[Test code]],[1]!Table1[3-E ƞ at 20mAcm-2 (mV)],"",0)</f>
        <v>#REF!</v>
      </c>
      <c r="Z41" s="69" t="e" cm="1">
        <f t="array" ref="Z41">_xlfn.XLOOKUP(Table1[[#This Row],[5 cm2 cell test code]:[5 cm2 cell test code]],[1]!Table1[[Test code]:[Test code]],[1]!Table1[3-E Tafel slope (mV/dec)],"",0)</f>
        <v>#REF!</v>
      </c>
      <c r="AA41" s="69" t="e" cm="1">
        <f t="array" ref="AA41">_xlfn.XLOOKUP(Table1[[#This Row],[5 cm2 cell test code]:[5 cm2 cell test code]],[1]!Table1[[Test code]:[Test code]],[1]!Table1[E @ 100 mA/cm2 DIW/V],"",0)</f>
        <v>#REF!</v>
      </c>
      <c r="AB41" s="69" t="e" cm="1">
        <f t="array" ref="AB41">_xlfn.XLOOKUP(Table1[[#This Row],[5 cm2 cell test code]:[5 cm2 cell test code]],[1]!Table1[[Test code]:[Test code]],[1]!Table1[E @ 100 mA/cm2 10 mM KOH/V],"",0)</f>
        <v>#REF!</v>
      </c>
      <c r="AC41" s="69" t="e" cm="1">
        <f t="array" ref="AC41">_xlfn.XLOOKUP(Table1[[#This Row],[5 cm2 cell test code]:[5 cm2 cell test code]],[1]!Table1[[Test code]:[Test code]],[1]!Table1[Anode ICR/mOhm],"",0)</f>
        <v>#REF!</v>
      </c>
      <c r="AD41" s="69" t="e" cm="1">
        <f t="array" ref="AD41">_xlfn.XLOOKUP(Table1[[#This Row],[5 cm2 cell test code]:[5 cm2 cell test code]],[1]!Table1[[Test code]:[Test code]],[1]!Table1[HFR DIW/ mOhm cm2],"",0)</f>
        <v>#REF!</v>
      </c>
      <c r="AE41" s="69" t="e" cm="1">
        <f t="array" ref="AE41">_xlfn.XLOOKUP(Table1[[#This Row],[5 cm2 cell test code]:[5 cm2 cell test code]],[1]!Table1[[Test code]:[Test code]],[1]!Table1[HFR 10 mM KOH/ mOhm cm2],"",0)</f>
        <v>#REF!</v>
      </c>
      <c r="AF41" s="69" t="e" cm="1">
        <f t="array" ref="AF41">_xlfn.XLOOKUP(Table1[[#This Row],[5 cm2 cell test code]:[5 cm2 cell test code]],[1]!Table1[[Test code]:[Test code]],[1]!Table1[Ionic resistance DIW/Ohm cm2],"",0)</f>
        <v>#REF!</v>
      </c>
      <c r="AG41" s="69" t="e" cm="1">
        <f t="array" ref="AG41">_xlfn.XLOOKUP(Table1[[#This Row],[5 cm2 cell test code]:[5 cm2 cell test code]],[1]!Table1[[Test code]:[Test code]],[1]!Table1[Q_int_frac DIW],"",0)</f>
        <v>#REF!</v>
      </c>
      <c r="AH41" s="69" t="e" cm="1">
        <f t="array" ref="AH41">_xlfn.XLOOKUP(Table1[[#This Row],[5 cm2 cell test code]:[5 cm2 cell test code]],[1]!Table1[[Test code]:[Test code]],[1]!Table1[Ionic resistance 10 mM KOH/Ohm cm2],"",0)</f>
        <v>#REF!</v>
      </c>
      <c r="AI41" s="69" t="e" cm="1">
        <f t="array" ref="AI41">_xlfn.XLOOKUP(Table1[[#This Row],[5 cm2 cell test code]:[5 cm2 cell test code]],[1]!Table1[[Test code]:[Test code]],[1]!Table1[Q_int_frac DIW 10 mM KOH],"",0)</f>
        <v>#REF!</v>
      </c>
      <c r="AJ41" s="69" t="e" cm="1">
        <f t="array" ref="AJ41">_xlfn.XLOOKUP(Table1[[#This Row],[5 cm2 cell test code]:[5 cm2 cell test code]],[1]!Table1[[Test code]:[Test code]],[1]!Table1[DIW conductivity (µS/cm)],"",0)</f>
        <v>#REF!</v>
      </c>
      <c r="AQ41" s="4" t="str">
        <v>VSG01A-23114C1.02</v>
      </c>
      <c r="AR41" s="95">
        <f>COUNTIFS(Table1[Anode PN (Stack/cell electrodes)],AQ41,Table1[ƞ at 20mAcm-2 (mV)],"&lt;&gt;")</f>
        <v>0</v>
      </c>
      <c r="AS41" s="95">
        <f>COUNTIFS(Table1[Anode PN (Stack/cell electrodes)],AQ41,Table1[i @ 1.8 V DIW (A/cm2)],"&lt;&gt;")</f>
        <v>1</v>
      </c>
      <c r="AT41" s="95">
        <f>COUNTIFS(Table1[Anode PN (Stack/cell electrodes)],AQ41,Table1[i at 1.8 V 10 mM KOH (A/cm2)],"&lt;&gt;")</f>
        <v>1</v>
      </c>
      <c r="AU41" s="95">
        <f>COUNTIFS(Table1[Anode PN (Stack/cell electrodes)],AQ41,Table1[Ionic resistance DIW/Ohm cm2],"&lt;&gt;")</f>
        <v>1</v>
      </c>
      <c r="AV41" s="95">
        <f>COUNTIFS(Table1[Anode PN (Stack/cell electrodes)],AQ41,Table1[Ionic resistance 10 mM KOH/Ohm cm2],"&lt;&gt;")</f>
        <v>1</v>
      </c>
    </row>
    <row r="42" spans="1:48">
      <c r="A42" s="81">
        <v>13</v>
      </c>
      <c r="B42" s="11" t="s">
        <v>138</v>
      </c>
      <c r="C42" s="4" t="s">
        <v>139</v>
      </c>
      <c r="K42" s="43" t="s">
        <v>59</v>
      </c>
      <c r="O42" s="11" t="s">
        <v>109</v>
      </c>
      <c r="P42" s="28">
        <f>(10.8952-10.682)*1000/(10.8*10.7)</f>
        <v>1.8449290411907278</v>
      </c>
      <c r="T42" s="8"/>
      <c r="U42" s="100"/>
      <c r="V42" s="100"/>
      <c r="W42" s="69" t="e" cm="1">
        <f t="array" ref="W42">_xlfn.XLOOKUP(Table1[[#This Row],[5 cm2 cell test code]:[5 cm2 cell test code]],[1]!Table1[[Test code]:[Test code]],[1]!Table1[i @ 1.8 V DIW (A/cm2)],"",0)</f>
        <v>#REF!</v>
      </c>
      <c r="X42" s="69" t="e" cm="1">
        <f t="array" ref="X42">_xlfn.XLOOKUP(Table1[[#This Row],[5 cm2 cell test code]:[5 cm2 cell test code]],[1]!Table1[[Test code]:[Test code]],[1]!Table1[i @ 1.8 V 10 mM KOH (A/cm2)],"",0)</f>
        <v>#REF!</v>
      </c>
      <c r="Y42" s="69" t="e" cm="1">
        <f t="array" ref="Y42">_xlfn.XLOOKUP(Table1[[#This Row],[5 cm2 cell test code]:[5 cm2 cell test code]],[1]!Table1[[Test code]:[Test code]],[1]!Table1[3-E ƞ at 20mAcm-2 (mV)],"",0)</f>
        <v>#REF!</v>
      </c>
      <c r="Z42" s="69" t="e" cm="1">
        <f t="array" ref="Z42">_xlfn.XLOOKUP(Table1[[#This Row],[5 cm2 cell test code]:[5 cm2 cell test code]],[1]!Table1[[Test code]:[Test code]],[1]!Table1[3-E Tafel slope (mV/dec)],"",0)</f>
        <v>#REF!</v>
      </c>
      <c r="AA42" s="69" t="e" cm="1">
        <f t="array" ref="AA42">_xlfn.XLOOKUP(Table1[[#This Row],[5 cm2 cell test code]:[5 cm2 cell test code]],[1]!Table1[[Test code]:[Test code]],[1]!Table1[E @ 100 mA/cm2 DIW/V],"",0)</f>
        <v>#REF!</v>
      </c>
      <c r="AB42" s="69" t="e" cm="1">
        <f t="array" ref="AB42">_xlfn.XLOOKUP(Table1[[#This Row],[5 cm2 cell test code]:[5 cm2 cell test code]],[1]!Table1[[Test code]:[Test code]],[1]!Table1[E @ 100 mA/cm2 10 mM KOH/V],"",0)</f>
        <v>#REF!</v>
      </c>
      <c r="AC42" s="69" t="e" cm="1">
        <f t="array" ref="AC42">_xlfn.XLOOKUP(Table1[[#This Row],[5 cm2 cell test code]:[5 cm2 cell test code]],[1]!Table1[[Test code]:[Test code]],[1]!Table1[Anode ICR/mOhm],"",0)</f>
        <v>#REF!</v>
      </c>
      <c r="AD42" s="69" t="e" cm="1">
        <f t="array" ref="AD42">_xlfn.XLOOKUP(Table1[[#This Row],[5 cm2 cell test code]:[5 cm2 cell test code]],[1]!Table1[[Test code]:[Test code]],[1]!Table1[HFR DIW/ mOhm cm2],"",0)</f>
        <v>#REF!</v>
      </c>
      <c r="AE42" s="69" t="e" cm="1">
        <f t="array" ref="AE42">_xlfn.XLOOKUP(Table1[[#This Row],[5 cm2 cell test code]:[5 cm2 cell test code]],[1]!Table1[[Test code]:[Test code]],[1]!Table1[HFR 10 mM KOH/ mOhm cm2],"",0)</f>
        <v>#REF!</v>
      </c>
      <c r="AF42" s="69" t="e" cm="1">
        <f t="array" ref="AF42">_xlfn.XLOOKUP(Table1[[#This Row],[5 cm2 cell test code]:[5 cm2 cell test code]],[1]!Table1[[Test code]:[Test code]],[1]!Table1[Ionic resistance DIW/Ohm cm2],"",0)</f>
        <v>#REF!</v>
      </c>
      <c r="AG42" s="69" t="e" cm="1">
        <f t="array" ref="AG42">_xlfn.XLOOKUP(Table1[[#This Row],[5 cm2 cell test code]:[5 cm2 cell test code]],[1]!Table1[[Test code]:[Test code]],[1]!Table1[Q_int_frac DIW],"",0)</f>
        <v>#REF!</v>
      </c>
      <c r="AH42" s="69" t="e" cm="1">
        <f t="array" ref="AH42">_xlfn.XLOOKUP(Table1[[#This Row],[5 cm2 cell test code]:[5 cm2 cell test code]],[1]!Table1[[Test code]:[Test code]],[1]!Table1[Ionic resistance 10 mM KOH/Ohm cm2],"",0)</f>
        <v>#REF!</v>
      </c>
      <c r="AI42" s="69" t="e" cm="1">
        <f t="array" ref="AI42">_xlfn.XLOOKUP(Table1[[#This Row],[5 cm2 cell test code]:[5 cm2 cell test code]],[1]!Table1[[Test code]:[Test code]],[1]!Table1[Q_int_frac DIW 10 mM KOH],"",0)</f>
        <v>#REF!</v>
      </c>
      <c r="AJ42" s="69" t="e" cm="1">
        <f t="array" ref="AJ42">_xlfn.XLOOKUP(Table1[[#This Row],[5 cm2 cell test code]:[5 cm2 cell test code]],[1]!Table1[[Test code]:[Test code]],[1]!Table1[DIW conductivity (µS/cm)],"",0)</f>
        <v>#REF!</v>
      </c>
      <c r="AQ42" s="4" t="str">
        <v>VSG01A-23114C1.03</v>
      </c>
      <c r="AR42" s="95">
        <f>COUNTIFS(Table1[Anode PN (Stack/cell electrodes)],AQ42,Table1[ƞ at 20mAcm-2 (mV)],"&lt;&gt;")</f>
        <v>0</v>
      </c>
      <c r="AS42" s="95">
        <f>COUNTIFS(Table1[Anode PN (Stack/cell electrodes)],AQ42,Table1[i @ 1.8 V DIW (A/cm2)],"&lt;&gt;")</f>
        <v>1</v>
      </c>
      <c r="AT42" s="95">
        <f>COUNTIFS(Table1[Anode PN (Stack/cell electrodes)],AQ42,Table1[i at 1.8 V 10 mM KOH (A/cm2)],"&lt;&gt;")</f>
        <v>1</v>
      </c>
      <c r="AU42" s="95">
        <f>COUNTIFS(Table1[Anode PN (Stack/cell electrodes)],AQ42,Table1[Ionic resistance DIW/Ohm cm2],"&lt;&gt;")</f>
        <v>1</v>
      </c>
      <c r="AV42" s="95">
        <f>COUNTIFS(Table1[Anode PN (Stack/cell electrodes)],AQ42,Table1[Ionic resistance 10 mM KOH/Ohm cm2],"&lt;&gt;")</f>
        <v>1</v>
      </c>
    </row>
    <row r="43" spans="1:48">
      <c r="A43" s="81"/>
      <c r="B43" s="11" t="s">
        <v>140</v>
      </c>
      <c r="K43" s="43" t="s">
        <v>59</v>
      </c>
      <c r="P43" s="28">
        <f>0.038*1000/25.5</f>
        <v>1.4901960784313726</v>
      </c>
      <c r="T43" s="8"/>
      <c r="U43" s="100"/>
      <c r="V43" s="100"/>
      <c r="W43" s="69" t="e" cm="1">
        <f t="array" ref="W43">_xlfn.XLOOKUP(Table1[[#This Row],[5 cm2 cell test code]:[5 cm2 cell test code]],[1]!Table1[[Test code]:[Test code]],[1]!Table1[i @ 1.8 V DIW (A/cm2)],"",0)</f>
        <v>#REF!</v>
      </c>
      <c r="X43" s="69" t="e" cm="1">
        <f t="array" ref="X43">_xlfn.XLOOKUP(Table1[[#This Row],[5 cm2 cell test code]:[5 cm2 cell test code]],[1]!Table1[[Test code]:[Test code]],[1]!Table1[i @ 1.8 V 10 mM KOH (A/cm2)],"",0)</f>
        <v>#REF!</v>
      </c>
      <c r="Y43" s="69" t="e" cm="1">
        <f t="array" ref="Y43">_xlfn.XLOOKUP(Table1[[#This Row],[5 cm2 cell test code]:[5 cm2 cell test code]],[1]!Table1[[Test code]:[Test code]],[1]!Table1[3-E ƞ at 20mAcm-2 (mV)],"",0)</f>
        <v>#REF!</v>
      </c>
      <c r="Z43" s="69" t="e" cm="1">
        <f t="array" ref="Z43">_xlfn.XLOOKUP(Table1[[#This Row],[5 cm2 cell test code]:[5 cm2 cell test code]],[1]!Table1[[Test code]:[Test code]],[1]!Table1[3-E Tafel slope (mV/dec)],"",0)</f>
        <v>#REF!</v>
      </c>
      <c r="AA43" s="69" t="e" cm="1">
        <f t="array" ref="AA43">_xlfn.XLOOKUP(Table1[[#This Row],[5 cm2 cell test code]:[5 cm2 cell test code]],[1]!Table1[[Test code]:[Test code]],[1]!Table1[E @ 100 mA/cm2 DIW/V],"",0)</f>
        <v>#REF!</v>
      </c>
      <c r="AB43" s="69" t="e" cm="1">
        <f t="array" ref="AB43">_xlfn.XLOOKUP(Table1[[#This Row],[5 cm2 cell test code]:[5 cm2 cell test code]],[1]!Table1[[Test code]:[Test code]],[1]!Table1[E @ 100 mA/cm2 10 mM KOH/V],"",0)</f>
        <v>#REF!</v>
      </c>
      <c r="AC43" s="69" t="e" cm="1">
        <f t="array" ref="AC43">_xlfn.XLOOKUP(Table1[[#This Row],[5 cm2 cell test code]:[5 cm2 cell test code]],[1]!Table1[[Test code]:[Test code]],[1]!Table1[Anode ICR/mOhm],"",0)</f>
        <v>#REF!</v>
      </c>
      <c r="AD43" s="69" t="e" cm="1">
        <f t="array" ref="AD43">_xlfn.XLOOKUP(Table1[[#This Row],[5 cm2 cell test code]:[5 cm2 cell test code]],[1]!Table1[[Test code]:[Test code]],[1]!Table1[HFR DIW/ mOhm cm2],"",0)</f>
        <v>#REF!</v>
      </c>
      <c r="AE43" s="69" t="e" cm="1">
        <f t="array" ref="AE43">_xlfn.XLOOKUP(Table1[[#This Row],[5 cm2 cell test code]:[5 cm2 cell test code]],[1]!Table1[[Test code]:[Test code]],[1]!Table1[HFR 10 mM KOH/ mOhm cm2],"",0)</f>
        <v>#REF!</v>
      </c>
      <c r="AF43" s="69" t="e" cm="1">
        <f t="array" ref="AF43">_xlfn.XLOOKUP(Table1[[#This Row],[5 cm2 cell test code]:[5 cm2 cell test code]],[1]!Table1[[Test code]:[Test code]],[1]!Table1[Ionic resistance DIW/Ohm cm2],"",0)</f>
        <v>#REF!</v>
      </c>
      <c r="AG43" s="69" t="e" cm="1">
        <f t="array" ref="AG43">_xlfn.XLOOKUP(Table1[[#This Row],[5 cm2 cell test code]:[5 cm2 cell test code]],[1]!Table1[[Test code]:[Test code]],[1]!Table1[Q_int_frac DIW],"",0)</f>
        <v>#REF!</v>
      </c>
      <c r="AH43" s="69" t="e" cm="1">
        <f t="array" ref="AH43">_xlfn.XLOOKUP(Table1[[#This Row],[5 cm2 cell test code]:[5 cm2 cell test code]],[1]!Table1[[Test code]:[Test code]],[1]!Table1[Ionic resistance 10 mM KOH/Ohm cm2],"",0)</f>
        <v>#REF!</v>
      </c>
      <c r="AI43" s="69" t="e" cm="1">
        <f t="array" ref="AI43">_xlfn.XLOOKUP(Table1[[#This Row],[5 cm2 cell test code]:[5 cm2 cell test code]],[1]!Table1[[Test code]:[Test code]],[1]!Table1[Q_int_frac DIW 10 mM KOH],"",0)</f>
        <v>#REF!</v>
      </c>
      <c r="AJ43" s="69" t="e" cm="1">
        <f t="array" ref="AJ43">_xlfn.XLOOKUP(Table1[[#This Row],[5 cm2 cell test code]:[5 cm2 cell test code]],[1]!Table1[[Test code]:[Test code]],[1]!Table1[DIW conductivity (µS/cm)],"",0)</f>
        <v>#REF!</v>
      </c>
      <c r="AQ43" s="4" t="str">
        <v>VSG01A-23114C1.04</v>
      </c>
      <c r="AR43" s="95">
        <f>COUNTIFS(Table1[Anode PN (Stack/cell electrodes)],AQ43,Table1[ƞ at 20mAcm-2 (mV)],"&lt;&gt;")</f>
        <v>0</v>
      </c>
      <c r="AS43" s="95">
        <f>COUNTIFS(Table1[Anode PN (Stack/cell electrodes)],AQ43,Table1[i @ 1.8 V DIW (A/cm2)],"&lt;&gt;")</f>
        <v>1</v>
      </c>
      <c r="AT43" s="95">
        <f>COUNTIFS(Table1[Anode PN (Stack/cell electrodes)],AQ43,Table1[i at 1.8 V 10 mM KOH (A/cm2)],"&lt;&gt;")</f>
        <v>1</v>
      </c>
      <c r="AU43" s="95">
        <f>COUNTIFS(Table1[Anode PN (Stack/cell electrodes)],AQ43,Table1[Ionic resistance DIW/Ohm cm2],"&lt;&gt;")</f>
        <v>1</v>
      </c>
      <c r="AV43" s="95">
        <f>COUNTIFS(Table1[Anode PN (Stack/cell electrodes)],AQ43,Table1[Ionic resistance 10 mM KOH/Ohm cm2],"&lt;&gt;")</f>
        <v>1</v>
      </c>
    </row>
    <row r="44" spans="1:48">
      <c r="A44" s="81">
        <v>13</v>
      </c>
      <c r="B44" s="11" t="s">
        <v>141</v>
      </c>
      <c r="C44" s="4" t="s">
        <v>142</v>
      </c>
      <c r="K44" s="43" t="s">
        <v>59</v>
      </c>
      <c r="P44" s="28">
        <f>(11.1796-10.968)*1000/(10.8*10.7)</f>
        <v>1.8310834198684725</v>
      </c>
      <c r="T44" s="8"/>
      <c r="U44" s="100"/>
      <c r="V44" s="100"/>
      <c r="W44" s="69" t="e" cm="1">
        <f t="array" ref="W44">_xlfn.XLOOKUP(Table1[[#This Row],[5 cm2 cell test code]:[5 cm2 cell test code]],[1]!Table1[[Test code]:[Test code]],[1]!Table1[i @ 1.8 V DIW (A/cm2)],"",0)</f>
        <v>#REF!</v>
      </c>
      <c r="X44" s="69" t="e" cm="1">
        <f t="array" ref="X44">_xlfn.XLOOKUP(Table1[[#This Row],[5 cm2 cell test code]:[5 cm2 cell test code]],[1]!Table1[[Test code]:[Test code]],[1]!Table1[i @ 1.8 V 10 mM KOH (A/cm2)],"",0)</f>
        <v>#REF!</v>
      </c>
      <c r="Y44" s="69" t="e" cm="1">
        <f t="array" ref="Y44">_xlfn.XLOOKUP(Table1[[#This Row],[5 cm2 cell test code]:[5 cm2 cell test code]],[1]!Table1[[Test code]:[Test code]],[1]!Table1[3-E ƞ at 20mAcm-2 (mV)],"",0)</f>
        <v>#REF!</v>
      </c>
      <c r="Z44" s="69" t="e" cm="1">
        <f t="array" ref="Z44">_xlfn.XLOOKUP(Table1[[#This Row],[5 cm2 cell test code]:[5 cm2 cell test code]],[1]!Table1[[Test code]:[Test code]],[1]!Table1[3-E Tafel slope (mV/dec)],"",0)</f>
        <v>#REF!</v>
      </c>
      <c r="AA44" s="69" t="e" cm="1">
        <f t="array" ref="AA44">_xlfn.XLOOKUP(Table1[[#This Row],[5 cm2 cell test code]:[5 cm2 cell test code]],[1]!Table1[[Test code]:[Test code]],[1]!Table1[E @ 100 mA/cm2 DIW/V],"",0)</f>
        <v>#REF!</v>
      </c>
      <c r="AB44" s="69" t="e" cm="1">
        <f t="array" ref="AB44">_xlfn.XLOOKUP(Table1[[#This Row],[5 cm2 cell test code]:[5 cm2 cell test code]],[1]!Table1[[Test code]:[Test code]],[1]!Table1[E @ 100 mA/cm2 10 mM KOH/V],"",0)</f>
        <v>#REF!</v>
      </c>
      <c r="AC44" s="69" t="e" cm="1">
        <f t="array" ref="AC44">_xlfn.XLOOKUP(Table1[[#This Row],[5 cm2 cell test code]:[5 cm2 cell test code]],[1]!Table1[[Test code]:[Test code]],[1]!Table1[Anode ICR/mOhm],"",0)</f>
        <v>#REF!</v>
      </c>
      <c r="AD44" s="69" t="e" cm="1">
        <f t="array" ref="AD44">_xlfn.XLOOKUP(Table1[[#This Row],[5 cm2 cell test code]:[5 cm2 cell test code]],[1]!Table1[[Test code]:[Test code]],[1]!Table1[HFR DIW/ mOhm cm2],"",0)</f>
        <v>#REF!</v>
      </c>
      <c r="AE44" s="69" t="e" cm="1">
        <f t="array" ref="AE44">_xlfn.XLOOKUP(Table1[[#This Row],[5 cm2 cell test code]:[5 cm2 cell test code]],[1]!Table1[[Test code]:[Test code]],[1]!Table1[HFR 10 mM KOH/ mOhm cm2],"",0)</f>
        <v>#REF!</v>
      </c>
      <c r="AF44" s="69" t="e" cm="1">
        <f t="array" ref="AF44">_xlfn.XLOOKUP(Table1[[#This Row],[5 cm2 cell test code]:[5 cm2 cell test code]],[1]!Table1[[Test code]:[Test code]],[1]!Table1[Ionic resistance DIW/Ohm cm2],"",0)</f>
        <v>#REF!</v>
      </c>
      <c r="AG44" s="69" t="e" cm="1">
        <f t="array" ref="AG44">_xlfn.XLOOKUP(Table1[[#This Row],[5 cm2 cell test code]:[5 cm2 cell test code]],[1]!Table1[[Test code]:[Test code]],[1]!Table1[Q_int_frac DIW],"",0)</f>
        <v>#REF!</v>
      </c>
      <c r="AH44" s="69" t="e" cm="1">
        <f t="array" ref="AH44">_xlfn.XLOOKUP(Table1[[#This Row],[5 cm2 cell test code]:[5 cm2 cell test code]],[1]!Table1[[Test code]:[Test code]],[1]!Table1[Ionic resistance 10 mM KOH/Ohm cm2],"",0)</f>
        <v>#REF!</v>
      </c>
      <c r="AI44" s="69" t="e" cm="1">
        <f t="array" ref="AI44">_xlfn.XLOOKUP(Table1[[#This Row],[5 cm2 cell test code]:[5 cm2 cell test code]],[1]!Table1[[Test code]:[Test code]],[1]!Table1[Q_int_frac DIW 10 mM KOH],"",0)</f>
        <v>#REF!</v>
      </c>
      <c r="AJ44" s="69" t="e" cm="1">
        <f t="array" ref="AJ44">_xlfn.XLOOKUP(Table1[[#This Row],[5 cm2 cell test code]:[5 cm2 cell test code]],[1]!Table1[[Test code]:[Test code]],[1]!Table1[DIW conductivity (µS/cm)],"",0)</f>
        <v>#REF!</v>
      </c>
      <c r="AQ44" s="4" t="str">
        <v>VSG01A-23115C1</v>
      </c>
      <c r="AR44" s="95">
        <f>COUNTIFS(Table1[Anode PN (Stack/cell electrodes)],AQ44,Table1[ƞ at 20mAcm-2 (mV)],"&lt;&gt;")</f>
        <v>0</v>
      </c>
      <c r="AS44" s="95">
        <f>COUNTIFS(Table1[Anode PN (Stack/cell electrodes)],AQ44,Table1[i @ 1.8 V DIW (A/cm2)],"&lt;&gt;")</f>
        <v>1</v>
      </c>
      <c r="AT44" s="95">
        <f>COUNTIFS(Table1[Anode PN (Stack/cell electrodes)],AQ44,Table1[i at 1.8 V 10 mM KOH (A/cm2)],"&lt;&gt;")</f>
        <v>1</v>
      </c>
      <c r="AU44" s="95">
        <f>COUNTIFS(Table1[Anode PN (Stack/cell electrodes)],AQ44,Table1[Ionic resistance DIW/Ohm cm2],"&lt;&gt;")</f>
        <v>1</v>
      </c>
      <c r="AV44" s="95">
        <f>COUNTIFS(Table1[Anode PN (Stack/cell electrodes)],AQ44,Table1[Ionic resistance 10 mM KOH/Ohm cm2],"&lt;&gt;")</f>
        <v>1</v>
      </c>
    </row>
    <row r="45" spans="1:48">
      <c r="A45" s="81"/>
      <c r="B45" s="11" t="s">
        <v>143</v>
      </c>
      <c r="C45" s="4" t="s">
        <v>144</v>
      </c>
      <c r="K45" s="43" t="s">
        <v>59</v>
      </c>
      <c r="P45" s="28">
        <f>(11.2764-11.0383)*1000/(10.8*10.8)</f>
        <v>2.0413237311385553</v>
      </c>
      <c r="T45" s="8"/>
      <c r="U45" s="100"/>
      <c r="V45" s="100"/>
      <c r="W45" s="69" t="e" cm="1">
        <f t="array" ref="W45">_xlfn.XLOOKUP(Table1[[#This Row],[5 cm2 cell test code]:[5 cm2 cell test code]],[1]!Table1[[Test code]:[Test code]],[1]!Table1[i @ 1.8 V DIW (A/cm2)],"",0)</f>
        <v>#REF!</v>
      </c>
      <c r="X45" s="69" t="e" cm="1">
        <f t="array" ref="X45">_xlfn.XLOOKUP(Table1[[#This Row],[5 cm2 cell test code]:[5 cm2 cell test code]],[1]!Table1[[Test code]:[Test code]],[1]!Table1[i @ 1.8 V 10 mM KOH (A/cm2)],"",0)</f>
        <v>#REF!</v>
      </c>
      <c r="Y45" s="69" t="e" cm="1">
        <f t="array" ref="Y45">_xlfn.XLOOKUP(Table1[[#This Row],[5 cm2 cell test code]:[5 cm2 cell test code]],[1]!Table1[[Test code]:[Test code]],[1]!Table1[3-E ƞ at 20mAcm-2 (mV)],"",0)</f>
        <v>#REF!</v>
      </c>
      <c r="Z45" s="69" t="e" cm="1">
        <f t="array" ref="Z45">_xlfn.XLOOKUP(Table1[[#This Row],[5 cm2 cell test code]:[5 cm2 cell test code]],[1]!Table1[[Test code]:[Test code]],[1]!Table1[3-E Tafel slope (mV/dec)],"",0)</f>
        <v>#REF!</v>
      </c>
      <c r="AA45" s="69" t="e" cm="1">
        <f t="array" ref="AA45">_xlfn.XLOOKUP(Table1[[#This Row],[5 cm2 cell test code]:[5 cm2 cell test code]],[1]!Table1[[Test code]:[Test code]],[1]!Table1[E @ 100 mA/cm2 DIW/V],"",0)</f>
        <v>#REF!</v>
      </c>
      <c r="AB45" s="69" t="e" cm="1">
        <f t="array" ref="AB45">_xlfn.XLOOKUP(Table1[[#This Row],[5 cm2 cell test code]:[5 cm2 cell test code]],[1]!Table1[[Test code]:[Test code]],[1]!Table1[E @ 100 mA/cm2 10 mM KOH/V],"",0)</f>
        <v>#REF!</v>
      </c>
      <c r="AC45" s="69" t="e" cm="1">
        <f t="array" ref="AC45">_xlfn.XLOOKUP(Table1[[#This Row],[5 cm2 cell test code]:[5 cm2 cell test code]],[1]!Table1[[Test code]:[Test code]],[1]!Table1[Anode ICR/mOhm],"",0)</f>
        <v>#REF!</v>
      </c>
      <c r="AD45" s="69" t="e" cm="1">
        <f t="array" ref="AD45">_xlfn.XLOOKUP(Table1[[#This Row],[5 cm2 cell test code]:[5 cm2 cell test code]],[1]!Table1[[Test code]:[Test code]],[1]!Table1[HFR DIW/ mOhm cm2],"",0)</f>
        <v>#REF!</v>
      </c>
      <c r="AE45" s="69" t="e" cm="1">
        <f t="array" ref="AE45">_xlfn.XLOOKUP(Table1[[#This Row],[5 cm2 cell test code]:[5 cm2 cell test code]],[1]!Table1[[Test code]:[Test code]],[1]!Table1[HFR 10 mM KOH/ mOhm cm2],"",0)</f>
        <v>#REF!</v>
      </c>
      <c r="AF45" s="69" t="e" cm="1">
        <f t="array" ref="AF45">_xlfn.XLOOKUP(Table1[[#This Row],[5 cm2 cell test code]:[5 cm2 cell test code]],[1]!Table1[[Test code]:[Test code]],[1]!Table1[Ionic resistance DIW/Ohm cm2],"",0)</f>
        <v>#REF!</v>
      </c>
      <c r="AG45" s="69" t="e" cm="1">
        <f t="array" ref="AG45">_xlfn.XLOOKUP(Table1[[#This Row],[5 cm2 cell test code]:[5 cm2 cell test code]],[1]!Table1[[Test code]:[Test code]],[1]!Table1[Q_int_frac DIW],"",0)</f>
        <v>#REF!</v>
      </c>
      <c r="AH45" s="69" t="e" cm="1">
        <f t="array" ref="AH45">_xlfn.XLOOKUP(Table1[[#This Row],[5 cm2 cell test code]:[5 cm2 cell test code]],[1]!Table1[[Test code]:[Test code]],[1]!Table1[Ionic resistance 10 mM KOH/Ohm cm2],"",0)</f>
        <v>#REF!</v>
      </c>
      <c r="AI45" s="69" t="e" cm="1">
        <f t="array" ref="AI45">_xlfn.XLOOKUP(Table1[[#This Row],[5 cm2 cell test code]:[5 cm2 cell test code]],[1]!Table1[[Test code]:[Test code]],[1]!Table1[Q_int_frac DIW 10 mM KOH],"",0)</f>
        <v>#REF!</v>
      </c>
      <c r="AJ45" s="69" t="e" cm="1">
        <f t="array" ref="AJ45">_xlfn.XLOOKUP(Table1[[#This Row],[5 cm2 cell test code]:[5 cm2 cell test code]],[1]!Table1[[Test code]:[Test code]],[1]!Table1[DIW conductivity (µS/cm)],"",0)</f>
        <v>#REF!</v>
      </c>
      <c r="AQ45" s="4" t="str">
        <v>VSG01A-23115C3</v>
      </c>
      <c r="AR45" s="95">
        <f>COUNTIFS(Table1[Anode PN (Stack/cell electrodes)],AQ45,Table1[ƞ at 20mAcm-2 (mV)],"&lt;&gt;")</f>
        <v>0</v>
      </c>
      <c r="AS45" s="95">
        <f>COUNTIFS(Table1[Anode PN (Stack/cell electrodes)],AQ45,Table1[i @ 1.8 V DIW (A/cm2)],"&lt;&gt;")</f>
        <v>1</v>
      </c>
      <c r="AT45" s="95">
        <f>COUNTIFS(Table1[Anode PN (Stack/cell electrodes)],AQ45,Table1[i at 1.8 V 10 mM KOH (A/cm2)],"&lt;&gt;")</f>
        <v>1</v>
      </c>
      <c r="AU45" s="95">
        <f>COUNTIFS(Table1[Anode PN (Stack/cell electrodes)],AQ45,Table1[Ionic resistance DIW/Ohm cm2],"&lt;&gt;")</f>
        <v>1</v>
      </c>
      <c r="AV45" s="95">
        <f>COUNTIFS(Table1[Anode PN (Stack/cell electrodes)],AQ45,Table1[Ionic resistance 10 mM KOH/Ohm cm2],"&lt;&gt;")</f>
        <v>1</v>
      </c>
    </row>
    <row r="46" spans="1:48">
      <c r="A46" s="81"/>
      <c r="B46" s="11" t="s">
        <v>145</v>
      </c>
      <c r="C46" s="4" t="s">
        <v>146</v>
      </c>
      <c r="K46" s="43" t="s">
        <v>59</v>
      </c>
      <c r="P46" s="28">
        <v>0</v>
      </c>
      <c r="T46" s="8"/>
      <c r="U46" s="100"/>
      <c r="V46" s="100"/>
      <c r="W46" s="69" t="e" cm="1">
        <f t="array" ref="W46">_xlfn.XLOOKUP(Table1[[#This Row],[5 cm2 cell test code]:[5 cm2 cell test code]],[1]!Table1[[Test code]:[Test code]],[1]!Table1[i @ 1.8 V DIW (A/cm2)],"",0)</f>
        <v>#REF!</v>
      </c>
      <c r="X46" s="69" t="e" cm="1">
        <f t="array" ref="X46">_xlfn.XLOOKUP(Table1[[#This Row],[5 cm2 cell test code]:[5 cm2 cell test code]],[1]!Table1[[Test code]:[Test code]],[1]!Table1[i @ 1.8 V 10 mM KOH (A/cm2)],"",0)</f>
        <v>#REF!</v>
      </c>
      <c r="Y46" s="69" t="e" cm="1">
        <f t="array" ref="Y46">_xlfn.XLOOKUP(Table1[[#This Row],[5 cm2 cell test code]:[5 cm2 cell test code]],[1]!Table1[[Test code]:[Test code]],[1]!Table1[3-E ƞ at 20mAcm-2 (mV)],"",0)</f>
        <v>#REF!</v>
      </c>
      <c r="Z46" s="69" t="e" cm="1">
        <f t="array" ref="Z46">_xlfn.XLOOKUP(Table1[[#This Row],[5 cm2 cell test code]:[5 cm2 cell test code]],[1]!Table1[[Test code]:[Test code]],[1]!Table1[3-E Tafel slope (mV/dec)],"",0)</f>
        <v>#REF!</v>
      </c>
      <c r="AA46" s="69" t="e" cm="1">
        <f t="array" ref="AA46">_xlfn.XLOOKUP(Table1[[#This Row],[5 cm2 cell test code]:[5 cm2 cell test code]],[1]!Table1[[Test code]:[Test code]],[1]!Table1[E @ 100 mA/cm2 DIW/V],"",0)</f>
        <v>#REF!</v>
      </c>
      <c r="AB46" s="69" t="e" cm="1">
        <f t="array" ref="AB46">_xlfn.XLOOKUP(Table1[[#This Row],[5 cm2 cell test code]:[5 cm2 cell test code]],[1]!Table1[[Test code]:[Test code]],[1]!Table1[E @ 100 mA/cm2 10 mM KOH/V],"",0)</f>
        <v>#REF!</v>
      </c>
      <c r="AC46" s="69" t="e" cm="1">
        <f t="array" ref="AC46">_xlfn.XLOOKUP(Table1[[#This Row],[5 cm2 cell test code]:[5 cm2 cell test code]],[1]!Table1[[Test code]:[Test code]],[1]!Table1[Anode ICR/mOhm],"",0)</f>
        <v>#REF!</v>
      </c>
      <c r="AD46" s="69" t="e" cm="1">
        <f t="array" ref="AD46">_xlfn.XLOOKUP(Table1[[#This Row],[5 cm2 cell test code]:[5 cm2 cell test code]],[1]!Table1[[Test code]:[Test code]],[1]!Table1[HFR DIW/ mOhm cm2],"",0)</f>
        <v>#REF!</v>
      </c>
      <c r="AE46" s="69" t="e" cm="1">
        <f t="array" ref="AE46">_xlfn.XLOOKUP(Table1[[#This Row],[5 cm2 cell test code]:[5 cm2 cell test code]],[1]!Table1[[Test code]:[Test code]],[1]!Table1[HFR 10 mM KOH/ mOhm cm2],"",0)</f>
        <v>#REF!</v>
      </c>
      <c r="AF46" s="69" t="e" cm="1">
        <f t="array" ref="AF46">_xlfn.XLOOKUP(Table1[[#This Row],[5 cm2 cell test code]:[5 cm2 cell test code]],[1]!Table1[[Test code]:[Test code]],[1]!Table1[Ionic resistance DIW/Ohm cm2],"",0)</f>
        <v>#REF!</v>
      </c>
      <c r="AG46" s="69" t="e" cm="1">
        <f t="array" ref="AG46">_xlfn.XLOOKUP(Table1[[#This Row],[5 cm2 cell test code]:[5 cm2 cell test code]],[1]!Table1[[Test code]:[Test code]],[1]!Table1[Q_int_frac DIW],"",0)</f>
        <v>#REF!</v>
      </c>
      <c r="AH46" s="69" t="e" cm="1">
        <f t="array" ref="AH46">_xlfn.XLOOKUP(Table1[[#This Row],[5 cm2 cell test code]:[5 cm2 cell test code]],[1]!Table1[[Test code]:[Test code]],[1]!Table1[Ionic resistance 10 mM KOH/Ohm cm2],"",0)</f>
        <v>#REF!</v>
      </c>
      <c r="AI46" s="69" t="e" cm="1">
        <f t="array" ref="AI46">_xlfn.XLOOKUP(Table1[[#This Row],[5 cm2 cell test code]:[5 cm2 cell test code]],[1]!Table1[[Test code]:[Test code]],[1]!Table1[Q_int_frac DIW 10 mM KOH],"",0)</f>
        <v>#REF!</v>
      </c>
      <c r="AJ46" s="69" t="e" cm="1">
        <f t="array" ref="AJ46">_xlfn.XLOOKUP(Table1[[#This Row],[5 cm2 cell test code]:[5 cm2 cell test code]],[1]!Table1[[Test code]:[Test code]],[1]!Table1[DIW conductivity (µS/cm)],"",0)</f>
        <v>#REF!</v>
      </c>
      <c r="AQ46" s="4" t="str">
        <v>VSG01A-23122C1</v>
      </c>
      <c r="AR46" s="95">
        <f>COUNTIFS(Table1[Anode PN (Stack/cell electrodes)],AQ46,Table1[ƞ at 20mAcm-2 (mV)],"&lt;&gt;")</f>
        <v>0</v>
      </c>
      <c r="AS46" s="95">
        <f>COUNTIFS(Table1[Anode PN (Stack/cell electrodes)],AQ46,Table1[i @ 1.8 V DIW (A/cm2)],"&lt;&gt;")</f>
        <v>1</v>
      </c>
      <c r="AT46" s="95">
        <f>COUNTIFS(Table1[Anode PN (Stack/cell electrodes)],AQ46,Table1[i at 1.8 V 10 mM KOH (A/cm2)],"&lt;&gt;")</f>
        <v>1</v>
      </c>
      <c r="AU46" s="95">
        <f>COUNTIFS(Table1[Anode PN (Stack/cell electrodes)],AQ46,Table1[Ionic resistance DIW/Ohm cm2],"&lt;&gt;")</f>
        <v>1</v>
      </c>
      <c r="AV46" s="95">
        <f>COUNTIFS(Table1[Anode PN (Stack/cell electrodes)],AQ46,Table1[Ionic resistance 10 mM KOH/Ohm cm2],"&lt;&gt;")</f>
        <v>1</v>
      </c>
    </row>
    <row r="47" spans="1:48">
      <c r="A47" s="81"/>
      <c r="K47" s="43" t="s">
        <v>59</v>
      </c>
      <c r="T47" s="8"/>
      <c r="U47" s="100"/>
      <c r="V47" s="100"/>
      <c r="W47" s="69" t="e" cm="1">
        <f t="array" ref="W47">_xlfn.XLOOKUP(Table1[[#This Row],[5 cm2 cell test code]:[5 cm2 cell test code]],[1]!Table1[[Test code]:[Test code]],[1]!Table1[i @ 1.8 V DIW (A/cm2)],"",0)</f>
        <v>#REF!</v>
      </c>
      <c r="X47" s="69" t="e" cm="1">
        <f t="array" ref="X47">_xlfn.XLOOKUP(Table1[[#This Row],[5 cm2 cell test code]:[5 cm2 cell test code]],[1]!Table1[[Test code]:[Test code]],[1]!Table1[i @ 1.8 V 10 mM KOH (A/cm2)],"",0)</f>
        <v>#REF!</v>
      </c>
      <c r="Y47" s="69" t="e" cm="1">
        <f t="array" ref="Y47">_xlfn.XLOOKUP(Table1[[#This Row],[5 cm2 cell test code]:[5 cm2 cell test code]],[1]!Table1[[Test code]:[Test code]],[1]!Table1[3-E ƞ at 20mAcm-2 (mV)],"",0)</f>
        <v>#REF!</v>
      </c>
      <c r="Z47" s="69" t="e" cm="1">
        <f t="array" ref="Z47">_xlfn.XLOOKUP(Table1[[#This Row],[5 cm2 cell test code]:[5 cm2 cell test code]],[1]!Table1[[Test code]:[Test code]],[1]!Table1[3-E Tafel slope (mV/dec)],"",0)</f>
        <v>#REF!</v>
      </c>
      <c r="AA47" s="69" t="e" cm="1">
        <f t="array" ref="AA47">_xlfn.XLOOKUP(Table1[[#This Row],[5 cm2 cell test code]:[5 cm2 cell test code]],[1]!Table1[[Test code]:[Test code]],[1]!Table1[E @ 100 mA/cm2 DIW/V],"",0)</f>
        <v>#REF!</v>
      </c>
      <c r="AB47" s="69" t="e" cm="1">
        <f t="array" ref="AB47">_xlfn.XLOOKUP(Table1[[#This Row],[5 cm2 cell test code]:[5 cm2 cell test code]],[1]!Table1[[Test code]:[Test code]],[1]!Table1[E @ 100 mA/cm2 10 mM KOH/V],"",0)</f>
        <v>#REF!</v>
      </c>
      <c r="AC47" s="69" t="e" cm="1">
        <f t="array" ref="AC47">_xlfn.XLOOKUP(Table1[[#This Row],[5 cm2 cell test code]:[5 cm2 cell test code]],[1]!Table1[[Test code]:[Test code]],[1]!Table1[Anode ICR/mOhm],"",0)</f>
        <v>#REF!</v>
      </c>
      <c r="AD47" s="69" t="e" cm="1">
        <f t="array" ref="AD47">_xlfn.XLOOKUP(Table1[[#This Row],[5 cm2 cell test code]:[5 cm2 cell test code]],[1]!Table1[[Test code]:[Test code]],[1]!Table1[HFR DIW/ mOhm cm2],"",0)</f>
        <v>#REF!</v>
      </c>
      <c r="AE47" s="69" t="e" cm="1">
        <f t="array" ref="AE47">_xlfn.XLOOKUP(Table1[[#This Row],[5 cm2 cell test code]:[5 cm2 cell test code]],[1]!Table1[[Test code]:[Test code]],[1]!Table1[HFR 10 mM KOH/ mOhm cm2],"",0)</f>
        <v>#REF!</v>
      </c>
      <c r="AF47" s="69" t="e" cm="1">
        <f t="array" ref="AF47">_xlfn.XLOOKUP(Table1[[#This Row],[5 cm2 cell test code]:[5 cm2 cell test code]],[1]!Table1[[Test code]:[Test code]],[1]!Table1[Ionic resistance DIW/Ohm cm2],"",0)</f>
        <v>#REF!</v>
      </c>
      <c r="AG47" s="69" t="e" cm="1">
        <f t="array" ref="AG47">_xlfn.XLOOKUP(Table1[[#This Row],[5 cm2 cell test code]:[5 cm2 cell test code]],[1]!Table1[[Test code]:[Test code]],[1]!Table1[Q_int_frac DIW],"",0)</f>
        <v>#REF!</v>
      </c>
      <c r="AH47" s="69" t="e" cm="1">
        <f t="array" ref="AH47">_xlfn.XLOOKUP(Table1[[#This Row],[5 cm2 cell test code]:[5 cm2 cell test code]],[1]!Table1[[Test code]:[Test code]],[1]!Table1[Ionic resistance 10 mM KOH/Ohm cm2],"",0)</f>
        <v>#REF!</v>
      </c>
      <c r="AI47" s="69" t="e" cm="1">
        <f t="array" ref="AI47">_xlfn.XLOOKUP(Table1[[#This Row],[5 cm2 cell test code]:[5 cm2 cell test code]],[1]!Table1[[Test code]:[Test code]],[1]!Table1[Q_int_frac DIW 10 mM KOH],"",0)</f>
        <v>#REF!</v>
      </c>
      <c r="AJ47" s="69" t="e" cm="1">
        <f t="array" ref="AJ47">_xlfn.XLOOKUP(Table1[[#This Row],[5 cm2 cell test code]:[5 cm2 cell test code]],[1]!Table1[[Test code]:[Test code]],[1]!Table1[DIW conductivity (µS/cm)],"",0)</f>
        <v>#REF!</v>
      </c>
      <c r="AQ47" s="4" t="str">
        <v>VSG01A-23122C1.01</v>
      </c>
      <c r="AR47" s="95">
        <f>COUNTIFS(Table1[Anode PN (Stack/cell electrodes)],AQ47,Table1[ƞ at 20mAcm-2 (mV)],"&lt;&gt;")</f>
        <v>1</v>
      </c>
      <c r="AS47" s="95">
        <f>COUNTIFS(Table1[Anode PN (Stack/cell electrodes)],AQ47,Table1[i @ 1.8 V DIW (A/cm2)],"&lt;&gt;")</f>
        <v>1</v>
      </c>
      <c r="AT47" s="95">
        <f>COUNTIFS(Table1[Anode PN (Stack/cell electrodes)],AQ47,Table1[i at 1.8 V 10 mM KOH (A/cm2)],"&lt;&gt;")</f>
        <v>1</v>
      </c>
      <c r="AU47" s="95">
        <f>COUNTIFS(Table1[Anode PN (Stack/cell electrodes)],AQ47,Table1[Ionic resistance DIW/Ohm cm2],"&lt;&gt;")</f>
        <v>1</v>
      </c>
      <c r="AV47" s="95">
        <f>COUNTIFS(Table1[Anode PN (Stack/cell electrodes)],AQ47,Table1[Ionic resistance 10 mM KOH/Ohm cm2],"&lt;&gt;")</f>
        <v>1</v>
      </c>
    </row>
    <row r="48" spans="1:48" s="14" customFormat="1">
      <c r="A48" s="83"/>
      <c r="B48" s="19" t="s">
        <v>147</v>
      </c>
      <c r="C48" s="14" t="s">
        <v>148</v>
      </c>
      <c r="I48" s="19" t="s">
        <v>114</v>
      </c>
      <c r="J48" s="19" t="s">
        <v>134</v>
      </c>
      <c r="K48" s="43" t="s">
        <v>59</v>
      </c>
      <c r="L48" s="19"/>
      <c r="M48" s="25">
        <v>0.23</v>
      </c>
      <c r="N48" s="25"/>
      <c r="O48" s="41" t="s">
        <v>149</v>
      </c>
      <c r="P48" s="27">
        <v>0.19</v>
      </c>
      <c r="T48" s="19"/>
      <c r="U48" s="100"/>
      <c r="V48" s="100"/>
      <c r="W48" s="69" t="e" cm="1">
        <f t="array" ref="W48">_xlfn.XLOOKUP(Table1[[#This Row],[5 cm2 cell test code]:[5 cm2 cell test code]],[1]!Table1[[Test code]:[Test code]],[1]!Table1[i @ 1.8 V DIW (A/cm2)],"",0)</f>
        <v>#REF!</v>
      </c>
      <c r="X48" s="69" t="e" cm="1">
        <f t="array" ref="X48">_xlfn.XLOOKUP(Table1[[#This Row],[5 cm2 cell test code]:[5 cm2 cell test code]],[1]!Table1[[Test code]:[Test code]],[1]!Table1[i @ 1.8 V 10 mM KOH (A/cm2)],"",0)</f>
        <v>#REF!</v>
      </c>
      <c r="Y48" s="69" t="e" cm="1">
        <f t="array" ref="Y48">_xlfn.XLOOKUP(Table1[[#This Row],[5 cm2 cell test code]:[5 cm2 cell test code]],[1]!Table1[[Test code]:[Test code]],[1]!Table1[3-E ƞ at 20mAcm-2 (mV)],"",0)</f>
        <v>#REF!</v>
      </c>
      <c r="Z48" s="69" t="e" cm="1">
        <f t="array" ref="Z48">_xlfn.XLOOKUP(Table1[[#This Row],[5 cm2 cell test code]:[5 cm2 cell test code]],[1]!Table1[[Test code]:[Test code]],[1]!Table1[3-E Tafel slope (mV/dec)],"",0)</f>
        <v>#REF!</v>
      </c>
      <c r="AA48" s="69" t="e" cm="1">
        <f t="array" ref="AA48">_xlfn.XLOOKUP(Table1[[#This Row],[5 cm2 cell test code]:[5 cm2 cell test code]],[1]!Table1[[Test code]:[Test code]],[1]!Table1[E @ 100 mA/cm2 DIW/V],"",0)</f>
        <v>#REF!</v>
      </c>
      <c r="AB48" s="69" t="e" cm="1">
        <f t="array" ref="AB48">_xlfn.XLOOKUP(Table1[[#This Row],[5 cm2 cell test code]:[5 cm2 cell test code]],[1]!Table1[[Test code]:[Test code]],[1]!Table1[E @ 100 mA/cm2 10 mM KOH/V],"",0)</f>
        <v>#REF!</v>
      </c>
      <c r="AC48" s="69" t="e" cm="1">
        <f t="array" ref="AC48">_xlfn.XLOOKUP(Table1[[#This Row],[5 cm2 cell test code]:[5 cm2 cell test code]],[1]!Table1[[Test code]:[Test code]],[1]!Table1[Anode ICR/mOhm],"",0)</f>
        <v>#REF!</v>
      </c>
      <c r="AD48" s="69" t="e" cm="1">
        <f t="array" ref="AD48">_xlfn.XLOOKUP(Table1[[#This Row],[5 cm2 cell test code]:[5 cm2 cell test code]],[1]!Table1[[Test code]:[Test code]],[1]!Table1[HFR DIW/ mOhm cm2],"",0)</f>
        <v>#REF!</v>
      </c>
      <c r="AE48" s="69" t="e" cm="1">
        <f t="array" ref="AE48">_xlfn.XLOOKUP(Table1[[#This Row],[5 cm2 cell test code]:[5 cm2 cell test code]],[1]!Table1[[Test code]:[Test code]],[1]!Table1[HFR 10 mM KOH/ mOhm cm2],"",0)</f>
        <v>#REF!</v>
      </c>
      <c r="AF48" s="69" t="e" cm="1">
        <f t="array" ref="AF48">_xlfn.XLOOKUP(Table1[[#This Row],[5 cm2 cell test code]:[5 cm2 cell test code]],[1]!Table1[[Test code]:[Test code]],[1]!Table1[Ionic resistance DIW/Ohm cm2],"",0)</f>
        <v>#REF!</v>
      </c>
      <c r="AG48" s="69" t="e" cm="1">
        <f t="array" ref="AG48">_xlfn.XLOOKUP(Table1[[#This Row],[5 cm2 cell test code]:[5 cm2 cell test code]],[1]!Table1[[Test code]:[Test code]],[1]!Table1[Q_int_frac DIW],"",0)</f>
        <v>#REF!</v>
      </c>
      <c r="AH48" s="69" t="e" cm="1">
        <f t="array" ref="AH48">_xlfn.XLOOKUP(Table1[[#This Row],[5 cm2 cell test code]:[5 cm2 cell test code]],[1]!Table1[[Test code]:[Test code]],[1]!Table1[Ionic resistance 10 mM KOH/Ohm cm2],"",0)</f>
        <v>#REF!</v>
      </c>
      <c r="AI48" s="69" t="e" cm="1">
        <f t="array" ref="AI48">_xlfn.XLOOKUP(Table1[[#This Row],[5 cm2 cell test code]:[5 cm2 cell test code]],[1]!Table1[[Test code]:[Test code]],[1]!Table1[Q_int_frac DIW 10 mM KOH],"",0)</f>
        <v>#REF!</v>
      </c>
      <c r="AJ48" s="69" t="e" cm="1">
        <f t="array" ref="AJ48">_xlfn.XLOOKUP(Table1[[#This Row],[5 cm2 cell test code]:[5 cm2 cell test code]],[1]!Table1[[Test code]:[Test code]],[1]!Table1[DIW conductivity (µS/cm)],"",0)</f>
        <v>#REF!</v>
      </c>
      <c r="AQ48" s="14" t="str">
        <v>VSG01A-23122C1.02</v>
      </c>
      <c r="AR48" s="95">
        <f>COUNTIFS(Table1[Anode PN (Stack/cell electrodes)],AQ48,Table1[ƞ at 20mAcm-2 (mV)],"&lt;&gt;")</f>
        <v>0</v>
      </c>
      <c r="AS48" s="95">
        <f>COUNTIFS(Table1[Anode PN (Stack/cell electrodes)],AQ48,Table1[i @ 1.8 V DIW (A/cm2)],"&lt;&gt;")</f>
        <v>1</v>
      </c>
      <c r="AT48" s="95">
        <f>COUNTIFS(Table1[Anode PN (Stack/cell electrodes)],AQ48,Table1[i at 1.8 V 10 mM KOH (A/cm2)],"&lt;&gt;")</f>
        <v>1</v>
      </c>
      <c r="AU48" s="95">
        <f>COUNTIFS(Table1[Anode PN (Stack/cell electrodes)],AQ48,Table1[Ionic resistance DIW/Ohm cm2],"&lt;&gt;")</f>
        <v>1</v>
      </c>
      <c r="AV48" s="95">
        <f>COUNTIFS(Table1[Anode PN (Stack/cell electrodes)],AQ48,Table1[Ionic resistance 10 mM KOH/Ohm cm2],"&lt;&gt;")</f>
        <v>1</v>
      </c>
    </row>
    <row r="49" spans="1:48" s="14" customFormat="1">
      <c r="A49" s="83"/>
      <c r="B49" s="19"/>
      <c r="C49" s="14" t="s">
        <v>150</v>
      </c>
      <c r="I49" s="19"/>
      <c r="J49" s="19"/>
      <c r="K49" s="43" t="s">
        <v>59</v>
      </c>
      <c r="L49" s="19"/>
      <c r="M49" s="25"/>
      <c r="N49" s="25"/>
      <c r="O49" s="41"/>
      <c r="P49" s="27">
        <v>0.49</v>
      </c>
      <c r="T49" s="19"/>
      <c r="U49" s="100"/>
      <c r="V49" s="100"/>
      <c r="W49" s="69" t="e" cm="1">
        <f t="array" ref="W49">_xlfn.XLOOKUP(Table1[[#This Row],[5 cm2 cell test code]:[5 cm2 cell test code]],[1]!Table1[[Test code]:[Test code]],[1]!Table1[i @ 1.8 V DIW (A/cm2)],"",0)</f>
        <v>#REF!</v>
      </c>
      <c r="X49" s="69" t="e" cm="1">
        <f t="array" ref="X49">_xlfn.XLOOKUP(Table1[[#This Row],[5 cm2 cell test code]:[5 cm2 cell test code]],[1]!Table1[[Test code]:[Test code]],[1]!Table1[i @ 1.8 V 10 mM KOH (A/cm2)],"",0)</f>
        <v>#REF!</v>
      </c>
      <c r="Y49" s="69" t="e" cm="1">
        <f t="array" ref="Y49">_xlfn.XLOOKUP(Table1[[#This Row],[5 cm2 cell test code]:[5 cm2 cell test code]],[1]!Table1[[Test code]:[Test code]],[1]!Table1[3-E ƞ at 20mAcm-2 (mV)],"",0)</f>
        <v>#REF!</v>
      </c>
      <c r="Z49" s="69" t="e" cm="1">
        <f t="array" ref="Z49">_xlfn.XLOOKUP(Table1[[#This Row],[5 cm2 cell test code]:[5 cm2 cell test code]],[1]!Table1[[Test code]:[Test code]],[1]!Table1[3-E Tafel slope (mV/dec)],"",0)</f>
        <v>#REF!</v>
      </c>
      <c r="AA49" s="69" t="e" cm="1">
        <f t="array" ref="AA49">_xlfn.XLOOKUP(Table1[[#This Row],[5 cm2 cell test code]:[5 cm2 cell test code]],[1]!Table1[[Test code]:[Test code]],[1]!Table1[E @ 100 mA/cm2 DIW/V],"",0)</f>
        <v>#REF!</v>
      </c>
      <c r="AB49" s="69" t="e" cm="1">
        <f t="array" ref="AB49">_xlfn.XLOOKUP(Table1[[#This Row],[5 cm2 cell test code]:[5 cm2 cell test code]],[1]!Table1[[Test code]:[Test code]],[1]!Table1[E @ 100 mA/cm2 10 mM KOH/V],"",0)</f>
        <v>#REF!</v>
      </c>
      <c r="AC49" s="69" t="e" cm="1">
        <f t="array" ref="AC49">_xlfn.XLOOKUP(Table1[[#This Row],[5 cm2 cell test code]:[5 cm2 cell test code]],[1]!Table1[[Test code]:[Test code]],[1]!Table1[Anode ICR/mOhm],"",0)</f>
        <v>#REF!</v>
      </c>
      <c r="AD49" s="69" t="e" cm="1">
        <f t="array" ref="AD49">_xlfn.XLOOKUP(Table1[[#This Row],[5 cm2 cell test code]:[5 cm2 cell test code]],[1]!Table1[[Test code]:[Test code]],[1]!Table1[HFR DIW/ mOhm cm2],"",0)</f>
        <v>#REF!</v>
      </c>
      <c r="AE49" s="69" t="e" cm="1">
        <f t="array" ref="AE49">_xlfn.XLOOKUP(Table1[[#This Row],[5 cm2 cell test code]:[5 cm2 cell test code]],[1]!Table1[[Test code]:[Test code]],[1]!Table1[HFR 10 mM KOH/ mOhm cm2],"",0)</f>
        <v>#REF!</v>
      </c>
      <c r="AF49" s="69" t="e" cm="1">
        <f t="array" ref="AF49">_xlfn.XLOOKUP(Table1[[#This Row],[5 cm2 cell test code]:[5 cm2 cell test code]],[1]!Table1[[Test code]:[Test code]],[1]!Table1[Ionic resistance DIW/Ohm cm2],"",0)</f>
        <v>#REF!</v>
      </c>
      <c r="AG49" s="69" t="e" cm="1">
        <f t="array" ref="AG49">_xlfn.XLOOKUP(Table1[[#This Row],[5 cm2 cell test code]:[5 cm2 cell test code]],[1]!Table1[[Test code]:[Test code]],[1]!Table1[Q_int_frac DIW],"",0)</f>
        <v>#REF!</v>
      </c>
      <c r="AH49" s="69" t="e" cm="1">
        <f t="array" ref="AH49">_xlfn.XLOOKUP(Table1[[#This Row],[5 cm2 cell test code]:[5 cm2 cell test code]],[1]!Table1[[Test code]:[Test code]],[1]!Table1[Ionic resistance 10 mM KOH/Ohm cm2],"",0)</f>
        <v>#REF!</v>
      </c>
      <c r="AI49" s="69" t="e" cm="1">
        <f t="array" ref="AI49">_xlfn.XLOOKUP(Table1[[#This Row],[5 cm2 cell test code]:[5 cm2 cell test code]],[1]!Table1[[Test code]:[Test code]],[1]!Table1[Q_int_frac DIW 10 mM KOH],"",0)</f>
        <v>#REF!</v>
      </c>
      <c r="AJ49" s="69" t="e" cm="1">
        <f t="array" ref="AJ49">_xlfn.XLOOKUP(Table1[[#This Row],[5 cm2 cell test code]:[5 cm2 cell test code]],[1]!Table1[[Test code]:[Test code]],[1]!Table1[DIW conductivity (µS/cm)],"",0)</f>
        <v>#REF!</v>
      </c>
      <c r="AQ49" s="14" t="str">
        <v>VSG01A-23122C1.03</v>
      </c>
      <c r="AR49" s="95">
        <f>COUNTIFS(Table1[Anode PN (Stack/cell electrodes)],AQ49,Table1[ƞ at 20mAcm-2 (mV)],"&lt;&gt;")</f>
        <v>1</v>
      </c>
      <c r="AS49" s="95">
        <f>COUNTIFS(Table1[Anode PN (Stack/cell electrodes)],AQ49,Table1[i @ 1.8 V DIW (A/cm2)],"&lt;&gt;")</f>
        <v>1</v>
      </c>
      <c r="AT49" s="95">
        <f>COUNTIFS(Table1[Anode PN (Stack/cell electrodes)],AQ49,Table1[i at 1.8 V 10 mM KOH (A/cm2)],"&lt;&gt;")</f>
        <v>1</v>
      </c>
      <c r="AU49" s="95">
        <f>COUNTIFS(Table1[Anode PN (Stack/cell electrodes)],AQ49,Table1[Ionic resistance DIW/Ohm cm2],"&lt;&gt;")</f>
        <v>1</v>
      </c>
      <c r="AV49" s="95">
        <f>COUNTIFS(Table1[Anode PN (Stack/cell electrodes)],AQ49,Table1[Ionic resistance 10 mM KOH/Ohm cm2],"&lt;&gt;")</f>
        <v>1</v>
      </c>
    </row>
    <row r="50" spans="1:48" s="14" customFormat="1">
      <c r="A50" s="83"/>
      <c r="B50" s="19"/>
      <c r="C50" s="14" t="s">
        <v>151</v>
      </c>
      <c r="I50" s="19"/>
      <c r="J50" s="19"/>
      <c r="K50" s="43" t="s">
        <v>59</v>
      </c>
      <c r="L50" s="19"/>
      <c r="M50" s="25"/>
      <c r="N50" s="25"/>
      <c r="O50" s="19"/>
      <c r="P50" s="27">
        <v>2.8490000000000002</v>
      </c>
      <c r="T50" s="19"/>
      <c r="U50" s="100"/>
      <c r="V50" s="100"/>
      <c r="W50" s="69" t="e" cm="1">
        <f t="array" ref="W50">_xlfn.XLOOKUP(Table1[[#This Row],[5 cm2 cell test code]:[5 cm2 cell test code]],[1]!Table1[[Test code]:[Test code]],[1]!Table1[i @ 1.8 V DIW (A/cm2)],"",0)</f>
        <v>#REF!</v>
      </c>
      <c r="X50" s="69" t="e" cm="1">
        <f t="array" ref="X50">_xlfn.XLOOKUP(Table1[[#This Row],[5 cm2 cell test code]:[5 cm2 cell test code]],[1]!Table1[[Test code]:[Test code]],[1]!Table1[i @ 1.8 V 10 mM KOH (A/cm2)],"",0)</f>
        <v>#REF!</v>
      </c>
      <c r="Y50" s="69" t="e" cm="1">
        <f t="array" ref="Y50">_xlfn.XLOOKUP(Table1[[#This Row],[5 cm2 cell test code]:[5 cm2 cell test code]],[1]!Table1[[Test code]:[Test code]],[1]!Table1[3-E ƞ at 20mAcm-2 (mV)],"",0)</f>
        <v>#REF!</v>
      </c>
      <c r="Z50" s="69" t="e" cm="1">
        <f t="array" ref="Z50">_xlfn.XLOOKUP(Table1[[#This Row],[5 cm2 cell test code]:[5 cm2 cell test code]],[1]!Table1[[Test code]:[Test code]],[1]!Table1[3-E Tafel slope (mV/dec)],"",0)</f>
        <v>#REF!</v>
      </c>
      <c r="AA50" s="69" t="e" cm="1">
        <f t="array" ref="AA50">_xlfn.XLOOKUP(Table1[[#This Row],[5 cm2 cell test code]:[5 cm2 cell test code]],[1]!Table1[[Test code]:[Test code]],[1]!Table1[E @ 100 mA/cm2 DIW/V],"",0)</f>
        <v>#REF!</v>
      </c>
      <c r="AB50" s="69" t="e" cm="1">
        <f t="array" ref="AB50">_xlfn.XLOOKUP(Table1[[#This Row],[5 cm2 cell test code]:[5 cm2 cell test code]],[1]!Table1[[Test code]:[Test code]],[1]!Table1[E @ 100 mA/cm2 10 mM KOH/V],"",0)</f>
        <v>#REF!</v>
      </c>
      <c r="AC50" s="69" t="e" cm="1">
        <f t="array" ref="AC50">_xlfn.XLOOKUP(Table1[[#This Row],[5 cm2 cell test code]:[5 cm2 cell test code]],[1]!Table1[[Test code]:[Test code]],[1]!Table1[Anode ICR/mOhm],"",0)</f>
        <v>#REF!</v>
      </c>
      <c r="AD50" s="69" t="e" cm="1">
        <f t="array" ref="AD50">_xlfn.XLOOKUP(Table1[[#This Row],[5 cm2 cell test code]:[5 cm2 cell test code]],[1]!Table1[[Test code]:[Test code]],[1]!Table1[HFR DIW/ mOhm cm2],"",0)</f>
        <v>#REF!</v>
      </c>
      <c r="AE50" s="69" t="e" cm="1">
        <f t="array" ref="AE50">_xlfn.XLOOKUP(Table1[[#This Row],[5 cm2 cell test code]:[5 cm2 cell test code]],[1]!Table1[[Test code]:[Test code]],[1]!Table1[HFR 10 mM KOH/ mOhm cm2],"",0)</f>
        <v>#REF!</v>
      </c>
      <c r="AF50" s="69" t="e" cm="1">
        <f t="array" ref="AF50">_xlfn.XLOOKUP(Table1[[#This Row],[5 cm2 cell test code]:[5 cm2 cell test code]],[1]!Table1[[Test code]:[Test code]],[1]!Table1[Ionic resistance DIW/Ohm cm2],"",0)</f>
        <v>#REF!</v>
      </c>
      <c r="AG50" s="69" t="e" cm="1">
        <f t="array" ref="AG50">_xlfn.XLOOKUP(Table1[[#This Row],[5 cm2 cell test code]:[5 cm2 cell test code]],[1]!Table1[[Test code]:[Test code]],[1]!Table1[Q_int_frac DIW],"",0)</f>
        <v>#REF!</v>
      </c>
      <c r="AH50" s="69" t="e" cm="1">
        <f t="array" ref="AH50">_xlfn.XLOOKUP(Table1[[#This Row],[5 cm2 cell test code]:[5 cm2 cell test code]],[1]!Table1[[Test code]:[Test code]],[1]!Table1[Ionic resistance 10 mM KOH/Ohm cm2],"",0)</f>
        <v>#REF!</v>
      </c>
      <c r="AI50" s="69" t="e" cm="1">
        <f t="array" ref="AI50">_xlfn.XLOOKUP(Table1[[#This Row],[5 cm2 cell test code]:[5 cm2 cell test code]],[1]!Table1[[Test code]:[Test code]],[1]!Table1[Q_int_frac DIW 10 mM KOH],"",0)</f>
        <v>#REF!</v>
      </c>
      <c r="AJ50" s="69" t="e" cm="1">
        <f t="array" ref="AJ50">_xlfn.XLOOKUP(Table1[[#This Row],[5 cm2 cell test code]:[5 cm2 cell test code]],[1]!Table1[[Test code]:[Test code]],[1]!Table1[DIW conductivity (µS/cm)],"",0)</f>
        <v>#REF!</v>
      </c>
      <c r="AQ50" s="14" t="str">
        <v>VSG01A-23123C1</v>
      </c>
      <c r="AR50" s="95">
        <f>COUNTIFS(Table1[Anode PN (Stack/cell electrodes)],AQ50,Table1[ƞ at 20mAcm-2 (mV)],"&lt;&gt;")</f>
        <v>0</v>
      </c>
      <c r="AS50" s="95">
        <f>COUNTIFS(Table1[Anode PN (Stack/cell electrodes)],AQ50,Table1[i @ 1.8 V DIW (A/cm2)],"&lt;&gt;")</f>
        <v>1</v>
      </c>
      <c r="AT50" s="95">
        <f>COUNTIFS(Table1[Anode PN (Stack/cell electrodes)],AQ50,Table1[i at 1.8 V 10 mM KOH (A/cm2)],"&lt;&gt;")</f>
        <v>1</v>
      </c>
      <c r="AU50" s="95">
        <f>COUNTIFS(Table1[Anode PN (Stack/cell electrodes)],AQ50,Table1[Ionic resistance DIW/Ohm cm2],"&lt;&gt;")</f>
        <v>1</v>
      </c>
      <c r="AV50" s="95">
        <f>COUNTIFS(Table1[Anode PN (Stack/cell electrodes)],AQ50,Table1[Ionic resistance 10 mM KOH/Ohm cm2],"&lt;&gt;")</f>
        <v>1</v>
      </c>
    </row>
    <row r="51" spans="1:48">
      <c r="A51" s="81"/>
      <c r="K51" s="43" t="s">
        <v>59</v>
      </c>
      <c r="T51" s="8"/>
      <c r="U51" s="100"/>
      <c r="V51" s="100"/>
      <c r="W51" s="69" t="e" cm="1">
        <f t="array" ref="W51">_xlfn.XLOOKUP(Table1[[#This Row],[5 cm2 cell test code]:[5 cm2 cell test code]],[1]!Table1[[Test code]:[Test code]],[1]!Table1[i @ 1.8 V DIW (A/cm2)],"",0)</f>
        <v>#REF!</v>
      </c>
      <c r="X51" s="69" t="e" cm="1">
        <f t="array" ref="X51">_xlfn.XLOOKUP(Table1[[#This Row],[5 cm2 cell test code]:[5 cm2 cell test code]],[1]!Table1[[Test code]:[Test code]],[1]!Table1[i @ 1.8 V 10 mM KOH (A/cm2)],"",0)</f>
        <v>#REF!</v>
      </c>
      <c r="Y51" s="69" t="e" cm="1">
        <f t="array" ref="Y51">_xlfn.XLOOKUP(Table1[[#This Row],[5 cm2 cell test code]:[5 cm2 cell test code]],[1]!Table1[[Test code]:[Test code]],[1]!Table1[3-E ƞ at 20mAcm-2 (mV)],"",0)</f>
        <v>#REF!</v>
      </c>
      <c r="Z51" s="69" t="e" cm="1">
        <f t="array" ref="Z51">_xlfn.XLOOKUP(Table1[[#This Row],[5 cm2 cell test code]:[5 cm2 cell test code]],[1]!Table1[[Test code]:[Test code]],[1]!Table1[3-E Tafel slope (mV/dec)],"",0)</f>
        <v>#REF!</v>
      </c>
      <c r="AA51" s="69" t="e" cm="1">
        <f t="array" ref="AA51">_xlfn.XLOOKUP(Table1[[#This Row],[5 cm2 cell test code]:[5 cm2 cell test code]],[1]!Table1[[Test code]:[Test code]],[1]!Table1[E @ 100 mA/cm2 DIW/V],"",0)</f>
        <v>#REF!</v>
      </c>
      <c r="AB51" s="69" t="e" cm="1">
        <f t="array" ref="AB51">_xlfn.XLOOKUP(Table1[[#This Row],[5 cm2 cell test code]:[5 cm2 cell test code]],[1]!Table1[[Test code]:[Test code]],[1]!Table1[E @ 100 mA/cm2 10 mM KOH/V],"",0)</f>
        <v>#REF!</v>
      </c>
      <c r="AC51" s="69" t="e" cm="1">
        <f t="array" ref="AC51">_xlfn.XLOOKUP(Table1[[#This Row],[5 cm2 cell test code]:[5 cm2 cell test code]],[1]!Table1[[Test code]:[Test code]],[1]!Table1[Anode ICR/mOhm],"",0)</f>
        <v>#REF!</v>
      </c>
      <c r="AD51" s="69" t="e" cm="1">
        <f t="array" ref="AD51">_xlfn.XLOOKUP(Table1[[#This Row],[5 cm2 cell test code]:[5 cm2 cell test code]],[1]!Table1[[Test code]:[Test code]],[1]!Table1[HFR DIW/ mOhm cm2],"",0)</f>
        <v>#REF!</v>
      </c>
      <c r="AE51" s="69" t="e" cm="1">
        <f t="array" ref="AE51">_xlfn.XLOOKUP(Table1[[#This Row],[5 cm2 cell test code]:[5 cm2 cell test code]],[1]!Table1[[Test code]:[Test code]],[1]!Table1[HFR 10 mM KOH/ mOhm cm2],"",0)</f>
        <v>#REF!</v>
      </c>
      <c r="AF51" s="69" t="e" cm="1">
        <f t="array" ref="AF51">_xlfn.XLOOKUP(Table1[[#This Row],[5 cm2 cell test code]:[5 cm2 cell test code]],[1]!Table1[[Test code]:[Test code]],[1]!Table1[Ionic resistance DIW/Ohm cm2],"",0)</f>
        <v>#REF!</v>
      </c>
      <c r="AG51" s="69" t="e" cm="1">
        <f t="array" ref="AG51">_xlfn.XLOOKUP(Table1[[#This Row],[5 cm2 cell test code]:[5 cm2 cell test code]],[1]!Table1[[Test code]:[Test code]],[1]!Table1[Q_int_frac DIW],"",0)</f>
        <v>#REF!</v>
      </c>
      <c r="AH51" s="69" t="e" cm="1">
        <f t="array" ref="AH51">_xlfn.XLOOKUP(Table1[[#This Row],[5 cm2 cell test code]:[5 cm2 cell test code]],[1]!Table1[[Test code]:[Test code]],[1]!Table1[Ionic resistance 10 mM KOH/Ohm cm2],"",0)</f>
        <v>#REF!</v>
      </c>
      <c r="AI51" s="69" t="e" cm="1">
        <f t="array" ref="AI51">_xlfn.XLOOKUP(Table1[[#This Row],[5 cm2 cell test code]:[5 cm2 cell test code]],[1]!Table1[[Test code]:[Test code]],[1]!Table1[Q_int_frac DIW 10 mM KOH],"",0)</f>
        <v>#REF!</v>
      </c>
      <c r="AJ51" s="69" t="e" cm="1">
        <f t="array" ref="AJ51">_xlfn.XLOOKUP(Table1[[#This Row],[5 cm2 cell test code]:[5 cm2 cell test code]],[1]!Table1[[Test code]:[Test code]],[1]!Table1[DIW conductivity (µS/cm)],"",0)</f>
        <v>#REF!</v>
      </c>
      <c r="AQ51" s="4" t="str">
        <v>VSG01A-23123C1.01</v>
      </c>
      <c r="AR51" s="95">
        <f>COUNTIFS(Table1[Anode PN (Stack/cell electrodes)],AQ51,Table1[ƞ at 20mAcm-2 (mV)],"&lt;&gt;")</f>
        <v>1</v>
      </c>
      <c r="AS51" s="95">
        <f>COUNTIFS(Table1[Anode PN (Stack/cell electrodes)],AQ51,Table1[i @ 1.8 V DIW (A/cm2)],"&lt;&gt;")</f>
        <v>1</v>
      </c>
      <c r="AT51" s="95">
        <f>COUNTIFS(Table1[Anode PN (Stack/cell electrodes)],AQ51,Table1[i at 1.8 V 10 mM KOH (A/cm2)],"&lt;&gt;")</f>
        <v>1</v>
      </c>
      <c r="AU51" s="95">
        <f>COUNTIFS(Table1[Anode PN (Stack/cell electrodes)],AQ51,Table1[Ionic resistance DIW/Ohm cm2],"&lt;&gt;")</f>
        <v>1</v>
      </c>
      <c r="AV51" s="95">
        <f>COUNTIFS(Table1[Anode PN (Stack/cell electrodes)],AQ51,Table1[Ionic resistance 10 mM KOH/Ohm cm2],"&lt;&gt;")</f>
        <v>1</v>
      </c>
    </row>
    <row r="52" spans="1:48">
      <c r="A52" s="81"/>
      <c r="B52" s="11" t="s">
        <v>152</v>
      </c>
      <c r="C52" s="4" t="s">
        <v>153</v>
      </c>
      <c r="I52" s="11" t="s">
        <v>114</v>
      </c>
      <c r="J52" s="11" t="s">
        <v>134</v>
      </c>
      <c r="K52" s="43" t="s">
        <v>59</v>
      </c>
      <c r="R52" s="4">
        <v>0.92100000000000004</v>
      </c>
      <c r="S52" s="4">
        <v>219.03</v>
      </c>
      <c r="T52" s="4">
        <v>36.67</v>
      </c>
      <c r="U52" s="100"/>
      <c r="V52" s="100"/>
      <c r="W52" s="69" t="e" cm="1">
        <f t="array" ref="W52">_xlfn.XLOOKUP(Table1[[#This Row],[5 cm2 cell test code]:[5 cm2 cell test code]],[1]!Table1[[Test code]:[Test code]],[1]!Table1[i @ 1.8 V DIW (A/cm2)],"",0)</f>
        <v>#REF!</v>
      </c>
      <c r="X52" s="69" t="e" cm="1">
        <f t="array" ref="X52">_xlfn.XLOOKUP(Table1[[#This Row],[5 cm2 cell test code]:[5 cm2 cell test code]],[1]!Table1[[Test code]:[Test code]],[1]!Table1[i @ 1.8 V 10 mM KOH (A/cm2)],"",0)</f>
        <v>#REF!</v>
      </c>
      <c r="Y52" s="69" t="e" cm="1">
        <f t="array" ref="Y52">_xlfn.XLOOKUP(Table1[[#This Row],[5 cm2 cell test code]:[5 cm2 cell test code]],[1]!Table1[[Test code]:[Test code]],[1]!Table1[3-E ƞ at 20mAcm-2 (mV)],"",0)</f>
        <v>#REF!</v>
      </c>
      <c r="Z52" s="69" t="e" cm="1">
        <f t="array" ref="Z52">_xlfn.XLOOKUP(Table1[[#This Row],[5 cm2 cell test code]:[5 cm2 cell test code]],[1]!Table1[[Test code]:[Test code]],[1]!Table1[3-E Tafel slope (mV/dec)],"",0)</f>
        <v>#REF!</v>
      </c>
      <c r="AA52" s="69" t="e" cm="1">
        <f t="array" ref="AA52">_xlfn.XLOOKUP(Table1[[#This Row],[5 cm2 cell test code]:[5 cm2 cell test code]],[1]!Table1[[Test code]:[Test code]],[1]!Table1[E @ 100 mA/cm2 DIW/V],"",0)</f>
        <v>#REF!</v>
      </c>
      <c r="AB52" s="69" t="e" cm="1">
        <f t="array" ref="AB52">_xlfn.XLOOKUP(Table1[[#This Row],[5 cm2 cell test code]:[5 cm2 cell test code]],[1]!Table1[[Test code]:[Test code]],[1]!Table1[E @ 100 mA/cm2 10 mM KOH/V],"",0)</f>
        <v>#REF!</v>
      </c>
      <c r="AC52" s="69" t="e" cm="1">
        <f t="array" ref="AC52">_xlfn.XLOOKUP(Table1[[#This Row],[5 cm2 cell test code]:[5 cm2 cell test code]],[1]!Table1[[Test code]:[Test code]],[1]!Table1[Anode ICR/mOhm],"",0)</f>
        <v>#REF!</v>
      </c>
      <c r="AD52" s="69" t="e" cm="1">
        <f t="array" ref="AD52">_xlfn.XLOOKUP(Table1[[#This Row],[5 cm2 cell test code]:[5 cm2 cell test code]],[1]!Table1[[Test code]:[Test code]],[1]!Table1[HFR DIW/ mOhm cm2],"",0)</f>
        <v>#REF!</v>
      </c>
      <c r="AE52" s="69" t="e" cm="1">
        <f t="array" ref="AE52">_xlfn.XLOOKUP(Table1[[#This Row],[5 cm2 cell test code]:[5 cm2 cell test code]],[1]!Table1[[Test code]:[Test code]],[1]!Table1[HFR 10 mM KOH/ mOhm cm2],"",0)</f>
        <v>#REF!</v>
      </c>
      <c r="AF52" s="69" t="e" cm="1">
        <f t="array" ref="AF52">_xlfn.XLOOKUP(Table1[[#This Row],[5 cm2 cell test code]:[5 cm2 cell test code]],[1]!Table1[[Test code]:[Test code]],[1]!Table1[Ionic resistance DIW/Ohm cm2],"",0)</f>
        <v>#REF!</v>
      </c>
      <c r="AG52" s="69" t="e" cm="1">
        <f t="array" ref="AG52">_xlfn.XLOOKUP(Table1[[#This Row],[5 cm2 cell test code]:[5 cm2 cell test code]],[1]!Table1[[Test code]:[Test code]],[1]!Table1[Q_int_frac DIW],"",0)</f>
        <v>#REF!</v>
      </c>
      <c r="AH52" s="69" t="e" cm="1">
        <f t="array" ref="AH52">_xlfn.XLOOKUP(Table1[[#This Row],[5 cm2 cell test code]:[5 cm2 cell test code]],[1]!Table1[[Test code]:[Test code]],[1]!Table1[Ionic resistance 10 mM KOH/Ohm cm2],"",0)</f>
        <v>#REF!</v>
      </c>
      <c r="AI52" s="69" t="e" cm="1">
        <f t="array" ref="AI52">_xlfn.XLOOKUP(Table1[[#This Row],[5 cm2 cell test code]:[5 cm2 cell test code]],[1]!Table1[[Test code]:[Test code]],[1]!Table1[Q_int_frac DIW 10 mM KOH],"",0)</f>
        <v>#REF!</v>
      </c>
      <c r="AJ52" s="69" t="e" cm="1">
        <f t="array" ref="AJ52">_xlfn.XLOOKUP(Table1[[#This Row],[5 cm2 cell test code]:[5 cm2 cell test code]],[1]!Table1[[Test code]:[Test code]],[1]!Table1[DIW conductivity (µS/cm)],"",0)</f>
        <v>#REF!</v>
      </c>
      <c r="AQ52" s="4" t="str">
        <v>VSG01A-23123C1.02</v>
      </c>
      <c r="AR52" s="95">
        <f>COUNTIFS(Table1[Anode PN (Stack/cell electrodes)],AQ52,Table1[ƞ at 20mAcm-2 (mV)],"&lt;&gt;")</f>
        <v>1</v>
      </c>
      <c r="AS52" s="95">
        <f>COUNTIFS(Table1[Anode PN (Stack/cell electrodes)],AQ52,Table1[i @ 1.8 V DIW (A/cm2)],"&lt;&gt;")</f>
        <v>1</v>
      </c>
      <c r="AT52" s="95">
        <f>COUNTIFS(Table1[Anode PN (Stack/cell electrodes)],AQ52,Table1[i at 1.8 V 10 mM KOH (A/cm2)],"&lt;&gt;")</f>
        <v>1</v>
      </c>
      <c r="AU52" s="95">
        <f>COUNTIFS(Table1[Anode PN (Stack/cell electrodes)],AQ52,Table1[Ionic resistance DIW/Ohm cm2],"&lt;&gt;")</f>
        <v>1</v>
      </c>
      <c r="AV52" s="95">
        <f>COUNTIFS(Table1[Anode PN (Stack/cell electrodes)],AQ52,Table1[Ionic resistance 10 mM KOH/Ohm cm2],"&lt;&gt;")</f>
        <v>1</v>
      </c>
    </row>
    <row r="53" spans="1:48">
      <c r="A53" s="81"/>
      <c r="B53" s="11" t="s">
        <v>154</v>
      </c>
      <c r="C53" s="4" t="s">
        <v>155</v>
      </c>
      <c r="K53" s="43" t="s">
        <v>59</v>
      </c>
      <c r="P53" s="28">
        <f>(0.6403-0.6314)*1000/(2.5*2.51)</f>
        <v>1.4183266932270948</v>
      </c>
      <c r="U53" s="100"/>
      <c r="V53" s="100"/>
      <c r="W53" s="69" t="e" cm="1">
        <f t="array" ref="W53">_xlfn.XLOOKUP(Table1[[#This Row],[5 cm2 cell test code]:[5 cm2 cell test code]],[1]!Table1[[Test code]:[Test code]],[1]!Table1[i @ 1.8 V DIW (A/cm2)],"",0)</f>
        <v>#REF!</v>
      </c>
      <c r="X53" s="69" t="e" cm="1">
        <f t="array" ref="X53">_xlfn.XLOOKUP(Table1[[#This Row],[5 cm2 cell test code]:[5 cm2 cell test code]],[1]!Table1[[Test code]:[Test code]],[1]!Table1[i @ 1.8 V 10 mM KOH (A/cm2)],"",0)</f>
        <v>#REF!</v>
      </c>
      <c r="Y53" s="69" t="e" cm="1">
        <f t="array" ref="Y53">_xlfn.XLOOKUP(Table1[[#This Row],[5 cm2 cell test code]:[5 cm2 cell test code]],[1]!Table1[[Test code]:[Test code]],[1]!Table1[3-E ƞ at 20mAcm-2 (mV)],"",0)</f>
        <v>#REF!</v>
      </c>
      <c r="Z53" s="69" t="e" cm="1">
        <f t="array" ref="Z53">_xlfn.XLOOKUP(Table1[[#This Row],[5 cm2 cell test code]:[5 cm2 cell test code]],[1]!Table1[[Test code]:[Test code]],[1]!Table1[3-E Tafel slope (mV/dec)],"",0)</f>
        <v>#REF!</v>
      </c>
      <c r="AA53" s="69" t="e" cm="1">
        <f t="array" ref="AA53">_xlfn.XLOOKUP(Table1[[#This Row],[5 cm2 cell test code]:[5 cm2 cell test code]],[1]!Table1[[Test code]:[Test code]],[1]!Table1[E @ 100 mA/cm2 DIW/V],"",0)</f>
        <v>#REF!</v>
      </c>
      <c r="AB53" s="69" t="e" cm="1">
        <f t="array" ref="AB53">_xlfn.XLOOKUP(Table1[[#This Row],[5 cm2 cell test code]:[5 cm2 cell test code]],[1]!Table1[[Test code]:[Test code]],[1]!Table1[E @ 100 mA/cm2 10 mM KOH/V],"",0)</f>
        <v>#REF!</v>
      </c>
      <c r="AC53" s="69" t="e" cm="1">
        <f t="array" ref="AC53">_xlfn.XLOOKUP(Table1[[#This Row],[5 cm2 cell test code]:[5 cm2 cell test code]],[1]!Table1[[Test code]:[Test code]],[1]!Table1[Anode ICR/mOhm],"",0)</f>
        <v>#REF!</v>
      </c>
      <c r="AD53" s="69" t="e" cm="1">
        <f t="array" ref="AD53">_xlfn.XLOOKUP(Table1[[#This Row],[5 cm2 cell test code]:[5 cm2 cell test code]],[1]!Table1[[Test code]:[Test code]],[1]!Table1[HFR DIW/ mOhm cm2],"",0)</f>
        <v>#REF!</v>
      </c>
      <c r="AE53" s="69" t="e" cm="1">
        <f t="array" ref="AE53">_xlfn.XLOOKUP(Table1[[#This Row],[5 cm2 cell test code]:[5 cm2 cell test code]],[1]!Table1[[Test code]:[Test code]],[1]!Table1[HFR 10 mM KOH/ mOhm cm2],"",0)</f>
        <v>#REF!</v>
      </c>
      <c r="AF53" s="69" t="e" cm="1">
        <f t="array" ref="AF53">_xlfn.XLOOKUP(Table1[[#This Row],[5 cm2 cell test code]:[5 cm2 cell test code]],[1]!Table1[[Test code]:[Test code]],[1]!Table1[Ionic resistance DIW/Ohm cm2],"",0)</f>
        <v>#REF!</v>
      </c>
      <c r="AG53" s="69" t="e" cm="1">
        <f t="array" ref="AG53">_xlfn.XLOOKUP(Table1[[#This Row],[5 cm2 cell test code]:[5 cm2 cell test code]],[1]!Table1[[Test code]:[Test code]],[1]!Table1[Q_int_frac DIW],"",0)</f>
        <v>#REF!</v>
      </c>
      <c r="AH53" s="69" t="e" cm="1">
        <f t="array" ref="AH53">_xlfn.XLOOKUP(Table1[[#This Row],[5 cm2 cell test code]:[5 cm2 cell test code]],[1]!Table1[[Test code]:[Test code]],[1]!Table1[Ionic resistance 10 mM KOH/Ohm cm2],"",0)</f>
        <v>#REF!</v>
      </c>
      <c r="AI53" s="69" t="e" cm="1">
        <f t="array" ref="AI53">_xlfn.XLOOKUP(Table1[[#This Row],[5 cm2 cell test code]:[5 cm2 cell test code]],[1]!Table1[[Test code]:[Test code]],[1]!Table1[Q_int_frac DIW 10 mM KOH],"",0)</f>
        <v>#REF!</v>
      </c>
      <c r="AJ53" s="69" t="e" cm="1">
        <f t="array" ref="AJ53">_xlfn.XLOOKUP(Table1[[#This Row],[5 cm2 cell test code]:[5 cm2 cell test code]],[1]!Table1[[Test code]:[Test code]],[1]!Table1[DIW conductivity (µS/cm)],"",0)</f>
        <v>#REF!</v>
      </c>
      <c r="AQ53" s="4" t="str">
        <v>VSG01A-23124C1</v>
      </c>
      <c r="AR53" s="95">
        <f>COUNTIFS(Table1[Anode PN (Stack/cell electrodes)],AQ53,Table1[ƞ at 20mAcm-2 (mV)],"&lt;&gt;")</f>
        <v>0</v>
      </c>
      <c r="AS53" s="95">
        <f>COUNTIFS(Table1[Anode PN (Stack/cell electrodes)],AQ53,Table1[i @ 1.8 V DIW (A/cm2)],"&lt;&gt;")</f>
        <v>1</v>
      </c>
      <c r="AT53" s="95">
        <f>COUNTIFS(Table1[Anode PN (Stack/cell electrodes)],AQ53,Table1[i at 1.8 V 10 mM KOH (A/cm2)],"&lt;&gt;")</f>
        <v>1</v>
      </c>
      <c r="AU53" s="95">
        <f>COUNTIFS(Table1[Anode PN (Stack/cell electrodes)],AQ53,Table1[Ionic resistance DIW/Ohm cm2],"&lt;&gt;")</f>
        <v>1</v>
      </c>
      <c r="AV53" s="95">
        <f>COUNTIFS(Table1[Anode PN (Stack/cell electrodes)],AQ53,Table1[Ionic resistance 10 mM KOH/Ohm cm2],"&lt;&gt;")</f>
        <v>1</v>
      </c>
    </row>
    <row r="54" spans="1:48">
      <c r="A54" s="81"/>
      <c r="B54" s="11" t="s">
        <v>156</v>
      </c>
      <c r="C54" s="4" t="s">
        <v>155</v>
      </c>
      <c r="K54" s="43" t="s">
        <v>59</v>
      </c>
      <c r="P54" s="28">
        <f>(0.6058-0.5958)*1000/(2.5*2.49)</f>
        <v>1.6064257028112463</v>
      </c>
      <c r="U54" s="100"/>
      <c r="V54" s="100"/>
      <c r="W54" s="69" t="e" cm="1">
        <f t="array" ref="W54">_xlfn.XLOOKUP(Table1[[#This Row],[5 cm2 cell test code]:[5 cm2 cell test code]],[1]!Table1[[Test code]:[Test code]],[1]!Table1[i @ 1.8 V DIW (A/cm2)],"",0)</f>
        <v>#REF!</v>
      </c>
      <c r="X54" s="69" t="e" cm="1">
        <f t="array" ref="X54">_xlfn.XLOOKUP(Table1[[#This Row],[5 cm2 cell test code]:[5 cm2 cell test code]],[1]!Table1[[Test code]:[Test code]],[1]!Table1[i @ 1.8 V 10 mM KOH (A/cm2)],"",0)</f>
        <v>#REF!</v>
      </c>
      <c r="Y54" s="69" t="e" cm="1">
        <f t="array" ref="Y54">_xlfn.XLOOKUP(Table1[[#This Row],[5 cm2 cell test code]:[5 cm2 cell test code]],[1]!Table1[[Test code]:[Test code]],[1]!Table1[3-E ƞ at 20mAcm-2 (mV)],"",0)</f>
        <v>#REF!</v>
      </c>
      <c r="Z54" s="69" t="e" cm="1">
        <f t="array" ref="Z54">_xlfn.XLOOKUP(Table1[[#This Row],[5 cm2 cell test code]:[5 cm2 cell test code]],[1]!Table1[[Test code]:[Test code]],[1]!Table1[3-E Tafel slope (mV/dec)],"",0)</f>
        <v>#REF!</v>
      </c>
      <c r="AA54" s="69" t="e" cm="1">
        <f t="array" ref="AA54">_xlfn.XLOOKUP(Table1[[#This Row],[5 cm2 cell test code]:[5 cm2 cell test code]],[1]!Table1[[Test code]:[Test code]],[1]!Table1[E @ 100 mA/cm2 DIW/V],"",0)</f>
        <v>#REF!</v>
      </c>
      <c r="AB54" s="69" t="e" cm="1">
        <f t="array" ref="AB54">_xlfn.XLOOKUP(Table1[[#This Row],[5 cm2 cell test code]:[5 cm2 cell test code]],[1]!Table1[[Test code]:[Test code]],[1]!Table1[E @ 100 mA/cm2 10 mM KOH/V],"",0)</f>
        <v>#REF!</v>
      </c>
      <c r="AC54" s="69" t="e" cm="1">
        <f t="array" ref="AC54">_xlfn.XLOOKUP(Table1[[#This Row],[5 cm2 cell test code]:[5 cm2 cell test code]],[1]!Table1[[Test code]:[Test code]],[1]!Table1[Anode ICR/mOhm],"",0)</f>
        <v>#REF!</v>
      </c>
      <c r="AD54" s="69" t="e" cm="1">
        <f t="array" ref="AD54">_xlfn.XLOOKUP(Table1[[#This Row],[5 cm2 cell test code]:[5 cm2 cell test code]],[1]!Table1[[Test code]:[Test code]],[1]!Table1[HFR DIW/ mOhm cm2],"",0)</f>
        <v>#REF!</v>
      </c>
      <c r="AE54" s="69" t="e" cm="1">
        <f t="array" ref="AE54">_xlfn.XLOOKUP(Table1[[#This Row],[5 cm2 cell test code]:[5 cm2 cell test code]],[1]!Table1[[Test code]:[Test code]],[1]!Table1[HFR 10 mM KOH/ mOhm cm2],"",0)</f>
        <v>#REF!</v>
      </c>
      <c r="AF54" s="69" t="e" cm="1">
        <f t="array" ref="AF54">_xlfn.XLOOKUP(Table1[[#This Row],[5 cm2 cell test code]:[5 cm2 cell test code]],[1]!Table1[[Test code]:[Test code]],[1]!Table1[Ionic resistance DIW/Ohm cm2],"",0)</f>
        <v>#REF!</v>
      </c>
      <c r="AG54" s="69" t="e" cm="1">
        <f t="array" ref="AG54">_xlfn.XLOOKUP(Table1[[#This Row],[5 cm2 cell test code]:[5 cm2 cell test code]],[1]!Table1[[Test code]:[Test code]],[1]!Table1[Q_int_frac DIW],"",0)</f>
        <v>#REF!</v>
      </c>
      <c r="AH54" s="69" t="e" cm="1">
        <f t="array" ref="AH54">_xlfn.XLOOKUP(Table1[[#This Row],[5 cm2 cell test code]:[5 cm2 cell test code]],[1]!Table1[[Test code]:[Test code]],[1]!Table1[Ionic resistance 10 mM KOH/Ohm cm2],"",0)</f>
        <v>#REF!</v>
      </c>
      <c r="AI54" s="69" t="e" cm="1">
        <f t="array" ref="AI54">_xlfn.XLOOKUP(Table1[[#This Row],[5 cm2 cell test code]:[5 cm2 cell test code]],[1]!Table1[[Test code]:[Test code]],[1]!Table1[Q_int_frac DIW 10 mM KOH],"",0)</f>
        <v>#REF!</v>
      </c>
      <c r="AJ54" s="69" t="e" cm="1">
        <f t="array" ref="AJ54">_xlfn.XLOOKUP(Table1[[#This Row],[5 cm2 cell test code]:[5 cm2 cell test code]],[1]!Table1[[Test code]:[Test code]],[1]!Table1[DIW conductivity (µS/cm)],"",0)</f>
        <v>#REF!</v>
      </c>
      <c r="AQ54" s="4" t="str">
        <v>VSG01A-23128C1</v>
      </c>
      <c r="AR54" s="95">
        <f>COUNTIFS(Table1[Anode PN (Stack/cell electrodes)],AQ54,Table1[ƞ at 20mAcm-2 (mV)],"&lt;&gt;")</f>
        <v>0</v>
      </c>
      <c r="AS54" s="95">
        <f>COUNTIFS(Table1[Anode PN (Stack/cell electrodes)],AQ54,Table1[i @ 1.8 V DIW (A/cm2)],"&lt;&gt;")</f>
        <v>1</v>
      </c>
      <c r="AT54" s="95">
        <f>COUNTIFS(Table1[Anode PN (Stack/cell electrodes)],AQ54,Table1[i at 1.8 V 10 mM KOH (A/cm2)],"&lt;&gt;")</f>
        <v>1</v>
      </c>
      <c r="AU54" s="95">
        <f>COUNTIFS(Table1[Anode PN (Stack/cell electrodes)],AQ54,Table1[Ionic resistance DIW/Ohm cm2],"&lt;&gt;")</f>
        <v>1</v>
      </c>
      <c r="AV54" s="95">
        <f>COUNTIFS(Table1[Anode PN (Stack/cell electrodes)],AQ54,Table1[Ionic resistance 10 mM KOH/Ohm cm2],"&lt;&gt;")</f>
        <v>1</v>
      </c>
    </row>
    <row r="55" spans="1:48">
      <c r="A55" s="81"/>
      <c r="B55" s="11" t="s">
        <v>157</v>
      </c>
      <c r="C55" s="4" t="s">
        <v>155</v>
      </c>
      <c r="K55" s="43" t="s">
        <v>59</v>
      </c>
      <c r="P55" s="28">
        <f>(0.6226-0.6153)*1000/(2.5*2.5)</f>
        <v>1.1680000000000135</v>
      </c>
      <c r="U55" s="100"/>
      <c r="V55" s="100"/>
      <c r="W55" s="69" t="e" cm="1">
        <f t="array" ref="W55">_xlfn.XLOOKUP(Table1[[#This Row],[5 cm2 cell test code]:[5 cm2 cell test code]],[1]!Table1[[Test code]:[Test code]],[1]!Table1[i @ 1.8 V DIW (A/cm2)],"",0)</f>
        <v>#REF!</v>
      </c>
      <c r="X55" s="69" t="e" cm="1">
        <f t="array" ref="X55">_xlfn.XLOOKUP(Table1[[#This Row],[5 cm2 cell test code]:[5 cm2 cell test code]],[1]!Table1[[Test code]:[Test code]],[1]!Table1[i @ 1.8 V 10 mM KOH (A/cm2)],"",0)</f>
        <v>#REF!</v>
      </c>
      <c r="Y55" s="69" t="e" cm="1">
        <f t="array" ref="Y55">_xlfn.XLOOKUP(Table1[[#This Row],[5 cm2 cell test code]:[5 cm2 cell test code]],[1]!Table1[[Test code]:[Test code]],[1]!Table1[3-E ƞ at 20mAcm-2 (mV)],"",0)</f>
        <v>#REF!</v>
      </c>
      <c r="Z55" s="69" t="e" cm="1">
        <f t="array" ref="Z55">_xlfn.XLOOKUP(Table1[[#This Row],[5 cm2 cell test code]:[5 cm2 cell test code]],[1]!Table1[[Test code]:[Test code]],[1]!Table1[3-E Tafel slope (mV/dec)],"",0)</f>
        <v>#REF!</v>
      </c>
      <c r="AA55" s="69" t="e" cm="1">
        <f t="array" ref="AA55">_xlfn.XLOOKUP(Table1[[#This Row],[5 cm2 cell test code]:[5 cm2 cell test code]],[1]!Table1[[Test code]:[Test code]],[1]!Table1[E @ 100 mA/cm2 DIW/V],"",0)</f>
        <v>#REF!</v>
      </c>
      <c r="AB55" s="69" t="e" cm="1">
        <f t="array" ref="AB55">_xlfn.XLOOKUP(Table1[[#This Row],[5 cm2 cell test code]:[5 cm2 cell test code]],[1]!Table1[[Test code]:[Test code]],[1]!Table1[E @ 100 mA/cm2 10 mM KOH/V],"",0)</f>
        <v>#REF!</v>
      </c>
      <c r="AC55" s="69" t="e" cm="1">
        <f t="array" ref="AC55">_xlfn.XLOOKUP(Table1[[#This Row],[5 cm2 cell test code]:[5 cm2 cell test code]],[1]!Table1[[Test code]:[Test code]],[1]!Table1[Anode ICR/mOhm],"",0)</f>
        <v>#REF!</v>
      </c>
      <c r="AD55" s="69" t="e" cm="1">
        <f t="array" ref="AD55">_xlfn.XLOOKUP(Table1[[#This Row],[5 cm2 cell test code]:[5 cm2 cell test code]],[1]!Table1[[Test code]:[Test code]],[1]!Table1[HFR DIW/ mOhm cm2],"",0)</f>
        <v>#REF!</v>
      </c>
      <c r="AE55" s="69" t="e" cm="1">
        <f t="array" ref="AE55">_xlfn.XLOOKUP(Table1[[#This Row],[5 cm2 cell test code]:[5 cm2 cell test code]],[1]!Table1[[Test code]:[Test code]],[1]!Table1[HFR 10 mM KOH/ mOhm cm2],"",0)</f>
        <v>#REF!</v>
      </c>
      <c r="AF55" s="69" t="e" cm="1">
        <f t="array" ref="AF55">_xlfn.XLOOKUP(Table1[[#This Row],[5 cm2 cell test code]:[5 cm2 cell test code]],[1]!Table1[[Test code]:[Test code]],[1]!Table1[Ionic resistance DIW/Ohm cm2],"",0)</f>
        <v>#REF!</v>
      </c>
      <c r="AG55" s="69" t="e" cm="1">
        <f t="array" ref="AG55">_xlfn.XLOOKUP(Table1[[#This Row],[5 cm2 cell test code]:[5 cm2 cell test code]],[1]!Table1[[Test code]:[Test code]],[1]!Table1[Q_int_frac DIW],"",0)</f>
        <v>#REF!</v>
      </c>
      <c r="AH55" s="69" t="e" cm="1">
        <f t="array" ref="AH55">_xlfn.XLOOKUP(Table1[[#This Row],[5 cm2 cell test code]:[5 cm2 cell test code]],[1]!Table1[[Test code]:[Test code]],[1]!Table1[Ionic resistance 10 mM KOH/Ohm cm2],"",0)</f>
        <v>#REF!</v>
      </c>
      <c r="AI55" s="69" t="e" cm="1">
        <f t="array" ref="AI55">_xlfn.XLOOKUP(Table1[[#This Row],[5 cm2 cell test code]:[5 cm2 cell test code]],[1]!Table1[[Test code]:[Test code]],[1]!Table1[Q_int_frac DIW 10 mM KOH],"",0)</f>
        <v>#REF!</v>
      </c>
      <c r="AJ55" s="69" t="e" cm="1">
        <f t="array" ref="AJ55">_xlfn.XLOOKUP(Table1[[#This Row],[5 cm2 cell test code]:[5 cm2 cell test code]],[1]!Table1[[Test code]:[Test code]],[1]!Table1[DIW conductivity (µS/cm)],"",0)</f>
        <v>#REF!</v>
      </c>
      <c r="AQ55" s="4" t="str">
        <v>VSG01A-23128C1.01</v>
      </c>
      <c r="AR55" s="95">
        <f>COUNTIFS(Table1[Anode PN (Stack/cell electrodes)],AQ55,Table1[ƞ at 20mAcm-2 (mV)],"&lt;&gt;")</f>
        <v>0</v>
      </c>
      <c r="AS55" s="95">
        <f>COUNTIFS(Table1[Anode PN (Stack/cell electrodes)],AQ55,Table1[i @ 1.8 V DIW (A/cm2)],"&lt;&gt;")</f>
        <v>1</v>
      </c>
      <c r="AT55" s="95">
        <f>COUNTIFS(Table1[Anode PN (Stack/cell electrodes)],AQ55,Table1[i at 1.8 V 10 mM KOH (A/cm2)],"&lt;&gt;")</f>
        <v>1</v>
      </c>
      <c r="AU55" s="95">
        <f>COUNTIFS(Table1[Anode PN (Stack/cell electrodes)],AQ55,Table1[Ionic resistance DIW/Ohm cm2],"&lt;&gt;")</f>
        <v>1</v>
      </c>
      <c r="AV55" s="95">
        <f>COUNTIFS(Table1[Anode PN (Stack/cell electrodes)],AQ55,Table1[Ionic resistance 10 mM KOH/Ohm cm2],"&lt;&gt;")</f>
        <v>1</v>
      </c>
    </row>
    <row r="56" spans="1:48">
      <c r="A56" s="81"/>
      <c r="B56" s="11" t="s">
        <v>158</v>
      </c>
      <c r="C56" s="4" t="s">
        <v>155</v>
      </c>
      <c r="K56" s="43" t="s">
        <v>59</v>
      </c>
      <c r="P56" s="28">
        <f>(0.6256-0.6151)*1000/(2.5*2.5)</f>
        <v>1.6800000000000102</v>
      </c>
      <c r="U56" s="100"/>
      <c r="V56" s="100"/>
      <c r="W56" s="69" t="e" cm="1">
        <f t="array" ref="W56">_xlfn.XLOOKUP(Table1[[#This Row],[5 cm2 cell test code]:[5 cm2 cell test code]],[1]!Table1[[Test code]:[Test code]],[1]!Table1[i @ 1.8 V DIW (A/cm2)],"",0)</f>
        <v>#REF!</v>
      </c>
      <c r="X56" s="69" t="e" cm="1">
        <f t="array" ref="X56">_xlfn.XLOOKUP(Table1[[#This Row],[5 cm2 cell test code]:[5 cm2 cell test code]],[1]!Table1[[Test code]:[Test code]],[1]!Table1[i @ 1.8 V 10 mM KOH (A/cm2)],"",0)</f>
        <v>#REF!</v>
      </c>
      <c r="Y56" s="69" t="e" cm="1">
        <f t="array" ref="Y56">_xlfn.XLOOKUP(Table1[[#This Row],[5 cm2 cell test code]:[5 cm2 cell test code]],[1]!Table1[[Test code]:[Test code]],[1]!Table1[3-E ƞ at 20mAcm-2 (mV)],"",0)</f>
        <v>#REF!</v>
      </c>
      <c r="Z56" s="69" t="e" cm="1">
        <f t="array" ref="Z56">_xlfn.XLOOKUP(Table1[[#This Row],[5 cm2 cell test code]:[5 cm2 cell test code]],[1]!Table1[[Test code]:[Test code]],[1]!Table1[3-E Tafel slope (mV/dec)],"",0)</f>
        <v>#REF!</v>
      </c>
      <c r="AA56" s="69" t="e" cm="1">
        <f t="array" ref="AA56">_xlfn.XLOOKUP(Table1[[#This Row],[5 cm2 cell test code]:[5 cm2 cell test code]],[1]!Table1[[Test code]:[Test code]],[1]!Table1[E @ 100 mA/cm2 DIW/V],"",0)</f>
        <v>#REF!</v>
      </c>
      <c r="AB56" s="69" t="e" cm="1">
        <f t="array" ref="AB56">_xlfn.XLOOKUP(Table1[[#This Row],[5 cm2 cell test code]:[5 cm2 cell test code]],[1]!Table1[[Test code]:[Test code]],[1]!Table1[E @ 100 mA/cm2 10 mM KOH/V],"",0)</f>
        <v>#REF!</v>
      </c>
      <c r="AC56" s="69" t="e" cm="1">
        <f t="array" ref="AC56">_xlfn.XLOOKUP(Table1[[#This Row],[5 cm2 cell test code]:[5 cm2 cell test code]],[1]!Table1[[Test code]:[Test code]],[1]!Table1[Anode ICR/mOhm],"",0)</f>
        <v>#REF!</v>
      </c>
      <c r="AD56" s="69" t="e" cm="1">
        <f t="array" ref="AD56">_xlfn.XLOOKUP(Table1[[#This Row],[5 cm2 cell test code]:[5 cm2 cell test code]],[1]!Table1[[Test code]:[Test code]],[1]!Table1[HFR DIW/ mOhm cm2],"",0)</f>
        <v>#REF!</v>
      </c>
      <c r="AE56" s="69" t="e" cm="1">
        <f t="array" ref="AE56">_xlfn.XLOOKUP(Table1[[#This Row],[5 cm2 cell test code]:[5 cm2 cell test code]],[1]!Table1[[Test code]:[Test code]],[1]!Table1[HFR 10 mM KOH/ mOhm cm2],"",0)</f>
        <v>#REF!</v>
      </c>
      <c r="AF56" s="69" t="e" cm="1">
        <f t="array" ref="AF56">_xlfn.XLOOKUP(Table1[[#This Row],[5 cm2 cell test code]:[5 cm2 cell test code]],[1]!Table1[[Test code]:[Test code]],[1]!Table1[Ionic resistance DIW/Ohm cm2],"",0)</f>
        <v>#REF!</v>
      </c>
      <c r="AG56" s="69" t="e" cm="1">
        <f t="array" ref="AG56">_xlfn.XLOOKUP(Table1[[#This Row],[5 cm2 cell test code]:[5 cm2 cell test code]],[1]!Table1[[Test code]:[Test code]],[1]!Table1[Q_int_frac DIW],"",0)</f>
        <v>#REF!</v>
      </c>
      <c r="AH56" s="69" t="e" cm="1">
        <f t="array" ref="AH56">_xlfn.XLOOKUP(Table1[[#This Row],[5 cm2 cell test code]:[5 cm2 cell test code]],[1]!Table1[[Test code]:[Test code]],[1]!Table1[Ionic resistance 10 mM KOH/Ohm cm2],"",0)</f>
        <v>#REF!</v>
      </c>
      <c r="AI56" s="69" t="e" cm="1">
        <f t="array" ref="AI56">_xlfn.XLOOKUP(Table1[[#This Row],[5 cm2 cell test code]:[5 cm2 cell test code]],[1]!Table1[[Test code]:[Test code]],[1]!Table1[Q_int_frac DIW 10 mM KOH],"",0)</f>
        <v>#REF!</v>
      </c>
      <c r="AJ56" s="69" t="e" cm="1">
        <f t="array" ref="AJ56">_xlfn.XLOOKUP(Table1[[#This Row],[5 cm2 cell test code]:[5 cm2 cell test code]],[1]!Table1[[Test code]:[Test code]],[1]!Table1[DIW conductivity (µS/cm)],"",0)</f>
        <v>#REF!</v>
      </c>
      <c r="AQ56" s="4" t="str">
        <v>VSG01A-23128C1.02</v>
      </c>
      <c r="AR56" s="95">
        <f>COUNTIFS(Table1[Anode PN (Stack/cell electrodes)],AQ56,Table1[ƞ at 20mAcm-2 (mV)],"&lt;&gt;")</f>
        <v>0</v>
      </c>
      <c r="AS56" s="95">
        <f>COUNTIFS(Table1[Anode PN (Stack/cell electrodes)],AQ56,Table1[i @ 1.8 V DIW (A/cm2)],"&lt;&gt;")</f>
        <v>1</v>
      </c>
      <c r="AT56" s="95">
        <f>COUNTIFS(Table1[Anode PN (Stack/cell electrodes)],AQ56,Table1[i at 1.8 V 10 mM KOH (A/cm2)],"&lt;&gt;")</f>
        <v>1</v>
      </c>
      <c r="AU56" s="95">
        <f>COUNTIFS(Table1[Anode PN (Stack/cell electrodes)],AQ56,Table1[Ionic resistance DIW/Ohm cm2],"&lt;&gt;")</f>
        <v>1</v>
      </c>
      <c r="AV56" s="95">
        <f>COUNTIFS(Table1[Anode PN (Stack/cell electrodes)],AQ56,Table1[Ionic resistance 10 mM KOH/Ohm cm2],"&lt;&gt;")</f>
        <v>1</v>
      </c>
    </row>
    <row r="57" spans="1:48">
      <c r="A57" s="81"/>
      <c r="K57" s="43" t="s">
        <v>59</v>
      </c>
      <c r="U57" s="100"/>
      <c r="V57" s="100"/>
      <c r="W57" s="69" t="e" cm="1">
        <f t="array" ref="W57">_xlfn.XLOOKUP(Table1[[#This Row],[5 cm2 cell test code]:[5 cm2 cell test code]],[1]!Table1[[Test code]:[Test code]],[1]!Table1[i @ 1.8 V DIW (A/cm2)],"",0)</f>
        <v>#REF!</v>
      </c>
      <c r="X57" s="69" t="e" cm="1">
        <f t="array" ref="X57">_xlfn.XLOOKUP(Table1[[#This Row],[5 cm2 cell test code]:[5 cm2 cell test code]],[1]!Table1[[Test code]:[Test code]],[1]!Table1[i @ 1.8 V 10 mM KOH (A/cm2)],"",0)</f>
        <v>#REF!</v>
      </c>
      <c r="Y57" s="69" t="e" cm="1">
        <f t="array" ref="Y57">_xlfn.XLOOKUP(Table1[[#This Row],[5 cm2 cell test code]:[5 cm2 cell test code]],[1]!Table1[[Test code]:[Test code]],[1]!Table1[3-E ƞ at 20mAcm-2 (mV)],"",0)</f>
        <v>#REF!</v>
      </c>
      <c r="Z57" s="69" t="e" cm="1">
        <f t="array" ref="Z57">_xlfn.XLOOKUP(Table1[[#This Row],[5 cm2 cell test code]:[5 cm2 cell test code]],[1]!Table1[[Test code]:[Test code]],[1]!Table1[3-E Tafel slope (mV/dec)],"",0)</f>
        <v>#REF!</v>
      </c>
      <c r="AA57" s="69" t="e" cm="1">
        <f t="array" ref="AA57">_xlfn.XLOOKUP(Table1[[#This Row],[5 cm2 cell test code]:[5 cm2 cell test code]],[1]!Table1[[Test code]:[Test code]],[1]!Table1[E @ 100 mA/cm2 DIW/V],"",0)</f>
        <v>#REF!</v>
      </c>
      <c r="AB57" s="69" t="e" cm="1">
        <f t="array" ref="AB57">_xlfn.XLOOKUP(Table1[[#This Row],[5 cm2 cell test code]:[5 cm2 cell test code]],[1]!Table1[[Test code]:[Test code]],[1]!Table1[E @ 100 mA/cm2 10 mM KOH/V],"",0)</f>
        <v>#REF!</v>
      </c>
      <c r="AC57" s="69" t="e" cm="1">
        <f t="array" ref="AC57">_xlfn.XLOOKUP(Table1[[#This Row],[5 cm2 cell test code]:[5 cm2 cell test code]],[1]!Table1[[Test code]:[Test code]],[1]!Table1[Anode ICR/mOhm],"",0)</f>
        <v>#REF!</v>
      </c>
      <c r="AD57" s="69" t="e" cm="1">
        <f t="array" ref="AD57">_xlfn.XLOOKUP(Table1[[#This Row],[5 cm2 cell test code]:[5 cm2 cell test code]],[1]!Table1[[Test code]:[Test code]],[1]!Table1[HFR DIW/ mOhm cm2],"",0)</f>
        <v>#REF!</v>
      </c>
      <c r="AE57" s="69" t="e" cm="1">
        <f t="array" ref="AE57">_xlfn.XLOOKUP(Table1[[#This Row],[5 cm2 cell test code]:[5 cm2 cell test code]],[1]!Table1[[Test code]:[Test code]],[1]!Table1[HFR 10 mM KOH/ mOhm cm2],"",0)</f>
        <v>#REF!</v>
      </c>
      <c r="AF57" s="69" t="e" cm="1">
        <f t="array" ref="AF57">_xlfn.XLOOKUP(Table1[[#This Row],[5 cm2 cell test code]:[5 cm2 cell test code]],[1]!Table1[[Test code]:[Test code]],[1]!Table1[Ionic resistance DIW/Ohm cm2],"",0)</f>
        <v>#REF!</v>
      </c>
      <c r="AG57" s="69" t="e" cm="1">
        <f t="array" ref="AG57">_xlfn.XLOOKUP(Table1[[#This Row],[5 cm2 cell test code]:[5 cm2 cell test code]],[1]!Table1[[Test code]:[Test code]],[1]!Table1[Q_int_frac DIW],"",0)</f>
        <v>#REF!</v>
      </c>
      <c r="AH57" s="69" t="e" cm="1">
        <f t="array" ref="AH57">_xlfn.XLOOKUP(Table1[[#This Row],[5 cm2 cell test code]:[5 cm2 cell test code]],[1]!Table1[[Test code]:[Test code]],[1]!Table1[Ionic resistance 10 mM KOH/Ohm cm2],"",0)</f>
        <v>#REF!</v>
      </c>
      <c r="AI57" s="69" t="e" cm="1">
        <f t="array" ref="AI57">_xlfn.XLOOKUP(Table1[[#This Row],[5 cm2 cell test code]:[5 cm2 cell test code]],[1]!Table1[[Test code]:[Test code]],[1]!Table1[Q_int_frac DIW 10 mM KOH],"",0)</f>
        <v>#REF!</v>
      </c>
      <c r="AJ57" s="69" t="e" cm="1">
        <f t="array" ref="AJ57">_xlfn.XLOOKUP(Table1[[#This Row],[5 cm2 cell test code]:[5 cm2 cell test code]],[1]!Table1[[Test code]:[Test code]],[1]!Table1[DIW conductivity (µS/cm)],"",0)</f>
        <v>#REF!</v>
      </c>
      <c r="AQ57" s="4" t="str">
        <v>VSG01A-23128C1.03</v>
      </c>
      <c r="AR57" s="95">
        <f>COUNTIFS(Table1[Anode PN (Stack/cell electrodes)],AQ57,Table1[ƞ at 20mAcm-2 (mV)],"&lt;&gt;")</f>
        <v>0</v>
      </c>
      <c r="AS57" s="95">
        <f>COUNTIFS(Table1[Anode PN (Stack/cell electrodes)],AQ57,Table1[i @ 1.8 V DIW (A/cm2)],"&lt;&gt;")</f>
        <v>1</v>
      </c>
      <c r="AT57" s="95">
        <f>COUNTIFS(Table1[Anode PN (Stack/cell electrodes)],AQ57,Table1[i at 1.8 V 10 mM KOH (A/cm2)],"&lt;&gt;")</f>
        <v>1</v>
      </c>
      <c r="AU57" s="95">
        <f>COUNTIFS(Table1[Anode PN (Stack/cell electrodes)],AQ57,Table1[Ionic resistance DIW/Ohm cm2],"&lt;&gt;")</f>
        <v>1</v>
      </c>
      <c r="AV57" s="95">
        <f>COUNTIFS(Table1[Anode PN (Stack/cell electrodes)],AQ57,Table1[Ionic resistance 10 mM KOH/Ohm cm2],"&lt;&gt;")</f>
        <v>1</v>
      </c>
    </row>
    <row r="58" spans="1:48">
      <c r="A58" s="81"/>
      <c r="B58" s="11" t="s">
        <v>159</v>
      </c>
      <c r="C58" s="4" t="s">
        <v>160</v>
      </c>
      <c r="I58" s="11" t="s">
        <v>114</v>
      </c>
      <c r="J58" s="11" t="s">
        <v>134</v>
      </c>
      <c r="K58" s="43" t="s">
        <v>59</v>
      </c>
      <c r="M58" s="13">
        <v>0</v>
      </c>
      <c r="N58" s="11">
        <v>3.1709999999999998</v>
      </c>
      <c r="U58" s="100"/>
      <c r="V58" s="100"/>
      <c r="W58" s="69" t="e" cm="1">
        <f t="array" ref="W58">_xlfn.XLOOKUP(Table1[[#This Row],[5 cm2 cell test code]:[5 cm2 cell test code]],[1]!Table1[[Test code]:[Test code]],[1]!Table1[i @ 1.8 V DIW (A/cm2)],"",0)</f>
        <v>#REF!</v>
      </c>
      <c r="X58" s="69" t="e" cm="1">
        <f t="array" ref="X58">_xlfn.XLOOKUP(Table1[[#This Row],[5 cm2 cell test code]:[5 cm2 cell test code]],[1]!Table1[[Test code]:[Test code]],[1]!Table1[i @ 1.8 V 10 mM KOH (A/cm2)],"",0)</f>
        <v>#REF!</v>
      </c>
      <c r="Y58" s="69" t="e" cm="1">
        <f t="array" ref="Y58">_xlfn.XLOOKUP(Table1[[#This Row],[5 cm2 cell test code]:[5 cm2 cell test code]],[1]!Table1[[Test code]:[Test code]],[1]!Table1[3-E ƞ at 20mAcm-2 (mV)],"",0)</f>
        <v>#REF!</v>
      </c>
      <c r="Z58" s="69" t="e" cm="1">
        <f t="array" ref="Z58">_xlfn.XLOOKUP(Table1[[#This Row],[5 cm2 cell test code]:[5 cm2 cell test code]],[1]!Table1[[Test code]:[Test code]],[1]!Table1[3-E Tafel slope (mV/dec)],"",0)</f>
        <v>#REF!</v>
      </c>
      <c r="AA58" s="69" t="e" cm="1">
        <f t="array" ref="AA58">_xlfn.XLOOKUP(Table1[[#This Row],[5 cm2 cell test code]:[5 cm2 cell test code]],[1]!Table1[[Test code]:[Test code]],[1]!Table1[E @ 100 mA/cm2 DIW/V],"",0)</f>
        <v>#REF!</v>
      </c>
      <c r="AB58" s="69" t="e" cm="1">
        <f t="array" ref="AB58">_xlfn.XLOOKUP(Table1[[#This Row],[5 cm2 cell test code]:[5 cm2 cell test code]],[1]!Table1[[Test code]:[Test code]],[1]!Table1[E @ 100 mA/cm2 10 mM KOH/V],"",0)</f>
        <v>#REF!</v>
      </c>
      <c r="AC58" s="69" t="e" cm="1">
        <f t="array" ref="AC58">_xlfn.XLOOKUP(Table1[[#This Row],[5 cm2 cell test code]:[5 cm2 cell test code]],[1]!Table1[[Test code]:[Test code]],[1]!Table1[Anode ICR/mOhm],"",0)</f>
        <v>#REF!</v>
      </c>
      <c r="AD58" s="69" t="e" cm="1">
        <f t="array" ref="AD58">_xlfn.XLOOKUP(Table1[[#This Row],[5 cm2 cell test code]:[5 cm2 cell test code]],[1]!Table1[[Test code]:[Test code]],[1]!Table1[HFR DIW/ mOhm cm2],"",0)</f>
        <v>#REF!</v>
      </c>
      <c r="AE58" s="69" t="e" cm="1">
        <f t="array" ref="AE58">_xlfn.XLOOKUP(Table1[[#This Row],[5 cm2 cell test code]:[5 cm2 cell test code]],[1]!Table1[[Test code]:[Test code]],[1]!Table1[HFR 10 mM KOH/ mOhm cm2],"",0)</f>
        <v>#REF!</v>
      </c>
      <c r="AF58" s="69" t="e" cm="1">
        <f t="array" ref="AF58">_xlfn.XLOOKUP(Table1[[#This Row],[5 cm2 cell test code]:[5 cm2 cell test code]],[1]!Table1[[Test code]:[Test code]],[1]!Table1[Ionic resistance DIW/Ohm cm2],"",0)</f>
        <v>#REF!</v>
      </c>
      <c r="AG58" s="69" t="e" cm="1">
        <f t="array" ref="AG58">_xlfn.XLOOKUP(Table1[[#This Row],[5 cm2 cell test code]:[5 cm2 cell test code]],[1]!Table1[[Test code]:[Test code]],[1]!Table1[Q_int_frac DIW],"",0)</f>
        <v>#REF!</v>
      </c>
      <c r="AH58" s="69" t="e" cm="1">
        <f t="array" ref="AH58">_xlfn.XLOOKUP(Table1[[#This Row],[5 cm2 cell test code]:[5 cm2 cell test code]],[1]!Table1[[Test code]:[Test code]],[1]!Table1[Ionic resistance 10 mM KOH/Ohm cm2],"",0)</f>
        <v>#REF!</v>
      </c>
      <c r="AI58" s="69" t="e" cm="1">
        <f t="array" ref="AI58">_xlfn.XLOOKUP(Table1[[#This Row],[5 cm2 cell test code]:[5 cm2 cell test code]],[1]!Table1[[Test code]:[Test code]],[1]!Table1[Q_int_frac DIW 10 mM KOH],"",0)</f>
        <v>#REF!</v>
      </c>
      <c r="AJ58" s="69" t="e" cm="1">
        <f t="array" ref="AJ58">_xlfn.XLOOKUP(Table1[[#This Row],[5 cm2 cell test code]:[5 cm2 cell test code]],[1]!Table1[[Test code]:[Test code]],[1]!Table1[DIW conductivity (µS/cm)],"",0)</f>
        <v>#REF!</v>
      </c>
      <c r="AQ58" s="4" t="str">
        <v>VSG01A-23128C1.04</v>
      </c>
      <c r="AR58" s="95">
        <f>COUNTIFS(Table1[Anode PN (Stack/cell electrodes)],AQ58,Table1[ƞ at 20mAcm-2 (mV)],"&lt;&gt;")</f>
        <v>0</v>
      </c>
      <c r="AS58" s="95">
        <f>COUNTIFS(Table1[Anode PN (Stack/cell electrodes)],AQ58,Table1[i @ 1.8 V DIW (A/cm2)],"&lt;&gt;")</f>
        <v>1</v>
      </c>
      <c r="AT58" s="95">
        <f>COUNTIFS(Table1[Anode PN (Stack/cell electrodes)],AQ58,Table1[i at 1.8 V 10 mM KOH (A/cm2)],"&lt;&gt;")</f>
        <v>1</v>
      </c>
      <c r="AU58" s="95">
        <f>COUNTIFS(Table1[Anode PN (Stack/cell electrodes)],AQ58,Table1[Ionic resistance DIW/Ohm cm2],"&lt;&gt;")</f>
        <v>1</v>
      </c>
      <c r="AV58" s="95">
        <f>COUNTIFS(Table1[Anode PN (Stack/cell electrodes)],AQ58,Table1[Ionic resistance 10 mM KOH/Ohm cm2],"&lt;&gt;")</f>
        <v>1</v>
      </c>
    </row>
    <row r="59" spans="1:48">
      <c r="A59" s="81"/>
      <c r="B59" s="11" t="s">
        <v>161</v>
      </c>
      <c r="C59" s="4" t="s">
        <v>160</v>
      </c>
      <c r="I59" s="11" t="s">
        <v>114</v>
      </c>
      <c r="J59" s="11" t="s">
        <v>134</v>
      </c>
      <c r="K59" s="43" t="s">
        <v>59</v>
      </c>
      <c r="N59" s="11"/>
      <c r="P59" s="28">
        <f>(4.6193-4.5368)*1000/(5*5.1)</f>
        <v>3.235294117647042</v>
      </c>
      <c r="U59" s="100"/>
      <c r="V59" s="100"/>
      <c r="W59" s="69" t="e" cm="1">
        <f t="array" ref="W59">_xlfn.XLOOKUP(Table1[[#This Row],[5 cm2 cell test code]:[5 cm2 cell test code]],[1]!Table1[[Test code]:[Test code]],[1]!Table1[i @ 1.8 V DIW (A/cm2)],"",0)</f>
        <v>#REF!</v>
      </c>
      <c r="X59" s="69" t="e" cm="1">
        <f t="array" ref="X59">_xlfn.XLOOKUP(Table1[[#This Row],[5 cm2 cell test code]:[5 cm2 cell test code]],[1]!Table1[[Test code]:[Test code]],[1]!Table1[i @ 1.8 V 10 mM KOH (A/cm2)],"",0)</f>
        <v>#REF!</v>
      </c>
      <c r="Y59" s="69" t="e" cm="1">
        <f t="array" ref="Y59">_xlfn.XLOOKUP(Table1[[#This Row],[5 cm2 cell test code]:[5 cm2 cell test code]],[1]!Table1[[Test code]:[Test code]],[1]!Table1[3-E ƞ at 20mAcm-2 (mV)],"",0)</f>
        <v>#REF!</v>
      </c>
      <c r="Z59" s="69" t="e" cm="1">
        <f t="array" ref="Z59">_xlfn.XLOOKUP(Table1[[#This Row],[5 cm2 cell test code]:[5 cm2 cell test code]],[1]!Table1[[Test code]:[Test code]],[1]!Table1[3-E Tafel slope (mV/dec)],"",0)</f>
        <v>#REF!</v>
      </c>
      <c r="AA59" s="69" t="e" cm="1">
        <f t="array" ref="AA59">_xlfn.XLOOKUP(Table1[[#This Row],[5 cm2 cell test code]:[5 cm2 cell test code]],[1]!Table1[[Test code]:[Test code]],[1]!Table1[E @ 100 mA/cm2 DIW/V],"",0)</f>
        <v>#REF!</v>
      </c>
      <c r="AB59" s="69" t="e" cm="1">
        <f t="array" ref="AB59">_xlfn.XLOOKUP(Table1[[#This Row],[5 cm2 cell test code]:[5 cm2 cell test code]],[1]!Table1[[Test code]:[Test code]],[1]!Table1[E @ 100 mA/cm2 10 mM KOH/V],"",0)</f>
        <v>#REF!</v>
      </c>
      <c r="AC59" s="69" t="e" cm="1">
        <f t="array" ref="AC59">_xlfn.XLOOKUP(Table1[[#This Row],[5 cm2 cell test code]:[5 cm2 cell test code]],[1]!Table1[[Test code]:[Test code]],[1]!Table1[Anode ICR/mOhm],"",0)</f>
        <v>#REF!</v>
      </c>
      <c r="AD59" s="69" t="e" cm="1">
        <f t="array" ref="AD59">_xlfn.XLOOKUP(Table1[[#This Row],[5 cm2 cell test code]:[5 cm2 cell test code]],[1]!Table1[[Test code]:[Test code]],[1]!Table1[HFR DIW/ mOhm cm2],"",0)</f>
        <v>#REF!</v>
      </c>
      <c r="AE59" s="69" t="e" cm="1">
        <f t="array" ref="AE59">_xlfn.XLOOKUP(Table1[[#This Row],[5 cm2 cell test code]:[5 cm2 cell test code]],[1]!Table1[[Test code]:[Test code]],[1]!Table1[HFR 10 mM KOH/ mOhm cm2],"",0)</f>
        <v>#REF!</v>
      </c>
      <c r="AF59" s="69" t="e" cm="1">
        <f t="array" ref="AF59">_xlfn.XLOOKUP(Table1[[#This Row],[5 cm2 cell test code]:[5 cm2 cell test code]],[1]!Table1[[Test code]:[Test code]],[1]!Table1[Ionic resistance DIW/Ohm cm2],"",0)</f>
        <v>#REF!</v>
      </c>
      <c r="AG59" s="69" t="e" cm="1">
        <f t="array" ref="AG59">_xlfn.XLOOKUP(Table1[[#This Row],[5 cm2 cell test code]:[5 cm2 cell test code]],[1]!Table1[[Test code]:[Test code]],[1]!Table1[Q_int_frac DIW],"",0)</f>
        <v>#REF!</v>
      </c>
      <c r="AH59" s="69" t="e" cm="1">
        <f t="array" ref="AH59">_xlfn.XLOOKUP(Table1[[#This Row],[5 cm2 cell test code]:[5 cm2 cell test code]],[1]!Table1[[Test code]:[Test code]],[1]!Table1[Ionic resistance 10 mM KOH/Ohm cm2],"",0)</f>
        <v>#REF!</v>
      </c>
      <c r="AI59" s="69" t="e" cm="1">
        <f t="array" ref="AI59">_xlfn.XLOOKUP(Table1[[#This Row],[5 cm2 cell test code]:[5 cm2 cell test code]],[1]!Table1[[Test code]:[Test code]],[1]!Table1[Q_int_frac DIW 10 mM KOH],"",0)</f>
        <v>#REF!</v>
      </c>
      <c r="AJ59" s="69" t="e" cm="1">
        <f t="array" ref="AJ59">_xlfn.XLOOKUP(Table1[[#This Row],[5 cm2 cell test code]:[5 cm2 cell test code]],[1]!Table1[[Test code]:[Test code]],[1]!Table1[DIW conductivity (µS/cm)],"",0)</f>
        <v>#REF!</v>
      </c>
      <c r="AQ59" s="4" t="str">
        <v>VSG01A-23129C1</v>
      </c>
      <c r="AR59" s="95">
        <f>COUNTIFS(Table1[Anode PN (Stack/cell electrodes)],AQ59,Table1[ƞ at 20mAcm-2 (mV)],"&lt;&gt;")</f>
        <v>0</v>
      </c>
      <c r="AS59" s="95">
        <f>COUNTIFS(Table1[Anode PN (Stack/cell electrodes)],AQ59,Table1[i @ 1.8 V DIW (A/cm2)],"&lt;&gt;")</f>
        <v>1</v>
      </c>
      <c r="AT59" s="95">
        <f>COUNTIFS(Table1[Anode PN (Stack/cell electrodes)],AQ59,Table1[i at 1.8 V 10 mM KOH (A/cm2)],"&lt;&gt;")</f>
        <v>1</v>
      </c>
      <c r="AU59" s="95">
        <f>COUNTIFS(Table1[Anode PN (Stack/cell electrodes)],AQ59,Table1[Ionic resistance DIW/Ohm cm2],"&lt;&gt;")</f>
        <v>1</v>
      </c>
      <c r="AV59" s="95">
        <f>COUNTIFS(Table1[Anode PN (Stack/cell electrodes)],AQ59,Table1[Ionic resistance 10 mM KOH/Ohm cm2],"&lt;&gt;")</f>
        <v>1</v>
      </c>
    </row>
    <row r="60" spans="1:48">
      <c r="A60" s="81"/>
      <c r="K60" s="43" t="s">
        <v>59</v>
      </c>
      <c r="N60" s="11"/>
      <c r="U60" s="100"/>
      <c r="V60" s="100"/>
      <c r="W60" s="69" t="e" cm="1">
        <f t="array" ref="W60">_xlfn.XLOOKUP(Table1[[#This Row],[5 cm2 cell test code]:[5 cm2 cell test code]],[1]!Table1[[Test code]:[Test code]],[1]!Table1[i @ 1.8 V DIW (A/cm2)],"",0)</f>
        <v>#REF!</v>
      </c>
      <c r="X60" s="69" t="e" cm="1">
        <f t="array" ref="X60">_xlfn.XLOOKUP(Table1[[#This Row],[5 cm2 cell test code]:[5 cm2 cell test code]],[1]!Table1[[Test code]:[Test code]],[1]!Table1[i @ 1.8 V 10 mM KOH (A/cm2)],"",0)</f>
        <v>#REF!</v>
      </c>
      <c r="Y60" s="69" t="e" cm="1">
        <f t="array" ref="Y60">_xlfn.XLOOKUP(Table1[[#This Row],[5 cm2 cell test code]:[5 cm2 cell test code]],[1]!Table1[[Test code]:[Test code]],[1]!Table1[3-E ƞ at 20mAcm-2 (mV)],"",0)</f>
        <v>#REF!</v>
      </c>
      <c r="Z60" s="69" t="e" cm="1">
        <f t="array" ref="Z60">_xlfn.XLOOKUP(Table1[[#This Row],[5 cm2 cell test code]:[5 cm2 cell test code]],[1]!Table1[[Test code]:[Test code]],[1]!Table1[3-E Tafel slope (mV/dec)],"",0)</f>
        <v>#REF!</v>
      </c>
      <c r="AA60" s="69" t="e" cm="1">
        <f t="array" ref="AA60">_xlfn.XLOOKUP(Table1[[#This Row],[5 cm2 cell test code]:[5 cm2 cell test code]],[1]!Table1[[Test code]:[Test code]],[1]!Table1[E @ 100 mA/cm2 DIW/V],"",0)</f>
        <v>#REF!</v>
      </c>
      <c r="AB60" s="69" t="e" cm="1">
        <f t="array" ref="AB60">_xlfn.XLOOKUP(Table1[[#This Row],[5 cm2 cell test code]:[5 cm2 cell test code]],[1]!Table1[[Test code]:[Test code]],[1]!Table1[E @ 100 mA/cm2 10 mM KOH/V],"",0)</f>
        <v>#REF!</v>
      </c>
      <c r="AC60" s="69" t="e" cm="1">
        <f t="array" ref="AC60">_xlfn.XLOOKUP(Table1[[#This Row],[5 cm2 cell test code]:[5 cm2 cell test code]],[1]!Table1[[Test code]:[Test code]],[1]!Table1[Anode ICR/mOhm],"",0)</f>
        <v>#REF!</v>
      </c>
      <c r="AD60" s="69" t="e" cm="1">
        <f t="array" ref="AD60">_xlfn.XLOOKUP(Table1[[#This Row],[5 cm2 cell test code]:[5 cm2 cell test code]],[1]!Table1[[Test code]:[Test code]],[1]!Table1[HFR DIW/ mOhm cm2],"",0)</f>
        <v>#REF!</v>
      </c>
      <c r="AE60" s="69" t="e" cm="1">
        <f t="array" ref="AE60">_xlfn.XLOOKUP(Table1[[#This Row],[5 cm2 cell test code]:[5 cm2 cell test code]],[1]!Table1[[Test code]:[Test code]],[1]!Table1[HFR 10 mM KOH/ mOhm cm2],"",0)</f>
        <v>#REF!</v>
      </c>
      <c r="AF60" s="69" t="e" cm="1">
        <f t="array" ref="AF60">_xlfn.XLOOKUP(Table1[[#This Row],[5 cm2 cell test code]:[5 cm2 cell test code]],[1]!Table1[[Test code]:[Test code]],[1]!Table1[Ionic resistance DIW/Ohm cm2],"",0)</f>
        <v>#REF!</v>
      </c>
      <c r="AG60" s="69" t="e" cm="1">
        <f t="array" ref="AG60">_xlfn.XLOOKUP(Table1[[#This Row],[5 cm2 cell test code]:[5 cm2 cell test code]],[1]!Table1[[Test code]:[Test code]],[1]!Table1[Q_int_frac DIW],"",0)</f>
        <v>#REF!</v>
      </c>
      <c r="AH60" s="69" t="e" cm="1">
        <f t="array" ref="AH60">_xlfn.XLOOKUP(Table1[[#This Row],[5 cm2 cell test code]:[5 cm2 cell test code]],[1]!Table1[[Test code]:[Test code]],[1]!Table1[Ionic resistance 10 mM KOH/Ohm cm2],"",0)</f>
        <v>#REF!</v>
      </c>
      <c r="AI60" s="69" t="e" cm="1">
        <f t="array" ref="AI60">_xlfn.XLOOKUP(Table1[[#This Row],[5 cm2 cell test code]:[5 cm2 cell test code]],[1]!Table1[[Test code]:[Test code]],[1]!Table1[Q_int_frac DIW 10 mM KOH],"",0)</f>
        <v>#REF!</v>
      </c>
      <c r="AJ60" s="69" t="e" cm="1">
        <f t="array" ref="AJ60">_xlfn.XLOOKUP(Table1[[#This Row],[5 cm2 cell test code]:[5 cm2 cell test code]],[1]!Table1[[Test code]:[Test code]],[1]!Table1[DIW conductivity (µS/cm)],"",0)</f>
        <v>#REF!</v>
      </c>
      <c r="AQ60" s="4" t="str">
        <v>VSG01A-23129C1.01</v>
      </c>
      <c r="AR60" s="95">
        <f>COUNTIFS(Table1[Anode PN (Stack/cell electrodes)],AQ60,Table1[ƞ at 20mAcm-2 (mV)],"&lt;&gt;")</f>
        <v>1</v>
      </c>
      <c r="AS60" s="95">
        <f>COUNTIFS(Table1[Anode PN (Stack/cell electrodes)],AQ60,Table1[i @ 1.8 V DIW (A/cm2)],"&lt;&gt;")</f>
        <v>1</v>
      </c>
      <c r="AT60" s="95">
        <f>COUNTIFS(Table1[Anode PN (Stack/cell electrodes)],AQ60,Table1[i at 1.8 V 10 mM KOH (A/cm2)],"&lt;&gt;")</f>
        <v>1</v>
      </c>
      <c r="AU60" s="95">
        <f>COUNTIFS(Table1[Anode PN (Stack/cell electrodes)],AQ60,Table1[Ionic resistance DIW/Ohm cm2],"&lt;&gt;")</f>
        <v>1</v>
      </c>
      <c r="AV60" s="95">
        <f>COUNTIFS(Table1[Anode PN (Stack/cell electrodes)],AQ60,Table1[Ionic resistance 10 mM KOH/Ohm cm2],"&lt;&gt;")</f>
        <v>1</v>
      </c>
    </row>
    <row r="61" spans="1:48">
      <c r="A61" s="81"/>
      <c r="B61" s="11" t="s">
        <v>162</v>
      </c>
      <c r="C61" s="4" t="s">
        <v>163</v>
      </c>
      <c r="I61" s="11" t="s">
        <v>114</v>
      </c>
      <c r="J61" s="11" t="s">
        <v>134</v>
      </c>
      <c r="K61" s="43" t="s">
        <v>59</v>
      </c>
      <c r="N61" s="11"/>
      <c r="U61" s="101"/>
      <c r="V61" s="101"/>
      <c r="W61" s="69" t="e" cm="1">
        <f t="array" ref="W61">_xlfn.XLOOKUP(Table1[[#This Row],[5 cm2 cell test code]:[5 cm2 cell test code]],[1]!Table1[[Test code]:[Test code]],[1]!Table1[i @ 1.8 V DIW (A/cm2)],"",0)</f>
        <v>#REF!</v>
      </c>
      <c r="X61" s="69" t="e" cm="1">
        <f t="array" ref="X61">_xlfn.XLOOKUP(Table1[[#This Row],[5 cm2 cell test code]:[5 cm2 cell test code]],[1]!Table1[[Test code]:[Test code]],[1]!Table1[i @ 1.8 V 10 mM KOH (A/cm2)],"",0)</f>
        <v>#REF!</v>
      </c>
      <c r="Y61" s="69" t="e" cm="1">
        <f t="array" ref="Y61">_xlfn.XLOOKUP(Table1[[#This Row],[5 cm2 cell test code]:[5 cm2 cell test code]],[1]!Table1[[Test code]:[Test code]],[1]!Table1[3-E ƞ at 20mAcm-2 (mV)],"",0)</f>
        <v>#REF!</v>
      </c>
      <c r="Z61" s="69" t="e" cm="1">
        <f t="array" ref="Z61">_xlfn.XLOOKUP(Table1[[#This Row],[5 cm2 cell test code]:[5 cm2 cell test code]],[1]!Table1[[Test code]:[Test code]],[1]!Table1[3-E Tafel slope (mV/dec)],"",0)</f>
        <v>#REF!</v>
      </c>
      <c r="AA61" s="69" t="e" cm="1">
        <f t="array" ref="AA61">_xlfn.XLOOKUP(Table1[[#This Row],[5 cm2 cell test code]:[5 cm2 cell test code]],[1]!Table1[[Test code]:[Test code]],[1]!Table1[E @ 100 mA/cm2 DIW/V],"",0)</f>
        <v>#REF!</v>
      </c>
      <c r="AB61" s="69" t="e" cm="1">
        <f t="array" ref="AB61">_xlfn.XLOOKUP(Table1[[#This Row],[5 cm2 cell test code]:[5 cm2 cell test code]],[1]!Table1[[Test code]:[Test code]],[1]!Table1[E @ 100 mA/cm2 10 mM KOH/V],"",0)</f>
        <v>#REF!</v>
      </c>
      <c r="AC61" s="69" t="e" cm="1">
        <f t="array" ref="AC61">_xlfn.XLOOKUP(Table1[[#This Row],[5 cm2 cell test code]:[5 cm2 cell test code]],[1]!Table1[[Test code]:[Test code]],[1]!Table1[Anode ICR/mOhm],"",0)</f>
        <v>#REF!</v>
      </c>
      <c r="AD61" s="69" t="e" cm="1">
        <f t="array" ref="AD61">_xlfn.XLOOKUP(Table1[[#This Row],[5 cm2 cell test code]:[5 cm2 cell test code]],[1]!Table1[[Test code]:[Test code]],[1]!Table1[HFR DIW/ mOhm cm2],"",0)</f>
        <v>#REF!</v>
      </c>
      <c r="AE61" s="69" t="e" cm="1">
        <f t="array" ref="AE61">_xlfn.XLOOKUP(Table1[[#This Row],[5 cm2 cell test code]:[5 cm2 cell test code]],[1]!Table1[[Test code]:[Test code]],[1]!Table1[HFR 10 mM KOH/ mOhm cm2],"",0)</f>
        <v>#REF!</v>
      </c>
      <c r="AF61" s="69" t="e" cm="1">
        <f t="array" ref="AF61">_xlfn.XLOOKUP(Table1[[#This Row],[5 cm2 cell test code]:[5 cm2 cell test code]],[1]!Table1[[Test code]:[Test code]],[1]!Table1[Ionic resistance DIW/Ohm cm2],"",0)</f>
        <v>#REF!</v>
      </c>
      <c r="AG61" s="69" t="e" cm="1">
        <f t="array" ref="AG61">_xlfn.XLOOKUP(Table1[[#This Row],[5 cm2 cell test code]:[5 cm2 cell test code]],[1]!Table1[[Test code]:[Test code]],[1]!Table1[Q_int_frac DIW],"",0)</f>
        <v>#REF!</v>
      </c>
      <c r="AH61" s="69" t="e" cm="1">
        <f t="array" ref="AH61">_xlfn.XLOOKUP(Table1[[#This Row],[5 cm2 cell test code]:[5 cm2 cell test code]],[1]!Table1[[Test code]:[Test code]],[1]!Table1[Ionic resistance 10 mM KOH/Ohm cm2],"",0)</f>
        <v>#REF!</v>
      </c>
      <c r="AI61" s="69" t="e" cm="1">
        <f t="array" ref="AI61">_xlfn.XLOOKUP(Table1[[#This Row],[5 cm2 cell test code]:[5 cm2 cell test code]],[1]!Table1[[Test code]:[Test code]],[1]!Table1[Q_int_frac DIW 10 mM KOH],"",0)</f>
        <v>#REF!</v>
      </c>
      <c r="AJ61" s="69" t="e" cm="1">
        <f t="array" ref="AJ61">_xlfn.XLOOKUP(Table1[[#This Row],[5 cm2 cell test code]:[5 cm2 cell test code]],[1]!Table1[[Test code]:[Test code]],[1]!Table1[DIW conductivity (µS/cm)],"",0)</f>
        <v>#REF!</v>
      </c>
      <c r="AQ61" s="4" t="str">
        <v>VSG01A-23129C1.02</v>
      </c>
      <c r="AR61" s="95">
        <f>COUNTIFS(Table1[Anode PN (Stack/cell electrodes)],AQ61,Table1[ƞ at 20mAcm-2 (mV)],"&lt;&gt;")</f>
        <v>1</v>
      </c>
      <c r="AS61" s="95">
        <f>COUNTIFS(Table1[Anode PN (Stack/cell electrodes)],AQ61,Table1[i @ 1.8 V DIW (A/cm2)],"&lt;&gt;")</f>
        <v>1</v>
      </c>
      <c r="AT61" s="95">
        <f>COUNTIFS(Table1[Anode PN (Stack/cell electrodes)],AQ61,Table1[i at 1.8 V 10 mM KOH (A/cm2)],"&lt;&gt;")</f>
        <v>1</v>
      </c>
      <c r="AU61" s="95">
        <f>COUNTIFS(Table1[Anode PN (Stack/cell electrodes)],AQ61,Table1[Ionic resistance DIW/Ohm cm2],"&lt;&gt;")</f>
        <v>1</v>
      </c>
      <c r="AV61" s="95">
        <f>COUNTIFS(Table1[Anode PN (Stack/cell electrodes)],AQ61,Table1[Ionic resistance 10 mM KOH/Ohm cm2],"&lt;&gt;")</f>
        <v>1</v>
      </c>
    </row>
    <row r="62" spans="1:48">
      <c r="A62" s="81"/>
      <c r="B62" s="11" t="s">
        <v>164</v>
      </c>
      <c r="C62" s="4" t="s">
        <v>165</v>
      </c>
      <c r="K62" s="43" t="s">
        <v>59</v>
      </c>
      <c r="M62" s="13">
        <f>(-2.2926+2.2812)*1000/(5*5.1)</f>
        <v>-0.44705882352941478</v>
      </c>
      <c r="N62" s="11">
        <v>5.657</v>
      </c>
      <c r="R62" s="4">
        <v>1.1559999999999999</v>
      </c>
      <c r="S62" s="4">
        <v>227.39</v>
      </c>
      <c r="T62" s="4">
        <v>32.64</v>
      </c>
      <c r="U62" s="100"/>
      <c r="V62" s="100"/>
      <c r="W62" s="69" t="e" cm="1">
        <f t="array" ref="W62">_xlfn.XLOOKUP(Table1[[#This Row],[5 cm2 cell test code]:[5 cm2 cell test code]],[1]!Table1[[Test code]:[Test code]],[1]!Table1[i @ 1.8 V DIW (A/cm2)],"",0)</f>
        <v>#REF!</v>
      </c>
      <c r="X62" s="69" t="e" cm="1">
        <f t="array" ref="X62">_xlfn.XLOOKUP(Table1[[#This Row],[5 cm2 cell test code]:[5 cm2 cell test code]],[1]!Table1[[Test code]:[Test code]],[1]!Table1[i @ 1.8 V 10 mM KOH (A/cm2)],"",0)</f>
        <v>#REF!</v>
      </c>
      <c r="Y62" s="69" t="e" cm="1">
        <f t="array" ref="Y62">_xlfn.XLOOKUP(Table1[[#This Row],[5 cm2 cell test code]:[5 cm2 cell test code]],[1]!Table1[[Test code]:[Test code]],[1]!Table1[3-E ƞ at 20mAcm-2 (mV)],"",0)</f>
        <v>#REF!</v>
      </c>
      <c r="Z62" s="69" t="e" cm="1">
        <f t="array" ref="Z62">_xlfn.XLOOKUP(Table1[[#This Row],[5 cm2 cell test code]:[5 cm2 cell test code]],[1]!Table1[[Test code]:[Test code]],[1]!Table1[3-E Tafel slope (mV/dec)],"",0)</f>
        <v>#REF!</v>
      </c>
      <c r="AA62" s="69" t="e" cm="1">
        <f t="array" ref="AA62">_xlfn.XLOOKUP(Table1[[#This Row],[5 cm2 cell test code]:[5 cm2 cell test code]],[1]!Table1[[Test code]:[Test code]],[1]!Table1[E @ 100 mA/cm2 DIW/V],"",0)</f>
        <v>#REF!</v>
      </c>
      <c r="AB62" s="69" t="e" cm="1">
        <f t="array" ref="AB62">_xlfn.XLOOKUP(Table1[[#This Row],[5 cm2 cell test code]:[5 cm2 cell test code]],[1]!Table1[[Test code]:[Test code]],[1]!Table1[E @ 100 mA/cm2 10 mM KOH/V],"",0)</f>
        <v>#REF!</v>
      </c>
      <c r="AC62" s="69" t="e" cm="1">
        <f t="array" ref="AC62">_xlfn.XLOOKUP(Table1[[#This Row],[5 cm2 cell test code]:[5 cm2 cell test code]],[1]!Table1[[Test code]:[Test code]],[1]!Table1[Anode ICR/mOhm],"",0)</f>
        <v>#REF!</v>
      </c>
      <c r="AD62" s="69" t="e" cm="1">
        <f t="array" ref="AD62">_xlfn.XLOOKUP(Table1[[#This Row],[5 cm2 cell test code]:[5 cm2 cell test code]],[1]!Table1[[Test code]:[Test code]],[1]!Table1[HFR DIW/ mOhm cm2],"",0)</f>
        <v>#REF!</v>
      </c>
      <c r="AE62" s="69" t="e" cm="1">
        <f t="array" ref="AE62">_xlfn.XLOOKUP(Table1[[#This Row],[5 cm2 cell test code]:[5 cm2 cell test code]],[1]!Table1[[Test code]:[Test code]],[1]!Table1[HFR 10 mM KOH/ mOhm cm2],"",0)</f>
        <v>#REF!</v>
      </c>
      <c r="AF62" s="69" t="e" cm="1">
        <f t="array" ref="AF62">_xlfn.XLOOKUP(Table1[[#This Row],[5 cm2 cell test code]:[5 cm2 cell test code]],[1]!Table1[[Test code]:[Test code]],[1]!Table1[Ionic resistance DIW/Ohm cm2],"",0)</f>
        <v>#REF!</v>
      </c>
      <c r="AG62" s="69" t="e" cm="1">
        <f t="array" ref="AG62">_xlfn.XLOOKUP(Table1[[#This Row],[5 cm2 cell test code]:[5 cm2 cell test code]],[1]!Table1[[Test code]:[Test code]],[1]!Table1[Q_int_frac DIW],"",0)</f>
        <v>#REF!</v>
      </c>
      <c r="AH62" s="69" t="e" cm="1">
        <f t="array" ref="AH62">_xlfn.XLOOKUP(Table1[[#This Row],[5 cm2 cell test code]:[5 cm2 cell test code]],[1]!Table1[[Test code]:[Test code]],[1]!Table1[Ionic resistance 10 mM KOH/Ohm cm2],"",0)</f>
        <v>#REF!</v>
      </c>
      <c r="AI62" s="69" t="e" cm="1">
        <f t="array" ref="AI62">_xlfn.XLOOKUP(Table1[[#This Row],[5 cm2 cell test code]:[5 cm2 cell test code]],[1]!Table1[[Test code]:[Test code]],[1]!Table1[Q_int_frac DIW 10 mM KOH],"",0)</f>
        <v>#REF!</v>
      </c>
      <c r="AJ62" s="69" t="e" cm="1">
        <f t="array" ref="AJ62">_xlfn.XLOOKUP(Table1[[#This Row],[5 cm2 cell test code]:[5 cm2 cell test code]],[1]!Table1[[Test code]:[Test code]],[1]!Table1[DIW conductivity (µS/cm)],"",0)</f>
        <v>#REF!</v>
      </c>
      <c r="AQ62" s="4" t="str">
        <v>VSG01A-23129C1.03</v>
      </c>
      <c r="AR62" s="95">
        <f>COUNTIFS(Table1[Anode PN (Stack/cell electrodes)],AQ62,Table1[ƞ at 20mAcm-2 (mV)],"&lt;&gt;")</f>
        <v>1</v>
      </c>
      <c r="AS62" s="95">
        <f>COUNTIFS(Table1[Anode PN (Stack/cell electrodes)],AQ62,Table1[i @ 1.8 V DIW (A/cm2)],"&lt;&gt;")</f>
        <v>1</v>
      </c>
      <c r="AT62" s="95">
        <f>COUNTIFS(Table1[Anode PN (Stack/cell electrodes)],AQ62,Table1[i at 1.8 V 10 mM KOH (A/cm2)],"&lt;&gt;")</f>
        <v>1</v>
      </c>
      <c r="AU62" s="95">
        <f>COUNTIFS(Table1[Anode PN (Stack/cell electrodes)],AQ62,Table1[Ionic resistance DIW/Ohm cm2],"&lt;&gt;")</f>
        <v>1</v>
      </c>
      <c r="AV62" s="95">
        <f>COUNTIFS(Table1[Anode PN (Stack/cell electrodes)],AQ62,Table1[Ionic resistance 10 mM KOH/Ohm cm2],"&lt;&gt;")</f>
        <v>1</v>
      </c>
    </row>
    <row r="63" spans="1:48">
      <c r="A63" s="81"/>
      <c r="B63" s="11" t="s">
        <v>166</v>
      </c>
      <c r="C63" s="4" t="s">
        <v>167</v>
      </c>
      <c r="K63" s="43" t="s">
        <v>59</v>
      </c>
      <c r="M63" s="13">
        <f>(-2.3618+2.3593)*1000/25</f>
        <v>-9.9999999999997868E-2</v>
      </c>
      <c r="N63" s="11"/>
      <c r="P63" s="28">
        <f>(2.3855-2.3577)*1000/25</f>
        <v>1.1120000000000019</v>
      </c>
      <c r="U63" s="100">
        <v>20230504</v>
      </c>
      <c r="V63" t="s">
        <v>168</v>
      </c>
      <c r="W63" s="69" t="e" cm="1">
        <f t="array" ref="W63">_xlfn.XLOOKUP(Table1[[#This Row],[5 cm2 cell test code]:[5 cm2 cell test code]],[1]!Table1[[Test code]:[Test code]],[1]!Table1[i @ 1.8 V DIW (A/cm2)],"",0)</f>
        <v>#REF!</v>
      </c>
      <c r="X63" s="69" t="e" cm="1">
        <f t="array" ref="X63">_xlfn.XLOOKUP(Table1[[#This Row],[5 cm2 cell test code]:[5 cm2 cell test code]],[1]!Table1[[Test code]:[Test code]],[1]!Table1[i @ 1.8 V 10 mM KOH (A/cm2)],"",0)</f>
        <v>#REF!</v>
      </c>
      <c r="Y63" s="69" t="e" cm="1">
        <f t="array" ref="Y63">_xlfn.XLOOKUP(Table1[[#This Row],[5 cm2 cell test code]:[5 cm2 cell test code]],[1]!Table1[[Test code]:[Test code]],[1]!Table1[3-E ƞ at 20mAcm-2 (mV)],"",0)</f>
        <v>#REF!</v>
      </c>
      <c r="Z63" s="69" t="e" cm="1">
        <f t="array" ref="Z63">_xlfn.XLOOKUP(Table1[[#This Row],[5 cm2 cell test code]:[5 cm2 cell test code]],[1]!Table1[[Test code]:[Test code]],[1]!Table1[3-E Tafel slope (mV/dec)],"",0)</f>
        <v>#REF!</v>
      </c>
      <c r="AA63" s="69" t="e" cm="1">
        <f t="array" ref="AA63">_xlfn.XLOOKUP(Table1[[#This Row],[5 cm2 cell test code]:[5 cm2 cell test code]],[1]!Table1[[Test code]:[Test code]],[1]!Table1[E @ 100 mA/cm2 DIW/V],"",0)</f>
        <v>#REF!</v>
      </c>
      <c r="AB63" s="69" t="e" cm="1">
        <f t="array" ref="AB63">_xlfn.XLOOKUP(Table1[[#This Row],[5 cm2 cell test code]:[5 cm2 cell test code]],[1]!Table1[[Test code]:[Test code]],[1]!Table1[E @ 100 mA/cm2 10 mM KOH/V],"",0)</f>
        <v>#REF!</v>
      </c>
      <c r="AC63" s="69" t="e" cm="1">
        <f t="array" ref="AC63">_xlfn.XLOOKUP(Table1[[#This Row],[5 cm2 cell test code]:[5 cm2 cell test code]],[1]!Table1[[Test code]:[Test code]],[1]!Table1[Anode ICR/mOhm],"",0)</f>
        <v>#REF!</v>
      </c>
      <c r="AD63" s="69" t="e" cm="1">
        <f t="array" ref="AD63">_xlfn.XLOOKUP(Table1[[#This Row],[5 cm2 cell test code]:[5 cm2 cell test code]],[1]!Table1[[Test code]:[Test code]],[1]!Table1[HFR DIW/ mOhm cm2],"",0)</f>
        <v>#REF!</v>
      </c>
      <c r="AE63" s="69" t="e" cm="1">
        <f t="array" ref="AE63">_xlfn.XLOOKUP(Table1[[#This Row],[5 cm2 cell test code]:[5 cm2 cell test code]],[1]!Table1[[Test code]:[Test code]],[1]!Table1[HFR 10 mM KOH/ mOhm cm2],"",0)</f>
        <v>#REF!</v>
      </c>
      <c r="AF63" s="69" t="e" cm="1">
        <f t="array" ref="AF63">_xlfn.XLOOKUP(Table1[[#This Row],[5 cm2 cell test code]:[5 cm2 cell test code]],[1]!Table1[[Test code]:[Test code]],[1]!Table1[Ionic resistance DIW/Ohm cm2],"",0)</f>
        <v>#REF!</v>
      </c>
      <c r="AG63" s="69" t="e" cm="1">
        <f t="array" ref="AG63">_xlfn.XLOOKUP(Table1[[#This Row],[5 cm2 cell test code]:[5 cm2 cell test code]],[1]!Table1[[Test code]:[Test code]],[1]!Table1[Q_int_frac DIW],"",0)</f>
        <v>#REF!</v>
      </c>
      <c r="AH63" s="69" t="e" cm="1">
        <f t="array" ref="AH63">_xlfn.XLOOKUP(Table1[[#This Row],[5 cm2 cell test code]:[5 cm2 cell test code]],[1]!Table1[[Test code]:[Test code]],[1]!Table1[Ionic resistance 10 mM KOH/Ohm cm2],"",0)</f>
        <v>#REF!</v>
      </c>
      <c r="AI63" s="69" t="e" cm="1">
        <f t="array" ref="AI63">_xlfn.XLOOKUP(Table1[[#This Row],[5 cm2 cell test code]:[5 cm2 cell test code]],[1]!Table1[[Test code]:[Test code]],[1]!Table1[Q_int_frac DIW 10 mM KOH],"",0)</f>
        <v>#REF!</v>
      </c>
      <c r="AJ63" s="69" t="e" cm="1">
        <f t="array" ref="AJ63">_xlfn.XLOOKUP(Table1[[#This Row],[5 cm2 cell test code]:[5 cm2 cell test code]],[1]!Table1[[Test code]:[Test code]],[1]!Table1[DIW conductivity (µS/cm)],"",0)</f>
        <v>#REF!</v>
      </c>
      <c r="AQ63" s="4" t="str">
        <v>VSG01A-23129C1.04</v>
      </c>
      <c r="AR63" s="95">
        <f>COUNTIFS(Table1[Anode PN (Stack/cell electrodes)],AQ63,Table1[ƞ at 20mAcm-2 (mV)],"&lt;&gt;")</f>
        <v>1</v>
      </c>
      <c r="AS63" s="95">
        <f>COUNTIFS(Table1[Anode PN (Stack/cell electrodes)],AQ63,Table1[i @ 1.8 V DIW (A/cm2)],"&lt;&gt;")</f>
        <v>1</v>
      </c>
      <c r="AT63" s="95">
        <f>COUNTIFS(Table1[Anode PN (Stack/cell electrodes)],AQ63,Table1[i at 1.8 V 10 mM KOH (A/cm2)],"&lt;&gt;")</f>
        <v>1</v>
      </c>
      <c r="AU63" s="95">
        <f>COUNTIFS(Table1[Anode PN (Stack/cell electrodes)],AQ63,Table1[Ionic resistance DIW/Ohm cm2],"&lt;&gt;")</f>
        <v>1</v>
      </c>
      <c r="AV63" s="95">
        <f>COUNTIFS(Table1[Anode PN (Stack/cell electrodes)],AQ63,Table1[Ionic resistance 10 mM KOH/Ohm cm2],"&lt;&gt;")</f>
        <v>1</v>
      </c>
    </row>
    <row r="64" spans="1:48">
      <c r="A64" s="81"/>
      <c r="B64" s="19" t="s">
        <v>169</v>
      </c>
      <c r="C64" s="4" t="s">
        <v>170</v>
      </c>
      <c r="K64" s="43" t="s">
        <v>59</v>
      </c>
      <c r="M64" s="13">
        <f>(-2.3088+2.3032)*1000/(5.05*5)</f>
        <v>-0.22178217821783253</v>
      </c>
      <c r="N64" s="11">
        <v>5.8</v>
      </c>
      <c r="R64" s="4">
        <v>0.99299999999999999</v>
      </c>
      <c r="S64" s="4">
        <v>214.38</v>
      </c>
      <c r="T64" s="4">
        <v>34.869999999999997</v>
      </c>
      <c r="U64" s="101"/>
      <c r="V64" s="101"/>
      <c r="W64" s="69" t="e" cm="1">
        <f t="array" ref="W64">_xlfn.XLOOKUP(Table1[[#This Row],[5 cm2 cell test code]:[5 cm2 cell test code]],[1]!Table1[[Test code]:[Test code]],[1]!Table1[i @ 1.8 V DIW (A/cm2)],"",0)</f>
        <v>#REF!</v>
      </c>
      <c r="X64" s="69" t="e" cm="1">
        <f t="array" ref="X64">_xlfn.XLOOKUP(Table1[[#This Row],[5 cm2 cell test code]:[5 cm2 cell test code]],[1]!Table1[[Test code]:[Test code]],[1]!Table1[i @ 1.8 V 10 mM KOH (A/cm2)],"",0)</f>
        <v>#REF!</v>
      </c>
      <c r="Y64" s="69" t="e" cm="1">
        <f t="array" ref="Y64">_xlfn.XLOOKUP(Table1[[#This Row],[5 cm2 cell test code]:[5 cm2 cell test code]],[1]!Table1[[Test code]:[Test code]],[1]!Table1[3-E ƞ at 20mAcm-2 (mV)],"",0)</f>
        <v>#REF!</v>
      </c>
      <c r="Z64" s="69" t="e" cm="1">
        <f t="array" ref="Z64">_xlfn.XLOOKUP(Table1[[#This Row],[5 cm2 cell test code]:[5 cm2 cell test code]],[1]!Table1[[Test code]:[Test code]],[1]!Table1[3-E Tafel slope (mV/dec)],"",0)</f>
        <v>#REF!</v>
      </c>
      <c r="AA64" s="69" t="e" cm="1">
        <f t="array" ref="AA64">_xlfn.XLOOKUP(Table1[[#This Row],[5 cm2 cell test code]:[5 cm2 cell test code]],[1]!Table1[[Test code]:[Test code]],[1]!Table1[E @ 100 mA/cm2 DIW/V],"",0)</f>
        <v>#REF!</v>
      </c>
      <c r="AB64" s="69" t="e" cm="1">
        <f t="array" ref="AB64">_xlfn.XLOOKUP(Table1[[#This Row],[5 cm2 cell test code]:[5 cm2 cell test code]],[1]!Table1[[Test code]:[Test code]],[1]!Table1[E @ 100 mA/cm2 10 mM KOH/V],"",0)</f>
        <v>#REF!</v>
      </c>
      <c r="AC64" s="69" t="e" cm="1">
        <f t="array" ref="AC64">_xlfn.XLOOKUP(Table1[[#This Row],[5 cm2 cell test code]:[5 cm2 cell test code]],[1]!Table1[[Test code]:[Test code]],[1]!Table1[Anode ICR/mOhm],"",0)</f>
        <v>#REF!</v>
      </c>
      <c r="AD64" s="69" t="e" cm="1">
        <f t="array" ref="AD64">_xlfn.XLOOKUP(Table1[[#This Row],[5 cm2 cell test code]:[5 cm2 cell test code]],[1]!Table1[[Test code]:[Test code]],[1]!Table1[HFR DIW/ mOhm cm2],"",0)</f>
        <v>#REF!</v>
      </c>
      <c r="AE64" s="69" t="e" cm="1">
        <f t="array" ref="AE64">_xlfn.XLOOKUP(Table1[[#This Row],[5 cm2 cell test code]:[5 cm2 cell test code]],[1]!Table1[[Test code]:[Test code]],[1]!Table1[HFR 10 mM KOH/ mOhm cm2],"",0)</f>
        <v>#REF!</v>
      </c>
      <c r="AF64" s="69" t="e" cm="1">
        <f t="array" ref="AF64">_xlfn.XLOOKUP(Table1[[#This Row],[5 cm2 cell test code]:[5 cm2 cell test code]],[1]!Table1[[Test code]:[Test code]],[1]!Table1[Ionic resistance DIW/Ohm cm2],"",0)</f>
        <v>#REF!</v>
      </c>
      <c r="AG64" s="69" t="e" cm="1">
        <f t="array" ref="AG64">_xlfn.XLOOKUP(Table1[[#This Row],[5 cm2 cell test code]:[5 cm2 cell test code]],[1]!Table1[[Test code]:[Test code]],[1]!Table1[Q_int_frac DIW],"",0)</f>
        <v>#REF!</v>
      </c>
      <c r="AH64" s="69" t="e" cm="1">
        <f t="array" ref="AH64">_xlfn.XLOOKUP(Table1[[#This Row],[5 cm2 cell test code]:[5 cm2 cell test code]],[1]!Table1[[Test code]:[Test code]],[1]!Table1[Ionic resistance 10 mM KOH/Ohm cm2],"",0)</f>
        <v>#REF!</v>
      </c>
      <c r="AI64" s="69" t="e" cm="1">
        <f t="array" ref="AI64">_xlfn.XLOOKUP(Table1[[#This Row],[5 cm2 cell test code]:[5 cm2 cell test code]],[1]!Table1[[Test code]:[Test code]],[1]!Table1[Q_int_frac DIW 10 mM KOH],"",0)</f>
        <v>#REF!</v>
      </c>
      <c r="AJ64" s="69" t="e" cm="1">
        <f t="array" ref="AJ64">_xlfn.XLOOKUP(Table1[[#This Row],[5 cm2 cell test code]:[5 cm2 cell test code]],[1]!Table1[[Test code]:[Test code]],[1]!Table1[DIW conductivity (µS/cm)],"",0)</f>
        <v>#REF!</v>
      </c>
      <c r="AQ64" s="4" t="str">
        <v>VSG01A-23129C1.05</v>
      </c>
      <c r="AR64" s="95">
        <f>COUNTIFS(Table1[Anode PN (Stack/cell electrodes)],AQ64,Table1[ƞ at 20mAcm-2 (mV)],"&lt;&gt;")</f>
        <v>0</v>
      </c>
      <c r="AS64" s="95">
        <f>COUNTIFS(Table1[Anode PN (Stack/cell electrodes)],AQ64,Table1[i @ 1.8 V DIW (A/cm2)],"&lt;&gt;")</f>
        <v>1</v>
      </c>
      <c r="AT64" s="95">
        <f>COUNTIFS(Table1[Anode PN (Stack/cell electrodes)],AQ64,Table1[i at 1.8 V 10 mM KOH (A/cm2)],"&lt;&gt;")</f>
        <v>1</v>
      </c>
      <c r="AU64" s="95">
        <f>COUNTIFS(Table1[Anode PN (Stack/cell electrodes)],AQ64,Table1[Ionic resistance DIW/Ohm cm2],"&lt;&gt;")</f>
        <v>1</v>
      </c>
      <c r="AV64" s="95">
        <f>COUNTIFS(Table1[Anode PN (Stack/cell electrodes)],AQ64,Table1[Ionic resistance 10 mM KOH/Ohm cm2],"&lt;&gt;")</f>
        <v>1</v>
      </c>
    </row>
    <row r="65" spans="1:48">
      <c r="A65" s="81"/>
      <c r="K65" s="43" t="s">
        <v>59</v>
      </c>
      <c r="N65" s="11"/>
      <c r="R65" s="77"/>
      <c r="S65" s="77"/>
      <c r="T65" s="78"/>
      <c r="U65" s="101"/>
      <c r="V65" s="101"/>
      <c r="W65" s="69" t="e" cm="1">
        <f t="array" ref="W65">_xlfn.XLOOKUP(Table1[[#This Row],[5 cm2 cell test code]:[5 cm2 cell test code]],[1]!Table1[[Test code]:[Test code]],[1]!Table1[i @ 1.8 V DIW (A/cm2)],"",0)</f>
        <v>#REF!</v>
      </c>
      <c r="X65" s="69" t="e" cm="1">
        <f t="array" ref="X65">_xlfn.XLOOKUP(Table1[[#This Row],[5 cm2 cell test code]:[5 cm2 cell test code]],[1]!Table1[[Test code]:[Test code]],[1]!Table1[i @ 1.8 V 10 mM KOH (A/cm2)],"",0)</f>
        <v>#REF!</v>
      </c>
      <c r="Y65" s="69" t="e" cm="1">
        <f t="array" ref="Y65">_xlfn.XLOOKUP(Table1[[#This Row],[5 cm2 cell test code]:[5 cm2 cell test code]],[1]!Table1[[Test code]:[Test code]],[1]!Table1[3-E ƞ at 20mAcm-2 (mV)],"",0)</f>
        <v>#REF!</v>
      </c>
      <c r="Z65" s="69" t="e" cm="1">
        <f t="array" ref="Z65">_xlfn.XLOOKUP(Table1[[#This Row],[5 cm2 cell test code]:[5 cm2 cell test code]],[1]!Table1[[Test code]:[Test code]],[1]!Table1[3-E Tafel slope (mV/dec)],"",0)</f>
        <v>#REF!</v>
      </c>
      <c r="AA65" s="69" t="e" cm="1">
        <f t="array" ref="AA65">_xlfn.XLOOKUP(Table1[[#This Row],[5 cm2 cell test code]:[5 cm2 cell test code]],[1]!Table1[[Test code]:[Test code]],[1]!Table1[E @ 100 mA/cm2 DIW/V],"",0)</f>
        <v>#REF!</v>
      </c>
      <c r="AB65" s="69" t="e" cm="1">
        <f t="array" ref="AB65">_xlfn.XLOOKUP(Table1[[#This Row],[5 cm2 cell test code]:[5 cm2 cell test code]],[1]!Table1[[Test code]:[Test code]],[1]!Table1[E @ 100 mA/cm2 10 mM KOH/V],"",0)</f>
        <v>#REF!</v>
      </c>
      <c r="AC65" s="69" t="e" cm="1">
        <f t="array" ref="AC65">_xlfn.XLOOKUP(Table1[[#This Row],[5 cm2 cell test code]:[5 cm2 cell test code]],[1]!Table1[[Test code]:[Test code]],[1]!Table1[Anode ICR/mOhm],"",0)</f>
        <v>#REF!</v>
      </c>
      <c r="AD65" s="69" t="e" cm="1">
        <f t="array" ref="AD65">_xlfn.XLOOKUP(Table1[[#This Row],[5 cm2 cell test code]:[5 cm2 cell test code]],[1]!Table1[[Test code]:[Test code]],[1]!Table1[HFR DIW/ mOhm cm2],"",0)</f>
        <v>#REF!</v>
      </c>
      <c r="AE65" s="69" t="e" cm="1">
        <f t="array" ref="AE65">_xlfn.XLOOKUP(Table1[[#This Row],[5 cm2 cell test code]:[5 cm2 cell test code]],[1]!Table1[[Test code]:[Test code]],[1]!Table1[HFR 10 mM KOH/ mOhm cm2],"",0)</f>
        <v>#REF!</v>
      </c>
      <c r="AF65" s="69" t="e" cm="1">
        <f t="array" ref="AF65">_xlfn.XLOOKUP(Table1[[#This Row],[5 cm2 cell test code]:[5 cm2 cell test code]],[1]!Table1[[Test code]:[Test code]],[1]!Table1[Ionic resistance DIW/Ohm cm2],"",0)</f>
        <v>#REF!</v>
      </c>
      <c r="AG65" s="69" t="e" cm="1">
        <f t="array" ref="AG65">_xlfn.XLOOKUP(Table1[[#This Row],[5 cm2 cell test code]:[5 cm2 cell test code]],[1]!Table1[[Test code]:[Test code]],[1]!Table1[Q_int_frac DIW],"",0)</f>
        <v>#REF!</v>
      </c>
      <c r="AH65" s="69" t="e" cm="1">
        <f t="array" ref="AH65">_xlfn.XLOOKUP(Table1[[#This Row],[5 cm2 cell test code]:[5 cm2 cell test code]],[1]!Table1[[Test code]:[Test code]],[1]!Table1[Ionic resistance 10 mM KOH/Ohm cm2],"",0)</f>
        <v>#REF!</v>
      </c>
      <c r="AI65" s="69" t="e" cm="1">
        <f t="array" ref="AI65">_xlfn.XLOOKUP(Table1[[#This Row],[5 cm2 cell test code]:[5 cm2 cell test code]],[1]!Table1[[Test code]:[Test code]],[1]!Table1[Q_int_frac DIW 10 mM KOH],"",0)</f>
        <v>#REF!</v>
      </c>
      <c r="AJ65" s="69" t="e" cm="1">
        <f t="array" ref="AJ65">_xlfn.XLOOKUP(Table1[[#This Row],[5 cm2 cell test code]:[5 cm2 cell test code]],[1]!Table1[[Test code]:[Test code]],[1]!Table1[DIW conductivity (µS/cm)],"",0)</f>
        <v>#REF!</v>
      </c>
      <c r="AQ65" s="4" t="str">
        <v>VSG01A-23129C1.06</v>
      </c>
      <c r="AR65" s="95">
        <f>COUNTIFS(Table1[Anode PN (Stack/cell electrodes)],AQ65,Table1[ƞ at 20mAcm-2 (mV)],"&lt;&gt;")</f>
        <v>0</v>
      </c>
      <c r="AS65" s="95">
        <f>COUNTIFS(Table1[Anode PN (Stack/cell electrodes)],AQ65,Table1[i @ 1.8 V DIW (A/cm2)],"&lt;&gt;")</f>
        <v>1</v>
      </c>
      <c r="AT65" s="95">
        <f>COUNTIFS(Table1[Anode PN (Stack/cell electrodes)],AQ65,Table1[i at 1.8 V 10 mM KOH (A/cm2)],"&lt;&gt;")</f>
        <v>1</v>
      </c>
      <c r="AU65" s="95">
        <f>COUNTIFS(Table1[Anode PN (Stack/cell electrodes)],AQ65,Table1[Ionic resistance DIW/Ohm cm2],"&lt;&gt;")</f>
        <v>1</v>
      </c>
      <c r="AV65" s="95">
        <f>COUNTIFS(Table1[Anode PN (Stack/cell electrodes)],AQ65,Table1[Ionic resistance 10 mM KOH/Ohm cm2],"&lt;&gt;")</f>
        <v>1</v>
      </c>
    </row>
    <row r="66" spans="1:48">
      <c r="A66" s="81"/>
      <c r="B66" s="11" t="s">
        <v>171</v>
      </c>
      <c r="C66" s="4" t="s">
        <v>172</v>
      </c>
      <c r="I66" s="11" t="s">
        <v>114</v>
      </c>
      <c r="J66" s="11" t="s">
        <v>134</v>
      </c>
      <c r="K66" s="43" t="s">
        <v>59</v>
      </c>
      <c r="N66" s="11"/>
      <c r="U66" s="100"/>
      <c r="V66" s="100"/>
      <c r="W66" s="69" t="e" cm="1">
        <f t="array" ref="W66">_xlfn.XLOOKUP(Table1[[#This Row],[5 cm2 cell test code]:[5 cm2 cell test code]],[1]!Table1[[Test code]:[Test code]],[1]!Table1[i @ 1.8 V DIW (A/cm2)],"",0)</f>
        <v>#REF!</v>
      </c>
      <c r="X66" s="69" t="e" cm="1">
        <f t="array" ref="X66">_xlfn.XLOOKUP(Table1[[#This Row],[5 cm2 cell test code]:[5 cm2 cell test code]],[1]!Table1[[Test code]:[Test code]],[1]!Table1[i @ 1.8 V 10 mM KOH (A/cm2)],"",0)</f>
        <v>#REF!</v>
      </c>
      <c r="Y66" s="69" t="e" cm="1">
        <f t="array" ref="Y66">_xlfn.XLOOKUP(Table1[[#This Row],[5 cm2 cell test code]:[5 cm2 cell test code]],[1]!Table1[[Test code]:[Test code]],[1]!Table1[3-E ƞ at 20mAcm-2 (mV)],"",0)</f>
        <v>#REF!</v>
      </c>
      <c r="Z66" s="69" t="e" cm="1">
        <f t="array" ref="Z66">_xlfn.XLOOKUP(Table1[[#This Row],[5 cm2 cell test code]:[5 cm2 cell test code]],[1]!Table1[[Test code]:[Test code]],[1]!Table1[3-E Tafel slope (mV/dec)],"",0)</f>
        <v>#REF!</v>
      </c>
      <c r="AA66" s="69" t="e" cm="1">
        <f t="array" ref="AA66">_xlfn.XLOOKUP(Table1[[#This Row],[5 cm2 cell test code]:[5 cm2 cell test code]],[1]!Table1[[Test code]:[Test code]],[1]!Table1[E @ 100 mA/cm2 DIW/V],"",0)</f>
        <v>#REF!</v>
      </c>
      <c r="AB66" s="69" t="e" cm="1">
        <f t="array" ref="AB66">_xlfn.XLOOKUP(Table1[[#This Row],[5 cm2 cell test code]:[5 cm2 cell test code]],[1]!Table1[[Test code]:[Test code]],[1]!Table1[E @ 100 mA/cm2 10 mM KOH/V],"",0)</f>
        <v>#REF!</v>
      </c>
      <c r="AC66" s="69" t="e" cm="1">
        <f t="array" ref="AC66">_xlfn.XLOOKUP(Table1[[#This Row],[5 cm2 cell test code]:[5 cm2 cell test code]],[1]!Table1[[Test code]:[Test code]],[1]!Table1[Anode ICR/mOhm],"",0)</f>
        <v>#REF!</v>
      </c>
      <c r="AD66" s="69" t="e" cm="1">
        <f t="array" ref="AD66">_xlfn.XLOOKUP(Table1[[#This Row],[5 cm2 cell test code]:[5 cm2 cell test code]],[1]!Table1[[Test code]:[Test code]],[1]!Table1[HFR DIW/ mOhm cm2],"",0)</f>
        <v>#REF!</v>
      </c>
      <c r="AE66" s="69" t="e" cm="1">
        <f t="array" ref="AE66">_xlfn.XLOOKUP(Table1[[#This Row],[5 cm2 cell test code]:[5 cm2 cell test code]],[1]!Table1[[Test code]:[Test code]],[1]!Table1[HFR 10 mM KOH/ mOhm cm2],"",0)</f>
        <v>#REF!</v>
      </c>
      <c r="AF66" s="69" t="e" cm="1">
        <f t="array" ref="AF66">_xlfn.XLOOKUP(Table1[[#This Row],[5 cm2 cell test code]:[5 cm2 cell test code]],[1]!Table1[[Test code]:[Test code]],[1]!Table1[Ionic resistance DIW/Ohm cm2],"",0)</f>
        <v>#REF!</v>
      </c>
      <c r="AG66" s="69" t="e" cm="1">
        <f t="array" ref="AG66">_xlfn.XLOOKUP(Table1[[#This Row],[5 cm2 cell test code]:[5 cm2 cell test code]],[1]!Table1[[Test code]:[Test code]],[1]!Table1[Q_int_frac DIW],"",0)</f>
        <v>#REF!</v>
      </c>
      <c r="AH66" s="69" t="e" cm="1">
        <f t="array" ref="AH66">_xlfn.XLOOKUP(Table1[[#This Row],[5 cm2 cell test code]:[5 cm2 cell test code]],[1]!Table1[[Test code]:[Test code]],[1]!Table1[Ionic resistance 10 mM KOH/Ohm cm2],"",0)</f>
        <v>#REF!</v>
      </c>
      <c r="AI66" s="69" t="e" cm="1">
        <f t="array" ref="AI66">_xlfn.XLOOKUP(Table1[[#This Row],[5 cm2 cell test code]:[5 cm2 cell test code]],[1]!Table1[[Test code]:[Test code]],[1]!Table1[Q_int_frac DIW 10 mM KOH],"",0)</f>
        <v>#REF!</v>
      </c>
      <c r="AJ66" s="69" t="e" cm="1">
        <f t="array" ref="AJ66">_xlfn.XLOOKUP(Table1[[#This Row],[5 cm2 cell test code]:[5 cm2 cell test code]],[1]!Table1[[Test code]:[Test code]],[1]!Table1[DIW conductivity (µS/cm)],"",0)</f>
        <v>#REF!</v>
      </c>
      <c r="AQ66" s="4" t="str">
        <v>VSG01A-23130C1.01</v>
      </c>
      <c r="AR66" s="95">
        <f>COUNTIFS(Table1[Anode PN (Stack/cell electrodes)],AQ66,Table1[ƞ at 20mAcm-2 (mV)],"&lt;&gt;")</f>
        <v>1</v>
      </c>
      <c r="AS66" s="95">
        <f>COUNTIFS(Table1[Anode PN (Stack/cell electrodes)],AQ66,Table1[i @ 1.8 V DIW (A/cm2)],"&lt;&gt;")</f>
        <v>1</v>
      </c>
      <c r="AT66" s="95">
        <f>COUNTIFS(Table1[Anode PN (Stack/cell electrodes)],AQ66,Table1[i at 1.8 V 10 mM KOH (A/cm2)],"&lt;&gt;")</f>
        <v>1</v>
      </c>
      <c r="AU66" s="95">
        <f>COUNTIFS(Table1[Anode PN (Stack/cell electrodes)],AQ66,Table1[Ionic resistance DIW/Ohm cm2],"&lt;&gt;")</f>
        <v>1</v>
      </c>
      <c r="AV66" s="95">
        <f>COUNTIFS(Table1[Anode PN (Stack/cell electrodes)],AQ66,Table1[Ionic resistance 10 mM KOH/Ohm cm2],"&lt;&gt;")</f>
        <v>1</v>
      </c>
    </row>
    <row r="67" spans="1:48">
      <c r="A67" s="81"/>
      <c r="B67" s="11" t="s">
        <v>173</v>
      </c>
      <c r="C67" s="4" t="s">
        <v>174</v>
      </c>
      <c r="K67" s="43" t="s">
        <v>59</v>
      </c>
      <c r="M67" s="13">
        <f>(2.2736-2.2857)*1000/(5*5.05)</f>
        <v>-0.47920792079207042</v>
      </c>
      <c r="N67" s="11">
        <v>3.6</v>
      </c>
      <c r="P67" s="28" t="e">
        <f>NA()</f>
        <v>#N/A</v>
      </c>
      <c r="Q67" s="11">
        <v>0.2346</v>
      </c>
      <c r="R67" s="4">
        <v>1.4510000000000001</v>
      </c>
      <c r="S67" s="4">
        <v>239.26</v>
      </c>
      <c r="T67" s="4">
        <v>35.75</v>
      </c>
      <c r="U67" s="100"/>
      <c r="V67" s="100"/>
      <c r="W67" s="69" t="e" cm="1">
        <f t="array" ref="W67">_xlfn.XLOOKUP(Table1[[#This Row],[5 cm2 cell test code]:[5 cm2 cell test code]],[1]!Table1[[Test code]:[Test code]],[1]!Table1[i @ 1.8 V DIW (A/cm2)],"",0)</f>
        <v>#REF!</v>
      </c>
      <c r="X67" s="69" t="e" cm="1">
        <f t="array" ref="X67">_xlfn.XLOOKUP(Table1[[#This Row],[5 cm2 cell test code]:[5 cm2 cell test code]],[1]!Table1[[Test code]:[Test code]],[1]!Table1[i @ 1.8 V 10 mM KOH (A/cm2)],"",0)</f>
        <v>#REF!</v>
      </c>
      <c r="Y67" s="69" t="e" cm="1">
        <f t="array" ref="Y67">_xlfn.XLOOKUP(Table1[[#This Row],[5 cm2 cell test code]:[5 cm2 cell test code]],[1]!Table1[[Test code]:[Test code]],[1]!Table1[3-E ƞ at 20mAcm-2 (mV)],"",0)</f>
        <v>#REF!</v>
      </c>
      <c r="Z67" s="69" t="e" cm="1">
        <f t="array" ref="Z67">_xlfn.XLOOKUP(Table1[[#This Row],[5 cm2 cell test code]:[5 cm2 cell test code]],[1]!Table1[[Test code]:[Test code]],[1]!Table1[3-E Tafel slope (mV/dec)],"",0)</f>
        <v>#REF!</v>
      </c>
      <c r="AA67" s="69" t="e" cm="1">
        <f t="array" ref="AA67">_xlfn.XLOOKUP(Table1[[#This Row],[5 cm2 cell test code]:[5 cm2 cell test code]],[1]!Table1[[Test code]:[Test code]],[1]!Table1[E @ 100 mA/cm2 DIW/V],"",0)</f>
        <v>#REF!</v>
      </c>
      <c r="AB67" s="69" t="e" cm="1">
        <f t="array" ref="AB67">_xlfn.XLOOKUP(Table1[[#This Row],[5 cm2 cell test code]:[5 cm2 cell test code]],[1]!Table1[[Test code]:[Test code]],[1]!Table1[E @ 100 mA/cm2 10 mM KOH/V],"",0)</f>
        <v>#REF!</v>
      </c>
      <c r="AC67" s="69" t="e" cm="1">
        <f t="array" ref="AC67">_xlfn.XLOOKUP(Table1[[#This Row],[5 cm2 cell test code]:[5 cm2 cell test code]],[1]!Table1[[Test code]:[Test code]],[1]!Table1[Anode ICR/mOhm],"",0)</f>
        <v>#REF!</v>
      </c>
      <c r="AD67" s="69" t="e" cm="1">
        <f t="array" ref="AD67">_xlfn.XLOOKUP(Table1[[#This Row],[5 cm2 cell test code]:[5 cm2 cell test code]],[1]!Table1[[Test code]:[Test code]],[1]!Table1[HFR DIW/ mOhm cm2],"",0)</f>
        <v>#REF!</v>
      </c>
      <c r="AE67" s="69" t="e" cm="1">
        <f t="array" ref="AE67">_xlfn.XLOOKUP(Table1[[#This Row],[5 cm2 cell test code]:[5 cm2 cell test code]],[1]!Table1[[Test code]:[Test code]],[1]!Table1[HFR 10 mM KOH/ mOhm cm2],"",0)</f>
        <v>#REF!</v>
      </c>
      <c r="AF67" s="69" t="e" cm="1">
        <f t="array" ref="AF67">_xlfn.XLOOKUP(Table1[[#This Row],[5 cm2 cell test code]:[5 cm2 cell test code]],[1]!Table1[[Test code]:[Test code]],[1]!Table1[Ionic resistance DIW/Ohm cm2],"",0)</f>
        <v>#REF!</v>
      </c>
      <c r="AG67" s="69" t="e" cm="1">
        <f t="array" ref="AG67">_xlfn.XLOOKUP(Table1[[#This Row],[5 cm2 cell test code]:[5 cm2 cell test code]],[1]!Table1[[Test code]:[Test code]],[1]!Table1[Q_int_frac DIW],"",0)</f>
        <v>#REF!</v>
      </c>
      <c r="AH67" s="69" t="e" cm="1">
        <f t="array" ref="AH67">_xlfn.XLOOKUP(Table1[[#This Row],[5 cm2 cell test code]:[5 cm2 cell test code]],[1]!Table1[[Test code]:[Test code]],[1]!Table1[Ionic resistance 10 mM KOH/Ohm cm2],"",0)</f>
        <v>#REF!</v>
      </c>
      <c r="AI67" s="69" t="e" cm="1">
        <f t="array" ref="AI67">_xlfn.XLOOKUP(Table1[[#This Row],[5 cm2 cell test code]:[5 cm2 cell test code]],[1]!Table1[[Test code]:[Test code]],[1]!Table1[Q_int_frac DIW 10 mM KOH],"",0)</f>
        <v>#REF!</v>
      </c>
      <c r="AJ67" s="69" t="e" cm="1">
        <f t="array" ref="AJ67">_xlfn.XLOOKUP(Table1[[#This Row],[5 cm2 cell test code]:[5 cm2 cell test code]],[1]!Table1[[Test code]:[Test code]],[1]!Table1[DIW conductivity (µS/cm)],"",0)</f>
        <v>#REF!</v>
      </c>
      <c r="AQ67" s="4" t="str">
        <v>VSG01A-23130C1.02</v>
      </c>
      <c r="AR67" s="95">
        <f>COUNTIFS(Table1[Anode PN (Stack/cell electrodes)],AQ67,Table1[ƞ at 20mAcm-2 (mV)],"&lt;&gt;")</f>
        <v>1</v>
      </c>
      <c r="AS67" s="95">
        <f>COUNTIFS(Table1[Anode PN (Stack/cell electrodes)],AQ67,Table1[i @ 1.8 V DIW (A/cm2)],"&lt;&gt;")</f>
        <v>1</v>
      </c>
      <c r="AT67" s="95">
        <f>COUNTIFS(Table1[Anode PN (Stack/cell electrodes)],AQ67,Table1[i at 1.8 V 10 mM KOH (A/cm2)],"&lt;&gt;")</f>
        <v>1</v>
      </c>
      <c r="AU67" s="95">
        <f>COUNTIFS(Table1[Anode PN (Stack/cell electrodes)],AQ67,Table1[Ionic resistance DIW/Ohm cm2],"&lt;&gt;")</f>
        <v>1</v>
      </c>
      <c r="AV67" s="95">
        <f>COUNTIFS(Table1[Anode PN (Stack/cell electrodes)],AQ67,Table1[Ionic resistance 10 mM KOH/Ohm cm2],"&lt;&gt;")</f>
        <v>1</v>
      </c>
    </row>
    <row r="68" spans="1:48">
      <c r="A68" s="81"/>
      <c r="B68" s="11" t="s">
        <v>175</v>
      </c>
      <c r="C68" s="4" t="s">
        <v>176</v>
      </c>
      <c r="K68" s="43" t="s">
        <v>59</v>
      </c>
      <c r="M68" s="13">
        <f>(2.3023-2.3134)*1000/(5*5)</f>
        <v>-0.44400000000001327</v>
      </c>
      <c r="N68" s="11">
        <v>4.1669999999999998</v>
      </c>
      <c r="P68" s="28" t="e">
        <f>NA()</f>
        <v>#N/A</v>
      </c>
      <c r="R68" s="4">
        <v>1.2290000000000001</v>
      </c>
      <c r="S68" s="4">
        <v>230.9</v>
      </c>
      <c r="T68" s="4">
        <v>35.24</v>
      </c>
      <c r="U68" s="100"/>
      <c r="V68" s="100"/>
      <c r="W68" s="69" t="e" cm="1">
        <f t="array" ref="W68">_xlfn.XLOOKUP(Table1[[#This Row],[5 cm2 cell test code]:[5 cm2 cell test code]],[1]!Table1[[Test code]:[Test code]],[1]!Table1[i @ 1.8 V DIW (A/cm2)],"",0)</f>
        <v>#REF!</v>
      </c>
      <c r="X68" s="69" t="e" cm="1">
        <f t="array" ref="X68">_xlfn.XLOOKUP(Table1[[#This Row],[5 cm2 cell test code]:[5 cm2 cell test code]],[1]!Table1[[Test code]:[Test code]],[1]!Table1[i @ 1.8 V 10 mM KOH (A/cm2)],"",0)</f>
        <v>#REF!</v>
      </c>
      <c r="Y68" s="69" t="e" cm="1">
        <f t="array" ref="Y68">_xlfn.XLOOKUP(Table1[[#This Row],[5 cm2 cell test code]:[5 cm2 cell test code]],[1]!Table1[[Test code]:[Test code]],[1]!Table1[3-E ƞ at 20mAcm-2 (mV)],"",0)</f>
        <v>#REF!</v>
      </c>
      <c r="Z68" s="69" t="e" cm="1">
        <f t="array" ref="Z68">_xlfn.XLOOKUP(Table1[[#This Row],[5 cm2 cell test code]:[5 cm2 cell test code]],[1]!Table1[[Test code]:[Test code]],[1]!Table1[3-E Tafel slope (mV/dec)],"",0)</f>
        <v>#REF!</v>
      </c>
      <c r="AA68" s="69" t="e" cm="1">
        <f t="array" ref="AA68">_xlfn.XLOOKUP(Table1[[#This Row],[5 cm2 cell test code]:[5 cm2 cell test code]],[1]!Table1[[Test code]:[Test code]],[1]!Table1[E @ 100 mA/cm2 DIW/V],"",0)</f>
        <v>#REF!</v>
      </c>
      <c r="AB68" s="69" t="e" cm="1">
        <f t="array" ref="AB68">_xlfn.XLOOKUP(Table1[[#This Row],[5 cm2 cell test code]:[5 cm2 cell test code]],[1]!Table1[[Test code]:[Test code]],[1]!Table1[E @ 100 mA/cm2 10 mM KOH/V],"",0)</f>
        <v>#REF!</v>
      </c>
      <c r="AC68" s="69" t="e" cm="1">
        <f t="array" ref="AC68">_xlfn.XLOOKUP(Table1[[#This Row],[5 cm2 cell test code]:[5 cm2 cell test code]],[1]!Table1[[Test code]:[Test code]],[1]!Table1[Anode ICR/mOhm],"",0)</f>
        <v>#REF!</v>
      </c>
      <c r="AD68" s="69" t="e" cm="1">
        <f t="array" ref="AD68">_xlfn.XLOOKUP(Table1[[#This Row],[5 cm2 cell test code]:[5 cm2 cell test code]],[1]!Table1[[Test code]:[Test code]],[1]!Table1[HFR DIW/ mOhm cm2],"",0)</f>
        <v>#REF!</v>
      </c>
      <c r="AE68" s="69" t="e" cm="1">
        <f t="array" ref="AE68">_xlfn.XLOOKUP(Table1[[#This Row],[5 cm2 cell test code]:[5 cm2 cell test code]],[1]!Table1[[Test code]:[Test code]],[1]!Table1[HFR 10 mM KOH/ mOhm cm2],"",0)</f>
        <v>#REF!</v>
      </c>
      <c r="AF68" s="69" t="e" cm="1">
        <f t="array" ref="AF68">_xlfn.XLOOKUP(Table1[[#This Row],[5 cm2 cell test code]:[5 cm2 cell test code]],[1]!Table1[[Test code]:[Test code]],[1]!Table1[Ionic resistance DIW/Ohm cm2],"",0)</f>
        <v>#REF!</v>
      </c>
      <c r="AG68" s="69" t="e" cm="1">
        <f t="array" ref="AG68">_xlfn.XLOOKUP(Table1[[#This Row],[5 cm2 cell test code]:[5 cm2 cell test code]],[1]!Table1[[Test code]:[Test code]],[1]!Table1[Q_int_frac DIW],"",0)</f>
        <v>#REF!</v>
      </c>
      <c r="AH68" s="69" t="e" cm="1">
        <f t="array" ref="AH68">_xlfn.XLOOKUP(Table1[[#This Row],[5 cm2 cell test code]:[5 cm2 cell test code]],[1]!Table1[[Test code]:[Test code]],[1]!Table1[Ionic resistance 10 mM KOH/Ohm cm2],"",0)</f>
        <v>#REF!</v>
      </c>
      <c r="AI68" s="69" t="e" cm="1">
        <f t="array" ref="AI68">_xlfn.XLOOKUP(Table1[[#This Row],[5 cm2 cell test code]:[5 cm2 cell test code]],[1]!Table1[[Test code]:[Test code]],[1]!Table1[Q_int_frac DIW 10 mM KOH],"",0)</f>
        <v>#REF!</v>
      </c>
      <c r="AJ68" s="69" t="e" cm="1">
        <f t="array" ref="AJ68">_xlfn.XLOOKUP(Table1[[#This Row],[5 cm2 cell test code]:[5 cm2 cell test code]],[1]!Table1[[Test code]:[Test code]],[1]!Table1[DIW conductivity (µS/cm)],"",0)</f>
        <v>#REF!</v>
      </c>
      <c r="AQ68" s="4" t="str">
        <v>VSG01A-23130C1.03</v>
      </c>
      <c r="AR68" s="95">
        <f>COUNTIFS(Table1[Anode PN (Stack/cell electrodes)],AQ68,Table1[ƞ at 20mAcm-2 (mV)],"&lt;&gt;")</f>
        <v>1</v>
      </c>
      <c r="AS68" s="95">
        <f>COUNTIFS(Table1[Anode PN (Stack/cell electrodes)],AQ68,Table1[i @ 1.8 V DIW (A/cm2)],"&lt;&gt;")</f>
        <v>1</v>
      </c>
      <c r="AT68" s="95"/>
      <c r="AU68" s="95">
        <f>COUNTIFS(Table1[Anode PN (Stack/cell electrodes)],AQ68,Table1[Ionic resistance DIW/Ohm cm2],"&lt;&gt;")</f>
        <v>1</v>
      </c>
      <c r="AV68" s="95">
        <f>COUNTIFS(Table1[Anode PN (Stack/cell electrodes)],AQ68,Table1[Ionic resistance 10 mM KOH/Ohm cm2],"&lt;&gt;")</f>
        <v>1</v>
      </c>
    </row>
    <row r="69" spans="1:48">
      <c r="A69" s="81"/>
      <c r="K69" s="43" t="s">
        <v>59</v>
      </c>
      <c r="N69" s="11"/>
      <c r="U69" s="100"/>
      <c r="V69" s="100"/>
      <c r="W69" s="69" t="e" cm="1">
        <f t="array" ref="W69">_xlfn.XLOOKUP(Table1[[#This Row],[5 cm2 cell test code]:[5 cm2 cell test code]],[1]!Table1[[Test code]:[Test code]],[1]!Table1[i @ 1.8 V DIW (A/cm2)],"",0)</f>
        <v>#REF!</v>
      </c>
      <c r="X69" s="69" t="e" cm="1">
        <f t="array" ref="X69">_xlfn.XLOOKUP(Table1[[#This Row],[5 cm2 cell test code]:[5 cm2 cell test code]],[1]!Table1[[Test code]:[Test code]],[1]!Table1[i @ 1.8 V 10 mM KOH (A/cm2)],"",0)</f>
        <v>#REF!</v>
      </c>
      <c r="Y69" s="69" t="e" cm="1">
        <f t="array" ref="Y69">_xlfn.XLOOKUP(Table1[[#This Row],[5 cm2 cell test code]:[5 cm2 cell test code]],[1]!Table1[[Test code]:[Test code]],[1]!Table1[3-E ƞ at 20mAcm-2 (mV)],"",0)</f>
        <v>#REF!</v>
      </c>
      <c r="Z69" s="69" t="e" cm="1">
        <f t="array" ref="Z69">_xlfn.XLOOKUP(Table1[[#This Row],[5 cm2 cell test code]:[5 cm2 cell test code]],[1]!Table1[[Test code]:[Test code]],[1]!Table1[3-E Tafel slope (mV/dec)],"",0)</f>
        <v>#REF!</v>
      </c>
      <c r="AA69" s="69" t="e" cm="1">
        <f t="array" ref="AA69">_xlfn.XLOOKUP(Table1[[#This Row],[5 cm2 cell test code]:[5 cm2 cell test code]],[1]!Table1[[Test code]:[Test code]],[1]!Table1[E @ 100 mA/cm2 DIW/V],"",0)</f>
        <v>#REF!</v>
      </c>
      <c r="AB69" s="69" t="e" cm="1">
        <f t="array" ref="AB69">_xlfn.XLOOKUP(Table1[[#This Row],[5 cm2 cell test code]:[5 cm2 cell test code]],[1]!Table1[[Test code]:[Test code]],[1]!Table1[E @ 100 mA/cm2 10 mM KOH/V],"",0)</f>
        <v>#REF!</v>
      </c>
      <c r="AC69" s="69" t="e" cm="1">
        <f t="array" ref="AC69">_xlfn.XLOOKUP(Table1[[#This Row],[5 cm2 cell test code]:[5 cm2 cell test code]],[1]!Table1[[Test code]:[Test code]],[1]!Table1[Anode ICR/mOhm],"",0)</f>
        <v>#REF!</v>
      </c>
      <c r="AD69" s="69" t="e" cm="1">
        <f t="array" ref="AD69">_xlfn.XLOOKUP(Table1[[#This Row],[5 cm2 cell test code]:[5 cm2 cell test code]],[1]!Table1[[Test code]:[Test code]],[1]!Table1[HFR DIW/ mOhm cm2],"",0)</f>
        <v>#REF!</v>
      </c>
      <c r="AE69" s="69" t="e" cm="1">
        <f t="array" ref="AE69">_xlfn.XLOOKUP(Table1[[#This Row],[5 cm2 cell test code]:[5 cm2 cell test code]],[1]!Table1[[Test code]:[Test code]],[1]!Table1[HFR 10 mM KOH/ mOhm cm2],"",0)</f>
        <v>#REF!</v>
      </c>
      <c r="AF69" s="69" t="e" cm="1">
        <f t="array" ref="AF69">_xlfn.XLOOKUP(Table1[[#This Row],[5 cm2 cell test code]:[5 cm2 cell test code]],[1]!Table1[[Test code]:[Test code]],[1]!Table1[Ionic resistance DIW/Ohm cm2],"",0)</f>
        <v>#REF!</v>
      </c>
      <c r="AG69" s="69" t="e" cm="1">
        <f t="array" ref="AG69">_xlfn.XLOOKUP(Table1[[#This Row],[5 cm2 cell test code]:[5 cm2 cell test code]],[1]!Table1[[Test code]:[Test code]],[1]!Table1[Q_int_frac DIW],"",0)</f>
        <v>#REF!</v>
      </c>
      <c r="AH69" s="69" t="e" cm="1">
        <f t="array" ref="AH69">_xlfn.XLOOKUP(Table1[[#This Row],[5 cm2 cell test code]:[5 cm2 cell test code]],[1]!Table1[[Test code]:[Test code]],[1]!Table1[Ionic resistance 10 mM KOH/Ohm cm2],"",0)</f>
        <v>#REF!</v>
      </c>
      <c r="AI69" s="69" t="e" cm="1">
        <f t="array" ref="AI69">_xlfn.XLOOKUP(Table1[[#This Row],[5 cm2 cell test code]:[5 cm2 cell test code]],[1]!Table1[[Test code]:[Test code]],[1]!Table1[Q_int_frac DIW 10 mM KOH],"",0)</f>
        <v>#REF!</v>
      </c>
      <c r="AJ69" s="69" t="e" cm="1">
        <f t="array" ref="AJ69">_xlfn.XLOOKUP(Table1[[#This Row],[5 cm2 cell test code]:[5 cm2 cell test code]],[1]!Table1[[Test code]:[Test code]],[1]!Table1[DIW conductivity (µS/cm)],"",0)</f>
        <v>#REF!</v>
      </c>
      <c r="AQ69" s="4" t="str">
        <v>VSG01A-23130C1.04</v>
      </c>
      <c r="AR69" s="95">
        <f>COUNTIFS(Table1[Anode PN (Stack/cell electrodes)],AQ69,Table1[ƞ at 20mAcm-2 (mV)],"&lt;&gt;")</f>
        <v>1</v>
      </c>
      <c r="AS69" s="95">
        <f>COUNTIFS(Table1[Anode PN (Stack/cell electrodes)],AQ69,Table1[i @ 1.8 V DIW (A/cm2)],"&lt;&gt;")</f>
        <v>1</v>
      </c>
      <c r="AT69" s="95">
        <f>COUNTIFS(Table1[Anode PN (Stack/cell electrodes)],AQ69,Table1[i at 1.8 V 10 mM KOH (A/cm2)],"&lt;&gt;")</f>
        <v>1</v>
      </c>
      <c r="AU69" s="95">
        <f>COUNTIFS(Table1[Anode PN (Stack/cell electrodes)],AQ69,Table1[Ionic resistance DIW/Ohm cm2],"&lt;&gt;")</f>
        <v>1</v>
      </c>
      <c r="AV69" s="95">
        <f>COUNTIFS(Table1[Anode PN (Stack/cell electrodes)],AQ69,Table1[Ionic resistance 10 mM KOH/Ohm cm2],"&lt;&gt;")</f>
        <v>1</v>
      </c>
    </row>
    <row r="70" spans="1:48">
      <c r="A70" s="81"/>
      <c r="B70" s="11" t="s">
        <v>177</v>
      </c>
      <c r="C70" s="4" t="s">
        <v>178</v>
      </c>
      <c r="I70" s="11" t="s">
        <v>114</v>
      </c>
      <c r="J70" s="11" t="s">
        <v>134</v>
      </c>
      <c r="K70" s="43" t="s">
        <v>59</v>
      </c>
      <c r="M70" s="15">
        <f>(8.0168-7.9421)*1000/(11*8)</f>
        <v>0.84886363636363626</v>
      </c>
      <c r="N70" s="11"/>
      <c r="P70" s="28">
        <f>(8.1213-8.0169)*1000/(11*8)</f>
        <v>1.186363636363637</v>
      </c>
      <c r="U70" s="100">
        <v>20230525</v>
      </c>
      <c r="V70" s="153" t="s">
        <v>179</v>
      </c>
      <c r="W70" s="69" t="e" cm="1">
        <f t="array" ref="W70">_xlfn.XLOOKUP(Table1[[#This Row],[5 cm2 cell test code]:[5 cm2 cell test code]],[1]!Table1[[Test code]:[Test code]],[1]!Table1[i @ 1.8 V DIW (A/cm2)],"",0)</f>
        <v>#REF!</v>
      </c>
      <c r="X70" s="69" t="e" cm="1">
        <f t="array" ref="X70">_xlfn.XLOOKUP(Table1[[#This Row],[5 cm2 cell test code]:[5 cm2 cell test code]],[1]!Table1[[Test code]:[Test code]],[1]!Table1[i @ 1.8 V 10 mM KOH (A/cm2)],"",0)</f>
        <v>#REF!</v>
      </c>
      <c r="Y70" s="69" t="e" cm="1">
        <f t="array" ref="Y70">_xlfn.XLOOKUP(Table1[[#This Row],[5 cm2 cell test code]:[5 cm2 cell test code]],[1]!Table1[[Test code]:[Test code]],[1]!Table1[3-E ƞ at 20mAcm-2 (mV)],"",0)</f>
        <v>#REF!</v>
      </c>
      <c r="Z70" s="69" t="e" cm="1">
        <f t="array" ref="Z70">_xlfn.XLOOKUP(Table1[[#This Row],[5 cm2 cell test code]:[5 cm2 cell test code]],[1]!Table1[[Test code]:[Test code]],[1]!Table1[3-E Tafel slope (mV/dec)],"",0)</f>
        <v>#REF!</v>
      </c>
      <c r="AA70" s="69" t="e" cm="1">
        <f t="array" ref="AA70">_xlfn.XLOOKUP(Table1[[#This Row],[5 cm2 cell test code]:[5 cm2 cell test code]],[1]!Table1[[Test code]:[Test code]],[1]!Table1[E @ 100 mA/cm2 DIW/V],"",0)</f>
        <v>#REF!</v>
      </c>
      <c r="AB70" s="69" t="e" cm="1">
        <f t="array" ref="AB70">_xlfn.XLOOKUP(Table1[[#This Row],[5 cm2 cell test code]:[5 cm2 cell test code]],[1]!Table1[[Test code]:[Test code]],[1]!Table1[E @ 100 mA/cm2 10 mM KOH/V],"",0)</f>
        <v>#REF!</v>
      </c>
      <c r="AC70" s="69" t="e" cm="1">
        <f t="array" ref="AC70">_xlfn.XLOOKUP(Table1[[#This Row],[5 cm2 cell test code]:[5 cm2 cell test code]],[1]!Table1[[Test code]:[Test code]],[1]!Table1[Anode ICR/mOhm],"",0)</f>
        <v>#REF!</v>
      </c>
      <c r="AD70" s="69" t="e" cm="1">
        <f t="array" ref="AD70">_xlfn.XLOOKUP(Table1[[#This Row],[5 cm2 cell test code]:[5 cm2 cell test code]],[1]!Table1[[Test code]:[Test code]],[1]!Table1[HFR DIW/ mOhm cm2],"",0)</f>
        <v>#REF!</v>
      </c>
      <c r="AE70" s="69" t="e" cm="1">
        <f t="array" ref="AE70">_xlfn.XLOOKUP(Table1[[#This Row],[5 cm2 cell test code]:[5 cm2 cell test code]],[1]!Table1[[Test code]:[Test code]],[1]!Table1[HFR 10 mM KOH/ mOhm cm2],"",0)</f>
        <v>#REF!</v>
      </c>
      <c r="AF70" s="69" t="e" cm="1">
        <f t="array" ref="AF70">_xlfn.XLOOKUP(Table1[[#This Row],[5 cm2 cell test code]:[5 cm2 cell test code]],[1]!Table1[[Test code]:[Test code]],[1]!Table1[Ionic resistance DIW/Ohm cm2],"",0)</f>
        <v>#REF!</v>
      </c>
      <c r="AG70" s="69" t="e" cm="1">
        <f t="array" ref="AG70">_xlfn.XLOOKUP(Table1[[#This Row],[5 cm2 cell test code]:[5 cm2 cell test code]],[1]!Table1[[Test code]:[Test code]],[1]!Table1[Q_int_frac DIW],"",0)</f>
        <v>#REF!</v>
      </c>
      <c r="AH70" s="69" t="e" cm="1">
        <f t="array" ref="AH70">_xlfn.XLOOKUP(Table1[[#This Row],[5 cm2 cell test code]:[5 cm2 cell test code]],[1]!Table1[[Test code]:[Test code]],[1]!Table1[Ionic resistance 10 mM KOH/Ohm cm2],"",0)</f>
        <v>#REF!</v>
      </c>
      <c r="AI70" s="69" t="e" cm="1">
        <f t="array" ref="AI70">_xlfn.XLOOKUP(Table1[[#This Row],[5 cm2 cell test code]:[5 cm2 cell test code]],[1]!Table1[[Test code]:[Test code]],[1]!Table1[Q_int_frac DIW 10 mM KOH],"",0)</f>
        <v>#REF!</v>
      </c>
      <c r="AJ70" s="69" t="e" cm="1">
        <f t="array" ref="AJ70">_xlfn.XLOOKUP(Table1[[#This Row],[5 cm2 cell test code]:[5 cm2 cell test code]],[1]!Table1[[Test code]:[Test code]],[1]!Table1[DIW conductivity (µS/cm)],"",0)</f>
        <v>#REF!</v>
      </c>
      <c r="AQ70" s="4" t="str">
        <v>VSG01A-23130C1.05</v>
      </c>
      <c r="AR70" s="95">
        <f>COUNTIFS(Table1[Anode PN (Stack/cell electrodes)],AQ70,Table1[ƞ at 20mAcm-2 (mV)],"&lt;&gt;")</f>
        <v>1</v>
      </c>
      <c r="AS70" s="95">
        <f>COUNTIFS(Table1[Anode PN (Stack/cell electrodes)],AQ70,Table1[i @ 1.8 V DIW (A/cm2)],"&lt;&gt;")</f>
        <v>1</v>
      </c>
      <c r="AT70" s="95">
        <f>COUNTIFS(Table1[Anode PN (Stack/cell electrodes)],AQ70,Table1[i at 1.8 V 10 mM KOH (A/cm2)],"&lt;&gt;")</f>
        <v>1</v>
      </c>
      <c r="AU70" s="95">
        <f>COUNTIFS(Table1[Anode PN (Stack/cell electrodes)],AQ70,Table1[Ionic resistance DIW/Ohm cm2],"&lt;&gt;")</f>
        <v>1</v>
      </c>
      <c r="AV70" s="95">
        <f>COUNTIFS(Table1[Anode PN (Stack/cell electrodes)],AQ70,Table1[Ionic resistance 10 mM KOH/Ohm cm2],"&lt;&gt;")</f>
        <v>1</v>
      </c>
    </row>
    <row r="71" spans="1:48">
      <c r="A71" s="81"/>
      <c r="K71" s="43" t="s">
        <v>59</v>
      </c>
      <c r="U71" s="100">
        <v>20230601</v>
      </c>
      <c r="V71" s="153" t="s">
        <v>180</v>
      </c>
      <c r="W71" s="69" t="e" cm="1">
        <f t="array" ref="W71">_xlfn.XLOOKUP(Table1[[#This Row],[5 cm2 cell test code]:[5 cm2 cell test code]],[1]!Table1[[Test code]:[Test code]],[1]!Table1[i @ 1.8 V DIW (A/cm2)],"",0)</f>
        <v>#REF!</v>
      </c>
      <c r="X71" s="69" t="e" cm="1">
        <f t="array" ref="X71">_xlfn.XLOOKUP(Table1[[#This Row],[5 cm2 cell test code]:[5 cm2 cell test code]],[1]!Table1[[Test code]:[Test code]],[1]!Table1[i @ 1.8 V 10 mM KOH (A/cm2)],"",0)</f>
        <v>#REF!</v>
      </c>
      <c r="Y71" s="69" t="e" cm="1">
        <f t="array" ref="Y71">_xlfn.XLOOKUP(Table1[[#This Row],[5 cm2 cell test code]:[5 cm2 cell test code]],[1]!Table1[[Test code]:[Test code]],[1]!Table1[3-E ƞ at 20mAcm-2 (mV)],"",0)</f>
        <v>#REF!</v>
      </c>
      <c r="Z71" s="69" t="e" cm="1">
        <f t="array" ref="Z71">_xlfn.XLOOKUP(Table1[[#This Row],[5 cm2 cell test code]:[5 cm2 cell test code]],[1]!Table1[[Test code]:[Test code]],[1]!Table1[3-E Tafel slope (mV/dec)],"",0)</f>
        <v>#REF!</v>
      </c>
      <c r="AA71" s="69" t="e" cm="1">
        <f t="array" ref="AA71">_xlfn.XLOOKUP(Table1[[#This Row],[5 cm2 cell test code]:[5 cm2 cell test code]],[1]!Table1[[Test code]:[Test code]],[1]!Table1[E @ 100 mA/cm2 DIW/V],"",0)</f>
        <v>#REF!</v>
      </c>
      <c r="AB71" s="69" t="e" cm="1">
        <f t="array" ref="AB71">_xlfn.XLOOKUP(Table1[[#This Row],[5 cm2 cell test code]:[5 cm2 cell test code]],[1]!Table1[[Test code]:[Test code]],[1]!Table1[E @ 100 mA/cm2 10 mM KOH/V],"",0)</f>
        <v>#REF!</v>
      </c>
      <c r="AC71" s="69" t="e" cm="1">
        <f t="array" ref="AC71">_xlfn.XLOOKUP(Table1[[#This Row],[5 cm2 cell test code]:[5 cm2 cell test code]],[1]!Table1[[Test code]:[Test code]],[1]!Table1[Anode ICR/mOhm],"",0)</f>
        <v>#REF!</v>
      </c>
      <c r="AD71" s="69" t="e" cm="1">
        <f t="array" ref="AD71">_xlfn.XLOOKUP(Table1[[#This Row],[5 cm2 cell test code]:[5 cm2 cell test code]],[1]!Table1[[Test code]:[Test code]],[1]!Table1[HFR DIW/ mOhm cm2],"",0)</f>
        <v>#REF!</v>
      </c>
      <c r="AE71" s="69" t="e" cm="1">
        <f t="array" ref="AE71">_xlfn.XLOOKUP(Table1[[#This Row],[5 cm2 cell test code]:[5 cm2 cell test code]],[1]!Table1[[Test code]:[Test code]],[1]!Table1[HFR 10 mM KOH/ mOhm cm2],"",0)</f>
        <v>#REF!</v>
      </c>
      <c r="AF71" s="69" t="e" cm="1">
        <f t="array" ref="AF71">_xlfn.XLOOKUP(Table1[[#This Row],[5 cm2 cell test code]:[5 cm2 cell test code]],[1]!Table1[[Test code]:[Test code]],[1]!Table1[Ionic resistance DIW/Ohm cm2],"",0)</f>
        <v>#REF!</v>
      </c>
      <c r="AG71" s="69" t="e" cm="1">
        <f t="array" ref="AG71">_xlfn.XLOOKUP(Table1[[#This Row],[5 cm2 cell test code]:[5 cm2 cell test code]],[1]!Table1[[Test code]:[Test code]],[1]!Table1[Q_int_frac DIW],"",0)</f>
        <v>#REF!</v>
      </c>
      <c r="AH71" s="69" t="e" cm="1">
        <f t="array" ref="AH71">_xlfn.XLOOKUP(Table1[[#This Row],[5 cm2 cell test code]:[5 cm2 cell test code]],[1]!Table1[[Test code]:[Test code]],[1]!Table1[Ionic resistance 10 mM KOH/Ohm cm2],"",0)</f>
        <v>#REF!</v>
      </c>
      <c r="AI71" s="69" t="e" cm="1">
        <f t="array" ref="AI71">_xlfn.XLOOKUP(Table1[[#This Row],[5 cm2 cell test code]:[5 cm2 cell test code]],[1]!Table1[[Test code]:[Test code]],[1]!Table1[Q_int_frac DIW 10 mM KOH],"",0)</f>
        <v>#REF!</v>
      </c>
      <c r="AJ71" s="69" t="e" cm="1">
        <f t="array" ref="AJ71">_xlfn.XLOOKUP(Table1[[#This Row],[5 cm2 cell test code]:[5 cm2 cell test code]],[1]!Table1[[Test code]:[Test code]],[1]!Table1[DIW conductivity (µS/cm)],"",0)</f>
        <v>#REF!</v>
      </c>
      <c r="AQ71" s="4" t="str">
        <v>VSG01A-23130C1.06</v>
      </c>
      <c r="AR71" s="95"/>
      <c r="AS71" s="95"/>
      <c r="AT71" s="95"/>
      <c r="AU71" s="95"/>
      <c r="AV71" s="95"/>
    </row>
    <row r="72" spans="1:48">
      <c r="A72" s="81"/>
      <c r="K72" s="43" t="s">
        <v>59</v>
      </c>
      <c r="N72" s="11"/>
      <c r="R72" s="77"/>
      <c r="S72" s="77"/>
      <c r="T72" s="77"/>
      <c r="U72" s="100">
        <v>20230706</v>
      </c>
      <c r="V72" s="153" t="s">
        <v>181</v>
      </c>
      <c r="W72" s="69" t="e" cm="1">
        <f t="array" ref="W72">_xlfn.XLOOKUP(Table1[[#This Row],[5 cm2 cell test code]:[5 cm2 cell test code]],[1]!Table1[[Test code]:[Test code]],[1]!Table1[i @ 1.8 V DIW (A/cm2)],"",0)</f>
        <v>#REF!</v>
      </c>
      <c r="X72" s="69" t="e" cm="1">
        <f t="array" ref="X72">_xlfn.XLOOKUP(Table1[[#This Row],[5 cm2 cell test code]:[5 cm2 cell test code]],[1]!Table1[[Test code]:[Test code]],[1]!Table1[i @ 1.8 V 10 mM KOH (A/cm2)],"",0)</f>
        <v>#REF!</v>
      </c>
      <c r="Y72" s="69" t="e" cm="1">
        <f t="array" ref="Y72">_xlfn.XLOOKUP(Table1[[#This Row],[5 cm2 cell test code]:[5 cm2 cell test code]],[1]!Table1[[Test code]:[Test code]],[1]!Table1[3-E ƞ at 20mAcm-2 (mV)],"",0)</f>
        <v>#REF!</v>
      </c>
      <c r="Z72" s="69" t="e" cm="1">
        <f t="array" ref="Z72">_xlfn.XLOOKUP(Table1[[#This Row],[5 cm2 cell test code]:[5 cm2 cell test code]],[1]!Table1[[Test code]:[Test code]],[1]!Table1[3-E Tafel slope (mV/dec)],"",0)</f>
        <v>#REF!</v>
      </c>
      <c r="AA72" s="69" t="e" cm="1">
        <f t="array" ref="AA72">_xlfn.XLOOKUP(Table1[[#This Row],[5 cm2 cell test code]:[5 cm2 cell test code]],[1]!Table1[[Test code]:[Test code]],[1]!Table1[E @ 100 mA/cm2 DIW/V],"",0)</f>
        <v>#REF!</v>
      </c>
      <c r="AB72" s="69" t="e" cm="1">
        <f t="array" ref="AB72">_xlfn.XLOOKUP(Table1[[#This Row],[5 cm2 cell test code]:[5 cm2 cell test code]],[1]!Table1[[Test code]:[Test code]],[1]!Table1[E @ 100 mA/cm2 10 mM KOH/V],"",0)</f>
        <v>#REF!</v>
      </c>
      <c r="AC72" s="69" t="e" cm="1">
        <f t="array" ref="AC72">_xlfn.XLOOKUP(Table1[[#This Row],[5 cm2 cell test code]:[5 cm2 cell test code]],[1]!Table1[[Test code]:[Test code]],[1]!Table1[Anode ICR/mOhm],"",0)</f>
        <v>#REF!</v>
      </c>
      <c r="AD72" s="69" t="e" cm="1">
        <f t="array" ref="AD72">_xlfn.XLOOKUP(Table1[[#This Row],[5 cm2 cell test code]:[5 cm2 cell test code]],[1]!Table1[[Test code]:[Test code]],[1]!Table1[HFR DIW/ mOhm cm2],"",0)</f>
        <v>#REF!</v>
      </c>
      <c r="AE72" s="69" t="e" cm="1">
        <f t="array" ref="AE72">_xlfn.XLOOKUP(Table1[[#This Row],[5 cm2 cell test code]:[5 cm2 cell test code]],[1]!Table1[[Test code]:[Test code]],[1]!Table1[HFR 10 mM KOH/ mOhm cm2],"",0)</f>
        <v>#REF!</v>
      </c>
      <c r="AF72" s="69" t="e" cm="1">
        <f t="array" ref="AF72">_xlfn.XLOOKUP(Table1[[#This Row],[5 cm2 cell test code]:[5 cm2 cell test code]],[1]!Table1[[Test code]:[Test code]],[1]!Table1[Ionic resistance DIW/Ohm cm2],"",0)</f>
        <v>#REF!</v>
      </c>
      <c r="AG72" s="69" t="e" cm="1">
        <f t="array" ref="AG72">_xlfn.XLOOKUP(Table1[[#This Row],[5 cm2 cell test code]:[5 cm2 cell test code]],[1]!Table1[[Test code]:[Test code]],[1]!Table1[Q_int_frac DIW],"",0)</f>
        <v>#REF!</v>
      </c>
      <c r="AH72" s="69" t="e" cm="1">
        <f t="array" ref="AH72">_xlfn.XLOOKUP(Table1[[#This Row],[5 cm2 cell test code]:[5 cm2 cell test code]],[1]!Table1[[Test code]:[Test code]],[1]!Table1[Ionic resistance 10 mM KOH/Ohm cm2],"",0)</f>
        <v>#REF!</v>
      </c>
      <c r="AI72" s="69" t="e" cm="1">
        <f t="array" ref="AI72">_xlfn.XLOOKUP(Table1[[#This Row],[5 cm2 cell test code]:[5 cm2 cell test code]],[1]!Table1[[Test code]:[Test code]],[1]!Table1[Q_int_frac DIW 10 mM KOH],"",0)</f>
        <v>#REF!</v>
      </c>
      <c r="AJ72" s="69" t="e" cm="1">
        <f t="array" ref="AJ72">_xlfn.XLOOKUP(Table1[[#This Row],[5 cm2 cell test code]:[5 cm2 cell test code]],[1]!Table1[[Test code]:[Test code]],[1]!Table1[DIW conductivity (µS/cm)],"",0)</f>
        <v>#REF!</v>
      </c>
      <c r="AQ72" s="4" t="str">
        <v>VSG01A-23136C1</v>
      </c>
      <c r="AR72" s="95">
        <f>COUNTIFS(Table1[Anode PN (Stack/cell electrodes)],AQ72,Table1[ƞ at 20mAcm-2 (mV)],"&lt;&gt;")</f>
        <v>0</v>
      </c>
      <c r="AS72" s="95">
        <f>COUNTIFS(Table1[Anode PN (Stack/cell electrodes)],AQ72,Table1[i @ 1.8 V DIW (A/cm2)],"&lt;&gt;")</f>
        <v>1</v>
      </c>
      <c r="AT72" s="95">
        <f>COUNTIFS(Table1[Anode PN (Stack/cell electrodes)],AQ72,Table1[i at 1.8 V 10 mM KOH (A/cm2)],"&lt;&gt;")</f>
        <v>1</v>
      </c>
      <c r="AU72" s="95">
        <f>COUNTIFS(Table1[Anode PN (Stack/cell electrodes)],AQ72,Table1[Ionic resistance DIW/Ohm cm2],"&lt;&gt;")</f>
        <v>1</v>
      </c>
      <c r="AV72" s="95">
        <f>COUNTIFS(Table1[Anode PN (Stack/cell electrodes)],AQ72,Table1[Ionic resistance 10 mM KOH/Ohm cm2],"&lt;&gt;")</f>
        <v>1</v>
      </c>
    </row>
    <row r="73" spans="1:48">
      <c r="A73" s="81"/>
      <c r="B73" s="11" t="s">
        <v>182</v>
      </c>
      <c r="C73" s="4" t="s">
        <v>183</v>
      </c>
      <c r="I73" s="11" t="s">
        <v>114</v>
      </c>
      <c r="J73" s="11" t="s">
        <v>134</v>
      </c>
      <c r="K73" s="43" t="s">
        <v>59</v>
      </c>
      <c r="M73" s="13">
        <f>(63.7-63.9)*1000/(21.5*31)</f>
        <v>-0.30007501875468229</v>
      </c>
      <c r="N73" s="11"/>
      <c r="U73" s="100" t="s">
        <v>184</v>
      </c>
      <c r="V73" s="153" t="s">
        <v>185</v>
      </c>
      <c r="W73" s="69" t="e" cm="1">
        <f t="array" ref="W73">_xlfn.XLOOKUP(Table1[[#This Row],[5 cm2 cell test code]:[5 cm2 cell test code]],[1]!Table1[[Test code]:[Test code]],[1]!Table1[i @ 1.8 V DIW (A/cm2)],"",0)</f>
        <v>#REF!</v>
      </c>
      <c r="X73" s="69" t="e" cm="1">
        <f t="array" ref="X73">_xlfn.XLOOKUP(Table1[[#This Row],[5 cm2 cell test code]:[5 cm2 cell test code]],[1]!Table1[[Test code]:[Test code]],[1]!Table1[i @ 1.8 V 10 mM KOH (A/cm2)],"",0)</f>
        <v>#REF!</v>
      </c>
      <c r="Y73" s="69" t="e" cm="1">
        <f t="array" ref="Y73">_xlfn.XLOOKUP(Table1[[#This Row],[5 cm2 cell test code]:[5 cm2 cell test code]],[1]!Table1[[Test code]:[Test code]],[1]!Table1[3-E ƞ at 20mAcm-2 (mV)],"",0)</f>
        <v>#REF!</v>
      </c>
      <c r="Z73" s="69" t="e" cm="1">
        <f t="array" ref="Z73">_xlfn.XLOOKUP(Table1[[#This Row],[5 cm2 cell test code]:[5 cm2 cell test code]],[1]!Table1[[Test code]:[Test code]],[1]!Table1[3-E Tafel slope (mV/dec)],"",0)</f>
        <v>#REF!</v>
      </c>
      <c r="AA73" s="69" t="e" cm="1">
        <f t="array" ref="AA73">_xlfn.XLOOKUP(Table1[[#This Row],[5 cm2 cell test code]:[5 cm2 cell test code]],[1]!Table1[[Test code]:[Test code]],[1]!Table1[E @ 100 mA/cm2 DIW/V],"",0)</f>
        <v>#REF!</v>
      </c>
      <c r="AB73" s="69" t="e" cm="1">
        <f t="array" ref="AB73">_xlfn.XLOOKUP(Table1[[#This Row],[5 cm2 cell test code]:[5 cm2 cell test code]],[1]!Table1[[Test code]:[Test code]],[1]!Table1[E @ 100 mA/cm2 10 mM KOH/V],"",0)</f>
        <v>#REF!</v>
      </c>
      <c r="AC73" s="69" t="e" cm="1">
        <f t="array" ref="AC73">_xlfn.XLOOKUP(Table1[[#This Row],[5 cm2 cell test code]:[5 cm2 cell test code]],[1]!Table1[[Test code]:[Test code]],[1]!Table1[Anode ICR/mOhm],"",0)</f>
        <v>#REF!</v>
      </c>
      <c r="AD73" s="69" t="e" cm="1">
        <f t="array" ref="AD73">_xlfn.XLOOKUP(Table1[[#This Row],[5 cm2 cell test code]:[5 cm2 cell test code]],[1]!Table1[[Test code]:[Test code]],[1]!Table1[HFR DIW/ mOhm cm2],"",0)</f>
        <v>#REF!</v>
      </c>
      <c r="AE73" s="69" t="e" cm="1">
        <f t="array" ref="AE73">_xlfn.XLOOKUP(Table1[[#This Row],[5 cm2 cell test code]:[5 cm2 cell test code]],[1]!Table1[[Test code]:[Test code]],[1]!Table1[HFR 10 mM KOH/ mOhm cm2],"",0)</f>
        <v>#REF!</v>
      </c>
      <c r="AF73" s="69" t="e" cm="1">
        <f t="array" ref="AF73">_xlfn.XLOOKUP(Table1[[#This Row],[5 cm2 cell test code]:[5 cm2 cell test code]],[1]!Table1[[Test code]:[Test code]],[1]!Table1[Ionic resistance DIW/Ohm cm2],"",0)</f>
        <v>#REF!</v>
      </c>
      <c r="AG73" s="69" t="e" cm="1">
        <f t="array" ref="AG73">_xlfn.XLOOKUP(Table1[[#This Row],[5 cm2 cell test code]:[5 cm2 cell test code]],[1]!Table1[[Test code]:[Test code]],[1]!Table1[Q_int_frac DIW],"",0)</f>
        <v>#REF!</v>
      </c>
      <c r="AH73" s="69" t="e" cm="1">
        <f t="array" ref="AH73">_xlfn.XLOOKUP(Table1[[#This Row],[5 cm2 cell test code]:[5 cm2 cell test code]],[1]!Table1[[Test code]:[Test code]],[1]!Table1[Ionic resistance 10 mM KOH/Ohm cm2],"",0)</f>
        <v>#REF!</v>
      </c>
      <c r="AI73" s="69" t="e" cm="1">
        <f t="array" ref="AI73">_xlfn.XLOOKUP(Table1[[#This Row],[5 cm2 cell test code]:[5 cm2 cell test code]],[1]!Table1[[Test code]:[Test code]],[1]!Table1[Q_int_frac DIW 10 mM KOH],"",0)</f>
        <v>#REF!</v>
      </c>
      <c r="AJ73" s="69" t="e" cm="1">
        <f t="array" ref="AJ73">_xlfn.XLOOKUP(Table1[[#This Row],[5 cm2 cell test code]:[5 cm2 cell test code]],[1]!Table1[[Test code]:[Test code]],[1]!Table1[DIW conductivity (µS/cm)],"",0)</f>
        <v>#REF!</v>
      </c>
      <c r="AQ73" s="4" t="str">
        <v>VSG01A-23136C1.01</v>
      </c>
      <c r="AR73" s="95">
        <f>COUNTIFS(Table1[Anode PN (Stack/cell electrodes)],AQ73,Table1[ƞ at 20mAcm-2 (mV)],"&lt;&gt;")</f>
        <v>0</v>
      </c>
      <c r="AS73" s="95">
        <f>COUNTIFS(Table1[Anode PN (Stack/cell electrodes)],AQ73,Table1[i @ 1.8 V DIW (A/cm2)],"&lt;&gt;")</f>
        <v>1</v>
      </c>
      <c r="AT73" s="95">
        <f>COUNTIFS(Table1[Anode PN (Stack/cell electrodes)],AQ73,Table1[i at 1.8 V 10 mM KOH (A/cm2)],"&lt;&gt;")</f>
        <v>1</v>
      </c>
      <c r="AU73" s="95">
        <f>COUNTIFS(Table1[Anode PN (Stack/cell electrodes)],AQ73,Table1[Ionic resistance DIW/Ohm cm2],"&lt;&gt;")</f>
        <v>1</v>
      </c>
      <c r="AV73" s="95">
        <f>COUNTIFS(Table1[Anode PN (Stack/cell electrodes)],AQ73,Table1[Ionic resistance 10 mM KOH/Ohm cm2],"&lt;&gt;")</f>
        <v>1</v>
      </c>
    </row>
    <row r="74" spans="1:48">
      <c r="A74" s="81">
        <v>16</v>
      </c>
      <c r="B74" s="11" t="s">
        <v>186</v>
      </c>
      <c r="C74" s="4" t="s">
        <v>187</v>
      </c>
      <c r="K74" s="43" t="s">
        <v>59</v>
      </c>
      <c r="N74" s="11"/>
      <c r="O74" s="11" t="s">
        <v>188</v>
      </c>
      <c r="P74" s="28">
        <f>(11.5353-11.4062)*1000/(10.8*10.8)</f>
        <v>1.1068244170095964</v>
      </c>
      <c r="U74" s="101"/>
      <c r="V74" s="101"/>
      <c r="W74" s="69" t="e" cm="1">
        <f t="array" ref="W74">_xlfn.XLOOKUP(Table1[[#This Row],[5 cm2 cell test code]:[5 cm2 cell test code]],[1]!Table1[[Test code]:[Test code]],[1]!Table1[i @ 1.8 V DIW (A/cm2)],"",0)</f>
        <v>#REF!</v>
      </c>
      <c r="X74" s="69" t="e" cm="1">
        <f t="array" ref="X74">_xlfn.XLOOKUP(Table1[[#This Row],[5 cm2 cell test code]:[5 cm2 cell test code]],[1]!Table1[[Test code]:[Test code]],[1]!Table1[i @ 1.8 V 10 mM KOH (A/cm2)],"",0)</f>
        <v>#REF!</v>
      </c>
      <c r="Y74" s="69" t="e" cm="1">
        <f t="array" ref="Y74">_xlfn.XLOOKUP(Table1[[#This Row],[5 cm2 cell test code]:[5 cm2 cell test code]],[1]!Table1[[Test code]:[Test code]],[1]!Table1[3-E ƞ at 20mAcm-2 (mV)],"",0)</f>
        <v>#REF!</v>
      </c>
      <c r="Z74" s="69" t="e" cm="1">
        <f t="array" ref="Z74">_xlfn.XLOOKUP(Table1[[#This Row],[5 cm2 cell test code]:[5 cm2 cell test code]],[1]!Table1[[Test code]:[Test code]],[1]!Table1[3-E Tafel slope (mV/dec)],"",0)</f>
        <v>#REF!</v>
      </c>
      <c r="AA74" s="69" t="e" cm="1">
        <f t="array" ref="AA74">_xlfn.XLOOKUP(Table1[[#This Row],[5 cm2 cell test code]:[5 cm2 cell test code]],[1]!Table1[[Test code]:[Test code]],[1]!Table1[E @ 100 mA/cm2 DIW/V],"",0)</f>
        <v>#REF!</v>
      </c>
      <c r="AB74" s="69" t="e" cm="1">
        <f t="array" ref="AB74">_xlfn.XLOOKUP(Table1[[#This Row],[5 cm2 cell test code]:[5 cm2 cell test code]],[1]!Table1[[Test code]:[Test code]],[1]!Table1[E @ 100 mA/cm2 10 mM KOH/V],"",0)</f>
        <v>#REF!</v>
      </c>
      <c r="AC74" s="69" t="e" cm="1">
        <f t="array" ref="AC74">_xlfn.XLOOKUP(Table1[[#This Row],[5 cm2 cell test code]:[5 cm2 cell test code]],[1]!Table1[[Test code]:[Test code]],[1]!Table1[Anode ICR/mOhm],"",0)</f>
        <v>#REF!</v>
      </c>
      <c r="AD74" s="69" t="e" cm="1">
        <f t="array" ref="AD74">_xlfn.XLOOKUP(Table1[[#This Row],[5 cm2 cell test code]:[5 cm2 cell test code]],[1]!Table1[[Test code]:[Test code]],[1]!Table1[HFR DIW/ mOhm cm2],"",0)</f>
        <v>#REF!</v>
      </c>
      <c r="AE74" s="69" t="e" cm="1">
        <f t="array" ref="AE74">_xlfn.XLOOKUP(Table1[[#This Row],[5 cm2 cell test code]:[5 cm2 cell test code]],[1]!Table1[[Test code]:[Test code]],[1]!Table1[HFR 10 mM KOH/ mOhm cm2],"",0)</f>
        <v>#REF!</v>
      </c>
      <c r="AF74" s="69" t="e" cm="1">
        <f t="array" ref="AF74">_xlfn.XLOOKUP(Table1[[#This Row],[5 cm2 cell test code]:[5 cm2 cell test code]],[1]!Table1[[Test code]:[Test code]],[1]!Table1[Ionic resistance DIW/Ohm cm2],"",0)</f>
        <v>#REF!</v>
      </c>
      <c r="AG74" s="69" t="e" cm="1">
        <f t="array" ref="AG74">_xlfn.XLOOKUP(Table1[[#This Row],[5 cm2 cell test code]:[5 cm2 cell test code]],[1]!Table1[[Test code]:[Test code]],[1]!Table1[Q_int_frac DIW],"",0)</f>
        <v>#REF!</v>
      </c>
      <c r="AH74" s="69" t="e" cm="1">
        <f t="array" ref="AH74">_xlfn.XLOOKUP(Table1[[#This Row],[5 cm2 cell test code]:[5 cm2 cell test code]],[1]!Table1[[Test code]:[Test code]],[1]!Table1[Ionic resistance 10 mM KOH/Ohm cm2],"",0)</f>
        <v>#REF!</v>
      </c>
      <c r="AI74" s="69" t="e" cm="1">
        <f t="array" ref="AI74">_xlfn.XLOOKUP(Table1[[#This Row],[5 cm2 cell test code]:[5 cm2 cell test code]],[1]!Table1[[Test code]:[Test code]],[1]!Table1[Q_int_frac DIW 10 mM KOH],"",0)</f>
        <v>#REF!</v>
      </c>
      <c r="AJ74" s="69" t="e" cm="1">
        <f t="array" ref="AJ74">_xlfn.XLOOKUP(Table1[[#This Row],[5 cm2 cell test code]:[5 cm2 cell test code]],[1]!Table1[[Test code]:[Test code]],[1]!Table1[DIW conductivity (µS/cm)],"",0)</f>
        <v>#REF!</v>
      </c>
      <c r="AQ74" s="4" t="str">
        <v>VSG01A-23136C1.02</v>
      </c>
      <c r="AR74" s="95">
        <f>COUNTIFS(Table1[Anode PN (Stack/cell electrodes)],AQ74,Table1[ƞ at 20mAcm-2 (mV)],"&lt;&gt;")</f>
        <v>1</v>
      </c>
      <c r="AS74" s="95">
        <f>COUNTIFS(Table1[Anode PN (Stack/cell electrodes)],AQ74,Table1[i @ 1.8 V DIW (A/cm2)],"&lt;&gt;")</f>
        <v>1</v>
      </c>
      <c r="AT74" s="95">
        <f>COUNTIFS(Table1[Anode PN (Stack/cell electrodes)],AQ74,Table1[i at 1.8 V 10 mM KOH (A/cm2)],"&lt;&gt;")</f>
        <v>1</v>
      </c>
      <c r="AU74" s="95">
        <f>COUNTIFS(Table1[Anode PN (Stack/cell electrodes)],AQ74,Table1[Ionic resistance DIW/Ohm cm2],"&lt;&gt;")</f>
        <v>1</v>
      </c>
      <c r="AV74" s="95">
        <f>COUNTIFS(Table1[Anode PN (Stack/cell electrodes)],AQ74,Table1[Ionic resistance 10 mM KOH/Ohm cm2],"&lt;&gt;")</f>
        <v>1</v>
      </c>
    </row>
    <row r="75" spans="1:48" s="14" customFormat="1">
      <c r="A75" s="83" t="s">
        <v>189</v>
      </c>
      <c r="B75" s="19" t="s">
        <v>190</v>
      </c>
      <c r="C75" s="14" t="s">
        <v>191</v>
      </c>
      <c r="I75" s="19"/>
      <c r="J75" s="19"/>
      <c r="K75" s="43" t="s">
        <v>59</v>
      </c>
      <c r="L75" s="19"/>
      <c r="M75" s="25"/>
      <c r="N75" s="19"/>
      <c r="O75" s="19"/>
      <c r="P75" s="27">
        <f>(10.8664-10.7407)*1000/(10.7*10.8)</f>
        <v>1.087746625129804</v>
      </c>
      <c r="R75" s="4"/>
      <c r="S75" s="4"/>
      <c r="T75" s="4"/>
      <c r="U75" s="100"/>
      <c r="V75" s="100"/>
      <c r="W75" s="69" t="e" cm="1">
        <f t="array" ref="W75">_xlfn.XLOOKUP(Table1[[#This Row],[5 cm2 cell test code]:[5 cm2 cell test code]],[1]!Table1[[Test code]:[Test code]],[1]!Table1[i @ 1.8 V DIW (A/cm2)],"",0)</f>
        <v>#REF!</v>
      </c>
      <c r="X75" s="69" t="e" cm="1">
        <f t="array" ref="X75">_xlfn.XLOOKUP(Table1[[#This Row],[5 cm2 cell test code]:[5 cm2 cell test code]],[1]!Table1[[Test code]:[Test code]],[1]!Table1[i @ 1.8 V 10 mM KOH (A/cm2)],"",0)</f>
        <v>#REF!</v>
      </c>
      <c r="Y75" s="69" t="e" cm="1">
        <f t="array" ref="Y75">_xlfn.XLOOKUP(Table1[[#This Row],[5 cm2 cell test code]:[5 cm2 cell test code]],[1]!Table1[[Test code]:[Test code]],[1]!Table1[3-E ƞ at 20mAcm-2 (mV)],"",0)</f>
        <v>#REF!</v>
      </c>
      <c r="Z75" s="69" t="e" cm="1">
        <f t="array" ref="Z75">_xlfn.XLOOKUP(Table1[[#This Row],[5 cm2 cell test code]:[5 cm2 cell test code]],[1]!Table1[[Test code]:[Test code]],[1]!Table1[3-E Tafel slope (mV/dec)],"",0)</f>
        <v>#REF!</v>
      </c>
      <c r="AA75" s="69" t="e" cm="1">
        <f t="array" ref="AA75">_xlfn.XLOOKUP(Table1[[#This Row],[5 cm2 cell test code]:[5 cm2 cell test code]],[1]!Table1[[Test code]:[Test code]],[1]!Table1[E @ 100 mA/cm2 DIW/V],"",0)</f>
        <v>#REF!</v>
      </c>
      <c r="AB75" s="69" t="e" cm="1">
        <f t="array" ref="AB75">_xlfn.XLOOKUP(Table1[[#This Row],[5 cm2 cell test code]:[5 cm2 cell test code]],[1]!Table1[[Test code]:[Test code]],[1]!Table1[E @ 100 mA/cm2 10 mM KOH/V],"",0)</f>
        <v>#REF!</v>
      </c>
      <c r="AC75" s="69" t="e" cm="1">
        <f t="array" ref="AC75">_xlfn.XLOOKUP(Table1[[#This Row],[5 cm2 cell test code]:[5 cm2 cell test code]],[1]!Table1[[Test code]:[Test code]],[1]!Table1[Anode ICR/mOhm],"",0)</f>
        <v>#REF!</v>
      </c>
      <c r="AD75" s="69" t="e" cm="1">
        <f t="array" ref="AD75">_xlfn.XLOOKUP(Table1[[#This Row],[5 cm2 cell test code]:[5 cm2 cell test code]],[1]!Table1[[Test code]:[Test code]],[1]!Table1[HFR DIW/ mOhm cm2],"",0)</f>
        <v>#REF!</v>
      </c>
      <c r="AE75" s="69" t="e" cm="1">
        <f t="array" ref="AE75">_xlfn.XLOOKUP(Table1[[#This Row],[5 cm2 cell test code]:[5 cm2 cell test code]],[1]!Table1[[Test code]:[Test code]],[1]!Table1[HFR 10 mM KOH/ mOhm cm2],"",0)</f>
        <v>#REF!</v>
      </c>
      <c r="AF75" s="69" t="e" cm="1">
        <f t="array" ref="AF75">_xlfn.XLOOKUP(Table1[[#This Row],[5 cm2 cell test code]:[5 cm2 cell test code]],[1]!Table1[[Test code]:[Test code]],[1]!Table1[Ionic resistance DIW/Ohm cm2],"",0)</f>
        <v>#REF!</v>
      </c>
      <c r="AG75" s="69" t="e" cm="1">
        <f t="array" ref="AG75">_xlfn.XLOOKUP(Table1[[#This Row],[5 cm2 cell test code]:[5 cm2 cell test code]],[1]!Table1[[Test code]:[Test code]],[1]!Table1[Q_int_frac DIW],"",0)</f>
        <v>#REF!</v>
      </c>
      <c r="AH75" s="69" t="e" cm="1">
        <f t="array" ref="AH75">_xlfn.XLOOKUP(Table1[[#This Row],[5 cm2 cell test code]:[5 cm2 cell test code]],[1]!Table1[[Test code]:[Test code]],[1]!Table1[Ionic resistance 10 mM KOH/Ohm cm2],"",0)</f>
        <v>#REF!</v>
      </c>
      <c r="AI75" s="69" t="e" cm="1">
        <f t="array" ref="AI75">_xlfn.XLOOKUP(Table1[[#This Row],[5 cm2 cell test code]:[5 cm2 cell test code]],[1]!Table1[[Test code]:[Test code]],[1]!Table1[Q_int_frac DIW 10 mM KOH],"",0)</f>
        <v>#REF!</v>
      </c>
      <c r="AJ75" s="69" t="e" cm="1">
        <f t="array" ref="AJ75">_xlfn.XLOOKUP(Table1[[#This Row],[5 cm2 cell test code]:[5 cm2 cell test code]],[1]!Table1[[Test code]:[Test code]],[1]!Table1[DIW conductivity (µS/cm)],"",0)</f>
        <v>#REF!</v>
      </c>
      <c r="AQ75" s="14" t="str">
        <v>VSG01A-23136C1.03</v>
      </c>
      <c r="AR75" s="95">
        <f>COUNTIFS(Table1[Anode PN (Stack/cell electrodes)],AQ75,Table1[ƞ at 20mAcm-2 (mV)],"&lt;&gt;")</f>
        <v>0</v>
      </c>
      <c r="AS75" s="95">
        <f>COUNTIFS(Table1[Anode PN (Stack/cell electrodes)],AQ75,Table1[i @ 1.8 V DIW (A/cm2)],"&lt;&gt;")</f>
        <v>1</v>
      </c>
      <c r="AT75" s="95">
        <f>COUNTIFS(Table1[Anode PN (Stack/cell electrodes)],AQ75,Table1[i at 1.8 V 10 mM KOH (A/cm2)],"&lt;&gt;")</f>
        <v>1</v>
      </c>
      <c r="AU75" s="95">
        <f>COUNTIFS(Table1[Anode PN (Stack/cell electrodes)],AQ75,Table1[Ionic resistance DIW/Ohm cm2],"&lt;&gt;")</f>
        <v>1</v>
      </c>
      <c r="AV75" s="95">
        <f>COUNTIFS(Table1[Anode PN (Stack/cell electrodes)],AQ75,Table1[Ionic resistance 10 mM KOH/Ohm cm2],"&lt;&gt;")</f>
        <v>1</v>
      </c>
    </row>
    <row r="76" spans="1:48">
      <c r="A76" s="81">
        <v>14</v>
      </c>
      <c r="B76" s="11" t="s">
        <v>192</v>
      </c>
      <c r="C76" s="4" t="s">
        <v>193</v>
      </c>
      <c r="K76" s="43" t="s">
        <v>59</v>
      </c>
      <c r="N76" s="11"/>
      <c r="O76" s="11" t="s">
        <v>194</v>
      </c>
      <c r="P76" s="28">
        <f>(10.8521-10.7232)*1000/(10.85*10.8)</f>
        <v>1.1000170677590015</v>
      </c>
      <c r="U76" s="100"/>
      <c r="V76" s="100"/>
      <c r="W76" s="69" t="e" cm="1">
        <f t="array" ref="W76">_xlfn.XLOOKUP(Table1[[#This Row],[5 cm2 cell test code]:[5 cm2 cell test code]],[1]!Table1[[Test code]:[Test code]],[1]!Table1[i @ 1.8 V DIW (A/cm2)],"",0)</f>
        <v>#REF!</v>
      </c>
      <c r="X76" s="69" t="e" cm="1">
        <f t="array" ref="X76">_xlfn.XLOOKUP(Table1[[#This Row],[5 cm2 cell test code]:[5 cm2 cell test code]],[1]!Table1[[Test code]:[Test code]],[1]!Table1[i @ 1.8 V 10 mM KOH (A/cm2)],"",0)</f>
        <v>#REF!</v>
      </c>
      <c r="Y76" s="69" t="e" cm="1">
        <f t="array" ref="Y76">_xlfn.XLOOKUP(Table1[[#This Row],[5 cm2 cell test code]:[5 cm2 cell test code]],[1]!Table1[[Test code]:[Test code]],[1]!Table1[3-E ƞ at 20mAcm-2 (mV)],"",0)</f>
        <v>#REF!</v>
      </c>
      <c r="Z76" s="69" t="e" cm="1">
        <f t="array" ref="Z76">_xlfn.XLOOKUP(Table1[[#This Row],[5 cm2 cell test code]:[5 cm2 cell test code]],[1]!Table1[[Test code]:[Test code]],[1]!Table1[3-E Tafel slope (mV/dec)],"",0)</f>
        <v>#REF!</v>
      </c>
      <c r="AA76" s="69" t="e" cm="1">
        <f t="array" ref="AA76">_xlfn.XLOOKUP(Table1[[#This Row],[5 cm2 cell test code]:[5 cm2 cell test code]],[1]!Table1[[Test code]:[Test code]],[1]!Table1[E @ 100 mA/cm2 DIW/V],"",0)</f>
        <v>#REF!</v>
      </c>
      <c r="AB76" s="69" t="e" cm="1">
        <f t="array" ref="AB76">_xlfn.XLOOKUP(Table1[[#This Row],[5 cm2 cell test code]:[5 cm2 cell test code]],[1]!Table1[[Test code]:[Test code]],[1]!Table1[E @ 100 mA/cm2 10 mM KOH/V],"",0)</f>
        <v>#REF!</v>
      </c>
      <c r="AC76" s="69" t="e" cm="1">
        <f t="array" ref="AC76">_xlfn.XLOOKUP(Table1[[#This Row],[5 cm2 cell test code]:[5 cm2 cell test code]],[1]!Table1[[Test code]:[Test code]],[1]!Table1[Anode ICR/mOhm],"",0)</f>
        <v>#REF!</v>
      </c>
      <c r="AD76" s="69" t="e" cm="1">
        <f t="array" ref="AD76">_xlfn.XLOOKUP(Table1[[#This Row],[5 cm2 cell test code]:[5 cm2 cell test code]],[1]!Table1[[Test code]:[Test code]],[1]!Table1[HFR DIW/ mOhm cm2],"",0)</f>
        <v>#REF!</v>
      </c>
      <c r="AE76" s="69" t="e" cm="1">
        <f t="array" ref="AE76">_xlfn.XLOOKUP(Table1[[#This Row],[5 cm2 cell test code]:[5 cm2 cell test code]],[1]!Table1[[Test code]:[Test code]],[1]!Table1[HFR 10 mM KOH/ mOhm cm2],"",0)</f>
        <v>#REF!</v>
      </c>
      <c r="AF76" s="69" t="e" cm="1">
        <f t="array" ref="AF76">_xlfn.XLOOKUP(Table1[[#This Row],[5 cm2 cell test code]:[5 cm2 cell test code]],[1]!Table1[[Test code]:[Test code]],[1]!Table1[Ionic resistance DIW/Ohm cm2],"",0)</f>
        <v>#REF!</v>
      </c>
      <c r="AG76" s="69" t="e" cm="1">
        <f t="array" ref="AG76">_xlfn.XLOOKUP(Table1[[#This Row],[5 cm2 cell test code]:[5 cm2 cell test code]],[1]!Table1[[Test code]:[Test code]],[1]!Table1[Q_int_frac DIW],"",0)</f>
        <v>#REF!</v>
      </c>
      <c r="AH76" s="69" t="e" cm="1">
        <f t="array" ref="AH76">_xlfn.XLOOKUP(Table1[[#This Row],[5 cm2 cell test code]:[5 cm2 cell test code]],[1]!Table1[[Test code]:[Test code]],[1]!Table1[Ionic resistance 10 mM KOH/Ohm cm2],"",0)</f>
        <v>#REF!</v>
      </c>
      <c r="AI76" s="69" t="e" cm="1">
        <f t="array" ref="AI76">_xlfn.XLOOKUP(Table1[[#This Row],[5 cm2 cell test code]:[5 cm2 cell test code]],[1]!Table1[[Test code]:[Test code]],[1]!Table1[Q_int_frac DIW 10 mM KOH],"",0)</f>
        <v>#REF!</v>
      </c>
      <c r="AJ76" s="69" t="e" cm="1">
        <f t="array" ref="AJ76">_xlfn.XLOOKUP(Table1[[#This Row],[5 cm2 cell test code]:[5 cm2 cell test code]],[1]!Table1[[Test code]:[Test code]],[1]!Table1[DIW conductivity (µS/cm)],"",0)</f>
        <v>#REF!</v>
      </c>
      <c r="AQ76" s="4" t="str">
        <v>VSG01A-23136C1.04</v>
      </c>
      <c r="AR76" s="95">
        <f>COUNTIFS(Table1[Anode PN (Stack/cell electrodes)],AQ76,Table1[ƞ at 20mAcm-2 (mV)],"&lt;&gt;")</f>
        <v>0</v>
      </c>
      <c r="AS76" s="95">
        <f>COUNTIFS(Table1[Anode PN (Stack/cell electrodes)],AQ76,Table1[i @ 1.8 V DIW (A/cm2)],"&lt;&gt;")</f>
        <v>1</v>
      </c>
      <c r="AT76" s="95">
        <f>COUNTIFS(Table1[Anode PN (Stack/cell electrodes)],AQ76,Table1[i at 1.8 V 10 mM KOH (A/cm2)],"&lt;&gt;")</f>
        <v>1</v>
      </c>
      <c r="AU76" s="95">
        <f>COUNTIFS(Table1[Anode PN (Stack/cell electrodes)],AQ76,Table1[Ionic resistance DIW/Ohm cm2],"&lt;&gt;")</f>
        <v>1</v>
      </c>
      <c r="AV76" s="95">
        <f>COUNTIFS(Table1[Anode PN (Stack/cell electrodes)],AQ76,Table1[Ionic resistance 10 mM KOH/Ohm cm2],"&lt;&gt;")</f>
        <v>1</v>
      </c>
    </row>
    <row r="77" spans="1:48">
      <c r="A77" s="81">
        <v>14</v>
      </c>
      <c r="B77" s="11" t="s">
        <v>195</v>
      </c>
      <c r="C77" s="4" t="s">
        <v>196</v>
      </c>
      <c r="K77" s="43" t="s">
        <v>59</v>
      </c>
      <c r="N77" s="11"/>
      <c r="O77" s="11" t="s">
        <v>197</v>
      </c>
      <c r="P77" s="28">
        <f>(11.5501-11.4268)*1000/(10.75*10.8)</f>
        <v>1.0620155038759724</v>
      </c>
      <c r="U77" s="100"/>
      <c r="V77" s="100"/>
      <c r="W77" s="69" t="e" cm="1">
        <f t="array" ref="W77">_xlfn.XLOOKUP(Table1[[#This Row],[5 cm2 cell test code]:[5 cm2 cell test code]],[1]!Table1[[Test code]:[Test code]],[1]!Table1[i @ 1.8 V DIW (A/cm2)],"",0)</f>
        <v>#REF!</v>
      </c>
      <c r="X77" s="69" t="e" cm="1">
        <f t="array" ref="X77">_xlfn.XLOOKUP(Table1[[#This Row],[5 cm2 cell test code]:[5 cm2 cell test code]],[1]!Table1[[Test code]:[Test code]],[1]!Table1[i @ 1.8 V 10 mM KOH (A/cm2)],"",0)</f>
        <v>#REF!</v>
      </c>
      <c r="Y77" s="69" t="e" cm="1">
        <f t="array" ref="Y77">_xlfn.XLOOKUP(Table1[[#This Row],[5 cm2 cell test code]:[5 cm2 cell test code]],[1]!Table1[[Test code]:[Test code]],[1]!Table1[3-E ƞ at 20mAcm-2 (mV)],"",0)</f>
        <v>#REF!</v>
      </c>
      <c r="Z77" s="69" t="e" cm="1">
        <f t="array" ref="Z77">_xlfn.XLOOKUP(Table1[[#This Row],[5 cm2 cell test code]:[5 cm2 cell test code]],[1]!Table1[[Test code]:[Test code]],[1]!Table1[3-E Tafel slope (mV/dec)],"",0)</f>
        <v>#REF!</v>
      </c>
      <c r="AA77" s="69" t="e" cm="1">
        <f t="array" ref="AA77">_xlfn.XLOOKUP(Table1[[#This Row],[5 cm2 cell test code]:[5 cm2 cell test code]],[1]!Table1[[Test code]:[Test code]],[1]!Table1[E @ 100 mA/cm2 DIW/V],"",0)</f>
        <v>#REF!</v>
      </c>
      <c r="AB77" s="69" t="e" cm="1">
        <f t="array" ref="AB77">_xlfn.XLOOKUP(Table1[[#This Row],[5 cm2 cell test code]:[5 cm2 cell test code]],[1]!Table1[[Test code]:[Test code]],[1]!Table1[E @ 100 mA/cm2 10 mM KOH/V],"",0)</f>
        <v>#REF!</v>
      </c>
      <c r="AC77" s="69" t="e" cm="1">
        <f t="array" ref="AC77">_xlfn.XLOOKUP(Table1[[#This Row],[5 cm2 cell test code]:[5 cm2 cell test code]],[1]!Table1[[Test code]:[Test code]],[1]!Table1[Anode ICR/mOhm],"",0)</f>
        <v>#REF!</v>
      </c>
      <c r="AD77" s="69" t="e" cm="1">
        <f t="array" ref="AD77">_xlfn.XLOOKUP(Table1[[#This Row],[5 cm2 cell test code]:[5 cm2 cell test code]],[1]!Table1[[Test code]:[Test code]],[1]!Table1[HFR DIW/ mOhm cm2],"",0)</f>
        <v>#REF!</v>
      </c>
      <c r="AE77" s="69" t="e" cm="1">
        <f t="array" ref="AE77">_xlfn.XLOOKUP(Table1[[#This Row],[5 cm2 cell test code]:[5 cm2 cell test code]],[1]!Table1[[Test code]:[Test code]],[1]!Table1[HFR 10 mM KOH/ mOhm cm2],"",0)</f>
        <v>#REF!</v>
      </c>
      <c r="AF77" s="69" t="e" cm="1">
        <f t="array" ref="AF77">_xlfn.XLOOKUP(Table1[[#This Row],[5 cm2 cell test code]:[5 cm2 cell test code]],[1]!Table1[[Test code]:[Test code]],[1]!Table1[Ionic resistance DIW/Ohm cm2],"",0)</f>
        <v>#REF!</v>
      </c>
      <c r="AG77" s="69" t="e" cm="1">
        <f t="array" ref="AG77">_xlfn.XLOOKUP(Table1[[#This Row],[5 cm2 cell test code]:[5 cm2 cell test code]],[1]!Table1[[Test code]:[Test code]],[1]!Table1[Q_int_frac DIW],"",0)</f>
        <v>#REF!</v>
      </c>
      <c r="AH77" s="69" t="e" cm="1">
        <f t="array" ref="AH77">_xlfn.XLOOKUP(Table1[[#This Row],[5 cm2 cell test code]:[5 cm2 cell test code]],[1]!Table1[[Test code]:[Test code]],[1]!Table1[Ionic resistance 10 mM KOH/Ohm cm2],"",0)</f>
        <v>#REF!</v>
      </c>
      <c r="AI77" s="69" t="e" cm="1">
        <f t="array" ref="AI77">_xlfn.XLOOKUP(Table1[[#This Row],[5 cm2 cell test code]:[5 cm2 cell test code]],[1]!Table1[[Test code]:[Test code]],[1]!Table1[Q_int_frac DIW 10 mM KOH],"",0)</f>
        <v>#REF!</v>
      </c>
      <c r="AJ77" s="69" t="e" cm="1">
        <f t="array" ref="AJ77">_xlfn.XLOOKUP(Table1[[#This Row],[5 cm2 cell test code]:[5 cm2 cell test code]],[1]!Table1[[Test code]:[Test code]],[1]!Table1[DIW conductivity (µS/cm)],"",0)</f>
        <v>#REF!</v>
      </c>
      <c r="AQ77" s="4" t="str">
        <v>VSG01A-23136C1.05</v>
      </c>
      <c r="AR77" s="95">
        <f>COUNTIFS(Table1[Anode PN (Stack/cell electrodes)],AQ77,Table1[ƞ at 20mAcm-2 (mV)],"&lt;&gt;")</f>
        <v>1</v>
      </c>
      <c r="AS77" s="95">
        <f>COUNTIFS(Table1[Anode PN (Stack/cell electrodes)],AQ77,Table1[i @ 1.8 V DIW (A/cm2)],"&lt;&gt;")</f>
        <v>1</v>
      </c>
      <c r="AT77" s="95">
        <f>COUNTIFS(Table1[Anode PN (Stack/cell electrodes)],AQ77,Table1[i at 1.8 V 10 mM KOH (A/cm2)],"&lt;&gt;")</f>
        <v>1</v>
      </c>
      <c r="AU77" s="95">
        <f>COUNTIFS(Table1[Anode PN (Stack/cell electrodes)],AQ77,Table1[Ionic resistance DIW/Ohm cm2],"&lt;&gt;")</f>
        <v>1</v>
      </c>
      <c r="AV77" s="95">
        <f>COUNTIFS(Table1[Anode PN (Stack/cell electrodes)],AQ77,Table1[Ionic resistance 10 mM KOH/Ohm cm2],"&lt;&gt;")</f>
        <v>1</v>
      </c>
    </row>
    <row r="78" spans="1:48">
      <c r="A78" s="81"/>
      <c r="K78" s="43" t="s">
        <v>59</v>
      </c>
      <c r="N78" s="11"/>
      <c r="R78" s="18"/>
      <c r="U78" s="100"/>
      <c r="V78" s="100"/>
      <c r="W78" s="69" t="e" cm="1">
        <f t="array" ref="W78">_xlfn.XLOOKUP(Table1[[#This Row],[5 cm2 cell test code]:[5 cm2 cell test code]],[1]!Table1[[Test code]:[Test code]],[1]!Table1[i @ 1.8 V DIW (A/cm2)],"",0)</f>
        <v>#REF!</v>
      </c>
      <c r="X78" s="69" t="e" cm="1">
        <f t="array" ref="X78">_xlfn.XLOOKUP(Table1[[#This Row],[5 cm2 cell test code]:[5 cm2 cell test code]],[1]!Table1[[Test code]:[Test code]],[1]!Table1[i @ 1.8 V 10 mM KOH (A/cm2)],"",0)</f>
        <v>#REF!</v>
      </c>
      <c r="Y78" s="69" t="e" cm="1">
        <f t="array" ref="Y78">_xlfn.XLOOKUP(Table1[[#This Row],[5 cm2 cell test code]:[5 cm2 cell test code]],[1]!Table1[[Test code]:[Test code]],[1]!Table1[3-E ƞ at 20mAcm-2 (mV)],"",0)</f>
        <v>#REF!</v>
      </c>
      <c r="Z78" s="69" t="e" cm="1">
        <f t="array" ref="Z78">_xlfn.XLOOKUP(Table1[[#This Row],[5 cm2 cell test code]:[5 cm2 cell test code]],[1]!Table1[[Test code]:[Test code]],[1]!Table1[3-E Tafel slope (mV/dec)],"",0)</f>
        <v>#REF!</v>
      </c>
      <c r="AA78" s="69" t="e" cm="1">
        <f t="array" ref="AA78">_xlfn.XLOOKUP(Table1[[#This Row],[5 cm2 cell test code]:[5 cm2 cell test code]],[1]!Table1[[Test code]:[Test code]],[1]!Table1[E @ 100 mA/cm2 DIW/V],"",0)</f>
        <v>#REF!</v>
      </c>
      <c r="AB78" s="69" t="e" cm="1">
        <f t="array" ref="AB78">_xlfn.XLOOKUP(Table1[[#This Row],[5 cm2 cell test code]:[5 cm2 cell test code]],[1]!Table1[[Test code]:[Test code]],[1]!Table1[E @ 100 mA/cm2 10 mM KOH/V],"",0)</f>
        <v>#REF!</v>
      </c>
      <c r="AC78" s="69" t="e" cm="1">
        <f t="array" ref="AC78">_xlfn.XLOOKUP(Table1[[#This Row],[5 cm2 cell test code]:[5 cm2 cell test code]],[1]!Table1[[Test code]:[Test code]],[1]!Table1[Anode ICR/mOhm],"",0)</f>
        <v>#REF!</v>
      </c>
      <c r="AD78" s="69" t="e" cm="1">
        <f t="array" ref="AD78">_xlfn.XLOOKUP(Table1[[#This Row],[5 cm2 cell test code]:[5 cm2 cell test code]],[1]!Table1[[Test code]:[Test code]],[1]!Table1[HFR DIW/ mOhm cm2],"",0)</f>
        <v>#REF!</v>
      </c>
      <c r="AE78" s="69" t="e" cm="1">
        <f t="array" ref="AE78">_xlfn.XLOOKUP(Table1[[#This Row],[5 cm2 cell test code]:[5 cm2 cell test code]],[1]!Table1[[Test code]:[Test code]],[1]!Table1[HFR 10 mM KOH/ mOhm cm2],"",0)</f>
        <v>#REF!</v>
      </c>
      <c r="AF78" s="69" t="e" cm="1">
        <f t="array" ref="AF78">_xlfn.XLOOKUP(Table1[[#This Row],[5 cm2 cell test code]:[5 cm2 cell test code]],[1]!Table1[[Test code]:[Test code]],[1]!Table1[Ionic resistance DIW/Ohm cm2],"",0)</f>
        <v>#REF!</v>
      </c>
      <c r="AG78" s="69" t="e" cm="1">
        <f t="array" ref="AG78">_xlfn.XLOOKUP(Table1[[#This Row],[5 cm2 cell test code]:[5 cm2 cell test code]],[1]!Table1[[Test code]:[Test code]],[1]!Table1[Q_int_frac DIW],"",0)</f>
        <v>#REF!</v>
      </c>
      <c r="AH78" s="69" t="e" cm="1">
        <f t="array" ref="AH78">_xlfn.XLOOKUP(Table1[[#This Row],[5 cm2 cell test code]:[5 cm2 cell test code]],[1]!Table1[[Test code]:[Test code]],[1]!Table1[Ionic resistance 10 mM KOH/Ohm cm2],"",0)</f>
        <v>#REF!</v>
      </c>
      <c r="AI78" s="69" t="e" cm="1">
        <f t="array" ref="AI78">_xlfn.XLOOKUP(Table1[[#This Row],[5 cm2 cell test code]:[5 cm2 cell test code]],[1]!Table1[[Test code]:[Test code]],[1]!Table1[Q_int_frac DIW 10 mM KOH],"",0)</f>
        <v>#REF!</v>
      </c>
      <c r="AJ78" s="69" t="e" cm="1">
        <f t="array" ref="AJ78">_xlfn.XLOOKUP(Table1[[#This Row],[5 cm2 cell test code]:[5 cm2 cell test code]],[1]!Table1[[Test code]:[Test code]],[1]!Table1[DIW conductivity (µS/cm)],"",0)</f>
        <v>#REF!</v>
      </c>
      <c r="AQ78" s="4" t="str">
        <v>VSG01A-23136C1.06</v>
      </c>
      <c r="AR78" s="95">
        <f>COUNTIFS(Table1[Anode PN (Stack/cell electrodes)],AQ78,Table1[ƞ at 20mAcm-2 (mV)],"&lt;&gt;")</f>
        <v>0</v>
      </c>
      <c r="AS78" s="95">
        <f>COUNTIFS(Table1[Anode PN (Stack/cell electrodes)],AQ78,Table1[i @ 1.8 V DIW (A/cm2)],"&lt;&gt;")</f>
        <v>1</v>
      </c>
      <c r="AT78" s="95">
        <f>COUNTIFS(Table1[Anode PN (Stack/cell electrodes)],AQ78,Table1[i at 1.8 V 10 mM KOH (A/cm2)],"&lt;&gt;")</f>
        <v>1</v>
      </c>
      <c r="AU78" s="95">
        <f>COUNTIFS(Table1[Anode PN (Stack/cell electrodes)],AQ78,Table1[Ionic resistance DIW/Ohm cm2],"&lt;&gt;")</f>
        <v>1</v>
      </c>
      <c r="AV78" s="95">
        <f>COUNTIFS(Table1[Anode PN (Stack/cell electrodes)],AQ78,Table1[Ionic resistance 10 mM KOH/Ohm cm2],"&lt;&gt;")</f>
        <v>1</v>
      </c>
    </row>
    <row r="79" spans="1:48">
      <c r="A79" s="81"/>
      <c r="K79" s="43" t="s">
        <v>59</v>
      </c>
      <c r="N79" s="11"/>
      <c r="R79" s="18"/>
      <c r="U79" s="100"/>
      <c r="V79" s="100"/>
      <c r="W79" s="69" t="e" cm="1">
        <f t="array" ref="W79">_xlfn.XLOOKUP(Table1[[#This Row],[5 cm2 cell test code]:[5 cm2 cell test code]],[1]!Table1[[Test code]:[Test code]],[1]!Table1[i @ 1.8 V DIW (A/cm2)],"",0)</f>
        <v>#REF!</v>
      </c>
      <c r="X79" s="69" t="e" cm="1">
        <f t="array" ref="X79">_xlfn.XLOOKUP(Table1[[#This Row],[5 cm2 cell test code]:[5 cm2 cell test code]],[1]!Table1[[Test code]:[Test code]],[1]!Table1[i @ 1.8 V 10 mM KOH (A/cm2)],"",0)</f>
        <v>#REF!</v>
      </c>
      <c r="Y79" s="69" t="e" cm="1">
        <f t="array" ref="Y79">_xlfn.XLOOKUP(Table1[[#This Row],[5 cm2 cell test code]:[5 cm2 cell test code]],[1]!Table1[[Test code]:[Test code]],[1]!Table1[3-E ƞ at 20mAcm-2 (mV)],"",0)</f>
        <v>#REF!</v>
      </c>
      <c r="Z79" s="69" t="e" cm="1">
        <f t="array" ref="Z79">_xlfn.XLOOKUP(Table1[[#This Row],[5 cm2 cell test code]:[5 cm2 cell test code]],[1]!Table1[[Test code]:[Test code]],[1]!Table1[3-E Tafel slope (mV/dec)],"",0)</f>
        <v>#REF!</v>
      </c>
      <c r="AA79" s="69" t="e" cm="1">
        <f t="array" ref="AA79">_xlfn.XLOOKUP(Table1[[#This Row],[5 cm2 cell test code]:[5 cm2 cell test code]],[1]!Table1[[Test code]:[Test code]],[1]!Table1[E @ 100 mA/cm2 DIW/V],"",0)</f>
        <v>#REF!</v>
      </c>
      <c r="AB79" s="69" t="e" cm="1">
        <f t="array" ref="AB79">_xlfn.XLOOKUP(Table1[[#This Row],[5 cm2 cell test code]:[5 cm2 cell test code]],[1]!Table1[[Test code]:[Test code]],[1]!Table1[E @ 100 mA/cm2 10 mM KOH/V],"",0)</f>
        <v>#REF!</v>
      </c>
      <c r="AC79" s="69" t="e" cm="1">
        <f t="array" ref="AC79">_xlfn.XLOOKUP(Table1[[#This Row],[5 cm2 cell test code]:[5 cm2 cell test code]],[1]!Table1[[Test code]:[Test code]],[1]!Table1[Anode ICR/mOhm],"",0)</f>
        <v>#REF!</v>
      </c>
      <c r="AD79" s="69" t="e" cm="1">
        <f t="array" ref="AD79">_xlfn.XLOOKUP(Table1[[#This Row],[5 cm2 cell test code]:[5 cm2 cell test code]],[1]!Table1[[Test code]:[Test code]],[1]!Table1[HFR DIW/ mOhm cm2],"",0)</f>
        <v>#REF!</v>
      </c>
      <c r="AE79" s="69" t="e" cm="1">
        <f t="array" ref="AE79">_xlfn.XLOOKUP(Table1[[#This Row],[5 cm2 cell test code]:[5 cm2 cell test code]],[1]!Table1[[Test code]:[Test code]],[1]!Table1[HFR 10 mM KOH/ mOhm cm2],"",0)</f>
        <v>#REF!</v>
      </c>
      <c r="AF79" s="69" t="e" cm="1">
        <f t="array" ref="AF79">_xlfn.XLOOKUP(Table1[[#This Row],[5 cm2 cell test code]:[5 cm2 cell test code]],[1]!Table1[[Test code]:[Test code]],[1]!Table1[Ionic resistance DIW/Ohm cm2],"",0)</f>
        <v>#REF!</v>
      </c>
      <c r="AG79" s="69" t="e" cm="1">
        <f t="array" ref="AG79">_xlfn.XLOOKUP(Table1[[#This Row],[5 cm2 cell test code]:[5 cm2 cell test code]],[1]!Table1[[Test code]:[Test code]],[1]!Table1[Q_int_frac DIW],"",0)</f>
        <v>#REF!</v>
      </c>
      <c r="AH79" s="69" t="e" cm="1">
        <f t="array" ref="AH79">_xlfn.XLOOKUP(Table1[[#This Row],[5 cm2 cell test code]:[5 cm2 cell test code]],[1]!Table1[[Test code]:[Test code]],[1]!Table1[Ionic resistance 10 mM KOH/Ohm cm2],"",0)</f>
        <v>#REF!</v>
      </c>
      <c r="AI79" s="69" t="e" cm="1">
        <f t="array" ref="AI79">_xlfn.XLOOKUP(Table1[[#This Row],[5 cm2 cell test code]:[5 cm2 cell test code]],[1]!Table1[[Test code]:[Test code]],[1]!Table1[Q_int_frac DIW 10 mM KOH],"",0)</f>
        <v>#REF!</v>
      </c>
      <c r="AJ79" s="69" t="e" cm="1">
        <f t="array" ref="AJ79">_xlfn.XLOOKUP(Table1[[#This Row],[5 cm2 cell test code]:[5 cm2 cell test code]],[1]!Table1[[Test code]:[Test code]],[1]!Table1[DIW conductivity (µS/cm)],"",0)</f>
        <v>#REF!</v>
      </c>
      <c r="AQ79" s="4" t="str">
        <v>VSG01A-23142C1.01</v>
      </c>
      <c r="AR79" s="95">
        <f>COUNTIFS(Table1[Anode PN (Stack/cell electrodes)],AQ79,Table1[ƞ at 20mAcm-2 (mV)],"&lt;&gt;")</f>
        <v>0</v>
      </c>
      <c r="AS79" s="95">
        <f>COUNTIFS(Table1[Anode PN (Stack/cell electrodes)],AQ79,Table1[i @ 1.8 V DIW (A/cm2)],"&lt;&gt;")</f>
        <v>1</v>
      </c>
      <c r="AT79" s="95">
        <f>COUNTIFS(Table1[Anode PN (Stack/cell electrodes)],AQ79,Table1[i at 1.8 V 10 mM KOH (A/cm2)],"&lt;&gt;")</f>
        <v>1</v>
      </c>
      <c r="AU79" s="95">
        <f>COUNTIFS(Table1[Anode PN (Stack/cell electrodes)],AQ79,Table1[Ionic resistance DIW/Ohm cm2],"&lt;&gt;")</f>
        <v>1</v>
      </c>
      <c r="AV79" s="95">
        <f>COUNTIFS(Table1[Anode PN (Stack/cell electrodes)],AQ79,Table1[Ionic resistance 10 mM KOH/Ohm cm2],"&lt;&gt;")</f>
        <v>1</v>
      </c>
    </row>
    <row r="80" spans="1:48">
      <c r="A80" s="81"/>
      <c r="B80" s="11" t="s">
        <v>198</v>
      </c>
      <c r="C80" s="4" t="s">
        <v>199</v>
      </c>
      <c r="I80" s="11" t="s">
        <v>114</v>
      </c>
      <c r="J80" s="11" t="s">
        <v>134</v>
      </c>
      <c r="K80" s="43" t="s">
        <v>59</v>
      </c>
      <c r="M80" s="13">
        <f>(66.03-65.95)*1000/(21.5*32.6)</f>
        <v>0.11413896418889756</v>
      </c>
      <c r="N80" s="11"/>
      <c r="U80" s="100"/>
      <c r="V80" s="100"/>
      <c r="W80" s="69" t="e" cm="1">
        <f t="array" ref="W80">_xlfn.XLOOKUP(Table1[[#This Row],[5 cm2 cell test code]:[5 cm2 cell test code]],[1]!Table1[[Test code]:[Test code]],[1]!Table1[i @ 1.8 V DIW (A/cm2)],"",0)</f>
        <v>#REF!</v>
      </c>
      <c r="X80" s="69" t="e" cm="1">
        <f t="array" ref="X80">_xlfn.XLOOKUP(Table1[[#This Row],[5 cm2 cell test code]:[5 cm2 cell test code]],[1]!Table1[[Test code]:[Test code]],[1]!Table1[i @ 1.8 V 10 mM KOH (A/cm2)],"",0)</f>
        <v>#REF!</v>
      </c>
      <c r="Y80" s="69" t="e" cm="1">
        <f t="array" ref="Y80">_xlfn.XLOOKUP(Table1[[#This Row],[5 cm2 cell test code]:[5 cm2 cell test code]],[1]!Table1[[Test code]:[Test code]],[1]!Table1[3-E ƞ at 20mAcm-2 (mV)],"",0)</f>
        <v>#REF!</v>
      </c>
      <c r="Z80" s="69" t="e" cm="1">
        <f t="array" ref="Z80">_xlfn.XLOOKUP(Table1[[#This Row],[5 cm2 cell test code]:[5 cm2 cell test code]],[1]!Table1[[Test code]:[Test code]],[1]!Table1[3-E Tafel slope (mV/dec)],"",0)</f>
        <v>#REF!</v>
      </c>
      <c r="AA80" s="69" t="e" cm="1">
        <f t="array" ref="AA80">_xlfn.XLOOKUP(Table1[[#This Row],[5 cm2 cell test code]:[5 cm2 cell test code]],[1]!Table1[[Test code]:[Test code]],[1]!Table1[E @ 100 mA/cm2 DIW/V],"",0)</f>
        <v>#REF!</v>
      </c>
      <c r="AB80" s="69" t="e" cm="1">
        <f t="array" ref="AB80">_xlfn.XLOOKUP(Table1[[#This Row],[5 cm2 cell test code]:[5 cm2 cell test code]],[1]!Table1[[Test code]:[Test code]],[1]!Table1[E @ 100 mA/cm2 10 mM KOH/V],"",0)</f>
        <v>#REF!</v>
      </c>
      <c r="AC80" s="69" t="e" cm="1">
        <f t="array" ref="AC80">_xlfn.XLOOKUP(Table1[[#This Row],[5 cm2 cell test code]:[5 cm2 cell test code]],[1]!Table1[[Test code]:[Test code]],[1]!Table1[Anode ICR/mOhm],"",0)</f>
        <v>#REF!</v>
      </c>
      <c r="AD80" s="69" t="e" cm="1">
        <f t="array" ref="AD80">_xlfn.XLOOKUP(Table1[[#This Row],[5 cm2 cell test code]:[5 cm2 cell test code]],[1]!Table1[[Test code]:[Test code]],[1]!Table1[HFR DIW/ mOhm cm2],"",0)</f>
        <v>#REF!</v>
      </c>
      <c r="AE80" s="69" t="e" cm="1">
        <f t="array" ref="AE80">_xlfn.XLOOKUP(Table1[[#This Row],[5 cm2 cell test code]:[5 cm2 cell test code]],[1]!Table1[[Test code]:[Test code]],[1]!Table1[HFR 10 mM KOH/ mOhm cm2],"",0)</f>
        <v>#REF!</v>
      </c>
      <c r="AF80" s="69" t="e" cm="1">
        <f t="array" ref="AF80">_xlfn.XLOOKUP(Table1[[#This Row],[5 cm2 cell test code]:[5 cm2 cell test code]],[1]!Table1[[Test code]:[Test code]],[1]!Table1[Ionic resistance DIW/Ohm cm2],"",0)</f>
        <v>#REF!</v>
      </c>
      <c r="AG80" s="69" t="e" cm="1">
        <f t="array" ref="AG80">_xlfn.XLOOKUP(Table1[[#This Row],[5 cm2 cell test code]:[5 cm2 cell test code]],[1]!Table1[[Test code]:[Test code]],[1]!Table1[Q_int_frac DIW],"",0)</f>
        <v>#REF!</v>
      </c>
      <c r="AH80" s="69" t="e" cm="1">
        <f t="array" ref="AH80">_xlfn.XLOOKUP(Table1[[#This Row],[5 cm2 cell test code]:[5 cm2 cell test code]],[1]!Table1[[Test code]:[Test code]],[1]!Table1[Ionic resistance 10 mM KOH/Ohm cm2],"",0)</f>
        <v>#REF!</v>
      </c>
      <c r="AI80" s="69" t="e" cm="1">
        <f t="array" ref="AI80">_xlfn.XLOOKUP(Table1[[#This Row],[5 cm2 cell test code]:[5 cm2 cell test code]],[1]!Table1[[Test code]:[Test code]],[1]!Table1[Q_int_frac DIW 10 mM KOH],"",0)</f>
        <v>#REF!</v>
      </c>
      <c r="AJ80" s="69" t="e" cm="1">
        <f t="array" ref="AJ80">_xlfn.XLOOKUP(Table1[[#This Row],[5 cm2 cell test code]:[5 cm2 cell test code]],[1]!Table1[[Test code]:[Test code]],[1]!Table1[DIW conductivity (µS/cm)],"",0)</f>
        <v>#REF!</v>
      </c>
      <c r="AQ80" s="4" t="str">
        <v>VSG01A-23142C1.02</v>
      </c>
      <c r="AR80" s="95">
        <f>COUNTIFS(Table1[Anode PN (Stack/cell electrodes)],AQ80,Table1[ƞ at 20mAcm-2 (mV)],"&lt;&gt;")</f>
        <v>0</v>
      </c>
      <c r="AS80" s="95">
        <f>COUNTIFS(Table1[Anode PN (Stack/cell electrodes)],AQ80,Table1[i @ 1.8 V DIW (A/cm2)],"&lt;&gt;")</f>
        <v>1</v>
      </c>
      <c r="AT80" s="95">
        <f>COUNTIFS(Table1[Anode PN (Stack/cell electrodes)],AQ80,Table1[i at 1.8 V 10 mM KOH (A/cm2)],"&lt;&gt;")</f>
        <v>1</v>
      </c>
      <c r="AU80" s="95">
        <f>COUNTIFS(Table1[Anode PN (Stack/cell electrodes)],AQ80,Table1[Ionic resistance DIW/Ohm cm2],"&lt;&gt;")</f>
        <v>1</v>
      </c>
      <c r="AV80" s="95">
        <f>COUNTIFS(Table1[Anode PN (Stack/cell electrodes)],AQ80,Table1[Ionic resistance 10 mM KOH/Ohm cm2],"&lt;&gt;")</f>
        <v>1</v>
      </c>
    </row>
    <row r="81" spans="1:48">
      <c r="A81" s="81"/>
      <c r="B81" s="11" t="s">
        <v>200</v>
      </c>
      <c r="C81" s="4" t="s">
        <v>201</v>
      </c>
      <c r="K81" s="43" t="s">
        <v>59</v>
      </c>
      <c r="N81" s="11"/>
      <c r="O81" s="11" t="s">
        <v>202</v>
      </c>
      <c r="P81" s="28">
        <f>(11.4889-11.353)*1000/(10.8^2)</f>
        <v>1.1651234567901187</v>
      </c>
      <c r="R81" s="103">
        <v>1.343</v>
      </c>
      <c r="S81" s="103">
        <v>202</v>
      </c>
      <c r="T81" s="104">
        <v>37.9</v>
      </c>
      <c r="U81" s="100">
        <v>20230831</v>
      </c>
      <c r="V81" t="s">
        <v>203</v>
      </c>
      <c r="W81" s="69" t="e" cm="1">
        <f t="array" ref="W81">_xlfn.XLOOKUP(Table1[[#This Row],[5 cm2 cell test code]:[5 cm2 cell test code]],[1]!Table1[[Test code]:[Test code]],[1]!Table1[i @ 1.8 V DIW (A/cm2)],"",0)</f>
        <v>#REF!</v>
      </c>
      <c r="X81" s="69" t="e" cm="1">
        <f t="array" ref="X81">_xlfn.XLOOKUP(Table1[[#This Row],[5 cm2 cell test code]:[5 cm2 cell test code]],[1]!Table1[[Test code]:[Test code]],[1]!Table1[i @ 1.8 V 10 mM KOH (A/cm2)],"",0)</f>
        <v>#REF!</v>
      </c>
      <c r="Y81" s="69" t="e" cm="1">
        <f t="array" ref="Y81">_xlfn.XLOOKUP(Table1[[#This Row],[5 cm2 cell test code]:[5 cm2 cell test code]],[1]!Table1[[Test code]:[Test code]],[1]!Table1[3-E ƞ at 20mAcm-2 (mV)],"",0)</f>
        <v>#REF!</v>
      </c>
      <c r="Z81" s="69" t="e" cm="1">
        <f t="array" ref="Z81">_xlfn.XLOOKUP(Table1[[#This Row],[5 cm2 cell test code]:[5 cm2 cell test code]],[1]!Table1[[Test code]:[Test code]],[1]!Table1[3-E Tafel slope (mV/dec)],"",0)</f>
        <v>#REF!</v>
      </c>
      <c r="AA81" s="69" t="e" cm="1">
        <f t="array" ref="AA81">_xlfn.XLOOKUP(Table1[[#This Row],[5 cm2 cell test code]:[5 cm2 cell test code]],[1]!Table1[[Test code]:[Test code]],[1]!Table1[E @ 100 mA/cm2 DIW/V],"",0)</f>
        <v>#REF!</v>
      </c>
      <c r="AB81" s="69" t="e" cm="1">
        <f t="array" ref="AB81">_xlfn.XLOOKUP(Table1[[#This Row],[5 cm2 cell test code]:[5 cm2 cell test code]],[1]!Table1[[Test code]:[Test code]],[1]!Table1[E @ 100 mA/cm2 10 mM KOH/V],"",0)</f>
        <v>#REF!</v>
      </c>
      <c r="AC81" s="69" t="e" cm="1">
        <f t="array" ref="AC81">_xlfn.XLOOKUP(Table1[[#This Row],[5 cm2 cell test code]:[5 cm2 cell test code]],[1]!Table1[[Test code]:[Test code]],[1]!Table1[Anode ICR/mOhm],"",0)</f>
        <v>#REF!</v>
      </c>
      <c r="AD81" s="69" t="e" cm="1">
        <f t="array" ref="AD81">_xlfn.XLOOKUP(Table1[[#This Row],[5 cm2 cell test code]:[5 cm2 cell test code]],[1]!Table1[[Test code]:[Test code]],[1]!Table1[HFR DIW/ mOhm cm2],"",0)</f>
        <v>#REF!</v>
      </c>
      <c r="AE81" s="69" t="e" cm="1">
        <f t="array" ref="AE81">_xlfn.XLOOKUP(Table1[[#This Row],[5 cm2 cell test code]:[5 cm2 cell test code]],[1]!Table1[[Test code]:[Test code]],[1]!Table1[HFR 10 mM KOH/ mOhm cm2],"",0)</f>
        <v>#REF!</v>
      </c>
      <c r="AF81" s="69" t="e" cm="1">
        <f t="array" ref="AF81">_xlfn.XLOOKUP(Table1[[#This Row],[5 cm2 cell test code]:[5 cm2 cell test code]],[1]!Table1[[Test code]:[Test code]],[1]!Table1[Ionic resistance DIW/Ohm cm2],"",0)</f>
        <v>#REF!</v>
      </c>
      <c r="AG81" s="69" t="e" cm="1">
        <f t="array" ref="AG81">_xlfn.XLOOKUP(Table1[[#This Row],[5 cm2 cell test code]:[5 cm2 cell test code]],[1]!Table1[[Test code]:[Test code]],[1]!Table1[Q_int_frac DIW],"",0)</f>
        <v>#REF!</v>
      </c>
      <c r="AH81" s="69" t="e" cm="1">
        <f t="array" ref="AH81">_xlfn.XLOOKUP(Table1[[#This Row],[5 cm2 cell test code]:[5 cm2 cell test code]],[1]!Table1[[Test code]:[Test code]],[1]!Table1[Ionic resistance 10 mM KOH/Ohm cm2],"",0)</f>
        <v>#REF!</v>
      </c>
      <c r="AI81" s="69" t="e" cm="1">
        <f t="array" ref="AI81">_xlfn.XLOOKUP(Table1[[#This Row],[5 cm2 cell test code]:[5 cm2 cell test code]],[1]!Table1[[Test code]:[Test code]],[1]!Table1[Q_int_frac DIW 10 mM KOH],"",0)</f>
        <v>#REF!</v>
      </c>
      <c r="AJ81" s="69" t="e" cm="1">
        <f t="array" ref="AJ81">_xlfn.XLOOKUP(Table1[[#This Row],[5 cm2 cell test code]:[5 cm2 cell test code]],[1]!Table1[[Test code]:[Test code]],[1]!Table1[DIW conductivity (µS/cm)],"",0)</f>
        <v>#REF!</v>
      </c>
      <c r="AQ81" s="4" t="str">
        <v>VSG01A-23142C1.03</v>
      </c>
      <c r="AR81" s="95">
        <f>COUNTIFS(Table1[Anode PN (Stack/cell electrodes)],AQ81,Table1[ƞ at 20mAcm-2 (mV)],"&lt;&gt;")</f>
        <v>0</v>
      </c>
      <c r="AS81" s="95">
        <f>COUNTIFS(Table1[Anode PN (Stack/cell electrodes)],AQ81,Table1[i @ 1.8 V DIW (A/cm2)],"&lt;&gt;")</f>
        <v>1</v>
      </c>
      <c r="AT81" s="95">
        <f>COUNTIFS(Table1[Anode PN (Stack/cell electrodes)],AQ81,Table1[i at 1.8 V 10 mM KOH (A/cm2)],"&lt;&gt;")</f>
        <v>1</v>
      </c>
      <c r="AU81" s="95">
        <f>COUNTIFS(Table1[Anode PN (Stack/cell electrodes)],AQ81,Table1[Ionic resistance DIW/Ohm cm2],"&lt;&gt;")</f>
        <v>1</v>
      </c>
      <c r="AV81" s="95">
        <f>COUNTIFS(Table1[Anode PN (Stack/cell electrodes)],AQ81,Table1[Ionic resistance 10 mM KOH/Ohm cm2],"&lt;&gt;")</f>
        <v>1</v>
      </c>
    </row>
    <row r="82" spans="1:48">
      <c r="A82" s="81">
        <v>19</v>
      </c>
      <c r="B82" s="11" t="s">
        <v>204</v>
      </c>
      <c r="C82" s="4" t="s">
        <v>205</v>
      </c>
      <c r="E82" s="4" t="s">
        <v>206</v>
      </c>
      <c r="F82" s="4">
        <v>19</v>
      </c>
      <c r="G82" s="4">
        <v>3</v>
      </c>
      <c r="K82" s="43" t="s">
        <v>59</v>
      </c>
      <c r="N82" s="11"/>
      <c r="O82" s="11" t="s">
        <v>207</v>
      </c>
      <c r="P82" s="28">
        <v>1.17</v>
      </c>
      <c r="R82" s="105">
        <v>1.35</v>
      </c>
      <c r="S82" s="105">
        <v>328</v>
      </c>
      <c r="T82" s="105">
        <v>28.9</v>
      </c>
      <c r="U82" s="100"/>
      <c r="V82" s="100"/>
      <c r="W82" s="69" t="e" cm="1">
        <f t="array" ref="W82">_xlfn.XLOOKUP(Table1[[#This Row],[5 cm2 cell test code]:[5 cm2 cell test code]],[1]!Table1[[Test code]:[Test code]],[1]!Table1[i @ 1.8 V DIW (A/cm2)],"",0)</f>
        <v>#REF!</v>
      </c>
      <c r="X82" s="69" t="e" cm="1">
        <f t="array" ref="X82">_xlfn.XLOOKUP(Table1[[#This Row],[5 cm2 cell test code]:[5 cm2 cell test code]],[1]!Table1[[Test code]:[Test code]],[1]!Table1[i @ 1.8 V 10 mM KOH (A/cm2)],"",0)</f>
        <v>#REF!</v>
      </c>
      <c r="Y82" s="69" t="e" cm="1">
        <f t="array" ref="Y82">_xlfn.XLOOKUP(Table1[[#This Row],[5 cm2 cell test code]:[5 cm2 cell test code]],[1]!Table1[[Test code]:[Test code]],[1]!Table1[3-E ƞ at 20mAcm-2 (mV)],"",0)</f>
        <v>#REF!</v>
      </c>
      <c r="Z82" s="69" t="e" cm="1">
        <f t="array" ref="Z82">_xlfn.XLOOKUP(Table1[[#This Row],[5 cm2 cell test code]:[5 cm2 cell test code]],[1]!Table1[[Test code]:[Test code]],[1]!Table1[3-E Tafel slope (mV/dec)],"",0)</f>
        <v>#REF!</v>
      </c>
      <c r="AA82" s="69" t="e" cm="1">
        <f t="array" ref="AA82">_xlfn.XLOOKUP(Table1[[#This Row],[5 cm2 cell test code]:[5 cm2 cell test code]],[1]!Table1[[Test code]:[Test code]],[1]!Table1[E @ 100 mA/cm2 DIW/V],"",0)</f>
        <v>#REF!</v>
      </c>
      <c r="AB82" s="69" t="e" cm="1">
        <f t="array" ref="AB82">_xlfn.XLOOKUP(Table1[[#This Row],[5 cm2 cell test code]:[5 cm2 cell test code]],[1]!Table1[[Test code]:[Test code]],[1]!Table1[E @ 100 mA/cm2 10 mM KOH/V],"",0)</f>
        <v>#REF!</v>
      </c>
      <c r="AC82" s="69" t="e" cm="1">
        <f t="array" ref="AC82">_xlfn.XLOOKUP(Table1[[#This Row],[5 cm2 cell test code]:[5 cm2 cell test code]],[1]!Table1[[Test code]:[Test code]],[1]!Table1[Anode ICR/mOhm],"",0)</f>
        <v>#REF!</v>
      </c>
      <c r="AD82" s="69" t="e" cm="1">
        <f t="array" ref="AD82">_xlfn.XLOOKUP(Table1[[#This Row],[5 cm2 cell test code]:[5 cm2 cell test code]],[1]!Table1[[Test code]:[Test code]],[1]!Table1[HFR DIW/ mOhm cm2],"",0)</f>
        <v>#REF!</v>
      </c>
      <c r="AE82" s="69" t="e" cm="1">
        <f t="array" ref="AE82">_xlfn.XLOOKUP(Table1[[#This Row],[5 cm2 cell test code]:[5 cm2 cell test code]],[1]!Table1[[Test code]:[Test code]],[1]!Table1[HFR 10 mM KOH/ mOhm cm2],"",0)</f>
        <v>#REF!</v>
      </c>
      <c r="AF82" s="69" t="e" cm="1">
        <f t="array" ref="AF82">_xlfn.XLOOKUP(Table1[[#This Row],[5 cm2 cell test code]:[5 cm2 cell test code]],[1]!Table1[[Test code]:[Test code]],[1]!Table1[Ionic resistance DIW/Ohm cm2],"",0)</f>
        <v>#REF!</v>
      </c>
      <c r="AG82" s="69" t="e" cm="1">
        <f t="array" ref="AG82">_xlfn.XLOOKUP(Table1[[#This Row],[5 cm2 cell test code]:[5 cm2 cell test code]],[1]!Table1[[Test code]:[Test code]],[1]!Table1[Q_int_frac DIW],"",0)</f>
        <v>#REF!</v>
      </c>
      <c r="AH82" s="69" t="e" cm="1">
        <f t="array" ref="AH82">_xlfn.XLOOKUP(Table1[[#This Row],[5 cm2 cell test code]:[5 cm2 cell test code]],[1]!Table1[[Test code]:[Test code]],[1]!Table1[Ionic resistance 10 mM KOH/Ohm cm2],"",0)</f>
        <v>#REF!</v>
      </c>
      <c r="AI82" s="69" t="e" cm="1">
        <f t="array" ref="AI82">_xlfn.XLOOKUP(Table1[[#This Row],[5 cm2 cell test code]:[5 cm2 cell test code]],[1]!Table1[[Test code]:[Test code]],[1]!Table1[Q_int_frac DIW 10 mM KOH],"",0)</f>
        <v>#REF!</v>
      </c>
      <c r="AJ82" s="69" t="e" cm="1">
        <f t="array" ref="AJ82">_xlfn.XLOOKUP(Table1[[#This Row],[5 cm2 cell test code]:[5 cm2 cell test code]],[1]!Table1[[Test code]:[Test code]],[1]!Table1[DIW conductivity (µS/cm)],"",0)</f>
        <v>#REF!</v>
      </c>
      <c r="AQ82" s="4" t="str">
        <v>VSG01A-23142C1.04</v>
      </c>
      <c r="AR82" s="95">
        <f>COUNTIFS(Table1[Anode PN (Stack/cell electrodes)],AQ82,Table1[ƞ at 20mAcm-2 (mV)],"&lt;&gt;")</f>
        <v>1</v>
      </c>
      <c r="AS82" s="95">
        <f>COUNTIFS(Table1[Anode PN (Stack/cell electrodes)],AQ82,Table1[i @ 1.8 V DIW (A/cm2)],"&lt;&gt;")</f>
        <v>1</v>
      </c>
      <c r="AT82" s="95">
        <f>COUNTIFS(Table1[Anode PN (Stack/cell electrodes)],AQ82,Table1[i at 1.8 V 10 mM KOH (A/cm2)],"&lt;&gt;")</f>
        <v>1</v>
      </c>
      <c r="AU82" s="95">
        <f>COUNTIFS(Table1[Anode PN (Stack/cell electrodes)],AQ82,Table1[Ionic resistance DIW/Ohm cm2],"&lt;&gt;")</f>
        <v>1</v>
      </c>
      <c r="AV82" s="95">
        <f>COUNTIFS(Table1[Anode PN (Stack/cell electrodes)],AQ82,Table1[Ionic resistance 10 mM KOH/Ohm cm2],"&lt;&gt;")</f>
        <v>1</v>
      </c>
    </row>
    <row r="83" spans="1:48">
      <c r="A83" s="81">
        <v>15</v>
      </c>
      <c r="B83" s="11" t="s">
        <v>208</v>
      </c>
      <c r="C83" s="4" t="s">
        <v>209</v>
      </c>
      <c r="K83" s="43" t="s">
        <v>59</v>
      </c>
      <c r="N83" s="11"/>
      <c r="O83" s="11" t="s">
        <v>210</v>
      </c>
      <c r="P83" s="28">
        <f>(11.552-11.3476)*1000/(10.8*10.85)</f>
        <v>1.744324970131419</v>
      </c>
      <c r="R83" s="105">
        <v>0.85</v>
      </c>
      <c r="S83" s="105">
        <v>209.4</v>
      </c>
      <c r="T83" s="105">
        <v>45.1</v>
      </c>
      <c r="U83" s="101"/>
      <c r="V83" s="101"/>
      <c r="W83" s="69" t="e" cm="1">
        <f t="array" ref="W83">_xlfn.XLOOKUP(Table1[[#This Row],[5 cm2 cell test code]:[5 cm2 cell test code]],[1]!Table1[[Test code]:[Test code]],[1]!Table1[i @ 1.8 V DIW (A/cm2)],"",0)</f>
        <v>#REF!</v>
      </c>
      <c r="X83" s="69" t="e" cm="1">
        <f t="array" ref="X83">_xlfn.XLOOKUP(Table1[[#This Row],[5 cm2 cell test code]:[5 cm2 cell test code]],[1]!Table1[[Test code]:[Test code]],[1]!Table1[i @ 1.8 V 10 mM KOH (A/cm2)],"",0)</f>
        <v>#REF!</v>
      </c>
      <c r="Y83" s="69" t="e" cm="1">
        <f t="array" ref="Y83">_xlfn.XLOOKUP(Table1[[#This Row],[5 cm2 cell test code]:[5 cm2 cell test code]],[1]!Table1[[Test code]:[Test code]],[1]!Table1[3-E ƞ at 20mAcm-2 (mV)],"",0)</f>
        <v>#REF!</v>
      </c>
      <c r="Z83" s="69" t="e" cm="1">
        <f t="array" ref="Z83">_xlfn.XLOOKUP(Table1[[#This Row],[5 cm2 cell test code]:[5 cm2 cell test code]],[1]!Table1[[Test code]:[Test code]],[1]!Table1[3-E Tafel slope (mV/dec)],"",0)</f>
        <v>#REF!</v>
      </c>
      <c r="AA83" s="69" t="e" cm="1">
        <f t="array" ref="AA83">_xlfn.XLOOKUP(Table1[[#This Row],[5 cm2 cell test code]:[5 cm2 cell test code]],[1]!Table1[[Test code]:[Test code]],[1]!Table1[E @ 100 mA/cm2 DIW/V],"",0)</f>
        <v>#REF!</v>
      </c>
      <c r="AB83" s="69" t="e" cm="1">
        <f t="array" ref="AB83">_xlfn.XLOOKUP(Table1[[#This Row],[5 cm2 cell test code]:[5 cm2 cell test code]],[1]!Table1[[Test code]:[Test code]],[1]!Table1[E @ 100 mA/cm2 10 mM KOH/V],"",0)</f>
        <v>#REF!</v>
      </c>
      <c r="AC83" s="69" t="e" cm="1">
        <f t="array" ref="AC83">_xlfn.XLOOKUP(Table1[[#This Row],[5 cm2 cell test code]:[5 cm2 cell test code]],[1]!Table1[[Test code]:[Test code]],[1]!Table1[Anode ICR/mOhm],"",0)</f>
        <v>#REF!</v>
      </c>
      <c r="AD83" s="69" t="e" cm="1">
        <f t="array" ref="AD83">_xlfn.XLOOKUP(Table1[[#This Row],[5 cm2 cell test code]:[5 cm2 cell test code]],[1]!Table1[[Test code]:[Test code]],[1]!Table1[HFR DIW/ mOhm cm2],"",0)</f>
        <v>#REF!</v>
      </c>
      <c r="AE83" s="69" t="e" cm="1">
        <f t="array" ref="AE83">_xlfn.XLOOKUP(Table1[[#This Row],[5 cm2 cell test code]:[5 cm2 cell test code]],[1]!Table1[[Test code]:[Test code]],[1]!Table1[HFR 10 mM KOH/ mOhm cm2],"",0)</f>
        <v>#REF!</v>
      </c>
      <c r="AF83" s="69" t="e" cm="1">
        <f t="array" ref="AF83">_xlfn.XLOOKUP(Table1[[#This Row],[5 cm2 cell test code]:[5 cm2 cell test code]],[1]!Table1[[Test code]:[Test code]],[1]!Table1[Ionic resistance DIW/Ohm cm2],"",0)</f>
        <v>#REF!</v>
      </c>
      <c r="AG83" s="69" t="e" cm="1">
        <f t="array" ref="AG83">_xlfn.XLOOKUP(Table1[[#This Row],[5 cm2 cell test code]:[5 cm2 cell test code]],[1]!Table1[[Test code]:[Test code]],[1]!Table1[Q_int_frac DIW],"",0)</f>
        <v>#REF!</v>
      </c>
      <c r="AH83" s="69" t="e" cm="1">
        <f t="array" ref="AH83">_xlfn.XLOOKUP(Table1[[#This Row],[5 cm2 cell test code]:[5 cm2 cell test code]],[1]!Table1[[Test code]:[Test code]],[1]!Table1[Ionic resistance 10 mM KOH/Ohm cm2],"",0)</f>
        <v>#REF!</v>
      </c>
      <c r="AI83" s="69" t="e" cm="1">
        <f t="array" ref="AI83">_xlfn.XLOOKUP(Table1[[#This Row],[5 cm2 cell test code]:[5 cm2 cell test code]],[1]!Table1[[Test code]:[Test code]],[1]!Table1[Q_int_frac DIW 10 mM KOH],"",0)</f>
        <v>#REF!</v>
      </c>
      <c r="AJ83" s="69" t="e" cm="1">
        <f t="array" ref="AJ83">_xlfn.XLOOKUP(Table1[[#This Row],[5 cm2 cell test code]:[5 cm2 cell test code]],[1]!Table1[[Test code]:[Test code]],[1]!Table1[DIW conductivity (µS/cm)],"",0)</f>
        <v>#REF!</v>
      </c>
      <c r="AQ83" s="4" t="str">
        <v>VSG01A-23143C1.01</v>
      </c>
      <c r="AR83" s="95">
        <f>COUNTIFS(Table1[Anode PN (Stack/cell electrodes)],AQ83,Table1[ƞ at 20mAcm-2 (mV)],"&lt;&gt;")</f>
        <v>1</v>
      </c>
      <c r="AS83" s="95">
        <f>COUNTIFS(Table1[Anode PN (Stack/cell electrodes)],AQ83,Table1[i @ 1.8 V DIW (A/cm2)],"&lt;&gt;")</f>
        <v>1</v>
      </c>
      <c r="AT83" s="95">
        <f>COUNTIFS(Table1[Anode PN (Stack/cell electrodes)],AQ83,Table1[i at 1.8 V 10 mM KOH (A/cm2)],"&lt;&gt;")</f>
        <v>1</v>
      </c>
      <c r="AU83" s="95">
        <f>COUNTIFS(Table1[Anode PN (Stack/cell electrodes)],AQ83,Table1[Ionic resistance DIW/Ohm cm2],"&lt;&gt;")</f>
        <v>1</v>
      </c>
      <c r="AV83" s="95">
        <f>COUNTIFS(Table1[Anode PN (Stack/cell electrodes)],AQ83,Table1[Ionic resistance 10 mM KOH/Ohm cm2],"&lt;&gt;")</f>
        <v>1</v>
      </c>
    </row>
    <row r="84" spans="1:48">
      <c r="A84" s="81">
        <v>15</v>
      </c>
      <c r="B84" s="11" t="s">
        <v>211</v>
      </c>
      <c r="C84" s="4" t="s">
        <v>212</v>
      </c>
      <c r="K84" s="43" t="s">
        <v>59</v>
      </c>
      <c r="N84" s="11"/>
      <c r="O84" s="11" t="s">
        <v>213</v>
      </c>
      <c r="P84" s="28">
        <f>(10.9575-10.814)*1000/(10.7*10.75)</f>
        <v>1.247554879374045</v>
      </c>
      <c r="R84" s="4">
        <v>1.08</v>
      </c>
      <c r="S84" s="5">
        <v>223</v>
      </c>
      <c r="T84" s="5">
        <v>31.78</v>
      </c>
      <c r="U84" s="101"/>
      <c r="V84" s="101"/>
      <c r="W84" s="69" t="e" cm="1">
        <f t="array" ref="W84">_xlfn.XLOOKUP(Table1[[#This Row],[5 cm2 cell test code]:[5 cm2 cell test code]],[1]!Table1[[Test code]:[Test code]],[1]!Table1[i @ 1.8 V DIW (A/cm2)],"",0)</f>
        <v>#REF!</v>
      </c>
      <c r="X84" s="69" t="e" cm="1">
        <f t="array" ref="X84">_xlfn.XLOOKUP(Table1[[#This Row],[5 cm2 cell test code]:[5 cm2 cell test code]],[1]!Table1[[Test code]:[Test code]],[1]!Table1[i @ 1.8 V 10 mM KOH (A/cm2)],"",0)</f>
        <v>#REF!</v>
      </c>
      <c r="Y84" s="69" t="e" cm="1">
        <f t="array" ref="Y84">_xlfn.XLOOKUP(Table1[[#This Row],[5 cm2 cell test code]:[5 cm2 cell test code]],[1]!Table1[[Test code]:[Test code]],[1]!Table1[3-E ƞ at 20mAcm-2 (mV)],"",0)</f>
        <v>#REF!</v>
      </c>
      <c r="Z84" s="69" t="e" cm="1">
        <f t="array" ref="Z84">_xlfn.XLOOKUP(Table1[[#This Row],[5 cm2 cell test code]:[5 cm2 cell test code]],[1]!Table1[[Test code]:[Test code]],[1]!Table1[3-E Tafel slope (mV/dec)],"",0)</f>
        <v>#REF!</v>
      </c>
      <c r="AA84" s="69" t="e" cm="1">
        <f t="array" ref="AA84">_xlfn.XLOOKUP(Table1[[#This Row],[5 cm2 cell test code]:[5 cm2 cell test code]],[1]!Table1[[Test code]:[Test code]],[1]!Table1[E @ 100 mA/cm2 DIW/V],"",0)</f>
        <v>#REF!</v>
      </c>
      <c r="AB84" s="69" t="e" cm="1">
        <f t="array" ref="AB84">_xlfn.XLOOKUP(Table1[[#This Row],[5 cm2 cell test code]:[5 cm2 cell test code]],[1]!Table1[[Test code]:[Test code]],[1]!Table1[E @ 100 mA/cm2 10 mM KOH/V],"",0)</f>
        <v>#REF!</v>
      </c>
      <c r="AC84" s="69" t="e" cm="1">
        <f t="array" ref="AC84">_xlfn.XLOOKUP(Table1[[#This Row],[5 cm2 cell test code]:[5 cm2 cell test code]],[1]!Table1[[Test code]:[Test code]],[1]!Table1[Anode ICR/mOhm],"",0)</f>
        <v>#REF!</v>
      </c>
      <c r="AD84" s="69" t="e" cm="1">
        <f t="array" ref="AD84">_xlfn.XLOOKUP(Table1[[#This Row],[5 cm2 cell test code]:[5 cm2 cell test code]],[1]!Table1[[Test code]:[Test code]],[1]!Table1[HFR DIW/ mOhm cm2],"",0)</f>
        <v>#REF!</v>
      </c>
      <c r="AE84" s="69" t="e" cm="1">
        <f t="array" ref="AE84">_xlfn.XLOOKUP(Table1[[#This Row],[5 cm2 cell test code]:[5 cm2 cell test code]],[1]!Table1[[Test code]:[Test code]],[1]!Table1[HFR 10 mM KOH/ mOhm cm2],"",0)</f>
        <v>#REF!</v>
      </c>
      <c r="AF84" s="69" t="e" cm="1">
        <f t="array" ref="AF84">_xlfn.XLOOKUP(Table1[[#This Row],[5 cm2 cell test code]:[5 cm2 cell test code]],[1]!Table1[[Test code]:[Test code]],[1]!Table1[Ionic resistance DIW/Ohm cm2],"",0)</f>
        <v>#REF!</v>
      </c>
      <c r="AG84" s="69" t="e" cm="1">
        <f t="array" ref="AG84">_xlfn.XLOOKUP(Table1[[#This Row],[5 cm2 cell test code]:[5 cm2 cell test code]],[1]!Table1[[Test code]:[Test code]],[1]!Table1[Q_int_frac DIW],"",0)</f>
        <v>#REF!</v>
      </c>
      <c r="AH84" s="69" t="e" cm="1">
        <f t="array" ref="AH84">_xlfn.XLOOKUP(Table1[[#This Row],[5 cm2 cell test code]:[5 cm2 cell test code]],[1]!Table1[[Test code]:[Test code]],[1]!Table1[Ionic resistance 10 mM KOH/Ohm cm2],"",0)</f>
        <v>#REF!</v>
      </c>
      <c r="AI84" s="69" t="e" cm="1">
        <f t="array" ref="AI84">_xlfn.XLOOKUP(Table1[[#This Row],[5 cm2 cell test code]:[5 cm2 cell test code]],[1]!Table1[[Test code]:[Test code]],[1]!Table1[Q_int_frac DIW 10 mM KOH],"",0)</f>
        <v>#REF!</v>
      </c>
      <c r="AJ84" s="69" t="e" cm="1">
        <f t="array" ref="AJ84">_xlfn.XLOOKUP(Table1[[#This Row],[5 cm2 cell test code]:[5 cm2 cell test code]],[1]!Table1[[Test code]:[Test code]],[1]!Table1[DIW conductivity (µS/cm)],"",0)</f>
        <v>#REF!</v>
      </c>
      <c r="AQ84" s="4" t="str">
        <v>VSG01A-23151C1.01</v>
      </c>
      <c r="AR84" s="95">
        <f>COUNTIFS(Table1[Anode PN (Stack/cell electrodes)],AQ84,Table1[ƞ at 20mAcm-2 (mV)],"&lt;&gt;")</f>
        <v>0</v>
      </c>
      <c r="AS84" s="95">
        <f>COUNTIFS(Table1[Anode PN (Stack/cell electrodes)],AQ84,Table1[i @ 1.8 V DIW (A/cm2)],"&lt;&gt;")</f>
        <v>1</v>
      </c>
      <c r="AT84" s="95">
        <f>COUNTIFS(Table1[Anode PN (Stack/cell electrodes)],AQ84,Table1[i at 1.8 V 10 mM KOH (A/cm2)],"&lt;&gt;")</f>
        <v>1</v>
      </c>
      <c r="AU84" s="95">
        <f>COUNTIFS(Table1[Anode PN (Stack/cell electrodes)],AQ84,Table1[Ionic resistance DIW/Ohm cm2],"&lt;&gt;")</f>
        <v>1</v>
      </c>
      <c r="AV84" s="95">
        <f>COUNTIFS(Table1[Anode PN (Stack/cell electrodes)],AQ84,Table1[Ionic resistance 10 mM KOH/Ohm cm2],"&lt;&gt;")</f>
        <v>1</v>
      </c>
    </row>
    <row r="85" spans="1:48">
      <c r="A85" s="81"/>
      <c r="B85" s="11" t="s">
        <v>214</v>
      </c>
      <c r="K85" s="43" t="s">
        <v>59</v>
      </c>
      <c r="N85" s="11">
        <v>4.6749999999999998</v>
      </c>
      <c r="R85" s="77"/>
      <c r="S85" s="77"/>
      <c r="T85" s="78"/>
      <c r="U85" s="101"/>
      <c r="V85" s="101"/>
      <c r="W85" s="69" t="e" cm="1">
        <f t="array" ref="W85">_xlfn.XLOOKUP(Table1[[#This Row],[5 cm2 cell test code]:[5 cm2 cell test code]],[1]!Table1[[Test code]:[Test code]],[1]!Table1[i @ 1.8 V DIW (A/cm2)],"",0)</f>
        <v>#REF!</v>
      </c>
      <c r="X85" s="69" t="e" cm="1">
        <f t="array" ref="X85">_xlfn.XLOOKUP(Table1[[#This Row],[5 cm2 cell test code]:[5 cm2 cell test code]],[1]!Table1[[Test code]:[Test code]],[1]!Table1[i @ 1.8 V 10 mM KOH (A/cm2)],"",0)</f>
        <v>#REF!</v>
      </c>
      <c r="Y85" s="69" t="e" cm="1">
        <f t="array" ref="Y85">_xlfn.XLOOKUP(Table1[[#This Row],[5 cm2 cell test code]:[5 cm2 cell test code]],[1]!Table1[[Test code]:[Test code]],[1]!Table1[3-E ƞ at 20mAcm-2 (mV)],"",0)</f>
        <v>#REF!</v>
      </c>
      <c r="Z85" s="69" t="e" cm="1">
        <f t="array" ref="Z85">_xlfn.XLOOKUP(Table1[[#This Row],[5 cm2 cell test code]:[5 cm2 cell test code]],[1]!Table1[[Test code]:[Test code]],[1]!Table1[3-E Tafel slope (mV/dec)],"",0)</f>
        <v>#REF!</v>
      </c>
      <c r="AA85" s="69" t="e" cm="1">
        <f t="array" ref="AA85">_xlfn.XLOOKUP(Table1[[#This Row],[5 cm2 cell test code]:[5 cm2 cell test code]],[1]!Table1[[Test code]:[Test code]],[1]!Table1[E @ 100 mA/cm2 DIW/V],"",0)</f>
        <v>#REF!</v>
      </c>
      <c r="AB85" s="69" t="e" cm="1">
        <f t="array" ref="AB85">_xlfn.XLOOKUP(Table1[[#This Row],[5 cm2 cell test code]:[5 cm2 cell test code]],[1]!Table1[[Test code]:[Test code]],[1]!Table1[E @ 100 mA/cm2 10 mM KOH/V],"",0)</f>
        <v>#REF!</v>
      </c>
      <c r="AC85" s="69" t="e" cm="1">
        <f t="array" ref="AC85">_xlfn.XLOOKUP(Table1[[#This Row],[5 cm2 cell test code]:[5 cm2 cell test code]],[1]!Table1[[Test code]:[Test code]],[1]!Table1[Anode ICR/mOhm],"",0)</f>
        <v>#REF!</v>
      </c>
      <c r="AD85" s="69" t="e" cm="1">
        <f t="array" ref="AD85">_xlfn.XLOOKUP(Table1[[#This Row],[5 cm2 cell test code]:[5 cm2 cell test code]],[1]!Table1[[Test code]:[Test code]],[1]!Table1[HFR DIW/ mOhm cm2],"",0)</f>
        <v>#REF!</v>
      </c>
      <c r="AE85" s="69" t="e" cm="1">
        <f t="array" ref="AE85">_xlfn.XLOOKUP(Table1[[#This Row],[5 cm2 cell test code]:[5 cm2 cell test code]],[1]!Table1[[Test code]:[Test code]],[1]!Table1[HFR 10 mM KOH/ mOhm cm2],"",0)</f>
        <v>#REF!</v>
      </c>
      <c r="AF85" s="69" t="e" cm="1">
        <f t="array" ref="AF85">_xlfn.XLOOKUP(Table1[[#This Row],[5 cm2 cell test code]:[5 cm2 cell test code]],[1]!Table1[[Test code]:[Test code]],[1]!Table1[Ionic resistance DIW/Ohm cm2],"",0)</f>
        <v>#REF!</v>
      </c>
      <c r="AG85" s="69" t="e" cm="1">
        <f t="array" ref="AG85">_xlfn.XLOOKUP(Table1[[#This Row],[5 cm2 cell test code]:[5 cm2 cell test code]],[1]!Table1[[Test code]:[Test code]],[1]!Table1[Q_int_frac DIW],"",0)</f>
        <v>#REF!</v>
      </c>
      <c r="AH85" s="69" t="e" cm="1">
        <f t="array" ref="AH85">_xlfn.XLOOKUP(Table1[[#This Row],[5 cm2 cell test code]:[5 cm2 cell test code]],[1]!Table1[[Test code]:[Test code]],[1]!Table1[Ionic resistance 10 mM KOH/Ohm cm2],"",0)</f>
        <v>#REF!</v>
      </c>
      <c r="AI85" s="69" t="e" cm="1">
        <f t="array" ref="AI85">_xlfn.XLOOKUP(Table1[[#This Row],[5 cm2 cell test code]:[5 cm2 cell test code]],[1]!Table1[[Test code]:[Test code]],[1]!Table1[Q_int_frac DIW 10 mM KOH],"",0)</f>
        <v>#REF!</v>
      </c>
      <c r="AJ85" s="69" t="e" cm="1">
        <f t="array" ref="AJ85">_xlfn.XLOOKUP(Table1[[#This Row],[5 cm2 cell test code]:[5 cm2 cell test code]],[1]!Table1[[Test code]:[Test code]],[1]!Table1[DIW conductivity (µS/cm)],"",0)</f>
        <v>#REF!</v>
      </c>
      <c r="AQ85" s="4" t="str">
        <v>VSG01A-23151C1.02</v>
      </c>
      <c r="AR85" s="95">
        <f>COUNTIFS(Table1[Anode PN (Stack/cell electrodes)],AQ85,Table1[ƞ at 20mAcm-2 (mV)],"&lt;&gt;")</f>
        <v>0</v>
      </c>
      <c r="AS85" s="95">
        <f>COUNTIFS(Table1[Anode PN (Stack/cell electrodes)],AQ85,Table1[i @ 1.8 V DIW (A/cm2)],"&lt;&gt;")</f>
        <v>1</v>
      </c>
      <c r="AT85" s="95">
        <f>COUNTIFS(Table1[Anode PN (Stack/cell electrodes)],AQ85,Table1[i at 1.8 V 10 mM KOH (A/cm2)],"&lt;&gt;")</f>
        <v>1</v>
      </c>
      <c r="AU85" s="95">
        <f>COUNTIFS(Table1[Anode PN (Stack/cell electrodes)],AQ85,Table1[Ionic resistance DIW/Ohm cm2],"&lt;&gt;")</f>
        <v>1</v>
      </c>
      <c r="AV85" s="95">
        <f>COUNTIFS(Table1[Anode PN (Stack/cell electrodes)],AQ85,Table1[Ionic resistance 10 mM KOH/Ohm cm2],"&lt;&gt;")</f>
        <v>1</v>
      </c>
    </row>
    <row r="86" spans="1:48">
      <c r="A86" s="81"/>
      <c r="B86" s="11" t="s">
        <v>215</v>
      </c>
      <c r="C86" s="4" t="s">
        <v>216</v>
      </c>
      <c r="K86" s="43" t="s">
        <v>59</v>
      </c>
      <c r="N86" s="11"/>
      <c r="U86" s="101"/>
      <c r="V86" s="101"/>
      <c r="W86" s="69" t="e" cm="1">
        <f t="array" ref="W86">_xlfn.XLOOKUP(Table1[[#This Row],[5 cm2 cell test code]:[5 cm2 cell test code]],[1]!Table1[[Test code]:[Test code]],[1]!Table1[i @ 1.8 V DIW (A/cm2)],"",0)</f>
        <v>#REF!</v>
      </c>
      <c r="X86" s="69" t="e" cm="1">
        <f t="array" ref="X86">_xlfn.XLOOKUP(Table1[[#This Row],[5 cm2 cell test code]:[5 cm2 cell test code]],[1]!Table1[[Test code]:[Test code]],[1]!Table1[i @ 1.8 V 10 mM KOH (A/cm2)],"",0)</f>
        <v>#REF!</v>
      </c>
      <c r="Y86" s="69" t="e" cm="1">
        <f t="array" ref="Y86">_xlfn.XLOOKUP(Table1[[#This Row],[5 cm2 cell test code]:[5 cm2 cell test code]],[1]!Table1[[Test code]:[Test code]],[1]!Table1[3-E ƞ at 20mAcm-2 (mV)],"",0)</f>
        <v>#REF!</v>
      </c>
      <c r="Z86" s="69" t="e" cm="1">
        <f t="array" ref="Z86">_xlfn.XLOOKUP(Table1[[#This Row],[5 cm2 cell test code]:[5 cm2 cell test code]],[1]!Table1[[Test code]:[Test code]],[1]!Table1[3-E Tafel slope (mV/dec)],"",0)</f>
        <v>#REF!</v>
      </c>
      <c r="AA86" s="69" t="e" cm="1">
        <f t="array" ref="AA86">_xlfn.XLOOKUP(Table1[[#This Row],[5 cm2 cell test code]:[5 cm2 cell test code]],[1]!Table1[[Test code]:[Test code]],[1]!Table1[E @ 100 mA/cm2 DIW/V],"",0)</f>
        <v>#REF!</v>
      </c>
      <c r="AB86" s="69" t="e" cm="1">
        <f t="array" ref="AB86">_xlfn.XLOOKUP(Table1[[#This Row],[5 cm2 cell test code]:[5 cm2 cell test code]],[1]!Table1[[Test code]:[Test code]],[1]!Table1[E @ 100 mA/cm2 10 mM KOH/V],"",0)</f>
        <v>#REF!</v>
      </c>
      <c r="AC86" s="69" t="e" cm="1">
        <f t="array" ref="AC86">_xlfn.XLOOKUP(Table1[[#This Row],[5 cm2 cell test code]:[5 cm2 cell test code]],[1]!Table1[[Test code]:[Test code]],[1]!Table1[Anode ICR/mOhm],"",0)</f>
        <v>#REF!</v>
      </c>
      <c r="AD86" s="69" t="e" cm="1">
        <f t="array" ref="AD86">_xlfn.XLOOKUP(Table1[[#This Row],[5 cm2 cell test code]:[5 cm2 cell test code]],[1]!Table1[[Test code]:[Test code]],[1]!Table1[HFR DIW/ mOhm cm2],"",0)</f>
        <v>#REF!</v>
      </c>
      <c r="AE86" s="69" t="e" cm="1">
        <f t="array" ref="AE86">_xlfn.XLOOKUP(Table1[[#This Row],[5 cm2 cell test code]:[5 cm2 cell test code]],[1]!Table1[[Test code]:[Test code]],[1]!Table1[HFR 10 mM KOH/ mOhm cm2],"",0)</f>
        <v>#REF!</v>
      </c>
      <c r="AF86" s="69" t="e" cm="1">
        <f t="array" ref="AF86">_xlfn.XLOOKUP(Table1[[#This Row],[5 cm2 cell test code]:[5 cm2 cell test code]],[1]!Table1[[Test code]:[Test code]],[1]!Table1[Ionic resistance DIW/Ohm cm2],"",0)</f>
        <v>#REF!</v>
      </c>
      <c r="AG86" s="69" t="e" cm="1">
        <f t="array" ref="AG86">_xlfn.XLOOKUP(Table1[[#This Row],[5 cm2 cell test code]:[5 cm2 cell test code]],[1]!Table1[[Test code]:[Test code]],[1]!Table1[Q_int_frac DIW],"",0)</f>
        <v>#REF!</v>
      </c>
      <c r="AH86" s="69" t="e" cm="1">
        <f t="array" ref="AH86">_xlfn.XLOOKUP(Table1[[#This Row],[5 cm2 cell test code]:[5 cm2 cell test code]],[1]!Table1[[Test code]:[Test code]],[1]!Table1[Ionic resistance 10 mM KOH/Ohm cm2],"",0)</f>
        <v>#REF!</v>
      </c>
      <c r="AI86" s="69" t="e" cm="1">
        <f t="array" ref="AI86">_xlfn.XLOOKUP(Table1[[#This Row],[5 cm2 cell test code]:[5 cm2 cell test code]],[1]!Table1[[Test code]:[Test code]],[1]!Table1[Q_int_frac DIW 10 mM KOH],"",0)</f>
        <v>#REF!</v>
      </c>
      <c r="AJ86" s="69" t="e" cm="1">
        <f t="array" ref="AJ86">_xlfn.XLOOKUP(Table1[[#This Row],[5 cm2 cell test code]:[5 cm2 cell test code]],[1]!Table1[[Test code]:[Test code]],[1]!Table1[DIW conductivity (µS/cm)],"",0)</f>
        <v>#REF!</v>
      </c>
      <c r="AQ86" s="4" t="str">
        <v>VSG01A-23151C1.03</v>
      </c>
      <c r="AR86" s="95">
        <f>COUNTIFS(Table1[Anode PN (Stack/cell electrodes)],AQ86,Table1[ƞ at 20mAcm-2 (mV)],"&lt;&gt;")</f>
        <v>0</v>
      </c>
      <c r="AS86" s="95">
        <f>COUNTIFS(Table1[Anode PN (Stack/cell electrodes)],AQ86,Table1[i @ 1.8 V DIW (A/cm2)],"&lt;&gt;")</f>
        <v>1</v>
      </c>
      <c r="AT86" s="95">
        <f>COUNTIFS(Table1[Anode PN (Stack/cell electrodes)],AQ86,Table1[i at 1.8 V 10 mM KOH (A/cm2)],"&lt;&gt;")</f>
        <v>1</v>
      </c>
      <c r="AU86" s="95">
        <f>COUNTIFS(Table1[Anode PN (Stack/cell electrodes)],AQ86,Table1[Ionic resistance DIW/Ohm cm2],"&lt;&gt;")</f>
        <v>1</v>
      </c>
      <c r="AV86" s="95">
        <f>COUNTIFS(Table1[Anode PN (Stack/cell electrodes)],AQ86,Table1[Ionic resistance 10 mM KOH/Ohm cm2],"&lt;&gt;")</f>
        <v>1</v>
      </c>
    </row>
    <row r="87" spans="1:48">
      <c r="A87" s="81"/>
      <c r="K87" s="43" t="s">
        <v>59</v>
      </c>
      <c r="N87" s="11"/>
      <c r="U87" s="101"/>
      <c r="V87" s="101"/>
      <c r="W87" s="69" t="e" cm="1">
        <f t="array" ref="W87">_xlfn.XLOOKUP(Table1[[#This Row],[5 cm2 cell test code]:[5 cm2 cell test code]],[1]!Table1[[Test code]:[Test code]],[1]!Table1[i @ 1.8 V DIW (A/cm2)],"",0)</f>
        <v>#REF!</v>
      </c>
      <c r="X87" s="69" t="e" cm="1">
        <f t="array" ref="X87">_xlfn.XLOOKUP(Table1[[#This Row],[5 cm2 cell test code]:[5 cm2 cell test code]],[1]!Table1[[Test code]:[Test code]],[1]!Table1[i @ 1.8 V 10 mM KOH (A/cm2)],"",0)</f>
        <v>#REF!</v>
      </c>
      <c r="Y87" s="69" t="e" cm="1">
        <f t="array" ref="Y87">_xlfn.XLOOKUP(Table1[[#This Row],[5 cm2 cell test code]:[5 cm2 cell test code]],[1]!Table1[[Test code]:[Test code]],[1]!Table1[3-E ƞ at 20mAcm-2 (mV)],"",0)</f>
        <v>#REF!</v>
      </c>
      <c r="Z87" s="69" t="e" cm="1">
        <f t="array" ref="Z87">_xlfn.XLOOKUP(Table1[[#This Row],[5 cm2 cell test code]:[5 cm2 cell test code]],[1]!Table1[[Test code]:[Test code]],[1]!Table1[3-E Tafel slope (mV/dec)],"",0)</f>
        <v>#REF!</v>
      </c>
      <c r="AA87" s="69" t="e" cm="1">
        <f t="array" ref="AA87">_xlfn.XLOOKUP(Table1[[#This Row],[5 cm2 cell test code]:[5 cm2 cell test code]],[1]!Table1[[Test code]:[Test code]],[1]!Table1[E @ 100 mA/cm2 DIW/V],"",0)</f>
        <v>#REF!</v>
      </c>
      <c r="AB87" s="69" t="e" cm="1">
        <f t="array" ref="AB87">_xlfn.XLOOKUP(Table1[[#This Row],[5 cm2 cell test code]:[5 cm2 cell test code]],[1]!Table1[[Test code]:[Test code]],[1]!Table1[E @ 100 mA/cm2 10 mM KOH/V],"",0)</f>
        <v>#REF!</v>
      </c>
      <c r="AC87" s="69" t="e" cm="1">
        <f t="array" ref="AC87">_xlfn.XLOOKUP(Table1[[#This Row],[5 cm2 cell test code]:[5 cm2 cell test code]],[1]!Table1[[Test code]:[Test code]],[1]!Table1[Anode ICR/mOhm],"",0)</f>
        <v>#REF!</v>
      </c>
      <c r="AD87" s="69" t="e" cm="1">
        <f t="array" ref="AD87">_xlfn.XLOOKUP(Table1[[#This Row],[5 cm2 cell test code]:[5 cm2 cell test code]],[1]!Table1[[Test code]:[Test code]],[1]!Table1[HFR DIW/ mOhm cm2],"",0)</f>
        <v>#REF!</v>
      </c>
      <c r="AE87" s="69" t="e" cm="1">
        <f t="array" ref="AE87">_xlfn.XLOOKUP(Table1[[#This Row],[5 cm2 cell test code]:[5 cm2 cell test code]],[1]!Table1[[Test code]:[Test code]],[1]!Table1[HFR 10 mM KOH/ mOhm cm2],"",0)</f>
        <v>#REF!</v>
      </c>
      <c r="AF87" s="69" t="e" cm="1">
        <f t="array" ref="AF87">_xlfn.XLOOKUP(Table1[[#This Row],[5 cm2 cell test code]:[5 cm2 cell test code]],[1]!Table1[[Test code]:[Test code]],[1]!Table1[Ionic resistance DIW/Ohm cm2],"",0)</f>
        <v>#REF!</v>
      </c>
      <c r="AG87" s="69" t="e" cm="1">
        <f t="array" ref="AG87">_xlfn.XLOOKUP(Table1[[#This Row],[5 cm2 cell test code]:[5 cm2 cell test code]],[1]!Table1[[Test code]:[Test code]],[1]!Table1[Q_int_frac DIW],"",0)</f>
        <v>#REF!</v>
      </c>
      <c r="AH87" s="69" t="e" cm="1">
        <f t="array" ref="AH87">_xlfn.XLOOKUP(Table1[[#This Row],[5 cm2 cell test code]:[5 cm2 cell test code]],[1]!Table1[[Test code]:[Test code]],[1]!Table1[Ionic resistance 10 mM KOH/Ohm cm2],"",0)</f>
        <v>#REF!</v>
      </c>
      <c r="AI87" s="69" t="e" cm="1">
        <f t="array" ref="AI87">_xlfn.XLOOKUP(Table1[[#This Row],[5 cm2 cell test code]:[5 cm2 cell test code]],[1]!Table1[[Test code]:[Test code]],[1]!Table1[Q_int_frac DIW 10 mM KOH],"",0)</f>
        <v>#REF!</v>
      </c>
      <c r="AJ87" s="69" t="e" cm="1">
        <f t="array" ref="AJ87">_xlfn.XLOOKUP(Table1[[#This Row],[5 cm2 cell test code]:[5 cm2 cell test code]],[1]!Table1[[Test code]:[Test code]],[1]!Table1[DIW conductivity (µS/cm)],"",0)</f>
        <v>#REF!</v>
      </c>
      <c r="AQ87" s="4" t="str">
        <v>VSG01A-23151C1.04</v>
      </c>
      <c r="AR87" s="95">
        <f>COUNTIFS(Table1[Anode PN (Stack/cell electrodes)],AQ87,Table1[ƞ at 20mAcm-2 (mV)],"&lt;&gt;")</f>
        <v>0</v>
      </c>
      <c r="AS87" s="95">
        <f>COUNTIFS(Table1[Anode PN (Stack/cell electrodes)],AQ87,Table1[i @ 1.8 V DIW (A/cm2)],"&lt;&gt;")</f>
        <v>1</v>
      </c>
      <c r="AT87" s="95">
        <f>COUNTIFS(Table1[Anode PN (Stack/cell electrodes)],AQ87,Table1[i at 1.8 V 10 mM KOH (A/cm2)],"&lt;&gt;")</f>
        <v>1</v>
      </c>
      <c r="AU87" s="95">
        <f>COUNTIFS(Table1[Anode PN (Stack/cell electrodes)],AQ87,Table1[Ionic resistance DIW/Ohm cm2],"&lt;&gt;")</f>
        <v>1</v>
      </c>
      <c r="AV87" s="95">
        <f>COUNTIFS(Table1[Anode PN (Stack/cell electrodes)],AQ87,Table1[Ionic resistance 10 mM KOH/Ohm cm2],"&lt;&gt;")</f>
        <v>1</v>
      </c>
    </row>
    <row r="88" spans="1:48">
      <c r="A88" s="81"/>
      <c r="B88" s="11" t="s">
        <v>217</v>
      </c>
      <c r="C88" s="4" t="s">
        <v>218</v>
      </c>
      <c r="I88" s="11" t="s">
        <v>219</v>
      </c>
      <c r="J88" s="11" t="s">
        <v>134</v>
      </c>
      <c r="K88" s="43" t="s">
        <v>59</v>
      </c>
      <c r="M88" s="13">
        <f>(2.3082-2.3508)*1000/25</f>
        <v>-1.7040000000000077</v>
      </c>
      <c r="N88" s="11">
        <v>2.1709999999999998</v>
      </c>
      <c r="R88" s="4">
        <v>1.02</v>
      </c>
      <c r="S88" s="4">
        <v>227.13</v>
      </c>
      <c r="T88" s="4">
        <v>32.29</v>
      </c>
      <c r="U88" s="101"/>
      <c r="V88" s="101"/>
      <c r="W88" s="69" t="e" cm="1">
        <f t="array" ref="W88">_xlfn.XLOOKUP(Table1[[#This Row],[5 cm2 cell test code]:[5 cm2 cell test code]],[1]!Table1[[Test code]:[Test code]],[1]!Table1[i @ 1.8 V DIW (A/cm2)],"",0)</f>
        <v>#REF!</v>
      </c>
      <c r="X88" s="69" t="e" cm="1">
        <f t="array" ref="X88">_xlfn.XLOOKUP(Table1[[#This Row],[5 cm2 cell test code]:[5 cm2 cell test code]],[1]!Table1[[Test code]:[Test code]],[1]!Table1[i @ 1.8 V 10 mM KOH (A/cm2)],"",0)</f>
        <v>#REF!</v>
      </c>
      <c r="Y88" s="69" t="e" cm="1">
        <f t="array" ref="Y88">_xlfn.XLOOKUP(Table1[[#This Row],[5 cm2 cell test code]:[5 cm2 cell test code]],[1]!Table1[[Test code]:[Test code]],[1]!Table1[3-E ƞ at 20mAcm-2 (mV)],"",0)</f>
        <v>#REF!</v>
      </c>
      <c r="Z88" s="69" t="e" cm="1">
        <f t="array" ref="Z88">_xlfn.XLOOKUP(Table1[[#This Row],[5 cm2 cell test code]:[5 cm2 cell test code]],[1]!Table1[[Test code]:[Test code]],[1]!Table1[3-E Tafel slope (mV/dec)],"",0)</f>
        <v>#REF!</v>
      </c>
      <c r="AA88" s="69" t="e" cm="1">
        <f t="array" ref="AA88">_xlfn.XLOOKUP(Table1[[#This Row],[5 cm2 cell test code]:[5 cm2 cell test code]],[1]!Table1[[Test code]:[Test code]],[1]!Table1[E @ 100 mA/cm2 DIW/V],"",0)</f>
        <v>#REF!</v>
      </c>
      <c r="AB88" s="69" t="e" cm="1">
        <f t="array" ref="AB88">_xlfn.XLOOKUP(Table1[[#This Row],[5 cm2 cell test code]:[5 cm2 cell test code]],[1]!Table1[[Test code]:[Test code]],[1]!Table1[E @ 100 mA/cm2 10 mM KOH/V],"",0)</f>
        <v>#REF!</v>
      </c>
      <c r="AC88" s="69" t="e" cm="1">
        <f t="array" ref="AC88">_xlfn.XLOOKUP(Table1[[#This Row],[5 cm2 cell test code]:[5 cm2 cell test code]],[1]!Table1[[Test code]:[Test code]],[1]!Table1[Anode ICR/mOhm],"",0)</f>
        <v>#REF!</v>
      </c>
      <c r="AD88" s="69" t="e" cm="1">
        <f t="array" ref="AD88">_xlfn.XLOOKUP(Table1[[#This Row],[5 cm2 cell test code]:[5 cm2 cell test code]],[1]!Table1[[Test code]:[Test code]],[1]!Table1[HFR DIW/ mOhm cm2],"",0)</f>
        <v>#REF!</v>
      </c>
      <c r="AE88" s="69" t="e" cm="1">
        <f t="array" ref="AE88">_xlfn.XLOOKUP(Table1[[#This Row],[5 cm2 cell test code]:[5 cm2 cell test code]],[1]!Table1[[Test code]:[Test code]],[1]!Table1[HFR 10 mM KOH/ mOhm cm2],"",0)</f>
        <v>#REF!</v>
      </c>
      <c r="AF88" s="69" t="e" cm="1">
        <f t="array" ref="AF88">_xlfn.XLOOKUP(Table1[[#This Row],[5 cm2 cell test code]:[5 cm2 cell test code]],[1]!Table1[[Test code]:[Test code]],[1]!Table1[Ionic resistance DIW/Ohm cm2],"",0)</f>
        <v>#REF!</v>
      </c>
      <c r="AG88" s="69" t="e" cm="1">
        <f t="array" ref="AG88">_xlfn.XLOOKUP(Table1[[#This Row],[5 cm2 cell test code]:[5 cm2 cell test code]],[1]!Table1[[Test code]:[Test code]],[1]!Table1[Q_int_frac DIW],"",0)</f>
        <v>#REF!</v>
      </c>
      <c r="AH88" s="69" t="e" cm="1">
        <f t="array" ref="AH88">_xlfn.XLOOKUP(Table1[[#This Row],[5 cm2 cell test code]:[5 cm2 cell test code]],[1]!Table1[[Test code]:[Test code]],[1]!Table1[Ionic resistance 10 mM KOH/Ohm cm2],"",0)</f>
        <v>#REF!</v>
      </c>
      <c r="AI88" s="69" t="e" cm="1">
        <f t="array" ref="AI88">_xlfn.XLOOKUP(Table1[[#This Row],[5 cm2 cell test code]:[5 cm2 cell test code]],[1]!Table1[[Test code]:[Test code]],[1]!Table1[Q_int_frac DIW 10 mM KOH],"",0)</f>
        <v>#REF!</v>
      </c>
      <c r="AJ88" s="69" t="e" cm="1">
        <f t="array" ref="AJ88">_xlfn.XLOOKUP(Table1[[#This Row],[5 cm2 cell test code]:[5 cm2 cell test code]],[1]!Table1[[Test code]:[Test code]],[1]!Table1[DIW conductivity (µS/cm)],"",0)</f>
        <v>#REF!</v>
      </c>
      <c r="AQ88" s="4" t="str">
        <v>VSG01A-23152C1.01</v>
      </c>
      <c r="AR88" s="95">
        <f>COUNTIFS(Table1[Anode PN (Stack/cell electrodes)],AQ88,Table1[ƞ at 20mAcm-2 (mV)],"&lt;&gt;")</f>
        <v>1</v>
      </c>
      <c r="AS88" s="95">
        <f>COUNTIFS(Table1[Anode PN (Stack/cell electrodes)],AQ88,Table1[i @ 1.8 V DIW (A/cm2)],"&lt;&gt;")</f>
        <v>1</v>
      </c>
      <c r="AT88" s="95">
        <f>COUNTIFS(Table1[Anode PN (Stack/cell electrodes)],AQ88,Table1[i at 1.8 V 10 mM KOH (A/cm2)],"&lt;&gt;")</f>
        <v>1</v>
      </c>
      <c r="AU88" s="95">
        <f>COUNTIFS(Table1[Anode PN (Stack/cell electrodes)],AQ88,Table1[Ionic resistance DIW/Ohm cm2],"&lt;&gt;")</f>
        <v>1</v>
      </c>
      <c r="AV88" s="95">
        <f>COUNTIFS(Table1[Anode PN (Stack/cell electrodes)],AQ88,Table1[Ionic resistance 10 mM KOH/Ohm cm2],"&lt;&gt;")</f>
        <v>1</v>
      </c>
    </row>
    <row r="89" spans="1:48">
      <c r="A89" s="81"/>
      <c r="B89" s="11" t="s">
        <v>220</v>
      </c>
      <c r="C89" s="4" t="s">
        <v>221</v>
      </c>
      <c r="I89" s="11" t="s">
        <v>219</v>
      </c>
      <c r="K89" s="43" t="s">
        <v>59</v>
      </c>
      <c r="M89" s="13">
        <f>(2.3034-2.3889)*1000/25</f>
        <v>-3.4200000000000053</v>
      </c>
      <c r="N89" s="11">
        <v>2.9569999999999999</v>
      </c>
      <c r="R89" s="4">
        <v>1.151</v>
      </c>
      <c r="S89" s="4">
        <v>233.08</v>
      </c>
      <c r="T89" s="4">
        <v>35.200000000000003</v>
      </c>
      <c r="U89" s="101"/>
      <c r="V89" s="101"/>
      <c r="W89" s="69" t="e" cm="1">
        <f t="array" ref="W89">_xlfn.XLOOKUP(Table1[[#This Row],[5 cm2 cell test code]:[5 cm2 cell test code]],[1]!Table1[[Test code]:[Test code]],[1]!Table1[i @ 1.8 V DIW (A/cm2)],"",0)</f>
        <v>#REF!</v>
      </c>
      <c r="X89" s="69" t="e" cm="1">
        <f t="array" ref="X89">_xlfn.XLOOKUP(Table1[[#This Row],[5 cm2 cell test code]:[5 cm2 cell test code]],[1]!Table1[[Test code]:[Test code]],[1]!Table1[i @ 1.8 V 10 mM KOH (A/cm2)],"",0)</f>
        <v>#REF!</v>
      </c>
      <c r="Y89" s="69" t="e" cm="1">
        <f t="array" ref="Y89">_xlfn.XLOOKUP(Table1[[#This Row],[5 cm2 cell test code]:[5 cm2 cell test code]],[1]!Table1[[Test code]:[Test code]],[1]!Table1[3-E ƞ at 20mAcm-2 (mV)],"",0)</f>
        <v>#REF!</v>
      </c>
      <c r="Z89" s="69" t="e" cm="1">
        <f t="array" ref="Z89">_xlfn.XLOOKUP(Table1[[#This Row],[5 cm2 cell test code]:[5 cm2 cell test code]],[1]!Table1[[Test code]:[Test code]],[1]!Table1[3-E Tafel slope (mV/dec)],"",0)</f>
        <v>#REF!</v>
      </c>
      <c r="AA89" s="69" t="e" cm="1">
        <f t="array" ref="AA89">_xlfn.XLOOKUP(Table1[[#This Row],[5 cm2 cell test code]:[5 cm2 cell test code]],[1]!Table1[[Test code]:[Test code]],[1]!Table1[E @ 100 mA/cm2 DIW/V],"",0)</f>
        <v>#REF!</v>
      </c>
      <c r="AB89" s="69" t="e" cm="1">
        <f t="array" ref="AB89">_xlfn.XLOOKUP(Table1[[#This Row],[5 cm2 cell test code]:[5 cm2 cell test code]],[1]!Table1[[Test code]:[Test code]],[1]!Table1[E @ 100 mA/cm2 10 mM KOH/V],"",0)</f>
        <v>#REF!</v>
      </c>
      <c r="AC89" s="69" t="e" cm="1">
        <f t="array" ref="AC89">_xlfn.XLOOKUP(Table1[[#This Row],[5 cm2 cell test code]:[5 cm2 cell test code]],[1]!Table1[[Test code]:[Test code]],[1]!Table1[Anode ICR/mOhm],"",0)</f>
        <v>#REF!</v>
      </c>
      <c r="AD89" s="69" t="e" cm="1">
        <f t="array" ref="AD89">_xlfn.XLOOKUP(Table1[[#This Row],[5 cm2 cell test code]:[5 cm2 cell test code]],[1]!Table1[[Test code]:[Test code]],[1]!Table1[HFR DIW/ mOhm cm2],"",0)</f>
        <v>#REF!</v>
      </c>
      <c r="AE89" s="69" t="e" cm="1">
        <f t="array" ref="AE89">_xlfn.XLOOKUP(Table1[[#This Row],[5 cm2 cell test code]:[5 cm2 cell test code]],[1]!Table1[[Test code]:[Test code]],[1]!Table1[HFR 10 mM KOH/ mOhm cm2],"",0)</f>
        <v>#REF!</v>
      </c>
      <c r="AF89" s="69" t="e" cm="1">
        <f t="array" ref="AF89">_xlfn.XLOOKUP(Table1[[#This Row],[5 cm2 cell test code]:[5 cm2 cell test code]],[1]!Table1[[Test code]:[Test code]],[1]!Table1[Ionic resistance DIW/Ohm cm2],"",0)</f>
        <v>#REF!</v>
      </c>
      <c r="AG89" s="69" t="e" cm="1">
        <f t="array" ref="AG89">_xlfn.XLOOKUP(Table1[[#This Row],[5 cm2 cell test code]:[5 cm2 cell test code]],[1]!Table1[[Test code]:[Test code]],[1]!Table1[Q_int_frac DIW],"",0)</f>
        <v>#REF!</v>
      </c>
      <c r="AH89" s="69" t="e" cm="1">
        <f t="array" ref="AH89">_xlfn.XLOOKUP(Table1[[#This Row],[5 cm2 cell test code]:[5 cm2 cell test code]],[1]!Table1[[Test code]:[Test code]],[1]!Table1[Ionic resistance 10 mM KOH/Ohm cm2],"",0)</f>
        <v>#REF!</v>
      </c>
      <c r="AI89" s="69" t="e" cm="1">
        <f t="array" ref="AI89">_xlfn.XLOOKUP(Table1[[#This Row],[5 cm2 cell test code]:[5 cm2 cell test code]],[1]!Table1[[Test code]:[Test code]],[1]!Table1[Q_int_frac DIW 10 mM KOH],"",0)</f>
        <v>#REF!</v>
      </c>
      <c r="AJ89" s="69" t="e" cm="1">
        <f t="array" ref="AJ89">_xlfn.XLOOKUP(Table1[[#This Row],[5 cm2 cell test code]:[5 cm2 cell test code]],[1]!Table1[[Test code]:[Test code]],[1]!Table1[DIW conductivity (µS/cm)],"",0)</f>
        <v>#REF!</v>
      </c>
      <c r="AQ89" s="4" t="str">
        <v>VSG01A-23152C1.02</v>
      </c>
      <c r="AR89" s="95">
        <f>COUNTIFS(Table1[Anode PN (Stack/cell electrodes)],AQ89,Table1[ƞ at 20mAcm-2 (mV)],"&lt;&gt;")</f>
        <v>0</v>
      </c>
      <c r="AS89" s="95">
        <f>COUNTIFS(Table1[Anode PN (Stack/cell electrodes)],AQ89,Table1[i @ 1.8 V DIW (A/cm2)],"&lt;&gt;")</f>
        <v>1</v>
      </c>
      <c r="AT89" s="95">
        <f>COUNTIFS(Table1[Anode PN (Stack/cell electrodes)],AQ89,Table1[i at 1.8 V 10 mM KOH (A/cm2)],"&lt;&gt;")</f>
        <v>1</v>
      </c>
      <c r="AU89" s="95">
        <f>COUNTIFS(Table1[Anode PN (Stack/cell electrodes)],AQ89,Table1[Ionic resistance DIW/Ohm cm2],"&lt;&gt;")</f>
        <v>1</v>
      </c>
      <c r="AV89" s="95">
        <f>COUNTIFS(Table1[Anode PN (Stack/cell electrodes)],AQ89,Table1[Ionic resistance 10 mM KOH/Ohm cm2],"&lt;&gt;")</f>
        <v>1</v>
      </c>
    </row>
    <row r="90" spans="1:48">
      <c r="A90" s="81"/>
      <c r="B90" s="11" t="s">
        <v>222</v>
      </c>
      <c r="C90" s="4" t="s">
        <v>223</v>
      </c>
      <c r="I90" s="11" t="s">
        <v>219</v>
      </c>
      <c r="K90" s="43" t="s">
        <v>59</v>
      </c>
      <c r="M90" s="13">
        <f>(2.3223-2.3364)*1000/25</f>
        <v>-0.56400000000000006</v>
      </c>
      <c r="N90" s="11">
        <v>2.2290000000000001</v>
      </c>
      <c r="R90" s="4">
        <v>1.149</v>
      </c>
      <c r="S90" s="4">
        <v>229.76</v>
      </c>
      <c r="T90" s="4">
        <v>35.78</v>
      </c>
      <c r="U90" s="101"/>
      <c r="V90" s="101"/>
      <c r="W90" s="69" t="e" cm="1">
        <f t="array" ref="W90">_xlfn.XLOOKUP(Table1[[#This Row],[5 cm2 cell test code]:[5 cm2 cell test code]],[1]!Table1[[Test code]:[Test code]],[1]!Table1[i @ 1.8 V DIW (A/cm2)],"",0)</f>
        <v>#REF!</v>
      </c>
      <c r="X90" s="69" t="e" cm="1">
        <f t="array" ref="X90">_xlfn.XLOOKUP(Table1[[#This Row],[5 cm2 cell test code]:[5 cm2 cell test code]],[1]!Table1[[Test code]:[Test code]],[1]!Table1[i @ 1.8 V 10 mM KOH (A/cm2)],"",0)</f>
        <v>#REF!</v>
      </c>
      <c r="Y90" s="69" t="e" cm="1">
        <f t="array" ref="Y90">_xlfn.XLOOKUP(Table1[[#This Row],[5 cm2 cell test code]:[5 cm2 cell test code]],[1]!Table1[[Test code]:[Test code]],[1]!Table1[3-E ƞ at 20mAcm-2 (mV)],"",0)</f>
        <v>#REF!</v>
      </c>
      <c r="Z90" s="69" t="e" cm="1">
        <f t="array" ref="Z90">_xlfn.XLOOKUP(Table1[[#This Row],[5 cm2 cell test code]:[5 cm2 cell test code]],[1]!Table1[[Test code]:[Test code]],[1]!Table1[3-E Tafel slope (mV/dec)],"",0)</f>
        <v>#REF!</v>
      </c>
      <c r="AA90" s="69" t="e" cm="1">
        <f t="array" ref="AA90">_xlfn.XLOOKUP(Table1[[#This Row],[5 cm2 cell test code]:[5 cm2 cell test code]],[1]!Table1[[Test code]:[Test code]],[1]!Table1[E @ 100 mA/cm2 DIW/V],"",0)</f>
        <v>#REF!</v>
      </c>
      <c r="AB90" s="69" t="e" cm="1">
        <f t="array" ref="AB90">_xlfn.XLOOKUP(Table1[[#This Row],[5 cm2 cell test code]:[5 cm2 cell test code]],[1]!Table1[[Test code]:[Test code]],[1]!Table1[E @ 100 mA/cm2 10 mM KOH/V],"",0)</f>
        <v>#REF!</v>
      </c>
      <c r="AC90" s="69" t="e" cm="1">
        <f t="array" ref="AC90">_xlfn.XLOOKUP(Table1[[#This Row],[5 cm2 cell test code]:[5 cm2 cell test code]],[1]!Table1[[Test code]:[Test code]],[1]!Table1[Anode ICR/mOhm],"",0)</f>
        <v>#REF!</v>
      </c>
      <c r="AD90" s="69" t="e" cm="1">
        <f t="array" ref="AD90">_xlfn.XLOOKUP(Table1[[#This Row],[5 cm2 cell test code]:[5 cm2 cell test code]],[1]!Table1[[Test code]:[Test code]],[1]!Table1[HFR DIW/ mOhm cm2],"",0)</f>
        <v>#REF!</v>
      </c>
      <c r="AE90" s="69" t="e" cm="1">
        <f t="array" ref="AE90">_xlfn.XLOOKUP(Table1[[#This Row],[5 cm2 cell test code]:[5 cm2 cell test code]],[1]!Table1[[Test code]:[Test code]],[1]!Table1[HFR 10 mM KOH/ mOhm cm2],"",0)</f>
        <v>#REF!</v>
      </c>
      <c r="AF90" s="69" t="e" cm="1">
        <f t="array" ref="AF90">_xlfn.XLOOKUP(Table1[[#This Row],[5 cm2 cell test code]:[5 cm2 cell test code]],[1]!Table1[[Test code]:[Test code]],[1]!Table1[Ionic resistance DIW/Ohm cm2],"",0)</f>
        <v>#REF!</v>
      </c>
      <c r="AG90" s="69" t="e" cm="1">
        <f t="array" ref="AG90">_xlfn.XLOOKUP(Table1[[#This Row],[5 cm2 cell test code]:[5 cm2 cell test code]],[1]!Table1[[Test code]:[Test code]],[1]!Table1[Q_int_frac DIW],"",0)</f>
        <v>#REF!</v>
      </c>
      <c r="AH90" s="69" t="e" cm="1">
        <f t="array" ref="AH90">_xlfn.XLOOKUP(Table1[[#This Row],[5 cm2 cell test code]:[5 cm2 cell test code]],[1]!Table1[[Test code]:[Test code]],[1]!Table1[Ionic resistance 10 mM KOH/Ohm cm2],"",0)</f>
        <v>#REF!</v>
      </c>
      <c r="AI90" s="69" t="e" cm="1">
        <f t="array" ref="AI90">_xlfn.XLOOKUP(Table1[[#This Row],[5 cm2 cell test code]:[5 cm2 cell test code]],[1]!Table1[[Test code]:[Test code]],[1]!Table1[Q_int_frac DIW 10 mM KOH],"",0)</f>
        <v>#REF!</v>
      </c>
      <c r="AJ90" s="69" t="e" cm="1">
        <f t="array" ref="AJ90">_xlfn.XLOOKUP(Table1[[#This Row],[5 cm2 cell test code]:[5 cm2 cell test code]],[1]!Table1[[Test code]:[Test code]],[1]!Table1[DIW conductivity (µS/cm)],"",0)</f>
        <v>#REF!</v>
      </c>
      <c r="AQ90" s="4" t="str">
        <v>VSG01A-23153C1.01</v>
      </c>
      <c r="AR90" s="95">
        <f>COUNTIFS(Table1[Anode PN (Stack/cell electrodes)],AQ90,Table1[ƞ at 20mAcm-2 (mV)],"&lt;&gt;")</f>
        <v>1</v>
      </c>
      <c r="AS90" s="95">
        <f>COUNTIFS(Table1[Anode PN (Stack/cell electrodes)],AQ90,Table1[i @ 1.8 V DIW (A/cm2)],"&lt;&gt;")</f>
        <v>1</v>
      </c>
      <c r="AT90" s="95">
        <f>COUNTIFS(Table1[Anode PN (Stack/cell electrodes)],AQ90,Table1[i at 1.8 V 10 mM KOH (A/cm2)],"&lt;&gt;")</f>
        <v>1</v>
      </c>
      <c r="AU90" s="95">
        <f>COUNTIFS(Table1[Anode PN (Stack/cell electrodes)],AQ90,Table1[Ionic resistance DIW/Ohm cm2],"&lt;&gt;")</f>
        <v>1</v>
      </c>
      <c r="AV90" s="95">
        <f>COUNTIFS(Table1[Anode PN (Stack/cell electrodes)],AQ90,Table1[Ionic resistance 10 mM KOH/Ohm cm2],"&lt;&gt;")</f>
        <v>1</v>
      </c>
    </row>
    <row r="91" spans="1:48">
      <c r="A91" s="81"/>
      <c r="B91" s="11" t="s">
        <v>224</v>
      </c>
      <c r="C91" s="4" t="s">
        <v>223</v>
      </c>
      <c r="I91" s="11" t="s">
        <v>219</v>
      </c>
      <c r="K91" s="43" t="s">
        <v>59</v>
      </c>
      <c r="M91" s="13">
        <f>(2.2952-2.3305)*1000/25</f>
        <v>-1.4119999999999953</v>
      </c>
      <c r="N91" s="11">
        <v>2.843</v>
      </c>
      <c r="R91" s="4">
        <v>1.19</v>
      </c>
      <c r="S91" s="4">
        <v>224.13</v>
      </c>
      <c r="T91" s="4">
        <v>35.770000000000003</v>
      </c>
      <c r="U91" s="101"/>
      <c r="V91" s="101"/>
      <c r="W91" s="69" t="e" cm="1">
        <f t="array" ref="W91">_xlfn.XLOOKUP(Table1[[#This Row],[5 cm2 cell test code]:[5 cm2 cell test code]],[1]!Table1[[Test code]:[Test code]],[1]!Table1[i @ 1.8 V DIW (A/cm2)],"",0)</f>
        <v>#REF!</v>
      </c>
      <c r="X91" s="69" t="e" cm="1">
        <f t="array" ref="X91">_xlfn.XLOOKUP(Table1[[#This Row],[5 cm2 cell test code]:[5 cm2 cell test code]],[1]!Table1[[Test code]:[Test code]],[1]!Table1[i @ 1.8 V 10 mM KOH (A/cm2)],"",0)</f>
        <v>#REF!</v>
      </c>
      <c r="Y91" s="69" t="e" cm="1">
        <f t="array" ref="Y91">_xlfn.XLOOKUP(Table1[[#This Row],[5 cm2 cell test code]:[5 cm2 cell test code]],[1]!Table1[[Test code]:[Test code]],[1]!Table1[3-E ƞ at 20mAcm-2 (mV)],"",0)</f>
        <v>#REF!</v>
      </c>
      <c r="Z91" s="69" t="e" cm="1">
        <f t="array" ref="Z91">_xlfn.XLOOKUP(Table1[[#This Row],[5 cm2 cell test code]:[5 cm2 cell test code]],[1]!Table1[[Test code]:[Test code]],[1]!Table1[3-E Tafel slope (mV/dec)],"",0)</f>
        <v>#REF!</v>
      </c>
      <c r="AA91" s="69" t="e" cm="1">
        <f t="array" ref="AA91">_xlfn.XLOOKUP(Table1[[#This Row],[5 cm2 cell test code]:[5 cm2 cell test code]],[1]!Table1[[Test code]:[Test code]],[1]!Table1[E @ 100 mA/cm2 DIW/V],"",0)</f>
        <v>#REF!</v>
      </c>
      <c r="AB91" s="69" t="e" cm="1">
        <f t="array" ref="AB91">_xlfn.XLOOKUP(Table1[[#This Row],[5 cm2 cell test code]:[5 cm2 cell test code]],[1]!Table1[[Test code]:[Test code]],[1]!Table1[E @ 100 mA/cm2 10 mM KOH/V],"",0)</f>
        <v>#REF!</v>
      </c>
      <c r="AC91" s="69" t="e" cm="1">
        <f t="array" ref="AC91">_xlfn.XLOOKUP(Table1[[#This Row],[5 cm2 cell test code]:[5 cm2 cell test code]],[1]!Table1[[Test code]:[Test code]],[1]!Table1[Anode ICR/mOhm],"",0)</f>
        <v>#REF!</v>
      </c>
      <c r="AD91" s="69" t="e" cm="1">
        <f t="array" ref="AD91">_xlfn.XLOOKUP(Table1[[#This Row],[5 cm2 cell test code]:[5 cm2 cell test code]],[1]!Table1[[Test code]:[Test code]],[1]!Table1[HFR DIW/ mOhm cm2],"",0)</f>
        <v>#REF!</v>
      </c>
      <c r="AE91" s="69" t="e" cm="1">
        <f t="array" ref="AE91">_xlfn.XLOOKUP(Table1[[#This Row],[5 cm2 cell test code]:[5 cm2 cell test code]],[1]!Table1[[Test code]:[Test code]],[1]!Table1[HFR 10 mM KOH/ mOhm cm2],"",0)</f>
        <v>#REF!</v>
      </c>
      <c r="AF91" s="69" t="e" cm="1">
        <f t="array" ref="AF91">_xlfn.XLOOKUP(Table1[[#This Row],[5 cm2 cell test code]:[5 cm2 cell test code]],[1]!Table1[[Test code]:[Test code]],[1]!Table1[Ionic resistance DIW/Ohm cm2],"",0)</f>
        <v>#REF!</v>
      </c>
      <c r="AG91" s="69" t="e" cm="1">
        <f t="array" ref="AG91">_xlfn.XLOOKUP(Table1[[#This Row],[5 cm2 cell test code]:[5 cm2 cell test code]],[1]!Table1[[Test code]:[Test code]],[1]!Table1[Q_int_frac DIW],"",0)</f>
        <v>#REF!</v>
      </c>
      <c r="AH91" s="69" t="e" cm="1">
        <f t="array" ref="AH91">_xlfn.XLOOKUP(Table1[[#This Row],[5 cm2 cell test code]:[5 cm2 cell test code]],[1]!Table1[[Test code]:[Test code]],[1]!Table1[Ionic resistance 10 mM KOH/Ohm cm2],"",0)</f>
        <v>#REF!</v>
      </c>
      <c r="AI91" s="69" t="e" cm="1">
        <f t="array" ref="AI91">_xlfn.XLOOKUP(Table1[[#This Row],[5 cm2 cell test code]:[5 cm2 cell test code]],[1]!Table1[[Test code]:[Test code]],[1]!Table1[Q_int_frac DIW 10 mM KOH],"",0)</f>
        <v>#REF!</v>
      </c>
      <c r="AJ91" s="69" t="e" cm="1">
        <f t="array" ref="AJ91">_xlfn.XLOOKUP(Table1[[#This Row],[5 cm2 cell test code]:[5 cm2 cell test code]],[1]!Table1[[Test code]:[Test code]],[1]!Table1[DIW conductivity (µS/cm)],"",0)</f>
        <v>#REF!</v>
      </c>
      <c r="AQ91" s="4" t="str">
        <v>VSG01A-23153C1.02</v>
      </c>
      <c r="AR91" s="95">
        <f>COUNTIFS(Table1[Anode PN (Stack/cell electrodes)],AQ91,Table1[ƞ at 20mAcm-2 (mV)],"&lt;&gt;")</f>
        <v>1</v>
      </c>
      <c r="AS91" s="95">
        <f>COUNTIFS(Table1[Anode PN (Stack/cell electrodes)],AQ91,Table1[i @ 1.8 V DIW (A/cm2)],"&lt;&gt;")</f>
        <v>1</v>
      </c>
      <c r="AT91" s="95">
        <f>COUNTIFS(Table1[Anode PN (Stack/cell electrodes)],AQ91,Table1[i at 1.8 V 10 mM KOH (A/cm2)],"&lt;&gt;")</f>
        <v>1</v>
      </c>
      <c r="AU91" s="95">
        <f>COUNTIFS(Table1[Anode PN (Stack/cell electrodes)],AQ91,Table1[Ionic resistance DIW/Ohm cm2],"&lt;&gt;")</f>
        <v>1</v>
      </c>
      <c r="AV91" s="95">
        <f>COUNTIFS(Table1[Anode PN (Stack/cell electrodes)],AQ91,Table1[Ionic resistance 10 mM KOH/Ohm cm2],"&lt;&gt;")</f>
        <v>1</v>
      </c>
    </row>
    <row r="92" spans="1:48">
      <c r="A92" s="81"/>
      <c r="B92" s="11" t="s">
        <v>225</v>
      </c>
      <c r="C92" s="4" t="s">
        <v>226</v>
      </c>
      <c r="I92" s="11" t="s">
        <v>219</v>
      </c>
      <c r="K92" s="43" t="s">
        <v>59</v>
      </c>
      <c r="M92" s="13">
        <f>(2.2818-2.2924)*1000/25</f>
        <v>-0.42400000000000659</v>
      </c>
      <c r="N92" s="11">
        <v>3.18</v>
      </c>
      <c r="R92" s="4">
        <v>1.0309999999999999</v>
      </c>
      <c r="S92" s="4">
        <v>218.76</v>
      </c>
      <c r="T92" s="4">
        <v>36.18</v>
      </c>
      <c r="U92" s="101"/>
      <c r="V92" s="101"/>
      <c r="W92" s="69" t="e" cm="1">
        <f t="array" ref="W92">_xlfn.XLOOKUP(Table1[[#This Row],[5 cm2 cell test code]:[5 cm2 cell test code]],[1]!Table1[[Test code]:[Test code]],[1]!Table1[i @ 1.8 V DIW (A/cm2)],"",0)</f>
        <v>#REF!</v>
      </c>
      <c r="X92" s="69" t="e" cm="1">
        <f t="array" ref="X92">_xlfn.XLOOKUP(Table1[[#This Row],[5 cm2 cell test code]:[5 cm2 cell test code]],[1]!Table1[[Test code]:[Test code]],[1]!Table1[i @ 1.8 V 10 mM KOH (A/cm2)],"",0)</f>
        <v>#REF!</v>
      </c>
      <c r="Y92" s="69" t="e" cm="1">
        <f t="array" ref="Y92">_xlfn.XLOOKUP(Table1[[#This Row],[5 cm2 cell test code]:[5 cm2 cell test code]],[1]!Table1[[Test code]:[Test code]],[1]!Table1[3-E ƞ at 20mAcm-2 (mV)],"",0)</f>
        <v>#REF!</v>
      </c>
      <c r="Z92" s="69" t="e" cm="1">
        <f t="array" ref="Z92">_xlfn.XLOOKUP(Table1[[#This Row],[5 cm2 cell test code]:[5 cm2 cell test code]],[1]!Table1[[Test code]:[Test code]],[1]!Table1[3-E Tafel slope (mV/dec)],"",0)</f>
        <v>#REF!</v>
      </c>
      <c r="AA92" s="69" t="e" cm="1">
        <f t="array" ref="AA92">_xlfn.XLOOKUP(Table1[[#This Row],[5 cm2 cell test code]:[5 cm2 cell test code]],[1]!Table1[[Test code]:[Test code]],[1]!Table1[E @ 100 mA/cm2 DIW/V],"",0)</f>
        <v>#REF!</v>
      </c>
      <c r="AB92" s="69" t="e" cm="1">
        <f t="array" ref="AB92">_xlfn.XLOOKUP(Table1[[#This Row],[5 cm2 cell test code]:[5 cm2 cell test code]],[1]!Table1[[Test code]:[Test code]],[1]!Table1[E @ 100 mA/cm2 10 mM KOH/V],"",0)</f>
        <v>#REF!</v>
      </c>
      <c r="AC92" s="69" t="e" cm="1">
        <f t="array" ref="AC92">_xlfn.XLOOKUP(Table1[[#This Row],[5 cm2 cell test code]:[5 cm2 cell test code]],[1]!Table1[[Test code]:[Test code]],[1]!Table1[Anode ICR/mOhm],"",0)</f>
        <v>#REF!</v>
      </c>
      <c r="AD92" s="69" t="e" cm="1">
        <f t="array" ref="AD92">_xlfn.XLOOKUP(Table1[[#This Row],[5 cm2 cell test code]:[5 cm2 cell test code]],[1]!Table1[[Test code]:[Test code]],[1]!Table1[HFR DIW/ mOhm cm2],"",0)</f>
        <v>#REF!</v>
      </c>
      <c r="AE92" s="69" t="e" cm="1">
        <f t="array" ref="AE92">_xlfn.XLOOKUP(Table1[[#This Row],[5 cm2 cell test code]:[5 cm2 cell test code]],[1]!Table1[[Test code]:[Test code]],[1]!Table1[HFR 10 mM KOH/ mOhm cm2],"",0)</f>
        <v>#REF!</v>
      </c>
      <c r="AF92" s="69" t="e" cm="1">
        <f t="array" ref="AF92">_xlfn.XLOOKUP(Table1[[#This Row],[5 cm2 cell test code]:[5 cm2 cell test code]],[1]!Table1[[Test code]:[Test code]],[1]!Table1[Ionic resistance DIW/Ohm cm2],"",0)</f>
        <v>#REF!</v>
      </c>
      <c r="AG92" s="69" t="e" cm="1">
        <f t="array" ref="AG92">_xlfn.XLOOKUP(Table1[[#This Row],[5 cm2 cell test code]:[5 cm2 cell test code]],[1]!Table1[[Test code]:[Test code]],[1]!Table1[Q_int_frac DIW],"",0)</f>
        <v>#REF!</v>
      </c>
      <c r="AH92" s="69" t="e" cm="1">
        <f t="array" ref="AH92">_xlfn.XLOOKUP(Table1[[#This Row],[5 cm2 cell test code]:[5 cm2 cell test code]],[1]!Table1[[Test code]:[Test code]],[1]!Table1[Ionic resistance 10 mM KOH/Ohm cm2],"",0)</f>
        <v>#REF!</v>
      </c>
      <c r="AI92" s="69" t="e" cm="1">
        <f t="array" ref="AI92">_xlfn.XLOOKUP(Table1[[#This Row],[5 cm2 cell test code]:[5 cm2 cell test code]],[1]!Table1[[Test code]:[Test code]],[1]!Table1[Q_int_frac DIW 10 mM KOH],"",0)</f>
        <v>#REF!</v>
      </c>
      <c r="AJ92" s="69" t="e" cm="1">
        <f t="array" ref="AJ92">_xlfn.XLOOKUP(Table1[[#This Row],[5 cm2 cell test code]:[5 cm2 cell test code]],[1]!Table1[[Test code]:[Test code]],[1]!Table1[DIW conductivity (µS/cm)],"",0)</f>
        <v>#REF!</v>
      </c>
      <c r="AQ92" s="4" t="str">
        <v>VSG01A-23156C1.01</v>
      </c>
      <c r="AR92" s="95">
        <f>COUNTIFS(Table1[Anode PN (Stack/cell electrodes)],AQ92,Table1[ƞ at 20mAcm-2 (mV)],"&lt;&gt;")</f>
        <v>1</v>
      </c>
      <c r="AS92" s="95">
        <f>COUNTIFS(Table1[Anode PN (Stack/cell electrodes)],AQ92,Table1[i @ 1.8 V DIW (A/cm2)],"&lt;&gt;")</f>
        <v>1</v>
      </c>
      <c r="AT92" s="95">
        <f>COUNTIFS(Table1[Anode PN (Stack/cell electrodes)],AQ92,Table1[i at 1.8 V 10 mM KOH (A/cm2)],"&lt;&gt;")</f>
        <v>1</v>
      </c>
      <c r="AU92" s="95">
        <f>COUNTIFS(Table1[Anode PN (Stack/cell electrodes)],AQ92,Table1[Ionic resistance DIW/Ohm cm2],"&lt;&gt;")</f>
        <v>1</v>
      </c>
      <c r="AV92" s="95">
        <f>COUNTIFS(Table1[Anode PN (Stack/cell electrodes)],AQ92,Table1[Ionic resistance 10 mM KOH/Ohm cm2],"&lt;&gt;")</f>
        <v>1</v>
      </c>
    </row>
    <row r="93" spans="1:48">
      <c r="A93" s="81"/>
      <c r="B93" s="11" t="s">
        <v>227</v>
      </c>
      <c r="C93" s="4" t="s">
        <v>228</v>
      </c>
      <c r="I93" s="11" t="s">
        <v>219</v>
      </c>
      <c r="K93" s="43" t="s">
        <v>59</v>
      </c>
      <c r="M93" s="13">
        <f>(2.3011-2.3243)*1000/25</f>
        <v>-0.92800000000000438</v>
      </c>
      <c r="N93" s="11">
        <v>4.3710000000000004</v>
      </c>
      <c r="U93" s="101"/>
      <c r="V93" s="101"/>
      <c r="W93" s="69" t="e" cm="1">
        <f t="array" ref="W93">_xlfn.XLOOKUP(Table1[[#This Row],[5 cm2 cell test code]:[5 cm2 cell test code]],[1]!Table1[[Test code]:[Test code]],[1]!Table1[i @ 1.8 V DIW (A/cm2)],"",0)</f>
        <v>#REF!</v>
      </c>
      <c r="X93" s="69" t="e" cm="1">
        <f t="array" ref="X93">_xlfn.XLOOKUP(Table1[[#This Row],[5 cm2 cell test code]:[5 cm2 cell test code]],[1]!Table1[[Test code]:[Test code]],[1]!Table1[i @ 1.8 V 10 mM KOH (A/cm2)],"",0)</f>
        <v>#REF!</v>
      </c>
      <c r="Y93" s="69" t="e" cm="1">
        <f t="array" ref="Y93">_xlfn.XLOOKUP(Table1[[#This Row],[5 cm2 cell test code]:[5 cm2 cell test code]],[1]!Table1[[Test code]:[Test code]],[1]!Table1[3-E ƞ at 20mAcm-2 (mV)],"",0)</f>
        <v>#REF!</v>
      </c>
      <c r="Z93" s="69" t="e" cm="1">
        <f t="array" ref="Z93">_xlfn.XLOOKUP(Table1[[#This Row],[5 cm2 cell test code]:[5 cm2 cell test code]],[1]!Table1[[Test code]:[Test code]],[1]!Table1[3-E Tafel slope (mV/dec)],"",0)</f>
        <v>#REF!</v>
      </c>
      <c r="AA93" s="69" t="e" cm="1">
        <f t="array" ref="AA93">_xlfn.XLOOKUP(Table1[[#This Row],[5 cm2 cell test code]:[5 cm2 cell test code]],[1]!Table1[[Test code]:[Test code]],[1]!Table1[E @ 100 mA/cm2 DIW/V],"",0)</f>
        <v>#REF!</v>
      </c>
      <c r="AB93" s="69" t="e" cm="1">
        <f t="array" ref="AB93">_xlfn.XLOOKUP(Table1[[#This Row],[5 cm2 cell test code]:[5 cm2 cell test code]],[1]!Table1[[Test code]:[Test code]],[1]!Table1[E @ 100 mA/cm2 10 mM KOH/V],"",0)</f>
        <v>#REF!</v>
      </c>
      <c r="AC93" s="69" t="e" cm="1">
        <f t="array" ref="AC93">_xlfn.XLOOKUP(Table1[[#This Row],[5 cm2 cell test code]:[5 cm2 cell test code]],[1]!Table1[[Test code]:[Test code]],[1]!Table1[Anode ICR/mOhm],"",0)</f>
        <v>#REF!</v>
      </c>
      <c r="AD93" s="69" t="e" cm="1">
        <f t="array" ref="AD93">_xlfn.XLOOKUP(Table1[[#This Row],[5 cm2 cell test code]:[5 cm2 cell test code]],[1]!Table1[[Test code]:[Test code]],[1]!Table1[HFR DIW/ mOhm cm2],"",0)</f>
        <v>#REF!</v>
      </c>
      <c r="AE93" s="69" t="e" cm="1">
        <f t="array" ref="AE93">_xlfn.XLOOKUP(Table1[[#This Row],[5 cm2 cell test code]:[5 cm2 cell test code]],[1]!Table1[[Test code]:[Test code]],[1]!Table1[HFR 10 mM KOH/ mOhm cm2],"",0)</f>
        <v>#REF!</v>
      </c>
      <c r="AF93" s="69" t="e" cm="1">
        <f t="array" ref="AF93">_xlfn.XLOOKUP(Table1[[#This Row],[5 cm2 cell test code]:[5 cm2 cell test code]],[1]!Table1[[Test code]:[Test code]],[1]!Table1[Ionic resistance DIW/Ohm cm2],"",0)</f>
        <v>#REF!</v>
      </c>
      <c r="AG93" s="69" t="e" cm="1">
        <f t="array" ref="AG93">_xlfn.XLOOKUP(Table1[[#This Row],[5 cm2 cell test code]:[5 cm2 cell test code]],[1]!Table1[[Test code]:[Test code]],[1]!Table1[Q_int_frac DIW],"",0)</f>
        <v>#REF!</v>
      </c>
      <c r="AH93" s="69" t="e" cm="1">
        <f t="array" ref="AH93">_xlfn.XLOOKUP(Table1[[#This Row],[5 cm2 cell test code]:[5 cm2 cell test code]],[1]!Table1[[Test code]:[Test code]],[1]!Table1[Ionic resistance 10 mM KOH/Ohm cm2],"",0)</f>
        <v>#REF!</v>
      </c>
      <c r="AI93" s="69" t="e" cm="1">
        <f t="array" ref="AI93">_xlfn.XLOOKUP(Table1[[#This Row],[5 cm2 cell test code]:[5 cm2 cell test code]],[1]!Table1[[Test code]:[Test code]],[1]!Table1[Q_int_frac DIW 10 mM KOH],"",0)</f>
        <v>#REF!</v>
      </c>
      <c r="AJ93" s="69" t="e" cm="1">
        <f t="array" ref="AJ93">_xlfn.XLOOKUP(Table1[[#This Row],[5 cm2 cell test code]:[5 cm2 cell test code]],[1]!Table1[[Test code]:[Test code]],[1]!Table1[DIW conductivity (µS/cm)],"",0)</f>
        <v>#REF!</v>
      </c>
      <c r="AQ93" s="4" t="str">
        <v>VSG01A-23156C1.02</v>
      </c>
      <c r="AR93" s="95">
        <f>COUNTIFS(Table1[Anode PN (Stack/cell electrodes)],AQ93,Table1[ƞ at 20mAcm-2 (mV)],"&lt;&gt;")</f>
        <v>1</v>
      </c>
      <c r="AS93" s="95">
        <f>COUNTIFS(Table1[Anode PN (Stack/cell electrodes)],AQ93,Table1[i @ 1.8 V DIW (A/cm2)],"&lt;&gt;")</f>
        <v>1</v>
      </c>
      <c r="AT93" s="95">
        <f>COUNTIFS(Table1[Anode PN (Stack/cell electrodes)],AQ93,Table1[i at 1.8 V 10 mM KOH (A/cm2)],"&lt;&gt;")</f>
        <v>1</v>
      </c>
      <c r="AU93" s="95">
        <f>COUNTIFS(Table1[Anode PN (Stack/cell electrodes)],AQ93,Table1[Ionic resistance DIW/Ohm cm2],"&lt;&gt;")</f>
        <v>1</v>
      </c>
      <c r="AV93" s="95">
        <f>COUNTIFS(Table1[Anode PN (Stack/cell electrodes)],AQ93,Table1[Ionic resistance 10 mM KOH/Ohm cm2],"&lt;&gt;")</f>
        <v>1</v>
      </c>
    </row>
    <row r="94" spans="1:48">
      <c r="A94" s="81"/>
      <c r="K94" s="43" t="s">
        <v>59</v>
      </c>
      <c r="N94" s="11"/>
      <c r="U94" s="101"/>
      <c r="V94" s="101"/>
      <c r="W94" s="69" t="e" cm="1">
        <f t="array" ref="W94">_xlfn.XLOOKUP(Table1[[#This Row],[5 cm2 cell test code]:[5 cm2 cell test code]],[1]!Table1[[Test code]:[Test code]],[1]!Table1[i @ 1.8 V DIW (A/cm2)],"",0)</f>
        <v>#REF!</v>
      </c>
      <c r="X94" s="69" t="e" cm="1">
        <f t="array" ref="X94">_xlfn.XLOOKUP(Table1[[#This Row],[5 cm2 cell test code]:[5 cm2 cell test code]],[1]!Table1[[Test code]:[Test code]],[1]!Table1[i @ 1.8 V 10 mM KOH (A/cm2)],"",0)</f>
        <v>#REF!</v>
      </c>
      <c r="Y94" s="69" t="e" cm="1">
        <f t="array" ref="Y94">_xlfn.XLOOKUP(Table1[[#This Row],[5 cm2 cell test code]:[5 cm2 cell test code]],[1]!Table1[[Test code]:[Test code]],[1]!Table1[3-E ƞ at 20mAcm-2 (mV)],"",0)</f>
        <v>#REF!</v>
      </c>
      <c r="Z94" s="69" t="e" cm="1">
        <f t="array" ref="Z94">_xlfn.XLOOKUP(Table1[[#This Row],[5 cm2 cell test code]:[5 cm2 cell test code]],[1]!Table1[[Test code]:[Test code]],[1]!Table1[3-E Tafel slope (mV/dec)],"",0)</f>
        <v>#REF!</v>
      </c>
      <c r="AA94" s="69" t="e" cm="1">
        <f t="array" ref="AA94">_xlfn.XLOOKUP(Table1[[#This Row],[5 cm2 cell test code]:[5 cm2 cell test code]],[1]!Table1[[Test code]:[Test code]],[1]!Table1[E @ 100 mA/cm2 DIW/V],"",0)</f>
        <v>#REF!</v>
      </c>
      <c r="AB94" s="69" t="e" cm="1">
        <f t="array" ref="AB94">_xlfn.XLOOKUP(Table1[[#This Row],[5 cm2 cell test code]:[5 cm2 cell test code]],[1]!Table1[[Test code]:[Test code]],[1]!Table1[E @ 100 mA/cm2 10 mM KOH/V],"",0)</f>
        <v>#REF!</v>
      </c>
      <c r="AC94" s="69" t="e" cm="1">
        <f t="array" ref="AC94">_xlfn.XLOOKUP(Table1[[#This Row],[5 cm2 cell test code]:[5 cm2 cell test code]],[1]!Table1[[Test code]:[Test code]],[1]!Table1[Anode ICR/mOhm],"",0)</f>
        <v>#REF!</v>
      </c>
      <c r="AD94" s="69" t="e" cm="1">
        <f t="array" ref="AD94">_xlfn.XLOOKUP(Table1[[#This Row],[5 cm2 cell test code]:[5 cm2 cell test code]],[1]!Table1[[Test code]:[Test code]],[1]!Table1[HFR DIW/ mOhm cm2],"",0)</f>
        <v>#REF!</v>
      </c>
      <c r="AE94" s="69" t="e" cm="1">
        <f t="array" ref="AE94">_xlfn.XLOOKUP(Table1[[#This Row],[5 cm2 cell test code]:[5 cm2 cell test code]],[1]!Table1[[Test code]:[Test code]],[1]!Table1[HFR 10 mM KOH/ mOhm cm2],"",0)</f>
        <v>#REF!</v>
      </c>
      <c r="AF94" s="69" t="e" cm="1">
        <f t="array" ref="AF94">_xlfn.XLOOKUP(Table1[[#This Row],[5 cm2 cell test code]:[5 cm2 cell test code]],[1]!Table1[[Test code]:[Test code]],[1]!Table1[Ionic resistance DIW/Ohm cm2],"",0)</f>
        <v>#REF!</v>
      </c>
      <c r="AG94" s="69" t="e" cm="1">
        <f t="array" ref="AG94">_xlfn.XLOOKUP(Table1[[#This Row],[5 cm2 cell test code]:[5 cm2 cell test code]],[1]!Table1[[Test code]:[Test code]],[1]!Table1[Q_int_frac DIW],"",0)</f>
        <v>#REF!</v>
      </c>
      <c r="AH94" s="69" t="e" cm="1">
        <f t="array" ref="AH94">_xlfn.XLOOKUP(Table1[[#This Row],[5 cm2 cell test code]:[5 cm2 cell test code]],[1]!Table1[[Test code]:[Test code]],[1]!Table1[Ionic resistance 10 mM KOH/Ohm cm2],"",0)</f>
        <v>#REF!</v>
      </c>
      <c r="AI94" s="69" t="e" cm="1">
        <f t="array" ref="AI94">_xlfn.XLOOKUP(Table1[[#This Row],[5 cm2 cell test code]:[5 cm2 cell test code]],[1]!Table1[[Test code]:[Test code]],[1]!Table1[Q_int_frac DIW 10 mM KOH],"",0)</f>
        <v>#REF!</v>
      </c>
      <c r="AJ94" s="69" t="e" cm="1">
        <f t="array" ref="AJ94">_xlfn.XLOOKUP(Table1[[#This Row],[5 cm2 cell test code]:[5 cm2 cell test code]],[1]!Table1[[Test code]:[Test code]],[1]!Table1[DIW conductivity (µS/cm)],"",0)</f>
        <v>#REF!</v>
      </c>
      <c r="AQ94" s="4" t="str">
        <v>VSG01A-23157C1.01</v>
      </c>
      <c r="AR94" s="95">
        <f>COUNTIFS(Table1[Anode PN (Stack/cell electrodes)],AQ94,Table1[ƞ at 20mAcm-2 (mV)],"&lt;&gt;")</f>
        <v>1</v>
      </c>
      <c r="AS94" s="95">
        <f>COUNTIFS(Table1[Anode PN (Stack/cell electrodes)],AQ94,Table1[i @ 1.8 V DIW (A/cm2)],"&lt;&gt;")</f>
        <v>1</v>
      </c>
      <c r="AT94" s="95">
        <f>COUNTIFS(Table1[Anode PN (Stack/cell electrodes)],AQ94,Table1[i at 1.8 V 10 mM KOH (A/cm2)],"&lt;&gt;")</f>
        <v>1</v>
      </c>
      <c r="AU94" s="95">
        <f>COUNTIFS(Table1[Anode PN (Stack/cell electrodes)],AQ94,Table1[Ionic resistance DIW/Ohm cm2],"&lt;&gt;")</f>
        <v>1</v>
      </c>
      <c r="AV94" s="95">
        <f>COUNTIFS(Table1[Anode PN (Stack/cell electrodes)],AQ94,Table1[Ionic resistance 10 mM KOH/Ohm cm2],"&lt;&gt;")</f>
        <v>1</v>
      </c>
    </row>
    <row r="95" spans="1:48">
      <c r="A95" s="81"/>
      <c r="B95" s="11" t="s">
        <v>229</v>
      </c>
      <c r="C95" s="4" t="s">
        <v>230</v>
      </c>
      <c r="I95" s="11" t="s">
        <v>114</v>
      </c>
      <c r="J95" s="11" t="s">
        <v>134</v>
      </c>
      <c r="K95" s="43" t="s">
        <v>59</v>
      </c>
      <c r="M95" s="13">
        <f>(63.88-63.16)*1000/(31.6*21.5)</f>
        <v>1.0597586105387193</v>
      </c>
      <c r="N95" s="11"/>
      <c r="U95" s="101"/>
      <c r="V95" s="101"/>
      <c r="W95" s="69" t="e" cm="1">
        <f t="array" ref="W95">_xlfn.XLOOKUP(Table1[[#This Row],[5 cm2 cell test code]:[5 cm2 cell test code]],[1]!Table1[[Test code]:[Test code]],[1]!Table1[i @ 1.8 V DIW (A/cm2)],"",0)</f>
        <v>#REF!</v>
      </c>
      <c r="X95" s="69" t="e" cm="1">
        <f t="array" ref="X95">_xlfn.XLOOKUP(Table1[[#This Row],[5 cm2 cell test code]:[5 cm2 cell test code]],[1]!Table1[[Test code]:[Test code]],[1]!Table1[i @ 1.8 V 10 mM KOH (A/cm2)],"",0)</f>
        <v>#REF!</v>
      </c>
      <c r="Y95" s="69" t="e" cm="1">
        <f t="array" ref="Y95">_xlfn.XLOOKUP(Table1[[#This Row],[5 cm2 cell test code]:[5 cm2 cell test code]],[1]!Table1[[Test code]:[Test code]],[1]!Table1[3-E ƞ at 20mAcm-2 (mV)],"",0)</f>
        <v>#REF!</v>
      </c>
      <c r="Z95" s="69" t="e" cm="1">
        <f t="array" ref="Z95">_xlfn.XLOOKUP(Table1[[#This Row],[5 cm2 cell test code]:[5 cm2 cell test code]],[1]!Table1[[Test code]:[Test code]],[1]!Table1[3-E Tafel slope (mV/dec)],"",0)</f>
        <v>#REF!</v>
      </c>
      <c r="AA95" s="69" t="e" cm="1">
        <f t="array" ref="AA95">_xlfn.XLOOKUP(Table1[[#This Row],[5 cm2 cell test code]:[5 cm2 cell test code]],[1]!Table1[[Test code]:[Test code]],[1]!Table1[E @ 100 mA/cm2 DIW/V],"",0)</f>
        <v>#REF!</v>
      </c>
      <c r="AB95" s="69" t="e" cm="1">
        <f t="array" ref="AB95">_xlfn.XLOOKUP(Table1[[#This Row],[5 cm2 cell test code]:[5 cm2 cell test code]],[1]!Table1[[Test code]:[Test code]],[1]!Table1[E @ 100 mA/cm2 10 mM KOH/V],"",0)</f>
        <v>#REF!</v>
      </c>
      <c r="AC95" s="69" t="e" cm="1">
        <f t="array" ref="AC95">_xlfn.XLOOKUP(Table1[[#This Row],[5 cm2 cell test code]:[5 cm2 cell test code]],[1]!Table1[[Test code]:[Test code]],[1]!Table1[Anode ICR/mOhm],"",0)</f>
        <v>#REF!</v>
      </c>
      <c r="AD95" s="69" t="e" cm="1">
        <f t="array" ref="AD95">_xlfn.XLOOKUP(Table1[[#This Row],[5 cm2 cell test code]:[5 cm2 cell test code]],[1]!Table1[[Test code]:[Test code]],[1]!Table1[HFR DIW/ mOhm cm2],"",0)</f>
        <v>#REF!</v>
      </c>
      <c r="AE95" s="69" t="e" cm="1">
        <f t="array" ref="AE95">_xlfn.XLOOKUP(Table1[[#This Row],[5 cm2 cell test code]:[5 cm2 cell test code]],[1]!Table1[[Test code]:[Test code]],[1]!Table1[HFR 10 mM KOH/ mOhm cm2],"",0)</f>
        <v>#REF!</v>
      </c>
      <c r="AF95" s="69" t="e" cm="1">
        <f t="array" ref="AF95">_xlfn.XLOOKUP(Table1[[#This Row],[5 cm2 cell test code]:[5 cm2 cell test code]],[1]!Table1[[Test code]:[Test code]],[1]!Table1[Ionic resistance DIW/Ohm cm2],"",0)</f>
        <v>#REF!</v>
      </c>
      <c r="AG95" s="69" t="e" cm="1">
        <f t="array" ref="AG95">_xlfn.XLOOKUP(Table1[[#This Row],[5 cm2 cell test code]:[5 cm2 cell test code]],[1]!Table1[[Test code]:[Test code]],[1]!Table1[Q_int_frac DIW],"",0)</f>
        <v>#REF!</v>
      </c>
      <c r="AH95" s="69" t="e" cm="1">
        <f t="array" ref="AH95">_xlfn.XLOOKUP(Table1[[#This Row],[5 cm2 cell test code]:[5 cm2 cell test code]],[1]!Table1[[Test code]:[Test code]],[1]!Table1[Ionic resistance 10 mM KOH/Ohm cm2],"",0)</f>
        <v>#REF!</v>
      </c>
      <c r="AI95" s="69" t="e" cm="1">
        <f t="array" ref="AI95">_xlfn.XLOOKUP(Table1[[#This Row],[5 cm2 cell test code]:[5 cm2 cell test code]],[1]!Table1[[Test code]:[Test code]],[1]!Table1[Q_int_frac DIW 10 mM KOH],"",0)</f>
        <v>#REF!</v>
      </c>
      <c r="AJ95" s="69" t="e" cm="1">
        <f t="array" ref="AJ95">_xlfn.XLOOKUP(Table1[[#This Row],[5 cm2 cell test code]:[5 cm2 cell test code]],[1]!Table1[[Test code]:[Test code]],[1]!Table1[DIW conductivity (µS/cm)],"",0)</f>
        <v>#REF!</v>
      </c>
      <c r="AQ95" s="4" t="str">
        <v>VSG01A-23157C1.02</v>
      </c>
      <c r="AR95" s="95">
        <f>COUNTIFS(Table1[Anode PN (Stack/cell electrodes)],AQ95,Table1[ƞ at 20mAcm-2 (mV)],"&lt;&gt;")</f>
        <v>0</v>
      </c>
      <c r="AS95" s="95">
        <f>COUNTIFS(Table1[Anode PN (Stack/cell electrodes)],AQ95,Table1[i @ 1.8 V DIW (A/cm2)],"&lt;&gt;")</f>
        <v>1</v>
      </c>
      <c r="AT95" s="95">
        <f>COUNTIFS(Table1[Anode PN (Stack/cell electrodes)],AQ95,Table1[i at 1.8 V 10 mM KOH (A/cm2)],"&lt;&gt;")</f>
        <v>1</v>
      </c>
      <c r="AU95" s="95">
        <f>COUNTIFS(Table1[Anode PN (Stack/cell electrodes)],AQ95,Table1[Ionic resistance DIW/Ohm cm2],"&lt;&gt;")</f>
        <v>1</v>
      </c>
      <c r="AV95" s="95">
        <f>COUNTIFS(Table1[Anode PN (Stack/cell electrodes)],AQ95,Table1[Ionic resistance 10 mM KOH/Ohm cm2],"&lt;&gt;")</f>
        <v>1</v>
      </c>
    </row>
    <row r="96" spans="1:48">
      <c r="A96" s="81">
        <v>15</v>
      </c>
      <c r="B96" s="11" t="s">
        <v>231</v>
      </c>
      <c r="C96" s="4" t="s">
        <v>232</v>
      </c>
      <c r="K96" s="43" t="s">
        <v>59</v>
      </c>
      <c r="N96" s="11"/>
      <c r="O96" s="11" t="s">
        <v>233</v>
      </c>
      <c r="P96" s="28">
        <f>(10.825-10.6964)*1000/(10.75*10.8)</f>
        <v>1.1076658053402129</v>
      </c>
      <c r="U96" s="101"/>
      <c r="V96" s="101"/>
      <c r="W96" s="69" t="e" cm="1">
        <f t="array" ref="W96">_xlfn.XLOOKUP(Table1[[#This Row],[5 cm2 cell test code]:[5 cm2 cell test code]],[1]!Table1[[Test code]:[Test code]],[1]!Table1[i @ 1.8 V DIW (A/cm2)],"",0)</f>
        <v>#REF!</v>
      </c>
      <c r="X96" s="69" t="e" cm="1">
        <f t="array" ref="X96">_xlfn.XLOOKUP(Table1[[#This Row],[5 cm2 cell test code]:[5 cm2 cell test code]],[1]!Table1[[Test code]:[Test code]],[1]!Table1[i @ 1.8 V 10 mM KOH (A/cm2)],"",0)</f>
        <v>#REF!</v>
      </c>
      <c r="Y96" s="69" t="e" cm="1">
        <f t="array" ref="Y96">_xlfn.XLOOKUP(Table1[[#This Row],[5 cm2 cell test code]:[5 cm2 cell test code]],[1]!Table1[[Test code]:[Test code]],[1]!Table1[3-E ƞ at 20mAcm-2 (mV)],"",0)</f>
        <v>#REF!</v>
      </c>
      <c r="Z96" s="69" t="e" cm="1">
        <f t="array" ref="Z96">_xlfn.XLOOKUP(Table1[[#This Row],[5 cm2 cell test code]:[5 cm2 cell test code]],[1]!Table1[[Test code]:[Test code]],[1]!Table1[3-E Tafel slope (mV/dec)],"",0)</f>
        <v>#REF!</v>
      </c>
      <c r="AA96" s="69" t="e" cm="1">
        <f t="array" ref="AA96">_xlfn.XLOOKUP(Table1[[#This Row],[5 cm2 cell test code]:[5 cm2 cell test code]],[1]!Table1[[Test code]:[Test code]],[1]!Table1[E @ 100 mA/cm2 DIW/V],"",0)</f>
        <v>#REF!</v>
      </c>
      <c r="AB96" s="69" t="e" cm="1">
        <f t="array" ref="AB96">_xlfn.XLOOKUP(Table1[[#This Row],[5 cm2 cell test code]:[5 cm2 cell test code]],[1]!Table1[[Test code]:[Test code]],[1]!Table1[E @ 100 mA/cm2 10 mM KOH/V],"",0)</f>
        <v>#REF!</v>
      </c>
      <c r="AC96" s="69" t="e" cm="1">
        <f t="array" ref="AC96">_xlfn.XLOOKUP(Table1[[#This Row],[5 cm2 cell test code]:[5 cm2 cell test code]],[1]!Table1[[Test code]:[Test code]],[1]!Table1[Anode ICR/mOhm],"",0)</f>
        <v>#REF!</v>
      </c>
      <c r="AD96" s="69" t="e" cm="1">
        <f t="array" ref="AD96">_xlfn.XLOOKUP(Table1[[#This Row],[5 cm2 cell test code]:[5 cm2 cell test code]],[1]!Table1[[Test code]:[Test code]],[1]!Table1[HFR DIW/ mOhm cm2],"",0)</f>
        <v>#REF!</v>
      </c>
      <c r="AE96" s="69" t="e" cm="1">
        <f t="array" ref="AE96">_xlfn.XLOOKUP(Table1[[#This Row],[5 cm2 cell test code]:[5 cm2 cell test code]],[1]!Table1[[Test code]:[Test code]],[1]!Table1[HFR 10 mM KOH/ mOhm cm2],"",0)</f>
        <v>#REF!</v>
      </c>
      <c r="AF96" s="69" t="e" cm="1">
        <f t="array" ref="AF96">_xlfn.XLOOKUP(Table1[[#This Row],[5 cm2 cell test code]:[5 cm2 cell test code]],[1]!Table1[[Test code]:[Test code]],[1]!Table1[Ionic resistance DIW/Ohm cm2],"",0)</f>
        <v>#REF!</v>
      </c>
      <c r="AG96" s="69" t="e" cm="1">
        <f t="array" ref="AG96">_xlfn.XLOOKUP(Table1[[#This Row],[5 cm2 cell test code]:[5 cm2 cell test code]],[1]!Table1[[Test code]:[Test code]],[1]!Table1[Q_int_frac DIW],"",0)</f>
        <v>#REF!</v>
      </c>
      <c r="AH96" s="69" t="e" cm="1">
        <f t="array" ref="AH96">_xlfn.XLOOKUP(Table1[[#This Row],[5 cm2 cell test code]:[5 cm2 cell test code]],[1]!Table1[[Test code]:[Test code]],[1]!Table1[Ionic resistance 10 mM KOH/Ohm cm2],"",0)</f>
        <v>#REF!</v>
      </c>
      <c r="AI96" s="69" t="e" cm="1">
        <f t="array" ref="AI96">_xlfn.XLOOKUP(Table1[[#This Row],[5 cm2 cell test code]:[5 cm2 cell test code]],[1]!Table1[[Test code]:[Test code]],[1]!Table1[Q_int_frac DIW 10 mM KOH],"",0)</f>
        <v>#REF!</v>
      </c>
      <c r="AJ96" s="69" t="e" cm="1">
        <f t="array" ref="AJ96">_xlfn.XLOOKUP(Table1[[#This Row],[5 cm2 cell test code]:[5 cm2 cell test code]],[1]!Table1[[Test code]:[Test code]],[1]!Table1[DIW conductivity (µS/cm)],"",0)</f>
        <v>#REF!</v>
      </c>
      <c r="AQ96" s="4" t="str">
        <v>VSG01A-23158C1</v>
      </c>
      <c r="AR96" s="95">
        <f>COUNTIFS(Table1[Anode PN (Stack/cell electrodes)],AQ96,Table1[ƞ at 20mAcm-2 (mV)],"&lt;&gt;")</f>
        <v>1</v>
      </c>
      <c r="AS96" s="95">
        <f>COUNTIFS(Table1[Anode PN (Stack/cell electrodes)],AQ96,Table1[i @ 1.8 V DIW (A/cm2)],"&lt;&gt;")</f>
        <v>1</v>
      </c>
      <c r="AT96" s="95">
        <f>COUNTIFS(Table1[Anode PN (Stack/cell electrodes)],AQ96,Table1[i at 1.8 V 10 mM KOH (A/cm2)],"&lt;&gt;")</f>
        <v>1</v>
      </c>
      <c r="AU96" s="95">
        <f>COUNTIFS(Table1[Anode PN (Stack/cell electrodes)],AQ96,Table1[Ionic resistance DIW/Ohm cm2],"&lt;&gt;")</f>
        <v>1</v>
      </c>
      <c r="AV96" s="95">
        <f>COUNTIFS(Table1[Anode PN (Stack/cell electrodes)],AQ96,Table1[Ionic resistance 10 mM KOH/Ohm cm2],"&lt;&gt;")</f>
        <v>1</v>
      </c>
    </row>
    <row r="97" spans="1:48">
      <c r="A97" s="81"/>
      <c r="B97" s="11" t="s">
        <v>234</v>
      </c>
      <c r="C97" s="4" t="s">
        <v>235</v>
      </c>
      <c r="K97" s="43" t="s">
        <v>59</v>
      </c>
      <c r="N97" s="11">
        <v>3.18</v>
      </c>
      <c r="R97" s="77">
        <v>1.5349999999999999</v>
      </c>
      <c r="S97" s="77">
        <v>231.02</v>
      </c>
      <c r="T97" s="77">
        <v>36.229999999999997</v>
      </c>
      <c r="U97" s="101"/>
      <c r="V97" s="101"/>
      <c r="W97" s="69" t="e" cm="1">
        <f t="array" ref="W97">_xlfn.XLOOKUP(Table1[[#This Row],[5 cm2 cell test code]:[5 cm2 cell test code]],[1]!Table1[[Test code]:[Test code]],[1]!Table1[i @ 1.8 V DIW (A/cm2)],"",0)</f>
        <v>#REF!</v>
      </c>
      <c r="X97" s="69" t="e" cm="1">
        <f t="array" ref="X97">_xlfn.XLOOKUP(Table1[[#This Row],[5 cm2 cell test code]:[5 cm2 cell test code]],[1]!Table1[[Test code]:[Test code]],[1]!Table1[i @ 1.8 V 10 mM KOH (A/cm2)],"",0)</f>
        <v>#REF!</v>
      </c>
      <c r="Y97" s="69" t="e" cm="1">
        <f t="array" ref="Y97">_xlfn.XLOOKUP(Table1[[#This Row],[5 cm2 cell test code]:[5 cm2 cell test code]],[1]!Table1[[Test code]:[Test code]],[1]!Table1[3-E ƞ at 20mAcm-2 (mV)],"",0)</f>
        <v>#REF!</v>
      </c>
      <c r="Z97" s="69" t="e" cm="1">
        <f t="array" ref="Z97">_xlfn.XLOOKUP(Table1[[#This Row],[5 cm2 cell test code]:[5 cm2 cell test code]],[1]!Table1[[Test code]:[Test code]],[1]!Table1[3-E Tafel slope (mV/dec)],"",0)</f>
        <v>#REF!</v>
      </c>
      <c r="AA97" s="69" t="e" cm="1">
        <f t="array" ref="AA97">_xlfn.XLOOKUP(Table1[[#This Row],[5 cm2 cell test code]:[5 cm2 cell test code]],[1]!Table1[[Test code]:[Test code]],[1]!Table1[E @ 100 mA/cm2 DIW/V],"",0)</f>
        <v>#REF!</v>
      </c>
      <c r="AB97" s="69" t="e" cm="1">
        <f t="array" ref="AB97">_xlfn.XLOOKUP(Table1[[#This Row],[5 cm2 cell test code]:[5 cm2 cell test code]],[1]!Table1[[Test code]:[Test code]],[1]!Table1[E @ 100 mA/cm2 10 mM KOH/V],"",0)</f>
        <v>#REF!</v>
      </c>
      <c r="AC97" s="69" t="e" cm="1">
        <f t="array" ref="AC97">_xlfn.XLOOKUP(Table1[[#This Row],[5 cm2 cell test code]:[5 cm2 cell test code]],[1]!Table1[[Test code]:[Test code]],[1]!Table1[Anode ICR/mOhm],"",0)</f>
        <v>#REF!</v>
      </c>
      <c r="AD97" s="69" t="e" cm="1">
        <f t="array" ref="AD97">_xlfn.XLOOKUP(Table1[[#This Row],[5 cm2 cell test code]:[5 cm2 cell test code]],[1]!Table1[[Test code]:[Test code]],[1]!Table1[HFR DIW/ mOhm cm2],"",0)</f>
        <v>#REF!</v>
      </c>
      <c r="AE97" s="69" t="e" cm="1">
        <f t="array" ref="AE97">_xlfn.XLOOKUP(Table1[[#This Row],[5 cm2 cell test code]:[5 cm2 cell test code]],[1]!Table1[[Test code]:[Test code]],[1]!Table1[HFR 10 mM KOH/ mOhm cm2],"",0)</f>
        <v>#REF!</v>
      </c>
      <c r="AF97" s="69" t="e" cm="1">
        <f t="array" ref="AF97">_xlfn.XLOOKUP(Table1[[#This Row],[5 cm2 cell test code]:[5 cm2 cell test code]],[1]!Table1[[Test code]:[Test code]],[1]!Table1[Ionic resistance DIW/Ohm cm2],"",0)</f>
        <v>#REF!</v>
      </c>
      <c r="AG97" s="69" t="e" cm="1">
        <f t="array" ref="AG97">_xlfn.XLOOKUP(Table1[[#This Row],[5 cm2 cell test code]:[5 cm2 cell test code]],[1]!Table1[[Test code]:[Test code]],[1]!Table1[Q_int_frac DIW],"",0)</f>
        <v>#REF!</v>
      </c>
      <c r="AH97" s="69" t="e" cm="1">
        <f t="array" ref="AH97">_xlfn.XLOOKUP(Table1[[#This Row],[5 cm2 cell test code]:[5 cm2 cell test code]],[1]!Table1[[Test code]:[Test code]],[1]!Table1[Ionic resistance 10 mM KOH/Ohm cm2],"",0)</f>
        <v>#REF!</v>
      </c>
      <c r="AI97" s="69" t="e" cm="1">
        <f t="array" ref="AI97">_xlfn.XLOOKUP(Table1[[#This Row],[5 cm2 cell test code]:[5 cm2 cell test code]],[1]!Table1[[Test code]:[Test code]],[1]!Table1[Q_int_frac DIW 10 mM KOH],"",0)</f>
        <v>#REF!</v>
      </c>
      <c r="AJ97" s="69" t="e" cm="1">
        <f t="array" ref="AJ97">_xlfn.XLOOKUP(Table1[[#This Row],[5 cm2 cell test code]:[5 cm2 cell test code]],[1]!Table1[[Test code]:[Test code]],[1]!Table1[DIW conductivity (µS/cm)],"",0)</f>
        <v>#REF!</v>
      </c>
      <c r="AQ97" s="4" t="str">
        <v>VSG01A-23158C1.01</v>
      </c>
      <c r="AR97" s="95">
        <f>COUNTIFS(Table1[Anode PN (Stack/cell electrodes)],AQ97,Table1[ƞ at 20mAcm-2 (mV)],"&lt;&gt;")</f>
        <v>0</v>
      </c>
      <c r="AS97" s="95">
        <f>COUNTIFS(Table1[Anode PN (Stack/cell electrodes)],AQ97,Table1[i @ 1.8 V DIW (A/cm2)],"&lt;&gt;")</f>
        <v>1</v>
      </c>
      <c r="AT97" s="95">
        <f>COUNTIFS(Table1[Anode PN (Stack/cell electrodes)],AQ97,Table1[i at 1.8 V 10 mM KOH (A/cm2)],"&lt;&gt;")</f>
        <v>1</v>
      </c>
      <c r="AU97" s="95">
        <f>COUNTIFS(Table1[Anode PN (Stack/cell electrodes)],AQ97,Table1[Ionic resistance DIW/Ohm cm2],"&lt;&gt;")</f>
        <v>1</v>
      </c>
      <c r="AV97" s="95">
        <f>COUNTIFS(Table1[Anode PN (Stack/cell electrodes)],AQ97,Table1[Ionic resistance 10 mM KOH/Ohm cm2],"&lt;&gt;")</f>
        <v>1</v>
      </c>
    </row>
    <row r="98" spans="1:48">
      <c r="A98" s="81">
        <v>16</v>
      </c>
      <c r="B98" s="11" t="s">
        <v>236</v>
      </c>
      <c r="C98" s="4" t="s">
        <v>237</v>
      </c>
      <c r="K98" s="43" t="s">
        <v>59</v>
      </c>
      <c r="N98" s="11"/>
      <c r="O98" s="11" t="s">
        <v>238</v>
      </c>
      <c r="P98" s="28">
        <v>1.17</v>
      </c>
      <c r="U98" s="101"/>
      <c r="V98" s="101"/>
      <c r="W98" s="69" t="e" cm="1">
        <f t="array" ref="W98">_xlfn.XLOOKUP(Table1[[#This Row],[5 cm2 cell test code]:[5 cm2 cell test code]],[1]!Table1[[Test code]:[Test code]],[1]!Table1[i @ 1.8 V DIW (A/cm2)],"",0)</f>
        <v>#REF!</v>
      </c>
      <c r="X98" s="69" t="e" cm="1">
        <f t="array" ref="X98">_xlfn.XLOOKUP(Table1[[#This Row],[5 cm2 cell test code]:[5 cm2 cell test code]],[1]!Table1[[Test code]:[Test code]],[1]!Table1[i @ 1.8 V 10 mM KOH (A/cm2)],"",0)</f>
        <v>#REF!</v>
      </c>
      <c r="Y98" s="69" t="e" cm="1">
        <f t="array" ref="Y98">_xlfn.XLOOKUP(Table1[[#This Row],[5 cm2 cell test code]:[5 cm2 cell test code]],[1]!Table1[[Test code]:[Test code]],[1]!Table1[3-E ƞ at 20mAcm-2 (mV)],"",0)</f>
        <v>#REF!</v>
      </c>
      <c r="Z98" s="69" t="e" cm="1">
        <f t="array" ref="Z98">_xlfn.XLOOKUP(Table1[[#This Row],[5 cm2 cell test code]:[5 cm2 cell test code]],[1]!Table1[[Test code]:[Test code]],[1]!Table1[3-E Tafel slope (mV/dec)],"",0)</f>
        <v>#REF!</v>
      </c>
      <c r="AA98" s="69" t="e" cm="1">
        <f t="array" ref="AA98">_xlfn.XLOOKUP(Table1[[#This Row],[5 cm2 cell test code]:[5 cm2 cell test code]],[1]!Table1[[Test code]:[Test code]],[1]!Table1[E @ 100 mA/cm2 DIW/V],"",0)</f>
        <v>#REF!</v>
      </c>
      <c r="AB98" s="69" t="e" cm="1">
        <f t="array" ref="AB98">_xlfn.XLOOKUP(Table1[[#This Row],[5 cm2 cell test code]:[5 cm2 cell test code]],[1]!Table1[[Test code]:[Test code]],[1]!Table1[E @ 100 mA/cm2 10 mM KOH/V],"",0)</f>
        <v>#REF!</v>
      </c>
      <c r="AC98" s="69" t="e" cm="1">
        <f t="array" ref="AC98">_xlfn.XLOOKUP(Table1[[#This Row],[5 cm2 cell test code]:[5 cm2 cell test code]],[1]!Table1[[Test code]:[Test code]],[1]!Table1[Anode ICR/mOhm],"",0)</f>
        <v>#REF!</v>
      </c>
      <c r="AD98" s="69" t="e" cm="1">
        <f t="array" ref="AD98">_xlfn.XLOOKUP(Table1[[#This Row],[5 cm2 cell test code]:[5 cm2 cell test code]],[1]!Table1[[Test code]:[Test code]],[1]!Table1[HFR DIW/ mOhm cm2],"",0)</f>
        <v>#REF!</v>
      </c>
      <c r="AE98" s="69" t="e" cm="1">
        <f t="array" ref="AE98">_xlfn.XLOOKUP(Table1[[#This Row],[5 cm2 cell test code]:[5 cm2 cell test code]],[1]!Table1[[Test code]:[Test code]],[1]!Table1[HFR 10 mM KOH/ mOhm cm2],"",0)</f>
        <v>#REF!</v>
      </c>
      <c r="AF98" s="69" t="e" cm="1">
        <f t="array" ref="AF98">_xlfn.XLOOKUP(Table1[[#This Row],[5 cm2 cell test code]:[5 cm2 cell test code]],[1]!Table1[[Test code]:[Test code]],[1]!Table1[Ionic resistance DIW/Ohm cm2],"",0)</f>
        <v>#REF!</v>
      </c>
      <c r="AG98" s="69" t="e" cm="1">
        <f t="array" ref="AG98">_xlfn.XLOOKUP(Table1[[#This Row],[5 cm2 cell test code]:[5 cm2 cell test code]],[1]!Table1[[Test code]:[Test code]],[1]!Table1[Q_int_frac DIW],"",0)</f>
        <v>#REF!</v>
      </c>
      <c r="AH98" s="69" t="e" cm="1">
        <f t="array" ref="AH98">_xlfn.XLOOKUP(Table1[[#This Row],[5 cm2 cell test code]:[5 cm2 cell test code]],[1]!Table1[[Test code]:[Test code]],[1]!Table1[Ionic resistance 10 mM KOH/Ohm cm2],"",0)</f>
        <v>#REF!</v>
      </c>
      <c r="AI98" s="69" t="e" cm="1">
        <f t="array" ref="AI98">_xlfn.XLOOKUP(Table1[[#This Row],[5 cm2 cell test code]:[5 cm2 cell test code]],[1]!Table1[[Test code]:[Test code]],[1]!Table1[Q_int_frac DIW 10 mM KOH],"",0)</f>
        <v>#REF!</v>
      </c>
      <c r="AJ98" s="69" t="e" cm="1">
        <f t="array" ref="AJ98">_xlfn.XLOOKUP(Table1[[#This Row],[5 cm2 cell test code]:[5 cm2 cell test code]],[1]!Table1[[Test code]:[Test code]],[1]!Table1[DIW conductivity (µS/cm)],"",0)</f>
        <v>#REF!</v>
      </c>
      <c r="AQ98" s="4" t="str">
        <v>VSG01A-23158C1.02</v>
      </c>
      <c r="AR98" s="95">
        <f>COUNTIFS(Table1[Anode PN (Stack/cell electrodes)],AQ98,Table1[ƞ at 20mAcm-2 (mV)],"&lt;&gt;")</f>
        <v>0</v>
      </c>
      <c r="AS98" s="95">
        <f>COUNTIFS(Table1[Anode PN (Stack/cell electrodes)],AQ98,Table1[i @ 1.8 V DIW (A/cm2)],"&lt;&gt;")</f>
        <v>1</v>
      </c>
      <c r="AT98" s="95">
        <f>COUNTIFS(Table1[Anode PN (Stack/cell electrodes)],AQ98,Table1[i at 1.8 V 10 mM KOH (A/cm2)],"&lt;&gt;")</f>
        <v>1</v>
      </c>
      <c r="AU98" s="95">
        <f>COUNTIFS(Table1[Anode PN (Stack/cell electrodes)],AQ98,Table1[Ionic resistance DIW/Ohm cm2],"&lt;&gt;")</f>
        <v>1</v>
      </c>
      <c r="AV98" s="95">
        <f>COUNTIFS(Table1[Anode PN (Stack/cell electrodes)],AQ98,Table1[Ionic resistance 10 mM KOH/Ohm cm2],"&lt;&gt;")</f>
        <v>1</v>
      </c>
    </row>
    <row r="99" spans="1:48">
      <c r="A99" s="81">
        <v>16</v>
      </c>
      <c r="B99" s="11" t="s">
        <v>239</v>
      </c>
      <c r="C99" s="4" t="s">
        <v>240</v>
      </c>
      <c r="K99" s="43" t="s">
        <v>59</v>
      </c>
      <c r="N99" s="11"/>
      <c r="O99" s="11" t="s">
        <v>241</v>
      </c>
      <c r="P99" s="28">
        <v>1.17</v>
      </c>
      <c r="U99" s="101"/>
      <c r="V99" s="101"/>
      <c r="W99" s="69" t="e" cm="1">
        <f t="array" ref="W99">_xlfn.XLOOKUP(Table1[[#This Row],[5 cm2 cell test code]:[5 cm2 cell test code]],[1]!Table1[[Test code]:[Test code]],[1]!Table1[i @ 1.8 V DIW (A/cm2)],"",0)</f>
        <v>#REF!</v>
      </c>
      <c r="X99" s="69" t="e" cm="1">
        <f t="array" ref="X99">_xlfn.XLOOKUP(Table1[[#This Row],[5 cm2 cell test code]:[5 cm2 cell test code]],[1]!Table1[[Test code]:[Test code]],[1]!Table1[i @ 1.8 V 10 mM KOH (A/cm2)],"",0)</f>
        <v>#REF!</v>
      </c>
      <c r="Y99" s="69" t="e" cm="1">
        <f t="array" ref="Y99">_xlfn.XLOOKUP(Table1[[#This Row],[5 cm2 cell test code]:[5 cm2 cell test code]],[1]!Table1[[Test code]:[Test code]],[1]!Table1[3-E ƞ at 20mAcm-2 (mV)],"",0)</f>
        <v>#REF!</v>
      </c>
      <c r="Z99" s="69" t="e" cm="1">
        <f t="array" ref="Z99">_xlfn.XLOOKUP(Table1[[#This Row],[5 cm2 cell test code]:[5 cm2 cell test code]],[1]!Table1[[Test code]:[Test code]],[1]!Table1[3-E Tafel slope (mV/dec)],"",0)</f>
        <v>#REF!</v>
      </c>
      <c r="AA99" s="69" t="e" cm="1">
        <f t="array" ref="AA99">_xlfn.XLOOKUP(Table1[[#This Row],[5 cm2 cell test code]:[5 cm2 cell test code]],[1]!Table1[[Test code]:[Test code]],[1]!Table1[E @ 100 mA/cm2 DIW/V],"",0)</f>
        <v>#REF!</v>
      </c>
      <c r="AB99" s="69" t="e" cm="1">
        <f t="array" ref="AB99">_xlfn.XLOOKUP(Table1[[#This Row],[5 cm2 cell test code]:[5 cm2 cell test code]],[1]!Table1[[Test code]:[Test code]],[1]!Table1[E @ 100 mA/cm2 10 mM KOH/V],"",0)</f>
        <v>#REF!</v>
      </c>
      <c r="AC99" s="69" t="e" cm="1">
        <f t="array" ref="AC99">_xlfn.XLOOKUP(Table1[[#This Row],[5 cm2 cell test code]:[5 cm2 cell test code]],[1]!Table1[[Test code]:[Test code]],[1]!Table1[Anode ICR/mOhm],"",0)</f>
        <v>#REF!</v>
      </c>
      <c r="AD99" s="69" t="e" cm="1">
        <f t="array" ref="AD99">_xlfn.XLOOKUP(Table1[[#This Row],[5 cm2 cell test code]:[5 cm2 cell test code]],[1]!Table1[[Test code]:[Test code]],[1]!Table1[HFR DIW/ mOhm cm2],"",0)</f>
        <v>#REF!</v>
      </c>
      <c r="AE99" s="69" t="e" cm="1">
        <f t="array" ref="AE99">_xlfn.XLOOKUP(Table1[[#This Row],[5 cm2 cell test code]:[5 cm2 cell test code]],[1]!Table1[[Test code]:[Test code]],[1]!Table1[HFR 10 mM KOH/ mOhm cm2],"",0)</f>
        <v>#REF!</v>
      </c>
      <c r="AF99" s="69" t="e" cm="1">
        <f t="array" ref="AF99">_xlfn.XLOOKUP(Table1[[#This Row],[5 cm2 cell test code]:[5 cm2 cell test code]],[1]!Table1[[Test code]:[Test code]],[1]!Table1[Ionic resistance DIW/Ohm cm2],"",0)</f>
        <v>#REF!</v>
      </c>
      <c r="AG99" s="69" t="e" cm="1">
        <f t="array" ref="AG99">_xlfn.XLOOKUP(Table1[[#This Row],[5 cm2 cell test code]:[5 cm2 cell test code]],[1]!Table1[[Test code]:[Test code]],[1]!Table1[Q_int_frac DIW],"",0)</f>
        <v>#REF!</v>
      </c>
      <c r="AH99" s="69" t="e" cm="1">
        <f t="array" ref="AH99">_xlfn.XLOOKUP(Table1[[#This Row],[5 cm2 cell test code]:[5 cm2 cell test code]],[1]!Table1[[Test code]:[Test code]],[1]!Table1[Ionic resistance 10 mM KOH/Ohm cm2],"",0)</f>
        <v>#REF!</v>
      </c>
      <c r="AI99" s="69" t="e" cm="1">
        <f t="array" ref="AI99">_xlfn.XLOOKUP(Table1[[#This Row],[5 cm2 cell test code]:[5 cm2 cell test code]],[1]!Table1[[Test code]:[Test code]],[1]!Table1[Q_int_frac DIW 10 mM KOH],"",0)</f>
        <v>#REF!</v>
      </c>
      <c r="AJ99" s="69" t="e" cm="1">
        <f t="array" ref="AJ99">_xlfn.XLOOKUP(Table1[[#This Row],[5 cm2 cell test code]:[5 cm2 cell test code]],[1]!Table1[[Test code]:[Test code]],[1]!Table1[DIW conductivity (µS/cm)],"",0)</f>
        <v>#REF!</v>
      </c>
      <c r="AQ99" s="4" t="str">
        <v>VSG01A-23158C1.03</v>
      </c>
      <c r="AR99" s="95">
        <f>COUNTIFS(Table1[Anode PN (Stack/cell electrodes)],AQ99,Table1[ƞ at 20mAcm-2 (mV)],"&lt;&gt;")</f>
        <v>0</v>
      </c>
      <c r="AS99" s="95">
        <f>COUNTIFS(Table1[Anode PN (Stack/cell electrodes)],AQ99,Table1[i @ 1.8 V DIW (A/cm2)],"&lt;&gt;")</f>
        <v>1</v>
      </c>
      <c r="AT99" s="95">
        <f>COUNTIFS(Table1[Anode PN (Stack/cell electrodes)],AQ99,Table1[i at 1.8 V 10 mM KOH (A/cm2)],"&lt;&gt;")</f>
        <v>1</v>
      </c>
      <c r="AU99" s="95">
        <f>COUNTIFS(Table1[Anode PN (Stack/cell electrodes)],AQ99,Table1[Ionic resistance DIW/Ohm cm2],"&lt;&gt;")</f>
        <v>1</v>
      </c>
      <c r="AV99" s="95">
        <f>COUNTIFS(Table1[Anode PN (Stack/cell electrodes)],AQ99,Table1[Ionic resistance 10 mM KOH/Ohm cm2],"&lt;&gt;")</f>
        <v>1</v>
      </c>
    </row>
    <row r="100" spans="1:48">
      <c r="A100" s="81"/>
      <c r="B100" s="11" t="s">
        <v>242</v>
      </c>
      <c r="C100" s="4" t="s">
        <v>235</v>
      </c>
      <c r="K100" s="43" t="s">
        <v>59</v>
      </c>
      <c r="N100" s="11">
        <v>3</v>
      </c>
      <c r="R100" s="4">
        <v>1.419</v>
      </c>
      <c r="S100" s="4">
        <v>230.71</v>
      </c>
      <c r="T100" s="4">
        <v>32.57</v>
      </c>
      <c r="U100" s="101"/>
      <c r="V100" s="101"/>
      <c r="W100" s="69" t="e" cm="1">
        <f t="array" ref="W100">_xlfn.XLOOKUP(Table1[[#This Row],[5 cm2 cell test code]:[5 cm2 cell test code]],[1]!Table1[[Test code]:[Test code]],[1]!Table1[i @ 1.8 V DIW (A/cm2)],"",0)</f>
        <v>#REF!</v>
      </c>
      <c r="X100" s="69" t="e" cm="1">
        <f t="array" ref="X100">_xlfn.XLOOKUP(Table1[[#This Row],[5 cm2 cell test code]:[5 cm2 cell test code]],[1]!Table1[[Test code]:[Test code]],[1]!Table1[i @ 1.8 V 10 mM KOH (A/cm2)],"",0)</f>
        <v>#REF!</v>
      </c>
      <c r="Y100" s="69" t="e" cm="1">
        <f t="array" ref="Y100">_xlfn.XLOOKUP(Table1[[#This Row],[5 cm2 cell test code]:[5 cm2 cell test code]],[1]!Table1[[Test code]:[Test code]],[1]!Table1[3-E ƞ at 20mAcm-2 (mV)],"",0)</f>
        <v>#REF!</v>
      </c>
      <c r="Z100" s="69" t="e" cm="1">
        <f t="array" ref="Z100">_xlfn.XLOOKUP(Table1[[#This Row],[5 cm2 cell test code]:[5 cm2 cell test code]],[1]!Table1[[Test code]:[Test code]],[1]!Table1[3-E Tafel slope (mV/dec)],"",0)</f>
        <v>#REF!</v>
      </c>
      <c r="AA100" s="69" t="e" cm="1">
        <f t="array" ref="AA100">_xlfn.XLOOKUP(Table1[[#This Row],[5 cm2 cell test code]:[5 cm2 cell test code]],[1]!Table1[[Test code]:[Test code]],[1]!Table1[E @ 100 mA/cm2 DIW/V],"",0)</f>
        <v>#REF!</v>
      </c>
      <c r="AB100" s="69" t="e" cm="1">
        <f t="array" ref="AB100">_xlfn.XLOOKUP(Table1[[#This Row],[5 cm2 cell test code]:[5 cm2 cell test code]],[1]!Table1[[Test code]:[Test code]],[1]!Table1[E @ 100 mA/cm2 10 mM KOH/V],"",0)</f>
        <v>#REF!</v>
      </c>
      <c r="AC100" s="69" t="e" cm="1">
        <f t="array" ref="AC100">_xlfn.XLOOKUP(Table1[[#This Row],[5 cm2 cell test code]:[5 cm2 cell test code]],[1]!Table1[[Test code]:[Test code]],[1]!Table1[Anode ICR/mOhm],"",0)</f>
        <v>#REF!</v>
      </c>
      <c r="AD100" s="69" t="e" cm="1">
        <f t="array" ref="AD100">_xlfn.XLOOKUP(Table1[[#This Row],[5 cm2 cell test code]:[5 cm2 cell test code]],[1]!Table1[[Test code]:[Test code]],[1]!Table1[HFR DIW/ mOhm cm2],"",0)</f>
        <v>#REF!</v>
      </c>
      <c r="AE100" s="69" t="e" cm="1">
        <f t="array" ref="AE100">_xlfn.XLOOKUP(Table1[[#This Row],[5 cm2 cell test code]:[5 cm2 cell test code]],[1]!Table1[[Test code]:[Test code]],[1]!Table1[HFR 10 mM KOH/ mOhm cm2],"",0)</f>
        <v>#REF!</v>
      </c>
      <c r="AF100" s="69" t="e" cm="1">
        <f t="array" ref="AF100">_xlfn.XLOOKUP(Table1[[#This Row],[5 cm2 cell test code]:[5 cm2 cell test code]],[1]!Table1[[Test code]:[Test code]],[1]!Table1[Ionic resistance DIW/Ohm cm2],"",0)</f>
        <v>#REF!</v>
      </c>
      <c r="AG100" s="69" t="e" cm="1">
        <f t="array" ref="AG100">_xlfn.XLOOKUP(Table1[[#This Row],[5 cm2 cell test code]:[5 cm2 cell test code]],[1]!Table1[[Test code]:[Test code]],[1]!Table1[Q_int_frac DIW],"",0)</f>
        <v>#REF!</v>
      </c>
      <c r="AH100" s="69" t="e" cm="1">
        <f t="array" ref="AH100">_xlfn.XLOOKUP(Table1[[#This Row],[5 cm2 cell test code]:[5 cm2 cell test code]],[1]!Table1[[Test code]:[Test code]],[1]!Table1[Ionic resistance 10 mM KOH/Ohm cm2],"",0)</f>
        <v>#REF!</v>
      </c>
      <c r="AI100" s="69" t="e" cm="1">
        <f t="array" ref="AI100">_xlfn.XLOOKUP(Table1[[#This Row],[5 cm2 cell test code]:[5 cm2 cell test code]],[1]!Table1[[Test code]:[Test code]],[1]!Table1[Q_int_frac DIW 10 mM KOH],"",0)</f>
        <v>#REF!</v>
      </c>
      <c r="AJ100" s="69" t="e" cm="1">
        <f t="array" ref="AJ100">_xlfn.XLOOKUP(Table1[[#This Row],[5 cm2 cell test code]:[5 cm2 cell test code]],[1]!Table1[[Test code]:[Test code]],[1]!Table1[DIW conductivity (µS/cm)],"",0)</f>
        <v>#REF!</v>
      </c>
      <c r="AQ100" s="4" t="str">
        <v>VSG01A-23158C1.04</v>
      </c>
      <c r="AR100" s="95">
        <f>COUNTIFS(Table1[Anode PN (Stack/cell electrodes)],AQ100,Table1[ƞ at 20mAcm-2 (mV)],"&lt;&gt;")</f>
        <v>1</v>
      </c>
      <c r="AS100" s="95">
        <f>COUNTIFS(Table1[Anode PN (Stack/cell electrodes)],AQ100,Table1[i @ 1.8 V DIW (A/cm2)],"&lt;&gt;")</f>
        <v>1</v>
      </c>
      <c r="AT100" s="95">
        <f>COUNTIFS(Table1[Anode PN (Stack/cell electrodes)],AQ100,Table1[i at 1.8 V 10 mM KOH (A/cm2)],"&lt;&gt;")</f>
        <v>1</v>
      </c>
      <c r="AU100" s="95">
        <f>COUNTIFS(Table1[Anode PN (Stack/cell electrodes)],AQ100,Table1[Ionic resistance DIW/Ohm cm2],"&lt;&gt;")</f>
        <v>1</v>
      </c>
      <c r="AV100" s="95">
        <f>COUNTIFS(Table1[Anode PN (Stack/cell electrodes)],AQ100,Table1[Ionic resistance 10 mM KOH/Ohm cm2],"&lt;&gt;")</f>
        <v>1</v>
      </c>
    </row>
    <row r="101" spans="1:48">
      <c r="A101" s="81"/>
      <c r="B101" s="11" t="s">
        <v>243</v>
      </c>
      <c r="C101" s="4" t="s">
        <v>235</v>
      </c>
      <c r="K101" s="43" t="s">
        <v>59</v>
      </c>
      <c r="N101" s="11">
        <v>2.5299999999999998</v>
      </c>
      <c r="U101" s="101"/>
      <c r="V101" s="101"/>
      <c r="W101" s="69" t="e" cm="1">
        <f t="array" ref="W101">_xlfn.XLOOKUP(Table1[[#This Row],[5 cm2 cell test code]:[5 cm2 cell test code]],[1]!Table1[[Test code]:[Test code]],[1]!Table1[i @ 1.8 V DIW (A/cm2)],"",0)</f>
        <v>#REF!</v>
      </c>
      <c r="X101" s="69" t="e" cm="1">
        <f t="array" ref="X101">_xlfn.XLOOKUP(Table1[[#This Row],[5 cm2 cell test code]:[5 cm2 cell test code]],[1]!Table1[[Test code]:[Test code]],[1]!Table1[i @ 1.8 V 10 mM KOH (A/cm2)],"",0)</f>
        <v>#REF!</v>
      </c>
      <c r="Y101" s="69" t="e" cm="1">
        <f t="array" ref="Y101">_xlfn.XLOOKUP(Table1[[#This Row],[5 cm2 cell test code]:[5 cm2 cell test code]],[1]!Table1[[Test code]:[Test code]],[1]!Table1[3-E ƞ at 20mAcm-2 (mV)],"",0)</f>
        <v>#REF!</v>
      </c>
      <c r="Z101" s="69" t="e" cm="1">
        <f t="array" ref="Z101">_xlfn.XLOOKUP(Table1[[#This Row],[5 cm2 cell test code]:[5 cm2 cell test code]],[1]!Table1[[Test code]:[Test code]],[1]!Table1[3-E Tafel slope (mV/dec)],"",0)</f>
        <v>#REF!</v>
      </c>
      <c r="AA101" s="69" t="e" cm="1">
        <f t="array" ref="AA101">_xlfn.XLOOKUP(Table1[[#This Row],[5 cm2 cell test code]:[5 cm2 cell test code]],[1]!Table1[[Test code]:[Test code]],[1]!Table1[E @ 100 mA/cm2 DIW/V],"",0)</f>
        <v>#REF!</v>
      </c>
      <c r="AB101" s="69" t="e" cm="1">
        <f t="array" ref="AB101">_xlfn.XLOOKUP(Table1[[#This Row],[5 cm2 cell test code]:[5 cm2 cell test code]],[1]!Table1[[Test code]:[Test code]],[1]!Table1[E @ 100 mA/cm2 10 mM KOH/V],"",0)</f>
        <v>#REF!</v>
      </c>
      <c r="AC101" s="69" t="e" cm="1">
        <f t="array" ref="AC101">_xlfn.XLOOKUP(Table1[[#This Row],[5 cm2 cell test code]:[5 cm2 cell test code]],[1]!Table1[[Test code]:[Test code]],[1]!Table1[Anode ICR/mOhm],"",0)</f>
        <v>#REF!</v>
      </c>
      <c r="AD101" s="69" t="e" cm="1">
        <f t="array" ref="AD101">_xlfn.XLOOKUP(Table1[[#This Row],[5 cm2 cell test code]:[5 cm2 cell test code]],[1]!Table1[[Test code]:[Test code]],[1]!Table1[HFR DIW/ mOhm cm2],"",0)</f>
        <v>#REF!</v>
      </c>
      <c r="AE101" s="69" t="e" cm="1">
        <f t="array" ref="AE101">_xlfn.XLOOKUP(Table1[[#This Row],[5 cm2 cell test code]:[5 cm2 cell test code]],[1]!Table1[[Test code]:[Test code]],[1]!Table1[HFR 10 mM KOH/ mOhm cm2],"",0)</f>
        <v>#REF!</v>
      </c>
      <c r="AF101" s="69" t="e" cm="1">
        <f t="array" ref="AF101">_xlfn.XLOOKUP(Table1[[#This Row],[5 cm2 cell test code]:[5 cm2 cell test code]],[1]!Table1[[Test code]:[Test code]],[1]!Table1[Ionic resistance DIW/Ohm cm2],"",0)</f>
        <v>#REF!</v>
      </c>
      <c r="AG101" s="69" t="e" cm="1">
        <f t="array" ref="AG101">_xlfn.XLOOKUP(Table1[[#This Row],[5 cm2 cell test code]:[5 cm2 cell test code]],[1]!Table1[[Test code]:[Test code]],[1]!Table1[Q_int_frac DIW],"",0)</f>
        <v>#REF!</v>
      </c>
      <c r="AH101" s="69" t="e" cm="1">
        <f t="array" ref="AH101">_xlfn.XLOOKUP(Table1[[#This Row],[5 cm2 cell test code]:[5 cm2 cell test code]],[1]!Table1[[Test code]:[Test code]],[1]!Table1[Ionic resistance 10 mM KOH/Ohm cm2],"",0)</f>
        <v>#REF!</v>
      </c>
      <c r="AI101" s="69" t="e" cm="1">
        <f t="array" ref="AI101">_xlfn.XLOOKUP(Table1[[#This Row],[5 cm2 cell test code]:[5 cm2 cell test code]],[1]!Table1[[Test code]:[Test code]],[1]!Table1[Q_int_frac DIW 10 mM KOH],"",0)</f>
        <v>#REF!</v>
      </c>
      <c r="AJ101" s="69" t="e" cm="1">
        <f t="array" ref="AJ101">_xlfn.XLOOKUP(Table1[[#This Row],[5 cm2 cell test code]:[5 cm2 cell test code]],[1]!Table1[[Test code]:[Test code]],[1]!Table1[DIW conductivity (µS/cm)],"",0)</f>
        <v>#REF!</v>
      </c>
      <c r="AQ101" s="4" t="str">
        <v>VSG01A-23158C1.05</v>
      </c>
      <c r="AR101" s="95">
        <f>COUNTIFS(Table1[Anode PN (Stack/cell electrodes)],AQ101,Table1[ƞ at 20mAcm-2 (mV)],"&lt;&gt;")</f>
        <v>0</v>
      </c>
      <c r="AS101" s="95">
        <f>COUNTIFS(Table1[Anode PN (Stack/cell electrodes)],AQ101,Table1[i @ 1.8 V DIW (A/cm2)],"&lt;&gt;")</f>
        <v>1</v>
      </c>
      <c r="AT101" s="95">
        <f>COUNTIFS(Table1[Anode PN (Stack/cell electrodes)],AQ101,Table1[i at 1.8 V 10 mM KOH (A/cm2)],"&lt;&gt;")</f>
        <v>1</v>
      </c>
      <c r="AU101" s="95">
        <f>COUNTIFS(Table1[Anode PN (Stack/cell electrodes)],AQ101,Table1[Ionic resistance DIW/Ohm cm2],"&lt;&gt;")</f>
        <v>1</v>
      </c>
      <c r="AV101" s="95">
        <f>COUNTIFS(Table1[Anode PN (Stack/cell electrodes)],AQ101,Table1[Ionic resistance 10 mM KOH/Ohm cm2],"&lt;&gt;")</f>
        <v>1</v>
      </c>
    </row>
    <row r="102" spans="1:48">
      <c r="A102" s="81"/>
      <c r="K102" s="43" t="s">
        <v>59</v>
      </c>
      <c r="N102" s="11"/>
      <c r="U102" s="101"/>
      <c r="V102" s="101"/>
      <c r="W102" s="69" t="e" cm="1">
        <f t="array" ref="W102">_xlfn.XLOOKUP(Table1[[#This Row],[5 cm2 cell test code]:[5 cm2 cell test code]],[1]!Table1[[Test code]:[Test code]],[1]!Table1[i @ 1.8 V DIW (A/cm2)],"",0)</f>
        <v>#REF!</v>
      </c>
      <c r="X102" s="69" t="e" cm="1">
        <f t="array" ref="X102">_xlfn.XLOOKUP(Table1[[#This Row],[5 cm2 cell test code]:[5 cm2 cell test code]],[1]!Table1[[Test code]:[Test code]],[1]!Table1[i @ 1.8 V 10 mM KOH (A/cm2)],"",0)</f>
        <v>#REF!</v>
      </c>
      <c r="Y102" s="69" t="e" cm="1">
        <f t="array" ref="Y102">_xlfn.XLOOKUP(Table1[[#This Row],[5 cm2 cell test code]:[5 cm2 cell test code]],[1]!Table1[[Test code]:[Test code]],[1]!Table1[3-E ƞ at 20mAcm-2 (mV)],"",0)</f>
        <v>#REF!</v>
      </c>
      <c r="Z102" s="69" t="e" cm="1">
        <f t="array" ref="Z102">_xlfn.XLOOKUP(Table1[[#This Row],[5 cm2 cell test code]:[5 cm2 cell test code]],[1]!Table1[[Test code]:[Test code]],[1]!Table1[3-E Tafel slope (mV/dec)],"",0)</f>
        <v>#REF!</v>
      </c>
      <c r="AA102" s="69" t="e" cm="1">
        <f t="array" ref="AA102">_xlfn.XLOOKUP(Table1[[#This Row],[5 cm2 cell test code]:[5 cm2 cell test code]],[1]!Table1[[Test code]:[Test code]],[1]!Table1[E @ 100 mA/cm2 DIW/V],"",0)</f>
        <v>#REF!</v>
      </c>
      <c r="AB102" s="69" t="e" cm="1">
        <f t="array" ref="AB102">_xlfn.XLOOKUP(Table1[[#This Row],[5 cm2 cell test code]:[5 cm2 cell test code]],[1]!Table1[[Test code]:[Test code]],[1]!Table1[E @ 100 mA/cm2 10 mM KOH/V],"",0)</f>
        <v>#REF!</v>
      </c>
      <c r="AC102" s="69" t="e" cm="1">
        <f t="array" ref="AC102">_xlfn.XLOOKUP(Table1[[#This Row],[5 cm2 cell test code]:[5 cm2 cell test code]],[1]!Table1[[Test code]:[Test code]],[1]!Table1[Anode ICR/mOhm],"",0)</f>
        <v>#REF!</v>
      </c>
      <c r="AD102" s="69" t="e" cm="1">
        <f t="array" ref="AD102">_xlfn.XLOOKUP(Table1[[#This Row],[5 cm2 cell test code]:[5 cm2 cell test code]],[1]!Table1[[Test code]:[Test code]],[1]!Table1[HFR DIW/ mOhm cm2],"",0)</f>
        <v>#REF!</v>
      </c>
      <c r="AE102" s="69" t="e" cm="1">
        <f t="array" ref="AE102">_xlfn.XLOOKUP(Table1[[#This Row],[5 cm2 cell test code]:[5 cm2 cell test code]],[1]!Table1[[Test code]:[Test code]],[1]!Table1[HFR 10 mM KOH/ mOhm cm2],"",0)</f>
        <v>#REF!</v>
      </c>
      <c r="AF102" s="69" t="e" cm="1">
        <f t="array" ref="AF102">_xlfn.XLOOKUP(Table1[[#This Row],[5 cm2 cell test code]:[5 cm2 cell test code]],[1]!Table1[[Test code]:[Test code]],[1]!Table1[Ionic resistance DIW/Ohm cm2],"",0)</f>
        <v>#REF!</v>
      </c>
      <c r="AG102" s="69" t="e" cm="1">
        <f t="array" ref="AG102">_xlfn.XLOOKUP(Table1[[#This Row],[5 cm2 cell test code]:[5 cm2 cell test code]],[1]!Table1[[Test code]:[Test code]],[1]!Table1[Q_int_frac DIW],"",0)</f>
        <v>#REF!</v>
      </c>
      <c r="AH102" s="69" t="e" cm="1">
        <f t="array" ref="AH102">_xlfn.XLOOKUP(Table1[[#This Row],[5 cm2 cell test code]:[5 cm2 cell test code]],[1]!Table1[[Test code]:[Test code]],[1]!Table1[Ionic resistance 10 mM KOH/Ohm cm2],"",0)</f>
        <v>#REF!</v>
      </c>
      <c r="AI102" s="69" t="e" cm="1">
        <f t="array" ref="AI102">_xlfn.XLOOKUP(Table1[[#This Row],[5 cm2 cell test code]:[5 cm2 cell test code]],[1]!Table1[[Test code]:[Test code]],[1]!Table1[Q_int_frac DIW 10 mM KOH],"",0)</f>
        <v>#REF!</v>
      </c>
      <c r="AJ102" s="69" t="e" cm="1">
        <f t="array" ref="AJ102">_xlfn.XLOOKUP(Table1[[#This Row],[5 cm2 cell test code]:[5 cm2 cell test code]],[1]!Table1[[Test code]:[Test code]],[1]!Table1[DIW conductivity (µS/cm)],"",0)</f>
        <v>#REF!</v>
      </c>
      <c r="AQ102" s="4" t="str">
        <v>VSG01A-23162C1</v>
      </c>
      <c r="AR102" s="95">
        <f>COUNTIFS(Table1[Anode PN (Stack/cell electrodes)],AQ102,Table1[ƞ at 20mAcm-2 (mV)],"&lt;&gt;")</f>
        <v>0</v>
      </c>
      <c r="AS102" s="95">
        <f>COUNTIFS(Table1[Anode PN (Stack/cell electrodes)],AQ102,Table1[i @ 1.8 V DIW (A/cm2)],"&lt;&gt;")</f>
        <v>1</v>
      </c>
      <c r="AT102" s="95">
        <f>COUNTIFS(Table1[Anode PN (Stack/cell electrodes)],AQ102,Table1[i at 1.8 V 10 mM KOH (A/cm2)],"&lt;&gt;")</f>
        <v>1</v>
      </c>
      <c r="AU102" s="95">
        <f>COUNTIFS(Table1[Anode PN (Stack/cell electrodes)],AQ102,Table1[Ionic resistance DIW/Ohm cm2],"&lt;&gt;")</f>
        <v>1</v>
      </c>
      <c r="AV102" s="95">
        <f>COUNTIFS(Table1[Anode PN (Stack/cell electrodes)],AQ102,Table1[Ionic resistance 10 mM KOH/Ohm cm2],"&lt;&gt;")</f>
        <v>1</v>
      </c>
    </row>
    <row r="103" spans="1:48">
      <c r="A103" s="81"/>
      <c r="B103" s="11" t="s">
        <v>244</v>
      </c>
      <c r="C103" s="4" t="s">
        <v>245</v>
      </c>
      <c r="I103" s="11" t="s">
        <v>219</v>
      </c>
      <c r="J103" s="11" t="s">
        <v>134</v>
      </c>
      <c r="K103" s="43" t="s">
        <v>59</v>
      </c>
      <c r="N103" s="11">
        <v>4.0599999999999996</v>
      </c>
      <c r="U103" s="101"/>
      <c r="V103" s="101"/>
      <c r="W103" s="69" t="e" cm="1">
        <f t="array" ref="W103">_xlfn.XLOOKUP(Table1[[#This Row],[5 cm2 cell test code]:[5 cm2 cell test code]],[1]!Table1[[Test code]:[Test code]],[1]!Table1[i @ 1.8 V DIW (A/cm2)],"",0)</f>
        <v>#REF!</v>
      </c>
      <c r="X103" s="69" t="e" cm="1">
        <f t="array" ref="X103">_xlfn.XLOOKUP(Table1[[#This Row],[5 cm2 cell test code]:[5 cm2 cell test code]],[1]!Table1[[Test code]:[Test code]],[1]!Table1[i @ 1.8 V 10 mM KOH (A/cm2)],"",0)</f>
        <v>#REF!</v>
      </c>
      <c r="Y103" s="69" t="e" cm="1">
        <f t="array" ref="Y103">_xlfn.XLOOKUP(Table1[[#This Row],[5 cm2 cell test code]:[5 cm2 cell test code]],[1]!Table1[[Test code]:[Test code]],[1]!Table1[3-E ƞ at 20mAcm-2 (mV)],"",0)</f>
        <v>#REF!</v>
      </c>
      <c r="Z103" s="69" t="e" cm="1">
        <f t="array" ref="Z103">_xlfn.XLOOKUP(Table1[[#This Row],[5 cm2 cell test code]:[5 cm2 cell test code]],[1]!Table1[[Test code]:[Test code]],[1]!Table1[3-E Tafel slope (mV/dec)],"",0)</f>
        <v>#REF!</v>
      </c>
      <c r="AA103" s="69" t="e" cm="1">
        <f t="array" ref="AA103">_xlfn.XLOOKUP(Table1[[#This Row],[5 cm2 cell test code]:[5 cm2 cell test code]],[1]!Table1[[Test code]:[Test code]],[1]!Table1[E @ 100 mA/cm2 DIW/V],"",0)</f>
        <v>#REF!</v>
      </c>
      <c r="AB103" s="69" t="e" cm="1">
        <f t="array" ref="AB103">_xlfn.XLOOKUP(Table1[[#This Row],[5 cm2 cell test code]:[5 cm2 cell test code]],[1]!Table1[[Test code]:[Test code]],[1]!Table1[E @ 100 mA/cm2 10 mM KOH/V],"",0)</f>
        <v>#REF!</v>
      </c>
      <c r="AC103" s="69" t="e" cm="1">
        <f t="array" ref="AC103">_xlfn.XLOOKUP(Table1[[#This Row],[5 cm2 cell test code]:[5 cm2 cell test code]],[1]!Table1[[Test code]:[Test code]],[1]!Table1[Anode ICR/mOhm],"",0)</f>
        <v>#REF!</v>
      </c>
      <c r="AD103" s="69" t="e" cm="1">
        <f t="array" ref="AD103">_xlfn.XLOOKUP(Table1[[#This Row],[5 cm2 cell test code]:[5 cm2 cell test code]],[1]!Table1[[Test code]:[Test code]],[1]!Table1[HFR DIW/ mOhm cm2],"",0)</f>
        <v>#REF!</v>
      </c>
      <c r="AE103" s="69" t="e" cm="1">
        <f t="array" ref="AE103">_xlfn.XLOOKUP(Table1[[#This Row],[5 cm2 cell test code]:[5 cm2 cell test code]],[1]!Table1[[Test code]:[Test code]],[1]!Table1[HFR 10 mM KOH/ mOhm cm2],"",0)</f>
        <v>#REF!</v>
      </c>
      <c r="AF103" s="69" t="e" cm="1">
        <f t="array" ref="AF103">_xlfn.XLOOKUP(Table1[[#This Row],[5 cm2 cell test code]:[5 cm2 cell test code]],[1]!Table1[[Test code]:[Test code]],[1]!Table1[Ionic resistance DIW/Ohm cm2],"",0)</f>
        <v>#REF!</v>
      </c>
      <c r="AG103" s="69" t="e" cm="1">
        <f t="array" ref="AG103">_xlfn.XLOOKUP(Table1[[#This Row],[5 cm2 cell test code]:[5 cm2 cell test code]],[1]!Table1[[Test code]:[Test code]],[1]!Table1[Q_int_frac DIW],"",0)</f>
        <v>#REF!</v>
      </c>
      <c r="AH103" s="69" t="e" cm="1">
        <f t="array" ref="AH103">_xlfn.XLOOKUP(Table1[[#This Row],[5 cm2 cell test code]:[5 cm2 cell test code]],[1]!Table1[[Test code]:[Test code]],[1]!Table1[Ionic resistance 10 mM KOH/Ohm cm2],"",0)</f>
        <v>#REF!</v>
      </c>
      <c r="AI103" s="69" t="e" cm="1">
        <f t="array" ref="AI103">_xlfn.XLOOKUP(Table1[[#This Row],[5 cm2 cell test code]:[5 cm2 cell test code]],[1]!Table1[[Test code]:[Test code]],[1]!Table1[Q_int_frac DIW 10 mM KOH],"",0)</f>
        <v>#REF!</v>
      </c>
      <c r="AJ103" s="69" t="e" cm="1">
        <f t="array" ref="AJ103">_xlfn.XLOOKUP(Table1[[#This Row],[5 cm2 cell test code]:[5 cm2 cell test code]],[1]!Table1[[Test code]:[Test code]],[1]!Table1[DIW conductivity (µS/cm)],"",0)</f>
        <v>#REF!</v>
      </c>
      <c r="AQ103" s="4" t="str">
        <v>VSG01A-23162C1.01</v>
      </c>
      <c r="AR103" s="95">
        <f>COUNTIFS(Table1[Anode PN (Stack/cell electrodes)],AQ103,Table1[ƞ at 20mAcm-2 (mV)],"&lt;&gt;")</f>
        <v>0</v>
      </c>
      <c r="AS103" s="95">
        <f>COUNTIFS(Table1[Anode PN (Stack/cell electrodes)],AQ103,Table1[i @ 1.8 V DIW (A/cm2)],"&lt;&gt;")</f>
        <v>1</v>
      </c>
      <c r="AT103" s="95">
        <f>COUNTIFS(Table1[Anode PN (Stack/cell electrodes)],AQ103,Table1[i at 1.8 V 10 mM KOH (A/cm2)],"&lt;&gt;")</f>
        <v>1</v>
      </c>
      <c r="AU103" s="95">
        <f>COUNTIFS(Table1[Anode PN (Stack/cell electrodes)],AQ103,Table1[Ionic resistance DIW/Ohm cm2],"&lt;&gt;")</f>
        <v>1</v>
      </c>
      <c r="AV103" s="95">
        <f>COUNTIFS(Table1[Anode PN (Stack/cell electrodes)],AQ103,Table1[Ionic resistance 10 mM KOH/Ohm cm2],"&lt;&gt;")</f>
        <v>1</v>
      </c>
    </row>
    <row r="104" spans="1:48">
      <c r="A104" s="81"/>
      <c r="B104" s="11" t="s">
        <v>246</v>
      </c>
      <c r="C104" s="4" t="s">
        <v>247</v>
      </c>
      <c r="I104" s="11" t="s">
        <v>219</v>
      </c>
      <c r="K104" s="43" t="s">
        <v>59</v>
      </c>
      <c r="N104" s="11">
        <v>2.96</v>
      </c>
      <c r="U104" s="101"/>
      <c r="V104" s="101"/>
      <c r="W104" s="69" t="e" cm="1">
        <f t="array" ref="W104">_xlfn.XLOOKUP(Table1[[#This Row],[5 cm2 cell test code]:[5 cm2 cell test code]],[1]!Table1[[Test code]:[Test code]],[1]!Table1[i @ 1.8 V DIW (A/cm2)],"",0)</f>
        <v>#REF!</v>
      </c>
      <c r="X104" s="69" t="e" cm="1">
        <f t="array" ref="X104">_xlfn.XLOOKUP(Table1[[#This Row],[5 cm2 cell test code]:[5 cm2 cell test code]],[1]!Table1[[Test code]:[Test code]],[1]!Table1[i @ 1.8 V 10 mM KOH (A/cm2)],"",0)</f>
        <v>#REF!</v>
      </c>
      <c r="Y104" s="69" t="e" cm="1">
        <f t="array" ref="Y104">_xlfn.XLOOKUP(Table1[[#This Row],[5 cm2 cell test code]:[5 cm2 cell test code]],[1]!Table1[[Test code]:[Test code]],[1]!Table1[3-E ƞ at 20mAcm-2 (mV)],"",0)</f>
        <v>#REF!</v>
      </c>
      <c r="Z104" s="69" t="e" cm="1">
        <f t="array" ref="Z104">_xlfn.XLOOKUP(Table1[[#This Row],[5 cm2 cell test code]:[5 cm2 cell test code]],[1]!Table1[[Test code]:[Test code]],[1]!Table1[3-E Tafel slope (mV/dec)],"",0)</f>
        <v>#REF!</v>
      </c>
      <c r="AA104" s="69" t="e" cm="1">
        <f t="array" ref="AA104">_xlfn.XLOOKUP(Table1[[#This Row],[5 cm2 cell test code]:[5 cm2 cell test code]],[1]!Table1[[Test code]:[Test code]],[1]!Table1[E @ 100 mA/cm2 DIW/V],"",0)</f>
        <v>#REF!</v>
      </c>
      <c r="AB104" s="69" t="e" cm="1">
        <f t="array" ref="AB104">_xlfn.XLOOKUP(Table1[[#This Row],[5 cm2 cell test code]:[5 cm2 cell test code]],[1]!Table1[[Test code]:[Test code]],[1]!Table1[E @ 100 mA/cm2 10 mM KOH/V],"",0)</f>
        <v>#REF!</v>
      </c>
      <c r="AC104" s="69" t="e" cm="1">
        <f t="array" ref="AC104">_xlfn.XLOOKUP(Table1[[#This Row],[5 cm2 cell test code]:[5 cm2 cell test code]],[1]!Table1[[Test code]:[Test code]],[1]!Table1[Anode ICR/mOhm],"",0)</f>
        <v>#REF!</v>
      </c>
      <c r="AD104" s="69" t="e" cm="1">
        <f t="array" ref="AD104">_xlfn.XLOOKUP(Table1[[#This Row],[5 cm2 cell test code]:[5 cm2 cell test code]],[1]!Table1[[Test code]:[Test code]],[1]!Table1[HFR DIW/ mOhm cm2],"",0)</f>
        <v>#REF!</v>
      </c>
      <c r="AE104" s="69" t="e" cm="1">
        <f t="array" ref="AE104">_xlfn.XLOOKUP(Table1[[#This Row],[5 cm2 cell test code]:[5 cm2 cell test code]],[1]!Table1[[Test code]:[Test code]],[1]!Table1[HFR 10 mM KOH/ mOhm cm2],"",0)</f>
        <v>#REF!</v>
      </c>
      <c r="AF104" s="69" t="e" cm="1">
        <f t="array" ref="AF104">_xlfn.XLOOKUP(Table1[[#This Row],[5 cm2 cell test code]:[5 cm2 cell test code]],[1]!Table1[[Test code]:[Test code]],[1]!Table1[Ionic resistance DIW/Ohm cm2],"",0)</f>
        <v>#REF!</v>
      </c>
      <c r="AG104" s="69" t="e" cm="1">
        <f t="array" ref="AG104">_xlfn.XLOOKUP(Table1[[#This Row],[5 cm2 cell test code]:[5 cm2 cell test code]],[1]!Table1[[Test code]:[Test code]],[1]!Table1[Q_int_frac DIW],"",0)</f>
        <v>#REF!</v>
      </c>
      <c r="AH104" s="69" t="e" cm="1">
        <f t="array" ref="AH104">_xlfn.XLOOKUP(Table1[[#This Row],[5 cm2 cell test code]:[5 cm2 cell test code]],[1]!Table1[[Test code]:[Test code]],[1]!Table1[Ionic resistance 10 mM KOH/Ohm cm2],"",0)</f>
        <v>#REF!</v>
      </c>
      <c r="AI104" s="69" t="e" cm="1">
        <f t="array" ref="AI104">_xlfn.XLOOKUP(Table1[[#This Row],[5 cm2 cell test code]:[5 cm2 cell test code]],[1]!Table1[[Test code]:[Test code]],[1]!Table1[Q_int_frac DIW 10 mM KOH],"",0)</f>
        <v>#REF!</v>
      </c>
      <c r="AJ104" s="69" t="e" cm="1">
        <f t="array" ref="AJ104">_xlfn.XLOOKUP(Table1[[#This Row],[5 cm2 cell test code]:[5 cm2 cell test code]],[1]!Table1[[Test code]:[Test code]],[1]!Table1[DIW conductivity (µS/cm)],"",0)</f>
        <v>#REF!</v>
      </c>
      <c r="AQ104" s="4" t="str">
        <v>VSG01A-23162C1.02</v>
      </c>
      <c r="AR104" s="95">
        <f>COUNTIFS(Table1[Anode PN (Stack/cell electrodes)],AQ104,Table1[ƞ at 20mAcm-2 (mV)],"&lt;&gt;")</f>
        <v>0</v>
      </c>
      <c r="AS104" s="95">
        <f>COUNTIFS(Table1[Anode PN (Stack/cell electrodes)],AQ104,Table1[i @ 1.8 V DIW (A/cm2)],"&lt;&gt;")</f>
        <v>1</v>
      </c>
      <c r="AT104" s="95">
        <f>COUNTIFS(Table1[Anode PN (Stack/cell electrodes)],AQ104,Table1[i at 1.8 V 10 mM KOH (A/cm2)],"&lt;&gt;")</f>
        <v>1</v>
      </c>
      <c r="AU104" s="95">
        <f>COUNTIFS(Table1[Anode PN (Stack/cell electrodes)],AQ104,Table1[Ionic resistance DIW/Ohm cm2],"&lt;&gt;")</f>
        <v>1</v>
      </c>
      <c r="AV104" s="95">
        <f>COUNTIFS(Table1[Anode PN (Stack/cell electrodes)],AQ104,Table1[Ionic resistance 10 mM KOH/Ohm cm2],"&lt;&gt;")</f>
        <v>1</v>
      </c>
    </row>
    <row r="105" spans="1:48">
      <c r="A105" s="81"/>
      <c r="B105" s="11" t="s">
        <v>248</v>
      </c>
      <c r="C105" s="4" t="s">
        <v>249</v>
      </c>
      <c r="I105" s="11" t="s">
        <v>219</v>
      </c>
      <c r="K105" s="43" t="s">
        <v>59</v>
      </c>
      <c r="N105" s="13">
        <v>0</v>
      </c>
      <c r="U105" s="101"/>
      <c r="V105" s="101"/>
      <c r="W105" s="69" t="e" cm="1">
        <f t="array" ref="W105">_xlfn.XLOOKUP(Table1[[#This Row],[5 cm2 cell test code]:[5 cm2 cell test code]],[1]!Table1[[Test code]:[Test code]],[1]!Table1[i @ 1.8 V DIW (A/cm2)],"",0)</f>
        <v>#REF!</v>
      </c>
      <c r="X105" s="69" t="e" cm="1">
        <f t="array" ref="X105">_xlfn.XLOOKUP(Table1[[#This Row],[5 cm2 cell test code]:[5 cm2 cell test code]],[1]!Table1[[Test code]:[Test code]],[1]!Table1[i @ 1.8 V 10 mM KOH (A/cm2)],"",0)</f>
        <v>#REF!</v>
      </c>
      <c r="Y105" s="69" t="e" cm="1">
        <f t="array" ref="Y105">_xlfn.XLOOKUP(Table1[[#This Row],[5 cm2 cell test code]:[5 cm2 cell test code]],[1]!Table1[[Test code]:[Test code]],[1]!Table1[3-E ƞ at 20mAcm-2 (mV)],"",0)</f>
        <v>#REF!</v>
      </c>
      <c r="Z105" s="69" t="e" cm="1">
        <f t="array" ref="Z105">_xlfn.XLOOKUP(Table1[[#This Row],[5 cm2 cell test code]:[5 cm2 cell test code]],[1]!Table1[[Test code]:[Test code]],[1]!Table1[3-E Tafel slope (mV/dec)],"",0)</f>
        <v>#REF!</v>
      </c>
      <c r="AA105" s="69" t="e" cm="1">
        <f t="array" ref="AA105">_xlfn.XLOOKUP(Table1[[#This Row],[5 cm2 cell test code]:[5 cm2 cell test code]],[1]!Table1[[Test code]:[Test code]],[1]!Table1[E @ 100 mA/cm2 DIW/V],"",0)</f>
        <v>#REF!</v>
      </c>
      <c r="AB105" s="69" t="e" cm="1">
        <f t="array" ref="AB105">_xlfn.XLOOKUP(Table1[[#This Row],[5 cm2 cell test code]:[5 cm2 cell test code]],[1]!Table1[[Test code]:[Test code]],[1]!Table1[E @ 100 mA/cm2 10 mM KOH/V],"",0)</f>
        <v>#REF!</v>
      </c>
      <c r="AC105" s="69" t="e" cm="1">
        <f t="array" ref="AC105">_xlfn.XLOOKUP(Table1[[#This Row],[5 cm2 cell test code]:[5 cm2 cell test code]],[1]!Table1[[Test code]:[Test code]],[1]!Table1[Anode ICR/mOhm],"",0)</f>
        <v>#REF!</v>
      </c>
      <c r="AD105" s="69" t="e" cm="1">
        <f t="array" ref="AD105">_xlfn.XLOOKUP(Table1[[#This Row],[5 cm2 cell test code]:[5 cm2 cell test code]],[1]!Table1[[Test code]:[Test code]],[1]!Table1[HFR DIW/ mOhm cm2],"",0)</f>
        <v>#REF!</v>
      </c>
      <c r="AE105" s="69" t="e" cm="1">
        <f t="array" ref="AE105">_xlfn.XLOOKUP(Table1[[#This Row],[5 cm2 cell test code]:[5 cm2 cell test code]],[1]!Table1[[Test code]:[Test code]],[1]!Table1[HFR 10 mM KOH/ mOhm cm2],"",0)</f>
        <v>#REF!</v>
      </c>
      <c r="AF105" s="69" t="e" cm="1">
        <f t="array" ref="AF105">_xlfn.XLOOKUP(Table1[[#This Row],[5 cm2 cell test code]:[5 cm2 cell test code]],[1]!Table1[[Test code]:[Test code]],[1]!Table1[Ionic resistance DIW/Ohm cm2],"",0)</f>
        <v>#REF!</v>
      </c>
      <c r="AG105" s="69" t="e" cm="1">
        <f t="array" ref="AG105">_xlfn.XLOOKUP(Table1[[#This Row],[5 cm2 cell test code]:[5 cm2 cell test code]],[1]!Table1[[Test code]:[Test code]],[1]!Table1[Q_int_frac DIW],"",0)</f>
        <v>#REF!</v>
      </c>
      <c r="AH105" s="69" t="e" cm="1">
        <f t="array" ref="AH105">_xlfn.XLOOKUP(Table1[[#This Row],[5 cm2 cell test code]:[5 cm2 cell test code]],[1]!Table1[[Test code]:[Test code]],[1]!Table1[Ionic resistance 10 mM KOH/Ohm cm2],"",0)</f>
        <v>#REF!</v>
      </c>
      <c r="AI105" s="69" t="e" cm="1">
        <f t="array" ref="AI105">_xlfn.XLOOKUP(Table1[[#This Row],[5 cm2 cell test code]:[5 cm2 cell test code]],[1]!Table1[[Test code]:[Test code]],[1]!Table1[Q_int_frac DIW 10 mM KOH],"",0)</f>
        <v>#REF!</v>
      </c>
      <c r="AJ105" s="69" t="e" cm="1">
        <f t="array" ref="AJ105">_xlfn.XLOOKUP(Table1[[#This Row],[5 cm2 cell test code]:[5 cm2 cell test code]],[1]!Table1[[Test code]:[Test code]],[1]!Table1[DIW conductivity (µS/cm)],"",0)</f>
        <v>#REF!</v>
      </c>
      <c r="AQ105" s="4" t="str">
        <v>VSG01A-23162C1.03</v>
      </c>
      <c r="AR105" s="95">
        <f>COUNTIFS(Table1[Anode PN (Stack/cell electrodes)],AQ105,Table1[ƞ at 20mAcm-2 (mV)],"&lt;&gt;")</f>
        <v>0</v>
      </c>
      <c r="AS105" s="95">
        <f>COUNTIFS(Table1[Anode PN (Stack/cell electrodes)],AQ105,Table1[i @ 1.8 V DIW (A/cm2)],"&lt;&gt;")</f>
        <v>1</v>
      </c>
      <c r="AT105" s="95">
        <f>COUNTIFS(Table1[Anode PN (Stack/cell electrodes)],AQ105,Table1[i at 1.8 V 10 mM KOH (A/cm2)],"&lt;&gt;")</f>
        <v>1</v>
      </c>
      <c r="AU105" s="95">
        <f>COUNTIFS(Table1[Anode PN (Stack/cell electrodes)],AQ105,Table1[Ionic resistance DIW/Ohm cm2],"&lt;&gt;")</f>
        <v>1</v>
      </c>
      <c r="AV105" s="95">
        <f>COUNTIFS(Table1[Anode PN (Stack/cell electrodes)],AQ105,Table1[Ionic resistance 10 mM KOH/Ohm cm2],"&lt;&gt;")</f>
        <v>1</v>
      </c>
    </row>
    <row r="106" spans="1:48">
      <c r="A106" s="81"/>
      <c r="B106" s="11" t="s">
        <v>250</v>
      </c>
      <c r="C106" s="4" t="s">
        <v>228</v>
      </c>
      <c r="I106" s="11" t="s">
        <v>219</v>
      </c>
      <c r="K106" s="43" t="s">
        <v>59</v>
      </c>
      <c r="M106" s="13">
        <v>-0.58399999999999996</v>
      </c>
      <c r="N106" s="13">
        <v>4.6669999999999998</v>
      </c>
      <c r="R106" s="4">
        <v>0.94499999999999995</v>
      </c>
      <c r="S106" s="4">
        <v>220.61</v>
      </c>
      <c r="T106" s="4">
        <v>37.39</v>
      </c>
      <c r="U106" s="101"/>
      <c r="V106" s="101"/>
      <c r="W106" s="69" t="e" cm="1">
        <f t="array" ref="W106">_xlfn.XLOOKUP(Table1[[#This Row],[5 cm2 cell test code]:[5 cm2 cell test code]],[1]!Table1[[Test code]:[Test code]],[1]!Table1[i @ 1.8 V DIW (A/cm2)],"",0)</f>
        <v>#REF!</v>
      </c>
      <c r="X106" s="69" t="e" cm="1">
        <f t="array" ref="X106">_xlfn.XLOOKUP(Table1[[#This Row],[5 cm2 cell test code]:[5 cm2 cell test code]],[1]!Table1[[Test code]:[Test code]],[1]!Table1[i @ 1.8 V 10 mM KOH (A/cm2)],"",0)</f>
        <v>#REF!</v>
      </c>
      <c r="Y106" s="69" t="e" cm="1">
        <f t="array" ref="Y106">_xlfn.XLOOKUP(Table1[[#This Row],[5 cm2 cell test code]:[5 cm2 cell test code]],[1]!Table1[[Test code]:[Test code]],[1]!Table1[3-E ƞ at 20mAcm-2 (mV)],"",0)</f>
        <v>#REF!</v>
      </c>
      <c r="Z106" s="69" t="e" cm="1">
        <f t="array" ref="Z106">_xlfn.XLOOKUP(Table1[[#This Row],[5 cm2 cell test code]:[5 cm2 cell test code]],[1]!Table1[[Test code]:[Test code]],[1]!Table1[3-E Tafel slope (mV/dec)],"",0)</f>
        <v>#REF!</v>
      </c>
      <c r="AA106" s="69" t="e" cm="1">
        <f t="array" ref="AA106">_xlfn.XLOOKUP(Table1[[#This Row],[5 cm2 cell test code]:[5 cm2 cell test code]],[1]!Table1[[Test code]:[Test code]],[1]!Table1[E @ 100 mA/cm2 DIW/V],"",0)</f>
        <v>#REF!</v>
      </c>
      <c r="AB106" s="69" t="e" cm="1">
        <f t="array" ref="AB106">_xlfn.XLOOKUP(Table1[[#This Row],[5 cm2 cell test code]:[5 cm2 cell test code]],[1]!Table1[[Test code]:[Test code]],[1]!Table1[E @ 100 mA/cm2 10 mM KOH/V],"",0)</f>
        <v>#REF!</v>
      </c>
      <c r="AC106" s="69" t="e" cm="1">
        <f t="array" ref="AC106">_xlfn.XLOOKUP(Table1[[#This Row],[5 cm2 cell test code]:[5 cm2 cell test code]],[1]!Table1[[Test code]:[Test code]],[1]!Table1[Anode ICR/mOhm],"",0)</f>
        <v>#REF!</v>
      </c>
      <c r="AD106" s="69" t="e" cm="1">
        <f t="array" ref="AD106">_xlfn.XLOOKUP(Table1[[#This Row],[5 cm2 cell test code]:[5 cm2 cell test code]],[1]!Table1[[Test code]:[Test code]],[1]!Table1[HFR DIW/ mOhm cm2],"",0)</f>
        <v>#REF!</v>
      </c>
      <c r="AE106" s="69" t="e" cm="1">
        <f t="array" ref="AE106">_xlfn.XLOOKUP(Table1[[#This Row],[5 cm2 cell test code]:[5 cm2 cell test code]],[1]!Table1[[Test code]:[Test code]],[1]!Table1[HFR 10 mM KOH/ mOhm cm2],"",0)</f>
        <v>#REF!</v>
      </c>
      <c r="AF106" s="69" t="e" cm="1">
        <f t="array" ref="AF106">_xlfn.XLOOKUP(Table1[[#This Row],[5 cm2 cell test code]:[5 cm2 cell test code]],[1]!Table1[[Test code]:[Test code]],[1]!Table1[Ionic resistance DIW/Ohm cm2],"",0)</f>
        <v>#REF!</v>
      </c>
      <c r="AG106" s="69" t="e" cm="1">
        <f t="array" ref="AG106">_xlfn.XLOOKUP(Table1[[#This Row],[5 cm2 cell test code]:[5 cm2 cell test code]],[1]!Table1[[Test code]:[Test code]],[1]!Table1[Q_int_frac DIW],"",0)</f>
        <v>#REF!</v>
      </c>
      <c r="AH106" s="69" t="e" cm="1">
        <f t="array" ref="AH106">_xlfn.XLOOKUP(Table1[[#This Row],[5 cm2 cell test code]:[5 cm2 cell test code]],[1]!Table1[[Test code]:[Test code]],[1]!Table1[Ionic resistance 10 mM KOH/Ohm cm2],"",0)</f>
        <v>#REF!</v>
      </c>
      <c r="AI106" s="69" t="e" cm="1">
        <f t="array" ref="AI106">_xlfn.XLOOKUP(Table1[[#This Row],[5 cm2 cell test code]:[5 cm2 cell test code]],[1]!Table1[[Test code]:[Test code]],[1]!Table1[Q_int_frac DIW 10 mM KOH],"",0)</f>
        <v>#REF!</v>
      </c>
      <c r="AJ106" s="69" t="e" cm="1">
        <f t="array" ref="AJ106">_xlfn.XLOOKUP(Table1[[#This Row],[5 cm2 cell test code]:[5 cm2 cell test code]],[1]!Table1[[Test code]:[Test code]],[1]!Table1[DIW conductivity (µS/cm)],"",0)</f>
        <v>#REF!</v>
      </c>
      <c r="AQ106" s="4" t="str">
        <v>VSG01A-23162C1.04</v>
      </c>
      <c r="AR106" s="95">
        <f>COUNTIFS(Table1[Anode PN (Stack/cell electrodes)],AQ106,Table1[ƞ at 20mAcm-2 (mV)],"&lt;&gt;")</f>
        <v>0</v>
      </c>
      <c r="AS106" s="95">
        <f>COUNTIFS(Table1[Anode PN (Stack/cell electrodes)],AQ106,Table1[i @ 1.8 V DIW (A/cm2)],"&lt;&gt;")</f>
        <v>1</v>
      </c>
      <c r="AT106" s="95">
        <f>COUNTIFS(Table1[Anode PN (Stack/cell electrodes)],AQ106,Table1[i at 1.8 V 10 mM KOH (A/cm2)],"&lt;&gt;")</f>
        <v>1</v>
      </c>
      <c r="AU106" s="95">
        <f>COUNTIFS(Table1[Anode PN (Stack/cell electrodes)],AQ106,Table1[Ionic resistance DIW/Ohm cm2],"&lt;&gt;")</f>
        <v>1</v>
      </c>
      <c r="AV106" s="95">
        <f>COUNTIFS(Table1[Anode PN (Stack/cell electrodes)],AQ106,Table1[Ionic resistance 10 mM KOH/Ohm cm2],"&lt;&gt;")</f>
        <v>1</v>
      </c>
    </row>
    <row r="107" spans="1:48">
      <c r="A107" s="81"/>
      <c r="K107" s="43" t="s">
        <v>59</v>
      </c>
      <c r="U107" s="101"/>
      <c r="V107" s="101"/>
      <c r="W107" s="69" t="e" cm="1">
        <f t="array" ref="W107">_xlfn.XLOOKUP(Table1[[#This Row],[5 cm2 cell test code]:[5 cm2 cell test code]],[1]!Table1[[Test code]:[Test code]],[1]!Table1[i @ 1.8 V DIW (A/cm2)],"",0)</f>
        <v>#REF!</v>
      </c>
      <c r="X107" s="69" t="e" cm="1">
        <f t="array" ref="X107">_xlfn.XLOOKUP(Table1[[#This Row],[5 cm2 cell test code]:[5 cm2 cell test code]],[1]!Table1[[Test code]:[Test code]],[1]!Table1[i @ 1.8 V 10 mM KOH (A/cm2)],"",0)</f>
        <v>#REF!</v>
      </c>
      <c r="Y107" s="69" t="e" cm="1">
        <f t="array" ref="Y107">_xlfn.XLOOKUP(Table1[[#This Row],[5 cm2 cell test code]:[5 cm2 cell test code]],[1]!Table1[[Test code]:[Test code]],[1]!Table1[3-E ƞ at 20mAcm-2 (mV)],"",0)</f>
        <v>#REF!</v>
      </c>
      <c r="Z107" s="69" t="e" cm="1">
        <f t="array" ref="Z107">_xlfn.XLOOKUP(Table1[[#This Row],[5 cm2 cell test code]:[5 cm2 cell test code]],[1]!Table1[[Test code]:[Test code]],[1]!Table1[3-E Tafel slope (mV/dec)],"",0)</f>
        <v>#REF!</v>
      </c>
      <c r="AA107" s="69" t="e" cm="1">
        <f t="array" ref="AA107">_xlfn.XLOOKUP(Table1[[#This Row],[5 cm2 cell test code]:[5 cm2 cell test code]],[1]!Table1[[Test code]:[Test code]],[1]!Table1[E @ 100 mA/cm2 DIW/V],"",0)</f>
        <v>#REF!</v>
      </c>
      <c r="AB107" s="69" t="e" cm="1">
        <f t="array" ref="AB107">_xlfn.XLOOKUP(Table1[[#This Row],[5 cm2 cell test code]:[5 cm2 cell test code]],[1]!Table1[[Test code]:[Test code]],[1]!Table1[E @ 100 mA/cm2 10 mM KOH/V],"",0)</f>
        <v>#REF!</v>
      </c>
      <c r="AC107" s="69" t="e" cm="1">
        <f t="array" ref="AC107">_xlfn.XLOOKUP(Table1[[#This Row],[5 cm2 cell test code]:[5 cm2 cell test code]],[1]!Table1[[Test code]:[Test code]],[1]!Table1[Anode ICR/mOhm],"",0)</f>
        <v>#REF!</v>
      </c>
      <c r="AD107" s="69" t="e" cm="1">
        <f t="array" ref="AD107">_xlfn.XLOOKUP(Table1[[#This Row],[5 cm2 cell test code]:[5 cm2 cell test code]],[1]!Table1[[Test code]:[Test code]],[1]!Table1[HFR DIW/ mOhm cm2],"",0)</f>
        <v>#REF!</v>
      </c>
      <c r="AE107" s="69" t="e" cm="1">
        <f t="array" ref="AE107">_xlfn.XLOOKUP(Table1[[#This Row],[5 cm2 cell test code]:[5 cm2 cell test code]],[1]!Table1[[Test code]:[Test code]],[1]!Table1[HFR 10 mM KOH/ mOhm cm2],"",0)</f>
        <v>#REF!</v>
      </c>
      <c r="AF107" s="69" t="e" cm="1">
        <f t="array" ref="AF107">_xlfn.XLOOKUP(Table1[[#This Row],[5 cm2 cell test code]:[5 cm2 cell test code]],[1]!Table1[[Test code]:[Test code]],[1]!Table1[Ionic resistance DIW/Ohm cm2],"",0)</f>
        <v>#REF!</v>
      </c>
      <c r="AG107" s="69" t="e" cm="1">
        <f t="array" ref="AG107">_xlfn.XLOOKUP(Table1[[#This Row],[5 cm2 cell test code]:[5 cm2 cell test code]],[1]!Table1[[Test code]:[Test code]],[1]!Table1[Q_int_frac DIW],"",0)</f>
        <v>#REF!</v>
      </c>
      <c r="AH107" s="69" t="e" cm="1">
        <f t="array" ref="AH107">_xlfn.XLOOKUP(Table1[[#This Row],[5 cm2 cell test code]:[5 cm2 cell test code]],[1]!Table1[[Test code]:[Test code]],[1]!Table1[Ionic resistance 10 mM KOH/Ohm cm2],"",0)</f>
        <v>#REF!</v>
      </c>
      <c r="AI107" s="69" t="e" cm="1">
        <f t="array" ref="AI107">_xlfn.XLOOKUP(Table1[[#This Row],[5 cm2 cell test code]:[5 cm2 cell test code]],[1]!Table1[[Test code]:[Test code]],[1]!Table1[Q_int_frac DIW 10 mM KOH],"",0)</f>
        <v>#REF!</v>
      </c>
      <c r="AJ107" s="69" t="e" cm="1">
        <f t="array" ref="AJ107">_xlfn.XLOOKUP(Table1[[#This Row],[5 cm2 cell test code]:[5 cm2 cell test code]],[1]!Table1[[Test code]:[Test code]],[1]!Table1[DIW conductivity (µS/cm)],"",0)</f>
        <v>#REF!</v>
      </c>
      <c r="AQ107" s="4" t="str">
        <v>VSG01A-23163C1</v>
      </c>
      <c r="AR107" s="95">
        <f>COUNTIFS(Table1[Anode PN (Stack/cell electrodes)],AQ107,Table1[ƞ at 20mAcm-2 (mV)],"&lt;&gt;")</f>
        <v>1</v>
      </c>
      <c r="AS107" s="95">
        <f>COUNTIFS(Table1[Anode PN (Stack/cell electrodes)],AQ107,Table1[i @ 1.8 V DIW (A/cm2)],"&lt;&gt;")</f>
        <v>1</v>
      </c>
      <c r="AT107" s="95">
        <f>COUNTIFS(Table1[Anode PN (Stack/cell electrodes)],AQ107,Table1[i at 1.8 V 10 mM KOH (A/cm2)],"&lt;&gt;")</f>
        <v>1</v>
      </c>
      <c r="AU107" s="95">
        <f>COUNTIFS(Table1[Anode PN (Stack/cell electrodes)],AQ107,Table1[Ionic resistance DIW/Ohm cm2],"&lt;&gt;")</f>
        <v>1</v>
      </c>
      <c r="AV107" s="95">
        <f>COUNTIFS(Table1[Anode PN (Stack/cell electrodes)],AQ107,Table1[Ionic resistance 10 mM KOH/Ohm cm2],"&lt;&gt;")</f>
        <v>1</v>
      </c>
    </row>
    <row r="108" spans="1:48">
      <c r="A108" s="81"/>
      <c r="B108" s="11" t="s">
        <v>251</v>
      </c>
      <c r="C108" s="4" t="s">
        <v>252</v>
      </c>
      <c r="I108" s="11" t="s">
        <v>219</v>
      </c>
      <c r="J108" s="11" t="s">
        <v>134</v>
      </c>
      <c r="K108" s="43" t="s">
        <v>59</v>
      </c>
      <c r="M108" s="13">
        <v>2.4028</v>
      </c>
      <c r="N108" s="13">
        <v>5.5</v>
      </c>
      <c r="R108" s="4">
        <v>0.92400000000000004</v>
      </c>
      <c r="S108" s="4">
        <v>211.67</v>
      </c>
      <c r="T108" s="4">
        <v>35.71</v>
      </c>
      <c r="U108" s="101"/>
      <c r="V108" s="101"/>
      <c r="W108" s="69" t="e" cm="1">
        <f t="array" ref="W108">_xlfn.XLOOKUP(Table1[[#This Row],[5 cm2 cell test code]:[5 cm2 cell test code]],[1]!Table1[[Test code]:[Test code]],[1]!Table1[i @ 1.8 V DIW (A/cm2)],"",0)</f>
        <v>#REF!</v>
      </c>
      <c r="X108" s="69" t="e" cm="1">
        <f t="array" ref="X108">_xlfn.XLOOKUP(Table1[[#This Row],[5 cm2 cell test code]:[5 cm2 cell test code]],[1]!Table1[[Test code]:[Test code]],[1]!Table1[i @ 1.8 V 10 mM KOH (A/cm2)],"",0)</f>
        <v>#REF!</v>
      </c>
      <c r="Y108" s="69" t="e" cm="1">
        <f t="array" ref="Y108">_xlfn.XLOOKUP(Table1[[#This Row],[5 cm2 cell test code]:[5 cm2 cell test code]],[1]!Table1[[Test code]:[Test code]],[1]!Table1[3-E ƞ at 20mAcm-2 (mV)],"",0)</f>
        <v>#REF!</v>
      </c>
      <c r="Z108" s="69" t="e" cm="1">
        <f t="array" ref="Z108">_xlfn.XLOOKUP(Table1[[#This Row],[5 cm2 cell test code]:[5 cm2 cell test code]],[1]!Table1[[Test code]:[Test code]],[1]!Table1[3-E Tafel slope (mV/dec)],"",0)</f>
        <v>#REF!</v>
      </c>
      <c r="AA108" s="69" t="e" cm="1">
        <f t="array" ref="AA108">_xlfn.XLOOKUP(Table1[[#This Row],[5 cm2 cell test code]:[5 cm2 cell test code]],[1]!Table1[[Test code]:[Test code]],[1]!Table1[E @ 100 mA/cm2 DIW/V],"",0)</f>
        <v>#REF!</v>
      </c>
      <c r="AB108" s="69" t="e" cm="1">
        <f t="array" ref="AB108">_xlfn.XLOOKUP(Table1[[#This Row],[5 cm2 cell test code]:[5 cm2 cell test code]],[1]!Table1[[Test code]:[Test code]],[1]!Table1[E @ 100 mA/cm2 10 mM KOH/V],"",0)</f>
        <v>#REF!</v>
      </c>
      <c r="AC108" s="69" t="e" cm="1">
        <f t="array" ref="AC108">_xlfn.XLOOKUP(Table1[[#This Row],[5 cm2 cell test code]:[5 cm2 cell test code]],[1]!Table1[[Test code]:[Test code]],[1]!Table1[Anode ICR/mOhm],"",0)</f>
        <v>#REF!</v>
      </c>
      <c r="AD108" s="69" t="e" cm="1">
        <f t="array" ref="AD108">_xlfn.XLOOKUP(Table1[[#This Row],[5 cm2 cell test code]:[5 cm2 cell test code]],[1]!Table1[[Test code]:[Test code]],[1]!Table1[HFR DIW/ mOhm cm2],"",0)</f>
        <v>#REF!</v>
      </c>
      <c r="AE108" s="69" t="e" cm="1">
        <f t="array" ref="AE108">_xlfn.XLOOKUP(Table1[[#This Row],[5 cm2 cell test code]:[5 cm2 cell test code]],[1]!Table1[[Test code]:[Test code]],[1]!Table1[HFR 10 mM KOH/ mOhm cm2],"",0)</f>
        <v>#REF!</v>
      </c>
      <c r="AF108" s="69" t="e" cm="1">
        <f t="array" ref="AF108">_xlfn.XLOOKUP(Table1[[#This Row],[5 cm2 cell test code]:[5 cm2 cell test code]],[1]!Table1[[Test code]:[Test code]],[1]!Table1[Ionic resistance DIW/Ohm cm2],"",0)</f>
        <v>#REF!</v>
      </c>
      <c r="AG108" s="69" t="e" cm="1">
        <f t="array" ref="AG108">_xlfn.XLOOKUP(Table1[[#This Row],[5 cm2 cell test code]:[5 cm2 cell test code]],[1]!Table1[[Test code]:[Test code]],[1]!Table1[Q_int_frac DIW],"",0)</f>
        <v>#REF!</v>
      </c>
      <c r="AH108" s="69" t="e" cm="1">
        <f t="array" ref="AH108">_xlfn.XLOOKUP(Table1[[#This Row],[5 cm2 cell test code]:[5 cm2 cell test code]],[1]!Table1[[Test code]:[Test code]],[1]!Table1[Ionic resistance 10 mM KOH/Ohm cm2],"",0)</f>
        <v>#REF!</v>
      </c>
      <c r="AI108" s="69" t="e" cm="1">
        <f t="array" ref="AI108">_xlfn.XLOOKUP(Table1[[#This Row],[5 cm2 cell test code]:[5 cm2 cell test code]],[1]!Table1[[Test code]:[Test code]],[1]!Table1[Q_int_frac DIW 10 mM KOH],"",0)</f>
        <v>#REF!</v>
      </c>
      <c r="AJ108" s="69" t="e" cm="1">
        <f t="array" ref="AJ108">_xlfn.XLOOKUP(Table1[[#This Row],[5 cm2 cell test code]:[5 cm2 cell test code]],[1]!Table1[[Test code]:[Test code]],[1]!Table1[DIW conductivity (µS/cm)],"",0)</f>
        <v>#REF!</v>
      </c>
      <c r="AQ108" s="4" t="str">
        <v>VSG01A-23163C.01</v>
      </c>
      <c r="AR108" s="95">
        <f>COUNTIFS(Table1[Anode PN (Stack/cell electrodes)],AQ108,Table1[ƞ at 20mAcm-2 (mV)],"&lt;&gt;")</f>
        <v>0</v>
      </c>
      <c r="AS108" s="95">
        <f>COUNTIFS(Table1[Anode PN (Stack/cell electrodes)],AQ108,Table1[i @ 1.8 V DIW (A/cm2)],"&lt;&gt;")</f>
        <v>1</v>
      </c>
      <c r="AT108" s="95">
        <f>COUNTIFS(Table1[Anode PN (Stack/cell electrodes)],AQ108,Table1[i at 1.8 V 10 mM KOH (A/cm2)],"&lt;&gt;")</f>
        <v>1</v>
      </c>
      <c r="AU108" s="95">
        <f>COUNTIFS(Table1[Anode PN (Stack/cell electrodes)],AQ108,Table1[Ionic resistance DIW/Ohm cm2],"&lt;&gt;")</f>
        <v>1</v>
      </c>
      <c r="AV108" s="95">
        <f>COUNTIFS(Table1[Anode PN (Stack/cell electrodes)],AQ108,Table1[Ionic resistance 10 mM KOH/Ohm cm2],"&lt;&gt;")</f>
        <v>1</v>
      </c>
    </row>
    <row r="109" spans="1:48">
      <c r="A109" s="81"/>
      <c r="K109" s="43" t="s">
        <v>59</v>
      </c>
      <c r="U109" s="101"/>
      <c r="V109" s="101"/>
      <c r="W109" s="69" t="e" cm="1">
        <f t="array" ref="W109">_xlfn.XLOOKUP(Table1[[#This Row],[5 cm2 cell test code]:[5 cm2 cell test code]],[1]!Table1[[Test code]:[Test code]],[1]!Table1[i @ 1.8 V DIW (A/cm2)],"",0)</f>
        <v>#REF!</v>
      </c>
      <c r="X109" s="69" t="e" cm="1">
        <f t="array" ref="X109">_xlfn.XLOOKUP(Table1[[#This Row],[5 cm2 cell test code]:[5 cm2 cell test code]],[1]!Table1[[Test code]:[Test code]],[1]!Table1[i @ 1.8 V 10 mM KOH (A/cm2)],"",0)</f>
        <v>#REF!</v>
      </c>
      <c r="Y109" s="69" t="e" cm="1">
        <f t="array" ref="Y109">_xlfn.XLOOKUP(Table1[[#This Row],[5 cm2 cell test code]:[5 cm2 cell test code]],[1]!Table1[[Test code]:[Test code]],[1]!Table1[3-E ƞ at 20mAcm-2 (mV)],"",0)</f>
        <v>#REF!</v>
      </c>
      <c r="Z109" s="69" t="e" cm="1">
        <f t="array" ref="Z109">_xlfn.XLOOKUP(Table1[[#This Row],[5 cm2 cell test code]:[5 cm2 cell test code]],[1]!Table1[[Test code]:[Test code]],[1]!Table1[3-E Tafel slope (mV/dec)],"",0)</f>
        <v>#REF!</v>
      </c>
      <c r="AA109" s="69" t="e" cm="1">
        <f t="array" ref="AA109">_xlfn.XLOOKUP(Table1[[#This Row],[5 cm2 cell test code]:[5 cm2 cell test code]],[1]!Table1[[Test code]:[Test code]],[1]!Table1[E @ 100 mA/cm2 DIW/V],"",0)</f>
        <v>#REF!</v>
      </c>
      <c r="AB109" s="69" t="e" cm="1">
        <f t="array" ref="AB109">_xlfn.XLOOKUP(Table1[[#This Row],[5 cm2 cell test code]:[5 cm2 cell test code]],[1]!Table1[[Test code]:[Test code]],[1]!Table1[E @ 100 mA/cm2 10 mM KOH/V],"",0)</f>
        <v>#REF!</v>
      </c>
      <c r="AC109" s="69" t="e" cm="1">
        <f t="array" ref="AC109">_xlfn.XLOOKUP(Table1[[#This Row],[5 cm2 cell test code]:[5 cm2 cell test code]],[1]!Table1[[Test code]:[Test code]],[1]!Table1[Anode ICR/mOhm],"",0)</f>
        <v>#REF!</v>
      </c>
      <c r="AD109" s="69" t="e" cm="1">
        <f t="array" ref="AD109">_xlfn.XLOOKUP(Table1[[#This Row],[5 cm2 cell test code]:[5 cm2 cell test code]],[1]!Table1[[Test code]:[Test code]],[1]!Table1[HFR DIW/ mOhm cm2],"",0)</f>
        <v>#REF!</v>
      </c>
      <c r="AE109" s="69" t="e" cm="1">
        <f t="array" ref="AE109">_xlfn.XLOOKUP(Table1[[#This Row],[5 cm2 cell test code]:[5 cm2 cell test code]],[1]!Table1[[Test code]:[Test code]],[1]!Table1[HFR 10 mM KOH/ mOhm cm2],"",0)</f>
        <v>#REF!</v>
      </c>
      <c r="AF109" s="69" t="e" cm="1">
        <f t="array" ref="AF109">_xlfn.XLOOKUP(Table1[[#This Row],[5 cm2 cell test code]:[5 cm2 cell test code]],[1]!Table1[[Test code]:[Test code]],[1]!Table1[Ionic resistance DIW/Ohm cm2],"",0)</f>
        <v>#REF!</v>
      </c>
      <c r="AG109" s="69" t="e" cm="1">
        <f t="array" ref="AG109">_xlfn.XLOOKUP(Table1[[#This Row],[5 cm2 cell test code]:[5 cm2 cell test code]],[1]!Table1[[Test code]:[Test code]],[1]!Table1[Q_int_frac DIW],"",0)</f>
        <v>#REF!</v>
      </c>
      <c r="AH109" s="69" t="e" cm="1">
        <f t="array" ref="AH109">_xlfn.XLOOKUP(Table1[[#This Row],[5 cm2 cell test code]:[5 cm2 cell test code]],[1]!Table1[[Test code]:[Test code]],[1]!Table1[Ionic resistance 10 mM KOH/Ohm cm2],"",0)</f>
        <v>#REF!</v>
      </c>
      <c r="AI109" s="69" t="e" cm="1">
        <f t="array" ref="AI109">_xlfn.XLOOKUP(Table1[[#This Row],[5 cm2 cell test code]:[5 cm2 cell test code]],[1]!Table1[[Test code]:[Test code]],[1]!Table1[Q_int_frac DIW 10 mM KOH],"",0)</f>
        <v>#REF!</v>
      </c>
      <c r="AJ109" s="69" t="e" cm="1">
        <f t="array" ref="AJ109">_xlfn.XLOOKUP(Table1[[#This Row],[5 cm2 cell test code]:[5 cm2 cell test code]],[1]!Table1[[Test code]:[Test code]],[1]!Table1[DIW conductivity (µS/cm)],"",0)</f>
        <v>#REF!</v>
      </c>
      <c r="AQ109" s="4" t="str">
        <v>VSG01A-23163C.02</v>
      </c>
      <c r="AR109" s="95">
        <f>COUNTIFS(Table1[Anode PN (Stack/cell electrodes)],AQ109,Table1[ƞ at 20mAcm-2 (mV)],"&lt;&gt;")</f>
        <v>0</v>
      </c>
      <c r="AS109" s="95">
        <f>COUNTIFS(Table1[Anode PN (Stack/cell electrodes)],AQ109,Table1[i @ 1.8 V DIW (A/cm2)],"&lt;&gt;")</f>
        <v>1</v>
      </c>
      <c r="AT109" s="95">
        <f>COUNTIFS(Table1[Anode PN (Stack/cell electrodes)],AQ109,Table1[i at 1.8 V 10 mM KOH (A/cm2)],"&lt;&gt;")</f>
        <v>1</v>
      </c>
      <c r="AU109" s="95">
        <f>COUNTIFS(Table1[Anode PN (Stack/cell electrodes)],AQ109,Table1[Ionic resistance DIW/Ohm cm2],"&lt;&gt;")</f>
        <v>1</v>
      </c>
      <c r="AV109" s="95">
        <f>COUNTIFS(Table1[Anode PN (Stack/cell electrodes)],AQ109,Table1[Ionic resistance 10 mM KOH/Ohm cm2],"&lt;&gt;")</f>
        <v>1</v>
      </c>
    </row>
    <row r="110" spans="1:48">
      <c r="A110" s="81"/>
      <c r="B110" s="11" t="s">
        <v>253</v>
      </c>
      <c r="C110" s="4" t="s">
        <v>254</v>
      </c>
      <c r="I110" s="11" t="s">
        <v>219</v>
      </c>
      <c r="J110" s="11" t="s">
        <v>134</v>
      </c>
      <c r="K110" s="43" t="s">
        <v>59</v>
      </c>
      <c r="M110" s="13">
        <v>-0.2</v>
      </c>
      <c r="U110" s="101"/>
      <c r="V110" s="101"/>
      <c r="W110" s="69" t="e" cm="1">
        <f t="array" ref="W110">_xlfn.XLOOKUP(Table1[[#This Row],[5 cm2 cell test code]:[5 cm2 cell test code]],[1]!Table1[[Test code]:[Test code]],[1]!Table1[i @ 1.8 V DIW (A/cm2)],"",0)</f>
        <v>#REF!</v>
      </c>
      <c r="X110" s="69" t="e" cm="1">
        <f t="array" ref="X110">_xlfn.XLOOKUP(Table1[[#This Row],[5 cm2 cell test code]:[5 cm2 cell test code]],[1]!Table1[[Test code]:[Test code]],[1]!Table1[i @ 1.8 V 10 mM KOH (A/cm2)],"",0)</f>
        <v>#REF!</v>
      </c>
      <c r="Y110" s="69" t="e" cm="1">
        <f t="array" ref="Y110">_xlfn.XLOOKUP(Table1[[#This Row],[5 cm2 cell test code]:[5 cm2 cell test code]],[1]!Table1[[Test code]:[Test code]],[1]!Table1[3-E ƞ at 20mAcm-2 (mV)],"",0)</f>
        <v>#REF!</v>
      </c>
      <c r="Z110" s="69" t="e" cm="1">
        <f t="array" ref="Z110">_xlfn.XLOOKUP(Table1[[#This Row],[5 cm2 cell test code]:[5 cm2 cell test code]],[1]!Table1[[Test code]:[Test code]],[1]!Table1[3-E Tafel slope (mV/dec)],"",0)</f>
        <v>#REF!</v>
      </c>
      <c r="AA110" s="69" t="e" cm="1">
        <f t="array" ref="AA110">_xlfn.XLOOKUP(Table1[[#This Row],[5 cm2 cell test code]:[5 cm2 cell test code]],[1]!Table1[[Test code]:[Test code]],[1]!Table1[E @ 100 mA/cm2 DIW/V],"",0)</f>
        <v>#REF!</v>
      </c>
      <c r="AB110" s="69" t="e" cm="1">
        <f t="array" ref="AB110">_xlfn.XLOOKUP(Table1[[#This Row],[5 cm2 cell test code]:[5 cm2 cell test code]],[1]!Table1[[Test code]:[Test code]],[1]!Table1[E @ 100 mA/cm2 10 mM KOH/V],"",0)</f>
        <v>#REF!</v>
      </c>
      <c r="AC110" s="69" t="e" cm="1">
        <f t="array" ref="AC110">_xlfn.XLOOKUP(Table1[[#This Row],[5 cm2 cell test code]:[5 cm2 cell test code]],[1]!Table1[[Test code]:[Test code]],[1]!Table1[Anode ICR/mOhm],"",0)</f>
        <v>#REF!</v>
      </c>
      <c r="AD110" s="69" t="e" cm="1">
        <f t="array" ref="AD110">_xlfn.XLOOKUP(Table1[[#This Row],[5 cm2 cell test code]:[5 cm2 cell test code]],[1]!Table1[[Test code]:[Test code]],[1]!Table1[HFR DIW/ mOhm cm2],"",0)</f>
        <v>#REF!</v>
      </c>
      <c r="AE110" s="69" t="e" cm="1">
        <f t="array" ref="AE110">_xlfn.XLOOKUP(Table1[[#This Row],[5 cm2 cell test code]:[5 cm2 cell test code]],[1]!Table1[[Test code]:[Test code]],[1]!Table1[HFR 10 mM KOH/ mOhm cm2],"",0)</f>
        <v>#REF!</v>
      </c>
      <c r="AF110" s="69" t="e" cm="1">
        <f t="array" ref="AF110">_xlfn.XLOOKUP(Table1[[#This Row],[5 cm2 cell test code]:[5 cm2 cell test code]],[1]!Table1[[Test code]:[Test code]],[1]!Table1[Ionic resistance DIW/Ohm cm2],"",0)</f>
        <v>#REF!</v>
      </c>
      <c r="AG110" s="69" t="e" cm="1">
        <f t="array" ref="AG110">_xlfn.XLOOKUP(Table1[[#This Row],[5 cm2 cell test code]:[5 cm2 cell test code]],[1]!Table1[[Test code]:[Test code]],[1]!Table1[Q_int_frac DIW],"",0)</f>
        <v>#REF!</v>
      </c>
      <c r="AH110" s="69" t="e" cm="1">
        <f t="array" ref="AH110">_xlfn.XLOOKUP(Table1[[#This Row],[5 cm2 cell test code]:[5 cm2 cell test code]],[1]!Table1[[Test code]:[Test code]],[1]!Table1[Ionic resistance 10 mM KOH/Ohm cm2],"",0)</f>
        <v>#REF!</v>
      </c>
      <c r="AI110" s="69" t="e" cm="1">
        <f t="array" ref="AI110">_xlfn.XLOOKUP(Table1[[#This Row],[5 cm2 cell test code]:[5 cm2 cell test code]],[1]!Table1[[Test code]:[Test code]],[1]!Table1[Q_int_frac DIW 10 mM KOH],"",0)</f>
        <v>#REF!</v>
      </c>
      <c r="AJ110" s="69" t="e" cm="1">
        <f t="array" ref="AJ110">_xlfn.XLOOKUP(Table1[[#This Row],[5 cm2 cell test code]:[5 cm2 cell test code]],[1]!Table1[[Test code]:[Test code]],[1]!Table1[DIW conductivity (µS/cm)],"",0)</f>
        <v>#REF!</v>
      </c>
      <c r="AQ110" s="4" t="str">
        <v>VSG01A-23164C1</v>
      </c>
      <c r="AR110" s="95">
        <f>COUNTIFS(Table1[Anode PN (Stack/cell electrodes)],AQ110,Table1[ƞ at 20mAcm-2 (mV)],"&lt;&gt;")</f>
        <v>1</v>
      </c>
      <c r="AS110" s="95">
        <f>COUNTIFS(Table1[Anode PN (Stack/cell electrodes)],AQ110,Table1[i @ 1.8 V DIW (A/cm2)],"&lt;&gt;")</f>
        <v>1</v>
      </c>
      <c r="AT110" s="95">
        <f>COUNTIFS(Table1[Anode PN (Stack/cell electrodes)],AQ110,Table1[i at 1.8 V 10 mM KOH (A/cm2)],"&lt;&gt;")</f>
        <v>1</v>
      </c>
      <c r="AU110" s="95">
        <f>COUNTIFS(Table1[Anode PN (Stack/cell electrodes)],AQ110,Table1[Ionic resistance DIW/Ohm cm2],"&lt;&gt;")</f>
        <v>1</v>
      </c>
      <c r="AV110" s="95">
        <f>COUNTIFS(Table1[Anode PN (Stack/cell electrodes)],AQ110,Table1[Ionic resistance 10 mM KOH/Ohm cm2],"&lt;&gt;")</f>
        <v>1</v>
      </c>
    </row>
    <row r="111" spans="1:48">
      <c r="A111" s="81"/>
      <c r="B111" s="11" t="s">
        <v>255</v>
      </c>
      <c r="C111" s="4" t="s">
        <v>256</v>
      </c>
      <c r="I111" s="11" t="s">
        <v>219</v>
      </c>
      <c r="K111" s="43" t="s">
        <v>59</v>
      </c>
      <c r="M111" s="13">
        <v>-0.22</v>
      </c>
      <c r="U111" s="101"/>
      <c r="V111" s="101"/>
      <c r="W111" s="69" t="e" cm="1">
        <f t="array" ref="W111">_xlfn.XLOOKUP(Table1[[#This Row],[5 cm2 cell test code]:[5 cm2 cell test code]],[1]!Table1[[Test code]:[Test code]],[1]!Table1[i @ 1.8 V DIW (A/cm2)],"",0)</f>
        <v>#REF!</v>
      </c>
      <c r="X111" s="69" t="e" cm="1">
        <f t="array" ref="X111">_xlfn.XLOOKUP(Table1[[#This Row],[5 cm2 cell test code]:[5 cm2 cell test code]],[1]!Table1[[Test code]:[Test code]],[1]!Table1[i @ 1.8 V 10 mM KOH (A/cm2)],"",0)</f>
        <v>#REF!</v>
      </c>
      <c r="Y111" s="69" t="e" cm="1">
        <f t="array" ref="Y111">_xlfn.XLOOKUP(Table1[[#This Row],[5 cm2 cell test code]:[5 cm2 cell test code]],[1]!Table1[[Test code]:[Test code]],[1]!Table1[3-E ƞ at 20mAcm-2 (mV)],"",0)</f>
        <v>#REF!</v>
      </c>
      <c r="Z111" s="69" t="e" cm="1">
        <f t="array" ref="Z111">_xlfn.XLOOKUP(Table1[[#This Row],[5 cm2 cell test code]:[5 cm2 cell test code]],[1]!Table1[[Test code]:[Test code]],[1]!Table1[3-E Tafel slope (mV/dec)],"",0)</f>
        <v>#REF!</v>
      </c>
      <c r="AA111" s="69" t="e" cm="1">
        <f t="array" ref="AA111">_xlfn.XLOOKUP(Table1[[#This Row],[5 cm2 cell test code]:[5 cm2 cell test code]],[1]!Table1[[Test code]:[Test code]],[1]!Table1[E @ 100 mA/cm2 DIW/V],"",0)</f>
        <v>#REF!</v>
      </c>
      <c r="AB111" s="69" t="e" cm="1">
        <f t="array" ref="AB111">_xlfn.XLOOKUP(Table1[[#This Row],[5 cm2 cell test code]:[5 cm2 cell test code]],[1]!Table1[[Test code]:[Test code]],[1]!Table1[E @ 100 mA/cm2 10 mM KOH/V],"",0)</f>
        <v>#REF!</v>
      </c>
      <c r="AC111" s="69" t="e" cm="1">
        <f t="array" ref="AC111">_xlfn.XLOOKUP(Table1[[#This Row],[5 cm2 cell test code]:[5 cm2 cell test code]],[1]!Table1[[Test code]:[Test code]],[1]!Table1[Anode ICR/mOhm],"",0)</f>
        <v>#REF!</v>
      </c>
      <c r="AD111" s="69" t="e" cm="1">
        <f t="array" ref="AD111">_xlfn.XLOOKUP(Table1[[#This Row],[5 cm2 cell test code]:[5 cm2 cell test code]],[1]!Table1[[Test code]:[Test code]],[1]!Table1[HFR DIW/ mOhm cm2],"",0)</f>
        <v>#REF!</v>
      </c>
      <c r="AE111" s="69" t="e" cm="1">
        <f t="array" ref="AE111">_xlfn.XLOOKUP(Table1[[#This Row],[5 cm2 cell test code]:[5 cm2 cell test code]],[1]!Table1[[Test code]:[Test code]],[1]!Table1[HFR 10 mM KOH/ mOhm cm2],"",0)</f>
        <v>#REF!</v>
      </c>
      <c r="AF111" s="69" t="e" cm="1">
        <f t="array" ref="AF111">_xlfn.XLOOKUP(Table1[[#This Row],[5 cm2 cell test code]:[5 cm2 cell test code]],[1]!Table1[[Test code]:[Test code]],[1]!Table1[Ionic resistance DIW/Ohm cm2],"",0)</f>
        <v>#REF!</v>
      </c>
      <c r="AG111" s="69" t="e" cm="1">
        <f t="array" ref="AG111">_xlfn.XLOOKUP(Table1[[#This Row],[5 cm2 cell test code]:[5 cm2 cell test code]],[1]!Table1[[Test code]:[Test code]],[1]!Table1[Q_int_frac DIW],"",0)</f>
        <v>#REF!</v>
      </c>
      <c r="AH111" s="69" t="e" cm="1">
        <f t="array" ref="AH111">_xlfn.XLOOKUP(Table1[[#This Row],[5 cm2 cell test code]:[5 cm2 cell test code]],[1]!Table1[[Test code]:[Test code]],[1]!Table1[Ionic resistance 10 mM KOH/Ohm cm2],"",0)</f>
        <v>#REF!</v>
      </c>
      <c r="AI111" s="69" t="e" cm="1">
        <f t="array" ref="AI111">_xlfn.XLOOKUP(Table1[[#This Row],[5 cm2 cell test code]:[5 cm2 cell test code]],[1]!Table1[[Test code]:[Test code]],[1]!Table1[Q_int_frac DIW 10 mM KOH],"",0)</f>
        <v>#REF!</v>
      </c>
      <c r="AJ111" s="69" t="e" cm="1">
        <f t="array" ref="AJ111">_xlfn.XLOOKUP(Table1[[#This Row],[5 cm2 cell test code]:[5 cm2 cell test code]],[1]!Table1[[Test code]:[Test code]],[1]!Table1[DIW conductivity (µS/cm)],"",0)</f>
        <v>#REF!</v>
      </c>
      <c r="AQ111" s="4" t="str">
        <v>VSG01A-23164C1.01</v>
      </c>
      <c r="AR111" s="95">
        <f>COUNTIFS(Table1[Anode PN (Stack/cell electrodes)],AQ111,Table1[ƞ at 20mAcm-2 (mV)],"&lt;&gt;")</f>
        <v>0</v>
      </c>
      <c r="AS111" s="95">
        <f>COUNTIFS(Table1[Anode PN (Stack/cell electrodes)],AQ111,Table1[i @ 1.8 V DIW (A/cm2)],"&lt;&gt;")</f>
        <v>1</v>
      </c>
      <c r="AT111" s="95">
        <f>COUNTIFS(Table1[Anode PN (Stack/cell electrodes)],AQ111,Table1[i at 1.8 V 10 mM KOH (A/cm2)],"&lt;&gt;")</f>
        <v>1</v>
      </c>
      <c r="AU111" s="95">
        <f>COUNTIFS(Table1[Anode PN (Stack/cell electrodes)],AQ111,Table1[Ionic resistance DIW/Ohm cm2],"&lt;&gt;")</f>
        <v>1</v>
      </c>
      <c r="AV111" s="95">
        <f>COUNTIFS(Table1[Anode PN (Stack/cell electrodes)],AQ111,Table1[Ionic resistance 10 mM KOH/Ohm cm2],"&lt;&gt;")</f>
        <v>1</v>
      </c>
    </row>
    <row r="112" spans="1:48">
      <c r="A112" s="81"/>
      <c r="B112" s="11" t="s">
        <v>257</v>
      </c>
      <c r="C112" s="4" t="s">
        <v>258</v>
      </c>
      <c r="I112" s="11" t="s">
        <v>219</v>
      </c>
      <c r="K112" s="43" t="s">
        <v>59</v>
      </c>
      <c r="M112" s="13">
        <v>-0.28399999999999997</v>
      </c>
      <c r="U112" s="101"/>
      <c r="V112" s="101"/>
      <c r="W112" s="69" t="e" cm="1">
        <f t="array" ref="W112">_xlfn.XLOOKUP(Table1[[#This Row],[5 cm2 cell test code]:[5 cm2 cell test code]],[1]!Table1[[Test code]:[Test code]],[1]!Table1[i @ 1.8 V DIW (A/cm2)],"",0)</f>
        <v>#REF!</v>
      </c>
      <c r="X112" s="69" t="e" cm="1">
        <f t="array" ref="X112">_xlfn.XLOOKUP(Table1[[#This Row],[5 cm2 cell test code]:[5 cm2 cell test code]],[1]!Table1[[Test code]:[Test code]],[1]!Table1[i @ 1.8 V 10 mM KOH (A/cm2)],"",0)</f>
        <v>#REF!</v>
      </c>
      <c r="Y112" s="69" t="e" cm="1">
        <f t="array" ref="Y112">_xlfn.XLOOKUP(Table1[[#This Row],[5 cm2 cell test code]:[5 cm2 cell test code]],[1]!Table1[[Test code]:[Test code]],[1]!Table1[3-E ƞ at 20mAcm-2 (mV)],"",0)</f>
        <v>#REF!</v>
      </c>
      <c r="Z112" s="69" t="e" cm="1">
        <f t="array" ref="Z112">_xlfn.XLOOKUP(Table1[[#This Row],[5 cm2 cell test code]:[5 cm2 cell test code]],[1]!Table1[[Test code]:[Test code]],[1]!Table1[3-E Tafel slope (mV/dec)],"",0)</f>
        <v>#REF!</v>
      </c>
      <c r="AA112" s="69" t="e" cm="1">
        <f t="array" ref="AA112">_xlfn.XLOOKUP(Table1[[#This Row],[5 cm2 cell test code]:[5 cm2 cell test code]],[1]!Table1[[Test code]:[Test code]],[1]!Table1[E @ 100 mA/cm2 DIW/V],"",0)</f>
        <v>#REF!</v>
      </c>
      <c r="AB112" s="69" t="e" cm="1">
        <f t="array" ref="AB112">_xlfn.XLOOKUP(Table1[[#This Row],[5 cm2 cell test code]:[5 cm2 cell test code]],[1]!Table1[[Test code]:[Test code]],[1]!Table1[E @ 100 mA/cm2 10 mM KOH/V],"",0)</f>
        <v>#REF!</v>
      </c>
      <c r="AC112" s="69" t="e" cm="1">
        <f t="array" ref="AC112">_xlfn.XLOOKUP(Table1[[#This Row],[5 cm2 cell test code]:[5 cm2 cell test code]],[1]!Table1[[Test code]:[Test code]],[1]!Table1[Anode ICR/mOhm],"",0)</f>
        <v>#REF!</v>
      </c>
      <c r="AD112" s="69" t="e" cm="1">
        <f t="array" ref="AD112">_xlfn.XLOOKUP(Table1[[#This Row],[5 cm2 cell test code]:[5 cm2 cell test code]],[1]!Table1[[Test code]:[Test code]],[1]!Table1[HFR DIW/ mOhm cm2],"",0)</f>
        <v>#REF!</v>
      </c>
      <c r="AE112" s="69" t="e" cm="1">
        <f t="array" ref="AE112">_xlfn.XLOOKUP(Table1[[#This Row],[5 cm2 cell test code]:[5 cm2 cell test code]],[1]!Table1[[Test code]:[Test code]],[1]!Table1[HFR 10 mM KOH/ mOhm cm2],"",0)</f>
        <v>#REF!</v>
      </c>
      <c r="AF112" s="69" t="e" cm="1">
        <f t="array" ref="AF112">_xlfn.XLOOKUP(Table1[[#This Row],[5 cm2 cell test code]:[5 cm2 cell test code]],[1]!Table1[[Test code]:[Test code]],[1]!Table1[Ionic resistance DIW/Ohm cm2],"",0)</f>
        <v>#REF!</v>
      </c>
      <c r="AG112" s="69" t="e" cm="1">
        <f t="array" ref="AG112">_xlfn.XLOOKUP(Table1[[#This Row],[5 cm2 cell test code]:[5 cm2 cell test code]],[1]!Table1[[Test code]:[Test code]],[1]!Table1[Q_int_frac DIW],"",0)</f>
        <v>#REF!</v>
      </c>
      <c r="AH112" s="69" t="e" cm="1">
        <f t="array" ref="AH112">_xlfn.XLOOKUP(Table1[[#This Row],[5 cm2 cell test code]:[5 cm2 cell test code]],[1]!Table1[[Test code]:[Test code]],[1]!Table1[Ionic resistance 10 mM KOH/Ohm cm2],"",0)</f>
        <v>#REF!</v>
      </c>
      <c r="AI112" s="69" t="e" cm="1">
        <f t="array" ref="AI112">_xlfn.XLOOKUP(Table1[[#This Row],[5 cm2 cell test code]:[5 cm2 cell test code]],[1]!Table1[[Test code]:[Test code]],[1]!Table1[Q_int_frac DIW 10 mM KOH],"",0)</f>
        <v>#REF!</v>
      </c>
      <c r="AJ112" s="69" t="e" cm="1">
        <f t="array" ref="AJ112">_xlfn.XLOOKUP(Table1[[#This Row],[5 cm2 cell test code]:[5 cm2 cell test code]],[1]!Table1[[Test code]:[Test code]],[1]!Table1[DIW conductivity (µS/cm)],"",0)</f>
        <v>#REF!</v>
      </c>
      <c r="AQ112" s="4" t="str">
        <v>VSG01A-23164C1.02</v>
      </c>
      <c r="AR112" s="95">
        <f>COUNTIFS(Table1[Anode PN (Stack/cell electrodes)],AQ112,Table1[ƞ at 20mAcm-2 (mV)],"&lt;&gt;")</f>
        <v>0</v>
      </c>
      <c r="AS112" s="95">
        <f>COUNTIFS(Table1[Anode PN (Stack/cell electrodes)],AQ112,Table1[i @ 1.8 V DIW (A/cm2)],"&lt;&gt;")</f>
        <v>1</v>
      </c>
      <c r="AT112" s="95">
        <f>COUNTIFS(Table1[Anode PN (Stack/cell electrodes)],AQ112,Table1[i at 1.8 V 10 mM KOH (A/cm2)],"&lt;&gt;")</f>
        <v>1</v>
      </c>
      <c r="AU112" s="95">
        <f>COUNTIFS(Table1[Anode PN (Stack/cell electrodes)],AQ112,Table1[Ionic resistance DIW/Ohm cm2],"&lt;&gt;")</f>
        <v>1</v>
      </c>
      <c r="AV112" s="95">
        <f>COUNTIFS(Table1[Anode PN (Stack/cell electrodes)],AQ112,Table1[Ionic resistance 10 mM KOH/Ohm cm2],"&lt;&gt;")</f>
        <v>1</v>
      </c>
    </row>
    <row r="113" spans="1:48">
      <c r="A113" s="81"/>
      <c r="B113" s="11" t="s">
        <v>259</v>
      </c>
      <c r="C113" s="4" t="s">
        <v>260</v>
      </c>
      <c r="I113" s="11" t="s">
        <v>219</v>
      </c>
      <c r="K113" s="43" t="s">
        <v>59</v>
      </c>
      <c r="M113" s="13">
        <v>-0.34399999999999997</v>
      </c>
      <c r="U113" s="101"/>
      <c r="V113" s="101"/>
      <c r="W113" s="69" t="e" cm="1">
        <f t="array" ref="W113">_xlfn.XLOOKUP(Table1[[#This Row],[5 cm2 cell test code]:[5 cm2 cell test code]],[1]!Table1[[Test code]:[Test code]],[1]!Table1[i @ 1.8 V DIW (A/cm2)],"",0)</f>
        <v>#REF!</v>
      </c>
      <c r="X113" s="69" t="e" cm="1">
        <f t="array" ref="X113">_xlfn.XLOOKUP(Table1[[#This Row],[5 cm2 cell test code]:[5 cm2 cell test code]],[1]!Table1[[Test code]:[Test code]],[1]!Table1[i @ 1.8 V 10 mM KOH (A/cm2)],"",0)</f>
        <v>#REF!</v>
      </c>
      <c r="Y113" s="69" t="e" cm="1">
        <f t="array" ref="Y113">_xlfn.XLOOKUP(Table1[[#This Row],[5 cm2 cell test code]:[5 cm2 cell test code]],[1]!Table1[[Test code]:[Test code]],[1]!Table1[3-E ƞ at 20mAcm-2 (mV)],"",0)</f>
        <v>#REF!</v>
      </c>
      <c r="Z113" s="69" t="e" cm="1">
        <f t="array" ref="Z113">_xlfn.XLOOKUP(Table1[[#This Row],[5 cm2 cell test code]:[5 cm2 cell test code]],[1]!Table1[[Test code]:[Test code]],[1]!Table1[3-E Tafel slope (mV/dec)],"",0)</f>
        <v>#REF!</v>
      </c>
      <c r="AA113" s="69" t="e" cm="1">
        <f t="array" ref="AA113">_xlfn.XLOOKUP(Table1[[#This Row],[5 cm2 cell test code]:[5 cm2 cell test code]],[1]!Table1[[Test code]:[Test code]],[1]!Table1[E @ 100 mA/cm2 DIW/V],"",0)</f>
        <v>#REF!</v>
      </c>
      <c r="AB113" s="69" t="e" cm="1">
        <f t="array" ref="AB113">_xlfn.XLOOKUP(Table1[[#This Row],[5 cm2 cell test code]:[5 cm2 cell test code]],[1]!Table1[[Test code]:[Test code]],[1]!Table1[E @ 100 mA/cm2 10 mM KOH/V],"",0)</f>
        <v>#REF!</v>
      </c>
      <c r="AC113" s="69" t="e" cm="1">
        <f t="array" ref="AC113">_xlfn.XLOOKUP(Table1[[#This Row],[5 cm2 cell test code]:[5 cm2 cell test code]],[1]!Table1[[Test code]:[Test code]],[1]!Table1[Anode ICR/mOhm],"",0)</f>
        <v>#REF!</v>
      </c>
      <c r="AD113" s="69" t="e" cm="1">
        <f t="array" ref="AD113">_xlfn.XLOOKUP(Table1[[#This Row],[5 cm2 cell test code]:[5 cm2 cell test code]],[1]!Table1[[Test code]:[Test code]],[1]!Table1[HFR DIW/ mOhm cm2],"",0)</f>
        <v>#REF!</v>
      </c>
      <c r="AE113" s="69" t="e" cm="1">
        <f t="array" ref="AE113">_xlfn.XLOOKUP(Table1[[#This Row],[5 cm2 cell test code]:[5 cm2 cell test code]],[1]!Table1[[Test code]:[Test code]],[1]!Table1[HFR 10 mM KOH/ mOhm cm2],"",0)</f>
        <v>#REF!</v>
      </c>
      <c r="AF113" s="69" t="e" cm="1">
        <f t="array" ref="AF113">_xlfn.XLOOKUP(Table1[[#This Row],[5 cm2 cell test code]:[5 cm2 cell test code]],[1]!Table1[[Test code]:[Test code]],[1]!Table1[Ionic resistance DIW/Ohm cm2],"",0)</f>
        <v>#REF!</v>
      </c>
      <c r="AG113" s="69" t="e" cm="1">
        <f t="array" ref="AG113">_xlfn.XLOOKUP(Table1[[#This Row],[5 cm2 cell test code]:[5 cm2 cell test code]],[1]!Table1[[Test code]:[Test code]],[1]!Table1[Q_int_frac DIW],"",0)</f>
        <v>#REF!</v>
      </c>
      <c r="AH113" s="69" t="e" cm="1">
        <f t="array" ref="AH113">_xlfn.XLOOKUP(Table1[[#This Row],[5 cm2 cell test code]:[5 cm2 cell test code]],[1]!Table1[[Test code]:[Test code]],[1]!Table1[Ionic resistance 10 mM KOH/Ohm cm2],"",0)</f>
        <v>#REF!</v>
      </c>
      <c r="AI113" s="69" t="e" cm="1">
        <f t="array" ref="AI113">_xlfn.XLOOKUP(Table1[[#This Row],[5 cm2 cell test code]:[5 cm2 cell test code]],[1]!Table1[[Test code]:[Test code]],[1]!Table1[Q_int_frac DIW 10 mM KOH],"",0)</f>
        <v>#REF!</v>
      </c>
      <c r="AJ113" s="69" t="e" cm="1">
        <f t="array" ref="AJ113">_xlfn.XLOOKUP(Table1[[#This Row],[5 cm2 cell test code]:[5 cm2 cell test code]],[1]!Table1[[Test code]:[Test code]],[1]!Table1[DIW conductivity (µS/cm)],"",0)</f>
        <v>#REF!</v>
      </c>
      <c r="AQ113" s="4" t="str">
        <v>VSG01A-23165E1</v>
      </c>
      <c r="AR113" s="95">
        <f>COUNTIFS(Table1[Anode PN (Stack/cell electrodes)],AQ113,Table1[ƞ at 20mAcm-2 (mV)],"&lt;&gt;")</f>
        <v>1</v>
      </c>
      <c r="AS113" s="95">
        <f>COUNTIFS(Table1[Anode PN (Stack/cell electrodes)],AQ113,Table1[i @ 1.8 V DIW (A/cm2)],"&lt;&gt;")</f>
        <v>1</v>
      </c>
      <c r="AT113" s="95">
        <f>COUNTIFS(Table1[Anode PN (Stack/cell electrodes)],AQ113,Table1[i at 1.8 V 10 mM KOH (A/cm2)],"&lt;&gt;")</f>
        <v>1</v>
      </c>
      <c r="AU113" s="95">
        <f>COUNTIFS(Table1[Anode PN (Stack/cell electrodes)],AQ113,Table1[Ionic resistance DIW/Ohm cm2],"&lt;&gt;")</f>
        <v>1</v>
      </c>
      <c r="AV113" s="95">
        <f>COUNTIFS(Table1[Anode PN (Stack/cell electrodes)],AQ113,Table1[Ionic resistance 10 mM KOH/Ohm cm2],"&lt;&gt;")</f>
        <v>1</v>
      </c>
    </row>
    <row r="114" spans="1:48">
      <c r="A114" s="81"/>
      <c r="K114" s="43" t="s">
        <v>59</v>
      </c>
      <c r="U114" s="101"/>
      <c r="V114" s="101"/>
      <c r="W114" s="69" t="e" cm="1">
        <f t="array" ref="W114">_xlfn.XLOOKUP(Table1[[#This Row],[5 cm2 cell test code]:[5 cm2 cell test code]],[1]!Table1[[Test code]:[Test code]],[1]!Table1[i @ 1.8 V DIW (A/cm2)],"",0)</f>
        <v>#REF!</v>
      </c>
      <c r="X114" s="69" t="e" cm="1">
        <f t="array" ref="X114">_xlfn.XLOOKUP(Table1[[#This Row],[5 cm2 cell test code]:[5 cm2 cell test code]],[1]!Table1[[Test code]:[Test code]],[1]!Table1[i @ 1.8 V 10 mM KOH (A/cm2)],"",0)</f>
        <v>#REF!</v>
      </c>
      <c r="Y114" s="69" t="e" cm="1">
        <f t="array" ref="Y114">_xlfn.XLOOKUP(Table1[[#This Row],[5 cm2 cell test code]:[5 cm2 cell test code]],[1]!Table1[[Test code]:[Test code]],[1]!Table1[3-E ƞ at 20mAcm-2 (mV)],"",0)</f>
        <v>#REF!</v>
      </c>
      <c r="Z114" s="69" t="e" cm="1">
        <f t="array" ref="Z114">_xlfn.XLOOKUP(Table1[[#This Row],[5 cm2 cell test code]:[5 cm2 cell test code]],[1]!Table1[[Test code]:[Test code]],[1]!Table1[3-E Tafel slope (mV/dec)],"",0)</f>
        <v>#REF!</v>
      </c>
      <c r="AA114" s="69" t="e" cm="1">
        <f t="array" ref="AA114">_xlfn.XLOOKUP(Table1[[#This Row],[5 cm2 cell test code]:[5 cm2 cell test code]],[1]!Table1[[Test code]:[Test code]],[1]!Table1[E @ 100 mA/cm2 DIW/V],"",0)</f>
        <v>#REF!</v>
      </c>
      <c r="AB114" s="69" t="e" cm="1">
        <f t="array" ref="AB114">_xlfn.XLOOKUP(Table1[[#This Row],[5 cm2 cell test code]:[5 cm2 cell test code]],[1]!Table1[[Test code]:[Test code]],[1]!Table1[E @ 100 mA/cm2 10 mM KOH/V],"",0)</f>
        <v>#REF!</v>
      </c>
      <c r="AC114" s="69" t="e" cm="1">
        <f t="array" ref="AC114">_xlfn.XLOOKUP(Table1[[#This Row],[5 cm2 cell test code]:[5 cm2 cell test code]],[1]!Table1[[Test code]:[Test code]],[1]!Table1[Anode ICR/mOhm],"",0)</f>
        <v>#REF!</v>
      </c>
      <c r="AD114" s="69" t="e" cm="1">
        <f t="array" ref="AD114">_xlfn.XLOOKUP(Table1[[#This Row],[5 cm2 cell test code]:[5 cm2 cell test code]],[1]!Table1[[Test code]:[Test code]],[1]!Table1[HFR DIW/ mOhm cm2],"",0)</f>
        <v>#REF!</v>
      </c>
      <c r="AE114" s="69" t="e" cm="1">
        <f t="array" ref="AE114">_xlfn.XLOOKUP(Table1[[#This Row],[5 cm2 cell test code]:[5 cm2 cell test code]],[1]!Table1[[Test code]:[Test code]],[1]!Table1[HFR 10 mM KOH/ mOhm cm2],"",0)</f>
        <v>#REF!</v>
      </c>
      <c r="AF114" s="69" t="e" cm="1">
        <f t="array" ref="AF114">_xlfn.XLOOKUP(Table1[[#This Row],[5 cm2 cell test code]:[5 cm2 cell test code]],[1]!Table1[[Test code]:[Test code]],[1]!Table1[Ionic resistance DIW/Ohm cm2],"",0)</f>
        <v>#REF!</v>
      </c>
      <c r="AG114" s="69" t="e" cm="1">
        <f t="array" ref="AG114">_xlfn.XLOOKUP(Table1[[#This Row],[5 cm2 cell test code]:[5 cm2 cell test code]],[1]!Table1[[Test code]:[Test code]],[1]!Table1[Q_int_frac DIW],"",0)</f>
        <v>#REF!</v>
      </c>
      <c r="AH114" s="69" t="e" cm="1">
        <f t="array" ref="AH114">_xlfn.XLOOKUP(Table1[[#This Row],[5 cm2 cell test code]:[5 cm2 cell test code]],[1]!Table1[[Test code]:[Test code]],[1]!Table1[Ionic resistance 10 mM KOH/Ohm cm2],"",0)</f>
        <v>#REF!</v>
      </c>
      <c r="AI114" s="69" t="e" cm="1">
        <f t="array" ref="AI114">_xlfn.XLOOKUP(Table1[[#This Row],[5 cm2 cell test code]:[5 cm2 cell test code]],[1]!Table1[[Test code]:[Test code]],[1]!Table1[Q_int_frac DIW 10 mM KOH],"",0)</f>
        <v>#REF!</v>
      </c>
      <c r="AJ114" s="69" t="e" cm="1">
        <f t="array" ref="AJ114">_xlfn.XLOOKUP(Table1[[#This Row],[5 cm2 cell test code]:[5 cm2 cell test code]],[1]!Table1[[Test code]:[Test code]],[1]!Table1[DIW conductivity (µS/cm)],"",0)</f>
        <v>#REF!</v>
      </c>
      <c r="AQ114" s="4" t="str">
        <v>VSG01A-23165E1.01</v>
      </c>
      <c r="AR114" s="95">
        <f>COUNTIFS(Table1[Anode PN (Stack/cell electrodes)],AQ114,Table1[ƞ at 20mAcm-2 (mV)],"&lt;&gt;")</f>
        <v>0</v>
      </c>
      <c r="AS114" s="95">
        <f>COUNTIFS(Table1[Anode PN (Stack/cell electrodes)],AQ114,Table1[i @ 1.8 V DIW (A/cm2)],"&lt;&gt;")</f>
        <v>1</v>
      </c>
      <c r="AT114" s="95">
        <f>COUNTIFS(Table1[Anode PN (Stack/cell electrodes)],AQ114,Table1[i at 1.8 V 10 mM KOH (A/cm2)],"&lt;&gt;")</f>
        <v>1</v>
      </c>
      <c r="AU114" s="95">
        <f>COUNTIFS(Table1[Anode PN (Stack/cell electrodes)],AQ114,Table1[Ionic resistance DIW/Ohm cm2],"&lt;&gt;")</f>
        <v>1</v>
      </c>
      <c r="AV114" s="95">
        <f>COUNTIFS(Table1[Anode PN (Stack/cell electrodes)],AQ114,Table1[Ionic resistance 10 mM KOH/Ohm cm2],"&lt;&gt;")</f>
        <v>1</v>
      </c>
    </row>
    <row r="115" spans="1:48">
      <c r="A115" s="81"/>
      <c r="B115" s="11" t="s">
        <v>261</v>
      </c>
      <c r="C115" s="4" t="s">
        <v>262</v>
      </c>
      <c r="I115" s="11" t="s">
        <v>219</v>
      </c>
      <c r="J115" s="11" t="s">
        <v>134</v>
      </c>
      <c r="K115" s="43" t="s">
        <v>59</v>
      </c>
      <c r="M115" s="13">
        <v>-0.84599999999999997</v>
      </c>
      <c r="R115" s="4">
        <v>1.022</v>
      </c>
      <c r="S115" s="4">
        <v>223.45</v>
      </c>
      <c r="T115" s="4">
        <v>35.869999999999997</v>
      </c>
      <c r="U115" s="101"/>
      <c r="V115" s="101"/>
      <c r="W115" s="69" t="e" cm="1">
        <f t="array" ref="W115">_xlfn.XLOOKUP(Table1[[#This Row],[5 cm2 cell test code]:[5 cm2 cell test code]],[1]!Table1[[Test code]:[Test code]],[1]!Table1[i @ 1.8 V DIW (A/cm2)],"",0)</f>
        <v>#REF!</v>
      </c>
      <c r="X115" s="69" t="e" cm="1">
        <f t="array" ref="X115">_xlfn.XLOOKUP(Table1[[#This Row],[5 cm2 cell test code]:[5 cm2 cell test code]],[1]!Table1[[Test code]:[Test code]],[1]!Table1[i @ 1.8 V 10 mM KOH (A/cm2)],"",0)</f>
        <v>#REF!</v>
      </c>
      <c r="Y115" s="69" t="e" cm="1">
        <f t="array" ref="Y115">_xlfn.XLOOKUP(Table1[[#This Row],[5 cm2 cell test code]:[5 cm2 cell test code]],[1]!Table1[[Test code]:[Test code]],[1]!Table1[3-E ƞ at 20mAcm-2 (mV)],"",0)</f>
        <v>#REF!</v>
      </c>
      <c r="Z115" s="69" t="e" cm="1">
        <f t="array" ref="Z115">_xlfn.XLOOKUP(Table1[[#This Row],[5 cm2 cell test code]:[5 cm2 cell test code]],[1]!Table1[[Test code]:[Test code]],[1]!Table1[3-E Tafel slope (mV/dec)],"",0)</f>
        <v>#REF!</v>
      </c>
      <c r="AA115" s="69" t="e" cm="1">
        <f t="array" ref="AA115">_xlfn.XLOOKUP(Table1[[#This Row],[5 cm2 cell test code]:[5 cm2 cell test code]],[1]!Table1[[Test code]:[Test code]],[1]!Table1[E @ 100 mA/cm2 DIW/V],"",0)</f>
        <v>#REF!</v>
      </c>
      <c r="AB115" s="69" t="e" cm="1">
        <f t="array" ref="AB115">_xlfn.XLOOKUP(Table1[[#This Row],[5 cm2 cell test code]:[5 cm2 cell test code]],[1]!Table1[[Test code]:[Test code]],[1]!Table1[E @ 100 mA/cm2 10 mM KOH/V],"",0)</f>
        <v>#REF!</v>
      </c>
      <c r="AC115" s="69" t="e" cm="1">
        <f t="array" ref="AC115">_xlfn.XLOOKUP(Table1[[#This Row],[5 cm2 cell test code]:[5 cm2 cell test code]],[1]!Table1[[Test code]:[Test code]],[1]!Table1[Anode ICR/mOhm],"",0)</f>
        <v>#REF!</v>
      </c>
      <c r="AD115" s="69" t="e" cm="1">
        <f t="array" ref="AD115">_xlfn.XLOOKUP(Table1[[#This Row],[5 cm2 cell test code]:[5 cm2 cell test code]],[1]!Table1[[Test code]:[Test code]],[1]!Table1[HFR DIW/ mOhm cm2],"",0)</f>
        <v>#REF!</v>
      </c>
      <c r="AE115" s="69" t="e" cm="1">
        <f t="array" ref="AE115">_xlfn.XLOOKUP(Table1[[#This Row],[5 cm2 cell test code]:[5 cm2 cell test code]],[1]!Table1[[Test code]:[Test code]],[1]!Table1[HFR 10 mM KOH/ mOhm cm2],"",0)</f>
        <v>#REF!</v>
      </c>
      <c r="AF115" s="69" t="e" cm="1">
        <f t="array" ref="AF115">_xlfn.XLOOKUP(Table1[[#This Row],[5 cm2 cell test code]:[5 cm2 cell test code]],[1]!Table1[[Test code]:[Test code]],[1]!Table1[Ionic resistance DIW/Ohm cm2],"",0)</f>
        <v>#REF!</v>
      </c>
      <c r="AG115" s="69" t="e" cm="1">
        <f t="array" ref="AG115">_xlfn.XLOOKUP(Table1[[#This Row],[5 cm2 cell test code]:[5 cm2 cell test code]],[1]!Table1[[Test code]:[Test code]],[1]!Table1[Q_int_frac DIW],"",0)</f>
        <v>#REF!</v>
      </c>
      <c r="AH115" s="69" t="e" cm="1">
        <f t="array" ref="AH115">_xlfn.XLOOKUP(Table1[[#This Row],[5 cm2 cell test code]:[5 cm2 cell test code]],[1]!Table1[[Test code]:[Test code]],[1]!Table1[Ionic resistance 10 mM KOH/Ohm cm2],"",0)</f>
        <v>#REF!</v>
      </c>
      <c r="AI115" s="69" t="e" cm="1">
        <f t="array" ref="AI115">_xlfn.XLOOKUP(Table1[[#This Row],[5 cm2 cell test code]:[5 cm2 cell test code]],[1]!Table1[[Test code]:[Test code]],[1]!Table1[Q_int_frac DIW 10 mM KOH],"",0)</f>
        <v>#REF!</v>
      </c>
      <c r="AJ115" s="69" t="e" cm="1">
        <f t="array" ref="AJ115">_xlfn.XLOOKUP(Table1[[#This Row],[5 cm2 cell test code]:[5 cm2 cell test code]],[1]!Table1[[Test code]:[Test code]],[1]!Table1[DIW conductivity (µS/cm)],"",0)</f>
        <v>#REF!</v>
      </c>
      <c r="AQ115" s="4" t="str">
        <v>VSG01A-23165E1.02</v>
      </c>
      <c r="AR115" s="95">
        <f>COUNTIFS(Table1[Anode PN (Stack/cell electrodes)],AQ115,Table1[ƞ at 20mAcm-2 (mV)],"&lt;&gt;")</f>
        <v>0</v>
      </c>
      <c r="AS115" s="95">
        <f>COUNTIFS(Table1[Anode PN (Stack/cell electrodes)],AQ115,Table1[i @ 1.8 V DIW (A/cm2)],"&lt;&gt;")</f>
        <v>1</v>
      </c>
      <c r="AT115" s="95">
        <f>COUNTIFS(Table1[Anode PN (Stack/cell electrodes)],AQ115,Table1[i at 1.8 V 10 mM KOH (A/cm2)],"&lt;&gt;")</f>
        <v>1</v>
      </c>
      <c r="AU115" s="95">
        <f>COUNTIFS(Table1[Anode PN (Stack/cell electrodes)],AQ115,Table1[Ionic resistance DIW/Ohm cm2],"&lt;&gt;")</f>
        <v>1</v>
      </c>
      <c r="AV115" s="95">
        <f>COUNTIFS(Table1[Anode PN (Stack/cell electrodes)],AQ115,Table1[Ionic resistance 10 mM KOH/Ohm cm2],"&lt;&gt;")</f>
        <v>1</v>
      </c>
    </row>
    <row r="116" spans="1:48" ht="13.5" customHeight="1">
      <c r="A116" s="81"/>
      <c r="B116" s="11" t="s">
        <v>263</v>
      </c>
      <c r="C116" s="4" t="s">
        <v>262</v>
      </c>
      <c r="I116" s="11" t="s">
        <v>219</v>
      </c>
      <c r="K116" s="43" t="s">
        <v>59</v>
      </c>
      <c r="M116" s="13">
        <v>-1.08</v>
      </c>
      <c r="N116" s="13">
        <v>6.55</v>
      </c>
      <c r="U116" s="101"/>
      <c r="V116" s="101"/>
      <c r="W116" s="69" t="e" cm="1">
        <f t="array" ref="W116">_xlfn.XLOOKUP(Table1[[#This Row],[5 cm2 cell test code]:[5 cm2 cell test code]],[1]!Table1[[Test code]:[Test code]],[1]!Table1[i @ 1.8 V DIW (A/cm2)],"",0)</f>
        <v>#REF!</v>
      </c>
      <c r="X116" s="69" t="e" cm="1">
        <f t="array" ref="X116">_xlfn.XLOOKUP(Table1[[#This Row],[5 cm2 cell test code]:[5 cm2 cell test code]],[1]!Table1[[Test code]:[Test code]],[1]!Table1[i @ 1.8 V 10 mM KOH (A/cm2)],"",0)</f>
        <v>#REF!</v>
      </c>
      <c r="Y116" s="69" t="e" cm="1">
        <f t="array" ref="Y116">_xlfn.XLOOKUP(Table1[[#This Row],[5 cm2 cell test code]:[5 cm2 cell test code]],[1]!Table1[[Test code]:[Test code]],[1]!Table1[3-E ƞ at 20mAcm-2 (mV)],"",0)</f>
        <v>#REF!</v>
      </c>
      <c r="Z116" s="69" t="e" cm="1">
        <f t="array" ref="Z116">_xlfn.XLOOKUP(Table1[[#This Row],[5 cm2 cell test code]:[5 cm2 cell test code]],[1]!Table1[[Test code]:[Test code]],[1]!Table1[3-E Tafel slope (mV/dec)],"",0)</f>
        <v>#REF!</v>
      </c>
      <c r="AA116" s="69" t="e" cm="1">
        <f t="array" ref="AA116">_xlfn.XLOOKUP(Table1[[#This Row],[5 cm2 cell test code]:[5 cm2 cell test code]],[1]!Table1[[Test code]:[Test code]],[1]!Table1[E @ 100 mA/cm2 DIW/V],"",0)</f>
        <v>#REF!</v>
      </c>
      <c r="AB116" s="69" t="e" cm="1">
        <f t="array" ref="AB116">_xlfn.XLOOKUP(Table1[[#This Row],[5 cm2 cell test code]:[5 cm2 cell test code]],[1]!Table1[[Test code]:[Test code]],[1]!Table1[E @ 100 mA/cm2 10 mM KOH/V],"",0)</f>
        <v>#REF!</v>
      </c>
      <c r="AC116" s="69" t="e" cm="1">
        <f t="array" ref="AC116">_xlfn.XLOOKUP(Table1[[#This Row],[5 cm2 cell test code]:[5 cm2 cell test code]],[1]!Table1[[Test code]:[Test code]],[1]!Table1[Anode ICR/mOhm],"",0)</f>
        <v>#REF!</v>
      </c>
      <c r="AD116" s="69" t="e" cm="1">
        <f t="array" ref="AD116">_xlfn.XLOOKUP(Table1[[#This Row],[5 cm2 cell test code]:[5 cm2 cell test code]],[1]!Table1[[Test code]:[Test code]],[1]!Table1[HFR DIW/ mOhm cm2],"",0)</f>
        <v>#REF!</v>
      </c>
      <c r="AE116" s="69" t="e" cm="1">
        <f t="array" ref="AE116">_xlfn.XLOOKUP(Table1[[#This Row],[5 cm2 cell test code]:[5 cm2 cell test code]],[1]!Table1[[Test code]:[Test code]],[1]!Table1[HFR 10 mM KOH/ mOhm cm2],"",0)</f>
        <v>#REF!</v>
      </c>
      <c r="AF116" s="69" t="e" cm="1">
        <f t="array" ref="AF116">_xlfn.XLOOKUP(Table1[[#This Row],[5 cm2 cell test code]:[5 cm2 cell test code]],[1]!Table1[[Test code]:[Test code]],[1]!Table1[Ionic resistance DIW/Ohm cm2],"",0)</f>
        <v>#REF!</v>
      </c>
      <c r="AG116" s="69" t="e" cm="1">
        <f t="array" ref="AG116">_xlfn.XLOOKUP(Table1[[#This Row],[5 cm2 cell test code]:[5 cm2 cell test code]],[1]!Table1[[Test code]:[Test code]],[1]!Table1[Q_int_frac DIW],"",0)</f>
        <v>#REF!</v>
      </c>
      <c r="AH116" s="69" t="e" cm="1">
        <f t="array" ref="AH116">_xlfn.XLOOKUP(Table1[[#This Row],[5 cm2 cell test code]:[5 cm2 cell test code]],[1]!Table1[[Test code]:[Test code]],[1]!Table1[Ionic resistance 10 mM KOH/Ohm cm2],"",0)</f>
        <v>#REF!</v>
      </c>
      <c r="AI116" s="69" t="e" cm="1">
        <f t="array" ref="AI116">_xlfn.XLOOKUP(Table1[[#This Row],[5 cm2 cell test code]:[5 cm2 cell test code]],[1]!Table1[[Test code]:[Test code]],[1]!Table1[Q_int_frac DIW 10 mM KOH],"",0)</f>
        <v>#REF!</v>
      </c>
      <c r="AJ116" s="69" t="e" cm="1">
        <f t="array" ref="AJ116">_xlfn.XLOOKUP(Table1[[#This Row],[5 cm2 cell test code]:[5 cm2 cell test code]],[1]!Table1[[Test code]:[Test code]],[1]!Table1[DIW conductivity (µS/cm)],"",0)</f>
        <v>#REF!</v>
      </c>
      <c r="AQ116" s="4" t="str">
        <v>VSG01A-23166E1</v>
      </c>
      <c r="AR116" s="95">
        <f>COUNTIFS(Table1[Anode PN (Stack/cell electrodes)],AQ116,Table1[ƞ at 20mAcm-2 (mV)],"&lt;&gt;")</f>
        <v>1</v>
      </c>
      <c r="AS116" s="95">
        <f>COUNTIFS(Table1[Anode PN (Stack/cell electrodes)],AQ116,Table1[i @ 1.8 V DIW (A/cm2)],"&lt;&gt;")</f>
        <v>1</v>
      </c>
      <c r="AT116" s="95">
        <f>COUNTIFS(Table1[Anode PN (Stack/cell electrodes)],AQ116,Table1[i at 1.8 V 10 mM KOH (A/cm2)],"&lt;&gt;")</f>
        <v>1</v>
      </c>
      <c r="AU116" s="95">
        <f>COUNTIFS(Table1[Anode PN (Stack/cell electrodes)],AQ116,Table1[Ionic resistance DIW/Ohm cm2],"&lt;&gt;")</f>
        <v>1</v>
      </c>
      <c r="AV116" s="95">
        <f>COUNTIFS(Table1[Anode PN (Stack/cell electrodes)],AQ116,Table1[Ionic resistance 10 mM KOH/Ohm cm2],"&lt;&gt;")</f>
        <v>1</v>
      </c>
    </row>
    <row r="117" spans="1:48">
      <c r="A117" s="81"/>
      <c r="K117" s="43" t="s">
        <v>59</v>
      </c>
      <c r="U117" s="101"/>
      <c r="V117" s="101"/>
      <c r="W117" s="69" t="e" cm="1">
        <f t="array" ref="W117">_xlfn.XLOOKUP(Table1[[#This Row],[5 cm2 cell test code]:[5 cm2 cell test code]],[1]!Table1[[Test code]:[Test code]],[1]!Table1[i @ 1.8 V DIW (A/cm2)],"",0)</f>
        <v>#REF!</v>
      </c>
      <c r="X117" s="69" t="e" cm="1">
        <f t="array" ref="X117">_xlfn.XLOOKUP(Table1[[#This Row],[5 cm2 cell test code]:[5 cm2 cell test code]],[1]!Table1[[Test code]:[Test code]],[1]!Table1[i @ 1.8 V 10 mM KOH (A/cm2)],"",0)</f>
        <v>#REF!</v>
      </c>
      <c r="Y117" s="69" t="e" cm="1">
        <f t="array" ref="Y117">_xlfn.XLOOKUP(Table1[[#This Row],[5 cm2 cell test code]:[5 cm2 cell test code]],[1]!Table1[[Test code]:[Test code]],[1]!Table1[3-E ƞ at 20mAcm-2 (mV)],"",0)</f>
        <v>#REF!</v>
      </c>
      <c r="Z117" s="69" t="e" cm="1">
        <f t="array" ref="Z117">_xlfn.XLOOKUP(Table1[[#This Row],[5 cm2 cell test code]:[5 cm2 cell test code]],[1]!Table1[[Test code]:[Test code]],[1]!Table1[3-E Tafel slope (mV/dec)],"",0)</f>
        <v>#REF!</v>
      </c>
      <c r="AA117" s="69" t="e" cm="1">
        <f t="array" ref="AA117">_xlfn.XLOOKUP(Table1[[#This Row],[5 cm2 cell test code]:[5 cm2 cell test code]],[1]!Table1[[Test code]:[Test code]],[1]!Table1[E @ 100 mA/cm2 DIW/V],"",0)</f>
        <v>#REF!</v>
      </c>
      <c r="AB117" s="69" t="e" cm="1">
        <f t="array" ref="AB117">_xlfn.XLOOKUP(Table1[[#This Row],[5 cm2 cell test code]:[5 cm2 cell test code]],[1]!Table1[[Test code]:[Test code]],[1]!Table1[E @ 100 mA/cm2 10 mM KOH/V],"",0)</f>
        <v>#REF!</v>
      </c>
      <c r="AC117" s="69" t="e" cm="1">
        <f t="array" ref="AC117">_xlfn.XLOOKUP(Table1[[#This Row],[5 cm2 cell test code]:[5 cm2 cell test code]],[1]!Table1[[Test code]:[Test code]],[1]!Table1[Anode ICR/mOhm],"",0)</f>
        <v>#REF!</v>
      </c>
      <c r="AD117" s="69" t="e" cm="1">
        <f t="array" ref="AD117">_xlfn.XLOOKUP(Table1[[#This Row],[5 cm2 cell test code]:[5 cm2 cell test code]],[1]!Table1[[Test code]:[Test code]],[1]!Table1[HFR DIW/ mOhm cm2],"",0)</f>
        <v>#REF!</v>
      </c>
      <c r="AE117" s="69" t="e" cm="1">
        <f t="array" ref="AE117">_xlfn.XLOOKUP(Table1[[#This Row],[5 cm2 cell test code]:[5 cm2 cell test code]],[1]!Table1[[Test code]:[Test code]],[1]!Table1[HFR 10 mM KOH/ mOhm cm2],"",0)</f>
        <v>#REF!</v>
      </c>
      <c r="AF117" s="69" t="e" cm="1">
        <f t="array" ref="AF117">_xlfn.XLOOKUP(Table1[[#This Row],[5 cm2 cell test code]:[5 cm2 cell test code]],[1]!Table1[[Test code]:[Test code]],[1]!Table1[Ionic resistance DIW/Ohm cm2],"",0)</f>
        <v>#REF!</v>
      </c>
      <c r="AG117" s="69" t="e" cm="1">
        <f t="array" ref="AG117">_xlfn.XLOOKUP(Table1[[#This Row],[5 cm2 cell test code]:[5 cm2 cell test code]],[1]!Table1[[Test code]:[Test code]],[1]!Table1[Q_int_frac DIW],"",0)</f>
        <v>#REF!</v>
      </c>
      <c r="AH117" s="69" t="e" cm="1">
        <f t="array" ref="AH117">_xlfn.XLOOKUP(Table1[[#This Row],[5 cm2 cell test code]:[5 cm2 cell test code]],[1]!Table1[[Test code]:[Test code]],[1]!Table1[Ionic resistance 10 mM KOH/Ohm cm2],"",0)</f>
        <v>#REF!</v>
      </c>
      <c r="AI117" s="69" t="e" cm="1">
        <f t="array" ref="AI117">_xlfn.XLOOKUP(Table1[[#This Row],[5 cm2 cell test code]:[5 cm2 cell test code]],[1]!Table1[[Test code]:[Test code]],[1]!Table1[Q_int_frac DIW 10 mM KOH],"",0)</f>
        <v>#REF!</v>
      </c>
      <c r="AJ117" s="69" t="e" cm="1">
        <f t="array" ref="AJ117">_xlfn.XLOOKUP(Table1[[#This Row],[5 cm2 cell test code]:[5 cm2 cell test code]],[1]!Table1[[Test code]:[Test code]],[1]!Table1[DIW conductivity (µS/cm)],"",0)</f>
        <v>#REF!</v>
      </c>
      <c r="AQ117" s="4" t="str">
        <v>VSG01A-23166E1.01</v>
      </c>
      <c r="AR117" s="95">
        <f>COUNTIFS(Table1[Anode PN (Stack/cell electrodes)],AQ117,Table1[ƞ at 20mAcm-2 (mV)],"&lt;&gt;")</f>
        <v>1</v>
      </c>
      <c r="AS117" s="95">
        <f>COUNTIFS(Table1[Anode PN (Stack/cell electrodes)],AQ117,Table1[i @ 1.8 V DIW (A/cm2)],"&lt;&gt;")</f>
        <v>1</v>
      </c>
      <c r="AT117" s="95">
        <f>COUNTIFS(Table1[Anode PN (Stack/cell electrodes)],AQ117,Table1[i at 1.8 V 10 mM KOH (A/cm2)],"&lt;&gt;")</f>
        <v>1</v>
      </c>
      <c r="AU117" s="95">
        <f>COUNTIFS(Table1[Anode PN (Stack/cell electrodes)],AQ117,Table1[Ionic resistance DIW/Ohm cm2],"&lt;&gt;")</f>
        <v>1</v>
      </c>
      <c r="AV117" s="95">
        <f>COUNTIFS(Table1[Anode PN (Stack/cell electrodes)],AQ117,Table1[Ionic resistance 10 mM KOH/Ohm cm2],"&lt;&gt;")</f>
        <v>1</v>
      </c>
    </row>
    <row r="118" spans="1:48">
      <c r="A118" s="81"/>
      <c r="K118" s="43" t="s">
        <v>59</v>
      </c>
      <c r="U118" s="101"/>
      <c r="V118" s="101"/>
      <c r="W118" s="69" t="e" cm="1">
        <f t="array" ref="W118">_xlfn.XLOOKUP(Table1[[#This Row],[5 cm2 cell test code]:[5 cm2 cell test code]],[1]!Table1[[Test code]:[Test code]],[1]!Table1[i @ 1.8 V DIW (A/cm2)],"",0)</f>
        <v>#REF!</v>
      </c>
      <c r="X118" s="69" t="e" cm="1">
        <f t="array" ref="X118">_xlfn.XLOOKUP(Table1[[#This Row],[5 cm2 cell test code]:[5 cm2 cell test code]],[1]!Table1[[Test code]:[Test code]],[1]!Table1[i @ 1.8 V 10 mM KOH (A/cm2)],"",0)</f>
        <v>#REF!</v>
      </c>
      <c r="Y118" s="69" t="e" cm="1">
        <f t="array" ref="Y118">_xlfn.XLOOKUP(Table1[[#This Row],[5 cm2 cell test code]:[5 cm2 cell test code]],[1]!Table1[[Test code]:[Test code]],[1]!Table1[3-E ƞ at 20mAcm-2 (mV)],"",0)</f>
        <v>#REF!</v>
      </c>
      <c r="Z118" s="69" t="e" cm="1">
        <f t="array" ref="Z118">_xlfn.XLOOKUP(Table1[[#This Row],[5 cm2 cell test code]:[5 cm2 cell test code]],[1]!Table1[[Test code]:[Test code]],[1]!Table1[3-E Tafel slope (mV/dec)],"",0)</f>
        <v>#REF!</v>
      </c>
      <c r="AA118" s="69" t="e" cm="1">
        <f t="array" ref="AA118">_xlfn.XLOOKUP(Table1[[#This Row],[5 cm2 cell test code]:[5 cm2 cell test code]],[1]!Table1[[Test code]:[Test code]],[1]!Table1[E @ 100 mA/cm2 DIW/V],"",0)</f>
        <v>#REF!</v>
      </c>
      <c r="AB118" s="69" t="e" cm="1">
        <f t="array" ref="AB118">_xlfn.XLOOKUP(Table1[[#This Row],[5 cm2 cell test code]:[5 cm2 cell test code]],[1]!Table1[[Test code]:[Test code]],[1]!Table1[E @ 100 mA/cm2 10 mM KOH/V],"",0)</f>
        <v>#REF!</v>
      </c>
      <c r="AC118" s="69" t="e" cm="1">
        <f t="array" ref="AC118">_xlfn.XLOOKUP(Table1[[#This Row],[5 cm2 cell test code]:[5 cm2 cell test code]],[1]!Table1[[Test code]:[Test code]],[1]!Table1[Anode ICR/mOhm],"",0)</f>
        <v>#REF!</v>
      </c>
      <c r="AD118" s="69" t="e" cm="1">
        <f t="array" ref="AD118">_xlfn.XLOOKUP(Table1[[#This Row],[5 cm2 cell test code]:[5 cm2 cell test code]],[1]!Table1[[Test code]:[Test code]],[1]!Table1[HFR DIW/ mOhm cm2],"",0)</f>
        <v>#REF!</v>
      </c>
      <c r="AE118" s="69" t="e" cm="1">
        <f t="array" ref="AE118">_xlfn.XLOOKUP(Table1[[#This Row],[5 cm2 cell test code]:[5 cm2 cell test code]],[1]!Table1[[Test code]:[Test code]],[1]!Table1[HFR 10 mM KOH/ mOhm cm2],"",0)</f>
        <v>#REF!</v>
      </c>
      <c r="AF118" s="69" t="e" cm="1">
        <f t="array" ref="AF118">_xlfn.XLOOKUP(Table1[[#This Row],[5 cm2 cell test code]:[5 cm2 cell test code]],[1]!Table1[[Test code]:[Test code]],[1]!Table1[Ionic resistance DIW/Ohm cm2],"",0)</f>
        <v>#REF!</v>
      </c>
      <c r="AG118" s="69" t="e" cm="1">
        <f t="array" ref="AG118">_xlfn.XLOOKUP(Table1[[#This Row],[5 cm2 cell test code]:[5 cm2 cell test code]],[1]!Table1[[Test code]:[Test code]],[1]!Table1[Q_int_frac DIW],"",0)</f>
        <v>#REF!</v>
      </c>
      <c r="AH118" s="69" t="e" cm="1">
        <f t="array" ref="AH118">_xlfn.XLOOKUP(Table1[[#This Row],[5 cm2 cell test code]:[5 cm2 cell test code]],[1]!Table1[[Test code]:[Test code]],[1]!Table1[Ionic resistance 10 mM KOH/Ohm cm2],"",0)</f>
        <v>#REF!</v>
      </c>
      <c r="AI118" s="69" t="e" cm="1">
        <f t="array" ref="AI118">_xlfn.XLOOKUP(Table1[[#This Row],[5 cm2 cell test code]:[5 cm2 cell test code]],[1]!Table1[[Test code]:[Test code]],[1]!Table1[Q_int_frac DIW 10 mM KOH],"",0)</f>
        <v>#REF!</v>
      </c>
      <c r="AJ118" s="69" t="e" cm="1">
        <f t="array" ref="AJ118">_xlfn.XLOOKUP(Table1[[#This Row],[5 cm2 cell test code]:[5 cm2 cell test code]],[1]!Table1[[Test code]:[Test code]],[1]!Table1[DIW conductivity (µS/cm)],"",0)</f>
        <v>#REF!</v>
      </c>
      <c r="AQ118" s="4" t="str">
        <v>VSG01A-23166E1.02</v>
      </c>
      <c r="AR118" s="95">
        <f>COUNTIFS(Table1[Anode PN (Stack/cell electrodes)],AQ118,Table1[ƞ at 20mAcm-2 (mV)],"&lt;&gt;")</f>
        <v>0</v>
      </c>
      <c r="AS118" s="95">
        <f>COUNTIFS(Table1[Anode PN (Stack/cell electrodes)],AQ118,Table1[i @ 1.8 V DIW (A/cm2)],"&lt;&gt;")</f>
        <v>1</v>
      </c>
      <c r="AT118" s="95">
        <f>COUNTIFS(Table1[Anode PN (Stack/cell electrodes)],AQ118,Table1[i at 1.8 V 10 mM KOH (A/cm2)],"&lt;&gt;")</f>
        <v>1</v>
      </c>
      <c r="AU118" s="95">
        <f>COUNTIFS(Table1[Anode PN (Stack/cell electrodes)],AQ118,Table1[Ionic resistance DIW/Ohm cm2],"&lt;&gt;")</f>
        <v>1</v>
      </c>
      <c r="AV118" s="95">
        <f>COUNTIFS(Table1[Anode PN (Stack/cell electrodes)],AQ118,Table1[Ionic resistance 10 mM KOH/Ohm cm2],"&lt;&gt;")</f>
        <v>1</v>
      </c>
    </row>
    <row r="119" spans="1:48">
      <c r="A119" s="81"/>
      <c r="K119" s="43" t="s">
        <v>59</v>
      </c>
      <c r="U119" s="101"/>
      <c r="V119" s="101"/>
      <c r="W119" s="69" t="e" cm="1">
        <f t="array" ref="W119">_xlfn.XLOOKUP(Table1[[#This Row],[5 cm2 cell test code]:[5 cm2 cell test code]],[1]!Table1[[Test code]:[Test code]],[1]!Table1[i @ 1.8 V DIW (A/cm2)],"",0)</f>
        <v>#REF!</v>
      </c>
      <c r="X119" s="69" t="e" cm="1">
        <f t="array" ref="X119">_xlfn.XLOOKUP(Table1[[#This Row],[5 cm2 cell test code]:[5 cm2 cell test code]],[1]!Table1[[Test code]:[Test code]],[1]!Table1[i @ 1.8 V 10 mM KOH (A/cm2)],"",0)</f>
        <v>#REF!</v>
      </c>
      <c r="Y119" s="69" t="e" cm="1">
        <f t="array" ref="Y119">_xlfn.XLOOKUP(Table1[[#This Row],[5 cm2 cell test code]:[5 cm2 cell test code]],[1]!Table1[[Test code]:[Test code]],[1]!Table1[3-E ƞ at 20mAcm-2 (mV)],"",0)</f>
        <v>#REF!</v>
      </c>
      <c r="Z119" s="69" t="e" cm="1">
        <f t="array" ref="Z119">_xlfn.XLOOKUP(Table1[[#This Row],[5 cm2 cell test code]:[5 cm2 cell test code]],[1]!Table1[[Test code]:[Test code]],[1]!Table1[3-E Tafel slope (mV/dec)],"",0)</f>
        <v>#REF!</v>
      </c>
      <c r="AA119" s="69" t="e" cm="1">
        <f t="array" ref="AA119">_xlfn.XLOOKUP(Table1[[#This Row],[5 cm2 cell test code]:[5 cm2 cell test code]],[1]!Table1[[Test code]:[Test code]],[1]!Table1[E @ 100 mA/cm2 DIW/V],"",0)</f>
        <v>#REF!</v>
      </c>
      <c r="AB119" s="69" t="e" cm="1">
        <f t="array" ref="AB119">_xlfn.XLOOKUP(Table1[[#This Row],[5 cm2 cell test code]:[5 cm2 cell test code]],[1]!Table1[[Test code]:[Test code]],[1]!Table1[E @ 100 mA/cm2 10 mM KOH/V],"",0)</f>
        <v>#REF!</v>
      </c>
      <c r="AC119" s="69" t="e" cm="1">
        <f t="array" ref="AC119">_xlfn.XLOOKUP(Table1[[#This Row],[5 cm2 cell test code]:[5 cm2 cell test code]],[1]!Table1[[Test code]:[Test code]],[1]!Table1[Anode ICR/mOhm],"",0)</f>
        <v>#REF!</v>
      </c>
      <c r="AD119" s="69" t="e" cm="1">
        <f t="array" ref="AD119">_xlfn.XLOOKUP(Table1[[#This Row],[5 cm2 cell test code]:[5 cm2 cell test code]],[1]!Table1[[Test code]:[Test code]],[1]!Table1[HFR DIW/ mOhm cm2],"",0)</f>
        <v>#REF!</v>
      </c>
      <c r="AE119" s="69" t="e" cm="1">
        <f t="array" ref="AE119">_xlfn.XLOOKUP(Table1[[#This Row],[5 cm2 cell test code]:[5 cm2 cell test code]],[1]!Table1[[Test code]:[Test code]],[1]!Table1[HFR 10 mM KOH/ mOhm cm2],"",0)</f>
        <v>#REF!</v>
      </c>
      <c r="AF119" s="69" t="e" cm="1">
        <f t="array" ref="AF119">_xlfn.XLOOKUP(Table1[[#This Row],[5 cm2 cell test code]:[5 cm2 cell test code]],[1]!Table1[[Test code]:[Test code]],[1]!Table1[Ionic resistance DIW/Ohm cm2],"",0)</f>
        <v>#REF!</v>
      </c>
      <c r="AG119" s="69" t="e" cm="1">
        <f t="array" ref="AG119">_xlfn.XLOOKUP(Table1[[#This Row],[5 cm2 cell test code]:[5 cm2 cell test code]],[1]!Table1[[Test code]:[Test code]],[1]!Table1[Q_int_frac DIW],"",0)</f>
        <v>#REF!</v>
      </c>
      <c r="AH119" s="69" t="e" cm="1">
        <f t="array" ref="AH119">_xlfn.XLOOKUP(Table1[[#This Row],[5 cm2 cell test code]:[5 cm2 cell test code]],[1]!Table1[[Test code]:[Test code]],[1]!Table1[Ionic resistance 10 mM KOH/Ohm cm2],"",0)</f>
        <v>#REF!</v>
      </c>
      <c r="AI119" s="69" t="e" cm="1">
        <f t="array" ref="AI119">_xlfn.XLOOKUP(Table1[[#This Row],[5 cm2 cell test code]:[5 cm2 cell test code]],[1]!Table1[[Test code]:[Test code]],[1]!Table1[Q_int_frac DIW 10 mM KOH],"",0)</f>
        <v>#REF!</v>
      </c>
      <c r="AJ119" s="69" t="e" cm="1">
        <f t="array" ref="AJ119">_xlfn.XLOOKUP(Table1[[#This Row],[5 cm2 cell test code]:[5 cm2 cell test code]],[1]!Table1[[Test code]:[Test code]],[1]!Table1[DIW conductivity (µS/cm)],"",0)</f>
        <v>#REF!</v>
      </c>
      <c r="AQ119" s="4" t="str">
        <v>VSG01A-23171E1</v>
      </c>
      <c r="AR119" s="95">
        <f>COUNTIFS(Table1[Anode PN (Stack/cell electrodes)],AQ119,Table1[ƞ at 20mAcm-2 (mV)],"&lt;&gt;")</f>
        <v>1</v>
      </c>
      <c r="AS119" s="95">
        <f>COUNTIFS(Table1[Anode PN (Stack/cell electrodes)],AQ119,Table1[i @ 1.8 V DIW (A/cm2)],"&lt;&gt;")</f>
        <v>1</v>
      </c>
      <c r="AT119" s="95">
        <f>COUNTIFS(Table1[Anode PN (Stack/cell electrodes)],AQ119,Table1[i at 1.8 V 10 mM KOH (A/cm2)],"&lt;&gt;")</f>
        <v>1</v>
      </c>
      <c r="AU119" s="95">
        <f>COUNTIFS(Table1[Anode PN (Stack/cell electrodes)],AQ119,Table1[Ionic resistance DIW/Ohm cm2],"&lt;&gt;")</f>
        <v>1</v>
      </c>
      <c r="AV119" s="95">
        <f>COUNTIFS(Table1[Anode PN (Stack/cell electrodes)],AQ119,Table1[Ionic resistance 10 mM KOH/Ohm cm2],"&lt;&gt;")</f>
        <v>1</v>
      </c>
    </row>
    <row r="120" spans="1:48">
      <c r="A120" s="81"/>
      <c r="B120" s="11" t="s">
        <v>264</v>
      </c>
      <c r="C120" s="4" t="s">
        <v>265</v>
      </c>
      <c r="I120" s="11" t="s">
        <v>219</v>
      </c>
      <c r="J120" s="11" t="s">
        <v>134</v>
      </c>
      <c r="K120" s="43" t="s">
        <v>59</v>
      </c>
      <c r="R120" s="4">
        <v>1.1160000000000001</v>
      </c>
      <c r="S120" s="4">
        <v>217.87</v>
      </c>
      <c r="T120" s="4">
        <v>33.4</v>
      </c>
      <c r="U120" s="101"/>
      <c r="V120" s="101"/>
      <c r="W120" s="69" t="e" cm="1">
        <f t="array" ref="W120">_xlfn.XLOOKUP(Table1[[#This Row],[5 cm2 cell test code]:[5 cm2 cell test code]],[1]!Table1[[Test code]:[Test code]],[1]!Table1[i @ 1.8 V DIW (A/cm2)],"",0)</f>
        <v>#REF!</v>
      </c>
      <c r="X120" s="69" t="e" cm="1">
        <f t="array" ref="X120">_xlfn.XLOOKUP(Table1[[#This Row],[5 cm2 cell test code]:[5 cm2 cell test code]],[1]!Table1[[Test code]:[Test code]],[1]!Table1[i @ 1.8 V 10 mM KOH (A/cm2)],"",0)</f>
        <v>#REF!</v>
      </c>
      <c r="Y120" s="69" t="e" cm="1">
        <f t="array" ref="Y120">_xlfn.XLOOKUP(Table1[[#This Row],[5 cm2 cell test code]:[5 cm2 cell test code]],[1]!Table1[[Test code]:[Test code]],[1]!Table1[3-E ƞ at 20mAcm-2 (mV)],"",0)</f>
        <v>#REF!</v>
      </c>
      <c r="Z120" s="69" t="e" cm="1">
        <f t="array" ref="Z120">_xlfn.XLOOKUP(Table1[[#This Row],[5 cm2 cell test code]:[5 cm2 cell test code]],[1]!Table1[[Test code]:[Test code]],[1]!Table1[3-E Tafel slope (mV/dec)],"",0)</f>
        <v>#REF!</v>
      </c>
      <c r="AA120" s="69" t="e" cm="1">
        <f t="array" ref="AA120">_xlfn.XLOOKUP(Table1[[#This Row],[5 cm2 cell test code]:[5 cm2 cell test code]],[1]!Table1[[Test code]:[Test code]],[1]!Table1[E @ 100 mA/cm2 DIW/V],"",0)</f>
        <v>#REF!</v>
      </c>
      <c r="AB120" s="69" t="e" cm="1">
        <f t="array" ref="AB120">_xlfn.XLOOKUP(Table1[[#This Row],[5 cm2 cell test code]:[5 cm2 cell test code]],[1]!Table1[[Test code]:[Test code]],[1]!Table1[E @ 100 mA/cm2 10 mM KOH/V],"",0)</f>
        <v>#REF!</v>
      </c>
      <c r="AC120" s="69" t="e" cm="1">
        <f t="array" ref="AC120">_xlfn.XLOOKUP(Table1[[#This Row],[5 cm2 cell test code]:[5 cm2 cell test code]],[1]!Table1[[Test code]:[Test code]],[1]!Table1[Anode ICR/mOhm],"",0)</f>
        <v>#REF!</v>
      </c>
      <c r="AD120" s="69" t="e" cm="1">
        <f t="array" ref="AD120">_xlfn.XLOOKUP(Table1[[#This Row],[5 cm2 cell test code]:[5 cm2 cell test code]],[1]!Table1[[Test code]:[Test code]],[1]!Table1[HFR DIW/ mOhm cm2],"",0)</f>
        <v>#REF!</v>
      </c>
      <c r="AE120" s="69" t="e" cm="1">
        <f t="array" ref="AE120">_xlfn.XLOOKUP(Table1[[#This Row],[5 cm2 cell test code]:[5 cm2 cell test code]],[1]!Table1[[Test code]:[Test code]],[1]!Table1[HFR 10 mM KOH/ mOhm cm2],"",0)</f>
        <v>#REF!</v>
      </c>
      <c r="AF120" s="69" t="e" cm="1">
        <f t="array" ref="AF120">_xlfn.XLOOKUP(Table1[[#This Row],[5 cm2 cell test code]:[5 cm2 cell test code]],[1]!Table1[[Test code]:[Test code]],[1]!Table1[Ionic resistance DIW/Ohm cm2],"",0)</f>
        <v>#REF!</v>
      </c>
      <c r="AG120" s="69" t="e" cm="1">
        <f t="array" ref="AG120">_xlfn.XLOOKUP(Table1[[#This Row],[5 cm2 cell test code]:[5 cm2 cell test code]],[1]!Table1[[Test code]:[Test code]],[1]!Table1[Q_int_frac DIW],"",0)</f>
        <v>#REF!</v>
      </c>
      <c r="AH120" s="69" t="e" cm="1">
        <f t="array" ref="AH120">_xlfn.XLOOKUP(Table1[[#This Row],[5 cm2 cell test code]:[5 cm2 cell test code]],[1]!Table1[[Test code]:[Test code]],[1]!Table1[Ionic resistance 10 mM KOH/Ohm cm2],"",0)</f>
        <v>#REF!</v>
      </c>
      <c r="AI120" s="69" t="e" cm="1">
        <f t="array" ref="AI120">_xlfn.XLOOKUP(Table1[[#This Row],[5 cm2 cell test code]:[5 cm2 cell test code]],[1]!Table1[[Test code]:[Test code]],[1]!Table1[Q_int_frac DIW 10 mM KOH],"",0)</f>
        <v>#REF!</v>
      </c>
      <c r="AJ120" s="69" t="e" cm="1">
        <f t="array" ref="AJ120">_xlfn.XLOOKUP(Table1[[#This Row],[5 cm2 cell test code]:[5 cm2 cell test code]],[1]!Table1[[Test code]:[Test code]],[1]!Table1[DIW conductivity (µS/cm)],"",0)</f>
        <v>#REF!</v>
      </c>
      <c r="AQ120" s="4" t="str">
        <v>VSG01A-23173E1</v>
      </c>
      <c r="AR120" s="95">
        <f>COUNTIFS(Table1[Anode PN (Stack/cell electrodes)],AQ120,Table1[ƞ at 20mAcm-2 (mV)],"&lt;&gt;")</f>
        <v>1</v>
      </c>
      <c r="AS120" s="95">
        <f>COUNTIFS(Table1[Anode PN (Stack/cell electrodes)],AQ120,Table1[i @ 1.8 V DIW (A/cm2)],"&lt;&gt;")</f>
        <v>1</v>
      </c>
      <c r="AT120" s="95">
        <f>COUNTIFS(Table1[Anode PN (Stack/cell electrodes)],AQ120,Table1[i at 1.8 V 10 mM KOH (A/cm2)],"&lt;&gt;")</f>
        <v>1</v>
      </c>
      <c r="AU120" s="95">
        <f>COUNTIFS(Table1[Anode PN (Stack/cell electrodes)],AQ120,Table1[Ionic resistance DIW/Ohm cm2],"&lt;&gt;")</f>
        <v>1</v>
      </c>
      <c r="AV120" s="95">
        <f>COUNTIFS(Table1[Anode PN (Stack/cell electrodes)],AQ120,Table1[Ionic resistance 10 mM KOH/Ohm cm2],"&lt;&gt;")</f>
        <v>1</v>
      </c>
    </row>
    <row r="121" spans="1:48">
      <c r="A121" s="81"/>
      <c r="B121" s="11" t="s">
        <v>266</v>
      </c>
      <c r="C121" s="4" t="s">
        <v>265</v>
      </c>
      <c r="I121" s="11" t="s">
        <v>219</v>
      </c>
      <c r="K121" s="43" t="s">
        <v>59</v>
      </c>
      <c r="M121" s="13">
        <v>0.252</v>
      </c>
      <c r="N121" s="13">
        <v>9.3249999999999993</v>
      </c>
      <c r="R121" s="18">
        <v>1.18</v>
      </c>
      <c r="S121" s="4">
        <v>221.46</v>
      </c>
      <c r="T121" s="4">
        <v>38.229999999999997</v>
      </c>
      <c r="U121" s="101"/>
      <c r="V121" s="101"/>
      <c r="W121" s="69" t="e" cm="1">
        <f t="array" ref="W121">_xlfn.XLOOKUP(Table1[[#This Row],[5 cm2 cell test code]:[5 cm2 cell test code]],[1]!Table1[[Test code]:[Test code]],[1]!Table1[i @ 1.8 V DIW (A/cm2)],"",0)</f>
        <v>#REF!</v>
      </c>
      <c r="X121" s="69" t="e" cm="1">
        <f t="array" ref="X121">_xlfn.XLOOKUP(Table1[[#This Row],[5 cm2 cell test code]:[5 cm2 cell test code]],[1]!Table1[[Test code]:[Test code]],[1]!Table1[i @ 1.8 V 10 mM KOH (A/cm2)],"",0)</f>
        <v>#REF!</v>
      </c>
      <c r="Y121" s="69" t="e" cm="1">
        <f t="array" ref="Y121">_xlfn.XLOOKUP(Table1[[#This Row],[5 cm2 cell test code]:[5 cm2 cell test code]],[1]!Table1[[Test code]:[Test code]],[1]!Table1[3-E ƞ at 20mAcm-2 (mV)],"",0)</f>
        <v>#REF!</v>
      </c>
      <c r="Z121" s="69" t="e" cm="1">
        <f t="array" ref="Z121">_xlfn.XLOOKUP(Table1[[#This Row],[5 cm2 cell test code]:[5 cm2 cell test code]],[1]!Table1[[Test code]:[Test code]],[1]!Table1[3-E Tafel slope (mV/dec)],"",0)</f>
        <v>#REF!</v>
      </c>
      <c r="AA121" s="69" t="e" cm="1">
        <f t="array" ref="AA121">_xlfn.XLOOKUP(Table1[[#This Row],[5 cm2 cell test code]:[5 cm2 cell test code]],[1]!Table1[[Test code]:[Test code]],[1]!Table1[E @ 100 mA/cm2 DIW/V],"",0)</f>
        <v>#REF!</v>
      </c>
      <c r="AB121" s="69" t="e" cm="1">
        <f t="array" ref="AB121">_xlfn.XLOOKUP(Table1[[#This Row],[5 cm2 cell test code]:[5 cm2 cell test code]],[1]!Table1[[Test code]:[Test code]],[1]!Table1[E @ 100 mA/cm2 10 mM KOH/V],"",0)</f>
        <v>#REF!</v>
      </c>
      <c r="AC121" s="69" t="e" cm="1">
        <f t="array" ref="AC121">_xlfn.XLOOKUP(Table1[[#This Row],[5 cm2 cell test code]:[5 cm2 cell test code]],[1]!Table1[[Test code]:[Test code]],[1]!Table1[Anode ICR/mOhm],"",0)</f>
        <v>#REF!</v>
      </c>
      <c r="AD121" s="69" t="e" cm="1">
        <f t="array" ref="AD121">_xlfn.XLOOKUP(Table1[[#This Row],[5 cm2 cell test code]:[5 cm2 cell test code]],[1]!Table1[[Test code]:[Test code]],[1]!Table1[HFR DIW/ mOhm cm2],"",0)</f>
        <v>#REF!</v>
      </c>
      <c r="AE121" s="69" t="e" cm="1">
        <f t="array" ref="AE121">_xlfn.XLOOKUP(Table1[[#This Row],[5 cm2 cell test code]:[5 cm2 cell test code]],[1]!Table1[[Test code]:[Test code]],[1]!Table1[HFR 10 mM KOH/ mOhm cm2],"",0)</f>
        <v>#REF!</v>
      </c>
      <c r="AF121" s="69" t="e" cm="1">
        <f t="array" ref="AF121">_xlfn.XLOOKUP(Table1[[#This Row],[5 cm2 cell test code]:[5 cm2 cell test code]],[1]!Table1[[Test code]:[Test code]],[1]!Table1[Ionic resistance DIW/Ohm cm2],"",0)</f>
        <v>#REF!</v>
      </c>
      <c r="AG121" s="69" t="e" cm="1">
        <f t="array" ref="AG121">_xlfn.XLOOKUP(Table1[[#This Row],[5 cm2 cell test code]:[5 cm2 cell test code]],[1]!Table1[[Test code]:[Test code]],[1]!Table1[Q_int_frac DIW],"",0)</f>
        <v>#REF!</v>
      </c>
      <c r="AH121" s="69" t="e" cm="1">
        <f t="array" ref="AH121">_xlfn.XLOOKUP(Table1[[#This Row],[5 cm2 cell test code]:[5 cm2 cell test code]],[1]!Table1[[Test code]:[Test code]],[1]!Table1[Ionic resistance 10 mM KOH/Ohm cm2],"",0)</f>
        <v>#REF!</v>
      </c>
      <c r="AI121" s="69" t="e" cm="1">
        <f t="array" ref="AI121">_xlfn.XLOOKUP(Table1[[#This Row],[5 cm2 cell test code]:[5 cm2 cell test code]],[1]!Table1[[Test code]:[Test code]],[1]!Table1[Q_int_frac DIW 10 mM KOH],"",0)</f>
        <v>#REF!</v>
      </c>
      <c r="AJ121" s="69" t="e" cm="1">
        <f t="array" ref="AJ121">_xlfn.XLOOKUP(Table1[[#This Row],[5 cm2 cell test code]:[5 cm2 cell test code]],[1]!Table1[[Test code]:[Test code]],[1]!Table1[DIW conductivity (µS/cm)],"",0)</f>
        <v>#REF!</v>
      </c>
      <c r="AQ121" s="4" t="str">
        <v>VSG01A-23174E1</v>
      </c>
      <c r="AR121" s="95">
        <f>COUNTIFS(Table1[Anode PN (Stack/cell electrodes)],AQ121,Table1[ƞ at 20mAcm-2 (mV)],"&lt;&gt;")</f>
        <v>1</v>
      </c>
      <c r="AS121" s="95">
        <f>COUNTIFS(Table1[Anode PN (Stack/cell electrodes)],AQ121,Table1[i @ 1.8 V DIW (A/cm2)],"&lt;&gt;")</f>
        <v>1</v>
      </c>
      <c r="AT121" s="95">
        <f>COUNTIFS(Table1[Anode PN (Stack/cell electrodes)],AQ121,Table1[i at 1.8 V 10 mM KOH (A/cm2)],"&lt;&gt;")</f>
        <v>1</v>
      </c>
      <c r="AU121" s="95">
        <f>COUNTIFS(Table1[Anode PN (Stack/cell electrodes)],AQ121,Table1[Ionic resistance DIW/Ohm cm2],"&lt;&gt;")</f>
        <v>1</v>
      </c>
      <c r="AV121" s="95">
        <f>COUNTIFS(Table1[Anode PN (Stack/cell electrodes)],AQ121,Table1[Ionic resistance 10 mM KOH/Ohm cm2],"&lt;&gt;")</f>
        <v>1</v>
      </c>
    </row>
    <row r="122" spans="1:48">
      <c r="A122" s="81"/>
      <c r="K122" s="43" t="s">
        <v>59</v>
      </c>
      <c r="U122" s="101"/>
      <c r="V122" s="101"/>
      <c r="W122" s="69" t="e" cm="1">
        <f t="array" ref="W122">_xlfn.XLOOKUP(Table1[[#This Row],[5 cm2 cell test code]:[5 cm2 cell test code]],[1]!Table1[[Test code]:[Test code]],[1]!Table1[i @ 1.8 V DIW (A/cm2)],"",0)</f>
        <v>#REF!</v>
      </c>
      <c r="X122" s="69" t="e" cm="1">
        <f t="array" ref="X122">_xlfn.XLOOKUP(Table1[[#This Row],[5 cm2 cell test code]:[5 cm2 cell test code]],[1]!Table1[[Test code]:[Test code]],[1]!Table1[i @ 1.8 V 10 mM KOH (A/cm2)],"",0)</f>
        <v>#REF!</v>
      </c>
      <c r="Y122" s="69" t="e" cm="1">
        <f t="array" ref="Y122">_xlfn.XLOOKUP(Table1[[#This Row],[5 cm2 cell test code]:[5 cm2 cell test code]],[1]!Table1[[Test code]:[Test code]],[1]!Table1[3-E ƞ at 20mAcm-2 (mV)],"",0)</f>
        <v>#REF!</v>
      </c>
      <c r="Z122" s="69" t="e" cm="1">
        <f t="array" ref="Z122">_xlfn.XLOOKUP(Table1[[#This Row],[5 cm2 cell test code]:[5 cm2 cell test code]],[1]!Table1[[Test code]:[Test code]],[1]!Table1[3-E Tafel slope (mV/dec)],"",0)</f>
        <v>#REF!</v>
      </c>
      <c r="AA122" s="69" t="e" cm="1">
        <f t="array" ref="AA122">_xlfn.XLOOKUP(Table1[[#This Row],[5 cm2 cell test code]:[5 cm2 cell test code]],[1]!Table1[[Test code]:[Test code]],[1]!Table1[E @ 100 mA/cm2 DIW/V],"",0)</f>
        <v>#REF!</v>
      </c>
      <c r="AB122" s="69" t="e" cm="1">
        <f t="array" ref="AB122">_xlfn.XLOOKUP(Table1[[#This Row],[5 cm2 cell test code]:[5 cm2 cell test code]],[1]!Table1[[Test code]:[Test code]],[1]!Table1[E @ 100 mA/cm2 10 mM KOH/V],"",0)</f>
        <v>#REF!</v>
      </c>
      <c r="AC122" s="69" t="e" cm="1">
        <f t="array" ref="AC122">_xlfn.XLOOKUP(Table1[[#This Row],[5 cm2 cell test code]:[5 cm2 cell test code]],[1]!Table1[[Test code]:[Test code]],[1]!Table1[Anode ICR/mOhm],"",0)</f>
        <v>#REF!</v>
      </c>
      <c r="AD122" s="69" t="e" cm="1">
        <f t="array" ref="AD122">_xlfn.XLOOKUP(Table1[[#This Row],[5 cm2 cell test code]:[5 cm2 cell test code]],[1]!Table1[[Test code]:[Test code]],[1]!Table1[HFR DIW/ mOhm cm2],"",0)</f>
        <v>#REF!</v>
      </c>
      <c r="AE122" s="69" t="e" cm="1">
        <f t="array" ref="AE122">_xlfn.XLOOKUP(Table1[[#This Row],[5 cm2 cell test code]:[5 cm2 cell test code]],[1]!Table1[[Test code]:[Test code]],[1]!Table1[HFR 10 mM KOH/ mOhm cm2],"",0)</f>
        <v>#REF!</v>
      </c>
      <c r="AF122" s="69" t="e" cm="1">
        <f t="array" ref="AF122">_xlfn.XLOOKUP(Table1[[#This Row],[5 cm2 cell test code]:[5 cm2 cell test code]],[1]!Table1[[Test code]:[Test code]],[1]!Table1[Ionic resistance DIW/Ohm cm2],"",0)</f>
        <v>#REF!</v>
      </c>
      <c r="AG122" s="69" t="e" cm="1">
        <f t="array" ref="AG122">_xlfn.XLOOKUP(Table1[[#This Row],[5 cm2 cell test code]:[5 cm2 cell test code]],[1]!Table1[[Test code]:[Test code]],[1]!Table1[Q_int_frac DIW],"",0)</f>
        <v>#REF!</v>
      </c>
      <c r="AH122" s="69" t="e" cm="1">
        <f t="array" ref="AH122">_xlfn.XLOOKUP(Table1[[#This Row],[5 cm2 cell test code]:[5 cm2 cell test code]],[1]!Table1[[Test code]:[Test code]],[1]!Table1[Ionic resistance 10 mM KOH/Ohm cm2],"",0)</f>
        <v>#REF!</v>
      </c>
      <c r="AI122" s="69" t="e" cm="1">
        <f t="array" ref="AI122">_xlfn.XLOOKUP(Table1[[#This Row],[5 cm2 cell test code]:[5 cm2 cell test code]],[1]!Table1[[Test code]:[Test code]],[1]!Table1[Q_int_frac DIW 10 mM KOH],"",0)</f>
        <v>#REF!</v>
      </c>
      <c r="AJ122" s="69" t="e" cm="1">
        <f t="array" ref="AJ122">_xlfn.XLOOKUP(Table1[[#This Row],[5 cm2 cell test code]:[5 cm2 cell test code]],[1]!Table1[[Test code]:[Test code]],[1]!Table1[DIW conductivity (µS/cm)],"",0)</f>
        <v>#REF!</v>
      </c>
      <c r="AQ122" s="4" t="str">
        <v>VSG01A-23177E1</v>
      </c>
      <c r="AR122" s="95">
        <f>COUNTIFS(Table1[Anode PN (Stack/cell electrodes)],AQ122,Table1[ƞ at 20mAcm-2 (mV)],"&lt;&gt;")</f>
        <v>1</v>
      </c>
      <c r="AS122" s="95">
        <f>COUNTIFS(Table1[Anode PN (Stack/cell electrodes)],AQ122,Table1[i @ 1.8 V DIW (A/cm2)],"&lt;&gt;")</f>
        <v>1</v>
      </c>
      <c r="AT122" s="95">
        <f>COUNTIFS(Table1[Anode PN (Stack/cell electrodes)],AQ122,Table1[i at 1.8 V 10 mM KOH (A/cm2)],"&lt;&gt;")</f>
        <v>1</v>
      </c>
      <c r="AU122" s="95">
        <f>COUNTIFS(Table1[Anode PN (Stack/cell electrodes)],AQ122,Table1[Ionic resistance DIW/Ohm cm2],"&lt;&gt;")</f>
        <v>1</v>
      </c>
      <c r="AV122" s="95">
        <f>COUNTIFS(Table1[Anode PN (Stack/cell electrodes)],AQ122,Table1[Ionic resistance 10 mM KOH/Ohm cm2],"&lt;&gt;")</f>
        <v>1</v>
      </c>
    </row>
    <row r="123" spans="1:48">
      <c r="A123" s="81"/>
      <c r="K123" s="43" t="s">
        <v>59</v>
      </c>
      <c r="U123" s="101"/>
      <c r="V123" s="101"/>
      <c r="W123" s="69" t="e" cm="1">
        <f t="array" ref="W123">_xlfn.XLOOKUP(Table1[[#This Row],[5 cm2 cell test code]:[5 cm2 cell test code]],[1]!Table1[[Test code]:[Test code]],[1]!Table1[i @ 1.8 V DIW (A/cm2)],"",0)</f>
        <v>#REF!</v>
      </c>
      <c r="X123" s="69" t="e" cm="1">
        <f t="array" ref="X123">_xlfn.XLOOKUP(Table1[[#This Row],[5 cm2 cell test code]:[5 cm2 cell test code]],[1]!Table1[[Test code]:[Test code]],[1]!Table1[i @ 1.8 V 10 mM KOH (A/cm2)],"",0)</f>
        <v>#REF!</v>
      </c>
      <c r="Y123" s="69" t="e" cm="1">
        <f t="array" ref="Y123">_xlfn.XLOOKUP(Table1[[#This Row],[5 cm2 cell test code]:[5 cm2 cell test code]],[1]!Table1[[Test code]:[Test code]],[1]!Table1[3-E ƞ at 20mAcm-2 (mV)],"",0)</f>
        <v>#REF!</v>
      </c>
      <c r="Z123" s="69" t="e" cm="1">
        <f t="array" ref="Z123">_xlfn.XLOOKUP(Table1[[#This Row],[5 cm2 cell test code]:[5 cm2 cell test code]],[1]!Table1[[Test code]:[Test code]],[1]!Table1[3-E Tafel slope (mV/dec)],"",0)</f>
        <v>#REF!</v>
      </c>
      <c r="AA123" s="69" t="e" cm="1">
        <f t="array" ref="AA123">_xlfn.XLOOKUP(Table1[[#This Row],[5 cm2 cell test code]:[5 cm2 cell test code]],[1]!Table1[[Test code]:[Test code]],[1]!Table1[E @ 100 mA/cm2 DIW/V],"",0)</f>
        <v>#REF!</v>
      </c>
      <c r="AB123" s="69" t="e" cm="1">
        <f t="array" ref="AB123">_xlfn.XLOOKUP(Table1[[#This Row],[5 cm2 cell test code]:[5 cm2 cell test code]],[1]!Table1[[Test code]:[Test code]],[1]!Table1[E @ 100 mA/cm2 10 mM KOH/V],"",0)</f>
        <v>#REF!</v>
      </c>
      <c r="AC123" s="69" t="e" cm="1">
        <f t="array" ref="AC123">_xlfn.XLOOKUP(Table1[[#This Row],[5 cm2 cell test code]:[5 cm2 cell test code]],[1]!Table1[[Test code]:[Test code]],[1]!Table1[Anode ICR/mOhm],"",0)</f>
        <v>#REF!</v>
      </c>
      <c r="AD123" s="69" t="e" cm="1">
        <f t="array" ref="AD123">_xlfn.XLOOKUP(Table1[[#This Row],[5 cm2 cell test code]:[5 cm2 cell test code]],[1]!Table1[[Test code]:[Test code]],[1]!Table1[HFR DIW/ mOhm cm2],"",0)</f>
        <v>#REF!</v>
      </c>
      <c r="AE123" s="69" t="e" cm="1">
        <f t="array" ref="AE123">_xlfn.XLOOKUP(Table1[[#This Row],[5 cm2 cell test code]:[5 cm2 cell test code]],[1]!Table1[[Test code]:[Test code]],[1]!Table1[HFR 10 mM KOH/ mOhm cm2],"",0)</f>
        <v>#REF!</v>
      </c>
      <c r="AF123" s="69" t="e" cm="1">
        <f t="array" ref="AF123">_xlfn.XLOOKUP(Table1[[#This Row],[5 cm2 cell test code]:[5 cm2 cell test code]],[1]!Table1[[Test code]:[Test code]],[1]!Table1[Ionic resistance DIW/Ohm cm2],"",0)</f>
        <v>#REF!</v>
      </c>
      <c r="AG123" s="69" t="e" cm="1">
        <f t="array" ref="AG123">_xlfn.XLOOKUP(Table1[[#This Row],[5 cm2 cell test code]:[5 cm2 cell test code]],[1]!Table1[[Test code]:[Test code]],[1]!Table1[Q_int_frac DIW],"",0)</f>
        <v>#REF!</v>
      </c>
      <c r="AH123" s="69" t="e" cm="1">
        <f t="array" ref="AH123">_xlfn.XLOOKUP(Table1[[#This Row],[5 cm2 cell test code]:[5 cm2 cell test code]],[1]!Table1[[Test code]:[Test code]],[1]!Table1[Ionic resistance 10 mM KOH/Ohm cm2],"",0)</f>
        <v>#REF!</v>
      </c>
      <c r="AI123" s="69" t="e" cm="1">
        <f t="array" ref="AI123">_xlfn.XLOOKUP(Table1[[#This Row],[5 cm2 cell test code]:[5 cm2 cell test code]],[1]!Table1[[Test code]:[Test code]],[1]!Table1[Q_int_frac DIW 10 mM KOH],"",0)</f>
        <v>#REF!</v>
      </c>
      <c r="AJ123" s="69" t="e" cm="1">
        <f t="array" ref="AJ123">_xlfn.XLOOKUP(Table1[[#This Row],[5 cm2 cell test code]:[5 cm2 cell test code]],[1]!Table1[[Test code]:[Test code]],[1]!Table1[DIW conductivity (µS/cm)],"",0)</f>
        <v>#REF!</v>
      </c>
      <c r="AQ123" s="4" t="str">
        <v>VSG01A-23177E1.01</v>
      </c>
      <c r="AR123" s="95">
        <f>COUNTIFS(Table1[Anode PN (Stack/cell electrodes)],AQ123,Table1[ƞ at 20mAcm-2 (mV)],"&lt;&gt;")</f>
        <v>0</v>
      </c>
      <c r="AS123" s="95">
        <f>COUNTIFS(Table1[Anode PN (Stack/cell electrodes)],AQ123,Table1[i @ 1.8 V DIW (A/cm2)],"&lt;&gt;")</f>
        <v>1</v>
      </c>
      <c r="AT123" s="95">
        <f>COUNTIFS(Table1[Anode PN (Stack/cell electrodes)],AQ123,Table1[i at 1.8 V 10 mM KOH (A/cm2)],"&lt;&gt;")</f>
        <v>1</v>
      </c>
      <c r="AU123" s="95">
        <f>COUNTIFS(Table1[Anode PN (Stack/cell electrodes)],AQ123,Table1[Ionic resistance DIW/Ohm cm2],"&lt;&gt;")</f>
        <v>1</v>
      </c>
      <c r="AV123" s="95">
        <f>COUNTIFS(Table1[Anode PN (Stack/cell electrodes)],AQ123,Table1[Ionic resistance 10 mM KOH/Ohm cm2],"&lt;&gt;")</f>
        <v>1</v>
      </c>
    </row>
    <row r="124" spans="1:48">
      <c r="A124" s="81"/>
      <c r="B124" s="11" t="s">
        <v>267</v>
      </c>
      <c r="C124" s="4" t="s">
        <v>268</v>
      </c>
      <c r="I124" s="11" t="s">
        <v>219</v>
      </c>
      <c r="J124" s="11" t="s">
        <v>134</v>
      </c>
      <c r="K124" s="43" t="s">
        <v>59</v>
      </c>
      <c r="M124" s="13">
        <v>-3.28</v>
      </c>
      <c r="N124" s="13">
        <v>3.964</v>
      </c>
      <c r="P124" s="28">
        <v>-1.3480000000000001</v>
      </c>
      <c r="R124" s="18">
        <v>1.2450000000000001</v>
      </c>
      <c r="S124" s="4">
        <v>235.76</v>
      </c>
      <c r="T124" s="4">
        <v>35.71</v>
      </c>
      <c r="U124" s="101"/>
      <c r="V124" s="101"/>
      <c r="W124" s="69" t="e" cm="1">
        <f t="array" ref="W124">_xlfn.XLOOKUP(Table1[[#This Row],[5 cm2 cell test code]:[5 cm2 cell test code]],[1]!Table1[[Test code]:[Test code]],[1]!Table1[i @ 1.8 V DIW (A/cm2)],"",0)</f>
        <v>#REF!</v>
      </c>
      <c r="X124" s="69" t="e" cm="1">
        <f t="array" ref="X124">_xlfn.XLOOKUP(Table1[[#This Row],[5 cm2 cell test code]:[5 cm2 cell test code]],[1]!Table1[[Test code]:[Test code]],[1]!Table1[i @ 1.8 V 10 mM KOH (A/cm2)],"",0)</f>
        <v>#REF!</v>
      </c>
      <c r="Y124" s="69" t="e" cm="1">
        <f t="array" ref="Y124">_xlfn.XLOOKUP(Table1[[#This Row],[5 cm2 cell test code]:[5 cm2 cell test code]],[1]!Table1[[Test code]:[Test code]],[1]!Table1[3-E ƞ at 20mAcm-2 (mV)],"",0)</f>
        <v>#REF!</v>
      </c>
      <c r="Z124" s="69" t="e" cm="1">
        <f t="array" ref="Z124">_xlfn.XLOOKUP(Table1[[#This Row],[5 cm2 cell test code]:[5 cm2 cell test code]],[1]!Table1[[Test code]:[Test code]],[1]!Table1[3-E Tafel slope (mV/dec)],"",0)</f>
        <v>#REF!</v>
      </c>
      <c r="AA124" s="69" t="e" cm="1">
        <f t="array" ref="AA124">_xlfn.XLOOKUP(Table1[[#This Row],[5 cm2 cell test code]:[5 cm2 cell test code]],[1]!Table1[[Test code]:[Test code]],[1]!Table1[E @ 100 mA/cm2 DIW/V],"",0)</f>
        <v>#REF!</v>
      </c>
      <c r="AB124" s="69" t="e" cm="1">
        <f t="array" ref="AB124">_xlfn.XLOOKUP(Table1[[#This Row],[5 cm2 cell test code]:[5 cm2 cell test code]],[1]!Table1[[Test code]:[Test code]],[1]!Table1[E @ 100 mA/cm2 10 mM KOH/V],"",0)</f>
        <v>#REF!</v>
      </c>
      <c r="AC124" s="69" t="e" cm="1">
        <f t="array" ref="AC124">_xlfn.XLOOKUP(Table1[[#This Row],[5 cm2 cell test code]:[5 cm2 cell test code]],[1]!Table1[[Test code]:[Test code]],[1]!Table1[Anode ICR/mOhm],"",0)</f>
        <v>#REF!</v>
      </c>
      <c r="AD124" s="69" t="e" cm="1">
        <f t="array" ref="AD124">_xlfn.XLOOKUP(Table1[[#This Row],[5 cm2 cell test code]:[5 cm2 cell test code]],[1]!Table1[[Test code]:[Test code]],[1]!Table1[HFR DIW/ mOhm cm2],"",0)</f>
        <v>#REF!</v>
      </c>
      <c r="AE124" s="69" t="e" cm="1">
        <f t="array" ref="AE124">_xlfn.XLOOKUP(Table1[[#This Row],[5 cm2 cell test code]:[5 cm2 cell test code]],[1]!Table1[[Test code]:[Test code]],[1]!Table1[HFR 10 mM KOH/ mOhm cm2],"",0)</f>
        <v>#REF!</v>
      </c>
      <c r="AF124" s="69" t="e" cm="1">
        <f t="array" ref="AF124">_xlfn.XLOOKUP(Table1[[#This Row],[5 cm2 cell test code]:[5 cm2 cell test code]],[1]!Table1[[Test code]:[Test code]],[1]!Table1[Ionic resistance DIW/Ohm cm2],"",0)</f>
        <v>#REF!</v>
      </c>
      <c r="AG124" s="69" t="e" cm="1">
        <f t="array" ref="AG124">_xlfn.XLOOKUP(Table1[[#This Row],[5 cm2 cell test code]:[5 cm2 cell test code]],[1]!Table1[[Test code]:[Test code]],[1]!Table1[Q_int_frac DIW],"",0)</f>
        <v>#REF!</v>
      </c>
      <c r="AH124" s="69" t="e" cm="1">
        <f t="array" ref="AH124">_xlfn.XLOOKUP(Table1[[#This Row],[5 cm2 cell test code]:[5 cm2 cell test code]],[1]!Table1[[Test code]:[Test code]],[1]!Table1[Ionic resistance 10 mM KOH/Ohm cm2],"",0)</f>
        <v>#REF!</v>
      </c>
      <c r="AI124" s="69" t="e" cm="1">
        <f t="array" ref="AI124">_xlfn.XLOOKUP(Table1[[#This Row],[5 cm2 cell test code]:[5 cm2 cell test code]],[1]!Table1[[Test code]:[Test code]],[1]!Table1[Q_int_frac DIW 10 mM KOH],"",0)</f>
        <v>#REF!</v>
      </c>
      <c r="AJ124" s="69" t="e" cm="1">
        <f t="array" ref="AJ124">_xlfn.XLOOKUP(Table1[[#This Row],[5 cm2 cell test code]:[5 cm2 cell test code]],[1]!Table1[[Test code]:[Test code]],[1]!Table1[DIW conductivity (µS/cm)],"",0)</f>
        <v>#REF!</v>
      </c>
      <c r="AQ124" s="4" t="str">
        <v>VSG01A-23177E1.02</v>
      </c>
      <c r="AR124" s="95">
        <f>COUNTIFS(Table1[Anode PN (Stack/cell electrodes)],AQ124,Table1[ƞ at 20mAcm-2 (mV)],"&lt;&gt;")</f>
        <v>0</v>
      </c>
      <c r="AS124" s="95">
        <f>COUNTIFS(Table1[Anode PN (Stack/cell electrodes)],AQ124,Table1[i @ 1.8 V DIW (A/cm2)],"&lt;&gt;")</f>
        <v>1</v>
      </c>
      <c r="AT124" s="95">
        <f>COUNTIFS(Table1[Anode PN (Stack/cell electrodes)],AQ124,Table1[i at 1.8 V 10 mM KOH (A/cm2)],"&lt;&gt;")</f>
        <v>1</v>
      </c>
      <c r="AU124" s="95">
        <f>COUNTIFS(Table1[Anode PN (Stack/cell electrodes)],AQ124,Table1[Ionic resistance DIW/Ohm cm2],"&lt;&gt;")</f>
        <v>1</v>
      </c>
      <c r="AV124" s="95">
        <f>COUNTIFS(Table1[Anode PN (Stack/cell electrodes)],AQ124,Table1[Ionic resistance 10 mM KOH/Ohm cm2],"&lt;&gt;")</f>
        <v>1</v>
      </c>
    </row>
    <row r="125" spans="1:48">
      <c r="A125" s="81"/>
      <c r="B125" s="11" t="s">
        <v>269</v>
      </c>
      <c r="C125" s="4" t="s">
        <v>270</v>
      </c>
      <c r="I125" s="11" t="s">
        <v>219</v>
      </c>
      <c r="J125" s="11" t="s">
        <v>134</v>
      </c>
      <c r="K125" s="43" t="s">
        <v>59</v>
      </c>
      <c r="M125" s="13">
        <v>-5.84</v>
      </c>
      <c r="N125" s="13">
        <v>4.3890000000000002</v>
      </c>
      <c r="P125" s="28">
        <v>1.125</v>
      </c>
      <c r="R125" s="18">
        <v>1.2070000000000001</v>
      </c>
      <c r="S125" s="4">
        <v>231.53</v>
      </c>
      <c r="T125" s="4">
        <v>35.96</v>
      </c>
      <c r="U125" s="101"/>
      <c r="V125" s="101"/>
      <c r="W125" s="69" t="e" cm="1">
        <f t="array" ref="W125">_xlfn.XLOOKUP(Table1[[#This Row],[5 cm2 cell test code]:[5 cm2 cell test code]],[1]!Table1[[Test code]:[Test code]],[1]!Table1[i @ 1.8 V DIW (A/cm2)],"",0)</f>
        <v>#REF!</v>
      </c>
      <c r="X125" s="69" t="e" cm="1">
        <f t="array" ref="X125">_xlfn.XLOOKUP(Table1[[#This Row],[5 cm2 cell test code]:[5 cm2 cell test code]],[1]!Table1[[Test code]:[Test code]],[1]!Table1[i @ 1.8 V 10 mM KOH (A/cm2)],"",0)</f>
        <v>#REF!</v>
      </c>
      <c r="Y125" s="69" t="e" cm="1">
        <f t="array" ref="Y125">_xlfn.XLOOKUP(Table1[[#This Row],[5 cm2 cell test code]:[5 cm2 cell test code]],[1]!Table1[[Test code]:[Test code]],[1]!Table1[3-E ƞ at 20mAcm-2 (mV)],"",0)</f>
        <v>#REF!</v>
      </c>
      <c r="Z125" s="69" t="e" cm="1">
        <f t="array" ref="Z125">_xlfn.XLOOKUP(Table1[[#This Row],[5 cm2 cell test code]:[5 cm2 cell test code]],[1]!Table1[[Test code]:[Test code]],[1]!Table1[3-E Tafel slope (mV/dec)],"",0)</f>
        <v>#REF!</v>
      </c>
      <c r="AA125" s="69" t="e" cm="1">
        <f t="array" ref="AA125">_xlfn.XLOOKUP(Table1[[#This Row],[5 cm2 cell test code]:[5 cm2 cell test code]],[1]!Table1[[Test code]:[Test code]],[1]!Table1[E @ 100 mA/cm2 DIW/V],"",0)</f>
        <v>#REF!</v>
      </c>
      <c r="AB125" s="69" t="e" cm="1">
        <f t="array" ref="AB125">_xlfn.XLOOKUP(Table1[[#This Row],[5 cm2 cell test code]:[5 cm2 cell test code]],[1]!Table1[[Test code]:[Test code]],[1]!Table1[E @ 100 mA/cm2 10 mM KOH/V],"",0)</f>
        <v>#REF!</v>
      </c>
      <c r="AC125" s="69" t="e" cm="1">
        <f t="array" ref="AC125">_xlfn.XLOOKUP(Table1[[#This Row],[5 cm2 cell test code]:[5 cm2 cell test code]],[1]!Table1[[Test code]:[Test code]],[1]!Table1[Anode ICR/mOhm],"",0)</f>
        <v>#REF!</v>
      </c>
      <c r="AD125" s="69" t="e" cm="1">
        <f t="array" ref="AD125">_xlfn.XLOOKUP(Table1[[#This Row],[5 cm2 cell test code]:[5 cm2 cell test code]],[1]!Table1[[Test code]:[Test code]],[1]!Table1[HFR DIW/ mOhm cm2],"",0)</f>
        <v>#REF!</v>
      </c>
      <c r="AE125" s="69" t="e" cm="1">
        <f t="array" ref="AE125">_xlfn.XLOOKUP(Table1[[#This Row],[5 cm2 cell test code]:[5 cm2 cell test code]],[1]!Table1[[Test code]:[Test code]],[1]!Table1[HFR 10 mM KOH/ mOhm cm2],"",0)</f>
        <v>#REF!</v>
      </c>
      <c r="AF125" s="69" t="e" cm="1">
        <f t="array" ref="AF125">_xlfn.XLOOKUP(Table1[[#This Row],[5 cm2 cell test code]:[5 cm2 cell test code]],[1]!Table1[[Test code]:[Test code]],[1]!Table1[Ionic resistance DIW/Ohm cm2],"",0)</f>
        <v>#REF!</v>
      </c>
      <c r="AG125" s="69" t="e" cm="1">
        <f t="array" ref="AG125">_xlfn.XLOOKUP(Table1[[#This Row],[5 cm2 cell test code]:[5 cm2 cell test code]],[1]!Table1[[Test code]:[Test code]],[1]!Table1[Q_int_frac DIW],"",0)</f>
        <v>#REF!</v>
      </c>
      <c r="AH125" s="69" t="e" cm="1">
        <f t="array" ref="AH125">_xlfn.XLOOKUP(Table1[[#This Row],[5 cm2 cell test code]:[5 cm2 cell test code]],[1]!Table1[[Test code]:[Test code]],[1]!Table1[Ionic resistance 10 mM KOH/Ohm cm2],"",0)</f>
        <v>#REF!</v>
      </c>
      <c r="AI125" s="69" t="e" cm="1">
        <f t="array" ref="AI125">_xlfn.XLOOKUP(Table1[[#This Row],[5 cm2 cell test code]:[5 cm2 cell test code]],[1]!Table1[[Test code]:[Test code]],[1]!Table1[Q_int_frac DIW 10 mM KOH],"",0)</f>
        <v>#REF!</v>
      </c>
      <c r="AJ125" s="69" t="e" cm="1">
        <f t="array" ref="AJ125">_xlfn.XLOOKUP(Table1[[#This Row],[5 cm2 cell test code]:[5 cm2 cell test code]],[1]!Table1[[Test code]:[Test code]],[1]!Table1[DIW conductivity (µS/cm)],"",0)</f>
        <v>#REF!</v>
      </c>
      <c r="AQ125" s="4" t="str">
        <v>VSG02A-23178E1</v>
      </c>
      <c r="AR125" s="95">
        <f>COUNTIFS(Table1[Anode PN (Stack/cell electrodes)],AQ125,Table1[ƞ at 20mAcm-2 (mV)],"&lt;&gt;")</f>
        <v>0</v>
      </c>
      <c r="AS125" s="95">
        <f>COUNTIFS(Table1[Anode PN (Stack/cell electrodes)],AQ125,Table1[i @ 1.8 V DIW (A/cm2)],"&lt;&gt;")</f>
        <v>1</v>
      </c>
      <c r="AT125" s="95">
        <f>COUNTIFS(Table1[Anode PN (Stack/cell electrodes)],AQ125,Table1[i at 1.8 V 10 mM KOH (A/cm2)],"&lt;&gt;")</f>
        <v>1</v>
      </c>
      <c r="AU125" s="95">
        <f>COUNTIFS(Table1[Anode PN (Stack/cell electrodes)],AQ125,Table1[Ionic resistance DIW/Ohm cm2],"&lt;&gt;")</f>
        <v>1</v>
      </c>
      <c r="AV125" s="95">
        <f>COUNTIFS(Table1[Anode PN (Stack/cell electrodes)],AQ125,Table1[Ionic resistance 10 mM KOH/Ohm cm2],"&lt;&gt;")</f>
        <v>1</v>
      </c>
    </row>
    <row r="126" spans="1:48">
      <c r="A126" s="81"/>
      <c r="K126" s="43" t="s">
        <v>59</v>
      </c>
      <c r="U126" s="101"/>
      <c r="V126" s="101"/>
      <c r="W126" s="69" t="e" cm="1">
        <f t="array" ref="W126">_xlfn.XLOOKUP(Table1[[#This Row],[5 cm2 cell test code]:[5 cm2 cell test code]],[1]!Table1[[Test code]:[Test code]],[1]!Table1[i @ 1.8 V DIW (A/cm2)],"",0)</f>
        <v>#REF!</v>
      </c>
      <c r="X126" s="69" t="e" cm="1">
        <f t="array" ref="X126">_xlfn.XLOOKUP(Table1[[#This Row],[5 cm2 cell test code]:[5 cm2 cell test code]],[1]!Table1[[Test code]:[Test code]],[1]!Table1[i @ 1.8 V 10 mM KOH (A/cm2)],"",0)</f>
        <v>#REF!</v>
      </c>
      <c r="Y126" s="69" t="e" cm="1">
        <f t="array" ref="Y126">_xlfn.XLOOKUP(Table1[[#This Row],[5 cm2 cell test code]:[5 cm2 cell test code]],[1]!Table1[[Test code]:[Test code]],[1]!Table1[3-E ƞ at 20mAcm-2 (mV)],"",0)</f>
        <v>#REF!</v>
      </c>
      <c r="Z126" s="69" t="e" cm="1">
        <f t="array" ref="Z126">_xlfn.XLOOKUP(Table1[[#This Row],[5 cm2 cell test code]:[5 cm2 cell test code]],[1]!Table1[[Test code]:[Test code]],[1]!Table1[3-E Tafel slope (mV/dec)],"",0)</f>
        <v>#REF!</v>
      </c>
      <c r="AA126" s="69" t="e" cm="1">
        <f t="array" ref="AA126">_xlfn.XLOOKUP(Table1[[#This Row],[5 cm2 cell test code]:[5 cm2 cell test code]],[1]!Table1[[Test code]:[Test code]],[1]!Table1[E @ 100 mA/cm2 DIW/V],"",0)</f>
        <v>#REF!</v>
      </c>
      <c r="AB126" s="69" t="e" cm="1">
        <f t="array" ref="AB126">_xlfn.XLOOKUP(Table1[[#This Row],[5 cm2 cell test code]:[5 cm2 cell test code]],[1]!Table1[[Test code]:[Test code]],[1]!Table1[E @ 100 mA/cm2 10 mM KOH/V],"",0)</f>
        <v>#REF!</v>
      </c>
      <c r="AC126" s="69" t="e" cm="1">
        <f t="array" ref="AC126">_xlfn.XLOOKUP(Table1[[#This Row],[5 cm2 cell test code]:[5 cm2 cell test code]],[1]!Table1[[Test code]:[Test code]],[1]!Table1[Anode ICR/mOhm],"",0)</f>
        <v>#REF!</v>
      </c>
      <c r="AD126" s="69" t="e" cm="1">
        <f t="array" ref="AD126">_xlfn.XLOOKUP(Table1[[#This Row],[5 cm2 cell test code]:[5 cm2 cell test code]],[1]!Table1[[Test code]:[Test code]],[1]!Table1[HFR DIW/ mOhm cm2],"",0)</f>
        <v>#REF!</v>
      </c>
      <c r="AE126" s="69" t="e" cm="1">
        <f t="array" ref="AE126">_xlfn.XLOOKUP(Table1[[#This Row],[5 cm2 cell test code]:[5 cm2 cell test code]],[1]!Table1[[Test code]:[Test code]],[1]!Table1[HFR 10 mM KOH/ mOhm cm2],"",0)</f>
        <v>#REF!</v>
      </c>
      <c r="AF126" s="69" t="e" cm="1">
        <f t="array" ref="AF126">_xlfn.XLOOKUP(Table1[[#This Row],[5 cm2 cell test code]:[5 cm2 cell test code]],[1]!Table1[[Test code]:[Test code]],[1]!Table1[Ionic resistance DIW/Ohm cm2],"",0)</f>
        <v>#REF!</v>
      </c>
      <c r="AG126" s="69" t="e" cm="1">
        <f t="array" ref="AG126">_xlfn.XLOOKUP(Table1[[#This Row],[5 cm2 cell test code]:[5 cm2 cell test code]],[1]!Table1[[Test code]:[Test code]],[1]!Table1[Q_int_frac DIW],"",0)</f>
        <v>#REF!</v>
      </c>
      <c r="AH126" s="69" t="e" cm="1">
        <f t="array" ref="AH126">_xlfn.XLOOKUP(Table1[[#This Row],[5 cm2 cell test code]:[5 cm2 cell test code]],[1]!Table1[[Test code]:[Test code]],[1]!Table1[Ionic resistance 10 mM KOH/Ohm cm2],"",0)</f>
        <v>#REF!</v>
      </c>
      <c r="AI126" s="69" t="e" cm="1">
        <f t="array" ref="AI126">_xlfn.XLOOKUP(Table1[[#This Row],[5 cm2 cell test code]:[5 cm2 cell test code]],[1]!Table1[[Test code]:[Test code]],[1]!Table1[Q_int_frac DIW 10 mM KOH],"",0)</f>
        <v>#REF!</v>
      </c>
      <c r="AJ126" s="69" t="e" cm="1">
        <f t="array" ref="AJ126">_xlfn.XLOOKUP(Table1[[#This Row],[5 cm2 cell test code]:[5 cm2 cell test code]],[1]!Table1[[Test code]:[Test code]],[1]!Table1[DIW conductivity (µS/cm)],"",0)</f>
        <v>#REF!</v>
      </c>
      <c r="AQ126" s="4" t="str">
        <v>VSG02A-23179E1</v>
      </c>
      <c r="AR126" s="95">
        <f>COUNTIFS(Table1[Anode PN (Stack/cell electrodes)],AQ126,Table1[ƞ at 20mAcm-2 (mV)],"&lt;&gt;")</f>
        <v>1</v>
      </c>
      <c r="AS126" s="95">
        <f>COUNTIFS(Table1[Anode PN (Stack/cell electrodes)],AQ126,Table1[i @ 1.8 V DIW (A/cm2)],"&lt;&gt;")</f>
        <v>1</v>
      </c>
      <c r="AT126" s="95">
        <f>COUNTIFS(Table1[Anode PN (Stack/cell electrodes)],AQ126,Table1[i at 1.8 V 10 mM KOH (A/cm2)],"&lt;&gt;")</f>
        <v>1</v>
      </c>
      <c r="AU126" s="95">
        <f>COUNTIFS(Table1[Anode PN (Stack/cell electrodes)],AQ126,Table1[Ionic resistance DIW/Ohm cm2],"&lt;&gt;")</f>
        <v>1</v>
      </c>
      <c r="AV126" s="95">
        <f>COUNTIFS(Table1[Anode PN (Stack/cell electrodes)],AQ126,Table1[Ionic resistance 10 mM KOH/Ohm cm2],"&lt;&gt;")</f>
        <v>1</v>
      </c>
    </row>
    <row r="127" spans="1:48">
      <c r="A127" s="81"/>
      <c r="B127" s="11" t="s">
        <v>271</v>
      </c>
      <c r="C127" s="4" t="s">
        <v>272</v>
      </c>
      <c r="I127" s="11" t="s">
        <v>114</v>
      </c>
      <c r="J127" s="11" t="s">
        <v>134</v>
      </c>
      <c r="K127" s="43" t="s">
        <v>59</v>
      </c>
      <c r="M127" s="13">
        <v>-1.35</v>
      </c>
      <c r="N127" s="13">
        <v>3.1120000000000001</v>
      </c>
      <c r="R127" s="4">
        <v>1.6870000000000001</v>
      </c>
      <c r="S127" s="4">
        <v>228.27</v>
      </c>
      <c r="T127" s="4">
        <v>35.08</v>
      </c>
      <c r="U127" s="101"/>
      <c r="V127" s="101"/>
      <c r="W127" s="69" t="e" cm="1">
        <f t="array" ref="W127">_xlfn.XLOOKUP(Table1[[#This Row],[5 cm2 cell test code]:[5 cm2 cell test code]],[1]!Table1[[Test code]:[Test code]],[1]!Table1[i @ 1.8 V DIW (A/cm2)],"",0)</f>
        <v>#REF!</v>
      </c>
      <c r="X127" s="69" t="e" cm="1">
        <f t="array" ref="X127">_xlfn.XLOOKUP(Table1[[#This Row],[5 cm2 cell test code]:[5 cm2 cell test code]],[1]!Table1[[Test code]:[Test code]],[1]!Table1[i @ 1.8 V 10 mM KOH (A/cm2)],"",0)</f>
        <v>#REF!</v>
      </c>
      <c r="Y127" s="69" t="e" cm="1">
        <f t="array" ref="Y127">_xlfn.XLOOKUP(Table1[[#This Row],[5 cm2 cell test code]:[5 cm2 cell test code]],[1]!Table1[[Test code]:[Test code]],[1]!Table1[3-E ƞ at 20mAcm-2 (mV)],"",0)</f>
        <v>#REF!</v>
      </c>
      <c r="Z127" s="69" t="e" cm="1">
        <f t="array" ref="Z127">_xlfn.XLOOKUP(Table1[[#This Row],[5 cm2 cell test code]:[5 cm2 cell test code]],[1]!Table1[[Test code]:[Test code]],[1]!Table1[3-E Tafel slope (mV/dec)],"",0)</f>
        <v>#REF!</v>
      </c>
      <c r="AA127" s="69" t="e" cm="1">
        <f t="array" ref="AA127">_xlfn.XLOOKUP(Table1[[#This Row],[5 cm2 cell test code]:[5 cm2 cell test code]],[1]!Table1[[Test code]:[Test code]],[1]!Table1[E @ 100 mA/cm2 DIW/V],"",0)</f>
        <v>#REF!</v>
      </c>
      <c r="AB127" s="69" t="e" cm="1">
        <f t="array" ref="AB127">_xlfn.XLOOKUP(Table1[[#This Row],[5 cm2 cell test code]:[5 cm2 cell test code]],[1]!Table1[[Test code]:[Test code]],[1]!Table1[E @ 100 mA/cm2 10 mM KOH/V],"",0)</f>
        <v>#REF!</v>
      </c>
      <c r="AC127" s="69" t="e" cm="1">
        <f t="array" ref="AC127">_xlfn.XLOOKUP(Table1[[#This Row],[5 cm2 cell test code]:[5 cm2 cell test code]],[1]!Table1[[Test code]:[Test code]],[1]!Table1[Anode ICR/mOhm],"",0)</f>
        <v>#REF!</v>
      </c>
      <c r="AD127" s="69" t="e" cm="1">
        <f t="array" ref="AD127">_xlfn.XLOOKUP(Table1[[#This Row],[5 cm2 cell test code]:[5 cm2 cell test code]],[1]!Table1[[Test code]:[Test code]],[1]!Table1[HFR DIW/ mOhm cm2],"",0)</f>
        <v>#REF!</v>
      </c>
      <c r="AE127" s="69" t="e" cm="1">
        <f t="array" ref="AE127">_xlfn.XLOOKUP(Table1[[#This Row],[5 cm2 cell test code]:[5 cm2 cell test code]],[1]!Table1[[Test code]:[Test code]],[1]!Table1[HFR 10 mM KOH/ mOhm cm2],"",0)</f>
        <v>#REF!</v>
      </c>
      <c r="AF127" s="69" t="e" cm="1">
        <f t="array" ref="AF127">_xlfn.XLOOKUP(Table1[[#This Row],[5 cm2 cell test code]:[5 cm2 cell test code]],[1]!Table1[[Test code]:[Test code]],[1]!Table1[Ionic resistance DIW/Ohm cm2],"",0)</f>
        <v>#REF!</v>
      </c>
      <c r="AG127" s="69" t="e" cm="1">
        <f t="array" ref="AG127">_xlfn.XLOOKUP(Table1[[#This Row],[5 cm2 cell test code]:[5 cm2 cell test code]],[1]!Table1[[Test code]:[Test code]],[1]!Table1[Q_int_frac DIW],"",0)</f>
        <v>#REF!</v>
      </c>
      <c r="AH127" s="69" t="e" cm="1">
        <f t="array" ref="AH127">_xlfn.XLOOKUP(Table1[[#This Row],[5 cm2 cell test code]:[5 cm2 cell test code]],[1]!Table1[[Test code]:[Test code]],[1]!Table1[Ionic resistance 10 mM KOH/Ohm cm2],"",0)</f>
        <v>#REF!</v>
      </c>
      <c r="AI127" s="69" t="e" cm="1">
        <f t="array" ref="AI127">_xlfn.XLOOKUP(Table1[[#This Row],[5 cm2 cell test code]:[5 cm2 cell test code]],[1]!Table1[[Test code]:[Test code]],[1]!Table1[Q_int_frac DIW 10 mM KOH],"",0)</f>
        <v>#REF!</v>
      </c>
      <c r="AJ127" s="69" t="e" cm="1">
        <f t="array" ref="AJ127">_xlfn.XLOOKUP(Table1[[#This Row],[5 cm2 cell test code]:[5 cm2 cell test code]],[1]!Table1[[Test code]:[Test code]],[1]!Table1[DIW conductivity (µS/cm)],"",0)</f>
        <v>#REF!</v>
      </c>
      <c r="AQ127" s="4" t="str">
        <v>VSG02A-23180E1</v>
      </c>
      <c r="AR127" s="95">
        <f>COUNTIFS(Table1[Anode PN (Stack/cell electrodes)],AQ127,Table1[ƞ at 20mAcm-2 (mV)],"&lt;&gt;")</f>
        <v>1</v>
      </c>
      <c r="AS127" s="95">
        <f>COUNTIFS(Table1[Anode PN (Stack/cell electrodes)],AQ127,Table1[i @ 1.8 V DIW (A/cm2)],"&lt;&gt;")</f>
        <v>1</v>
      </c>
      <c r="AT127" s="95">
        <f>COUNTIFS(Table1[Anode PN (Stack/cell electrodes)],AQ127,Table1[i at 1.8 V 10 mM KOH (A/cm2)],"&lt;&gt;")</f>
        <v>1</v>
      </c>
      <c r="AU127" s="95">
        <f>COUNTIFS(Table1[Anode PN (Stack/cell electrodes)],AQ127,Table1[Ionic resistance DIW/Ohm cm2],"&lt;&gt;")</f>
        <v>1</v>
      </c>
      <c r="AV127" s="95">
        <f>COUNTIFS(Table1[Anode PN (Stack/cell electrodes)],AQ127,Table1[Ionic resistance 10 mM KOH/Ohm cm2],"&lt;&gt;")</f>
        <v>1</v>
      </c>
    </row>
    <row r="128" spans="1:48">
      <c r="A128" s="81"/>
      <c r="B128" s="11" t="s">
        <v>273</v>
      </c>
      <c r="C128" s="4" t="s">
        <v>274</v>
      </c>
      <c r="I128" s="11" t="s">
        <v>114</v>
      </c>
      <c r="J128" s="11" t="s">
        <v>134</v>
      </c>
      <c r="K128" s="43" t="s">
        <v>59</v>
      </c>
      <c r="U128" s="101"/>
      <c r="V128" s="101"/>
      <c r="W128" s="69" t="e" cm="1">
        <f t="array" ref="W128">_xlfn.XLOOKUP(Table1[[#This Row],[5 cm2 cell test code]:[5 cm2 cell test code]],[1]!Table1[[Test code]:[Test code]],[1]!Table1[i @ 1.8 V DIW (A/cm2)],"",0)</f>
        <v>#REF!</v>
      </c>
      <c r="X128" s="69" t="e" cm="1">
        <f t="array" ref="X128">_xlfn.XLOOKUP(Table1[[#This Row],[5 cm2 cell test code]:[5 cm2 cell test code]],[1]!Table1[[Test code]:[Test code]],[1]!Table1[i @ 1.8 V 10 mM KOH (A/cm2)],"",0)</f>
        <v>#REF!</v>
      </c>
      <c r="Y128" s="69" t="e" cm="1">
        <f t="array" ref="Y128">_xlfn.XLOOKUP(Table1[[#This Row],[5 cm2 cell test code]:[5 cm2 cell test code]],[1]!Table1[[Test code]:[Test code]],[1]!Table1[3-E ƞ at 20mAcm-2 (mV)],"",0)</f>
        <v>#REF!</v>
      </c>
      <c r="Z128" s="69" t="e" cm="1">
        <f t="array" ref="Z128">_xlfn.XLOOKUP(Table1[[#This Row],[5 cm2 cell test code]:[5 cm2 cell test code]],[1]!Table1[[Test code]:[Test code]],[1]!Table1[3-E Tafel slope (mV/dec)],"",0)</f>
        <v>#REF!</v>
      </c>
      <c r="AA128" s="69" t="e" cm="1">
        <f t="array" ref="AA128">_xlfn.XLOOKUP(Table1[[#This Row],[5 cm2 cell test code]:[5 cm2 cell test code]],[1]!Table1[[Test code]:[Test code]],[1]!Table1[E @ 100 mA/cm2 DIW/V],"",0)</f>
        <v>#REF!</v>
      </c>
      <c r="AB128" s="69" t="e" cm="1">
        <f t="array" ref="AB128">_xlfn.XLOOKUP(Table1[[#This Row],[5 cm2 cell test code]:[5 cm2 cell test code]],[1]!Table1[[Test code]:[Test code]],[1]!Table1[E @ 100 mA/cm2 10 mM KOH/V],"",0)</f>
        <v>#REF!</v>
      </c>
      <c r="AC128" s="69" t="e" cm="1">
        <f t="array" ref="AC128">_xlfn.XLOOKUP(Table1[[#This Row],[5 cm2 cell test code]:[5 cm2 cell test code]],[1]!Table1[[Test code]:[Test code]],[1]!Table1[Anode ICR/mOhm],"",0)</f>
        <v>#REF!</v>
      </c>
      <c r="AD128" s="69" t="e" cm="1">
        <f t="array" ref="AD128">_xlfn.XLOOKUP(Table1[[#This Row],[5 cm2 cell test code]:[5 cm2 cell test code]],[1]!Table1[[Test code]:[Test code]],[1]!Table1[HFR DIW/ mOhm cm2],"",0)</f>
        <v>#REF!</v>
      </c>
      <c r="AE128" s="69" t="e" cm="1">
        <f t="array" ref="AE128">_xlfn.XLOOKUP(Table1[[#This Row],[5 cm2 cell test code]:[5 cm2 cell test code]],[1]!Table1[[Test code]:[Test code]],[1]!Table1[HFR 10 mM KOH/ mOhm cm2],"",0)</f>
        <v>#REF!</v>
      </c>
      <c r="AF128" s="69" t="e" cm="1">
        <f t="array" ref="AF128">_xlfn.XLOOKUP(Table1[[#This Row],[5 cm2 cell test code]:[5 cm2 cell test code]],[1]!Table1[[Test code]:[Test code]],[1]!Table1[Ionic resistance DIW/Ohm cm2],"",0)</f>
        <v>#REF!</v>
      </c>
      <c r="AG128" s="69" t="e" cm="1">
        <f t="array" ref="AG128">_xlfn.XLOOKUP(Table1[[#This Row],[5 cm2 cell test code]:[5 cm2 cell test code]],[1]!Table1[[Test code]:[Test code]],[1]!Table1[Q_int_frac DIW],"",0)</f>
        <v>#REF!</v>
      </c>
      <c r="AH128" s="69" t="e" cm="1">
        <f t="array" ref="AH128">_xlfn.XLOOKUP(Table1[[#This Row],[5 cm2 cell test code]:[5 cm2 cell test code]],[1]!Table1[[Test code]:[Test code]],[1]!Table1[Ionic resistance 10 mM KOH/Ohm cm2],"",0)</f>
        <v>#REF!</v>
      </c>
      <c r="AI128" s="69" t="e" cm="1">
        <f t="array" ref="AI128">_xlfn.XLOOKUP(Table1[[#This Row],[5 cm2 cell test code]:[5 cm2 cell test code]],[1]!Table1[[Test code]:[Test code]],[1]!Table1[Q_int_frac DIW 10 mM KOH],"",0)</f>
        <v>#REF!</v>
      </c>
      <c r="AJ128" s="69" t="e" cm="1">
        <f t="array" ref="AJ128">_xlfn.XLOOKUP(Table1[[#This Row],[5 cm2 cell test code]:[5 cm2 cell test code]],[1]!Table1[[Test code]:[Test code]],[1]!Table1[DIW conductivity (µS/cm)],"",0)</f>
        <v>#REF!</v>
      </c>
      <c r="AQ128" s="4" t="str">
        <v>VSG02A-23181E1</v>
      </c>
      <c r="AR128" s="95">
        <f>COUNTIFS(Table1[Anode PN (Stack/cell electrodes)],AQ128,Table1[ƞ at 20mAcm-2 (mV)],"&lt;&gt;")</f>
        <v>0</v>
      </c>
      <c r="AS128" s="95">
        <f>COUNTIFS(Table1[Anode PN (Stack/cell electrodes)],AQ128,Table1[i @ 1.8 V DIW (A/cm2)],"&lt;&gt;")</f>
        <v>1</v>
      </c>
      <c r="AT128" s="95">
        <f>COUNTIFS(Table1[Anode PN (Stack/cell electrodes)],AQ128,Table1[i at 1.8 V 10 mM KOH (A/cm2)],"&lt;&gt;")</f>
        <v>1</v>
      </c>
      <c r="AU128" s="95">
        <f>COUNTIFS(Table1[Anode PN (Stack/cell electrodes)],AQ128,Table1[Ionic resistance DIW/Ohm cm2],"&lt;&gt;")</f>
        <v>1</v>
      </c>
      <c r="AV128" s="95">
        <f>COUNTIFS(Table1[Anode PN (Stack/cell electrodes)],AQ128,Table1[Ionic resistance 10 mM KOH/Ohm cm2],"&lt;&gt;")</f>
        <v>1</v>
      </c>
    </row>
    <row r="129" spans="1:48">
      <c r="A129" s="81"/>
      <c r="K129" s="43" t="s">
        <v>59</v>
      </c>
      <c r="U129" s="101"/>
      <c r="V129" s="101"/>
      <c r="W129" s="69" t="e" cm="1">
        <f t="array" ref="W129">_xlfn.XLOOKUP(Table1[[#This Row],[5 cm2 cell test code]:[5 cm2 cell test code]],[1]!Table1[[Test code]:[Test code]],[1]!Table1[i @ 1.8 V DIW (A/cm2)],"",0)</f>
        <v>#REF!</v>
      </c>
      <c r="X129" s="69" t="e" cm="1">
        <f t="array" ref="X129">_xlfn.XLOOKUP(Table1[[#This Row],[5 cm2 cell test code]:[5 cm2 cell test code]],[1]!Table1[[Test code]:[Test code]],[1]!Table1[i @ 1.8 V 10 mM KOH (A/cm2)],"",0)</f>
        <v>#REF!</v>
      </c>
      <c r="Y129" s="69" t="e" cm="1">
        <f t="array" ref="Y129">_xlfn.XLOOKUP(Table1[[#This Row],[5 cm2 cell test code]:[5 cm2 cell test code]],[1]!Table1[[Test code]:[Test code]],[1]!Table1[3-E ƞ at 20mAcm-2 (mV)],"",0)</f>
        <v>#REF!</v>
      </c>
      <c r="Z129" s="69" t="e" cm="1">
        <f t="array" ref="Z129">_xlfn.XLOOKUP(Table1[[#This Row],[5 cm2 cell test code]:[5 cm2 cell test code]],[1]!Table1[[Test code]:[Test code]],[1]!Table1[3-E Tafel slope (mV/dec)],"",0)</f>
        <v>#REF!</v>
      </c>
      <c r="AA129" s="69" t="e" cm="1">
        <f t="array" ref="AA129">_xlfn.XLOOKUP(Table1[[#This Row],[5 cm2 cell test code]:[5 cm2 cell test code]],[1]!Table1[[Test code]:[Test code]],[1]!Table1[E @ 100 mA/cm2 DIW/V],"",0)</f>
        <v>#REF!</v>
      </c>
      <c r="AB129" s="69" t="e" cm="1">
        <f t="array" ref="AB129">_xlfn.XLOOKUP(Table1[[#This Row],[5 cm2 cell test code]:[5 cm2 cell test code]],[1]!Table1[[Test code]:[Test code]],[1]!Table1[E @ 100 mA/cm2 10 mM KOH/V],"",0)</f>
        <v>#REF!</v>
      </c>
      <c r="AC129" s="69" t="e" cm="1">
        <f t="array" ref="AC129">_xlfn.XLOOKUP(Table1[[#This Row],[5 cm2 cell test code]:[5 cm2 cell test code]],[1]!Table1[[Test code]:[Test code]],[1]!Table1[Anode ICR/mOhm],"",0)</f>
        <v>#REF!</v>
      </c>
      <c r="AD129" s="69" t="e" cm="1">
        <f t="array" ref="AD129">_xlfn.XLOOKUP(Table1[[#This Row],[5 cm2 cell test code]:[5 cm2 cell test code]],[1]!Table1[[Test code]:[Test code]],[1]!Table1[HFR DIW/ mOhm cm2],"",0)</f>
        <v>#REF!</v>
      </c>
      <c r="AE129" s="69" t="e" cm="1">
        <f t="array" ref="AE129">_xlfn.XLOOKUP(Table1[[#This Row],[5 cm2 cell test code]:[5 cm2 cell test code]],[1]!Table1[[Test code]:[Test code]],[1]!Table1[HFR 10 mM KOH/ mOhm cm2],"",0)</f>
        <v>#REF!</v>
      </c>
      <c r="AF129" s="69" t="e" cm="1">
        <f t="array" ref="AF129">_xlfn.XLOOKUP(Table1[[#This Row],[5 cm2 cell test code]:[5 cm2 cell test code]],[1]!Table1[[Test code]:[Test code]],[1]!Table1[Ionic resistance DIW/Ohm cm2],"",0)</f>
        <v>#REF!</v>
      </c>
      <c r="AG129" s="69" t="e" cm="1">
        <f t="array" ref="AG129">_xlfn.XLOOKUP(Table1[[#This Row],[5 cm2 cell test code]:[5 cm2 cell test code]],[1]!Table1[[Test code]:[Test code]],[1]!Table1[Q_int_frac DIW],"",0)</f>
        <v>#REF!</v>
      </c>
      <c r="AH129" s="69" t="e" cm="1">
        <f t="array" ref="AH129">_xlfn.XLOOKUP(Table1[[#This Row],[5 cm2 cell test code]:[5 cm2 cell test code]],[1]!Table1[[Test code]:[Test code]],[1]!Table1[Ionic resistance 10 mM KOH/Ohm cm2],"",0)</f>
        <v>#REF!</v>
      </c>
      <c r="AI129" s="69" t="e" cm="1">
        <f t="array" ref="AI129">_xlfn.XLOOKUP(Table1[[#This Row],[5 cm2 cell test code]:[5 cm2 cell test code]],[1]!Table1[[Test code]:[Test code]],[1]!Table1[Q_int_frac DIW 10 mM KOH],"",0)</f>
        <v>#REF!</v>
      </c>
      <c r="AJ129" s="69" t="e" cm="1">
        <f t="array" ref="AJ129">_xlfn.XLOOKUP(Table1[[#This Row],[5 cm2 cell test code]:[5 cm2 cell test code]],[1]!Table1[[Test code]:[Test code]],[1]!Table1[DIW conductivity (µS/cm)],"",0)</f>
        <v>#REF!</v>
      </c>
      <c r="AQ129" s="4" t="str">
        <v>VSG02A-23182C1</v>
      </c>
      <c r="AR129" s="95">
        <f>COUNTIFS(Table1[Anode PN (Stack/cell electrodes)],AQ129,Table1[ƞ at 20mAcm-2 (mV)],"&lt;&gt;")</f>
        <v>0</v>
      </c>
      <c r="AS129" s="95">
        <f>COUNTIFS(Table1[Anode PN (Stack/cell electrodes)],AQ129,Table1[i @ 1.8 V DIW (A/cm2)],"&lt;&gt;")</f>
        <v>1</v>
      </c>
      <c r="AT129" s="95">
        <f>COUNTIFS(Table1[Anode PN (Stack/cell electrodes)],AQ129,Table1[i at 1.8 V 10 mM KOH (A/cm2)],"&lt;&gt;")</f>
        <v>1</v>
      </c>
      <c r="AU129" s="95">
        <f>COUNTIFS(Table1[Anode PN (Stack/cell electrodes)],AQ129,Table1[Ionic resistance DIW/Ohm cm2],"&lt;&gt;")</f>
        <v>1</v>
      </c>
      <c r="AV129" s="95">
        <f>COUNTIFS(Table1[Anode PN (Stack/cell electrodes)],AQ129,Table1[Ionic resistance 10 mM KOH/Ohm cm2],"&lt;&gt;")</f>
        <v>1</v>
      </c>
    </row>
    <row r="130" spans="1:48">
      <c r="A130" s="81"/>
      <c r="B130" s="11" t="s">
        <v>275</v>
      </c>
      <c r="C130" s="4" t="s">
        <v>276</v>
      </c>
      <c r="I130" s="11" t="s">
        <v>114</v>
      </c>
      <c r="J130" s="11" t="s">
        <v>134</v>
      </c>
      <c r="K130" s="43" t="s">
        <v>59</v>
      </c>
      <c r="M130" s="13" t="s">
        <v>277</v>
      </c>
      <c r="N130" s="13">
        <v>3.56</v>
      </c>
      <c r="R130" s="4">
        <v>1.6990000000000001</v>
      </c>
      <c r="S130" s="4">
        <v>229.77</v>
      </c>
      <c r="T130" s="4">
        <v>34.42</v>
      </c>
      <c r="U130" s="101"/>
      <c r="V130" s="101"/>
      <c r="W130" s="69" t="e" cm="1">
        <f t="array" ref="W130">_xlfn.XLOOKUP(Table1[[#This Row],[5 cm2 cell test code]:[5 cm2 cell test code]],[1]!Table1[[Test code]:[Test code]],[1]!Table1[i @ 1.8 V DIW (A/cm2)],"",0)</f>
        <v>#REF!</v>
      </c>
      <c r="X130" s="69" t="e" cm="1">
        <f t="array" ref="X130">_xlfn.XLOOKUP(Table1[[#This Row],[5 cm2 cell test code]:[5 cm2 cell test code]],[1]!Table1[[Test code]:[Test code]],[1]!Table1[i @ 1.8 V 10 mM KOH (A/cm2)],"",0)</f>
        <v>#REF!</v>
      </c>
      <c r="Y130" s="69" t="e" cm="1">
        <f t="array" ref="Y130">_xlfn.XLOOKUP(Table1[[#This Row],[5 cm2 cell test code]:[5 cm2 cell test code]],[1]!Table1[[Test code]:[Test code]],[1]!Table1[3-E ƞ at 20mAcm-2 (mV)],"",0)</f>
        <v>#REF!</v>
      </c>
      <c r="Z130" s="69" t="e" cm="1">
        <f t="array" ref="Z130">_xlfn.XLOOKUP(Table1[[#This Row],[5 cm2 cell test code]:[5 cm2 cell test code]],[1]!Table1[[Test code]:[Test code]],[1]!Table1[3-E Tafel slope (mV/dec)],"",0)</f>
        <v>#REF!</v>
      </c>
      <c r="AA130" s="69" t="e" cm="1">
        <f t="array" ref="AA130">_xlfn.XLOOKUP(Table1[[#This Row],[5 cm2 cell test code]:[5 cm2 cell test code]],[1]!Table1[[Test code]:[Test code]],[1]!Table1[E @ 100 mA/cm2 DIW/V],"",0)</f>
        <v>#REF!</v>
      </c>
      <c r="AB130" s="69" t="e" cm="1">
        <f t="array" ref="AB130">_xlfn.XLOOKUP(Table1[[#This Row],[5 cm2 cell test code]:[5 cm2 cell test code]],[1]!Table1[[Test code]:[Test code]],[1]!Table1[E @ 100 mA/cm2 10 mM KOH/V],"",0)</f>
        <v>#REF!</v>
      </c>
      <c r="AC130" s="69" t="e" cm="1">
        <f t="array" ref="AC130">_xlfn.XLOOKUP(Table1[[#This Row],[5 cm2 cell test code]:[5 cm2 cell test code]],[1]!Table1[[Test code]:[Test code]],[1]!Table1[Anode ICR/mOhm],"",0)</f>
        <v>#REF!</v>
      </c>
      <c r="AD130" s="69" t="e" cm="1">
        <f t="array" ref="AD130">_xlfn.XLOOKUP(Table1[[#This Row],[5 cm2 cell test code]:[5 cm2 cell test code]],[1]!Table1[[Test code]:[Test code]],[1]!Table1[HFR DIW/ mOhm cm2],"",0)</f>
        <v>#REF!</v>
      </c>
      <c r="AE130" s="69" t="e" cm="1">
        <f t="array" ref="AE130">_xlfn.XLOOKUP(Table1[[#This Row],[5 cm2 cell test code]:[5 cm2 cell test code]],[1]!Table1[[Test code]:[Test code]],[1]!Table1[HFR 10 mM KOH/ mOhm cm2],"",0)</f>
        <v>#REF!</v>
      </c>
      <c r="AF130" s="69" t="e" cm="1">
        <f t="array" ref="AF130">_xlfn.XLOOKUP(Table1[[#This Row],[5 cm2 cell test code]:[5 cm2 cell test code]],[1]!Table1[[Test code]:[Test code]],[1]!Table1[Ionic resistance DIW/Ohm cm2],"",0)</f>
        <v>#REF!</v>
      </c>
      <c r="AG130" s="69" t="e" cm="1">
        <f t="array" ref="AG130">_xlfn.XLOOKUP(Table1[[#This Row],[5 cm2 cell test code]:[5 cm2 cell test code]],[1]!Table1[[Test code]:[Test code]],[1]!Table1[Q_int_frac DIW],"",0)</f>
        <v>#REF!</v>
      </c>
      <c r="AH130" s="69" t="e" cm="1">
        <f t="array" ref="AH130">_xlfn.XLOOKUP(Table1[[#This Row],[5 cm2 cell test code]:[5 cm2 cell test code]],[1]!Table1[[Test code]:[Test code]],[1]!Table1[Ionic resistance 10 mM KOH/Ohm cm2],"",0)</f>
        <v>#REF!</v>
      </c>
      <c r="AI130" s="69" t="e" cm="1">
        <f t="array" ref="AI130">_xlfn.XLOOKUP(Table1[[#This Row],[5 cm2 cell test code]:[5 cm2 cell test code]],[1]!Table1[[Test code]:[Test code]],[1]!Table1[Q_int_frac DIW 10 mM KOH],"",0)</f>
        <v>#REF!</v>
      </c>
      <c r="AJ130" s="69" t="e" cm="1">
        <f t="array" ref="AJ130">_xlfn.XLOOKUP(Table1[[#This Row],[5 cm2 cell test code]:[5 cm2 cell test code]],[1]!Table1[[Test code]:[Test code]],[1]!Table1[DIW conductivity (µS/cm)],"",0)</f>
        <v>#REF!</v>
      </c>
      <c r="AQ130" s="4" t="str">
        <v>VSG02A-23183C1</v>
      </c>
      <c r="AR130" s="95">
        <f>COUNTIFS(Table1[Anode PN (Stack/cell electrodes)],AQ130,Table1[ƞ at 20mAcm-2 (mV)],"&lt;&gt;")</f>
        <v>0</v>
      </c>
      <c r="AS130" s="95">
        <f>COUNTIFS(Table1[Anode PN (Stack/cell electrodes)],AQ130,Table1[i @ 1.8 V DIW (A/cm2)],"&lt;&gt;")</f>
        <v>1</v>
      </c>
      <c r="AT130" s="95">
        <f>COUNTIFS(Table1[Anode PN (Stack/cell electrodes)],AQ130,Table1[i at 1.8 V 10 mM KOH (A/cm2)],"&lt;&gt;")</f>
        <v>1</v>
      </c>
      <c r="AU130" s="95">
        <f>COUNTIFS(Table1[Anode PN (Stack/cell electrodes)],AQ130,Table1[Ionic resistance DIW/Ohm cm2],"&lt;&gt;")</f>
        <v>1</v>
      </c>
      <c r="AV130" s="95">
        <f>COUNTIFS(Table1[Anode PN (Stack/cell electrodes)],AQ130,Table1[Ionic resistance 10 mM KOH/Ohm cm2],"&lt;&gt;")</f>
        <v>1</v>
      </c>
    </row>
    <row r="131" spans="1:48">
      <c r="A131" s="81"/>
      <c r="B131" s="11" t="s">
        <v>278</v>
      </c>
      <c r="C131" s="4" t="s">
        <v>279</v>
      </c>
      <c r="K131" s="43" t="s">
        <v>59</v>
      </c>
      <c r="P131" s="28">
        <v>1.353</v>
      </c>
      <c r="U131" s="101"/>
      <c r="V131" s="101"/>
      <c r="W131" s="69" t="e" cm="1">
        <f t="array" ref="W131">_xlfn.XLOOKUP(Table1[[#This Row],[5 cm2 cell test code]:[5 cm2 cell test code]],[1]!Table1[[Test code]:[Test code]],[1]!Table1[i @ 1.8 V DIW (A/cm2)],"",0)</f>
        <v>#REF!</v>
      </c>
      <c r="X131" s="69" t="e" cm="1">
        <f t="array" ref="X131">_xlfn.XLOOKUP(Table1[[#This Row],[5 cm2 cell test code]:[5 cm2 cell test code]],[1]!Table1[[Test code]:[Test code]],[1]!Table1[i @ 1.8 V 10 mM KOH (A/cm2)],"",0)</f>
        <v>#REF!</v>
      </c>
      <c r="Y131" s="69" t="e" cm="1">
        <f t="array" ref="Y131">_xlfn.XLOOKUP(Table1[[#This Row],[5 cm2 cell test code]:[5 cm2 cell test code]],[1]!Table1[[Test code]:[Test code]],[1]!Table1[3-E ƞ at 20mAcm-2 (mV)],"",0)</f>
        <v>#REF!</v>
      </c>
      <c r="Z131" s="69" t="e" cm="1">
        <f t="array" ref="Z131">_xlfn.XLOOKUP(Table1[[#This Row],[5 cm2 cell test code]:[5 cm2 cell test code]],[1]!Table1[[Test code]:[Test code]],[1]!Table1[3-E Tafel slope (mV/dec)],"",0)</f>
        <v>#REF!</v>
      </c>
      <c r="AA131" s="69" t="e" cm="1">
        <f t="array" ref="AA131">_xlfn.XLOOKUP(Table1[[#This Row],[5 cm2 cell test code]:[5 cm2 cell test code]],[1]!Table1[[Test code]:[Test code]],[1]!Table1[E @ 100 mA/cm2 DIW/V],"",0)</f>
        <v>#REF!</v>
      </c>
      <c r="AB131" s="69" t="e" cm="1">
        <f t="array" ref="AB131">_xlfn.XLOOKUP(Table1[[#This Row],[5 cm2 cell test code]:[5 cm2 cell test code]],[1]!Table1[[Test code]:[Test code]],[1]!Table1[E @ 100 mA/cm2 10 mM KOH/V],"",0)</f>
        <v>#REF!</v>
      </c>
      <c r="AC131" s="69" t="e" cm="1">
        <f t="array" ref="AC131">_xlfn.XLOOKUP(Table1[[#This Row],[5 cm2 cell test code]:[5 cm2 cell test code]],[1]!Table1[[Test code]:[Test code]],[1]!Table1[Anode ICR/mOhm],"",0)</f>
        <v>#REF!</v>
      </c>
      <c r="AD131" s="69" t="e" cm="1">
        <f t="array" ref="AD131">_xlfn.XLOOKUP(Table1[[#This Row],[5 cm2 cell test code]:[5 cm2 cell test code]],[1]!Table1[[Test code]:[Test code]],[1]!Table1[HFR DIW/ mOhm cm2],"",0)</f>
        <v>#REF!</v>
      </c>
      <c r="AE131" s="69" t="e" cm="1">
        <f t="array" ref="AE131">_xlfn.XLOOKUP(Table1[[#This Row],[5 cm2 cell test code]:[5 cm2 cell test code]],[1]!Table1[[Test code]:[Test code]],[1]!Table1[HFR 10 mM KOH/ mOhm cm2],"",0)</f>
        <v>#REF!</v>
      </c>
      <c r="AF131" s="69" t="e" cm="1">
        <f t="array" ref="AF131">_xlfn.XLOOKUP(Table1[[#This Row],[5 cm2 cell test code]:[5 cm2 cell test code]],[1]!Table1[[Test code]:[Test code]],[1]!Table1[Ionic resistance DIW/Ohm cm2],"",0)</f>
        <v>#REF!</v>
      </c>
      <c r="AG131" s="69" t="e" cm="1">
        <f t="array" ref="AG131">_xlfn.XLOOKUP(Table1[[#This Row],[5 cm2 cell test code]:[5 cm2 cell test code]],[1]!Table1[[Test code]:[Test code]],[1]!Table1[Q_int_frac DIW],"",0)</f>
        <v>#REF!</v>
      </c>
      <c r="AH131" s="69" t="e" cm="1">
        <f t="array" ref="AH131">_xlfn.XLOOKUP(Table1[[#This Row],[5 cm2 cell test code]:[5 cm2 cell test code]],[1]!Table1[[Test code]:[Test code]],[1]!Table1[Ionic resistance 10 mM KOH/Ohm cm2],"",0)</f>
        <v>#REF!</v>
      </c>
      <c r="AI131" s="69" t="e" cm="1">
        <f t="array" ref="AI131">_xlfn.XLOOKUP(Table1[[#This Row],[5 cm2 cell test code]:[5 cm2 cell test code]],[1]!Table1[[Test code]:[Test code]],[1]!Table1[Q_int_frac DIW 10 mM KOH],"",0)</f>
        <v>#REF!</v>
      </c>
      <c r="AJ131" s="69" t="e" cm="1">
        <f t="array" ref="AJ131">_xlfn.XLOOKUP(Table1[[#This Row],[5 cm2 cell test code]:[5 cm2 cell test code]],[1]!Table1[[Test code]:[Test code]],[1]!Table1[DIW conductivity (µS/cm)],"",0)</f>
        <v>#REF!</v>
      </c>
      <c r="AQ131" s="4" t="str">
        <v>VSG02A-23188E1</v>
      </c>
      <c r="AR131" s="95">
        <f>COUNTIFS(Table1[Anode PN (Stack/cell electrodes)],AQ131,Table1[ƞ at 20mAcm-2 (mV)],"&lt;&gt;")</f>
        <v>0</v>
      </c>
      <c r="AS131" s="95">
        <f>COUNTIFS(Table1[Anode PN (Stack/cell electrodes)],AQ131,Table1[i @ 1.8 V DIW (A/cm2)],"&lt;&gt;")</f>
        <v>1</v>
      </c>
      <c r="AT131" s="95">
        <f>COUNTIFS(Table1[Anode PN (Stack/cell electrodes)],AQ131,Table1[i at 1.8 V 10 mM KOH (A/cm2)],"&lt;&gt;")</f>
        <v>1</v>
      </c>
      <c r="AU131" s="95">
        <f>COUNTIFS(Table1[Anode PN (Stack/cell electrodes)],AQ131,Table1[Ionic resistance DIW/Ohm cm2],"&lt;&gt;")</f>
        <v>1</v>
      </c>
      <c r="AV131" s="95">
        <f>COUNTIFS(Table1[Anode PN (Stack/cell electrodes)],AQ131,Table1[Ionic resistance 10 mM KOH/Ohm cm2],"&lt;&gt;")</f>
        <v>1</v>
      </c>
    </row>
    <row r="132" spans="1:48">
      <c r="A132" s="81"/>
      <c r="B132" s="11" t="s">
        <v>280</v>
      </c>
      <c r="C132" s="4" t="s">
        <v>281</v>
      </c>
      <c r="K132" s="43" t="s">
        <v>59</v>
      </c>
      <c r="P132" s="28" t="e">
        <f>NA()</f>
        <v>#N/A</v>
      </c>
      <c r="U132" s="101"/>
      <c r="V132" s="101"/>
      <c r="W132" s="69" t="e" cm="1">
        <f t="array" ref="W132">_xlfn.XLOOKUP(Table1[[#This Row],[5 cm2 cell test code]:[5 cm2 cell test code]],[1]!Table1[[Test code]:[Test code]],[1]!Table1[i @ 1.8 V DIW (A/cm2)],"",0)</f>
        <v>#REF!</v>
      </c>
      <c r="X132" s="69" t="e" cm="1">
        <f t="array" ref="X132">_xlfn.XLOOKUP(Table1[[#This Row],[5 cm2 cell test code]:[5 cm2 cell test code]],[1]!Table1[[Test code]:[Test code]],[1]!Table1[i @ 1.8 V 10 mM KOH (A/cm2)],"",0)</f>
        <v>#REF!</v>
      </c>
      <c r="Y132" s="69" t="e" cm="1">
        <f t="array" ref="Y132">_xlfn.XLOOKUP(Table1[[#This Row],[5 cm2 cell test code]:[5 cm2 cell test code]],[1]!Table1[[Test code]:[Test code]],[1]!Table1[3-E ƞ at 20mAcm-2 (mV)],"",0)</f>
        <v>#REF!</v>
      </c>
      <c r="Z132" s="69" t="e" cm="1">
        <f t="array" ref="Z132">_xlfn.XLOOKUP(Table1[[#This Row],[5 cm2 cell test code]:[5 cm2 cell test code]],[1]!Table1[[Test code]:[Test code]],[1]!Table1[3-E Tafel slope (mV/dec)],"",0)</f>
        <v>#REF!</v>
      </c>
      <c r="AA132" s="69" t="e" cm="1">
        <f t="array" ref="AA132">_xlfn.XLOOKUP(Table1[[#This Row],[5 cm2 cell test code]:[5 cm2 cell test code]],[1]!Table1[[Test code]:[Test code]],[1]!Table1[E @ 100 mA/cm2 DIW/V],"",0)</f>
        <v>#REF!</v>
      </c>
      <c r="AB132" s="69" t="e" cm="1">
        <f t="array" ref="AB132">_xlfn.XLOOKUP(Table1[[#This Row],[5 cm2 cell test code]:[5 cm2 cell test code]],[1]!Table1[[Test code]:[Test code]],[1]!Table1[E @ 100 mA/cm2 10 mM KOH/V],"",0)</f>
        <v>#REF!</v>
      </c>
      <c r="AC132" s="69" t="e" cm="1">
        <f t="array" ref="AC132">_xlfn.XLOOKUP(Table1[[#This Row],[5 cm2 cell test code]:[5 cm2 cell test code]],[1]!Table1[[Test code]:[Test code]],[1]!Table1[Anode ICR/mOhm],"",0)</f>
        <v>#REF!</v>
      </c>
      <c r="AD132" s="69" t="e" cm="1">
        <f t="array" ref="AD132">_xlfn.XLOOKUP(Table1[[#This Row],[5 cm2 cell test code]:[5 cm2 cell test code]],[1]!Table1[[Test code]:[Test code]],[1]!Table1[HFR DIW/ mOhm cm2],"",0)</f>
        <v>#REF!</v>
      </c>
      <c r="AE132" s="69" t="e" cm="1">
        <f t="array" ref="AE132">_xlfn.XLOOKUP(Table1[[#This Row],[5 cm2 cell test code]:[5 cm2 cell test code]],[1]!Table1[[Test code]:[Test code]],[1]!Table1[HFR 10 mM KOH/ mOhm cm2],"",0)</f>
        <v>#REF!</v>
      </c>
      <c r="AF132" s="69" t="e" cm="1">
        <f t="array" ref="AF132">_xlfn.XLOOKUP(Table1[[#This Row],[5 cm2 cell test code]:[5 cm2 cell test code]],[1]!Table1[[Test code]:[Test code]],[1]!Table1[Ionic resistance DIW/Ohm cm2],"",0)</f>
        <v>#REF!</v>
      </c>
      <c r="AG132" s="69" t="e" cm="1">
        <f t="array" ref="AG132">_xlfn.XLOOKUP(Table1[[#This Row],[5 cm2 cell test code]:[5 cm2 cell test code]],[1]!Table1[[Test code]:[Test code]],[1]!Table1[Q_int_frac DIW],"",0)</f>
        <v>#REF!</v>
      </c>
      <c r="AH132" s="69" t="e" cm="1">
        <f t="array" ref="AH132">_xlfn.XLOOKUP(Table1[[#This Row],[5 cm2 cell test code]:[5 cm2 cell test code]],[1]!Table1[[Test code]:[Test code]],[1]!Table1[Ionic resistance 10 mM KOH/Ohm cm2],"",0)</f>
        <v>#REF!</v>
      </c>
      <c r="AI132" s="69" t="e" cm="1">
        <f t="array" ref="AI132">_xlfn.XLOOKUP(Table1[[#This Row],[5 cm2 cell test code]:[5 cm2 cell test code]],[1]!Table1[[Test code]:[Test code]],[1]!Table1[Q_int_frac DIW 10 mM KOH],"",0)</f>
        <v>#REF!</v>
      </c>
      <c r="AJ132" s="69" t="e" cm="1">
        <f t="array" ref="AJ132">_xlfn.XLOOKUP(Table1[[#This Row],[5 cm2 cell test code]:[5 cm2 cell test code]],[1]!Table1[[Test code]:[Test code]],[1]!Table1[DIW conductivity (µS/cm)],"",0)</f>
        <v>#REF!</v>
      </c>
      <c r="AQ132" s="4" t="str">
        <v>VSG02A-23188E1.01</v>
      </c>
      <c r="AR132" s="95">
        <f>COUNTIFS(Table1[Anode PN (Stack/cell electrodes)],AQ132,Table1[ƞ at 20mAcm-2 (mV)],"&lt;&gt;")</f>
        <v>0</v>
      </c>
      <c r="AS132" s="95">
        <f>COUNTIFS(Table1[Anode PN (Stack/cell electrodes)],AQ132,Table1[i @ 1.8 V DIW (A/cm2)],"&lt;&gt;")</f>
        <v>1</v>
      </c>
      <c r="AT132" s="95">
        <f>COUNTIFS(Table1[Anode PN (Stack/cell electrodes)],AQ132,Table1[i at 1.8 V 10 mM KOH (A/cm2)],"&lt;&gt;")</f>
        <v>1</v>
      </c>
      <c r="AU132" s="95">
        <f>COUNTIFS(Table1[Anode PN (Stack/cell electrodes)],AQ132,Table1[Ionic resistance DIW/Ohm cm2],"&lt;&gt;")</f>
        <v>1</v>
      </c>
      <c r="AV132" s="95">
        <f>COUNTIFS(Table1[Anode PN (Stack/cell electrodes)],AQ132,Table1[Ionic resistance 10 mM KOH/Ohm cm2],"&lt;&gt;")</f>
        <v>1</v>
      </c>
    </row>
    <row r="133" spans="1:48">
      <c r="A133" s="81"/>
      <c r="B133" s="11" t="s">
        <v>282</v>
      </c>
      <c r="C133" s="4" t="s">
        <v>283</v>
      </c>
      <c r="K133" s="43" t="s">
        <v>59</v>
      </c>
      <c r="P133" s="28">
        <v>1.08</v>
      </c>
      <c r="U133" s="101"/>
      <c r="V133" s="101"/>
      <c r="W133" s="69" t="e" cm="1">
        <f t="array" ref="W133">_xlfn.XLOOKUP(Table1[[#This Row],[5 cm2 cell test code]:[5 cm2 cell test code]],[1]!Table1[[Test code]:[Test code]],[1]!Table1[i @ 1.8 V DIW (A/cm2)],"",0)</f>
        <v>#REF!</v>
      </c>
      <c r="X133" s="69" t="e" cm="1">
        <f t="array" ref="X133">_xlfn.XLOOKUP(Table1[[#This Row],[5 cm2 cell test code]:[5 cm2 cell test code]],[1]!Table1[[Test code]:[Test code]],[1]!Table1[i @ 1.8 V 10 mM KOH (A/cm2)],"",0)</f>
        <v>#REF!</v>
      </c>
      <c r="Y133" s="69" t="e" cm="1">
        <f t="array" ref="Y133">_xlfn.XLOOKUP(Table1[[#This Row],[5 cm2 cell test code]:[5 cm2 cell test code]],[1]!Table1[[Test code]:[Test code]],[1]!Table1[3-E ƞ at 20mAcm-2 (mV)],"",0)</f>
        <v>#REF!</v>
      </c>
      <c r="Z133" s="69" t="e" cm="1">
        <f t="array" ref="Z133">_xlfn.XLOOKUP(Table1[[#This Row],[5 cm2 cell test code]:[5 cm2 cell test code]],[1]!Table1[[Test code]:[Test code]],[1]!Table1[3-E Tafel slope (mV/dec)],"",0)</f>
        <v>#REF!</v>
      </c>
      <c r="AA133" s="69" t="e" cm="1">
        <f t="array" ref="AA133">_xlfn.XLOOKUP(Table1[[#This Row],[5 cm2 cell test code]:[5 cm2 cell test code]],[1]!Table1[[Test code]:[Test code]],[1]!Table1[E @ 100 mA/cm2 DIW/V],"",0)</f>
        <v>#REF!</v>
      </c>
      <c r="AB133" s="69" t="e" cm="1">
        <f t="array" ref="AB133">_xlfn.XLOOKUP(Table1[[#This Row],[5 cm2 cell test code]:[5 cm2 cell test code]],[1]!Table1[[Test code]:[Test code]],[1]!Table1[E @ 100 mA/cm2 10 mM KOH/V],"",0)</f>
        <v>#REF!</v>
      </c>
      <c r="AC133" s="69" t="e" cm="1">
        <f t="array" ref="AC133">_xlfn.XLOOKUP(Table1[[#This Row],[5 cm2 cell test code]:[5 cm2 cell test code]],[1]!Table1[[Test code]:[Test code]],[1]!Table1[Anode ICR/mOhm],"",0)</f>
        <v>#REF!</v>
      </c>
      <c r="AD133" s="69" t="e" cm="1">
        <f t="array" ref="AD133">_xlfn.XLOOKUP(Table1[[#This Row],[5 cm2 cell test code]:[5 cm2 cell test code]],[1]!Table1[[Test code]:[Test code]],[1]!Table1[HFR DIW/ mOhm cm2],"",0)</f>
        <v>#REF!</v>
      </c>
      <c r="AE133" s="69" t="e" cm="1">
        <f t="array" ref="AE133">_xlfn.XLOOKUP(Table1[[#This Row],[5 cm2 cell test code]:[5 cm2 cell test code]],[1]!Table1[[Test code]:[Test code]],[1]!Table1[HFR 10 mM KOH/ mOhm cm2],"",0)</f>
        <v>#REF!</v>
      </c>
      <c r="AF133" s="69" t="e" cm="1">
        <f t="array" ref="AF133">_xlfn.XLOOKUP(Table1[[#This Row],[5 cm2 cell test code]:[5 cm2 cell test code]],[1]!Table1[[Test code]:[Test code]],[1]!Table1[Ionic resistance DIW/Ohm cm2],"",0)</f>
        <v>#REF!</v>
      </c>
      <c r="AG133" s="69" t="e" cm="1">
        <f t="array" ref="AG133">_xlfn.XLOOKUP(Table1[[#This Row],[5 cm2 cell test code]:[5 cm2 cell test code]],[1]!Table1[[Test code]:[Test code]],[1]!Table1[Q_int_frac DIW],"",0)</f>
        <v>#REF!</v>
      </c>
      <c r="AH133" s="69" t="e" cm="1">
        <f t="array" ref="AH133">_xlfn.XLOOKUP(Table1[[#This Row],[5 cm2 cell test code]:[5 cm2 cell test code]],[1]!Table1[[Test code]:[Test code]],[1]!Table1[Ionic resistance 10 mM KOH/Ohm cm2],"",0)</f>
        <v>#REF!</v>
      </c>
      <c r="AI133" s="69" t="e" cm="1">
        <f t="array" ref="AI133">_xlfn.XLOOKUP(Table1[[#This Row],[5 cm2 cell test code]:[5 cm2 cell test code]],[1]!Table1[[Test code]:[Test code]],[1]!Table1[Q_int_frac DIW 10 mM KOH],"",0)</f>
        <v>#REF!</v>
      </c>
      <c r="AJ133" s="69" t="e" cm="1">
        <f t="array" ref="AJ133">_xlfn.XLOOKUP(Table1[[#This Row],[5 cm2 cell test code]:[5 cm2 cell test code]],[1]!Table1[[Test code]:[Test code]],[1]!Table1[DIW conductivity (µS/cm)],"",0)</f>
        <v>#REF!</v>
      </c>
      <c r="AQ133" s="4" t="str">
        <v>VSG02A-23188E1.02</v>
      </c>
      <c r="AR133" s="95">
        <f>COUNTIFS(Table1[Anode PN (Stack/cell electrodes)],AQ133,Table1[ƞ at 20mAcm-2 (mV)],"&lt;&gt;")</f>
        <v>0</v>
      </c>
      <c r="AS133" s="95">
        <f>COUNTIFS(Table1[Anode PN (Stack/cell electrodes)],AQ133,Table1[i @ 1.8 V DIW (A/cm2)],"&lt;&gt;")</f>
        <v>1</v>
      </c>
      <c r="AT133" s="95">
        <f>COUNTIFS(Table1[Anode PN (Stack/cell electrodes)],AQ133,Table1[i at 1.8 V 10 mM KOH (A/cm2)],"&lt;&gt;")</f>
        <v>1</v>
      </c>
      <c r="AU133" s="95">
        <f>COUNTIFS(Table1[Anode PN (Stack/cell electrodes)],AQ133,Table1[Ionic resistance DIW/Ohm cm2],"&lt;&gt;")</f>
        <v>1</v>
      </c>
      <c r="AV133" s="95">
        <f>COUNTIFS(Table1[Anode PN (Stack/cell electrodes)],AQ133,Table1[Ionic resistance 10 mM KOH/Ohm cm2],"&lt;&gt;")</f>
        <v>1</v>
      </c>
    </row>
    <row r="134" spans="1:48">
      <c r="A134" s="81"/>
      <c r="K134" s="43" t="s">
        <v>59</v>
      </c>
      <c r="U134" s="101"/>
      <c r="V134" s="101"/>
      <c r="W134" s="69" t="e" cm="1">
        <f t="array" ref="W134">_xlfn.XLOOKUP(Table1[[#This Row],[5 cm2 cell test code]:[5 cm2 cell test code]],[1]!Table1[[Test code]:[Test code]],[1]!Table1[i @ 1.8 V DIW (A/cm2)],"",0)</f>
        <v>#REF!</v>
      </c>
      <c r="X134" s="69" t="e" cm="1">
        <f t="array" ref="X134">_xlfn.XLOOKUP(Table1[[#This Row],[5 cm2 cell test code]:[5 cm2 cell test code]],[1]!Table1[[Test code]:[Test code]],[1]!Table1[i @ 1.8 V 10 mM KOH (A/cm2)],"",0)</f>
        <v>#REF!</v>
      </c>
      <c r="Y134" s="69" t="e" cm="1">
        <f t="array" ref="Y134">_xlfn.XLOOKUP(Table1[[#This Row],[5 cm2 cell test code]:[5 cm2 cell test code]],[1]!Table1[[Test code]:[Test code]],[1]!Table1[3-E ƞ at 20mAcm-2 (mV)],"",0)</f>
        <v>#REF!</v>
      </c>
      <c r="Z134" s="69" t="e" cm="1">
        <f t="array" ref="Z134">_xlfn.XLOOKUP(Table1[[#This Row],[5 cm2 cell test code]:[5 cm2 cell test code]],[1]!Table1[[Test code]:[Test code]],[1]!Table1[3-E Tafel slope (mV/dec)],"",0)</f>
        <v>#REF!</v>
      </c>
      <c r="AA134" s="69" t="e" cm="1">
        <f t="array" ref="AA134">_xlfn.XLOOKUP(Table1[[#This Row],[5 cm2 cell test code]:[5 cm2 cell test code]],[1]!Table1[[Test code]:[Test code]],[1]!Table1[E @ 100 mA/cm2 DIW/V],"",0)</f>
        <v>#REF!</v>
      </c>
      <c r="AB134" s="69" t="e" cm="1">
        <f t="array" ref="AB134">_xlfn.XLOOKUP(Table1[[#This Row],[5 cm2 cell test code]:[5 cm2 cell test code]],[1]!Table1[[Test code]:[Test code]],[1]!Table1[E @ 100 mA/cm2 10 mM KOH/V],"",0)</f>
        <v>#REF!</v>
      </c>
      <c r="AC134" s="69" t="e" cm="1">
        <f t="array" ref="AC134">_xlfn.XLOOKUP(Table1[[#This Row],[5 cm2 cell test code]:[5 cm2 cell test code]],[1]!Table1[[Test code]:[Test code]],[1]!Table1[Anode ICR/mOhm],"",0)</f>
        <v>#REF!</v>
      </c>
      <c r="AD134" s="69" t="e" cm="1">
        <f t="array" ref="AD134">_xlfn.XLOOKUP(Table1[[#This Row],[5 cm2 cell test code]:[5 cm2 cell test code]],[1]!Table1[[Test code]:[Test code]],[1]!Table1[HFR DIW/ mOhm cm2],"",0)</f>
        <v>#REF!</v>
      </c>
      <c r="AE134" s="69" t="e" cm="1">
        <f t="array" ref="AE134">_xlfn.XLOOKUP(Table1[[#This Row],[5 cm2 cell test code]:[5 cm2 cell test code]],[1]!Table1[[Test code]:[Test code]],[1]!Table1[HFR 10 mM KOH/ mOhm cm2],"",0)</f>
        <v>#REF!</v>
      </c>
      <c r="AF134" s="69" t="e" cm="1">
        <f t="array" ref="AF134">_xlfn.XLOOKUP(Table1[[#This Row],[5 cm2 cell test code]:[5 cm2 cell test code]],[1]!Table1[[Test code]:[Test code]],[1]!Table1[Ionic resistance DIW/Ohm cm2],"",0)</f>
        <v>#REF!</v>
      </c>
      <c r="AG134" s="69" t="e" cm="1">
        <f t="array" ref="AG134">_xlfn.XLOOKUP(Table1[[#This Row],[5 cm2 cell test code]:[5 cm2 cell test code]],[1]!Table1[[Test code]:[Test code]],[1]!Table1[Q_int_frac DIW],"",0)</f>
        <v>#REF!</v>
      </c>
      <c r="AH134" s="69" t="e" cm="1">
        <f t="array" ref="AH134">_xlfn.XLOOKUP(Table1[[#This Row],[5 cm2 cell test code]:[5 cm2 cell test code]],[1]!Table1[[Test code]:[Test code]],[1]!Table1[Ionic resistance 10 mM KOH/Ohm cm2],"",0)</f>
        <v>#REF!</v>
      </c>
      <c r="AI134" s="69" t="e" cm="1">
        <f t="array" ref="AI134">_xlfn.XLOOKUP(Table1[[#This Row],[5 cm2 cell test code]:[5 cm2 cell test code]],[1]!Table1[[Test code]:[Test code]],[1]!Table1[Q_int_frac DIW 10 mM KOH],"",0)</f>
        <v>#REF!</v>
      </c>
      <c r="AJ134" s="69" t="e" cm="1">
        <f t="array" ref="AJ134">_xlfn.XLOOKUP(Table1[[#This Row],[5 cm2 cell test code]:[5 cm2 cell test code]],[1]!Table1[[Test code]:[Test code]],[1]!Table1[DIW conductivity (µS/cm)],"",0)</f>
        <v>#REF!</v>
      </c>
      <c r="AQ134" s="4" t="str">
        <v>VSG02A-23188E1.03</v>
      </c>
      <c r="AR134" s="95">
        <f>COUNTIFS(Table1[Anode PN (Stack/cell electrodes)],AQ134,Table1[ƞ at 20mAcm-2 (mV)],"&lt;&gt;")</f>
        <v>0</v>
      </c>
      <c r="AS134" s="95">
        <f>COUNTIFS(Table1[Anode PN (Stack/cell electrodes)],AQ134,Table1[i @ 1.8 V DIW (A/cm2)],"&lt;&gt;")</f>
        <v>1</v>
      </c>
      <c r="AT134" s="95">
        <f>COUNTIFS(Table1[Anode PN (Stack/cell electrodes)],AQ134,Table1[i at 1.8 V 10 mM KOH (A/cm2)],"&lt;&gt;")</f>
        <v>1</v>
      </c>
      <c r="AU134" s="95">
        <f>COUNTIFS(Table1[Anode PN (Stack/cell electrodes)],AQ134,Table1[Ionic resistance DIW/Ohm cm2],"&lt;&gt;")</f>
        <v>1</v>
      </c>
      <c r="AV134" s="95">
        <f>COUNTIFS(Table1[Anode PN (Stack/cell electrodes)],AQ134,Table1[Ionic resistance 10 mM KOH/Ohm cm2],"&lt;&gt;")</f>
        <v>1</v>
      </c>
    </row>
    <row r="135" spans="1:48" s="29" customFormat="1">
      <c r="A135" s="84"/>
      <c r="B135" s="8" t="s">
        <v>284</v>
      </c>
      <c r="C135" s="29" t="s">
        <v>285</v>
      </c>
      <c r="I135" s="8"/>
      <c r="J135" s="11" t="s">
        <v>134</v>
      </c>
      <c r="K135" s="43" t="s">
        <v>59</v>
      </c>
      <c r="L135" s="11"/>
      <c r="M135" s="39"/>
      <c r="N135" s="39">
        <v>3.56</v>
      </c>
      <c r="O135" s="8"/>
      <c r="P135" s="137">
        <v>1.0884</v>
      </c>
      <c r="R135" s="98">
        <v>1.6990000000000001</v>
      </c>
      <c r="S135" s="106">
        <v>229.77</v>
      </c>
      <c r="T135" s="106">
        <v>34.42</v>
      </c>
      <c r="U135" s="100">
        <v>20230810</v>
      </c>
      <c r="V135" t="s">
        <v>286</v>
      </c>
      <c r="W135" s="69" t="e" cm="1">
        <f t="array" ref="W135">_xlfn.XLOOKUP(Table1[[#This Row],[5 cm2 cell test code]:[5 cm2 cell test code]],[1]!Table1[[Test code]:[Test code]],[1]!Table1[i @ 1.8 V DIW (A/cm2)],"",0)</f>
        <v>#REF!</v>
      </c>
      <c r="X135" s="69" t="e" cm="1">
        <f t="array" ref="X135">_xlfn.XLOOKUP(Table1[[#This Row],[5 cm2 cell test code]:[5 cm2 cell test code]],[1]!Table1[[Test code]:[Test code]],[1]!Table1[i @ 1.8 V 10 mM KOH (A/cm2)],"",0)</f>
        <v>#REF!</v>
      </c>
      <c r="Y135" s="69" t="e" cm="1">
        <f t="array" ref="Y135">_xlfn.XLOOKUP(Table1[[#This Row],[5 cm2 cell test code]:[5 cm2 cell test code]],[1]!Table1[[Test code]:[Test code]],[1]!Table1[3-E ƞ at 20mAcm-2 (mV)],"",0)</f>
        <v>#REF!</v>
      </c>
      <c r="Z135" s="69" t="e" cm="1">
        <f t="array" ref="Z135">_xlfn.XLOOKUP(Table1[[#This Row],[5 cm2 cell test code]:[5 cm2 cell test code]],[1]!Table1[[Test code]:[Test code]],[1]!Table1[3-E Tafel slope (mV/dec)],"",0)</f>
        <v>#REF!</v>
      </c>
      <c r="AA135" s="69" t="e" cm="1">
        <f t="array" ref="AA135">_xlfn.XLOOKUP(Table1[[#This Row],[5 cm2 cell test code]:[5 cm2 cell test code]],[1]!Table1[[Test code]:[Test code]],[1]!Table1[E @ 100 mA/cm2 DIW/V],"",0)</f>
        <v>#REF!</v>
      </c>
      <c r="AB135" s="69" t="e" cm="1">
        <f t="array" ref="AB135">_xlfn.XLOOKUP(Table1[[#This Row],[5 cm2 cell test code]:[5 cm2 cell test code]],[1]!Table1[[Test code]:[Test code]],[1]!Table1[E @ 100 mA/cm2 10 mM KOH/V],"",0)</f>
        <v>#REF!</v>
      </c>
      <c r="AC135" s="69" t="e" cm="1">
        <f t="array" ref="AC135">_xlfn.XLOOKUP(Table1[[#This Row],[5 cm2 cell test code]:[5 cm2 cell test code]],[1]!Table1[[Test code]:[Test code]],[1]!Table1[Anode ICR/mOhm],"",0)</f>
        <v>#REF!</v>
      </c>
      <c r="AD135" s="69" t="e" cm="1">
        <f t="array" ref="AD135">_xlfn.XLOOKUP(Table1[[#This Row],[5 cm2 cell test code]:[5 cm2 cell test code]],[1]!Table1[[Test code]:[Test code]],[1]!Table1[HFR DIW/ mOhm cm2],"",0)</f>
        <v>#REF!</v>
      </c>
      <c r="AE135" s="69" t="e" cm="1">
        <f t="array" ref="AE135">_xlfn.XLOOKUP(Table1[[#This Row],[5 cm2 cell test code]:[5 cm2 cell test code]],[1]!Table1[[Test code]:[Test code]],[1]!Table1[HFR 10 mM KOH/ mOhm cm2],"",0)</f>
        <v>#REF!</v>
      </c>
      <c r="AF135" s="69" t="e" cm="1">
        <f t="array" ref="AF135">_xlfn.XLOOKUP(Table1[[#This Row],[5 cm2 cell test code]:[5 cm2 cell test code]],[1]!Table1[[Test code]:[Test code]],[1]!Table1[Ionic resistance DIW/Ohm cm2],"",0)</f>
        <v>#REF!</v>
      </c>
      <c r="AG135" s="69" t="e" cm="1">
        <f t="array" ref="AG135">_xlfn.XLOOKUP(Table1[[#This Row],[5 cm2 cell test code]:[5 cm2 cell test code]],[1]!Table1[[Test code]:[Test code]],[1]!Table1[Q_int_frac DIW],"",0)</f>
        <v>#REF!</v>
      </c>
      <c r="AH135" s="69" t="e" cm="1">
        <f t="array" ref="AH135">_xlfn.XLOOKUP(Table1[[#This Row],[5 cm2 cell test code]:[5 cm2 cell test code]],[1]!Table1[[Test code]:[Test code]],[1]!Table1[Ionic resistance 10 mM KOH/Ohm cm2],"",0)</f>
        <v>#REF!</v>
      </c>
      <c r="AI135" s="69" t="e" cm="1">
        <f t="array" ref="AI135">_xlfn.XLOOKUP(Table1[[#This Row],[5 cm2 cell test code]:[5 cm2 cell test code]],[1]!Table1[[Test code]:[Test code]],[1]!Table1[Q_int_frac DIW 10 mM KOH],"",0)</f>
        <v>#REF!</v>
      </c>
      <c r="AJ135" s="69" t="e" cm="1">
        <f t="array" ref="AJ135">_xlfn.XLOOKUP(Table1[[#This Row],[5 cm2 cell test code]:[5 cm2 cell test code]],[1]!Table1[[Test code]:[Test code]],[1]!Table1[DIW conductivity (µS/cm)],"",0)</f>
        <v>#REF!</v>
      </c>
      <c r="AQ135" s="29" t="str">
        <v>VSG02A-23188E1.04</v>
      </c>
      <c r="AR135" s="95">
        <f>COUNTIFS(Table1[Anode PN (Stack/cell electrodes)],AQ135,Table1[ƞ at 20mAcm-2 (mV)],"&lt;&gt;")</f>
        <v>0</v>
      </c>
      <c r="AS135" s="95">
        <f>COUNTIFS(Table1[Anode PN (Stack/cell electrodes)],AQ135,Table1[i @ 1.8 V DIW (A/cm2)],"&lt;&gt;")</f>
        <v>1</v>
      </c>
      <c r="AT135" s="95">
        <f>COUNTIFS(Table1[Anode PN (Stack/cell electrodes)],AQ135,Table1[i at 1.8 V 10 mM KOH (A/cm2)],"&lt;&gt;")</f>
        <v>1</v>
      </c>
      <c r="AU135" s="95">
        <f>COUNTIFS(Table1[Anode PN (Stack/cell electrodes)],AQ135,Table1[Ionic resistance DIW/Ohm cm2],"&lt;&gt;")</f>
        <v>1</v>
      </c>
      <c r="AV135" s="95">
        <f>COUNTIFS(Table1[Anode PN (Stack/cell electrodes)],AQ135,Table1[Ionic resistance 10 mM KOH/Ohm cm2],"&lt;&gt;")</f>
        <v>1</v>
      </c>
    </row>
    <row r="136" spans="1:48" s="29" customFormat="1">
      <c r="A136" s="84"/>
      <c r="B136" s="8"/>
      <c r="I136" s="8"/>
      <c r="J136" s="11"/>
      <c r="K136" s="43" t="s">
        <v>59</v>
      </c>
      <c r="L136" s="11"/>
      <c r="M136" s="39"/>
      <c r="N136" s="39"/>
      <c r="O136" s="8"/>
      <c r="P136" s="137"/>
      <c r="U136" s="100">
        <v>20230817</v>
      </c>
      <c r="V136" t="s">
        <v>287</v>
      </c>
      <c r="W136" s="69" t="e" cm="1">
        <f t="array" ref="W136">_xlfn.XLOOKUP(Table1[[#This Row],[5 cm2 cell test code]:[5 cm2 cell test code]],[1]!Table1[[Test code]:[Test code]],[1]!Table1[i @ 1.8 V DIW (A/cm2)],"",0)</f>
        <v>#REF!</v>
      </c>
      <c r="X136" s="69" t="e" cm="1">
        <f t="array" ref="X136">_xlfn.XLOOKUP(Table1[[#This Row],[5 cm2 cell test code]:[5 cm2 cell test code]],[1]!Table1[[Test code]:[Test code]],[1]!Table1[i @ 1.8 V 10 mM KOH (A/cm2)],"",0)</f>
        <v>#REF!</v>
      </c>
      <c r="Y136" s="69" t="e" cm="1">
        <f t="array" ref="Y136">_xlfn.XLOOKUP(Table1[[#This Row],[5 cm2 cell test code]:[5 cm2 cell test code]],[1]!Table1[[Test code]:[Test code]],[1]!Table1[3-E ƞ at 20mAcm-2 (mV)],"",0)</f>
        <v>#REF!</v>
      </c>
      <c r="Z136" s="69" t="e" cm="1">
        <f t="array" ref="Z136">_xlfn.XLOOKUP(Table1[[#This Row],[5 cm2 cell test code]:[5 cm2 cell test code]],[1]!Table1[[Test code]:[Test code]],[1]!Table1[3-E Tafel slope (mV/dec)],"",0)</f>
        <v>#REF!</v>
      </c>
      <c r="AA136" s="69" t="e" cm="1">
        <f t="array" ref="AA136">_xlfn.XLOOKUP(Table1[[#This Row],[5 cm2 cell test code]:[5 cm2 cell test code]],[1]!Table1[[Test code]:[Test code]],[1]!Table1[E @ 100 mA/cm2 DIW/V],"",0)</f>
        <v>#REF!</v>
      </c>
      <c r="AB136" s="69" t="e" cm="1">
        <f t="array" ref="AB136">_xlfn.XLOOKUP(Table1[[#This Row],[5 cm2 cell test code]:[5 cm2 cell test code]],[1]!Table1[[Test code]:[Test code]],[1]!Table1[E @ 100 mA/cm2 10 mM KOH/V],"",0)</f>
        <v>#REF!</v>
      </c>
      <c r="AC136" s="69" t="e" cm="1">
        <f t="array" ref="AC136">_xlfn.XLOOKUP(Table1[[#This Row],[5 cm2 cell test code]:[5 cm2 cell test code]],[1]!Table1[[Test code]:[Test code]],[1]!Table1[Anode ICR/mOhm],"",0)</f>
        <v>#REF!</v>
      </c>
      <c r="AD136" s="69" t="e" cm="1">
        <f t="array" ref="AD136">_xlfn.XLOOKUP(Table1[[#This Row],[5 cm2 cell test code]:[5 cm2 cell test code]],[1]!Table1[[Test code]:[Test code]],[1]!Table1[HFR DIW/ mOhm cm2],"",0)</f>
        <v>#REF!</v>
      </c>
      <c r="AE136" s="69" t="e" cm="1">
        <f t="array" ref="AE136">_xlfn.XLOOKUP(Table1[[#This Row],[5 cm2 cell test code]:[5 cm2 cell test code]],[1]!Table1[[Test code]:[Test code]],[1]!Table1[HFR 10 mM KOH/ mOhm cm2],"",0)</f>
        <v>#REF!</v>
      </c>
      <c r="AF136" s="69" t="e" cm="1">
        <f t="array" ref="AF136">_xlfn.XLOOKUP(Table1[[#This Row],[5 cm2 cell test code]:[5 cm2 cell test code]],[1]!Table1[[Test code]:[Test code]],[1]!Table1[Ionic resistance DIW/Ohm cm2],"",0)</f>
        <v>#REF!</v>
      </c>
      <c r="AG136" s="69" t="e" cm="1">
        <f t="array" ref="AG136">_xlfn.XLOOKUP(Table1[[#This Row],[5 cm2 cell test code]:[5 cm2 cell test code]],[1]!Table1[[Test code]:[Test code]],[1]!Table1[Q_int_frac DIW],"",0)</f>
        <v>#REF!</v>
      </c>
      <c r="AH136" s="69" t="e" cm="1">
        <f t="array" ref="AH136">_xlfn.XLOOKUP(Table1[[#This Row],[5 cm2 cell test code]:[5 cm2 cell test code]],[1]!Table1[[Test code]:[Test code]],[1]!Table1[Ionic resistance 10 mM KOH/Ohm cm2],"",0)</f>
        <v>#REF!</v>
      </c>
      <c r="AI136" s="69" t="e" cm="1">
        <f t="array" ref="AI136">_xlfn.XLOOKUP(Table1[[#This Row],[5 cm2 cell test code]:[5 cm2 cell test code]],[1]!Table1[[Test code]:[Test code]],[1]!Table1[Q_int_frac DIW 10 mM KOH],"",0)</f>
        <v>#REF!</v>
      </c>
      <c r="AJ136" s="69" t="e" cm="1">
        <f t="array" ref="AJ136">_xlfn.XLOOKUP(Table1[[#This Row],[5 cm2 cell test code]:[5 cm2 cell test code]],[1]!Table1[[Test code]:[Test code]],[1]!Table1[DIW conductivity (µS/cm)],"",0)</f>
        <v>#REF!</v>
      </c>
      <c r="AQ136" s="29" t="str">
        <v>VSG02A-23188E1.05</v>
      </c>
      <c r="AR136" s="95"/>
      <c r="AS136" s="95"/>
      <c r="AT136" s="95"/>
      <c r="AU136" s="95"/>
      <c r="AV136" s="95"/>
    </row>
    <row r="137" spans="1:48" s="29" customFormat="1">
      <c r="A137" s="84"/>
      <c r="B137" s="8"/>
      <c r="I137" s="8"/>
      <c r="J137" s="11"/>
      <c r="K137" s="43" t="s">
        <v>59</v>
      </c>
      <c r="L137" s="11"/>
      <c r="M137" s="39"/>
      <c r="N137" s="39"/>
      <c r="O137" s="8"/>
      <c r="P137" s="137"/>
      <c r="U137" s="100">
        <v>20230824</v>
      </c>
      <c r="V137" t="s">
        <v>288</v>
      </c>
      <c r="W137" s="69" t="e" cm="1">
        <f t="array" ref="W137">_xlfn.XLOOKUP(Table1[[#This Row],[5 cm2 cell test code]:[5 cm2 cell test code]],[1]!Table1[[Test code]:[Test code]],[1]!Table1[i @ 1.8 V DIW (A/cm2)],"",0)</f>
        <v>#REF!</v>
      </c>
      <c r="X137" s="69" t="e" cm="1">
        <f t="array" ref="X137">_xlfn.XLOOKUP(Table1[[#This Row],[5 cm2 cell test code]:[5 cm2 cell test code]],[1]!Table1[[Test code]:[Test code]],[1]!Table1[i @ 1.8 V 10 mM KOH (A/cm2)],"",0)</f>
        <v>#REF!</v>
      </c>
      <c r="Y137" s="69" t="e" cm="1">
        <f t="array" ref="Y137">_xlfn.XLOOKUP(Table1[[#This Row],[5 cm2 cell test code]:[5 cm2 cell test code]],[1]!Table1[[Test code]:[Test code]],[1]!Table1[3-E ƞ at 20mAcm-2 (mV)],"",0)</f>
        <v>#REF!</v>
      </c>
      <c r="Z137" s="69" t="e" cm="1">
        <f t="array" ref="Z137">_xlfn.XLOOKUP(Table1[[#This Row],[5 cm2 cell test code]:[5 cm2 cell test code]],[1]!Table1[[Test code]:[Test code]],[1]!Table1[3-E Tafel slope (mV/dec)],"",0)</f>
        <v>#REF!</v>
      </c>
      <c r="AA137" s="69" t="e" cm="1">
        <f t="array" ref="AA137">_xlfn.XLOOKUP(Table1[[#This Row],[5 cm2 cell test code]:[5 cm2 cell test code]],[1]!Table1[[Test code]:[Test code]],[1]!Table1[E @ 100 mA/cm2 DIW/V],"",0)</f>
        <v>#REF!</v>
      </c>
      <c r="AB137" s="69" t="e" cm="1">
        <f t="array" ref="AB137">_xlfn.XLOOKUP(Table1[[#This Row],[5 cm2 cell test code]:[5 cm2 cell test code]],[1]!Table1[[Test code]:[Test code]],[1]!Table1[E @ 100 mA/cm2 10 mM KOH/V],"",0)</f>
        <v>#REF!</v>
      </c>
      <c r="AC137" s="69" t="e" cm="1">
        <f t="array" ref="AC137">_xlfn.XLOOKUP(Table1[[#This Row],[5 cm2 cell test code]:[5 cm2 cell test code]],[1]!Table1[[Test code]:[Test code]],[1]!Table1[Anode ICR/mOhm],"",0)</f>
        <v>#REF!</v>
      </c>
      <c r="AD137" s="69" t="e" cm="1">
        <f t="array" ref="AD137">_xlfn.XLOOKUP(Table1[[#This Row],[5 cm2 cell test code]:[5 cm2 cell test code]],[1]!Table1[[Test code]:[Test code]],[1]!Table1[HFR DIW/ mOhm cm2],"",0)</f>
        <v>#REF!</v>
      </c>
      <c r="AE137" s="69" t="e" cm="1">
        <f t="array" ref="AE137">_xlfn.XLOOKUP(Table1[[#This Row],[5 cm2 cell test code]:[5 cm2 cell test code]],[1]!Table1[[Test code]:[Test code]],[1]!Table1[HFR 10 mM KOH/ mOhm cm2],"",0)</f>
        <v>#REF!</v>
      </c>
      <c r="AF137" s="69" t="e" cm="1">
        <f t="array" ref="AF137">_xlfn.XLOOKUP(Table1[[#This Row],[5 cm2 cell test code]:[5 cm2 cell test code]],[1]!Table1[[Test code]:[Test code]],[1]!Table1[Ionic resistance DIW/Ohm cm2],"",0)</f>
        <v>#REF!</v>
      </c>
      <c r="AG137" s="69" t="e" cm="1">
        <f t="array" ref="AG137">_xlfn.XLOOKUP(Table1[[#This Row],[5 cm2 cell test code]:[5 cm2 cell test code]],[1]!Table1[[Test code]:[Test code]],[1]!Table1[Q_int_frac DIW],"",0)</f>
        <v>#REF!</v>
      </c>
      <c r="AH137" s="69" t="e" cm="1">
        <f t="array" ref="AH137">_xlfn.XLOOKUP(Table1[[#This Row],[5 cm2 cell test code]:[5 cm2 cell test code]],[1]!Table1[[Test code]:[Test code]],[1]!Table1[Ionic resistance 10 mM KOH/Ohm cm2],"",0)</f>
        <v>#REF!</v>
      </c>
      <c r="AI137" s="69" t="e" cm="1">
        <f t="array" ref="AI137">_xlfn.XLOOKUP(Table1[[#This Row],[5 cm2 cell test code]:[5 cm2 cell test code]],[1]!Table1[[Test code]:[Test code]],[1]!Table1[Q_int_frac DIW 10 mM KOH],"",0)</f>
        <v>#REF!</v>
      </c>
      <c r="AJ137" s="69" t="e" cm="1">
        <f t="array" ref="AJ137">_xlfn.XLOOKUP(Table1[[#This Row],[5 cm2 cell test code]:[5 cm2 cell test code]],[1]!Table1[[Test code]:[Test code]],[1]!Table1[DIW conductivity (µS/cm)],"",0)</f>
        <v>#REF!</v>
      </c>
      <c r="AQ137" s="29" t="str">
        <v>VSG02A-23188E1.06</v>
      </c>
      <c r="AR137" s="95"/>
      <c r="AS137" s="95"/>
      <c r="AT137" s="95"/>
      <c r="AU137" s="95"/>
      <c r="AV137" s="95"/>
    </row>
    <row r="138" spans="1:48" s="29" customFormat="1">
      <c r="A138" s="84"/>
      <c r="B138" s="8"/>
      <c r="I138" s="8"/>
      <c r="J138" s="11"/>
      <c r="K138" s="43" t="s">
        <v>59</v>
      </c>
      <c r="L138" s="11"/>
      <c r="M138" s="39"/>
      <c r="N138" s="39"/>
      <c r="O138" s="8"/>
      <c r="P138" s="137"/>
      <c r="U138" s="100">
        <v>20230829</v>
      </c>
      <c r="V138" t="s">
        <v>289</v>
      </c>
      <c r="W138" s="69" t="e" cm="1">
        <f t="array" ref="W138">_xlfn.XLOOKUP(Table1[[#This Row],[5 cm2 cell test code]:[5 cm2 cell test code]],[1]!Table1[[Test code]:[Test code]],[1]!Table1[i @ 1.8 V DIW (A/cm2)],"",0)</f>
        <v>#REF!</v>
      </c>
      <c r="X138" s="69" t="e" cm="1">
        <f t="array" ref="X138">_xlfn.XLOOKUP(Table1[[#This Row],[5 cm2 cell test code]:[5 cm2 cell test code]],[1]!Table1[[Test code]:[Test code]],[1]!Table1[i @ 1.8 V 10 mM KOH (A/cm2)],"",0)</f>
        <v>#REF!</v>
      </c>
      <c r="Y138" s="69" t="e" cm="1">
        <f t="array" ref="Y138">_xlfn.XLOOKUP(Table1[[#This Row],[5 cm2 cell test code]:[5 cm2 cell test code]],[1]!Table1[[Test code]:[Test code]],[1]!Table1[3-E ƞ at 20mAcm-2 (mV)],"",0)</f>
        <v>#REF!</v>
      </c>
      <c r="Z138" s="69" t="e" cm="1">
        <f t="array" ref="Z138">_xlfn.XLOOKUP(Table1[[#This Row],[5 cm2 cell test code]:[5 cm2 cell test code]],[1]!Table1[[Test code]:[Test code]],[1]!Table1[3-E Tafel slope (mV/dec)],"",0)</f>
        <v>#REF!</v>
      </c>
      <c r="AA138" s="69" t="e" cm="1">
        <f t="array" ref="AA138">_xlfn.XLOOKUP(Table1[[#This Row],[5 cm2 cell test code]:[5 cm2 cell test code]],[1]!Table1[[Test code]:[Test code]],[1]!Table1[E @ 100 mA/cm2 DIW/V],"",0)</f>
        <v>#REF!</v>
      </c>
      <c r="AB138" s="69" t="e" cm="1">
        <f t="array" ref="AB138">_xlfn.XLOOKUP(Table1[[#This Row],[5 cm2 cell test code]:[5 cm2 cell test code]],[1]!Table1[[Test code]:[Test code]],[1]!Table1[E @ 100 mA/cm2 10 mM KOH/V],"",0)</f>
        <v>#REF!</v>
      </c>
      <c r="AC138" s="69" t="e" cm="1">
        <f t="array" ref="AC138">_xlfn.XLOOKUP(Table1[[#This Row],[5 cm2 cell test code]:[5 cm2 cell test code]],[1]!Table1[[Test code]:[Test code]],[1]!Table1[Anode ICR/mOhm],"",0)</f>
        <v>#REF!</v>
      </c>
      <c r="AD138" s="69" t="e" cm="1">
        <f t="array" ref="AD138">_xlfn.XLOOKUP(Table1[[#This Row],[5 cm2 cell test code]:[5 cm2 cell test code]],[1]!Table1[[Test code]:[Test code]],[1]!Table1[HFR DIW/ mOhm cm2],"",0)</f>
        <v>#REF!</v>
      </c>
      <c r="AE138" s="69" t="e" cm="1">
        <f t="array" ref="AE138">_xlfn.XLOOKUP(Table1[[#This Row],[5 cm2 cell test code]:[5 cm2 cell test code]],[1]!Table1[[Test code]:[Test code]],[1]!Table1[HFR 10 mM KOH/ mOhm cm2],"",0)</f>
        <v>#REF!</v>
      </c>
      <c r="AF138" s="69" t="e" cm="1">
        <f t="array" ref="AF138">_xlfn.XLOOKUP(Table1[[#This Row],[5 cm2 cell test code]:[5 cm2 cell test code]],[1]!Table1[[Test code]:[Test code]],[1]!Table1[Ionic resistance DIW/Ohm cm2],"",0)</f>
        <v>#REF!</v>
      </c>
      <c r="AG138" s="69" t="e" cm="1">
        <f t="array" ref="AG138">_xlfn.XLOOKUP(Table1[[#This Row],[5 cm2 cell test code]:[5 cm2 cell test code]],[1]!Table1[[Test code]:[Test code]],[1]!Table1[Q_int_frac DIW],"",0)</f>
        <v>#REF!</v>
      </c>
      <c r="AH138" s="69" t="e" cm="1">
        <f t="array" ref="AH138">_xlfn.XLOOKUP(Table1[[#This Row],[5 cm2 cell test code]:[5 cm2 cell test code]],[1]!Table1[[Test code]:[Test code]],[1]!Table1[Ionic resistance 10 mM KOH/Ohm cm2],"",0)</f>
        <v>#REF!</v>
      </c>
      <c r="AI138" s="69" t="e" cm="1">
        <f t="array" ref="AI138">_xlfn.XLOOKUP(Table1[[#This Row],[5 cm2 cell test code]:[5 cm2 cell test code]],[1]!Table1[[Test code]:[Test code]],[1]!Table1[Q_int_frac DIW 10 mM KOH],"",0)</f>
        <v>#REF!</v>
      </c>
      <c r="AJ138" s="69" t="e" cm="1">
        <f t="array" ref="AJ138">_xlfn.XLOOKUP(Table1[[#This Row],[5 cm2 cell test code]:[5 cm2 cell test code]],[1]!Table1[[Test code]:[Test code]],[1]!Table1[DIW conductivity (µS/cm)],"",0)</f>
        <v>#REF!</v>
      </c>
      <c r="AQ138" s="29" t="str">
        <v>VSG02A-23188E1.07</v>
      </c>
      <c r="AR138" s="95"/>
      <c r="AS138" s="95"/>
      <c r="AT138" s="95"/>
      <c r="AU138" s="95"/>
      <c r="AV138" s="95"/>
    </row>
    <row r="139" spans="1:48" s="29" customFormat="1">
      <c r="A139" s="84"/>
      <c r="B139" s="8"/>
      <c r="I139" s="8"/>
      <c r="J139" s="11"/>
      <c r="K139" s="43" t="s">
        <v>59</v>
      </c>
      <c r="L139" s="11"/>
      <c r="M139" s="39"/>
      <c r="N139" s="39"/>
      <c r="O139" s="8"/>
      <c r="P139" s="137"/>
      <c r="U139" s="100">
        <v>20230830</v>
      </c>
      <c r="V139" t="s">
        <v>290</v>
      </c>
      <c r="W139" s="69" t="e" cm="1">
        <f t="array" ref="W139">_xlfn.XLOOKUP(Table1[[#This Row],[5 cm2 cell test code]:[5 cm2 cell test code]],[1]!Table1[[Test code]:[Test code]],[1]!Table1[i @ 1.8 V DIW (A/cm2)],"",0)</f>
        <v>#REF!</v>
      </c>
      <c r="X139" s="69" t="e" cm="1">
        <f t="array" ref="X139">_xlfn.XLOOKUP(Table1[[#This Row],[5 cm2 cell test code]:[5 cm2 cell test code]],[1]!Table1[[Test code]:[Test code]],[1]!Table1[i @ 1.8 V 10 mM KOH (A/cm2)],"",0)</f>
        <v>#REF!</v>
      </c>
      <c r="Y139" s="69" t="e" cm="1">
        <f t="array" ref="Y139">_xlfn.XLOOKUP(Table1[[#This Row],[5 cm2 cell test code]:[5 cm2 cell test code]],[1]!Table1[[Test code]:[Test code]],[1]!Table1[3-E ƞ at 20mAcm-2 (mV)],"",0)</f>
        <v>#REF!</v>
      </c>
      <c r="Z139" s="69" t="e" cm="1">
        <f t="array" ref="Z139">_xlfn.XLOOKUP(Table1[[#This Row],[5 cm2 cell test code]:[5 cm2 cell test code]],[1]!Table1[[Test code]:[Test code]],[1]!Table1[3-E Tafel slope (mV/dec)],"",0)</f>
        <v>#REF!</v>
      </c>
      <c r="AA139" s="69" t="e" cm="1">
        <f t="array" ref="AA139">_xlfn.XLOOKUP(Table1[[#This Row],[5 cm2 cell test code]:[5 cm2 cell test code]],[1]!Table1[[Test code]:[Test code]],[1]!Table1[E @ 100 mA/cm2 DIW/V],"",0)</f>
        <v>#REF!</v>
      </c>
      <c r="AB139" s="69" t="e" cm="1">
        <f t="array" ref="AB139">_xlfn.XLOOKUP(Table1[[#This Row],[5 cm2 cell test code]:[5 cm2 cell test code]],[1]!Table1[[Test code]:[Test code]],[1]!Table1[E @ 100 mA/cm2 10 mM KOH/V],"",0)</f>
        <v>#REF!</v>
      </c>
      <c r="AC139" s="69" t="e" cm="1">
        <f t="array" ref="AC139">_xlfn.XLOOKUP(Table1[[#This Row],[5 cm2 cell test code]:[5 cm2 cell test code]],[1]!Table1[[Test code]:[Test code]],[1]!Table1[Anode ICR/mOhm],"",0)</f>
        <v>#REF!</v>
      </c>
      <c r="AD139" s="69" t="e" cm="1">
        <f t="array" ref="AD139">_xlfn.XLOOKUP(Table1[[#This Row],[5 cm2 cell test code]:[5 cm2 cell test code]],[1]!Table1[[Test code]:[Test code]],[1]!Table1[HFR DIW/ mOhm cm2],"",0)</f>
        <v>#REF!</v>
      </c>
      <c r="AE139" s="69" t="e" cm="1">
        <f t="array" ref="AE139">_xlfn.XLOOKUP(Table1[[#This Row],[5 cm2 cell test code]:[5 cm2 cell test code]],[1]!Table1[[Test code]:[Test code]],[1]!Table1[HFR 10 mM KOH/ mOhm cm2],"",0)</f>
        <v>#REF!</v>
      </c>
      <c r="AF139" s="69" t="e" cm="1">
        <f t="array" ref="AF139">_xlfn.XLOOKUP(Table1[[#This Row],[5 cm2 cell test code]:[5 cm2 cell test code]],[1]!Table1[[Test code]:[Test code]],[1]!Table1[Ionic resistance DIW/Ohm cm2],"",0)</f>
        <v>#REF!</v>
      </c>
      <c r="AG139" s="69" t="e" cm="1">
        <f t="array" ref="AG139">_xlfn.XLOOKUP(Table1[[#This Row],[5 cm2 cell test code]:[5 cm2 cell test code]],[1]!Table1[[Test code]:[Test code]],[1]!Table1[Q_int_frac DIW],"",0)</f>
        <v>#REF!</v>
      </c>
      <c r="AH139" s="69" t="e" cm="1">
        <f t="array" ref="AH139">_xlfn.XLOOKUP(Table1[[#This Row],[5 cm2 cell test code]:[5 cm2 cell test code]],[1]!Table1[[Test code]:[Test code]],[1]!Table1[Ionic resistance 10 mM KOH/Ohm cm2],"",0)</f>
        <v>#REF!</v>
      </c>
      <c r="AI139" s="69" t="e" cm="1">
        <f t="array" ref="AI139">_xlfn.XLOOKUP(Table1[[#This Row],[5 cm2 cell test code]:[5 cm2 cell test code]],[1]!Table1[[Test code]:[Test code]],[1]!Table1[Q_int_frac DIW 10 mM KOH],"",0)</f>
        <v>#REF!</v>
      </c>
      <c r="AJ139" s="69" t="e" cm="1">
        <f t="array" ref="AJ139">_xlfn.XLOOKUP(Table1[[#This Row],[5 cm2 cell test code]:[5 cm2 cell test code]],[1]!Table1[[Test code]:[Test code]],[1]!Table1[DIW conductivity (µS/cm)],"",0)</f>
        <v>#REF!</v>
      </c>
      <c r="AQ139" s="29" t="str">
        <v>VSG02A-23188E1.08</v>
      </c>
      <c r="AR139" s="95"/>
      <c r="AS139" s="95"/>
      <c r="AT139" s="95"/>
      <c r="AU139" s="95"/>
      <c r="AV139" s="95"/>
    </row>
    <row r="140" spans="1:48" s="29" customFormat="1">
      <c r="A140" s="84"/>
      <c r="B140" s="8" t="s">
        <v>291</v>
      </c>
      <c r="C140" s="29" t="s">
        <v>292</v>
      </c>
      <c r="I140" s="8"/>
      <c r="J140" s="11" t="s">
        <v>134</v>
      </c>
      <c r="K140" s="43" t="s">
        <v>59</v>
      </c>
      <c r="L140" s="11"/>
      <c r="M140" s="39"/>
      <c r="N140" s="39">
        <v>3.56</v>
      </c>
      <c r="O140" s="8"/>
      <c r="P140" s="137">
        <v>1.0668</v>
      </c>
      <c r="U140" s="101"/>
      <c r="V140" s="101"/>
      <c r="W140" s="69" t="e" cm="1">
        <f t="array" ref="W140">_xlfn.XLOOKUP(Table1[[#This Row],[5 cm2 cell test code]:[5 cm2 cell test code]],[1]!Table1[[Test code]:[Test code]],[1]!Table1[i @ 1.8 V DIW (A/cm2)],"",0)</f>
        <v>#REF!</v>
      </c>
      <c r="X140" s="69" t="e" cm="1">
        <f t="array" ref="X140">_xlfn.XLOOKUP(Table1[[#This Row],[5 cm2 cell test code]:[5 cm2 cell test code]],[1]!Table1[[Test code]:[Test code]],[1]!Table1[i @ 1.8 V 10 mM KOH (A/cm2)],"",0)</f>
        <v>#REF!</v>
      </c>
      <c r="Y140" s="69" t="e" cm="1">
        <f t="array" ref="Y140">_xlfn.XLOOKUP(Table1[[#This Row],[5 cm2 cell test code]:[5 cm2 cell test code]],[1]!Table1[[Test code]:[Test code]],[1]!Table1[3-E ƞ at 20mAcm-2 (mV)],"",0)</f>
        <v>#REF!</v>
      </c>
      <c r="Z140" s="69" t="e" cm="1">
        <f t="array" ref="Z140">_xlfn.XLOOKUP(Table1[[#This Row],[5 cm2 cell test code]:[5 cm2 cell test code]],[1]!Table1[[Test code]:[Test code]],[1]!Table1[3-E Tafel slope (mV/dec)],"",0)</f>
        <v>#REF!</v>
      </c>
      <c r="AA140" s="69" t="e" cm="1">
        <f t="array" ref="AA140">_xlfn.XLOOKUP(Table1[[#This Row],[5 cm2 cell test code]:[5 cm2 cell test code]],[1]!Table1[[Test code]:[Test code]],[1]!Table1[E @ 100 mA/cm2 DIW/V],"",0)</f>
        <v>#REF!</v>
      </c>
      <c r="AB140" s="69" t="e" cm="1">
        <f t="array" ref="AB140">_xlfn.XLOOKUP(Table1[[#This Row],[5 cm2 cell test code]:[5 cm2 cell test code]],[1]!Table1[[Test code]:[Test code]],[1]!Table1[E @ 100 mA/cm2 10 mM KOH/V],"",0)</f>
        <v>#REF!</v>
      </c>
      <c r="AC140" s="69" t="e" cm="1">
        <f t="array" ref="AC140">_xlfn.XLOOKUP(Table1[[#This Row],[5 cm2 cell test code]:[5 cm2 cell test code]],[1]!Table1[[Test code]:[Test code]],[1]!Table1[Anode ICR/mOhm],"",0)</f>
        <v>#REF!</v>
      </c>
      <c r="AD140" s="69" t="e" cm="1">
        <f t="array" ref="AD140">_xlfn.XLOOKUP(Table1[[#This Row],[5 cm2 cell test code]:[5 cm2 cell test code]],[1]!Table1[[Test code]:[Test code]],[1]!Table1[HFR DIW/ mOhm cm2],"",0)</f>
        <v>#REF!</v>
      </c>
      <c r="AE140" s="69" t="e" cm="1">
        <f t="array" ref="AE140">_xlfn.XLOOKUP(Table1[[#This Row],[5 cm2 cell test code]:[5 cm2 cell test code]],[1]!Table1[[Test code]:[Test code]],[1]!Table1[HFR 10 mM KOH/ mOhm cm2],"",0)</f>
        <v>#REF!</v>
      </c>
      <c r="AF140" s="69" t="e" cm="1">
        <f t="array" ref="AF140">_xlfn.XLOOKUP(Table1[[#This Row],[5 cm2 cell test code]:[5 cm2 cell test code]],[1]!Table1[[Test code]:[Test code]],[1]!Table1[Ionic resistance DIW/Ohm cm2],"",0)</f>
        <v>#REF!</v>
      </c>
      <c r="AG140" s="69" t="e" cm="1">
        <f t="array" ref="AG140">_xlfn.XLOOKUP(Table1[[#This Row],[5 cm2 cell test code]:[5 cm2 cell test code]],[1]!Table1[[Test code]:[Test code]],[1]!Table1[Q_int_frac DIW],"",0)</f>
        <v>#REF!</v>
      </c>
      <c r="AH140" s="69" t="e" cm="1">
        <f t="array" ref="AH140">_xlfn.XLOOKUP(Table1[[#This Row],[5 cm2 cell test code]:[5 cm2 cell test code]],[1]!Table1[[Test code]:[Test code]],[1]!Table1[Ionic resistance 10 mM KOH/Ohm cm2],"",0)</f>
        <v>#REF!</v>
      </c>
      <c r="AI140" s="69" t="e" cm="1">
        <f t="array" ref="AI140">_xlfn.XLOOKUP(Table1[[#This Row],[5 cm2 cell test code]:[5 cm2 cell test code]],[1]!Table1[[Test code]:[Test code]],[1]!Table1[Q_int_frac DIW 10 mM KOH],"",0)</f>
        <v>#REF!</v>
      </c>
      <c r="AJ140" s="69" t="e" cm="1">
        <f t="array" ref="AJ140">_xlfn.XLOOKUP(Table1[[#This Row],[5 cm2 cell test code]:[5 cm2 cell test code]],[1]!Table1[[Test code]:[Test code]],[1]!Table1[DIW conductivity (µS/cm)],"",0)</f>
        <v>#REF!</v>
      </c>
      <c r="AQ140" s="29" t="str">
        <v>VSG02A-23188E1.09</v>
      </c>
      <c r="AR140" s="95">
        <f>COUNTIFS(Table1[Anode PN (Stack/cell electrodes)],AQ140,Table1[ƞ at 20mAcm-2 (mV)],"&lt;&gt;")</f>
        <v>0</v>
      </c>
      <c r="AS140" s="95">
        <f>COUNTIFS(Table1[Anode PN (Stack/cell electrodes)],AQ140,Table1[i @ 1.8 V DIW (A/cm2)],"&lt;&gt;")</f>
        <v>1</v>
      </c>
      <c r="AT140" s="95">
        <f>COUNTIFS(Table1[Anode PN (Stack/cell electrodes)],AQ140,Table1[i at 1.8 V 10 mM KOH (A/cm2)],"&lt;&gt;")</f>
        <v>1</v>
      </c>
      <c r="AU140" s="95">
        <f>COUNTIFS(Table1[Anode PN (Stack/cell electrodes)],AQ140,Table1[Ionic resistance DIW/Ohm cm2],"&lt;&gt;")</f>
        <v>1</v>
      </c>
      <c r="AV140" s="95">
        <f>COUNTIFS(Table1[Anode PN (Stack/cell electrodes)],AQ140,Table1[Ionic resistance 10 mM KOH/Ohm cm2],"&lt;&gt;")</f>
        <v>1</v>
      </c>
    </row>
    <row r="141" spans="1:48">
      <c r="A141" s="81"/>
      <c r="K141" s="43" t="s">
        <v>59</v>
      </c>
      <c r="U141" s="101"/>
      <c r="V141" s="101"/>
      <c r="W141" s="69" t="e" cm="1">
        <f t="array" ref="W141">_xlfn.XLOOKUP(Table1[[#This Row],[5 cm2 cell test code]:[5 cm2 cell test code]],[1]!Table1[[Test code]:[Test code]],[1]!Table1[i @ 1.8 V DIW (A/cm2)],"",0)</f>
        <v>#REF!</v>
      </c>
      <c r="X141" s="69" t="e" cm="1">
        <f t="array" ref="X141">_xlfn.XLOOKUP(Table1[[#This Row],[5 cm2 cell test code]:[5 cm2 cell test code]],[1]!Table1[[Test code]:[Test code]],[1]!Table1[i @ 1.8 V 10 mM KOH (A/cm2)],"",0)</f>
        <v>#REF!</v>
      </c>
      <c r="Y141" s="69" t="e" cm="1">
        <f t="array" ref="Y141">_xlfn.XLOOKUP(Table1[[#This Row],[5 cm2 cell test code]:[5 cm2 cell test code]],[1]!Table1[[Test code]:[Test code]],[1]!Table1[3-E ƞ at 20mAcm-2 (mV)],"",0)</f>
        <v>#REF!</v>
      </c>
      <c r="Z141" s="69" t="e" cm="1">
        <f t="array" ref="Z141">_xlfn.XLOOKUP(Table1[[#This Row],[5 cm2 cell test code]:[5 cm2 cell test code]],[1]!Table1[[Test code]:[Test code]],[1]!Table1[3-E Tafel slope (mV/dec)],"",0)</f>
        <v>#REF!</v>
      </c>
      <c r="AA141" s="69" t="e" cm="1">
        <f t="array" ref="AA141">_xlfn.XLOOKUP(Table1[[#This Row],[5 cm2 cell test code]:[5 cm2 cell test code]],[1]!Table1[[Test code]:[Test code]],[1]!Table1[E @ 100 mA/cm2 DIW/V],"",0)</f>
        <v>#REF!</v>
      </c>
      <c r="AB141" s="69" t="e" cm="1">
        <f t="array" ref="AB141">_xlfn.XLOOKUP(Table1[[#This Row],[5 cm2 cell test code]:[5 cm2 cell test code]],[1]!Table1[[Test code]:[Test code]],[1]!Table1[E @ 100 mA/cm2 10 mM KOH/V],"",0)</f>
        <v>#REF!</v>
      </c>
      <c r="AC141" s="69" t="e" cm="1">
        <f t="array" ref="AC141">_xlfn.XLOOKUP(Table1[[#This Row],[5 cm2 cell test code]:[5 cm2 cell test code]],[1]!Table1[[Test code]:[Test code]],[1]!Table1[Anode ICR/mOhm],"",0)</f>
        <v>#REF!</v>
      </c>
      <c r="AD141" s="69" t="e" cm="1">
        <f t="array" ref="AD141">_xlfn.XLOOKUP(Table1[[#This Row],[5 cm2 cell test code]:[5 cm2 cell test code]],[1]!Table1[[Test code]:[Test code]],[1]!Table1[HFR DIW/ mOhm cm2],"",0)</f>
        <v>#REF!</v>
      </c>
      <c r="AE141" s="69" t="e" cm="1">
        <f t="array" ref="AE141">_xlfn.XLOOKUP(Table1[[#This Row],[5 cm2 cell test code]:[5 cm2 cell test code]],[1]!Table1[[Test code]:[Test code]],[1]!Table1[HFR 10 mM KOH/ mOhm cm2],"",0)</f>
        <v>#REF!</v>
      </c>
      <c r="AF141" s="69" t="e" cm="1">
        <f t="array" ref="AF141">_xlfn.XLOOKUP(Table1[[#This Row],[5 cm2 cell test code]:[5 cm2 cell test code]],[1]!Table1[[Test code]:[Test code]],[1]!Table1[Ionic resistance DIW/Ohm cm2],"",0)</f>
        <v>#REF!</v>
      </c>
      <c r="AG141" s="69" t="e" cm="1">
        <f t="array" ref="AG141">_xlfn.XLOOKUP(Table1[[#This Row],[5 cm2 cell test code]:[5 cm2 cell test code]],[1]!Table1[[Test code]:[Test code]],[1]!Table1[Q_int_frac DIW],"",0)</f>
        <v>#REF!</v>
      </c>
      <c r="AH141" s="69" t="e" cm="1">
        <f t="array" ref="AH141">_xlfn.XLOOKUP(Table1[[#This Row],[5 cm2 cell test code]:[5 cm2 cell test code]],[1]!Table1[[Test code]:[Test code]],[1]!Table1[Ionic resistance 10 mM KOH/Ohm cm2],"",0)</f>
        <v>#REF!</v>
      </c>
      <c r="AI141" s="69" t="e" cm="1">
        <f t="array" ref="AI141">_xlfn.XLOOKUP(Table1[[#This Row],[5 cm2 cell test code]:[5 cm2 cell test code]],[1]!Table1[[Test code]:[Test code]],[1]!Table1[Q_int_frac DIW 10 mM KOH],"",0)</f>
        <v>#REF!</v>
      </c>
      <c r="AJ141" s="69" t="e" cm="1">
        <f t="array" ref="AJ141">_xlfn.XLOOKUP(Table1[[#This Row],[5 cm2 cell test code]:[5 cm2 cell test code]],[1]!Table1[[Test code]:[Test code]],[1]!Table1[DIW conductivity (µS/cm)],"",0)</f>
        <v>#REF!</v>
      </c>
      <c r="AQ141" s="4" t="str">
        <v>VSG02A-23188E1.10</v>
      </c>
      <c r="AR141" s="95">
        <f>COUNTIFS(Table1[Anode PN (Stack/cell electrodes)],AQ141,Table1[ƞ at 20mAcm-2 (mV)],"&lt;&gt;")</f>
        <v>0</v>
      </c>
      <c r="AS141" s="95">
        <f>COUNTIFS(Table1[Anode PN (Stack/cell electrodes)],AQ141,Table1[i @ 1.8 V DIW (A/cm2)],"&lt;&gt;")</f>
        <v>1</v>
      </c>
      <c r="AT141" s="95">
        <f>COUNTIFS(Table1[Anode PN (Stack/cell electrodes)],AQ141,Table1[i at 1.8 V 10 mM KOH (A/cm2)],"&lt;&gt;")</f>
        <v>1</v>
      </c>
      <c r="AU141" s="95">
        <f>COUNTIFS(Table1[Anode PN (Stack/cell electrodes)],AQ141,Table1[Ionic resistance DIW/Ohm cm2],"&lt;&gt;")</f>
        <v>1</v>
      </c>
      <c r="AV141" s="95">
        <f>COUNTIFS(Table1[Anode PN (Stack/cell electrodes)],AQ141,Table1[Ionic resistance 10 mM KOH/Ohm cm2],"&lt;&gt;")</f>
        <v>1</v>
      </c>
    </row>
    <row r="142" spans="1:48">
      <c r="A142" s="81"/>
      <c r="B142" s="11" t="s">
        <v>293</v>
      </c>
      <c r="C142" s="4" t="s">
        <v>294</v>
      </c>
      <c r="I142" s="11" t="s">
        <v>114</v>
      </c>
      <c r="J142" s="11" t="s">
        <v>134</v>
      </c>
      <c r="K142" s="43" t="s">
        <v>59</v>
      </c>
      <c r="M142" s="13">
        <f>(44.38-44.15)*1000/(21.5*220)</f>
        <v>4.8625792811840166E-2</v>
      </c>
      <c r="U142" s="101"/>
      <c r="V142" s="101"/>
      <c r="W142" s="69" t="e" cm="1">
        <f t="array" ref="W142">_xlfn.XLOOKUP(Table1[[#This Row],[5 cm2 cell test code]:[5 cm2 cell test code]],[1]!Table1[[Test code]:[Test code]],[1]!Table1[i @ 1.8 V DIW (A/cm2)],"",0)</f>
        <v>#REF!</v>
      </c>
      <c r="X142" s="69" t="e" cm="1">
        <f t="array" ref="X142">_xlfn.XLOOKUP(Table1[[#This Row],[5 cm2 cell test code]:[5 cm2 cell test code]],[1]!Table1[[Test code]:[Test code]],[1]!Table1[i @ 1.8 V 10 mM KOH (A/cm2)],"",0)</f>
        <v>#REF!</v>
      </c>
      <c r="Y142" s="69" t="e" cm="1">
        <f t="array" ref="Y142">_xlfn.XLOOKUP(Table1[[#This Row],[5 cm2 cell test code]:[5 cm2 cell test code]],[1]!Table1[[Test code]:[Test code]],[1]!Table1[3-E ƞ at 20mAcm-2 (mV)],"",0)</f>
        <v>#REF!</v>
      </c>
      <c r="Z142" s="69" t="e" cm="1">
        <f t="array" ref="Z142">_xlfn.XLOOKUP(Table1[[#This Row],[5 cm2 cell test code]:[5 cm2 cell test code]],[1]!Table1[[Test code]:[Test code]],[1]!Table1[3-E Tafel slope (mV/dec)],"",0)</f>
        <v>#REF!</v>
      </c>
      <c r="AA142" s="69" t="e" cm="1">
        <f t="array" ref="AA142">_xlfn.XLOOKUP(Table1[[#This Row],[5 cm2 cell test code]:[5 cm2 cell test code]],[1]!Table1[[Test code]:[Test code]],[1]!Table1[E @ 100 mA/cm2 DIW/V],"",0)</f>
        <v>#REF!</v>
      </c>
      <c r="AB142" s="69" t="e" cm="1">
        <f t="array" ref="AB142">_xlfn.XLOOKUP(Table1[[#This Row],[5 cm2 cell test code]:[5 cm2 cell test code]],[1]!Table1[[Test code]:[Test code]],[1]!Table1[E @ 100 mA/cm2 10 mM KOH/V],"",0)</f>
        <v>#REF!</v>
      </c>
      <c r="AC142" s="69" t="e" cm="1">
        <f t="array" ref="AC142">_xlfn.XLOOKUP(Table1[[#This Row],[5 cm2 cell test code]:[5 cm2 cell test code]],[1]!Table1[[Test code]:[Test code]],[1]!Table1[Anode ICR/mOhm],"",0)</f>
        <v>#REF!</v>
      </c>
      <c r="AD142" s="69" t="e" cm="1">
        <f t="array" ref="AD142">_xlfn.XLOOKUP(Table1[[#This Row],[5 cm2 cell test code]:[5 cm2 cell test code]],[1]!Table1[[Test code]:[Test code]],[1]!Table1[HFR DIW/ mOhm cm2],"",0)</f>
        <v>#REF!</v>
      </c>
      <c r="AE142" s="69" t="e" cm="1">
        <f t="array" ref="AE142">_xlfn.XLOOKUP(Table1[[#This Row],[5 cm2 cell test code]:[5 cm2 cell test code]],[1]!Table1[[Test code]:[Test code]],[1]!Table1[HFR 10 mM KOH/ mOhm cm2],"",0)</f>
        <v>#REF!</v>
      </c>
      <c r="AF142" s="69" t="e" cm="1">
        <f t="array" ref="AF142">_xlfn.XLOOKUP(Table1[[#This Row],[5 cm2 cell test code]:[5 cm2 cell test code]],[1]!Table1[[Test code]:[Test code]],[1]!Table1[Ionic resistance DIW/Ohm cm2],"",0)</f>
        <v>#REF!</v>
      </c>
      <c r="AG142" s="69" t="e" cm="1">
        <f t="array" ref="AG142">_xlfn.XLOOKUP(Table1[[#This Row],[5 cm2 cell test code]:[5 cm2 cell test code]],[1]!Table1[[Test code]:[Test code]],[1]!Table1[Q_int_frac DIW],"",0)</f>
        <v>#REF!</v>
      </c>
      <c r="AH142" s="69" t="e" cm="1">
        <f t="array" ref="AH142">_xlfn.XLOOKUP(Table1[[#This Row],[5 cm2 cell test code]:[5 cm2 cell test code]],[1]!Table1[[Test code]:[Test code]],[1]!Table1[Ionic resistance 10 mM KOH/Ohm cm2],"",0)</f>
        <v>#REF!</v>
      </c>
      <c r="AI142" s="69" t="e" cm="1">
        <f t="array" ref="AI142">_xlfn.XLOOKUP(Table1[[#This Row],[5 cm2 cell test code]:[5 cm2 cell test code]],[1]!Table1[[Test code]:[Test code]],[1]!Table1[Q_int_frac DIW 10 mM KOH],"",0)</f>
        <v>#REF!</v>
      </c>
      <c r="AJ142" s="69" t="e" cm="1">
        <f t="array" ref="AJ142">_xlfn.XLOOKUP(Table1[[#This Row],[5 cm2 cell test code]:[5 cm2 cell test code]],[1]!Table1[[Test code]:[Test code]],[1]!Table1[DIW conductivity (µS/cm)],"",0)</f>
        <v>#REF!</v>
      </c>
      <c r="AQ142" s="4" t="str">
        <v>VSG02A-23192E1</v>
      </c>
      <c r="AR142" s="95">
        <f>COUNTIFS(Table1[Anode PN (Stack/cell electrodes)],AQ142,Table1[ƞ at 20mAcm-2 (mV)],"&lt;&gt;")</f>
        <v>0</v>
      </c>
      <c r="AS142" s="95">
        <f>COUNTIFS(Table1[Anode PN (Stack/cell electrodes)],AQ142,Table1[i @ 1.8 V DIW (A/cm2)],"&lt;&gt;")</f>
        <v>1</v>
      </c>
      <c r="AT142" s="95">
        <f>COUNTIFS(Table1[Anode PN (Stack/cell electrodes)],AQ142,Table1[i at 1.8 V 10 mM KOH (A/cm2)],"&lt;&gt;")</f>
        <v>1</v>
      </c>
      <c r="AU142" s="95">
        <f>COUNTIFS(Table1[Anode PN (Stack/cell electrodes)],AQ142,Table1[Ionic resistance DIW/Ohm cm2],"&lt;&gt;")</f>
        <v>1</v>
      </c>
      <c r="AV142" s="95">
        <f>COUNTIFS(Table1[Anode PN (Stack/cell electrodes)],AQ142,Table1[Ionic resistance 10 mM KOH/Ohm cm2],"&lt;&gt;")</f>
        <v>1</v>
      </c>
    </row>
    <row r="143" spans="1:48">
      <c r="A143" s="81">
        <v>17</v>
      </c>
      <c r="B143" s="11" t="s">
        <v>295</v>
      </c>
      <c r="C143" s="4" t="s">
        <v>296</v>
      </c>
      <c r="K143" s="43" t="s">
        <v>59</v>
      </c>
      <c r="U143" s="101"/>
      <c r="V143" s="101"/>
      <c r="W143" s="69" t="e" cm="1">
        <f t="array" ref="W143">_xlfn.XLOOKUP(Table1[[#This Row],[5 cm2 cell test code]:[5 cm2 cell test code]],[1]!Table1[[Test code]:[Test code]],[1]!Table1[i @ 1.8 V DIW (A/cm2)],"",0)</f>
        <v>#REF!</v>
      </c>
      <c r="X143" s="69" t="e" cm="1">
        <f t="array" ref="X143">_xlfn.XLOOKUP(Table1[[#This Row],[5 cm2 cell test code]:[5 cm2 cell test code]],[1]!Table1[[Test code]:[Test code]],[1]!Table1[i @ 1.8 V 10 mM KOH (A/cm2)],"",0)</f>
        <v>#REF!</v>
      </c>
      <c r="Y143" s="69" t="e" cm="1">
        <f t="array" ref="Y143">_xlfn.XLOOKUP(Table1[[#This Row],[5 cm2 cell test code]:[5 cm2 cell test code]],[1]!Table1[[Test code]:[Test code]],[1]!Table1[3-E ƞ at 20mAcm-2 (mV)],"",0)</f>
        <v>#REF!</v>
      </c>
      <c r="Z143" s="69" t="e" cm="1">
        <f t="array" ref="Z143">_xlfn.XLOOKUP(Table1[[#This Row],[5 cm2 cell test code]:[5 cm2 cell test code]],[1]!Table1[[Test code]:[Test code]],[1]!Table1[3-E Tafel slope (mV/dec)],"",0)</f>
        <v>#REF!</v>
      </c>
      <c r="AA143" s="69" t="e" cm="1">
        <f t="array" ref="AA143">_xlfn.XLOOKUP(Table1[[#This Row],[5 cm2 cell test code]:[5 cm2 cell test code]],[1]!Table1[[Test code]:[Test code]],[1]!Table1[E @ 100 mA/cm2 DIW/V],"",0)</f>
        <v>#REF!</v>
      </c>
      <c r="AB143" s="69" t="e" cm="1">
        <f t="array" ref="AB143">_xlfn.XLOOKUP(Table1[[#This Row],[5 cm2 cell test code]:[5 cm2 cell test code]],[1]!Table1[[Test code]:[Test code]],[1]!Table1[E @ 100 mA/cm2 10 mM KOH/V],"",0)</f>
        <v>#REF!</v>
      </c>
      <c r="AC143" s="69" t="e" cm="1">
        <f t="array" ref="AC143">_xlfn.XLOOKUP(Table1[[#This Row],[5 cm2 cell test code]:[5 cm2 cell test code]],[1]!Table1[[Test code]:[Test code]],[1]!Table1[Anode ICR/mOhm],"",0)</f>
        <v>#REF!</v>
      </c>
      <c r="AD143" s="69" t="e" cm="1">
        <f t="array" ref="AD143">_xlfn.XLOOKUP(Table1[[#This Row],[5 cm2 cell test code]:[5 cm2 cell test code]],[1]!Table1[[Test code]:[Test code]],[1]!Table1[HFR DIW/ mOhm cm2],"",0)</f>
        <v>#REF!</v>
      </c>
      <c r="AE143" s="69" t="e" cm="1">
        <f t="array" ref="AE143">_xlfn.XLOOKUP(Table1[[#This Row],[5 cm2 cell test code]:[5 cm2 cell test code]],[1]!Table1[[Test code]:[Test code]],[1]!Table1[HFR 10 mM KOH/ mOhm cm2],"",0)</f>
        <v>#REF!</v>
      </c>
      <c r="AF143" s="69" t="e" cm="1">
        <f t="array" ref="AF143">_xlfn.XLOOKUP(Table1[[#This Row],[5 cm2 cell test code]:[5 cm2 cell test code]],[1]!Table1[[Test code]:[Test code]],[1]!Table1[Ionic resistance DIW/Ohm cm2],"",0)</f>
        <v>#REF!</v>
      </c>
      <c r="AG143" s="69" t="e" cm="1">
        <f t="array" ref="AG143">_xlfn.XLOOKUP(Table1[[#This Row],[5 cm2 cell test code]:[5 cm2 cell test code]],[1]!Table1[[Test code]:[Test code]],[1]!Table1[Q_int_frac DIW],"",0)</f>
        <v>#REF!</v>
      </c>
      <c r="AH143" s="69" t="e" cm="1">
        <f t="array" ref="AH143">_xlfn.XLOOKUP(Table1[[#This Row],[5 cm2 cell test code]:[5 cm2 cell test code]],[1]!Table1[[Test code]:[Test code]],[1]!Table1[Ionic resistance 10 mM KOH/Ohm cm2],"",0)</f>
        <v>#REF!</v>
      </c>
      <c r="AI143" s="69" t="e" cm="1">
        <f t="array" ref="AI143">_xlfn.XLOOKUP(Table1[[#This Row],[5 cm2 cell test code]:[5 cm2 cell test code]],[1]!Table1[[Test code]:[Test code]],[1]!Table1[Q_int_frac DIW 10 mM KOH],"",0)</f>
        <v>#REF!</v>
      </c>
      <c r="AJ143" s="69" t="e" cm="1">
        <f t="array" ref="AJ143">_xlfn.XLOOKUP(Table1[[#This Row],[5 cm2 cell test code]:[5 cm2 cell test code]],[1]!Table1[[Test code]:[Test code]],[1]!Table1[DIW conductivity (µS/cm)],"",0)</f>
        <v>#REF!</v>
      </c>
      <c r="AQ143" s="4" t="str">
        <v>VSG02A-23193E1</v>
      </c>
      <c r="AR143" s="95">
        <f>COUNTIFS(Table1[Anode PN (Stack/cell electrodes)],AQ143,Table1[ƞ at 20mAcm-2 (mV)],"&lt;&gt;")</f>
        <v>0</v>
      </c>
      <c r="AS143" s="95">
        <f>COUNTIFS(Table1[Anode PN (Stack/cell electrodes)],AQ143,Table1[i @ 1.8 V DIW (A/cm2)],"&lt;&gt;")</f>
        <v>1</v>
      </c>
      <c r="AT143" s="95">
        <f>COUNTIFS(Table1[Anode PN (Stack/cell electrodes)],AQ143,Table1[i at 1.8 V 10 mM KOH (A/cm2)],"&lt;&gt;")</f>
        <v>1</v>
      </c>
      <c r="AU143" s="95">
        <f>COUNTIFS(Table1[Anode PN (Stack/cell electrodes)],AQ143,Table1[Ionic resistance DIW/Ohm cm2],"&lt;&gt;")</f>
        <v>1</v>
      </c>
      <c r="AV143" s="95">
        <f>COUNTIFS(Table1[Anode PN (Stack/cell electrodes)],AQ143,Table1[Ionic resistance 10 mM KOH/Ohm cm2],"&lt;&gt;")</f>
        <v>1</v>
      </c>
    </row>
    <row r="144" spans="1:48">
      <c r="A144" s="81">
        <v>17</v>
      </c>
      <c r="B144" s="11" t="s">
        <v>297</v>
      </c>
      <c r="C144" s="4" t="s">
        <v>298</v>
      </c>
      <c r="K144" s="43" t="s">
        <v>59</v>
      </c>
      <c r="U144" s="101"/>
      <c r="V144" s="101"/>
      <c r="W144" s="69" t="e" cm="1">
        <f t="array" ref="W144">_xlfn.XLOOKUP(Table1[[#This Row],[5 cm2 cell test code]:[5 cm2 cell test code]],[1]!Table1[[Test code]:[Test code]],[1]!Table1[i @ 1.8 V DIW (A/cm2)],"",0)</f>
        <v>#REF!</v>
      </c>
      <c r="X144" s="69" t="e" cm="1">
        <f t="array" ref="X144">_xlfn.XLOOKUP(Table1[[#This Row],[5 cm2 cell test code]:[5 cm2 cell test code]],[1]!Table1[[Test code]:[Test code]],[1]!Table1[i @ 1.8 V 10 mM KOH (A/cm2)],"",0)</f>
        <v>#REF!</v>
      </c>
      <c r="Y144" s="69" t="e" cm="1">
        <f t="array" ref="Y144">_xlfn.XLOOKUP(Table1[[#This Row],[5 cm2 cell test code]:[5 cm2 cell test code]],[1]!Table1[[Test code]:[Test code]],[1]!Table1[3-E ƞ at 20mAcm-2 (mV)],"",0)</f>
        <v>#REF!</v>
      </c>
      <c r="Z144" s="69" t="e" cm="1">
        <f t="array" ref="Z144">_xlfn.XLOOKUP(Table1[[#This Row],[5 cm2 cell test code]:[5 cm2 cell test code]],[1]!Table1[[Test code]:[Test code]],[1]!Table1[3-E Tafel slope (mV/dec)],"",0)</f>
        <v>#REF!</v>
      </c>
      <c r="AA144" s="69" t="e" cm="1">
        <f t="array" ref="AA144">_xlfn.XLOOKUP(Table1[[#This Row],[5 cm2 cell test code]:[5 cm2 cell test code]],[1]!Table1[[Test code]:[Test code]],[1]!Table1[E @ 100 mA/cm2 DIW/V],"",0)</f>
        <v>#REF!</v>
      </c>
      <c r="AB144" s="69" t="e" cm="1">
        <f t="array" ref="AB144">_xlfn.XLOOKUP(Table1[[#This Row],[5 cm2 cell test code]:[5 cm2 cell test code]],[1]!Table1[[Test code]:[Test code]],[1]!Table1[E @ 100 mA/cm2 10 mM KOH/V],"",0)</f>
        <v>#REF!</v>
      </c>
      <c r="AC144" s="69" t="e" cm="1">
        <f t="array" ref="AC144">_xlfn.XLOOKUP(Table1[[#This Row],[5 cm2 cell test code]:[5 cm2 cell test code]],[1]!Table1[[Test code]:[Test code]],[1]!Table1[Anode ICR/mOhm],"",0)</f>
        <v>#REF!</v>
      </c>
      <c r="AD144" s="69" t="e" cm="1">
        <f t="array" ref="AD144">_xlfn.XLOOKUP(Table1[[#This Row],[5 cm2 cell test code]:[5 cm2 cell test code]],[1]!Table1[[Test code]:[Test code]],[1]!Table1[HFR DIW/ mOhm cm2],"",0)</f>
        <v>#REF!</v>
      </c>
      <c r="AE144" s="69" t="e" cm="1">
        <f t="array" ref="AE144">_xlfn.XLOOKUP(Table1[[#This Row],[5 cm2 cell test code]:[5 cm2 cell test code]],[1]!Table1[[Test code]:[Test code]],[1]!Table1[HFR 10 mM KOH/ mOhm cm2],"",0)</f>
        <v>#REF!</v>
      </c>
      <c r="AF144" s="69" t="e" cm="1">
        <f t="array" ref="AF144">_xlfn.XLOOKUP(Table1[[#This Row],[5 cm2 cell test code]:[5 cm2 cell test code]],[1]!Table1[[Test code]:[Test code]],[1]!Table1[Ionic resistance DIW/Ohm cm2],"",0)</f>
        <v>#REF!</v>
      </c>
      <c r="AG144" s="69" t="e" cm="1">
        <f t="array" ref="AG144">_xlfn.XLOOKUP(Table1[[#This Row],[5 cm2 cell test code]:[5 cm2 cell test code]],[1]!Table1[[Test code]:[Test code]],[1]!Table1[Q_int_frac DIW],"",0)</f>
        <v>#REF!</v>
      </c>
      <c r="AH144" s="69" t="e" cm="1">
        <f t="array" ref="AH144">_xlfn.XLOOKUP(Table1[[#This Row],[5 cm2 cell test code]:[5 cm2 cell test code]],[1]!Table1[[Test code]:[Test code]],[1]!Table1[Ionic resistance 10 mM KOH/Ohm cm2],"",0)</f>
        <v>#REF!</v>
      </c>
      <c r="AI144" s="69" t="e" cm="1">
        <f t="array" ref="AI144">_xlfn.XLOOKUP(Table1[[#This Row],[5 cm2 cell test code]:[5 cm2 cell test code]],[1]!Table1[[Test code]:[Test code]],[1]!Table1[Q_int_frac DIW 10 mM KOH],"",0)</f>
        <v>#REF!</v>
      </c>
      <c r="AJ144" s="69" t="e" cm="1">
        <f t="array" ref="AJ144">_xlfn.XLOOKUP(Table1[[#This Row],[5 cm2 cell test code]:[5 cm2 cell test code]],[1]!Table1[[Test code]:[Test code]],[1]!Table1[DIW conductivity (µS/cm)],"",0)</f>
        <v>#REF!</v>
      </c>
      <c r="AQ144" s="4" t="str">
        <v>VSG02A-23202E1.01</v>
      </c>
      <c r="AR144" s="95">
        <f>COUNTIFS(Table1[Anode PN (Stack/cell electrodes)],AQ144,Table1[ƞ at 20mAcm-2 (mV)],"&lt;&gt;")</f>
        <v>0</v>
      </c>
      <c r="AS144" s="95">
        <f>COUNTIFS(Table1[Anode PN (Stack/cell electrodes)],AQ144,Table1[i @ 1.8 V DIW (A/cm2)],"&lt;&gt;")</f>
        <v>1</v>
      </c>
      <c r="AT144" s="95">
        <f>COUNTIFS(Table1[Anode PN (Stack/cell electrodes)],AQ144,Table1[i at 1.8 V 10 mM KOH (A/cm2)],"&lt;&gt;")</f>
        <v>1</v>
      </c>
      <c r="AU144" s="95">
        <f>COUNTIFS(Table1[Anode PN (Stack/cell electrodes)],AQ144,Table1[Ionic resistance DIW/Ohm cm2],"&lt;&gt;")</f>
        <v>1</v>
      </c>
      <c r="AV144" s="95">
        <f>COUNTIFS(Table1[Anode PN (Stack/cell electrodes)],AQ144,Table1[Ionic resistance 10 mM KOH/Ohm cm2],"&lt;&gt;")</f>
        <v>1</v>
      </c>
    </row>
    <row r="145" spans="1:48">
      <c r="A145" s="81">
        <v>17</v>
      </c>
      <c r="B145" s="11" t="s">
        <v>299</v>
      </c>
      <c r="C145" s="4" t="s">
        <v>300</v>
      </c>
      <c r="K145" s="43" t="s">
        <v>59</v>
      </c>
      <c r="P145" s="28">
        <v>1.0469999999999999</v>
      </c>
      <c r="U145" s="101"/>
      <c r="V145" s="101"/>
      <c r="W145" s="69" t="e" cm="1">
        <f t="array" ref="W145">_xlfn.XLOOKUP(Table1[[#This Row],[5 cm2 cell test code]:[5 cm2 cell test code]],[1]!Table1[[Test code]:[Test code]],[1]!Table1[i @ 1.8 V DIW (A/cm2)],"",0)</f>
        <v>#REF!</v>
      </c>
      <c r="X145" s="69" t="e" cm="1">
        <f t="array" ref="X145">_xlfn.XLOOKUP(Table1[[#This Row],[5 cm2 cell test code]:[5 cm2 cell test code]],[1]!Table1[[Test code]:[Test code]],[1]!Table1[i @ 1.8 V 10 mM KOH (A/cm2)],"",0)</f>
        <v>#REF!</v>
      </c>
      <c r="Y145" s="69" t="e" cm="1">
        <f t="array" ref="Y145">_xlfn.XLOOKUP(Table1[[#This Row],[5 cm2 cell test code]:[5 cm2 cell test code]],[1]!Table1[[Test code]:[Test code]],[1]!Table1[3-E ƞ at 20mAcm-2 (mV)],"",0)</f>
        <v>#REF!</v>
      </c>
      <c r="Z145" s="69" t="e" cm="1">
        <f t="array" ref="Z145">_xlfn.XLOOKUP(Table1[[#This Row],[5 cm2 cell test code]:[5 cm2 cell test code]],[1]!Table1[[Test code]:[Test code]],[1]!Table1[3-E Tafel slope (mV/dec)],"",0)</f>
        <v>#REF!</v>
      </c>
      <c r="AA145" s="69" t="e" cm="1">
        <f t="array" ref="AA145">_xlfn.XLOOKUP(Table1[[#This Row],[5 cm2 cell test code]:[5 cm2 cell test code]],[1]!Table1[[Test code]:[Test code]],[1]!Table1[E @ 100 mA/cm2 DIW/V],"",0)</f>
        <v>#REF!</v>
      </c>
      <c r="AB145" s="69" t="e" cm="1">
        <f t="array" ref="AB145">_xlfn.XLOOKUP(Table1[[#This Row],[5 cm2 cell test code]:[5 cm2 cell test code]],[1]!Table1[[Test code]:[Test code]],[1]!Table1[E @ 100 mA/cm2 10 mM KOH/V],"",0)</f>
        <v>#REF!</v>
      </c>
      <c r="AC145" s="69" t="e" cm="1">
        <f t="array" ref="AC145">_xlfn.XLOOKUP(Table1[[#This Row],[5 cm2 cell test code]:[5 cm2 cell test code]],[1]!Table1[[Test code]:[Test code]],[1]!Table1[Anode ICR/mOhm],"",0)</f>
        <v>#REF!</v>
      </c>
      <c r="AD145" s="69" t="e" cm="1">
        <f t="array" ref="AD145">_xlfn.XLOOKUP(Table1[[#This Row],[5 cm2 cell test code]:[5 cm2 cell test code]],[1]!Table1[[Test code]:[Test code]],[1]!Table1[HFR DIW/ mOhm cm2],"",0)</f>
        <v>#REF!</v>
      </c>
      <c r="AE145" s="69" t="e" cm="1">
        <f t="array" ref="AE145">_xlfn.XLOOKUP(Table1[[#This Row],[5 cm2 cell test code]:[5 cm2 cell test code]],[1]!Table1[[Test code]:[Test code]],[1]!Table1[HFR 10 mM KOH/ mOhm cm2],"",0)</f>
        <v>#REF!</v>
      </c>
      <c r="AF145" s="69" t="e" cm="1">
        <f t="array" ref="AF145">_xlfn.XLOOKUP(Table1[[#This Row],[5 cm2 cell test code]:[5 cm2 cell test code]],[1]!Table1[[Test code]:[Test code]],[1]!Table1[Ionic resistance DIW/Ohm cm2],"",0)</f>
        <v>#REF!</v>
      </c>
      <c r="AG145" s="69" t="e" cm="1">
        <f t="array" ref="AG145">_xlfn.XLOOKUP(Table1[[#This Row],[5 cm2 cell test code]:[5 cm2 cell test code]],[1]!Table1[[Test code]:[Test code]],[1]!Table1[Q_int_frac DIW],"",0)</f>
        <v>#REF!</v>
      </c>
      <c r="AH145" s="69" t="e" cm="1">
        <f t="array" ref="AH145">_xlfn.XLOOKUP(Table1[[#This Row],[5 cm2 cell test code]:[5 cm2 cell test code]],[1]!Table1[[Test code]:[Test code]],[1]!Table1[Ionic resistance 10 mM KOH/Ohm cm2],"",0)</f>
        <v>#REF!</v>
      </c>
      <c r="AI145" s="69" t="e" cm="1">
        <f t="array" ref="AI145">_xlfn.XLOOKUP(Table1[[#This Row],[5 cm2 cell test code]:[5 cm2 cell test code]],[1]!Table1[[Test code]:[Test code]],[1]!Table1[Q_int_frac DIW 10 mM KOH],"",0)</f>
        <v>#REF!</v>
      </c>
      <c r="AJ145" s="69" t="e" cm="1">
        <f t="array" ref="AJ145">_xlfn.XLOOKUP(Table1[[#This Row],[5 cm2 cell test code]:[5 cm2 cell test code]],[1]!Table1[[Test code]:[Test code]],[1]!Table1[DIW conductivity (µS/cm)],"",0)</f>
        <v>#REF!</v>
      </c>
      <c r="AQ145" s="4" t="str">
        <v>VSG02A-23202E1.02</v>
      </c>
      <c r="AR145" s="95">
        <f>COUNTIFS(Table1[Anode PN (Stack/cell electrodes)],AQ145,Table1[ƞ at 20mAcm-2 (mV)],"&lt;&gt;")</f>
        <v>0</v>
      </c>
      <c r="AS145" s="95">
        <f>COUNTIFS(Table1[Anode PN (Stack/cell electrodes)],AQ145,Table1[i @ 1.8 V DIW (A/cm2)],"&lt;&gt;")</f>
        <v>1</v>
      </c>
      <c r="AT145" s="95">
        <f>COUNTIFS(Table1[Anode PN (Stack/cell electrodes)],AQ145,Table1[i at 1.8 V 10 mM KOH (A/cm2)],"&lt;&gt;")</f>
        <v>1</v>
      </c>
      <c r="AU145" s="95">
        <f>COUNTIFS(Table1[Anode PN (Stack/cell electrodes)],AQ145,Table1[Ionic resistance DIW/Ohm cm2],"&lt;&gt;")</f>
        <v>1</v>
      </c>
      <c r="AV145" s="95">
        <f>COUNTIFS(Table1[Anode PN (Stack/cell electrodes)],AQ145,Table1[Ionic resistance 10 mM KOH/Ohm cm2],"&lt;&gt;")</f>
        <v>1</v>
      </c>
    </row>
    <row r="146" spans="1:48">
      <c r="A146" s="81" t="s">
        <v>301</v>
      </c>
      <c r="B146" s="11" t="s">
        <v>302</v>
      </c>
      <c r="C146" s="4" t="s">
        <v>303</v>
      </c>
      <c r="K146" s="43" t="s">
        <v>59</v>
      </c>
      <c r="P146" s="28">
        <v>1.121</v>
      </c>
      <c r="U146" s="101"/>
      <c r="V146" s="101"/>
      <c r="W146" s="69" t="e" cm="1">
        <f t="array" ref="W146">_xlfn.XLOOKUP(Table1[[#This Row],[5 cm2 cell test code]:[5 cm2 cell test code]],[1]!Table1[[Test code]:[Test code]],[1]!Table1[i @ 1.8 V DIW (A/cm2)],"",0)</f>
        <v>#REF!</v>
      </c>
      <c r="X146" s="69" t="e" cm="1">
        <f t="array" ref="X146">_xlfn.XLOOKUP(Table1[[#This Row],[5 cm2 cell test code]:[5 cm2 cell test code]],[1]!Table1[[Test code]:[Test code]],[1]!Table1[i @ 1.8 V 10 mM KOH (A/cm2)],"",0)</f>
        <v>#REF!</v>
      </c>
      <c r="Y146" s="69" t="e" cm="1">
        <f t="array" ref="Y146">_xlfn.XLOOKUP(Table1[[#This Row],[5 cm2 cell test code]:[5 cm2 cell test code]],[1]!Table1[[Test code]:[Test code]],[1]!Table1[3-E ƞ at 20mAcm-2 (mV)],"",0)</f>
        <v>#REF!</v>
      </c>
      <c r="Z146" s="69" t="e" cm="1">
        <f t="array" ref="Z146">_xlfn.XLOOKUP(Table1[[#This Row],[5 cm2 cell test code]:[5 cm2 cell test code]],[1]!Table1[[Test code]:[Test code]],[1]!Table1[3-E Tafel slope (mV/dec)],"",0)</f>
        <v>#REF!</v>
      </c>
      <c r="AA146" s="69" t="e" cm="1">
        <f t="array" ref="AA146">_xlfn.XLOOKUP(Table1[[#This Row],[5 cm2 cell test code]:[5 cm2 cell test code]],[1]!Table1[[Test code]:[Test code]],[1]!Table1[E @ 100 mA/cm2 DIW/V],"",0)</f>
        <v>#REF!</v>
      </c>
      <c r="AB146" s="69" t="e" cm="1">
        <f t="array" ref="AB146">_xlfn.XLOOKUP(Table1[[#This Row],[5 cm2 cell test code]:[5 cm2 cell test code]],[1]!Table1[[Test code]:[Test code]],[1]!Table1[E @ 100 mA/cm2 10 mM KOH/V],"",0)</f>
        <v>#REF!</v>
      </c>
      <c r="AC146" s="69" t="e" cm="1">
        <f t="array" ref="AC146">_xlfn.XLOOKUP(Table1[[#This Row],[5 cm2 cell test code]:[5 cm2 cell test code]],[1]!Table1[[Test code]:[Test code]],[1]!Table1[Anode ICR/mOhm],"",0)</f>
        <v>#REF!</v>
      </c>
      <c r="AD146" s="69" t="e" cm="1">
        <f t="array" ref="AD146">_xlfn.XLOOKUP(Table1[[#This Row],[5 cm2 cell test code]:[5 cm2 cell test code]],[1]!Table1[[Test code]:[Test code]],[1]!Table1[HFR DIW/ mOhm cm2],"",0)</f>
        <v>#REF!</v>
      </c>
      <c r="AE146" s="69" t="e" cm="1">
        <f t="array" ref="AE146">_xlfn.XLOOKUP(Table1[[#This Row],[5 cm2 cell test code]:[5 cm2 cell test code]],[1]!Table1[[Test code]:[Test code]],[1]!Table1[HFR 10 mM KOH/ mOhm cm2],"",0)</f>
        <v>#REF!</v>
      </c>
      <c r="AF146" s="69" t="e" cm="1">
        <f t="array" ref="AF146">_xlfn.XLOOKUP(Table1[[#This Row],[5 cm2 cell test code]:[5 cm2 cell test code]],[1]!Table1[[Test code]:[Test code]],[1]!Table1[Ionic resistance DIW/Ohm cm2],"",0)</f>
        <v>#REF!</v>
      </c>
      <c r="AG146" s="69" t="e" cm="1">
        <f t="array" ref="AG146">_xlfn.XLOOKUP(Table1[[#This Row],[5 cm2 cell test code]:[5 cm2 cell test code]],[1]!Table1[[Test code]:[Test code]],[1]!Table1[Q_int_frac DIW],"",0)</f>
        <v>#REF!</v>
      </c>
      <c r="AH146" s="69" t="e" cm="1">
        <f t="array" ref="AH146">_xlfn.XLOOKUP(Table1[[#This Row],[5 cm2 cell test code]:[5 cm2 cell test code]],[1]!Table1[[Test code]:[Test code]],[1]!Table1[Ionic resistance 10 mM KOH/Ohm cm2],"",0)</f>
        <v>#REF!</v>
      </c>
      <c r="AI146" s="69" t="e" cm="1">
        <f t="array" ref="AI146">_xlfn.XLOOKUP(Table1[[#This Row],[5 cm2 cell test code]:[5 cm2 cell test code]],[1]!Table1[[Test code]:[Test code]],[1]!Table1[Q_int_frac DIW 10 mM KOH],"",0)</f>
        <v>#REF!</v>
      </c>
      <c r="AJ146" s="69" t="e" cm="1">
        <f t="array" ref="AJ146">_xlfn.XLOOKUP(Table1[[#This Row],[5 cm2 cell test code]:[5 cm2 cell test code]],[1]!Table1[[Test code]:[Test code]],[1]!Table1[DIW conductivity (µS/cm)],"",0)</f>
        <v>#REF!</v>
      </c>
      <c r="AQ146" s="4" t="str">
        <v>VSG02A-23202E1.03</v>
      </c>
      <c r="AR146" s="95">
        <f>COUNTIFS(Table1[Anode PN (Stack/cell electrodes)],AQ146,Table1[ƞ at 20mAcm-2 (mV)],"&lt;&gt;")</f>
        <v>0</v>
      </c>
      <c r="AS146" s="95">
        <f>COUNTIFS(Table1[Anode PN (Stack/cell electrodes)],AQ146,Table1[i @ 1.8 V DIW (A/cm2)],"&lt;&gt;")</f>
        <v>1</v>
      </c>
      <c r="AT146" s="95">
        <f>COUNTIFS(Table1[Anode PN (Stack/cell electrodes)],AQ146,Table1[i at 1.8 V 10 mM KOH (A/cm2)],"&lt;&gt;")</f>
        <v>1</v>
      </c>
      <c r="AU146" s="95">
        <f>COUNTIFS(Table1[Anode PN (Stack/cell electrodes)],AQ146,Table1[Ionic resistance DIW/Ohm cm2],"&lt;&gt;")</f>
        <v>1</v>
      </c>
      <c r="AV146" s="95">
        <f>COUNTIFS(Table1[Anode PN (Stack/cell electrodes)],AQ146,Table1[Ionic resistance 10 mM KOH/Ohm cm2],"&lt;&gt;")</f>
        <v>1</v>
      </c>
    </row>
    <row r="147" spans="1:48">
      <c r="A147" s="81"/>
      <c r="K147" s="43" t="s">
        <v>59</v>
      </c>
      <c r="U147" s="101"/>
      <c r="V147" s="101"/>
      <c r="W147" s="69" t="e" cm="1">
        <f t="array" ref="W147">_xlfn.XLOOKUP(Table1[[#This Row],[5 cm2 cell test code]:[5 cm2 cell test code]],[1]!Table1[[Test code]:[Test code]],[1]!Table1[i @ 1.8 V DIW (A/cm2)],"",0)</f>
        <v>#REF!</v>
      </c>
      <c r="X147" s="69" t="e" cm="1">
        <f t="array" ref="X147">_xlfn.XLOOKUP(Table1[[#This Row],[5 cm2 cell test code]:[5 cm2 cell test code]],[1]!Table1[[Test code]:[Test code]],[1]!Table1[i @ 1.8 V 10 mM KOH (A/cm2)],"",0)</f>
        <v>#REF!</v>
      </c>
      <c r="Y147" s="69" t="e" cm="1">
        <f t="array" ref="Y147">_xlfn.XLOOKUP(Table1[[#This Row],[5 cm2 cell test code]:[5 cm2 cell test code]],[1]!Table1[[Test code]:[Test code]],[1]!Table1[3-E ƞ at 20mAcm-2 (mV)],"",0)</f>
        <v>#REF!</v>
      </c>
      <c r="Z147" s="69" t="e" cm="1">
        <f t="array" ref="Z147">_xlfn.XLOOKUP(Table1[[#This Row],[5 cm2 cell test code]:[5 cm2 cell test code]],[1]!Table1[[Test code]:[Test code]],[1]!Table1[3-E Tafel slope (mV/dec)],"",0)</f>
        <v>#REF!</v>
      </c>
      <c r="AA147" s="69" t="e" cm="1">
        <f t="array" ref="AA147">_xlfn.XLOOKUP(Table1[[#This Row],[5 cm2 cell test code]:[5 cm2 cell test code]],[1]!Table1[[Test code]:[Test code]],[1]!Table1[E @ 100 mA/cm2 DIW/V],"",0)</f>
        <v>#REF!</v>
      </c>
      <c r="AB147" s="69" t="e" cm="1">
        <f t="array" ref="AB147">_xlfn.XLOOKUP(Table1[[#This Row],[5 cm2 cell test code]:[5 cm2 cell test code]],[1]!Table1[[Test code]:[Test code]],[1]!Table1[E @ 100 mA/cm2 10 mM KOH/V],"",0)</f>
        <v>#REF!</v>
      </c>
      <c r="AC147" s="69" t="e" cm="1">
        <f t="array" ref="AC147">_xlfn.XLOOKUP(Table1[[#This Row],[5 cm2 cell test code]:[5 cm2 cell test code]],[1]!Table1[[Test code]:[Test code]],[1]!Table1[Anode ICR/mOhm],"",0)</f>
        <v>#REF!</v>
      </c>
      <c r="AD147" s="69" t="e" cm="1">
        <f t="array" ref="AD147">_xlfn.XLOOKUP(Table1[[#This Row],[5 cm2 cell test code]:[5 cm2 cell test code]],[1]!Table1[[Test code]:[Test code]],[1]!Table1[HFR DIW/ mOhm cm2],"",0)</f>
        <v>#REF!</v>
      </c>
      <c r="AE147" s="69" t="e" cm="1">
        <f t="array" ref="AE147">_xlfn.XLOOKUP(Table1[[#This Row],[5 cm2 cell test code]:[5 cm2 cell test code]],[1]!Table1[[Test code]:[Test code]],[1]!Table1[HFR 10 mM KOH/ mOhm cm2],"",0)</f>
        <v>#REF!</v>
      </c>
      <c r="AF147" s="69" t="e" cm="1">
        <f t="array" ref="AF147">_xlfn.XLOOKUP(Table1[[#This Row],[5 cm2 cell test code]:[5 cm2 cell test code]],[1]!Table1[[Test code]:[Test code]],[1]!Table1[Ionic resistance DIW/Ohm cm2],"",0)</f>
        <v>#REF!</v>
      </c>
      <c r="AG147" s="69" t="e" cm="1">
        <f t="array" ref="AG147">_xlfn.XLOOKUP(Table1[[#This Row],[5 cm2 cell test code]:[5 cm2 cell test code]],[1]!Table1[[Test code]:[Test code]],[1]!Table1[Q_int_frac DIW],"",0)</f>
        <v>#REF!</v>
      </c>
      <c r="AH147" s="69" t="e" cm="1">
        <f t="array" ref="AH147">_xlfn.XLOOKUP(Table1[[#This Row],[5 cm2 cell test code]:[5 cm2 cell test code]],[1]!Table1[[Test code]:[Test code]],[1]!Table1[Ionic resistance 10 mM KOH/Ohm cm2],"",0)</f>
        <v>#REF!</v>
      </c>
      <c r="AI147" s="69" t="e" cm="1">
        <f t="array" ref="AI147">_xlfn.XLOOKUP(Table1[[#This Row],[5 cm2 cell test code]:[5 cm2 cell test code]],[1]!Table1[[Test code]:[Test code]],[1]!Table1[Q_int_frac DIW 10 mM KOH],"",0)</f>
        <v>#REF!</v>
      </c>
      <c r="AJ147" s="69" t="e" cm="1">
        <f t="array" ref="AJ147">_xlfn.XLOOKUP(Table1[[#This Row],[5 cm2 cell test code]:[5 cm2 cell test code]],[1]!Table1[[Test code]:[Test code]],[1]!Table1[DIW conductivity (µS/cm)],"",0)</f>
        <v>#REF!</v>
      </c>
      <c r="AQ147" s="4" t="str">
        <v>VSG02A-23202E1.04</v>
      </c>
      <c r="AR147" s="95">
        <f>COUNTIFS(Table1[Anode PN (Stack/cell electrodes)],AQ147,Table1[ƞ at 20mAcm-2 (mV)],"&lt;&gt;")</f>
        <v>0</v>
      </c>
      <c r="AS147" s="95">
        <f>COUNTIFS(Table1[Anode PN (Stack/cell electrodes)],AQ147,Table1[i @ 1.8 V DIW (A/cm2)],"&lt;&gt;")</f>
        <v>1</v>
      </c>
      <c r="AT147" s="95">
        <f>COUNTIFS(Table1[Anode PN (Stack/cell electrodes)],AQ147,Table1[i at 1.8 V 10 mM KOH (A/cm2)],"&lt;&gt;")</f>
        <v>1</v>
      </c>
      <c r="AU147" s="95">
        <f>COUNTIFS(Table1[Anode PN (Stack/cell electrodes)],AQ147,Table1[Ionic resistance DIW/Ohm cm2],"&lt;&gt;")</f>
        <v>1</v>
      </c>
      <c r="AV147" s="95">
        <f>COUNTIFS(Table1[Anode PN (Stack/cell electrodes)],AQ147,Table1[Ionic resistance 10 mM KOH/Ohm cm2],"&lt;&gt;")</f>
        <v>1</v>
      </c>
    </row>
    <row r="148" spans="1:48">
      <c r="A148" s="81"/>
      <c r="B148" s="11" t="s">
        <v>304</v>
      </c>
      <c r="C148" s="4" t="s">
        <v>305</v>
      </c>
      <c r="I148" s="11" t="s">
        <v>219</v>
      </c>
      <c r="J148" s="11" t="s">
        <v>134</v>
      </c>
      <c r="K148" s="43" t="s">
        <v>59</v>
      </c>
      <c r="M148" s="13">
        <f>(13.001-12.987)*1000/(12.75*11.1)</f>
        <v>9.8922451863623709E-2</v>
      </c>
      <c r="N148" s="13">
        <v>4.5380000000000003</v>
      </c>
      <c r="R148" s="4">
        <v>1.1930000000000001</v>
      </c>
      <c r="S148" s="4">
        <v>228.2</v>
      </c>
      <c r="T148" s="4">
        <v>38.270000000000003</v>
      </c>
      <c r="U148" s="101"/>
      <c r="V148" s="101"/>
      <c r="W148" s="69" t="e" cm="1">
        <f t="array" ref="W148">_xlfn.XLOOKUP(Table1[[#This Row],[5 cm2 cell test code]:[5 cm2 cell test code]],[1]!Table1[[Test code]:[Test code]],[1]!Table1[i @ 1.8 V DIW (A/cm2)],"",0)</f>
        <v>#REF!</v>
      </c>
      <c r="X148" s="69" t="e" cm="1">
        <f t="array" ref="X148">_xlfn.XLOOKUP(Table1[[#This Row],[5 cm2 cell test code]:[5 cm2 cell test code]],[1]!Table1[[Test code]:[Test code]],[1]!Table1[i @ 1.8 V 10 mM KOH (A/cm2)],"",0)</f>
        <v>#REF!</v>
      </c>
      <c r="Y148" s="69" t="e" cm="1">
        <f t="array" ref="Y148">_xlfn.XLOOKUP(Table1[[#This Row],[5 cm2 cell test code]:[5 cm2 cell test code]],[1]!Table1[[Test code]:[Test code]],[1]!Table1[3-E ƞ at 20mAcm-2 (mV)],"",0)</f>
        <v>#REF!</v>
      </c>
      <c r="Z148" s="69" t="e" cm="1">
        <f t="array" ref="Z148">_xlfn.XLOOKUP(Table1[[#This Row],[5 cm2 cell test code]:[5 cm2 cell test code]],[1]!Table1[[Test code]:[Test code]],[1]!Table1[3-E Tafel slope (mV/dec)],"",0)</f>
        <v>#REF!</v>
      </c>
      <c r="AA148" s="69" t="e" cm="1">
        <f t="array" ref="AA148">_xlfn.XLOOKUP(Table1[[#This Row],[5 cm2 cell test code]:[5 cm2 cell test code]],[1]!Table1[[Test code]:[Test code]],[1]!Table1[E @ 100 mA/cm2 DIW/V],"",0)</f>
        <v>#REF!</v>
      </c>
      <c r="AB148" s="69" t="e" cm="1">
        <f t="array" ref="AB148">_xlfn.XLOOKUP(Table1[[#This Row],[5 cm2 cell test code]:[5 cm2 cell test code]],[1]!Table1[[Test code]:[Test code]],[1]!Table1[E @ 100 mA/cm2 10 mM KOH/V],"",0)</f>
        <v>#REF!</v>
      </c>
      <c r="AC148" s="69" t="e" cm="1">
        <f t="array" ref="AC148">_xlfn.XLOOKUP(Table1[[#This Row],[5 cm2 cell test code]:[5 cm2 cell test code]],[1]!Table1[[Test code]:[Test code]],[1]!Table1[Anode ICR/mOhm],"",0)</f>
        <v>#REF!</v>
      </c>
      <c r="AD148" s="69" t="e" cm="1">
        <f t="array" ref="AD148">_xlfn.XLOOKUP(Table1[[#This Row],[5 cm2 cell test code]:[5 cm2 cell test code]],[1]!Table1[[Test code]:[Test code]],[1]!Table1[HFR DIW/ mOhm cm2],"",0)</f>
        <v>#REF!</v>
      </c>
      <c r="AE148" s="69" t="e" cm="1">
        <f t="array" ref="AE148">_xlfn.XLOOKUP(Table1[[#This Row],[5 cm2 cell test code]:[5 cm2 cell test code]],[1]!Table1[[Test code]:[Test code]],[1]!Table1[HFR 10 mM KOH/ mOhm cm2],"",0)</f>
        <v>#REF!</v>
      </c>
      <c r="AF148" s="69" t="e" cm="1">
        <f t="array" ref="AF148">_xlfn.XLOOKUP(Table1[[#This Row],[5 cm2 cell test code]:[5 cm2 cell test code]],[1]!Table1[[Test code]:[Test code]],[1]!Table1[Ionic resistance DIW/Ohm cm2],"",0)</f>
        <v>#REF!</v>
      </c>
      <c r="AG148" s="69" t="e" cm="1">
        <f t="array" ref="AG148">_xlfn.XLOOKUP(Table1[[#This Row],[5 cm2 cell test code]:[5 cm2 cell test code]],[1]!Table1[[Test code]:[Test code]],[1]!Table1[Q_int_frac DIW],"",0)</f>
        <v>#REF!</v>
      </c>
      <c r="AH148" s="69" t="e" cm="1">
        <f t="array" ref="AH148">_xlfn.XLOOKUP(Table1[[#This Row],[5 cm2 cell test code]:[5 cm2 cell test code]],[1]!Table1[[Test code]:[Test code]],[1]!Table1[Ionic resistance 10 mM KOH/Ohm cm2],"",0)</f>
        <v>#REF!</v>
      </c>
      <c r="AI148" s="69" t="e" cm="1">
        <f t="array" ref="AI148">_xlfn.XLOOKUP(Table1[[#This Row],[5 cm2 cell test code]:[5 cm2 cell test code]],[1]!Table1[[Test code]:[Test code]],[1]!Table1[Q_int_frac DIW 10 mM KOH],"",0)</f>
        <v>#REF!</v>
      </c>
      <c r="AJ148" s="69" t="e" cm="1">
        <f t="array" ref="AJ148">_xlfn.XLOOKUP(Table1[[#This Row],[5 cm2 cell test code]:[5 cm2 cell test code]],[1]!Table1[[Test code]:[Test code]],[1]!Table1[DIW conductivity (µS/cm)],"",0)</f>
        <v>#REF!</v>
      </c>
      <c r="AQ148" s="4" t="str">
        <v>VSG02A-23202E1.05</v>
      </c>
      <c r="AR148" s="95">
        <f>COUNTIFS(Table1[Anode PN (Stack/cell electrodes)],AQ148,Table1[ƞ at 20mAcm-2 (mV)],"&lt;&gt;")</f>
        <v>0</v>
      </c>
      <c r="AS148" s="95">
        <f>COUNTIFS(Table1[Anode PN (Stack/cell electrodes)],AQ148,Table1[i @ 1.8 V DIW (A/cm2)],"&lt;&gt;")</f>
        <v>1</v>
      </c>
      <c r="AT148" s="95">
        <f>COUNTIFS(Table1[Anode PN (Stack/cell electrodes)],AQ148,Table1[i at 1.8 V 10 mM KOH (A/cm2)],"&lt;&gt;")</f>
        <v>1</v>
      </c>
      <c r="AU148" s="95">
        <f>COUNTIFS(Table1[Anode PN (Stack/cell electrodes)],AQ148,Table1[Ionic resistance DIW/Ohm cm2],"&lt;&gt;")</f>
        <v>1</v>
      </c>
      <c r="AV148" s="95">
        <f>COUNTIFS(Table1[Anode PN (Stack/cell electrodes)],AQ148,Table1[Ionic resistance 10 mM KOH/Ohm cm2],"&lt;&gt;")</f>
        <v>1</v>
      </c>
    </row>
    <row r="149" spans="1:48">
      <c r="A149" s="81"/>
      <c r="B149" s="11" t="s">
        <v>306</v>
      </c>
      <c r="C149" s="4" t="s">
        <v>307</v>
      </c>
      <c r="K149" s="43" t="s">
        <v>59</v>
      </c>
      <c r="M149" s="13">
        <v>4.54</v>
      </c>
      <c r="P149" s="28">
        <f>(2.3088-2.2661)*1000/(2.4*7.5)</f>
        <v>2.3722222222222444</v>
      </c>
      <c r="U149" s="101"/>
      <c r="V149" s="101"/>
      <c r="W149" s="69" t="e" cm="1">
        <f t="array" ref="W149">_xlfn.XLOOKUP(Table1[[#This Row],[5 cm2 cell test code]:[5 cm2 cell test code]],[1]!Table1[[Test code]:[Test code]],[1]!Table1[i @ 1.8 V DIW (A/cm2)],"",0)</f>
        <v>#REF!</v>
      </c>
      <c r="X149" s="69" t="e" cm="1">
        <f t="array" ref="X149">_xlfn.XLOOKUP(Table1[[#This Row],[5 cm2 cell test code]:[5 cm2 cell test code]],[1]!Table1[[Test code]:[Test code]],[1]!Table1[i @ 1.8 V 10 mM KOH (A/cm2)],"",0)</f>
        <v>#REF!</v>
      </c>
      <c r="Y149" s="69" t="e" cm="1">
        <f t="array" ref="Y149">_xlfn.XLOOKUP(Table1[[#This Row],[5 cm2 cell test code]:[5 cm2 cell test code]],[1]!Table1[[Test code]:[Test code]],[1]!Table1[3-E ƞ at 20mAcm-2 (mV)],"",0)</f>
        <v>#REF!</v>
      </c>
      <c r="Z149" s="69" t="e" cm="1">
        <f t="array" ref="Z149">_xlfn.XLOOKUP(Table1[[#This Row],[5 cm2 cell test code]:[5 cm2 cell test code]],[1]!Table1[[Test code]:[Test code]],[1]!Table1[3-E Tafel slope (mV/dec)],"",0)</f>
        <v>#REF!</v>
      </c>
      <c r="AA149" s="69" t="e" cm="1">
        <f t="array" ref="AA149">_xlfn.XLOOKUP(Table1[[#This Row],[5 cm2 cell test code]:[5 cm2 cell test code]],[1]!Table1[[Test code]:[Test code]],[1]!Table1[E @ 100 mA/cm2 DIW/V],"",0)</f>
        <v>#REF!</v>
      </c>
      <c r="AB149" s="69" t="e" cm="1">
        <f t="array" ref="AB149">_xlfn.XLOOKUP(Table1[[#This Row],[5 cm2 cell test code]:[5 cm2 cell test code]],[1]!Table1[[Test code]:[Test code]],[1]!Table1[E @ 100 mA/cm2 10 mM KOH/V],"",0)</f>
        <v>#REF!</v>
      </c>
      <c r="AC149" s="69" t="e" cm="1">
        <f t="array" ref="AC149">_xlfn.XLOOKUP(Table1[[#This Row],[5 cm2 cell test code]:[5 cm2 cell test code]],[1]!Table1[[Test code]:[Test code]],[1]!Table1[Anode ICR/mOhm],"",0)</f>
        <v>#REF!</v>
      </c>
      <c r="AD149" s="69" t="e" cm="1">
        <f t="array" ref="AD149">_xlfn.XLOOKUP(Table1[[#This Row],[5 cm2 cell test code]:[5 cm2 cell test code]],[1]!Table1[[Test code]:[Test code]],[1]!Table1[HFR DIW/ mOhm cm2],"",0)</f>
        <v>#REF!</v>
      </c>
      <c r="AE149" s="69" t="e" cm="1">
        <f t="array" ref="AE149">_xlfn.XLOOKUP(Table1[[#This Row],[5 cm2 cell test code]:[5 cm2 cell test code]],[1]!Table1[[Test code]:[Test code]],[1]!Table1[HFR 10 mM KOH/ mOhm cm2],"",0)</f>
        <v>#REF!</v>
      </c>
      <c r="AF149" s="69" t="e" cm="1">
        <f t="array" ref="AF149">_xlfn.XLOOKUP(Table1[[#This Row],[5 cm2 cell test code]:[5 cm2 cell test code]],[1]!Table1[[Test code]:[Test code]],[1]!Table1[Ionic resistance DIW/Ohm cm2],"",0)</f>
        <v>#REF!</v>
      </c>
      <c r="AG149" s="69" t="e" cm="1">
        <f t="array" ref="AG149">_xlfn.XLOOKUP(Table1[[#This Row],[5 cm2 cell test code]:[5 cm2 cell test code]],[1]!Table1[[Test code]:[Test code]],[1]!Table1[Q_int_frac DIW],"",0)</f>
        <v>#REF!</v>
      </c>
      <c r="AH149" s="69" t="e" cm="1">
        <f t="array" ref="AH149">_xlfn.XLOOKUP(Table1[[#This Row],[5 cm2 cell test code]:[5 cm2 cell test code]],[1]!Table1[[Test code]:[Test code]],[1]!Table1[Ionic resistance 10 mM KOH/Ohm cm2],"",0)</f>
        <v>#REF!</v>
      </c>
      <c r="AI149" s="69" t="e" cm="1">
        <f t="array" ref="AI149">_xlfn.XLOOKUP(Table1[[#This Row],[5 cm2 cell test code]:[5 cm2 cell test code]],[1]!Table1[[Test code]:[Test code]],[1]!Table1[Q_int_frac DIW 10 mM KOH],"",0)</f>
        <v>#REF!</v>
      </c>
      <c r="AJ149" s="69" t="e" cm="1">
        <f t="array" ref="AJ149">_xlfn.XLOOKUP(Table1[[#This Row],[5 cm2 cell test code]:[5 cm2 cell test code]],[1]!Table1[[Test code]:[Test code]],[1]!Table1[DIW conductivity (µS/cm)],"",0)</f>
        <v>#REF!</v>
      </c>
      <c r="AQ149" s="4" t="str">
        <v>VSG02A-23202E1.06</v>
      </c>
      <c r="AR149" s="95">
        <f>COUNTIFS(Table1[Anode PN (Stack/cell electrodes)],AQ149,Table1[ƞ at 20mAcm-2 (mV)],"&lt;&gt;")</f>
        <v>0</v>
      </c>
      <c r="AS149" s="95">
        <f>COUNTIFS(Table1[Anode PN (Stack/cell electrodes)],AQ149,Table1[i @ 1.8 V DIW (A/cm2)],"&lt;&gt;")</f>
        <v>1</v>
      </c>
      <c r="AT149" s="95">
        <f>COUNTIFS(Table1[Anode PN (Stack/cell electrodes)],AQ149,Table1[i at 1.8 V 10 mM KOH (A/cm2)],"&lt;&gt;")</f>
        <v>1</v>
      </c>
      <c r="AU149" s="95">
        <f>COUNTIFS(Table1[Anode PN (Stack/cell electrodes)],AQ149,Table1[Ionic resistance DIW/Ohm cm2],"&lt;&gt;")</f>
        <v>1</v>
      </c>
      <c r="AV149" s="95">
        <f>COUNTIFS(Table1[Anode PN (Stack/cell electrodes)],AQ149,Table1[Ionic resistance 10 mM KOH/Ohm cm2],"&lt;&gt;")</f>
        <v>1</v>
      </c>
    </row>
    <row r="150" spans="1:48">
      <c r="A150" s="81"/>
      <c r="B150" s="11" t="s">
        <v>308</v>
      </c>
      <c r="C150" s="4" t="s">
        <v>309</v>
      </c>
      <c r="K150" s="43" t="s">
        <v>59</v>
      </c>
      <c r="P150" s="28">
        <f>(2.4141-2.3752)*1000/(2.4*10.7)</f>
        <v>1.5147975077881597</v>
      </c>
      <c r="U150" s="101"/>
      <c r="V150" s="101"/>
      <c r="W150" s="69" t="e" cm="1">
        <f t="array" ref="W150">_xlfn.XLOOKUP(Table1[[#This Row],[5 cm2 cell test code]:[5 cm2 cell test code]],[1]!Table1[[Test code]:[Test code]],[1]!Table1[i @ 1.8 V DIW (A/cm2)],"",0)</f>
        <v>#REF!</v>
      </c>
      <c r="X150" s="69" t="e" cm="1">
        <f t="array" ref="X150">_xlfn.XLOOKUP(Table1[[#This Row],[5 cm2 cell test code]:[5 cm2 cell test code]],[1]!Table1[[Test code]:[Test code]],[1]!Table1[i @ 1.8 V 10 mM KOH (A/cm2)],"",0)</f>
        <v>#REF!</v>
      </c>
      <c r="Y150" s="69" t="e" cm="1">
        <f t="array" ref="Y150">_xlfn.XLOOKUP(Table1[[#This Row],[5 cm2 cell test code]:[5 cm2 cell test code]],[1]!Table1[[Test code]:[Test code]],[1]!Table1[3-E ƞ at 20mAcm-2 (mV)],"",0)</f>
        <v>#REF!</v>
      </c>
      <c r="Z150" s="69" t="e" cm="1">
        <f t="array" ref="Z150">_xlfn.XLOOKUP(Table1[[#This Row],[5 cm2 cell test code]:[5 cm2 cell test code]],[1]!Table1[[Test code]:[Test code]],[1]!Table1[3-E Tafel slope (mV/dec)],"",0)</f>
        <v>#REF!</v>
      </c>
      <c r="AA150" s="69" t="e" cm="1">
        <f t="array" ref="AA150">_xlfn.XLOOKUP(Table1[[#This Row],[5 cm2 cell test code]:[5 cm2 cell test code]],[1]!Table1[[Test code]:[Test code]],[1]!Table1[E @ 100 mA/cm2 DIW/V],"",0)</f>
        <v>#REF!</v>
      </c>
      <c r="AB150" s="69" t="e" cm="1">
        <f t="array" ref="AB150">_xlfn.XLOOKUP(Table1[[#This Row],[5 cm2 cell test code]:[5 cm2 cell test code]],[1]!Table1[[Test code]:[Test code]],[1]!Table1[E @ 100 mA/cm2 10 mM KOH/V],"",0)</f>
        <v>#REF!</v>
      </c>
      <c r="AC150" s="69" t="e" cm="1">
        <f t="array" ref="AC150">_xlfn.XLOOKUP(Table1[[#This Row],[5 cm2 cell test code]:[5 cm2 cell test code]],[1]!Table1[[Test code]:[Test code]],[1]!Table1[Anode ICR/mOhm],"",0)</f>
        <v>#REF!</v>
      </c>
      <c r="AD150" s="69" t="e" cm="1">
        <f t="array" ref="AD150">_xlfn.XLOOKUP(Table1[[#This Row],[5 cm2 cell test code]:[5 cm2 cell test code]],[1]!Table1[[Test code]:[Test code]],[1]!Table1[HFR DIW/ mOhm cm2],"",0)</f>
        <v>#REF!</v>
      </c>
      <c r="AE150" s="69" t="e" cm="1">
        <f t="array" ref="AE150">_xlfn.XLOOKUP(Table1[[#This Row],[5 cm2 cell test code]:[5 cm2 cell test code]],[1]!Table1[[Test code]:[Test code]],[1]!Table1[HFR 10 mM KOH/ mOhm cm2],"",0)</f>
        <v>#REF!</v>
      </c>
      <c r="AF150" s="69" t="e" cm="1">
        <f t="array" ref="AF150">_xlfn.XLOOKUP(Table1[[#This Row],[5 cm2 cell test code]:[5 cm2 cell test code]],[1]!Table1[[Test code]:[Test code]],[1]!Table1[Ionic resistance DIW/Ohm cm2],"",0)</f>
        <v>#REF!</v>
      </c>
      <c r="AG150" s="69" t="e" cm="1">
        <f t="array" ref="AG150">_xlfn.XLOOKUP(Table1[[#This Row],[5 cm2 cell test code]:[5 cm2 cell test code]],[1]!Table1[[Test code]:[Test code]],[1]!Table1[Q_int_frac DIW],"",0)</f>
        <v>#REF!</v>
      </c>
      <c r="AH150" s="69" t="e" cm="1">
        <f t="array" ref="AH150">_xlfn.XLOOKUP(Table1[[#This Row],[5 cm2 cell test code]:[5 cm2 cell test code]],[1]!Table1[[Test code]:[Test code]],[1]!Table1[Ionic resistance 10 mM KOH/Ohm cm2],"",0)</f>
        <v>#REF!</v>
      </c>
      <c r="AI150" s="69" t="e" cm="1">
        <f t="array" ref="AI150">_xlfn.XLOOKUP(Table1[[#This Row],[5 cm2 cell test code]:[5 cm2 cell test code]],[1]!Table1[[Test code]:[Test code]],[1]!Table1[Q_int_frac DIW 10 mM KOH],"",0)</f>
        <v>#REF!</v>
      </c>
      <c r="AJ150" s="69" t="e" cm="1">
        <f t="array" ref="AJ150">_xlfn.XLOOKUP(Table1[[#This Row],[5 cm2 cell test code]:[5 cm2 cell test code]],[1]!Table1[[Test code]:[Test code]],[1]!Table1[DIW conductivity (µS/cm)],"",0)</f>
        <v>#REF!</v>
      </c>
      <c r="AQ150" s="4" t="str">
        <v>VSG02A-23202E1.07</v>
      </c>
      <c r="AR150" s="95">
        <f>COUNTIFS(Table1[Anode PN (Stack/cell electrodes)],AQ150,Table1[ƞ at 20mAcm-2 (mV)],"&lt;&gt;")</f>
        <v>0</v>
      </c>
      <c r="AS150" s="95">
        <f>COUNTIFS(Table1[Anode PN (Stack/cell electrodes)],AQ150,Table1[i @ 1.8 V DIW (A/cm2)],"&lt;&gt;")</f>
        <v>1</v>
      </c>
      <c r="AT150" s="95">
        <f>COUNTIFS(Table1[Anode PN (Stack/cell electrodes)],AQ150,Table1[i at 1.8 V 10 mM KOH (A/cm2)],"&lt;&gt;")</f>
        <v>1</v>
      </c>
      <c r="AU150" s="95">
        <f>COUNTIFS(Table1[Anode PN (Stack/cell electrodes)],AQ150,Table1[Ionic resistance DIW/Ohm cm2],"&lt;&gt;")</f>
        <v>1</v>
      </c>
      <c r="AV150" s="95">
        <f>COUNTIFS(Table1[Anode PN (Stack/cell electrodes)],AQ150,Table1[Ionic resistance 10 mM KOH/Ohm cm2],"&lt;&gt;")</f>
        <v>1</v>
      </c>
    </row>
    <row r="151" spans="1:48">
      <c r="A151" s="81"/>
      <c r="K151" s="43" t="s">
        <v>59</v>
      </c>
      <c r="U151" s="101"/>
      <c r="V151" s="101"/>
      <c r="W151" s="69" t="e" cm="1">
        <f t="array" ref="W151">_xlfn.XLOOKUP(Table1[[#This Row],[5 cm2 cell test code]:[5 cm2 cell test code]],[1]!Table1[[Test code]:[Test code]],[1]!Table1[i @ 1.8 V DIW (A/cm2)],"",0)</f>
        <v>#REF!</v>
      </c>
      <c r="X151" s="69" t="e" cm="1">
        <f t="array" ref="X151">_xlfn.XLOOKUP(Table1[[#This Row],[5 cm2 cell test code]:[5 cm2 cell test code]],[1]!Table1[[Test code]:[Test code]],[1]!Table1[i @ 1.8 V 10 mM KOH (A/cm2)],"",0)</f>
        <v>#REF!</v>
      </c>
      <c r="Y151" s="69" t="e" cm="1">
        <f t="array" ref="Y151">_xlfn.XLOOKUP(Table1[[#This Row],[5 cm2 cell test code]:[5 cm2 cell test code]],[1]!Table1[[Test code]:[Test code]],[1]!Table1[3-E ƞ at 20mAcm-2 (mV)],"",0)</f>
        <v>#REF!</v>
      </c>
      <c r="Z151" s="69" t="e" cm="1">
        <f t="array" ref="Z151">_xlfn.XLOOKUP(Table1[[#This Row],[5 cm2 cell test code]:[5 cm2 cell test code]],[1]!Table1[[Test code]:[Test code]],[1]!Table1[3-E Tafel slope (mV/dec)],"",0)</f>
        <v>#REF!</v>
      </c>
      <c r="AA151" s="69" t="e" cm="1">
        <f t="array" ref="AA151">_xlfn.XLOOKUP(Table1[[#This Row],[5 cm2 cell test code]:[5 cm2 cell test code]],[1]!Table1[[Test code]:[Test code]],[1]!Table1[E @ 100 mA/cm2 DIW/V],"",0)</f>
        <v>#REF!</v>
      </c>
      <c r="AB151" s="69" t="e" cm="1">
        <f t="array" ref="AB151">_xlfn.XLOOKUP(Table1[[#This Row],[5 cm2 cell test code]:[5 cm2 cell test code]],[1]!Table1[[Test code]:[Test code]],[1]!Table1[E @ 100 mA/cm2 10 mM KOH/V],"",0)</f>
        <v>#REF!</v>
      </c>
      <c r="AC151" s="69" t="e" cm="1">
        <f t="array" ref="AC151">_xlfn.XLOOKUP(Table1[[#This Row],[5 cm2 cell test code]:[5 cm2 cell test code]],[1]!Table1[[Test code]:[Test code]],[1]!Table1[Anode ICR/mOhm],"",0)</f>
        <v>#REF!</v>
      </c>
      <c r="AD151" s="69" t="e" cm="1">
        <f t="array" ref="AD151">_xlfn.XLOOKUP(Table1[[#This Row],[5 cm2 cell test code]:[5 cm2 cell test code]],[1]!Table1[[Test code]:[Test code]],[1]!Table1[HFR DIW/ mOhm cm2],"",0)</f>
        <v>#REF!</v>
      </c>
      <c r="AE151" s="69" t="e" cm="1">
        <f t="array" ref="AE151">_xlfn.XLOOKUP(Table1[[#This Row],[5 cm2 cell test code]:[5 cm2 cell test code]],[1]!Table1[[Test code]:[Test code]],[1]!Table1[HFR 10 mM KOH/ mOhm cm2],"",0)</f>
        <v>#REF!</v>
      </c>
      <c r="AF151" s="69" t="e" cm="1">
        <f t="array" ref="AF151">_xlfn.XLOOKUP(Table1[[#This Row],[5 cm2 cell test code]:[5 cm2 cell test code]],[1]!Table1[[Test code]:[Test code]],[1]!Table1[Ionic resistance DIW/Ohm cm2],"",0)</f>
        <v>#REF!</v>
      </c>
      <c r="AG151" s="69" t="e" cm="1">
        <f t="array" ref="AG151">_xlfn.XLOOKUP(Table1[[#This Row],[5 cm2 cell test code]:[5 cm2 cell test code]],[1]!Table1[[Test code]:[Test code]],[1]!Table1[Q_int_frac DIW],"",0)</f>
        <v>#REF!</v>
      </c>
      <c r="AH151" s="69" t="e" cm="1">
        <f t="array" ref="AH151">_xlfn.XLOOKUP(Table1[[#This Row],[5 cm2 cell test code]:[5 cm2 cell test code]],[1]!Table1[[Test code]:[Test code]],[1]!Table1[Ionic resistance 10 mM KOH/Ohm cm2],"",0)</f>
        <v>#REF!</v>
      </c>
      <c r="AI151" s="69" t="e" cm="1">
        <f t="array" ref="AI151">_xlfn.XLOOKUP(Table1[[#This Row],[5 cm2 cell test code]:[5 cm2 cell test code]],[1]!Table1[[Test code]:[Test code]],[1]!Table1[Q_int_frac DIW 10 mM KOH],"",0)</f>
        <v>#REF!</v>
      </c>
      <c r="AJ151" s="69" t="e" cm="1">
        <f t="array" ref="AJ151">_xlfn.XLOOKUP(Table1[[#This Row],[5 cm2 cell test code]:[5 cm2 cell test code]],[1]!Table1[[Test code]:[Test code]],[1]!Table1[DIW conductivity (µS/cm)],"",0)</f>
        <v>#REF!</v>
      </c>
      <c r="AQ151" s="4" t="str">
        <v>VSG02A-23202E1.08</v>
      </c>
      <c r="AR151" s="95">
        <f>COUNTIFS(Table1[Anode PN (Stack/cell electrodes)],AQ151,Table1[ƞ at 20mAcm-2 (mV)],"&lt;&gt;")</f>
        <v>0</v>
      </c>
      <c r="AS151" s="95">
        <f>COUNTIFS(Table1[Anode PN (Stack/cell electrodes)],AQ151,Table1[i @ 1.8 V DIW (A/cm2)],"&lt;&gt;")</f>
        <v>1</v>
      </c>
      <c r="AT151" s="95">
        <f>COUNTIFS(Table1[Anode PN (Stack/cell electrodes)],AQ151,Table1[i at 1.8 V 10 mM KOH (A/cm2)],"&lt;&gt;")</f>
        <v>1</v>
      </c>
      <c r="AU151" s="95">
        <f>COUNTIFS(Table1[Anode PN (Stack/cell electrodes)],AQ151,Table1[Ionic resistance DIW/Ohm cm2],"&lt;&gt;")</f>
        <v>1</v>
      </c>
      <c r="AV151" s="95">
        <f>COUNTIFS(Table1[Anode PN (Stack/cell electrodes)],AQ151,Table1[Ionic resistance 10 mM KOH/Ohm cm2],"&lt;&gt;")</f>
        <v>1</v>
      </c>
    </row>
    <row r="152" spans="1:48">
      <c r="A152" s="81"/>
      <c r="B152" s="11" t="s">
        <v>310</v>
      </c>
      <c r="C152" s="4" t="s">
        <v>311</v>
      </c>
      <c r="I152" s="11" t="s">
        <v>219</v>
      </c>
      <c r="J152" s="11" t="s">
        <v>134</v>
      </c>
      <c r="K152" s="43" t="s">
        <v>59</v>
      </c>
      <c r="R152" s="4">
        <v>1.3759999999999999</v>
      </c>
      <c r="S152" s="4">
        <v>234.83</v>
      </c>
      <c r="T152" s="4">
        <v>33.15</v>
      </c>
      <c r="U152" s="101"/>
      <c r="V152" s="101"/>
      <c r="W152" s="69" t="e" cm="1">
        <f t="array" ref="W152">_xlfn.XLOOKUP(Table1[[#This Row],[5 cm2 cell test code]:[5 cm2 cell test code]],[1]!Table1[[Test code]:[Test code]],[1]!Table1[i @ 1.8 V DIW (A/cm2)],"",0)</f>
        <v>#REF!</v>
      </c>
      <c r="X152" s="69" t="e" cm="1">
        <f t="array" ref="X152">_xlfn.XLOOKUP(Table1[[#This Row],[5 cm2 cell test code]:[5 cm2 cell test code]],[1]!Table1[[Test code]:[Test code]],[1]!Table1[i @ 1.8 V 10 mM KOH (A/cm2)],"",0)</f>
        <v>#REF!</v>
      </c>
      <c r="Y152" s="69" t="e" cm="1">
        <f t="array" ref="Y152">_xlfn.XLOOKUP(Table1[[#This Row],[5 cm2 cell test code]:[5 cm2 cell test code]],[1]!Table1[[Test code]:[Test code]],[1]!Table1[3-E ƞ at 20mAcm-2 (mV)],"",0)</f>
        <v>#REF!</v>
      </c>
      <c r="Z152" s="69" t="e" cm="1">
        <f t="array" ref="Z152">_xlfn.XLOOKUP(Table1[[#This Row],[5 cm2 cell test code]:[5 cm2 cell test code]],[1]!Table1[[Test code]:[Test code]],[1]!Table1[3-E Tafel slope (mV/dec)],"",0)</f>
        <v>#REF!</v>
      </c>
      <c r="AA152" s="69" t="e" cm="1">
        <f t="array" ref="AA152">_xlfn.XLOOKUP(Table1[[#This Row],[5 cm2 cell test code]:[5 cm2 cell test code]],[1]!Table1[[Test code]:[Test code]],[1]!Table1[E @ 100 mA/cm2 DIW/V],"",0)</f>
        <v>#REF!</v>
      </c>
      <c r="AB152" s="69" t="e" cm="1">
        <f t="array" ref="AB152">_xlfn.XLOOKUP(Table1[[#This Row],[5 cm2 cell test code]:[5 cm2 cell test code]],[1]!Table1[[Test code]:[Test code]],[1]!Table1[E @ 100 mA/cm2 10 mM KOH/V],"",0)</f>
        <v>#REF!</v>
      </c>
      <c r="AC152" s="69" t="e" cm="1">
        <f t="array" ref="AC152">_xlfn.XLOOKUP(Table1[[#This Row],[5 cm2 cell test code]:[5 cm2 cell test code]],[1]!Table1[[Test code]:[Test code]],[1]!Table1[Anode ICR/mOhm],"",0)</f>
        <v>#REF!</v>
      </c>
      <c r="AD152" s="69" t="e" cm="1">
        <f t="array" ref="AD152">_xlfn.XLOOKUP(Table1[[#This Row],[5 cm2 cell test code]:[5 cm2 cell test code]],[1]!Table1[[Test code]:[Test code]],[1]!Table1[HFR DIW/ mOhm cm2],"",0)</f>
        <v>#REF!</v>
      </c>
      <c r="AE152" s="69" t="e" cm="1">
        <f t="array" ref="AE152">_xlfn.XLOOKUP(Table1[[#This Row],[5 cm2 cell test code]:[5 cm2 cell test code]],[1]!Table1[[Test code]:[Test code]],[1]!Table1[HFR 10 mM KOH/ mOhm cm2],"",0)</f>
        <v>#REF!</v>
      </c>
      <c r="AF152" s="69" t="e" cm="1">
        <f t="array" ref="AF152">_xlfn.XLOOKUP(Table1[[#This Row],[5 cm2 cell test code]:[5 cm2 cell test code]],[1]!Table1[[Test code]:[Test code]],[1]!Table1[Ionic resistance DIW/Ohm cm2],"",0)</f>
        <v>#REF!</v>
      </c>
      <c r="AG152" s="69" t="e" cm="1">
        <f t="array" ref="AG152">_xlfn.XLOOKUP(Table1[[#This Row],[5 cm2 cell test code]:[5 cm2 cell test code]],[1]!Table1[[Test code]:[Test code]],[1]!Table1[Q_int_frac DIW],"",0)</f>
        <v>#REF!</v>
      </c>
      <c r="AH152" s="69" t="e" cm="1">
        <f t="array" ref="AH152">_xlfn.XLOOKUP(Table1[[#This Row],[5 cm2 cell test code]:[5 cm2 cell test code]],[1]!Table1[[Test code]:[Test code]],[1]!Table1[Ionic resistance 10 mM KOH/Ohm cm2],"",0)</f>
        <v>#REF!</v>
      </c>
      <c r="AI152" s="69" t="e" cm="1">
        <f t="array" ref="AI152">_xlfn.XLOOKUP(Table1[[#This Row],[5 cm2 cell test code]:[5 cm2 cell test code]],[1]!Table1[[Test code]:[Test code]],[1]!Table1[Q_int_frac DIW 10 mM KOH],"",0)</f>
        <v>#REF!</v>
      </c>
      <c r="AJ152" s="69" t="e" cm="1">
        <f t="array" ref="AJ152">_xlfn.XLOOKUP(Table1[[#This Row],[5 cm2 cell test code]:[5 cm2 cell test code]],[1]!Table1[[Test code]:[Test code]],[1]!Table1[DIW conductivity (µS/cm)],"",0)</f>
        <v>#REF!</v>
      </c>
      <c r="AQ152" s="4" t="str">
        <v>VSG02A-23202E1.09</v>
      </c>
      <c r="AR152" s="95">
        <f>COUNTIFS(Table1[Anode PN (Stack/cell electrodes)],AQ152,Table1[ƞ at 20mAcm-2 (mV)],"&lt;&gt;")</f>
        <v>0</v>
      </c>
      <c r="AS152" s="95">
        <f>COUNTIFS(Table1[Anode PN (Stack/cell electrodes)],AQ152,Table1[i @ 1.8 V DIW (A/cm2)],"&lt;&gt;")</f>
        <v>1</v>
      </c>
      <c r="AT152" s="95">
        <f>COUNTIFS(Table1[Anode PN (Stack/cell electrodes)],AQ152,Table1[i at 1.8 V 10 mM KOH (A/cm2)],"&lt;&gt;")</f>
        <v>1</v>
      </c>
      <c r="AU152" s="95">
        <f>COUNTIFS(Table1[Anode PN (Stack/cell electrodes)],AQ152,Table1[Ionic resistance DIW/Ohm cm2],"&lt;&gt;")</f>
        <v>1</v>
      </c>
      <c r="AV152" s="95">
        <f>COUNTIFS(Table1[Anode PN (Stack/cell electrodes)],AQ152,Table1[Ionic resistance 10 mM KOH/Ohm cm2],"&lt;&gt;")</f>
        <v>1</v>
      </c>
    </row>
    <row r="153" spans="1:48">
      <c r="A153" s="81"/>
      <c r="B153" s="11" t="s">
        <v>312</v>
      </c>
      <c r="C153" s="4" t="s">
        <v>313</v>
      </c>
      <c r="K153" s="43" t="s">
        <v>59</v>
      </c>
      <c r="M153" s="13">
        <f>(2.2544-2.2602)*1000/(4.9*4.9)</f>
        <v>-0.24156601416077669</v>
      </c>
      <c r="N153" s="13">
        <v>3.7709999999999999</v>
      </c>
      <c r="U153" s="101"/>
      <c r="V153" s="101"/>
      <c r="W153" s="69" t="e" cm="1">
        <f t="array" ref="W153">_xlfn.XLOOKUP(Table1[[#This Row],[5 cm2 cell test code]:[5 cm2 cell test code]],[1]!Table1[[Test code]:[Test code]],[1]!Table1[i @ 1.8 V DIW (A/cm2)],"",0)</f>
        <v>#REF!</v>
      </c>
      <c r="X153" s="69" t="e" cm="1">
        <f t="array" ref="X153">_xlfn.XLOOKUP(Table1[[#This Row],[5 cm2 cell test code]:[5 cm2 cell test code]],[1]!Table1[[Test code]:[Test code]],[1]!Table1[i @ 1.8 V 10 mM KOH (A/cm2)],"",0)</f>
        <v>#REF!</v>
      </c>
      <c r="Y153" s="69" t="e" cm="1">
        <f t="array" ref="Y153">_xlfn.XLOOKUP(Table1[[#This Row],[5 cm2 cell test code]:[5 cm2 cell test code]],[1]!Table1[[Test code]:[Test code]],[1]!Table1[3-E ƞ at 20mAcm-2 (mV)],"",0)</f>
        <v>#REF!</v>
      </c>
      <c r="Z153" s="69" t="e" cm="1">
        <f t="array" ref="Z153">_xlfn.XLOOKUP(Table1[[#This Row],[5 cm2 cell test code]:[5 cm2 cell test code]],[1]!Table1[[Test code]:[Test code]],[1]!Table1[3-E Tafel slope (mV/dec)],"",0)</f>
        <v>#REF!</v>
      </c>
      <c r="AA153" s="69" t="e" cm="1">
        <f t="array" ref="AA153">_xlfn.XLOOKUP(Table1[[#This Row],[5 cm2 cell test code]:[5 cm2 cell test code]],[1]!Table1[[Test code]:[Test code]],[1]!Table1[E @ 100 mA/cm2 DIW/V],"",0)</f>
        <v>#REF!</v>
      </c>
      <c r="AB153" s="69" t="e" cm="1">
        <f t="array" ref="AB153">_xlfn.XLOOKUP(Table1[[#This Row],[5 cm2 cell test code]:[5 cm2 cell test code]],[1]!Table1[[Test code]:[Test code]],[1]!Table1[E @ 100 mA/cm2 10 mM KOH/V],"",0)</f>
        <v>#REF!</v>
      </c>
      <c r="AC153" s="69" t="e" cm="1">
        <f t="array" ref="AC153">_xlfn.XLOOKUP(Table1[[#This Row],[5 cm2 cell test code]:[5 cm2 cell test code]],[1]!Table1[[Test code]:[Test code]],[1]!Table1[Anode ICR/mOhm],"",0)</f>
        <v>#REF!</v>
      </c>
      <c r="AD153" s="69" t="e" cm="1">
        <f t="array" ref="AD153">_xlfn.XLOOKUP(Table1[[#This Row],[5 cm2 cell test code]:[5 cm2 cell test code]],[1]!Table1[[Test code]:[Test code]],[1]!Table1[HFR DIW/ mOhm cm2],"",0)</f>
        <v>#REF!</v>
      </c>
      <c r="AE153" s="69" t="e" cm="1">
        <f t="array" ref="AE153">_xlfn.XLOOKUP(Table1[[#This Row],[5 cm2 cell test code]:[5 cm2 cell test code]],[1]!Table1[[Test code]:[Test code]],[1]!Table1[HFR 10 mM KOH/ mOhm cm2],"",0)</f>
        <v>#REF!</v>
      </c>
      <c r="AF153" s="69" t="e" cm="1">
        <f t="array" ref="AF153">_xlfn.XLOOKUP(Table1[[#This Row],[5 cm2 cell test code]:[5 cm2 cell test code]],[1]!Table1[[Test code]:[Test code]],[1]!Table1[Ionic resistance DIW/Ohm cm2],"",0)</f>
        <v>#REF!</v>
      </c>
      <c r="AG153" s="69" t="e" cm="1">
        <f t="array" ref="AG153">_xlfn.XLOOKUP(Table1[[#This Row],[5 cm2 cell test code]:[5 cm2 cell test code]],[1]!Table1[[Test code]:[Test code]],[1]!Table1[Q_int_frac DIW],"",0)</f>
        <v>#REF!</v>
      </c>
      <c r="AH153" s="69" t="e" cm="1">
        <f t="array" ref="AH153">_xlfn.XLOOKUP(Table1[[#This Row],[5 cm2 cell test code]:[5 cm2 cell test code]],[1]!Table1[[Test code]:[Test code]],[1]!Table1[Ionic resistance 10 mM KOH/Ohm cm2],"",0)</f>
        <v>#REF!</v>
      </c>
      <c r="AI153" s="69" t="e" cm="1">
        <f t="array" ref="AI153">_xlfn.XLOOKUP(Table1[[#This Row],[5 cm2 cell test code]:[5 cm2 cell test code]],[1]!Table1[[Test code]:[Test code]],[1]!Table1[Q_int_frac DIW 10 mM KOH],"",0)</f>
        <v>#REF!</v>
      </c>
      <c r="AJ153" s="69" t="e" cm="1">
        <f t="array" ref="AJ153">_xlfn.XLOOKUP(Table1[[#This Row],[5 cm2 cell test code]:[5 cm2 cell test code]],[1]!Table1[[Test code]:[Test code]],[1]!Table1[DIW conductivity (µS/cm)],"",0)</f>
        <v>#REF!</v>
      </c>
      <c r="AQ153" s="4" t="str">
        <v>VSG02A-23206E1</v>
      </c>
      <c r="AR153" s="95">
        <f>COUNTIFS(Table1[Anode PN (Stack/cell electrodes)],AQ153,Table1[ƞ at 20mAcm-2 (mV)],"&lt;&gt;")</f>
        <v>0</v>
      </c>
      <c r="AS153" s="95">
        <f>COUNTIFS(Table1[Anode PN (Stack/cell electrodes)],AQ153,Table1[i @ 1.8 V DIW (A/cm2)],"&lt;&gt;")</f>
        <v>1</v>
      </c>
      <c r="AT153" s="95">
        <f>COUNTIFS(Table1[Anode PN (Stack/cell electrodes)],AQ153,Table1[i at 1.8 V 10 mM KOH (A/cm2)],"&lt;&gt;")</f>
        <v>1</v>
      </c>
      <c r="AU153" s="95">
        <f>COUNTIFS(Table1[Anode PN (Stack/cell electrodes)],AQ153,Table1[Ionic resistance DIW/Ohm cm2],"&lt;&gt;")</f>
        <v>1</v>
      </c>
      <c r="AV153" s="95">
        <f>COUNTIFS(Table1[Anode PN (Stack/cell electrodes)],AQ153,Table1[Ionic resistance 10 mM KOH/Ohm cm2],"&lt;&gt;")</f>
        <v>1</v>
      </c>
    </row>
    <row r="154" spans="1:48">
      <c r="A154" s="81"/>
      <c r="B154" s="11" t="s">
        <v>314</v>
      </c>
      <c r="K154" s="43" t="s">
        <v>59</v>
      </c>
      <c r="M154" s="13">
        <f>(AVERAGE(2.3894,2.3898,2.2904)-2.3829)*1000/(5*5.1)</f>
        <v>-1.0339869281045571</v>
      </c>
      <c r="U154" s="101"/>
      <c r="V154" s="101"/>
      <c r="W154" s="69" t="e" cm="1">
        <f t="array" ref="W154">_xlfn.XLOOKUP(Table1[[#This Row],[5 cm2 cell test code]:[5 cm2 cell test code]],[1]!Table1[[Test code]:[Test code]],[1]!Table1[i @ 1.8 V DIW (A/cm2)],"",0)</f>
        <v>#REF!</v>
      </c>
      <c r="X154" s="69" t="e" cm="1">
        <f t="array" ref="X154">_xlfn.XLOOKUP(Table1[[#This Row],[5 cm2 cell test code]:[5 cm2 cell test code]],[1]!Table1[[Test code]:[Test code]],[1]!Table1[i @ 1.8 V 10 mM KOH (A/cm2)],"",0)</f>
        <v>#REF!</v>
      </c>
      <c r="Y154" s="69" t="e" cm="1">
        <f t="array" ref="Y154">_xlfn.XLOOKUP(Table1[[#This Row],[5 cm2 cell test code]:[5 cm2 cell test code]],[1]!Table1[[Test code]:[Test code]],[1]!Table1[3-E ƞ at 20mAcm-2 (mV)],"",0)</f>
        <v>#REF!</v>
      </c>
      <c r="Z154" s="69" t="e" cm="1">
        <f t="array" ref="Z154">_xlfn.XLOOKUP(Table1[[#This Row],[5 cm2 cell test code]:[5 cm2 cell test code]],[1]!Table1[[Test code]:[Test code]],[1]!Table1[3-E Tafel slope (mV/dec)],"",0)</f>
        <v>#REF!</v>
      </c>
      <c r="AA154" s="69" t="e" cm="1">
        <f t="array" ref="AA154">_xlfn.XLOOKUP(Table1[[#This Row],[5 cm2 cell test code]:[5 cm2 cell test code]],[1]!Table1[[Test code]:[Test code]],[1]!Table1[E @ 100 mA/cm2 DIW/V],"",0)</f>
        <v>#REF!</v>
      </c>
      <c r="AB154" s="69" t="e" cm="1">
        <f t="array" ref="AB154">_xlfn.XLOOKUP(Table1[[#This Row],[5 cm2 cell test code]:[5 cm2 cell test code]],[1]!Table1[[Test code]:[Test code]],[1]!Table1[E @ 100 mA/cm2 10 mM KOH/V],"",0)</f>
        <v>#REF!</v>
      </c>
      <c r="AC154" s="69" t="e" cm="1">
        <f t="array" ref="AC154">_xlfn.XLOOKUP(Table1[[#This Row],[5 cm2 cell test code]:[5 cm2 cell test code]],[1]!Table1[[Test code]:[Test code]],[1]!Table1[Anode ICR/mOhm],"",0)</f>
        <v>#REF!</v>
      </c>
      <c r="AD154" s="69" t="e" cm="1">
        <f t="array" ref="AD154">_xlfn.XLOOKUP(Table1[[#This Row],[5 cm2 cell test code]:[5 cm2 cell test code]],[1]!Table1[[Test code]:[Test code]],[1]!Table1[HFR DIW/ mOhm cm2],"",0)</f>
        <v>#REF!</v>
      </c>
      <c r="AE154" s="69" t="e" cm="1">
        <f t="array" ref="AE154">_xlfn.XLOOKUP(Table1[[#This Row],[5 cm2 cell test code]:[5 cm2 cell test code]],[1]!Table1[[Test code]:[Test code]],[1]!Table1[HFR 10 mM KOH/ mOhm cm2],"",0)</f>
        <v>#REF!</v>
      </c>
      <c r="AF154" s="69" t="e" cm="1">
        <f t="array" ref="AF154">_xlfn.XLOOKUP(Table1[[#This Row],[5 cm2 cell test code]:[5 cm2 cell test code]],[1]!Table1[[Test code]:[Test code]],[1]!Table1[Ionic resistance DIW/Ohm cm2],"",0)</f>
        <v>#REF!</v>
      </c>
      <c r="AG154" s="69" t="e" cm="1">
        <f t="array" ref="AG154">_xlfn.XLOOKUP(Table1[[#This Row],[5 cm2 cell test code]:[5 cm2 cell test code]],[1]!Table1[[Test code]:[Test code]],[1]!Table1[Q_int_frac DIW],"",0)</f>
        <v>#REF!</v>
      </c>
      <c r="AH154" s="69" t="e" cm="1">
        <f t="array" ref="AH154">_xlfn.XLOOKUP(Table1[[#This Row],[5 cm2 cell test code]:[5 cm2 cell test code]],[1]!Table1[[Test code]:[Test code]],[1]!Table1[Ionic resistance 10 mM KOH/Ohm cm2],"",0)</f>
        <v>#REF!</v>
      </c>
      <c r="AI154" s="69" t="e" cm="1">
        <f t="array" ref="AI154">_xlfn.XLOOKUP(Table1[[#This Row],[5 cm2 cell test code]:[5 cm2 cell test code]],[1]!Table1[[Test code]:[Test code]],[1]!Table1[Q_int_frac DIW 10 mM KOH],"",0)</f>
        <v>#REF!</v>
      </c>
      <c r="AJ154" s="69" t="e" cm="1">
        <f t="array" ref="AJ154">_xlfn.XLOOKUP(Table1[[#This Row],[5 cm2 cell test code]:[5 cm2 cell test code]],[1]!Table1[[Test code]:[Test code]],[1]!Table1[DIW conductivity (µS/cm)],"",0)</f>
        <v>#REF!</v>
      </c>
      <c r="AQ154" s="4" t="str">
        <v>VSG02A-23207E1.01</v>
      </c>
      <c r="AR154" s="95">
        <f>COUNTIFS(Table1[Anode PN (Stack/cell electrodes)],AQ154,Table1[ƞ at 20mAcm-2 (mV)],"&lt;&gt;")</f>
        <v>0</v>
      </c>
      <c r="AS154" s="95">
        <f>COUNTIFS(Table1[Anode PN (Stack/cell electrodes)],AQ154,Table1[i @ 1.8 V DIW (A/cm2)],"&lt;&gt;")</f>
        <v>1</v>
      </c>
      <c r="AT154" s="95">
        <f>COUNTIFS(Table1[Anode PN (Stack/cell electrodes)],AQ154,Table1[i at 1.8 V 10 mM KOH (A/cm2)],"&lt;&gt;")</f>
        <v>1</v>
      </c>
      <c r="AU154" s="95">
        <f>COUNTIFS(Table1[Anode PN (Stack/cell electrodes)],AQ154,Table1[Ionic resistance DIW/Ohm cm2],"&lt;&gt;")</f>
        <v>1</v>
      </c>
      <c r="AV154" s="95">
        <f>COUNTIFS(Table1[Anode PN (Stack/cell electrodes)],AQ154,Table1[Ionic resistance 10 mM KOH/Ohm cm2],"&lt;&gt;")</f>
        <v>1</v>
      </c>
    </row>
    <row r="155" spans="1:48">
      <c r="A155" s="81"/>
      <c r="K155" s="43" t="s">
        <v>59</v>
      </c>
      <c r="U155" s="101"/>
      <c r="V155" s="101"/>
      <c r="W155" s="69" t="e" cm="1">
        <f t="array" ref="W155">_xlfn.XLOOKUP(Table1[[#This Row],[5 cm2 cell test code]:[5 cm2 cell test code]],[1]!Table1[[Test code]:[Test code]],[1]!Table1[i @ 1.8 V DIW (A/cm2)],"",0)</f>
        <v>#REF!</v>
      </c>
      <c r="X155" s="69" t="e" cm="1">
        <f t="array" ref="X155">_xlfn.XLOOKUP(Table1[[#This Row],[5 cm2 cell test code]:[5 cm2 cell test code]],[1]!Table1[[Test code]:[Test code]],[1]!Table1[i @ 1.8 V 10 mM KOH (A/cm2)],"",0)</f>
        <v>#REF!</v>
      </c>
      <c r="Y155" s="69" t="e" cm="1">
        <f t="array" ref="Y155">_xlfn.XLOOKUP(Table1[[#This Row],[5 cm2 cell test code]:[5 cm2 cell test code]],[1]!Table1[[Test code]:[Test code]],[1]!Table1[3-E ƞ at 20mAcm-2 (mV)],"",0)</f>
        <v>#REF!</v>
      </c>
      <c r="Z155" s="69" t="e" cm="1">
        <f t="array" ref="Z155">_xlfn.XLOOKUP(Table1[[#This Row],[5 cm2 cell test code]:[5 cm2 cell test code]],[1]!Table1[[Test code]:[Test code]],[1]!Table1[3-E Tafel slope (mV/dec)],"",0)</f>
        <v>#REF!</v>
      </c>
      <c r="AA155" s="69" t="e" cm="1">
        <f t="array" ref="AA155">_xlfn.XLOOKUP(Table1[[#This Row],[5 cm2 cell test code]:[5 cm2 cell test code]],[1]!Table1[[Test code]:[Test code]],[1]!Table1[E @ 100 mA/cm2 DIW/V],"",0)</f>
        <v>#REF!</v>
      </c>
      <c r="AB155" s="69" t="e" cm="1">
        <f t="array" ref="AB155">_xlfn.XLOOKUP(Table1[[#This Row],[5 cm2 cell test code]:[5 cm2 cell test code]],[1]!Table1[[Test code]:[Test code]],[1]!Table1[E @ 100 mA/cm2 10 mM KOH/V],"",0)</f>
        <v>#REF!</v>
      </c>
      <c r="AC155" s="69" t="e" cm="1">
        <f t="array" ref="AC155">_xlfn.XLOOKUP(Table1[[#This Row],[5 cm2 cell test code]:[5 cm2 cell test code]],[1]!Table1[[Test code]:[Test code]],[1]!Table1[Anode ICR/mOhm],"",0)</f>
        <v>#REF!</v>
      </c>
      <c r="AD155" s="69" t="e" cm="1">
        <f t="array" ref="AD155">_xlfn.XLOOKUP(Table1[[#This Row],[5 cm2 cell test code]:[5 cm2 cell test code]],[1]!Table1[[Test code]:[Test code]],[1]!Table1[HFR DIW/ mOhm cm2],"",0)</f>
        <v>#REF!</v>
      </c>
      <c r="AE155" s="69" t="e" cm="1">
        <f t="array" ref="AE155">_xlfn.XLOOKUP(Table1[[#This Row],[5 cm2 cell test code]:[5 cm2 cell test code]],[1]!Table1[[Test code]:[Test code]],[1]!Table1[HFR 10 mM KOH/ mOhm cm2],"",0)</f>
        <v>#REF!</v>
      </c>
      <c r="AF155" s="69" t="e" cm="1">
        <f t="array" ref="AF155">_xlfn.XLOOKUP(Table1[[#This Row],[5 cm2 cell test code]:[5 cm2 cell test code]],[1]!Table1[[Test code]:[Test code]],[1]!Table1[Ionic resistance DIW/Ohm cm2],"",0)</f>
        <v>#REF!</v>
      </c>
      <c r="AG155" s="69" t="e" cm="1">
        <f t="array" ref="AG155">_xlfn.XLOOKUP(Table1[[#This Row],[5 cm2 cell test code]:[5 cm2 cell test code]],[1]!Table1[[Test code]:[Test code]],[1]!Table1[Q_int_frac DIW],"",0)</f>
        <v>#REF!</v>
      </c>
      <c r="AH155" s="69" t="e" cm="1">
        <f t="array" ref="AH155">_xlfn.XLOOKUP(Table1[[#This Row],[5 cm2 cell test code]:[5 cm2 cell test code]],[1]!Table1[[Test code]:[Test code]],[1]!Table1[Ionic resistance 10 mM KOH/Ohm cm2],"",0)</f>
        <v>#REF!</v>
      </c>
      <c r="AI155" s="69" t="e" cm="1">
        <f t="array" ref="AI155">_xlfn.XLOOKUP(Table1[[#This Row],[5 cm2 cell test code]:[5 cm2 cell test code]],[1]!Table1[[Test code]:[Test code]],[1]!Table1[Q_int_frac DIW 10 mM KOH],"",0)</f>
        <v>#REF!</v>
      </c>
      <c r="AJ155" s="69" t="e" cm="1">
        <f t="array" ref="AJ155">_xlfn.XLOOKUP(Table1[[#This Row],[5 cm2 cell test code]:[5 cm2 cell test code]],[1]!Table1[[Test code]:[Test code]],[1]!Table1[DIW conductivity (µS/cm)],"",0)</f>
        <v>#REF!</v>
      </c>
      <c r="AQ155" s="4" t="str">
        <v>VSG02A-23207E1.02</v>
      </c>
      <c r="AR155" s="95">
        <f>COUNTIFS(Table1[Anode PN (Stack/cell electrodes)],AQ155,Table1[ƞ at 20mAcm-2 (mV)],"&lt;&gt;")</f>
        <v>0</v>
      </c>
      <c r="AS155" s="95">
        <f>COUNTIFS(Table1[Anode PN (Stack/cell electrodes)],AQ155,Table1[i @ 1.8 V DIW (A/cm2)],"&lt;&gt;")</f>
        <v>1</v>
      </c>
      <c r="AT155" s="95">
        <f>COUNTIFS(Table1[Anode PN (Stack/cell electrodes)],AQ155,Table1[i at 1.8 V 10 mM KOH (A/cm2)],"&lt;&gt;")</f>
        <v>1</v>
      </c>
      <c r="AU155" s="95">
        <f>COUNTIFS(Table1[Anode PN (Stack/cell electrodes)],AQ155,Table1[Ionic resistance DIW/Ohm cm2],"&lt;&gt;")</f>
        <v>1</v>
      </c>
      <c r="AV155" s="95">
        <f>COUNTIFS(Table1[Anode PN (Stack/cell electrodes)],AQ155,Table1[Ionic resistance 10 mM KOH/Ohm cm2],"&lt;&gt;")</f>
        <v>1</v>
      </c>
    </row>
    <row r="156" spans="1:48">
      <c r="A156" s="81"/>
      <c r="B156" s="11" t="s">
        <v>315</v>
      </c>
      <c r="C156" s="4" t="s">
        <v>316</v>
      </c>
      <c r="I156" s="11" t="s">
        <v>219</v>
      </c>
      <c r="J156" s="11" t="s">
        <v>134</v>
      </c>
      <c r="K156" s="43" t="s">
        <v>59</v>
      </c>
      <c r="R156" s="4">
        <v>1.266</v>
      </c>
      <c r="S156" s="4">
        <v>231.64</v>
      </c>
      <c r="T156" s="4">
        <v>32.33</v>
      </c>
      <c r="U156" s="101"/>
      <c r="V156" s="101"/>
      <c r="W156" s="69" t="e" cm="1">
        <f t="array" ref="W156">_xlfn.XLOOKUP(Table1[[#This Row],[5 cm2 cell test code]:[5 cm2 cell test code]],[1]!Table1[[Test code]:[Test code]],[1]!Table1[i @ 1.8 V DIW (A/cm2)],"",0)</f>
        <v>#REF!</v>
      </c>
      <c r="X156" s="69" t="e" cm="1">
        <f t="array" ref="X156">_xlfn.XLOOKUP(Table1[[#This Row],[5 cm2 cell test code]:[5 cm2 cell test code]],[1]!Table1[[Test code]:[Test code]],[1]!Table1[i @ 1.8 V 10 mM KOH (A/cm2)],"",0)</f>
        <v>#REF!</v>
      </c>
      <c r="Y156" s="69" t="e" cm="1">
        <f t="array" ref="Y156">_xlfn.XLOOKUP(Table1[[#This Row],[5 cm2 cell test code]:[5 cm2 cell test code]],[1]!Table1[[Test code]:[Test code]],[1]!Table1[3-E ƞ at 20mAcm-2 (mV)],"",0)</f>
        <v>#REF!</v>
      </c>
      <c r="Z156" s="69" t="e" cm="1">
        <f t="array" ref="Z156">_xlfn.XLOOKUP(Table1[[#This Row],[5 cm2 cell test code]:[5 cm2 cell test code]],[1]!Table1[[Test code]:[Test code]],[1]!Table1[3-E Tafel slope (mV/dec)],"",0)</f>
        <v>#REF!</v>
      </c>
      <c r="AA156" s="69" t="e" cm="1">
        <f t="array" ref="AA156">_xlfn.XLOOKUP(Table1[[#This Row],[5 cm2 cell test code]:[5 cm2 cell test code]],[1]!Table1[[Test code]:[Test code]],[1]!Table1[E @ 100 mA/cm2 DIW/V],"",0)</f>
        <v>#REF!</v>
      </c>
      <c r="AB156" s="69" t="e" cm="1">
        <f t="array" ref="AB156">_xlfn.XLOOKUP(Table1[[#This Row],[5 cm2 cell test code]:[5 cm2 cell test code]],[1]!Table1[[Test code]:[Test code]],[1]!Table1[E @ 100 mA/cm2 10 mM KOH/V],"",0)</f>
        <v>#REF!</v>
      </c>
      <c r="AC156" s="69" t="e" cm="1">
        <f t="array" ref="AC156">_xlfn.XLOOKUP(Table1[[#This Row],[5 cm2 cell test code]:[5 cm2 cell test code]],[1]!Table1[[Test code]:[Test code]],[1]!Table1[Anode ICR/mOhm],"",0)</f>
        <v>#REF!</v>
      </c>
      <c r="AD156" s="69" t="e" cm="1">
        <f t="array" ref="AD156">_xlfn.XLOOKUP(Table1[[#This Row],[5 cm2 cell test code]:[5 cm2 cell test code]],[1]!Table1[[Test code]:[Test code]],[1]!Table1[HFR DIW/ mOhm cm2],"",0)</f>
        <v>#REF!</v>
      </c>
      <c r="AE156" s="69" t="e" cm="1">
        <f t="array" ref="AE156">_xlfn.XLOOKUP(Table1[[#This Row],[5 cm2 cell test code]:[5 cm2 cell test code]],[1]!Table1[[Test code]:[Test code]],[1]!Table1[HFR 10 mM KOH/ mOhm cm2],"",0)</f>
        <v>#REF!</v>
      </c>
      <c r="AF156" s="69" t="e" cm="1">
        <f t="array" ref="AF156">_xlfn.XLOOKUP(Table1[[#This Row],[5 cm2 cell test code]:[5 cm2 cell test code]],[1]!Table1[[Test code]:[Test code]],[1]!Table1[Ionic resistance DIW/Ohm cm2],"",0)</f>
        <v>#REF!</v>
      </c>
      <c r="AG156" s="69" t="e" cm="1">
        <f t="array" ref="AG156">_xlfn.XLOOKUP(Table1[[#This Row],[5 cm2 cell test code]:[5 cm2 cell test code]],[1]!Table1[[Test code]:[Test code]],[1]!Table1[Q_int_frac DIW],"",0)</f>
        <v>#REF!</v>
      </c>
      <c r="AH156" s="69" t="e" cm="1">
        <f t="array" ref="AH156">_xlfn.XLOOKUP(Table1[[#This Row],[5 cm2 cell test code]:[5 cm2 cell test code]],[1]!Table1[[Test code]:[Test code]],[1]!Table1[Ionic resistance 10 mM KOH/Ohm cm2],"",0)</f>
        <v>#REF!</v>
      </c>
      <c r="AI156" s="69" t="e" cm="1">
        <f t="array" ref="AI156">_xlfn.XLOOKUP(Table1[[#This Row],[5 cm2 cell test code]:[5 cm2 cell test code]],[1]!Table1[[Test code]:[Test code]],[1]!Table1[Q_int_frac DIW 10 mM KOH],"",0)</f>
        <v>#REF!</v>
      </c>
      <c r="AJ156" s="69" t="e" cm="1">
        <f t="array" ref="AJ156">_xlfn.XLOOKUP(Table1[[#This Row],[5 cm2 cell test code]:[5 cm2 cell test code]],[1]!Table1[[Test code]:[Test code]],[1]!Table1[DIW conductivity (µS/cm)],"",0)</f>
        <v>#REF!</v>
      </c>
      <c r="AQ156" s="4" t="str">
        <v>VSG02A-23207E1.03</v>
      </c>
      <c r="AR156" s="95">
        <f>COUNTIFS(Table1[Anode PN (Stack/cell electrodes)],AQ156,Table1[ƞ at 20mAcm-2 (mV)],"&lt;&gt;")</f>
        <v>0</v>
      </c>
      <c r="AS156" s="95">
        <f>COUNTIFS(Table1[Anode PN (Stack/cell electrodes)],AQ156,Table1[i @ 1.8 V DIW (A/cm2)],"&lt;&gt;")</f>
        <v>1</v>
      </c>
      <c r="AT156" s="95">
        <f>COUNTIFS(Table1[Anode PN (Stack/cell electrodes)],AQ156,Table1[i at 1.8 V 10 mM KOH (A/cm2)],"&lt;&gt;")</f>
        <v>1</v>
      </c>
      <c r="AU156" s="95">
        <f>COUNTIFS(Table1[Anode PN (Stack/cell electrodes)],AQ156,Table1[Ionic resistance DIW/Ohm cm2],"&lt;&gt;")</f>
        <v>1</v>
      </c>
      <c r="AV156" s="95">
        <f>COUNTIFS(Table1[Anode PN (Stack/cell electrodes)],AQ156,Table1[Ionic resistance 10 mM KOH/Ohm cm2],"&lt;&gt;")</f>
        <v>1</v>
      </c>
    </row>
    <row r="157" spans="1:48">
      <c r="A157" s="81"/>
      <c r="B157" s="11" t="s">
        <v>317</v>
      </c>
      <c r="K157" s="43" t="s">
        <v>59</v>
      </c>
      <c r="M157" s="13">
        <f>(2.1997-2.2345)*1000/(5*4.9)</f>
        <v>-1.4204081632653129</v>
      </c>
      <c r="N157" s="13">
        <v>4.9279999999999999</v>
      </c>
      <c r="U157" s="101"/>
      <c r="V157" s="101"/>
      <c r="W157" s="69" t="e" cm="1">
        <f t="array" ref="W157">_xlfn.XLOOKUP(Table1[[#This Row],[5 cm2 cell test code]:[5 cm2 cell test code]],[1]!Table1[[Test code]:[Test code]],[1]!Table1[i @ 1.8 V DIW (A/cm2)],"",0)</f>
        <v>#REF!</v>
      </c>
      <c r="X157" s="69" t="e" cm="1">
        <f t="array" ref="X157">_xlfn.XLOOKUP(Table1[[#This Row],[5 cm2 cell test code]:[5 cm2 cell test code]],[1]!Table1[[Test code]:[Test code]],[1]!Table1[i @ 1.8 V 10 mM KOH (A/cm2)],"",0)</f>
        <v>#REF!</v>
      </c>
      <c r="Y157" s="69" t="e" cm="1">
        <f t="array" ref="Y157">_xlfn.XLOOKUP(Table1[[#This Row],[5 cm2 cell test code]:[5 cm2 cell test code]],[1]!Table1[[Test code]:[Test code]],[1]!Table1[3-E ƞ at 20mAcm-2 (mV)],"",0)</f>
        <v>#REF!</v>
      </c>
      <c r="Z157" s="69" t="e" cm="1">
        <f t="array" ref="Z157">_xlfn.XLOOKUP(Table1[[#This Row],[5 cm2 cell test code]:[5 cm2 cell test code]],[1]!Table1[[Test code]:[Test code]],[1]!Table1[3-E Tafel slope (mV/dec)],"",0)</f>
        <v>#REF!</v>
      </c>
      <c r="AA157" s="69" t="e" cm="1">
        <f t="array" ref="AA157">_xlfn.XLOOKUP(Table1[[#This Row],[5 cm2 cell test code]:[5 cm2 cell test code]],[1]!Table1[[Test code]:[Test code]],[1]!Table1[E @ 100 mA/cm2 DIW/V],"",0)</f>
        <v>#REF!</v>
      </c>
      <c r="AB157" s="69" t="e" cm="1">
        <f t="array" ref="AB157">_xlfn.XLOOKUP(Table1[[#This Row],[5 cm2 cell test code]:[5 cm2 cell test code]],[1]!Table1[[Test code]:[Test code]],[1]!Table1[E @ 100 mA/cm2 10 mM KOH/V],"",0)</f>
        <v>#REF!</v>
      </c>
      <c r="AC157" s="69" t="e" cm="1">
        <f t="array" ref="AC157">_xlfn.XLOOKUP(Table1[[#This Row],[5 cm2 cell test code]:[5 cm2 cell test code]],[1]!Table1[[Test code]:[Test code]],[1]!Table1[Anode ICR/mOhm],"",0)</f>
        <v>#REF!</v>
      </c>
      <c r="AD157" s="69" t="e" cm="1">
        <f t="array" ref="AD157">_xlfn.XLOOKUP(Table1[[#This Row],[5 cm2 cell test code]:[5 cm2 cell test code]],[1]!Table1[[Test code]:[Test code]],[1]!Table1[HFR DIW/ mOhm cm2],"",0)</f>
        <v>#REF!</v>
      </c>
      <c r="AE157" s="69" t="e" cm="1">
        <f t="array" ref="AE157">_xlfn.XLOOKUP(Table1[[#This Row],[5 cm2 cell test code]:[5 cm2 cell test code]],[1]!Table1[[Test code]:[Test code]],[1]!Table1[HFR 10 mM KOH/ mOhm cm2],"",0)</f>
        <v>#REF!</v>
      </c>
      <c r="AF157" s="69" t="e" cm="1">
        <f t="array" ref="AF157">_xlfn.XLOOKUP(Table1[[#This Row],[5 cm2 cell test code]:[5 cm2 cell test code]],[1]!Table1[[Test code]:[Test code]],[1]!Table1[Ionic resistance DIW/Ohm cm2],"",0)</f>
        <v>#REF!</v>
      </c>
      <c r="AG157" s="69" t="e" cm="1">
        <f t="array" ref="AG157">_xlfn.XLOOKUP(Table1[[#This Row],[5 cm2 cell test code]:[5 cm2 cell test code]],[1]!Table1[[Test code]:[Test code]],[1]!Table1[Q_int_frac DIW],"",0)</f>
        <v>#REF!</v>
      </c>
      <c r="AH157" s="69" t="e" cm="1">
        <f t="array" ref="AH157">_xlfn.XLOOKUP(Table1[[#This Row],[5 cm2 cell test code]:[5 cm2 cell test code]],[1]!Table1[[Test code]:[Test code]],[1]!Table1[Ionic resistance 10 mM KOH/Ohm cm2],"",0)</f>
        <v>#REF!</v>
      </c>
      <c r="AI157" s="69" t="e" cm="1">
        <f t="array" ref="AI157">_xlfn.XLOOKUP(Table1[[#This Row],[5 cm2 cell test code]:[5 cm2 cell test code]],[1]!Table1[[Test code]:[Test code]],[1]!Table1[Q_int_frac DIW 10 mM KOH],"",0)</f>
        <v>#REF!</v>
      </c>
      <c r="AJ157" s="69" t="e" cm="1">
        <f t="array" ref="AJ157">_xlfn.XLOOKUP(Table1[[#This Row],[5 cm2 cell test code]:[5 cm2 cell test code]],[1]!Table1[[Test code]:[Test code]],[1]!Table1[DIW conductivity (µS/cm)],"",0)</f>
        <v>#REF!</v>
      </c>
      <c r="AQ157" s="4" t="str">
        <v>VSG02A-23207E1.04</v>
      </c>
      <c r="AR157" s="95">
        <f>COUNTIFS(Table1[Anode PN (Stack/cell electrodes)],AQ157,Table1[ƞ at 20mAcm-2 (mV)],"&lt;&gt;")</f>
        <v>0</v>
      </c>
      <c r="AS157" s="95">
        <f>COUNTIFS(Table1[Anode PN (Stack/cell electrodes)],AQ157,Table1[i @ 1.8 V DIW (A/cm2)],"&lt;&gt;")</f>
        <v>1</v>
      </c>
      <c r="AT157" s="95">
        <f>COUNTIFS(Table1[Anode PN (Stack/cell electrodes)],AQ157,Table1[i at 1.8 V 10 mM KOH (A/cm2)],"&lt;&gt;")</f>
        <v>1</v>
      </c>
      <c r="AU157" s="95">
        <f>COUNTIFS(Table1[Anode PN (Stack/cell electrodes)],AQ157,Table1[Ionic resistance DIW/Ohm cm2],"&lt;&gt;")</f>
        <v>1</v>
      </c>
      <c r="AV157" s="95">
        <f>COUNTIFS(Table1[Anode PN (Stack/cell electrodes)],AQ157,Table1[Ionic resistance 10 mM KOH/Ohm cm2],"&lt;&gt;")</f>
        <v>1</v>
      </c>
    </row>
    <row r="158" spans="1:48">
      <c r="A158" s="81"/>
      <c r="B158" s="11" t="s">
        <v>318</v>
      </c>
      <c r="K158" s="43" t="s">
        <v>59</v>
      </c>
      <c r="N158" s="13">
        <v>4.8070000000000004</v>
      </c>
      <c r="U158" s="101"/>
      <c r="V158" s="101"/>
      <c r="W158" s="69" t="e" cm="1">
        <f t="array" ref="W158">_xlfn.XLOOKUP(Table1[[#This Row],[5 cm2 cell test code]:[5 cm2 cell test code]],[1]!Table1[[Test code]:[Test code]],[1]!Table1[i @ 1.8 V DIW (A/cm2)],"",0)</f>
        <v>#REF!</v>
      </c>
      <c r="X158" s="69" t="e" cm="1">
        <f t="array" ref="X158">_xlfn.XLOOKUP(Table1[[#This Row],[5 cm2 cell test code]:[5 cm2 cell test code]],[1]!Table1[[Test code]:[Test code]],[1]!Table1[i @ 1.8 V 10 mM KOH (A/cm2)],"",0)</f>
        <v>#REF!</v>
      </c>
      <c r="Y158" s="69" t="e" cm="1">
        <f t="array" ref="Y158">_xlfn.XLOOKUP(Table1[[#This Row],[5 cm2 cell test code]:[5 cm2 cell test code]],[1]!Table1[[Test code]:[Test code]],[1]!Table1[3-E ƞ at 20mAcm-2 (mV)],"",0)</f>
        <v>#REF!</v>
      </c>
      <c r="Z158" s="69" t="e" cm="1">
        <f t="array" ref="Z158">_xlfn.XLOOKUP(Table1[[#This Row],[5 cm2 cell test code]:[5 cm2 cell test code]],[1]!Table1[[Test code]:[Test code]],[1]!Table1[3-E Tafel slope (mV/dec)],"",0)</f>
        <v>#REF!</v>
      </c>
      <c r="AA158" s="69" t="e" cm="1">
        <f t="array" ref="AA158">_xlfn.XLOOKUP(Table1[[#This Row],[5 cm2 cell test code]:[5 cm2 cell test code]],[1]!Table1[[Test code]:[Test code]],[1]!Table1[E @ 100 mA/cm2 DIW/V],"",0)</f>
        <v>#REF!</v>
      </c>
      <c r="AB158" s="69" t="e" cm="1">
        <f t="array" ref="AB158">_xlfn.XLOOKUP(Table1[[#This Row],[5 cm2 cell test code]:[5 cm2 cell test code]],[1]!Table1[[Test code]:[Test code]],[1]!Table1[E @ 100 mA/cm2 10 mM KOH/V],"",0)</f>
        <v>#REF!</v>
      </c>
      <c r="AC158" s="69" t="e" cm="1">
        <f t="array" ref="AC158">_xlfn.XLOOKUP(Table1[[#This Row],[5 cm2 cell test code]:[5 cm2 cell test code]],[1]!Table1[[Test code]:[Test code]],[1]!Table1[Anode ICR/mOhm],"",0)</f>
        <v>#REF!</v>
      </c>
      <c r="AD158" s="69" t="e" cm="1">
        <f t="array" ref="AD158">_xlfn.XLOOKUP(Table1[[#This Row],[5 cm2 cell test code]:[5 cm2 cell test code]],[1]!Table1[[Test code]:[Test code]],[1]!Table1[HFR DIW/ mOhm cm2],"",0)</f>
        <v>#REF!</v>
      </c>
      <c r="AE158" s="69" t="e" cm="1">
        <f t="array" ref="AE158">_xlfn.XLOOKUP(Table1[[#This Row],[5 cm2 cell test code]:[5 cm2 cell test code]],[1]!Table1[[Test code]:[Test code]],[1]!Table1[HFR 10 mM KOH/ mOhm cm2],"",0)</f>
        <v>#REF!</v>
      </c>
      <c r="AF158" s="69" t="e" cm="1">
        <f t="array" ref="AF158">_xlfn.XLOOKUP(Table1[[#This Row],[5 cm2 cell test code]:[5 cm2 cell test code]],[1]!Table1[[Test code]:[Test code]],[1]!Table1[Ionic resistance DIW/Ohm cm2],"",0)</f>
        <v>#REF!</v>
      </c>
      <c r="AG158" s="69" t="e" cm="1">
        <f t="array" ref="AG158">_xlfn.XLOOKUP(Table1[[#This Row],[5 cm2 cell test code]:[5 cm2 cell test code]],[1]!Table1[[Test code]:[Test code]],[1]!Table1[Q_int_frac DIW],"",0)</f>
        <v>#REF!</v>
      </c>
      <c r="AH158" s="69" t="e" cm="1">
        <f t="array" ref="AH158">_xlfn.XLOOKUP(Table1[[#This Row],[5 cm2 cell test code]:[5 cm2 cell test code]],[1]!Table1[[Test code]:[Test code]],[1]!Table1[Ionic resistance 10 mM KOH/Ohm cm2],"",0)</f>
        <v>#REF!</v>
      </c>
      <c r="AI158" s="69" t="e" cm="1">
        <f t="array" ref="AI158">_xlfn.XLOOKUP(Table1[[#This Row],[5 cm2 cell test code]:[5 cm2 cell test code]],[1]!Table1[[Test code]:[Test code]],[1]!Table1[Q_int_frac DIW 10 mM KOH],"",0)</f>
        <v>#REF!</v>
      </c>
      <c r="AJ158" s="69" t="e" cm="1">
        <f t="array" ref="AJ158">_xlfn.XLOOKUP(Table1[[#This Row],[5 cm2 cell test code]:[5 cm2 cell test code]],[1]!Table1[[Test code]:[Test code]],[1]!Table1[DIW conductivity (µS/cm)],"",0)</f>
        <v>#REF!</v>
      </c>
      <c r="AQ158" s="4" t="str">
        <v>VSG02A-23207E1.05</v>
      </c>
      <c r="AR158" s="95">
        <f>COUNTIFS(Table1[Anode PN (Stack/cell electrodes)],AQ158,Table1[ƞ at 20mAcm-2 (mV)],"&lt;&gt;")</f>
        <v>0</v>
      </c>
      <c r="AS158" s="95">
        <f>COUNTIFS(Table1[Anode PN (Stack/cell electrodes)],AQ158,Table1[i @ 1.8 V DIW (A/cm2)],"&lt;&gt;")</f>
        <v>1</v>
      </c>
      <c r="AT158" s="95">
        <f>COUNTIFS(Table1[Anode PN (Stack/cell electrodes)],AQ158,Table1[i at 1.8 V 10 mM KOH (A/cm2)],"&lt;&gt;")</f>
        <v>1</v>
      </c>
      <c r="AU158" s="95">
        <f>COUNTIFS(Table1[Anode PN (Stack/cell electrodes)],AQ158,Table1[Ionic resistance DIW/Ohm cm2],"&lt;&gt;")</f>
        <v>1</v>
      </c>
      <c r="AV158" s="95">
        <f>COUNTIFS(Table1[Anode PN (Stack/cell electrodes)],AQ158,Table1[Ionic resistance 10 mM KOH/Ohm cm2],"&lt;&gt;")</f>
        <v>1</v>
      </c>
    </row>
    <row r="159" spans="1:48">
      <c r="A159" s="81"/>
      <c r="K159" s="43" t="s">
        <v>59</v>
      </c>
      <c r="U159" s="101"/>
      <c r="V159" s="101"/>
      <c r="W159" s="69" t="e" cm="1">
        <f t="array" ref="W159">_xlfn.XLOOKUP(Table1[[#This Row],[5 cm2 cell test code]:[5 cm2 cell test code]],[1]!Table1[[Test code]:[Test code]],[1]!Table1[i @ 1.8 V DIW (A/cm2)],"",0)</f>
        <v>#REF!</v>
      </c>
      <c r="X159" s="69" t="e" cm="1">
        <f t="array" ref="X159">_xlfn.XLOOKUP(Table1[[#This Row],[5 cm2 cell test code]:[5 cm2 cell test code]],[1]!Table1[[Test code]:[Test code]],[1]!Table1[i @ 1.8 V 10 mM KOH (A/cm2)],"",0)</f>
        <v>#REF!</v>
      </c>
      <c r="Y159" s="69" t="e" cm="1">
        <f t="array" ref="Y159">_xlfn.XLOOKUP(Table1[[#This Row],[5 cm2 cell test code]:[5 cm2 cell test code]],[1]!Table1[[Test code]:[Test code]],[1]!Table1[3-E ƞ at 20mAcm-2 (mV)],"",0)</f>
        <v>#REF!</v>
      </c>
      <c r="Z159" s="69" t="e" cm="1">
        <f t="array" ref="Z159">_xlfn.XLOOKUP(Table1[[#This Row],[5 cm2 cell test code]:[5 cm2 cell test code]],[1]!Table1[[Test code]:[Test code]],[1]!Table1[3-E Tafel slope (mV/dec)],"",0)</f>
        <v>#REF!</v>
      </c>
      <c r="AA159" s="69" t="e" cm="1">
        <f t="array" ref="AA159">_xlfn.XLOOKUP(Table1[[#This Row],[5 cm2 cell test code]:[5 cm2 cell test code]],[1]!Table1[[Test code]:[Test code]],[1]!Table1[E @ 100 mA/cm2 DIW/V],"",0)</f>
        <v>#REF!</v>
      </c>
      <c r="AB159" s="69" t="e" cm="1">
        <f t="array" ref="AB159">_xlfn.XLOOKUP(Table1[[#This Row],[5 cm2 cell test code]:[5 cm2 cell test code]],[1]!Table1[[Test code]:[Test code]],[1]!Table1[E @ 100 mA/cm2 10 mM KOH/V],"",0)</f>
        <v>#REF!</v>
      </c>
      <c r="AC159" s="69" t="e" cm="1">
        <f t="array" ref="AC159">_xlfn.XLOOKUP(Table1[[#This Row],[5 cm2 cell test code]:[5 cm2 cell test code]],[1]!Table1[[Test code]:[Test code]],[1]!Table1[Anode ICR/mOhm],"",0)</f>
        <v>#REF!</v>
      </c>
      <c r="AD159" s="69" t="e" cm="1">
        <f t="array" ref="AD159">_xlfn.XLOOKUP(Table1[[#This Row],[5 cm2 cell test code]:[5 cm2 cell test code]],[1]!Table1[[Test code]:[Test code]],[1]!Table1[HFR DIW/ mOhm cm2],"",0)</f>
        <v>#REF!</v>
      </c>
      <c r="AE159" s="69" t="e" cm="1">
        <f t="array" ref="AE159">_xlfn.XLOOKUP(Table1[[#This Row],[5 cm2 cell test code]:[5 cm2 cell test code]],[1]!Table1[[Test code]:[Test code]],[1]!Table1[HFR 10 mM KOH/ mOhm cm2],"",0)</f>
        <v>#REF!</v>
      </c>
      <c r="AF159" s="69" t="e" cm="1">
        <f t="array" ref="AF159">_xlfn.XLOOKUP(Table1[[#This Row],[5 cm2 cell test code]:[5 cm2 cell test code]],[1]!Table1[[Test code]:[Test code]],[1]!Table1[Ionic resistance DIW/Ohm cm2],"",0)</f>
        <v>#REF!</v>
      </c>
      <c r="AG159" s="69" t="e" cm="1">
        <f t="array" ref="AG159">_xlfn.XLOOKUP(Table1[[#This Row],[5 cm2 cell test code]:[5 cm2 cell test code]],[1]!Table1[[Test code]:[Test code]],[1]!Table1[Q_int_frac DIW],"",0)</f>
        <v>#REF!</v>
      </c>
      <c r="AH159" s="69" t="e" cm="1">
        <f t="array" ref="AH159">_xlfn.XLOOKUP(Table1[[#This Row],[5 cm2 cell test code]:[5 cm2 cell test code]],[1]!Table1[[Test code]:[Test code]],[1]!Table1[Ionic resistance 10 mM KOH/Ohm cm2],"",0)</f>
        <v>#REF!</v>
      </c>
      <c r="AI159" s="69" t="e" cm="1">
        <f t="array" ref="AI159">_xlfn.XLOOKUP(Table1[[#This Row],[5 cm2 cell test code]:[5 cm2 cell test code]],[1]!Table1[[Test code]:[Test code]],[1]!Table1[Q_int_frac DIW 10 mM KOH],"",0)</f>
        <v>#REF!</v>
      </c>
      <c r="AJ159" s="69" t="e" cm="1">
        <f t="array" ref="AJ159">_xlfn.XLOOKUP(Table1[[#This Row],[5 cm2 cell test code]:[5 cm2 cell test code]],[1]!Table1[[Test code]:[Test code]],[1]!Table1[DIW conductivity (µS/cm)],"",0)</f>
        <v>#REF!</v>
      </c>
      <c r="AQ159" s="4" t="str">
        <v>VSG02A-23207E1.06</v>
      </c>
      <c r="AR159" s="95">
        <f>COUNTIFS(Table1[Anode PN (Stack/cell electrodes)],AQ159,Table1[ƞ at 20mAcm-2 (mV)],"&lt;&gt;")</f>
        <v>0</v>
      </c>
      <c r="AS159" s="95">
        <f>COUNTIFS(Table1[Anode PN (Stack/cell electrodes)],AQ159,Table1[i @ 1.8 V DIW (A/cm2)],"&lt;&gt;")</f>
        <v>1</v>
      </c>
      <c r="AT159" s="95">
        <f>COUNTIFS(Table1[Anode PN (Stack/cell electrodes)],AQ159,Table1[i at 1.8 V 10 mM KOH (A/cm2)],"&lt;&gt;")</f>
        <v>1</v>
      </c>
      <c r="AU159" s="95">
        <f>COUNTIFS(Table1[Anode PN (Stack/cell electrodes)],AQ159,Table1[Ionic resistance DIW/Ohm cm2],"&lt;&gt;")</f>
        <v>1</v>
      </c>
      <c r="AV159" s="95">
        <f>COUNTIFS(Table1[Anode PN (Stack/cell electrodes)],AQ159,Table1[Ionic resistance 10 mM KOH/Ohm cm2],"&lt;&gt;")</f>
        <v>1</v>
      </c>
    </row>
    <row r="160" spans="1:48">
      <c r="A160" s="81"/>
      <c r="B160" s="11" t="s">
        <v>319</v>
      </c>
      <c r="C160" s="4" t="s">
        <v>320</v>
      </c>
      <c r="I160" s="11" t="s">
        <v>219</v>
      </c>
      <c r="J160" s="11" t="s">
        <v>134</v>
      </c>
      <c r="K160" s="43" t="s">
        <v>59</v>
      </c>
      <c r="R160" s="4">
        <v>1.3660000000000001</v>
      </c>
      <c r="S160" s="4">
        <v>226.21</v>
      </c>
      <c r="T160" s="4">
        <v>33.33</v>
      </c>
      <c r="U160" s="101"/>
      <c r="V160" s="101"/>
      <c r="W160" s="69" t="e" cm="1">
        <f t="array" ref="W160">_xlfn.XLOOKUP(Table1[[#This Row],[5 cm2 cell test code]:[5 cm2 cell test code]],[1]!Table1[[Test code]:[Test code]],[1]!Table1[i @ 1.8 V DIW (A/cm2)],"",0)</f>
        <v>#REF!</v>
      </c>
      <c r="X160" s="69" t="e" cm="1">
        <f t="array" ref="X160">_xlfn.XLOOKUP(Table1[[#This Row],[5 cm2 cell test code]:[5 cm2 cell test code]],[1]!Table1[[Test code]:[Test code]],[1]!Table1[i @ 1.8 V 10 mM KOH (A/cm2)],"",0)</f>
        <v>#REF!</v>
      </c>
      <c r="Y160" s="69" t="e" cm="1">
        <f t="array" ref="Y160">_xlfn.XLOOKUP(Table1[[#This Row],[5 cm2 cell test code]:[5 cm2 cell test code]],[1]!Table1[[Test code]:[Test code]],[1]!Table1[3-E ƞ at 20mAcm-2 (mV)],"",0)</f>
        <v>#REF!</v>
      </c>
      <c r="Z160" s="69" t="e" cm="1">
        <f t="array" ref="Z160">_xlfn.XLOOKUP(Table1[[#This Row],[5 cm2 cell test code]:[5 cm2 cell test code]],[1]!Table1[[Test code]:[Test code]],[1]!Table1[3-E Tafel slope (mV/dec)],"",0)</f>
        <v>#REF!</v>
      </c>
      <c r="AA160" s="69" t="e" cm="1">
        <f t="array" ref="AA160">_xlfn.XLOOKUP(Table1[[#This Row],[5 cm2 cell test code]:[5 cm2 cell test code]],[1]!Table1[[Test code]:[Test code]],[1]!Table1[E @ 100 mA/cm2 DIW/V],"",0)</f>
        <v>#REF!</v>
      </c>
      <c r="AB160" s="69" t="e" cm="1">
        <f t="array" ref="AB160">_xlfn.XLOOKUP(Table1[[#This Row],[5 cm2 cell test code]:[5 cm2 cell test code]],[1]!Table1[[Test code]:[Test code]],[1]!Table1[E @ 100 mA/cm2 10 mM KOH/V],"",0)</f>
        <v>#REF!</v>
      </c>
      <c r="AC160" s="69" t="e" cm="1">
        <f t="array" ref="AC160">_xlfn.XLOOKUP(Table1[[#This Row],[5 cm2 cell test code]:[5 cm2 cell test code]],[1]!Table1[[Test code]:[Test code]],[1]!Table1[Anode ICR/mOhm],"",0)</f>
        <v>#REF!</v>
      </c>
      <c r="AD160" s="69" t="e" cm="1">
        <f t="array" ref="AD160">_xlfn.XLOOKUP(Table1[[#This Row],[5 cm2 cell test code]:[5 cm2 cell test code]],[1]!Table1[[Test code]:[Test code]],[1]!Table1[HFR DIW/ mOhm cm2],"",0)</f>
        <v>#REF!</v>
      </c>
      <c r="AE160" s="69" t="e" cm="1">
        <f t="array" ref="AE160">_xlfn.XLOOKUP(Table1[[#This Row],[5 cm2 cell test code]:[5 cm2 cell test code]],[1]!Table1[[Test code]:[Test code]],[1]!Table1[HFR 10 mM KOH/ mOhm cm2],"",0)</f>
        <v>#REF!</v>
      </c>
      <c r="AF160" s="69" t="e" cm="1">
        <f t="array" ref="AF160">_xlfn.XLOOKUP(Table1[[#This Row],[5 cm2 cell test code]:[5 cm2 cell test code]],[1]!Table1[[Test code]:[Test code]],[1]!Table1[Ionic resistance DIW/Ohm cm2],"",0)</f>
        <v>#REF!</v>
      </c>
      <c r="AG160" s="69" t="e" cm="1">
        <f t="array" ref="AG160">_xlfn.XLOOKUP(Table1[[#This Row],[5 cm2 cell test code]:[5 cm2 cell test code]],[1]!Table1[[Test code]:[Test code]],[1]!Table1[Q_int_frac DIW],"",0)</f>
        <v>#REF!</v>
      </c>
      <c r="AH160" s="69" t="e" cm="1">
        <f t="array" ref="AH160">_xlfn.XLOOKUP(Table1[[#This Row],[5 cm2 cell test code]:[5 cm2 cell test code]],[1]!Table1[[Test code]:[Test code]],[1]!Table1[Ionic resistance 10 mM KOH/Ohm cm2],"",0)</f>
        <v>#REF!</v>
      </c>
      <c r="AI160" s="69" t="e" cm="1">
        <f t="array" ref="AI160">_xlfn.XLOOKUP(Table1[[#This Row],[5 cm2 cell test code]:[5 cm2 cell test code]],[1]!Table1[[Test code]:[Test code]],[1]!Table1[Q_int_frac DIW 10 mM KOH],"",0)</f>
        <v>#REF!</v>
      </c>
      <c r="AJ160" s="69" t="e" cm="1">
        <f t="array" ref="AJ160">_xlfn.XLOOKUP(Table1[[#This Row],[5 cm2 cell test code]:[5 cm2 cell test code]],[1]!Table1[[Test code]:[Test code]],[1]!Table1[DIW conductivity (µS/cm)],"",0)</f>
        <v>#REF!</v>
      </c>
      <c r="AQ160" s="4" t="str">
        <v>VSG02A-23207E1.07</v>
      </c>
      <c r="AR160" s="95">
        <f>COUNTIFS(Table1[Anode PN (Stack/cell electrodes)],AQ160,Table1[ƞ at 20mAcm-2 (mV)],"&lt;&gt;")</f>
        <v>0</v>
      </c>
      <c r="AS160" s="95">
        <f>COUNTIFS(Table1[Anode PN (Stack/cell electrodes)],AQ160,Table1[i @ 1.8 V DIW (A/cm2)],"&lt;&gt;")</f>
        <v>1</v>
      </c>
      <c r="AT160" s="95">
        <f>COUNTIFS(Table1[Anode PN (Stack/cell electrodes)],AQ160,Table1[i at 1.8 V 10 mM KOH (A/cm2)],"&lt;&gt;")</f>
        <v>1</v>
      </c>
      <c r="AU160" s="95">
        <f>COUNTIFS(Table1[Anode PN (Stack/cell electrodes)],AQ160,Table1[Ionic resistance DIW/Ohm cm2],"&lt;&gt;")</f>
        <v>1</v>
      </c>
      <c r="AV160" s="95">
        <f>COUNTIFS(Table1[Anode PN (Stack/cell electrodes)],AQ160,Table1[Ionic resistance 10 mM KOH/Ohm cm2],"&lt;&gt;")</f>
        <v>1</v>
      </c>
    </row>
    <row r="161" spans="1:48">
      <c r="A161" s="81"/>
      <c r="B161" s="11" t="s">
        <v>321</v>
      </c>
      <c r="K161" s="43" t="s">
        <v>59</v>
      </c>
      <c r="M161" s="13">
        <v>-2.9119999999999999</v>
      </c>
      <c r="N161" s="13">
        <v>4.5129999999999999</v>
      </c>
      <c r="R161" s="4">
        <v>1.345</v>
      </c>
      <c r="S161" s="4">
        <v>226.41</v>
      </c>
      <c r="T161" s="4">
        <v>36.35</v>
      </c>
      <c r="U161" s="101"/>
      <c r="V161" s="101"/>
      <c r="W161" s="69" t="e" cm="1">
        <f t="array" ref="W161">_xlfn.XLOOKUP(Table1[[#This Row],[5 cm2 cell test code]:[5 cm2 cell test code]],[1]!Table1[[Test code]:[Test code]],[1]!Table1[i @ 1.8 V DIW (A/cm2)],"",0)</f>
        <v>#REF!</v>
      </c>
      <c r="X161" s="69" t="e" cm="1">
        <f t="array" ref="X161">_xlfn.XLOOKUP(Table1[[#This Row],[5 cm2 cell test code]:[5 cm2 cell test code]],[1]!Table1[[Test code]:[Test code]],[1]!Table1[i @ 1.8 V 10 mM KOH (A/cm2)],"",0)</f>
        <v>#REF!</v>
      </c>
      <c r="Y161" s="69" t="e" cm="1">
        <f t="array" ref="Y161">_xlfn.XLOOKUP(Table1[[#This Row],[5 cm2 cell test code]:[5 cm2 cell test code]],[1]!Table1[[Test code]:[Test code]],[1]!Table1[3-E ƞ at 20mAcm-2 (mV)],"",0)</f>
        <v>#REF!</v>
      </c>
      <c r="Z161" s="69" t="e" cm="1">
        <f t="array" ref="Z161">_xlfn.XLOOKUP(Table1[[#This Row],[5 cm2 cell test code]:[5 cm2 cell test code]],[1]!Table1[[Test code]:[Test code]],[1]!Table1[3-E Tafel slope (mV/dec)],"",0)</f>
        <v>#REF!</v>
      </c>
      <c r="AA161" s="69" t="e" cm="1">
        <f t="array" ref="AA161">_xlfn.XLOOKUP(Table1[[#This Row],[5 cm2 cell test code]:[5 cm2 cell test code]],[1]!Table1[[Test code]:[Test code]],[1]!Table1[E @ 100 mA/cm2 DIW/V],"",0)</f>
        <v>#REF!</v>
      </c>
      <c r="AB161" s="69" t="e" cm="1">
        <f t="array" ref="AB161">_xlfn.XLOOKUP(Table1[[#This Row],[5 cm2 cell test code]:[5 cm2 cell test code]],[1]!Table1[[Test code]:[Test code]],[1]!Table1[E @ 100 mA/cm2 10 mM KOH/V],"",0)</f>
        <v>#REF!</v>
      </c>
      <c r="AC161" s="69" t="e" cm="1">
        <f t="array" ref="AC161">_xlfn.XLOOKUP(Table1[[#This Row],[5 cm2 cell test code]:[5 cm2 cell test code]],[1]!Table1[[Test code]:[Test code]],[1]!Table1[Anode ICR/mOhm],"",0)</f>
        <v>#REF!</v>
      </c>
      <c r="AD161" s="69" t="e" cm="1">
        <f t="array" ref="AD161">_xlfn.XLOOKUP(Table1[[#This Row],[5 cm2 cell test code]:[5 cm2 cell test code]],[1]!Table1[[Test code]:[Test code]],[1]!Table1[HFR DIW/ mOhm cm2],"",0)</f>
        <v>#REF!</v>
      </c>
      <c r="AE161" s="69" t="e" cm="1">
        <f t="array" ref="AE161">_xlfn.XLOOKUP(Table1[[#This Row],[5 cm2 cell test code]:[5 cm2 cell test code]],[1]!Table1[[Test code]:[Test code]],[1]!Table1[HFR 10 mM KOH/ mOhm cm2],"",0)</f>
        <v>#REF!</v>
      </c>
      <c r="AF161" s="69" t="e" cm="1">
        <f t="array" ref="AF161">_xlfn.XLOOKUP(Table1[[#This Row],[5 cm2 cell test code]:[5 cm2 cell test code]],[1]!Table1[[Test code]:[Test code]],[1]!Table1[Ionic resistance DIW/Ohm cm2],"",0)</f>
        <v>#REF!</v>
      </c>
      <c r="AG161" s="69" t="e" cm="1">
        <f t="array" ref="AG161">_xlfn.XLOOKUP(Table1[[#This Row],[5 cm2 cell test code]:[5 cm2 cell test code]],[1]!Table1[[Test code]:[Test code]],[1]!Table1[Q_int_frac DIW],"",0)</f>
        <v>#REF!</v>
      </c>
      <c r="AH161" s="69" t="e" cm="1">
        <f t="array" ref="AH161">_xlfn.XLOOKUP(Table1[[#This Row],[5 cm2 cell test code]:[5 cm2 cell test code]],[1]!Table1[[Test code]:[Test code]],[1]!Table1[Ionic resistance 10 mM KOH/Ohm cm2],"",0)</f>
        <v>#REF!</v>
      </c>
      <c r="AI161" s="69" t="e" cm="1">
        <f t="array" ref="AI161">_xlfn.XLOOKUP(Table1[[#This Row],[5 cm2 cell test code]:[5 cm2 cell test code]],[1]!Table1[[Test code]:[Test code]],[1]!Table1[Q_int_frac DIW 10 mM KOH],"",0)</f>
        <v>#REF!</v>
      </c>
      <c r="AJ161" s="69" t="e" cm="1">
        <f t="array" ref="AJ161">_xlfn.XLOOKUP(Table1[[#This Row],[5 cm2 cell test code]:[5 cm2 cell test code]],[1]!Table1[[Test code]:[Test code]],[1]!Table1[DIW conductivity (µS/cm)],"",0)</f>
        <v>#REF!</v>
      </c>
      <c r="AQ161" s="4" t="str">
        <v>VSG02A-23207E1.08</v>
      </c>
      <c r="AR161" s="95">
        <f>COUNTIFS(Table1[Anode PN (Stack/cell electrodes)],AQ161,Table1[ƞ at 20mAcm-2 (mV)],"&lt;&gt;")</f>
        <v>0</v>
      </c>
      <c r="AS161" s="95">
        <f>COUNTIFS(Table1[Anode PN (Stack/cell electrodes)],AQ161,Table1[i @ 1.8 V DIW (A/cm2)],"&lt;&gt;")</f>
        <v>1</v>
      </c>
      <c r="AT161" s="95">
        <f>COUNTIFS(Table1[Anode PN (Stack/cell electrodes)],AQ161,Table1[i at 1.8 V 10 mM KOH (A/cm2)],"&lt;&gt;")</f>
        <v>1</v>
      </c>
      <c r="AU161" s="95">
        <f>COUNTIFS(Table1[Anode PN (Stack/cell electrodes)],AQ161,Table1[Ionic resistance DIW/Ohm cm2],"&lt;&gt;")</f>
        <v>1</v>
      </c>
      <c r="AV161" s="95">
        <f>COUNTIFS(Table1[Anode PN (Stack/cell electrodes)],AQ161,Table1[Ionic resistance 10 mM KOH/Ohm cm2],"&lt;&gt;")</f>
        <v>1</v>
      </c>
    </row>
    <row r="162" spans="1:48">
      <c r="A162" s="81"/>
      <c r="B162" s="11" t="s">
        <v>322</v>
      </c>
      <c r="K162" s="43" t="s">
        <v>59</v>
      </c>
      <c r="M162" s="13">
        <f>(2.273-2.283)*1000/25</f>
        <v>-0.39999999999999147</v>
      </c>
      <c r="N162" s="13">
        <v>3.8610000000000002</v>
      </c>
      <c r="U162" s="101"/>
      <c r="V162" s="101"/>
      <c r="W162" s="69" t="e" cm="1">
        <f t="array" ref="W162">_xlfn.XLOOKUP(Table1[[#This Row],[5 cm2 cell test code]:[5 cm2 cell test code]],[1]!Table1[[Test code]:[Test code]],[1]!Table1[i @ 1.8 V DIW (A/cm2)],"",0)</f>
        <v>#REF!</v>
      </c>
      <c r="X162" s="69" t="e" cm="1">
        <f t="array" ref="X162">_xlfn.XLOOKUP(Table1[[#This Row],[5 cm2 cell test code]:[5 cm2 cell test code]],[1]!Table1[[Test code]:[Test code]],[1]!Table1[i @ 1.8 V 10 mM KOH (A/cm2)],"",0)</f>
        <v>#REF!</v>
      </c>
      <c r="Y162" s="69" t="e" cm="1">
        <f t="array" ref="Y162">_xlfn.XLOOKUP(Table1[[#This Row],[5 cm2 cell test code]:[5 cm2 cell test code]],[1]!Table1[[Test code]:[Test code]],[1]!Table1[3-E ƞ at 20mAcm-2 (mV)],"",0)</f>
        <v>#REF!</v>
      </c>
      <c r="Z162" s="69" t="e" cm="1">
        <f t="array" ref="Z162">_xlfn.XLOOKUP(Table1[[#This Row],[5 cm2 cell test code]:[5 cm2 cell test code]],[1]!Table1[[Test code]:[Test code]],[1]!Table1[3-E Tafel slope (mV/dec)],"",0)</f>
        <v>#REF!</v>
      </c>
      <c r="AA162" s="69" t="e" cm="1">
        <f t="array" ref="AA162">_xlfn.XLOOKUP(Table1[[#This Row],[5 cm2 cell test code]:[5 cm2 cell test code]],[1]!Table1[[Test code]:[Test code]],[1]!Table1[E @ 100 mA/cm2 DIW/V],"",0)</f>
        <v>#REF!</v>
      </c>
      <c r="AB162" s="69" t="e" cm="1">
        <f t="array" ref="AB162">_xlfn.XLOOKUP(Table1[[#This Row],[5 cm2 cell test code]:[5 cm2 cell test code]],[1]!Table1[[Test code]:[Test code]],[1]!Table1[E @ 100 mA/cm2 10 mM KOH/V],"",0)</f>
        <v>#REF!</v>
      </c>
      <c r="AC162" s="69" t="e" cm="1">
        <f t="array" ref="AC162">_xlfn.XLOOKUP(Table1[[#This Row],[5 cm2 cell test code]:[5 cm2 cell test code]],[1]!Table1[[Test code]:[Test code]],[1]!Table1[Anode ICR/mOhm],"",0)</f>
        <v>#REF!</v>
      </c>
      <c r="AD162" s="69" t="e" cm="1">
        <f t="array" ref="AD162">_xlfn.XLOOKUP(Table1[[#This Row],[5 cm2 cell test code]:[5 cm2 cell test code]],[1]!Table1[[Test code]:[Test code]],[1]!Table1[HFR DIW/ mOhm cm2],"",0)</f>
        <v>#REF!</v>
      </c>
      <c r="AE162" s="69" t="e" cm="1">
        <f t="array" ref="AE162">_xlfn.XLOOKUP(Table1[[#This Row],[5 cm2 cell test code]:[5 cm2 cell test code]],[1]!Table1[[Test code]:[Test code]],[1]!Table1[HFR 10 mM KOH/ mOhm cm2],"",0)</f>
        <v>#REF!</v>
      </c>
      <c r="AF162" s="69" t="e" cm="1">
        <f t="array" ref="AF162">_xlfn.XLOOKUP(Table1[[#This Row],[5 cm2 cell test code]:[5 cm2 cell test code]],[1]!Table1[[Test code]:[Test code]],[1]!Table1[Ionic resistance DIW/Ohm cm2],"",0)</f>
        <v>#REF!</v>
      </c>
      <c r="AG162" s="69" t="e" cm="1">
        <f t="array" ref="AG162">_xlfn.XLOOKUP(Table1[[#This Row],[5 cm2 cell test code]:[5 cm2 cell test code]],[1]!Table1[[Test code]:[Test code]],[1]!Table1[Q_int_frac DIW],"",0)</f>
        <v>#REF!</v>
      </c>
      <c r="AH162" s="69" t="e" cm="1">
        <f t="array" ref="AH162">_xlfn.XLOOKUP(Table1[[#This Row],[5 cm2 cell test code]:[5 cm2 cell test code]],[1]!Table1[[Test code]:[Test code]],[1]!Table1[Ionic resistance 10 mM KOH/Ohm cm2],"",0)</f>
        <v>#REF!</v>
      </c>
      <c r="AI162" s="69" t="e" cm="1">
        <f t="array" ref="AI162">_xlfn.XLOOKUP(Table1[[#This Row],[5 cm2 cell test code]:[5 cm2 cell test code]],[1]!Table1[[Test code]:[Test code]],[1]!Table1[Q_int_frac DIW 10 mM KOH],"",0)</f>
        <v>#REF!</v>
      </c>
      <c r="AJ162" s="69" t="e" cm="1">
        <f t="array" ref="AJ162">_xlfn.XLOOKUP(Table1[[#This Row],[5 cm2 cell test code]:[5 cm2 cell test code]],[1]!Table1[[Test code]:[Test code]],[1]!Table1[DIW conductivity (µS/cm)],"",0)</f>
        <v>#REF!</v>
      </c>
      <c r="AQ162" s="4" t="str">
        <v>VSG02A-23207E1.09</v>
      </c>
      <c r="AR162" s="95">
        <f>COUNTIFS(Table1[Anode PN (Stack/cell electrodes)],AQ162,Table1[ƞ at 20mAcm-2 (mV)],"&lt;&gt;")</f>
        <v>0</v>
      </c>
      <c r="AS162" s="95">
        <f>COUNTIFS(Table1[Anode PN (Stack/cell electrodes)],AQ162,Table1[i @ 1.8 V DIW (A/cm2)],"&lt;&gt;")</f>
        <v>1</v>
      </c>
      <c r="AT162" s="95">
        <f>COUNTIFS(Table1[Anode PN (Stack/cell electrodes)],AQ162,Table1[i at 1.8 V 10 mM KOH (A/cm2)],"&lt;&gt;")</f>
        <v>1</v>
      </c>
      <c r="AU162" s="95">
        <f>COUNTIFS(Table1[Anode PN (Stack/cell electrodes)],AQ162,Table1[Ionic resistance DIW/Ohm cm2],"&lt;&gt;")</f>
        <v>1</v>
      </c>
      <c r="AV162" s="95">
        <f>COUNTIFS(Table1[Anode PN (Stack/cell electrodes)],AQ162,Table1[Ionic resistance 10 mM KOH/Ohm cm2],"&lt;&gt;")</f>
        <v>1</v>
      </c>
    </row>
    <row r="163" spans="1:48">
      <c r="A163" s="81"/>
      <c r="K163" s="43" t="s">
        <v>59</v>
      </c>
      <c r="U163" s="101"/>
      <c r="V163" s="101"/>
      <c r="W163" s="69" t="e" cm="1">
        <f t="array" ref="W163">_xlfn.XLOOKUP(Table1[[#This Row],[5 cm2 cell test code]:[5 cm2 cell test code]],[1]!Table1[[Test code]:[Test code]],[1]!Table1[i @ 1.8 V DIW (A/cm2)],"",0)</f>
        <v>#REF!</v>
      </c>
      <c r="X163" s="69" t="e" cm="1">
        <f t="array" ref="X163">_xlfn.XLOOKUP(Table1[[#This Row],[5 cm2 cell test code]:[5 cm2 cell test code]],[1]!Table1[[Test code]:[Test code]],[1]!Table1[i @ 1.8 V 10 mM KOH (A/cm2)],"",0)</f>
        <v>#REF!</v>
      </c>
      <c r="Y163" s="69" t="e" cm="1">
        <f t="array" ref="Y163">_xlfn.XLOOKUP(Table1[[#This Row],[5 cm2 cell test code]:[5 cm2 cell test code]],[1]!Table1[[Test code]:[Test code]],[1]!Table1[3-E ƞ at 20mAcm-2 (mV)],"",0)</f>
        <v>#REF!</v>
      </c>
      <c r="Z163" s="69" t="e" cm="1">
        <f t="array" ref="Z163">_xlfn.XLOOKUP(Table1[[#This Row],[5 cm2 cell test code]:[5 cm2 cell test code]],[1]!Table1[[Test code]:[Test code]],[1]!Table1[3-E Tafel slope (mV/dec)],"",0)</f>
        <v>#REF!</v>
      </c>
      <c r="AA163" s="69" t="e" cm="1">
        <f t="array" ref="AA163">_xlfn.XLOOKUP(Table1[[#This Row],[5 cm2 cell test code]:[5 cm2 cell test code]],[1]!Table1[[Test code]:[Test code]],[1]!Table1[E @ 100 mA/cm2 DIW/V],"",0)</f>
        <v>#REF!</v>
      </c>
      <c r="AB163" s="69" t="e" cm="1">
        <f t="array" ref="AB163">_xlfn.XLOOKUP(Table1[[#This Row],[5 cm2 cell test code]:[5 cm2 cell test code]],[1]!Table1[[Test code]:[Test code]],[1]!Table1[E @ 100 mA/cm2 10 mM KOH/V],"",0)</f>
        <v>#REF!</v>
      </c>
      <c r="AC163" s="69" t="e" cm="1">
        <f t="array" ref="AC163">_xlfn.XLOOKUP(Table1[[#This Row],[5 cm2 cell test code]:[5 cm2 cell test code]],[1]!Table1[[Test code]:[Test code]],[1]!Table1[Anode ICR/mOhm],"",0)</f>
        <v>#REF!</v>
      </c>
      <c r="AD163" s="69" t="e" cm="1">
        <f t="array" ref="AD163">_xlfn.XLOOKUP(Table1[[#This Row],[5 cm2 cell test code]:[5 cm2 cell test code]],[1]!Table1[[Test code]:[Test code]],[1]!Table1[HFR DIW/ mOhm cm2],"",0)</f>
        <v>#REF!</v>
      </c>
      <c r="AE163" s="69" t="e" cm="1">
        <f t="array" ref="AE163">_xlfn.XLOOKUP(Table1[[#This Row],[5 cm2 cell test code]:[5 cm2 cell test code]],[1]!Table1[[Test code]:[Test code]],[1]!Table1[HFR 10 mM KOH/ mOhm cm2],"",0)</f>
        <v>#REF!</v>
      </c>
      <c r="AF163" s="69" t="e" cm="1">
        <f t="array" ref="AF163">_xlfn.XLOOKUP(Table1[[#This Row],[5 cm2 cell test code]:[5 cm2 cell test code]],[1]!Table1[[Test code]:[Test code]],[1]!Table1[Ionic resistance DIW/Ohm cm2],"",0)</f>
        <v>#REF!</v>
      </c>
      <c r="AG163" s="69" t="e" cm="1">
        <f t="array" ref="AG163">_xlfn.XLOOKUP(Table1[[#This Row],[5 cm2 cell test code]:[5 cm2 cell test code]],[1]!Table1[[Test code]:[Test code]],[1]!Table1[Q_int_frac DIW],"",0)</f>
        <v>#REF!</v>
      </c>
      <c r="AH163" s="69" t="e" cm="1">
        <f t="array" ref="AH163">_xlfn.XLOOKUP(Table1[[#This Row],[5 cm2 cell test code]:[5 cm2 cell test code]],[1]!Table1[[Test code]:[Test code]],[1]!Table1[Ionic resistance 10 mM KOH/Ohm cm2],"",0)</f>
        <v>#REF!</v>
      </c>
      <c r="AI163" s="69" t="e" cm="1">
        <f t="array" ref="AI163">_xlfn.XLOOKUP(Table1[[#This Row],[5 cm2 cell test code]:[5 cm2 cell test code]],[1]!Table1[[Test code]:[Test code]],[1]!Table1[Q_int_frac DIW 10 mM KOH],"",0)</f>
        <v>#REF!</v>
      </c>
      <c r="AJ163" s="69" t="e" cm="1">
        <f t="array" ref="AJ163">_xlfn.XLOOKUP(Table1[[#This Row],[5 cm2 cell test code]:[5 cm2 cell test code]],[1]!Table1[[Test code]:[Test code]],[1]!Table1[DIW conductivity (µS/cm)],"",0)</f>
        <v>#REF!</v>
      </c>
      <c r="AQ163" s="4" t="str">
        <v>VSG02A-23208E1</v>
      </c>
      <c r="AR163" s="95">
        <f>COUNTIFS(Table1[Anode PN (Stack/cell electrodes)],AQ163,Table1[ƞ at 20mAcm-2 (mV)],"&lt;&gt;")</f>
        <v>0</v>
      </c>
      <c r="AS163" s="95">
        <f>COUNTIFS(Table1[Anode PN (Stack/cell electrodes)],AQ163,Table1[i @ 1.8 V DIW (A/cm2)],"&lt;&gt;")</f>
        <v>1</v>
      </c>
      <c r="AT163" s="95">
        <f>COUNTIFS(Table1[Anode PN (Stack/cell electrodes)],AQ163,Table1[i at 1.8 V 10 mM KOH (A/cm2)],"&lt;&gt;")</f>
        <v>1</v>
      </c>
      <c r="AU163" s="95">
        <f>COUNTIFS(Table1[Anode PN (Stack/cell electrodes)],AQ163,Table1[Ionic resistance DIW/Ohm cm2],"&lt;&gt;")</f>
        <v>1</v>
      </c>
      <c r="AV163" s="95">
        <f>COUNTIFS(Table1[Anode PN (Stack/cell electrodes)],AQ163,Table1[Ionic resistance 10 mM KOH/Ohm cm2],"&lt;&gt;")</f>
        <v>1</v>
      </c>
    </row>
    <row r="164" spans="1:48">
      <c r="A164" s="81" t="s">
        <v>323</v>
      </c>
      <c r="B164" s="11" t="s">
        <v>324</v>
      </c>
      <c r="C164" s="4" t="s">
        <v>325</v>
      </c>
      <c r="I164" s="11" t="s">
        <v>219</v>
      </c>
      <c r="J164" s="11" t="s">
        <v>134</v>
      </c>
      <c r="K164" s="43" t="s">
        <v>59</v>
      </c>
      <c r="M164" s="13">
        <f>(12.0689-12.1378)*1000/(11*12)</f>
        <v>-0.52196969696970508</v>
      </c>
      <c r="N164" s="13">
        <v>4.0670000000000002</v>
      </c>
      <c r="R164" s="4">
        <v>1.3320000000000001</v>
      </c>
      <c r="S164" s="4">
        <v>227.34</v>
      </c>
      <c r="T164" s="4">
        <v>38.19</v>
      </c>
      <c r="U164" s="101"/>
      <c r="V164" s="101"/>
      <c r="W164" s="69" t="e" cm="1">
        <f t="array" ref="W164">_xlfn.XLOOKUP(Table1[[#This Row],[5 cm2 cell test code]:[5 cm2 cell test code]],[1]!Table1[[Test code]:[Test code]],[1]!Table1[i @ 1.8 V DIW (A/cm2)],"",0)</f>
        <v>#REF!</v>
      </c>
      <c r="X164" s="69" t="e" cm="1">
        <f t="array" ref="X164">_xlfn.XLOOKUP(Table1[[#This Row],[5 cm2 cell test code]:[5 cm2 cell test code]],[1]!Table1[[Test code]:[Test code]],[1]!Table1[i @ 1.8 V 10 mM KOH (A/cm2)],"",0)</f>
        <v>#REF!</v>
      </c>
      <c r="Y164" s="69" t="e" cm="1">
        <f t="array" ref="Y164">_xlfn.XLOOKUP(Table1[[#This Row],[5 cm2 cell test code]:[5 cm2 cell test code]],[1]!Table1[[Test code]:[Test code]],[1]!Table1[3-E ƞ at 20mAcm-2 (mV)],"",0)</f>
        <v>#REF!</v>
      </c>
      <c r="Z164" s="69" t="e" cm="1">
        <f t="array" ref="Z164">_xlfn.XLOOKUP(Table1[[#This Row],[5 cm2 cell test code]:[5 cm2 cell test code]],[1]!Table1[[Test code]:[Test code]],[1]!Table1[3-E Tafel slope (mV/dec)],"",0)</f>
        <v>#REF!</v>
      </c>
      <c r="AA164" s="69" t="e" cm="1">
        <f t="array" ref="AA164">_xlfn.XLOOKUP(Table1[[#This Row],[5 cm2 cell test code]:[5 cm2 cell test code]],[1]!Table1[[Test code]:[Test code]],[1]!Table1[E @ 100 mA/cm2 DIW/V],"",0)</f>
        <v>#REF!</v>
      </c>
      <c r="AB164" s="69" t="e" cm="1">
        <f t="array" ref="AB164">_xlfn.XLOOKUP(Table1[[#This Row],[5 cm2 cell test code]:[5 cm2 cell test code]],[1]!Table1[[Test code]:[Test code]],[1]!Table1[E @ 100 mA/cm2 10 mM KOH/V],"",0)</f>
        <v>#REF!</v>
      </c>
      <c r="AC164" s="69" t="e" cm="1">
        <f t="array" ref="AC164">_xlfn.XLOOKUP(Table1[[#This Row],[5 cm2 cell test code]:[5 cm2 cell test code]],[1]!Table1[[Test code]:[Test code]],[1]!Table1[Anode ICR/mOhm],"",0)</f>
        <v>#REF!</v>
      </c>
      <c r="AD164" s="69" t="e" cm="1">
        <f t="array" ref="AD164">_xlfn.XLOOKUP(Table1[[#This Row],[5 cm2 cell test code]:[5 cm2 cell test code]],[1]!Table1[[Test code]:[Test code]],[1]!Table1[HFR DIW/ mOhm cm2],"",0)</f>
        <v>#REF!</v>
      </c>
      <c r="AE164" s="69" t="e" cm="1">
        <f t="array" ref="AE164">_xlfn.XLOOKUP(Table1[[#This Row],[5 cm2 cell test code]:[5 cm2 cell test code]],[1]!Table1[[Test code]:[Test code]],[1]!Table1[HFR 10 mM KOH/ mOhm cm2],"",0)</f>
        <v>#REF!</v>
      </c>
      <c r="AF164" s="69" t="e" cm="1">
        <f t="array" ref="AF164">_xlfn.XLOOKUP(Table1[[#This Row],[5 cm2 cell test code]:[5 cm2 cell test code]],[1]!Table1[[Test code]:[Test code]],[1]!Table1[Ionic resistance DIW/Ohm cm2],"",0)</f>
        <v>#REF!</v>
      </c>
      <c r="AG164" s="69" t="e" cm="1">
        <f t="array" ref="AG164">_xlfn.XLOOKUP(Table1[[#This Row],[5 cm2 cell test code]:[5 cm2 cell test code]],[1]!Table1[[Test code]:[Test code]],[1]!Table1[Q_int_frac DIW],"",0)</f>
        <v>#REF!</v>
      </c>
      <c r="AH164" s="69" t="e" cm="1">
        <f t="array" ref="AH164">_xlfn.XLOOKUP(Table1[[#This Row],[5 cm2 cell test code]:[5 cm2 cell test code]],[1]!Table1[[Test code]:[Test code]],[1]!Table1[Ionic resistance 10 mM KOH/Ohm cm2],"",0)</f>
        <v>#REF!</v>
      </c>
      <c r="AI164" s="69" t="e" cm="1">
        <f t="array" ref="AI164">_xlfn.XLOOKUP(Table1[[#This Row],[5 cm2 cell test code]:[5 cm2 cell test code]],[1]!Table1[[Test code]:[Test code]],[1]!Table1[Q_int_frac DIW 10 mM KOH],"",0)</f>
        <v>#REF!</v>
      </c>
      <c r="AJ164" s="69" t="e" cm="1">
        <f t="array" ref="AJ164">_xlfn.XLOOKUP(Table1[[#This Row],[5 cm2 cell test code]:[5 cm2 cell test code]],[1]!Table1[[Test code]:[Test code]],[1]!Table1[DIW conductivity (µS/cm)],"",0)</f>
        <v>#REF!</v>
      </c>
      <c r="AQ164" s="4" t="str">
        <v>VSG02A-23215E1</v>
      </c>
      <c r="AR164" s="95">
        <f>COUNTIFS(Table1[Anode PN (Stack/cell electrodes)],AQ164,Table1[ƞ at 20mAcm-2 (mV)],"&lt;&gt;")</f>
        <v>0</v>
      </c>
      <c r="AS164" s="95">
        <f>COUNTIFS(Table1[Anode PN (Stack/cell electrodes)],AQ164,Table1[i @ 1.8 V DIW (A/cm2)],"&lt;&gt;")</f>
        <v>1</v>
      </c>
      <c r="AT164" s="95">
        <f>COUNTIFS(Table1[Anode PN (Stack/cell electrodes)],AQ164,Table1[i at 1.8 V 10 mM KOH (A/cm2)],"&lt;&gt;")</f>
        <v>1</v>
      </c>
      <c r="AU164" s="95">
        <f>COUNTIFS(Table1[Anode PN (Stack/cell electrodes)],AQ164,Table1[Ionic resistance DIW/Ohm cm2],"&lt;&gt;")</f>
        <v>1</v>
      </c>
      <c r="AV164" s="95">
        <f>COUNTIFS(Table1[Anode PN (Stack/cell electrodes)],AQ164,Table1[Ionic resistance 10 mM KOH/Ohm cm2],"&lt;&gt;")</f>
        <v>1</v>
      </c>
    </row>
    <row r="165" spans="1:48">
      <c r="A165" s="81"/>
      <c r="K165" s="43" t="s">
        <v>59</v>
      </c>
      <c r="U165" s="101"/>
      <c r="V165" s="101"/>
      <c r="W165" s="69" t="e" cm="1">
        <f t="array" ref="W165">_xlfn.XLOOKUP(Table1[[#This Row],[5 cm2 cell test code]:[5 cm2 cell test code]],[1]!Table1[[Test code]:[Test code]],[1]!Table1[i @ 1.8 V DIW (A/cm2)],"",0)</f>
        <v>#REF!</v>
      </c>
      <c r="X165" s="69" t="e" cm="1">
        <f t="array" ref="X165">_xlfn.XLOOKUP(Table1[[#This Row],[5 cm2 cell test code]:[5 cm2 cell test code]],[1]!Table1[[Test code]:[Test code]],[1]!Table1[i @ 1.8 V 10 mM KOH (A/cm2)],"",0)</f>
        <v>#REF!</v>
      </c>
      <c r="Y165" s="69" t="e" cm="1">
        <f t="array" ref="Y165">_xlfn.XLOOKUP(Table1[[#This Row],[5 cm2 cell test code]:[5 cm2 cell test code]],[1]!Table1[[Test code]:[Test code]],[1]!Table1[3-E ƞ at 20mAcm-2 (mV)],"",0)</f>
        <v>#REF!</v>
      </c>
      <c r="Z165" s="69" t="e" cm="1">
        <f t="array" ref="Z165">_xlfn.XLOOKUP(Table1[[#This Row],[5 cm2 cell test code]:[5 cm2 cell test code]],[1]!Table1[[Test code]:[Test code]],[1]!Table1[3-E Tafel slope (mV/dec)],"",0)</f>
        <v>#REF!</v>
      </c>
      <c r="AA165" s="69" t="e" cm="1">
        <f t="array" ref="AA165">_xlfn.XLOOKUP(Table1[[#This Row],[5 cm2 cell test code]:[5 cm2 cell test code]],[1]!Table1[[Test code]:[Test code]],[1]!Table1[E @ 100 mA/cm2 DIW/V],"",0)</f>
        <v>#REF!</v>
      </c>
      <c r="AB165" s="69" t="e" cm="1">
        <f t="array" ref="AB165">_xlfn.XLOOKUP(Table1[[#This Row],[5 cm2 cell test code]:[5 cm2 cell test code]],[1]!Table1[[Test code]:[Test code]],[1]!Table1[E @ 100 mA/cm2 10 mM KOH/V],"",0)</f>
        <v>#REF!</v>
      </c>
      <c r="AC165" s="69" t="e" cm="1">
        <f t="array" ref="AC165">_xlfn.XLOOKUP(Table1[[#This Row],[5 cm2 cell test code]:[5 cm2 cell test code]],[1]!Table1[[Test code]:[Test code]],[1]!Table1[Anode ICR/mOhm],"",0)</f>
        <v>#REF!</v>
      </c>
      <c r="AD165" s="69" t="e" cm="1">
        <f t="array" ref="AD165">_xlfn.XLOOKUP(Table1[[#This Row],[5 cm2 cell test code]:[5 cm2 cell test code]],[1]!Table1[[Test code]:[Test code]],[1]!Table1[HFR DIW/ mOhm cm2],"",0)</f>
        <v>#REF!</v>
      </c>
      <c r="AE165" s="69" t="e" cm="1">
        <f t="array" ref="AE165">_xlfn.XLOOKUP(Table1[[#This Row],[5 cm2 cell test code]:[5 cm2 cell test code]],[1]!Table1[[Test code]:[Test code]],[1]!Table1[HFR 10 mM KOH/ mOhm cm2],"",0)</f>
        <v>#REF!</v>
      </c>
      <c r="AF165" s="69" t="e" cm="1">
        <f t="array" ref="AF165">_xlfn.XLOOKUP(Table1[[#This Row],[5 cm2 cell test code]:[5 cm2 cell test code]],[1]!Table1[[Test code]:[Test code]],[1]!Table1[Ionic resistance DIW/Ohm cm2],"",0)</f>
        <v>#REF!</v>
      </c>
      <c r="AG165" s="69" t="e" cm="1">
        <f t="array" ref="AG165">_xlfn.XLOOKUP(Table1[[#This Row],[5 cm2 cell test code]:[5 cm2 cell test code]],[1]!Table1[[Test code]:[Test code]],[1]!Table1[Q_int_frac DIW],"",0)</f>
        <v>#REF!</v>
      </c>
      <c r="AH165" s="69" t="e" cm="1">
        <f t="array" ref="AH165">_xlfn.XLOOKUP(Table1[[#This Row],[5 cm2 cell test code]:[5 cm2 cell test code]],[1]!Table1[[Test code]:[Test code]],[1]!Table1[Ionic resistance 10 mM KOH/Ohm cm2],"",0)</f>
        <v>#REF!</v>
      </c>
      <c r="AI165" s="69" t="e" cm="1">
        <f t="array" ref="AI165">_xlfn.XLOOKUP(Table1[[#This Row],[5 cm2 cell test code]:[5 cm2 cell test code]],[1]!Table1[[Test code]:[Test code]],[1]!Table1[Q_int_frac DIW 10 mM KOH],"",0)</f>
        <v>#REF!</v>
      </c>
      <c r="AJ165" s="69" t="e" cm="1">
        <f t="array" ref="AJ165">_xlfn.XLOOKUP(Table1[[#This Row],[5 cm2 cell test code]:[5 cm2 cell test code]],[1]!Table1[[Test code]:[Test code]],[1]!Table1[DIW conductivity (µS/cm)],"",0)</f>
        <v>#REF!</v>
      </c>
      <c r="AQ165" s="4" t="str">
        <v>VSG02A-23216E1</v>
      </c>
      <c r="AR165" s="95">
        <f>COUNTIFS(Table1[Anode PN (Stack/cell electrodes)],AQ165,Table1[ƞ at 20mAcm-2 (mV)],"&lt;&gt;")</f>
        <v>1</v>
      </c>
      <c r="AS165" s="95">
        <f>COUNTIFS(Table1[Anode PN (Stack/cell electrodes)],AQ165,Table1[i @ 1.8 V DIW (A/cm2)],"&lt;&gt;")</f>
        <v>1</v>
      </c>
      <c r="AT165" s="95">
        <f>COUNTIFS(Table1[Anode PN (Stack/cell electrodes)],AQ165,Table1[i at 1.8 V 10 mM KOH (A/cm2)],"&lt;&gt;")</f>
        <v>1</v>
      </c>
      <c r="AU165" s="95">
        <f>COUNTIFS(Table1[Anode PN (Stack/cell electrodes)],AQ165,Table1[Ionic resistance DIW/Ohm cm2],"&lt;&gt;")</f>
        <v>1</v>
      </c>
      <c r="AV165" s="95">
        <f>COUNTIFS(Table1[Anode PN (Stack/cell electrodes)],AQ165,Table1[Ionic resistance 10 mM KOH/Ohm cm2],"&lt;&gt;")</f>
        <v>1</v>
      </c>
    </row>
    <row r="166" spans="1:48" ht="21">
      <c r="A166" s="81"/>
      <c r="B166" s="11" t="s">
        <v>326</v>
      </c>
      <c r="C166" s="4" t="s">
        <v>327</v>
      </c>
      <c r="I166" s="11" t="s">
        <v>219</v>
      </c>
      <c r="J166" s="11" t="s">
        <v>134</v>
      </c>
      <c r="K166" s="43" t="s">
        <v>59</v>
      </c>
      <c r="M166" s="13">
        <f>(12.0374-12.0643)*1000/(11*12)</f>
        <v>-0.20378787878787485</v>
      </c>
      <c r="N166" s="13">
        <v>4.55</v>
      </c>
      <c r="R166" s="4">
        <v>1.1579999999999999</v>
      </c>
      <c r="S166" s="4">
        <v>230.81</v>
      </c>
      <c r="T166" s="4">
        <v>34.76</v>
      </c>
      <c r="U166" s="101"/>
      <c r="V166" s="101"/>
      <c r="W166" s="69" t="e" cm="1">
        <f t="array" ref="W166">_xlfn.XLOOKUP(Table1[[#This Row],[5 cm2 cell test code]:[5 cm2 cell test code]],[1]!Table1[[Test code]:[Test code]],[1]!Table1[i @ 1.8 V DIW (A/cm2)],"",0)</f>
        <v>#REF!</v>
      </c>
      <c r="X166" s="69" t="e" cm="1">
        <f t="array" ref="X166">_xlfn.XLOOKUP(Table1[[#This Row],[5 cm2 cell test code]:[5 cm2 cell test code]],[1]!Table1[[Test code]:[Test code]],[1]!Table1[i @ 1.8 V 10 mM KOH (A/cm2)],"",0)</f>
        <v>#REF!</v>
      </c>
      <c r="Y166" s="69" t="e" cm="1">
        <f t="array" ref="Y166">_xlfn.XLOOKUP(Table1[[#This Row],[5 cm2 cell test code]:[5 cm2 cell test code]],[1]!Table1[[Test code]:[Test code]],[1]!Table1[3-E ƞ at 20mAcm-2 (mV)],"",0)</f>
        <v>#REF!</v>
      </c>
      <c r="Z166" s="69" t="e" cm="1">
        <f t="array" ref="Z166">_xlfn.XLOOKUP(Table1[[#This Row],[5 cm2 cell test code]:[5 cm2 cell test code]],[1]!Table1[[Test code]:[Test code]],[1]!Table1[3-E Tafel slope (mV/dec)],"",0)</f>
        <v>#REF!</v>
      </c>
      <c r="AA166" s="69" t="e" cm="1">
        <f t="array" ref="AA166">_xlfn.XLOOKUP(Table1[[#This Row],[5 cm2 cell test code]:[5 cm2 cell test code]],[1]!Table1[[Test code]:[Test code]],[1]!Table1[E @ 100 mA/cm2 DIW/V],"",0)</f>
        <v>#REF!</v>
      </c>
      <c r="AB166" s="69" t="e" cm="1">
        <f t="array" ref="AB166">_xlfn.XLOOKUP(Table1[[#This Row],[5 cm2 cell test code]:[5 cm2 cell test code]],[1]!Table1[[Test code]:[Test code]],[1]!Table1[E @ 100 mA/cm2 10 mM KOH/V],"",0)</f>
        <v>#REF!</v>
      </c>
      <c r="AC166" s="69" t="e" cm="1">
        <f t="array" ref="AC166">_xlfn.XLOOKUP(Table1[[#This Row],[5 cm2 cell test code]:[5 cm2 cell test code]],[1]!Table1[[Test code]:[Test code]],[1]!Table1[Anode ICR/mOhm],"",0)</f>
        <v>#REF!</v>
      </c>
      <c r="AD166" s="69" t="e" cm="1">
        <f t="array" ref="AD166">_xlfn.XLOOKUP(Table1[[#This Row],[5 cm2 cell test code]:[5 cm2 cell test code]],[1]!Table1[[Test code]:[Test code]],[1]!Table1[HFR DIW/ mOhm cm2],"",0)</f>
        <v>#REF!</v>
      </c>
      <c r="AE166" s="69" t="e" cm="1">
        <f t="array" ref="AE166">_xlfn.XLOOKUP(Table1[[#This Row],[5 cm2 cell test code]:[5 cm2 cell test code]],[1]!Table1[[Test code]:[Test code]],[1]!Table1[HFR 10 mM KOH/ mOhm cm2],"",0)</f>
        <v>#REF!</v>
      </c>
      <c r="AF166" s="69" t="e" cm="1">
        <f t="array" ref="AF166">_xlfn.XLOOKUP(Table1[[#This Row],[5 cm2 cell test code]:[5 cm2 cell test code]],[1]!Table1[[Test code]:[Test code]],[1]!Table1[Ionic resistance DIW/Ohm cm2],"",0)</f>
        <v>#REF!</v>
      </c>
      <c r="AG166" s="69" t="e" cm="1">
        <f t="array" ref="AG166">_xlfn.XLOOKUP(Table1[[#This Row],[5 cm2 cell test code]:[5 cm2 cell test code]],[1]!Table1[[Test code]:[Test code]],[1]!Table1[Q_int_frac DIW],"",0)</f>
        <v>#REF!</v>
      </c>
      <c r="AH166" s="69" t="e" cm="1">
        <f t="array" ref="AH166">_xlfn.XLOOKUP(Table1[[#This Row],[5 cm2 cell test code]:[5 cm2 cell test code]],[1]!Table1[[Test code]:[Test code]],[1]!Table1[Ionic resistance 10 mM KOH/Ohm cm2],"",0)</f>
        <v>#REF!</v>
      </c>
      <c r="AI166" s="69" t="e" cm="1">
        <f t="array" ref="AI166">_xlfn.XLOOKUP(Table1[[#This Row],[5 cm2 cell test code]:[5 cm2 cell test code]],[1]!Table1[[Test code]:[Test code]],[1]!Table1[Q_int_frac DIW 10 mM KOH],"",0)</f>
        <v>#REF!</v>
      </c>
      <c r="AJ166" s="69" t="e" cm="1">
        <f t="array" ref="AJ166">_xlfn.XLOOKUP(Table1[[#This Row],[5 cm2 cell test code]:[5 cm2 cell test code]],[1]!Table1[[Test code]:[Test code]],[1]!Table1[DIW conductivity (µS/cm)],"",0)</f>
        <v>#REF!</v>
      </c>
      <c r="AQ166" s="4" t="str">
        <v>VSG02A-23219E1</v>
      </c>
      <c r="AR166" s="95">
        <f>COUNTIFS(Table1[Anode PN (Stack/cell electrodes)],AQ166,Table1[ƞ at 20mAcm-2 (mV)],"&lt;&gt;")</f>
        <v>0</v>
      </c>
      <c r="AS166" s="95">
        <f>COUNTIFS(Table1[Anode PN (Stack/cell electrodes)],AQ166,Table1[i @ 1.8 V DIW (A/cm2)],"&lt;&gt;")</f>
        <v>1</v>
      </c>
      <c r="AT166" s="95">
        <f>COUNTIFS(Table1[Anode PN (Stack/cell electrodes)],AQ166,Table1[i at 1.8 V 10 mM KOH (A/cm2)],"&lt;&gt;")</f>
        <v>1</v>
      </c>
      <c r="AU166" s="95">
        <f>COUNTIFS(Table1[Anode PN (Stack/cell electrodes)],AQ166,Table1[Ionic resistance DIW/Ohm cm2],"&lt;&gt;")</f>
        <v>1</v>
      </c>
      <c r="AV166" s="95">
        <f>COUNTIFS(Table1[Anode PN (Stack/cell electrodes)],AQ166,Table1[Ionic resistance 10 mM KOH/Ohm cm2],"&lt;&gt;")</f>
        <v>1</v>
      </c>
    </row>
    <row r="167" spans="1:48" ht="21">
      <c r="A167" s="81"/>
      <c r="B167" s="11" t="s">
        <v>328</v>
      </c>
      <c r="C167" s="4" t="s">
        <v>329</v>
      </c>
      <c r="I167" s="11" t="s">
        <v>219</v>
      </c>
      <c r="J167" s="11" t="s">
        <v>134</v>
      </c>
      <c r="K167" s="43" t="s">
        <v>59</v>
      </c>
      <c r="M167" s="13">
        <f>(12.0058-12.0215)*1000/(12*11)</f>
        <v>-0.11893939393938589</v>
      </c>
      <c r="N167" s="13">
        <v>3.4420000000000002</v>
      </c>
      <c r="R167" s="4">
        <v>1.135</v>
      </c>
      <c r="S167" s="4">
        <v>233.65</v>
      </c>
      <c r="T167" s="4">
        <v>33.92</v>
      </c>
      <c r="U167" s="101"/>
      <c r="V167" s="101"/>
      <c r="W167" s="69" t="e" cm="1">
        <f t="array" ref="W167">_xlfn.XLOOKUP(Table1[[#This Row],[5 cm2 cell test code]:[5 cm2 cell test code]],[1]!Table1[[Test code]:[Test code]],[1]!Table1[i @ 1.8 V DIW (A/cm2)],"",0)</f>
        <v>#REF!</v>
      </c>
      <c r="X167" s="69" t="e" cm="1">
        <f t="array" ref="X167">_xlfn.XLOOKUP(Table1[[#This Row],[5 cm2 cell test code]:[5 cm2 cell test code]],[1]!Table1[[Test code]:[Test code]],[1]!Table1[i @ 1.8 V 10 mM KOH (A/cm2)],"",0)</f>
        <v>#REF!</v>
      </c>
      <c r="Y167" s="69" t="e" cm="1">
        <f t="array" ref="Y167">_xlfn.XLOOKUP(Table1[[#This Row],[5 cm2 cell test code]:[5 cm2 cell test code]],[1]!Table1[[Test code]:[Test code]],[1]!Table1[3-E ƞ at 20mAcm-2 (mV)],"",0)</f>
        <v>#REF!</v>
      </c>
      <c r="Z167" s="69" t="e" cm="1">
        <f t="array" ref="Z167">_xlfn.XLOOKUP(Table1[[#This Row],[5 cm2 cell test code]:[5 cm2 cell test code]],[1]!Table1[[Test code]:[Test code]],[1]!Table1[3-E Tafel slope (mV/dec)],"",0)</f>
        <v>#REF!</v>
      </c>
      <c r="AA167" s="69" t="e" cm="1">
        <f t="array" ref="AA167">_xlfn.XLOOKUP(Table1[[#This Row],[5 cm2 cell test code]:[5 cm2 cell test code]],[1]!Table1[[Test code]:[Test code]],[1]!Table1[E @ 100 mA/cm2 DIW/V],"",0)</f>
        <v>#REF!</v>
      </c>
      <c r="AB167" s="69" t="e" cm="1">
        <f t="array" ref="AB167">_xlfn.XLOOKUP(Table1[[#This Row],[5 cm2 cell test code]:[5 cm2 cell test code]],[1]!Table1[[Test code]:[Test code]],[1]!Table1[E @ 100 mA/cm2 10 mM KOH/V],"",0)</f>
        <v>#REF!</v>
      </c>
      <c r="AC167" s="69" t="e" cm="1">
        <f t="array" ref="AC167">_xlfn.XLOOKUP(Table1[[#This Row],[5 cm2 cell test code]:[5 cm2 cell test code]],[1]!Table1[[Test code]:[Test code]],[1]!Table1[Anode ICR/mOhm],"",0)</f>
        <v>#REF!</v>
      </c>
      <c r="AD167" s="69" t="e" cm="1">
        <f t="array" ref="AD167">_xlfn.XLOOKUP(Table1[[#This Row],[5 cm2 cell test code]:[5 cm2 cell test code]],[1]!Table1[[Test code]:[Test code]],[1]!Table1[HFR DIW/ mOhm cm2],"",0)</f>
        <v>#REF!</v>
      </c>
      <c r="AE167" s="69" t="e" cm="1">
        <f t="array" ref="AE167">_xlfn.XLOOKUP(Table1[[#This Row],[5 cm2 cell test code]:[5 cm2 cell test code]],[1]!Table1[[Test code]:[Test code]],[1]!Table1[HFR 10 mM KOH/ mOhm cm2],"",0)</f>
        <v>#REF!</v>
      </c>
      <c r="AF167" s="69" t="e" cm="1">
        <f t="array" ref="AF167">_xlfn.XLOOKUP(Table1[[#This Row],[5 cm2 cell test code]:[5 cm2 cell test code]],[1]!Table1[[Test code]:[Test code]],[1]!Table1[Ionic resistance DIW/Ohm cm2],"",0)</f>
        <v>#REF!</v>
      </c>
      <c r="AG167" s="69" t="e" cm="1">
        <f t="array" ref="AG167">_xlfn.XLOOKUP(Table1[[#This Row],[5 cm2 cell test code]:[5 cm2 cell test code]],[1]!Table1[[Test code]:[Test code]],[1]!Table1[Q_int_frac DIW],"",0)</f>
        <v>#REF!</v>
      </c>
      <c r="AH167" s="69" t="e" cm="1">
        <f t="array" ref="AH167">_xlfn.XLOOKUP(Table1[[#This Row],[5 cm2 cell test code]:[5 cm2 cell test code]],[1]!Table1[[Test code]:[Test code]],[1]!Table1[Ionic resistance 10 mM KOH/Ohm cm2],"",0)</f>
        <v>#REF!</v>
      </c>
      <c r="AI167" s="69" t="e" cm="1">
        <f t="array" ref="AI167">_xlfn.XLOOKUP(Table1[[#This Row],[5 cm2 cell test code]:[5 cm2 cell test code]],[1]!Table1[[Test code]:[Test code]],[1]!Table1[Q_int_frac DIW 10 mM KOH],"",0)</f>
        <v>#REF!</v>
      </c>
      <c r="AJ167" s="69" t="e" cm="1">
        <f t="array" ref="AJ167">_xlfn.XLOOKUP(Table1[[#This Row],[5 cm2 cell test code]:[5 cm2 cell test code]],[1]!Table1[[Test code]:[Test code]],[1]!Table1[DIW conductivity (µS/cm)],"",0)</f>
        <v>#REF!</v>
      </c>
      <c r="AQ167" s="4" t="str">
        <v>VSG02A-23220E1</v>
      </c>
      <c r="AR167" s="95">
        <f>COUNTIFS(Table1[Anode PN (Stack/cell electrodes)],AQ167,Table1[ƞ at 20mAcm-2 (mV)],"&lt;&gt;")</f>
        <v>1</v>
      </c>
      <c r="AS167" s="95">
        <f>COUNTIFS(Table1[Anode PN (Stack/cell electrodes)],AQ167,Table1[i @ 1.8 V DIW (A/cm2)],"&lt;&gt;")</f>
        <v>1</v>
      </c>
      <c r="AT167" s="95">
        <f>COUNTIFS(Table1[Anode PN (Stack/cell electrodes)],AQ167,Table1[i at 1.8 V 10 mM KOH (A/cm2)],"&lt;&gt;")</f>
        <v>1</v>
      </c>
      <c r="AU167" s="95">
        <f>COUNTIFS(Table1[Anode PN (Stack/cell electrodes)],AQ167,Table1[Ionic resistance DIW/Ohm cm2],"&lt;&gt;")</f>
        <v>1</v>
      </c>
      <c r="AV167" s="95">
        <f>COUNTIFS(Table1[Anode PN (Stack/cell electrodes)],AQ167,Table1[Ionic resistance 10 mM KOH/Ohm cm2],"&lt;&gt;")</f>
        <v>1</v>
      </c>
    </row>
    <row r="168" spans="1:48">
      <c r="A168" s="81"/>
      <c r="K168" s="43" t="s">
        <v>59</v>
      </c>
      <c r="U168" s="101"/>
      <c r="V168" s="101"/>
      <c r="W168" s="69" t="e" cm="1">
        <f t="array" ref="W168">_xlfn.XLOOKUP(Table1[[#This Row],[5 cm2 cell test code]:[5 cm2 cell test code]],[1]!Table1[[Test code]:[Test code]],[1]!Table1[i @ 1.8 V DIW (A/cm2)],"",0)</f>
        <v>#REF!</v>
      </c>
      <c r="X168" s="69" t="e" cm="1">
        <f t="array" ref="X168">_xlfn.XLOOKUP(Table1[[#This Row],[5 cm2 cell test code]:[5 cm2 cell test code]],[1]!Table1[[Test code]:[Test code]],[1]!Table1[i @ 1.8 V 10 mM KOH (A/cm2)],"",0)</f>
        <v>#REF!</v>
      </c>
      <c r="Y168" s="69" t="e" cm="1">
        <f t="array" ref="Y168">_xlfn.XLOOKUP(Table1[[#This Row],[5 cm2 cell test code]:[5 cm2 cell test code]],[1]!Table1[[Test code]:[Test code]],[1]!Table1[3-E ƞ at 20mAcm-2 (mV)],"",0)</f>
        <v>#REF!</v>
      </c>
      <c r="Z168" s="69" t="e" cm="1">
        <f t="array" ref="Z168">_xlfn.XLOOKUP(Table1[[#This Row],[5 cm2 cell test code]:[5 cm2 cell test code]],[1]!Table1[[Test code]:[Test code]],[1]!Table1[3-E Tafel slope (mV/dec)],"",0)</f>
        <v>#REF!</v>
      </c>
      <c r="AA168" s="69" t="e" cm="1">
        <f t="array" ref="AA168">_xlfn.XLOOKUP(Table1[[#This Row],[5 cm2 cell test code]:[5 cm2 cell test code]],[1]!Table1[[Test code]:[Test code]],[1]!Table1[E @ 100 mA/cm2 DIW/V],"",0)</f>
        <v>#REF!</v>
      </c>
      <c r="AB168" s="69" t="e" cm="1">
        <f t="array" ref="AB168">_xlfn.XLOOKUP(Table1[[#This Row],[5 cm2 cell test code]:[5 cm2 cell test code]],[1]!Table1[[Test code]:[Test code]],[1]!Table1[E @ 100 mA/cm2 10 mM KOH/V],"",0)</f>
        <v>#REF!</v>
      </c>
      <c r="AC168" s="69" t="e" cm="1">
        <f t="array" ref="AC168">_xlfn.XLOOKUP(Table1[[#This Row],[5 cm2 cell test code]:[5 cm2 cell test code]],[1]!Table1[[Test code]:[Test code]],[1]!Table1[Anode ICR/mOhm],"",0)</f>
        <v>#REF!</v>
      </c>
      <c r="AD168" s="69" t="e" cm="1">
        <f t="array" ref="AD168">_xlfn.XLOOKUP(Table1[[#This Row],[5 cm2 cell test code]:[5 cm2 cell test code]],[1]!Table1[[Test code]:[Test code]],[1]!Table1[HFR DIW/ mOhm cm2],"",0)</f>
        <v>#REF!</v>
      </c>
      <c r="AE168" s="69" t="e" cm="1">
        <f t="array" ref="AE168">_xlfn.XLOOKUP(Table1[[#This Row],[5 cm2 cell test code]:[5 cm2 cell test code]],[1]!Table1[[Test code]:[Test code]],[1]!Table1[HFR 10 mM KOH/ mOhm cm2],"",0)</f>
        <v>#REF!</v>
      </c>
      <c r="AF168" s="69" t="e" cm="1">
        <f t="array" ref="AF168">_xlfn.XLOOKUP(Table1[[#This Row],[5 cm2 cell test code]:[5 cm2 cell test code]],[1]!Table1[[Test code]:[Test code]],[1]!Table1[Ionic resistance DIW/Ohm cm2],"",0)</f>
        <v>#REF!</v>
      </c>
      <c r="AG168" s="69" t="e" cm="1">
        <f t="array" ref="AG168">_xlfn.XLOOKUP(Table1[[#This Row],[5 cm2 cell test code]:[5 cm2 cell test code]],[1]!Table1[[Test code]:[Test code]],[1]!Table1[Q_int_frac DIW],"",0)</f>
        <v>#REF!</v>
      </c>
      <c r="AH168" s="69" t="e" cm="1">
        <f t="array" ref="AH168">_xlfn.XLOOKUP(Table1[[#This Row],[5 cm2 cell test code]:[5 cm2 cell test code]],[1]!Table1[[Test code]:[Test code]],[1]!Table1[Ionic resistance 10 mM KOH/Ohm cm2],"",0)</f>
        <v>#REF!</v>
      </c>
      <c r="AI168" s="69" t="e" cm="1">
        <f t="array" ref="AI168">_xlfn.XLOOKUP(Table1[[#This Row],[5 cm2 cell test code]:[5 cm2 cell test code]],[1]!Table1[[Test code]:[Test code]],[1]!Table1[Q_int_frac DIW 10 mM KOH],"",0)</f>
        <v>#REF!</v>
      </c>
      <c r="AJ168" s="69" t="e" cm="1">
        <f t="array" ref="AJ168">_xlfn.XLOOKUP(Table1[[#This Row],[5 cm2 cell test code]:[5 cm2 cell test code]],[1]!Table1[[Test code]:[Test code]],[1]!Table1[DIW conductivity (µS/cm)],"",0)</f>
        <v>#REF!</v>
      </c>
      <c r="AQ168" s="4" t="str">
        <v>VSG02A-23220E1.01</v>
      </c>
      <c r="AR168" s="95">
        <f>COUNTIFS(Table1[Anode PN (Stack/cell electrodes)],AQ168,Table1[ƞ at 20mAcm-2 (mV)],"&lt;&gt;")</f>
        <v>0</v>
      </c>
      <c r="AS168" s="95">
        <f>COUNTIFS(Table1[Anode PN (Stack/cell electrodes)],AQ168,Table1[i @ 1.8 V DIW (A/cm2)],"&lt;&gt;")</f>
        <v>1</v>
      </c>
      <c r="AT168" s="95">
        <f>COUNTIFS(Table1[Anode PN (Stack/cell electrodes)],AQ168,Table1[i at 1.8 V 10 mM KOH (A/cm2)],"&lt;&gt;")</f>
        <v>1</v>
      </c>
      <c r="AU168" s="95">
        <f>COUNTIFS(Table1[Anode PN (Stack/cell electrodes)],AQ168,Table1[Ionic resistance DIW/Ohm cm2],"&lt;&gt;")</f>
        <v>1</v>
      </c>
      <c r="AV168" s="95">
        <f>COUNTIFS(Table1[Anode PN (Stack/cell electrodes)],AQ168,Table1[Ionic resistance 10 mM KOH/Ohm cm2],"&lt;&gt;")</f>
        <v>1</v>
      </c>
    </row>
    <row r="169" spans="1:48">
      <c r="A169" s="81"/>
      <c r="B169" s="11" t="s">
        <v>330</v>
      </c>
      <c r="C169" s="4" t="s">
        <v>331</v>
      </c>
      <c r="I169" s="11" t="s">
        <v>219</v>
      </c>
      <c r="J169" s="11" t="s">
        <v>134</v>
      </c>
      <c r="K169" s="43" t="s">
        <v>59</v>
      </c>
      <c r="M169" s="13">
        <f>(25.29-25.22)*1000/(12*23)</f>
        <v>0.25362318840579812</v>
      </c>
      <c r="R169" s="4">
        <v>1.1779999999999999</v>
      </c>
      <c r="S169" s="4">
        <v>228.49</v>
      </c>
      <c r="T169" s="4">
        <v>32.78</v>
      </c>
      <c r="U169" s="101"/>
      <c r="V169" s="101"/>
      <c r="W169" s="69" t="e" cm="1">
        <f t="array" ref="W169">_xlfn.XLOOKUP(Table1[[#This Row],[5 cm2 cell test code]:[5 cm2 cell test code]],[1]!Table1[[Test code]:[Test code]],[1]!Table1[i @ 1.8 V DIW (A/cm2)],"",0)</f>
        <v>#REF!</v>
      </c>
      <c r="X169" s="69" t="e" cm="1">
        <f t="array" ref="X169">_xlfn.XLOOKUP(Table1[[#This Row],[5 cm2 cell test code]:[5 cm2 cell test code]],[1]!Table1[[Test code]:[Test code]],[1]!Table1[i @ 1.8 V 10 mM KOH (A/cm2)],"",0)</f>
        <v>#REF!</v>
      </c>
      <c r="Y169" s="69" t="e" cm="1">
        <f t="array" ref="Y169">_xlfn.XLOOKUP(Table1[[#This Row],[5 cm2 cell test code]:[5 cm2 cell test code]],[1]!Table1[[Test code]:[Test code]],[1]!Table1[3-E ƞ at 20mAcm-2 (mV)],"",0)</f>
        <v>#REF!</v>
      </c>
      <c r="Z169" s="69" t="e" cm="1">
        <f t="array" ref="Z169">_xlfn.XLOOKUP(Table1[[#This Row],[5 cm2 cell test code]:[5 cm2 cell test code]],[1]!Table1[[Test code]:[Test code]],[1]!Table1[3-E Tafel slope (mV/dec)],"",0)</f>
        <v>#REF!</v>
      </c>
      <c r="AA169" s="69" t="e" cm="1">
        <f t="array" ref="AA169">_xlfn.XLOOKUP(Table1[[#This Row],[5 cm2 cell test code]:[5 cm2 cell test code]],[1]!Table1[[Test code]:[Test code]],[1]!Table1[E @ 100 mA/cm2 DIW/V],"",0)</f>
        <v>#REF!</v>
      </c>
      <c r="AB169" s="69" t="e" cm="1">
        <f t="array" ref="AB169">_xlfn.XLOOKUP(Table1[[#This Row],[5 cm2 cell test code]:[5 cm2 cell test code]],[1]!Table1[[Test code]:[Test code]],[1]!Table1[E @ 100 mA/cm2 10 mM KOH/V],"",0)</f>
        <v>#REF!</v>
      </c>
      <c r="AC169" s="69" t="e" cm="1">
        <f t="array" ref="AC169">_xlfn.XLOOKUP(Table1[[#This Row],[5 cm2 cell test code]:[5 cm2 cell test code]],[1]!Table1[[Test code]:[Test code]],[1]!Table1[Anode ICR/mOhm],"",0)</f>
        <v>#REF!</v>
      </c>
      <c r="AD169" s="69" t="e" cm="1">
        <f t="array" ref="AD169">_xlfn.XLOOKUP(Table1[[#This Row],[5 cm2 cell test code]:[5 cm2 cell test code]],[1]!Table1[[Test code]:[Test code]],[1]!Table1[HFR DIW/ mOhm cm2],"",0)</f>
        <v>#REF!</v>
      </c>
      <c r="AE169" s="69" t="e" cm="1">
        <f t="array" ref="AE169">_xlfn.XLOOKUP(Table1[[#This Row],[5 cm2 cell test code]:[5 cm2 cell test code]],[1]!Table1[[Test code]:[Test code]],[1]!Table1[HFR 10 mM KOH/ mOhm cm2],"",0)</f>
        <v>#REF!</v>
      </c>
      <c r="AF169" s="69" t="e" cm="1">
        <f t="array" ref="AF169">_xlfn.XLOOKUP(Table1[[#This Row],[5 cm2 cell test code]:[5 cm2 cell test code]],[1]!Table1[[Test code]:[Test code]],[1]!Table1[Ionic resistance DIW/Ohm cm2],"",0)</f>
        <v>#REF!</v>
      </c>
      <c r="AG169" s="69" t="e" cm="1">
        <f t="array" ref="AG169">_xlfn.XLOOKUP(Table1[[#This Row],[5 cm2 cell test code]:[5 cm2 cell test code]],[1]!Table1[[Test code]:[Test code]],[1]!Table1[Q_int_frac DIW],"",0)</f>
        <v>#REF!</v>
      </c>
      <c r="AH169" s="69" t="e" cm="1">
        <f t="array" ref="AH169">_xlfn.XLOOKUP(Table1[[#This Row],[5 cm2 cell test code]:[5 cm2 cell test code]],[1]!Table1[[Test code]:[Test code]],[1]!Table1[Ionic resistance 10 mM KOH/Ohm cm2],"",0)</f>
        <v>#REF!</v>
      </c>
      <c r="AI169" s="69" t="e" cm="1">
        <f t="array" ref="AI169">_xlfn.XLOOKUP(Table1[[#This Row],[5 cm2 cell test code]:[5 cm2 cell test code]],[1]!Table1[[Test code]:[Test code]],[1]!Table1[Q_int_frac DIW 10 mM KOH],"",0)</f>
        <v>#REF!</v>
      </c>
      <c r="AJ169" s="69" t="e" cm="1">
        <f t="array" ref="AJ169">_xlfn.XLOOKUP(Table1[[#This Row],[5 cm2 cell test code]:[5 cm2 cell test code]],[1]!Table1[[Test code]:[Test code]],[1]!Table1[DIW conductivity (µS/cm)],"",0)</f>
        <v>#REF!</v>
      </c>
      <c r="AQ169" s="4" t="str">
        <v>VSG02A-23221E1</v>
      </c>
      <c r="AR169" s="95">
        <f>COUNTIFS(Table1[Anode PN (Stack/cell electrodes)],AQ169,Table1[ƞ at 20mAcm-2 (mV)],"&lt;&gt;")</f>
        <v>0</v>
      </c>
      <c r="AS169" s="95">
        <f>COUNTIFS(Table1[Anode PN (Stack/cell electrodes)],AQ169,Table1[i @ 1.8 V DIW (A/cm2)],"&lt;&gt;")</f>
        <v>1</v>
      </c>
      <c r="AT169" s="95">
        <f>COUNTIFS(Table1[Anode PN (Stack/cell electrodes)],AQ169,Table1[i at 1.8 V 10 mM KOH (A/cm2)],"&lt;&gt;")</f>
        <v>1</v>
      </c>
      <c r="AU169" s="95">
        <f>COUNTIFS(Table1[Anode PN (Stack/cell electrodes)],AQ169,Table1[Ionic resistance DIW/Ohm cm2],"&lt;&gt;")</f>
        <v>1</v>
      </c>
      <c r="AV169" s="95">
        <f>COUNTIFS(Table1[Anode PN (Stack/cell electrodes)],AQ169,Table1[Ionic resistance 10 mM KOH/Ohm cm2],"&lt;&gt;")</f>
        <v>1</v>
      </c>
    </row>
    <row r="170" spans="1:48" ht="21">
      <c r="A170" s="81" t="s">
        <v>332</v>
      </c>
      <c r="B170" s="48" t="s">
        <v>333</v>
      </c>
      <c r="C170" s="49" t="s">
        <v>334</v>
      </c>
      <c r="D170" s="26"/>
      <c r="E170" s="26"/>
      <c r="F170" s="26"/>
      <c r="G170" s="26"/>
      <c r="H170" s="26"/>
      <c r="I170" s="11" t="s">
        <v>219</v>
      </c>
      <c r="K170" s="43" t="s">
        <v>59</v>
      </c>
      <c r="N170" s="13">
        <v>3.9390000000000001</v>
      </c>
      <c r="O170" s="42" t="s">
        <v>335</v>
      </c>
      <c r="P170" s="28">
        <f>(11.0062-10.8317)*1000/(10.8*10.8)</f>
        <v>1.4960562414266125</v>
      </c>
      <c r="U170" s="101"/>
      <c r="V170" s="101"/>
      <c r="W170" s="69" t="e" cm="1">
        <f t="array" ref="W170">_xlfn.XLOOKUP(Table1[[#This Row],[5 cm2 cell test code]:[5 cm2 cell test code]],[1]!Table1[[Test code]:[Test code]],[1]!Table1[i @ 1.8 V DIW (A/cm2)],"",0)</f>
        <v>#REF!</v>
      </c>
      <c r="X170" s="69" t="e" cm="1">
        <f t="array" ref="X170">_xlfn.XLOOKUP(Table1[[#This Row],[5 cm2 cell test code]:[5 cm2 cell test code]],[1]!Table1[[Test code]:[Test code]],[1]!Table1[i @ 1.8 V 10 mM KOH (A/cm2)],"",0)</f>
        <v>#REF!</v>
      </c>
      <c r="Y170" s="69" t="e" cm="1">
        <f t="array" ref="Y170">_xlfn.XLOOKUP(Table1[[#This Row],[5 cm2 cell test code]:[5 cm2 cell test code]],[1]!Table1[[Test code]:[Test code]],[1]!Table1[3-E ƞ at 20mAcm-2 (mV)],"",0)</f>
        <v>#REF!</v>
      </c>
      <c r="Z170" s="69" t="e" cm="1">
        <f t="array" ref="Z170">_xlfn.XLOOKUP(Table1[[#This Row],[5 cm2 cell test code]:[5 cm2 cell test code]],[1]!Table1[[Test code]:[Test code]],[1]!Table1[3-E Tafel slope (mV/dec)],"",0)</f>
        <v>#REF!</v>
      </c>
      <c r="AA170" s="69" t="e" cm="1">
        <f t="array" ref="AA170">_xlfn.XLOOKUP(Table1[[#This Row],[5 cm2 cell test code]:[5 cm2 cell test code]],[1]!Table1[[Test code]:[Test code]],[1]!Table1[E @ 100 mA/cm2 DIW/V],"",0)</f>
        <v>#REF!</v>
      </c>
      <c r="AB170" s="69" t="e" cm="1">
        <f t="array" ref="AB170">_xlfn.XLOOKUP(Table1[[#This Row],[5 cm2 cell test code]:[5 cm2 cell test code]],[1]!Table1[[Test code]:[Test code]],[1]!Table1[E @ 100 mA/cm2 10 mM KOH/V],"",0)</f>
        <v>#REF!</v>
      </c>
      <c r="AC170" s="69" t="e" cm="1">
        <f t="array" ref="AC170">_xlfn.XLOOKUP(Table1[[#This Row],[5 cm2 cell test code]:[5 cm2 cell test code]],[1]!Table1[[Test code]:[Test code]],[1]!Table1[Anode ICR/mOhm],"",0)</f>
        <v>#REF!</v>
      </c>
      <c r="AD170" s="69" t="e" cm="1">
        <f t="array" ref="AD170">_xlfn.XLOOKUP(Table1[[#This Row],[5 cm2 cell test code]:[5 cm2 cell test code]],[1]!Table1[[Test code]:[Test code]],[1]!Table1[HFR DIW/ mOhm cm2],"",0)</f>
        <v>#REF!</v>
      </c>
      <c r="AE170" s="69" t="e" cm="1">
        <f t="array" ref="AE170">_xlfn.XLOOKUP(Table1[[#This Row],[5 cm2 cell test code]:[5 cm2 cell test code]],[1]!Table1[[Test code]:[Test code]],[1]!Table1[HFR 10 mM KOH/ mOhm cm2],"",0)</f>
        <v>#REF!</v>
      </c>
      <c r="AF170" s="69" t="e" cm="1">
        <f t="array" ref="AF170">_xlfn.XLOOKUP(Table1[[#This Row],[5 cm2 cell test code]:[5 cm2 cell test code]],[1]!Table1[[Test code]:[Test code]],[1]!Table1[Ionic resistance DIW/Ohm cm2],"",0)</f>
        <v>#REF!</v>
      </c>
      <c r="AG170" s="69" t="e" cm="1">
        <f t="array" ref="AG170">_xlfn.XLOOKUP(Table1[[#This Row],[5 cm2 cell test code]:[5 cm2 cell test code]],[1]!Table1[[Test code]:[Test code]],[1]!Table1[Q_int_frac DIW],"",0)</f>
        <v>#REF!</v>
      </c>
      <c r="AH170" s="69" t="e" cm="1">
        <f t="array" ref="AH170">_xlfn.XLOOKUP(Table1[[#This Row],[5 cm2 cell test code]:[5 cm2 cell test code]],[1]!Table1[[Test code]:[Test code]],[1]!Table1[Ionic resistance 10 mM KOH/Ohm cm2],"",0)</f>
        <v>#REF!</v>
      </c>
      <c r="AI170" s="69" t="e" cm="1">
        <f t="array" ref="AI170">_xlfn.XLOOKUP(Table1[[#This Row],[5 cm2 cell test code]:[5 cm2 cell test code]],[1]!Table1[[Test code]:[Test code]],[1]!Table1[Q_int_frac DIW 10 mM KOH],"",0)</f>
        <v>#REF!</v>
      </c>
      <c r="AJ170" s="69" t="e" cm="1">
        <f t="array" ref="AJ170">_xlfn.XLOOKUP(Table1[[#This Row],[5 cm2 cell test code]:[5 cm2 cell test code]],[1]!Table1[[Test code]:[Test code]],[1]!Table1[DIW conductivity (µS/cm)],"",0)</f>
        <v>#REF!</v>
      </c>
      <c r="AQ170" s="4" t="str">
        <v>VSG02A-23222E1</v>
      </c>
      <c r="AR170" s="95">
        <f>COUNTIFS(Table1[Anode PN (Stack/cell electrodes)],AQ170,Table1[ƞ at 20mAcm-2 (mV)],"&lt;&gt;")</f>
        <v>0</v>
      </c>
      <c r="AS170" s="95">
        <f>COUNTIFS(Table1[Anode PN (Stack/cell electrodes)],AQ170,Table1[i @ 1.8 V DIW (A/cm2)],"&lt;&gt;")</f>
        <v>1</v>
      </c>
      <c r="AT170" s="95">
        <f>COUNTIFS(Table1[Anode PN (Stack/cell electrodes)],AQ170,Table1[i at 1.8 V 10 mM KOH (A/cm2)],"&lt;&gt;")</f>
        <v>1</v>
      </c>
      <c r="AU170" s="95">
        <f>COUNTIFS(Table1[Anode PN (Stack/cell electrodes)],AQ170,Table1[Ionic resistance DIW/Ohm cm2],"&lt;&gt;")</f>
        <v>1</v>
      </c>
      <c r="AV170" s="95">
        <f>COUNTIFS(Table1[Anode PN (Stack/cell electrodes)],AQ170,Table1[Ionic resistance 10 mM KOH/Ohm cm2],"&lt;&gt;")</f>
        <v>1</v>
      </c>
    </row>
    <row r="171" spans="1:48" ht="21">
      <c r="A171" s="81" t="s">
        <v>336</v>
      </c>
      <c r="B171" s="48" t="s">
        <v>337</v>
      </c>
      <c r="C171" s="49" t="s">
        <v>334</v>
      </c>
      <c r="D171" s="26"/>
      <c r="E171" s="26"/>
      <c r="F171" s="26"/>
      <c r="G171" s="26"/>
      <c r="H171" s="26"/>
      <c r="I171" s="11" t="s">
        <v>219</v>
      </c>
      <c r="K171" s="43" t="s">
        <v>59</v>
      </c>
      <c r="N171" s="13">
        <v>2.97</v>
      </c>
      <c r="O171" s="42" t="s">
        <v>338</v>
      </c>
      <c r="P171" s="28">
        <f>(10.9308-10.7643)*1000/(10.8*10.8)</f>
        <v>1.427469135802462</v>
      </c>
      <c r="U171" s="101"/>
      <c r="V171" s="101"/>
      <c r="W171" s="69" t="e" cm="1">
        <f t="array" ref="W171">_xlfn.XLOOKUP(Table1[[#This Row],[5 cm2 cell test code]:[5 cm2 cell test code]],[1]!Table1[[Test code]:[Test code]],[1]!Table1[i @ 1.8 V DIW (A/cm2)],"",0)</f>
        <v>#REF!</v>
      </c>
      <c r="X171" s="69" t="e" cm="1">
        <f t="array" ref="X171">_xlfn.XLOOKUP(Table1[[#This Row],[5 cm2 cell test code]:[5 cm2 cell test code]],[1]!Table1[[Test code]:[Test code]],[1]!Table1[i @ 1.8 V 10 mM KOH (A/cm2)],"",0)</f>
        <v>#REF!</v>
      </c>
      <c r="Y171" s="69" t="e" cm="1">
        <f t="array" ref="Y171">_xlfn.XLOOKUP(Table1[[#This Row],[5 cm2 cell test code]:[5 cm2 cell test code]],[1]!Table1[[Test code]:[Test code]],[1]!Table1[3-E ƞ at 20mAcm-2 (mV)],"",0)</f>
        <v>#REF!</v>
      </c>
      <c r="Z171" s="69" t="e" cm="1">
        <f t="array" ref="Z171">_xlfn.XLOOKUP(Table1[[#This Row],[5 cm2 cell test code]:[5 cm2 cell test code]],[1]!Table1[[Test code]:[Test code]],[1]!Table1[3-E Tafel slope (mV/dec)],"",0)</f>
        <v>#REF!</v>
      </c>
      <c r="AA171" s="69" t="e" cm="1">
        <f t="array" ref="AA171">_xlfn.XLOOKUP(Table1[[#This Row],[5 cm2 cell test code]:[5 cm2 cell test code]],[1]!Table1[[Test code]:[Test code]],[1]!Table1[E @ 100 mA/cm2 DIW/V],"",0)</f>
        <v>#REF!</v>
      </c>
      <c r="AB171" s="69" t="e" cm="1">
        <f t="array" ref="AB171">_xlfn.XLOOKUP(Table1[[#This Row],[5 cm2 cell test code]:[5 cm2 cell test code]],[1]!Table1[[Test code]:[Test code]],[1]!Table1[E @ 100 mA/cm2 10 mM KOH/V],"",0)</f>
        <v>#REF!</v>
      </c>
      <c r="AC171" s="69" t="e" cm="1">
        <f t="array" ref="AC171">_xlfn.XLOOKUP(Table1[[#This Row],[5 cm2 cell test code]:[5 cm2 cell test code]],[1]!Table1[[Test code]:[Test code]],[1]!Table1[Anode ICR/mOhm],"",0)</f>
        <v>#REF!</v>
      </c>
      <c r="AD171" s="69" t="e" cm="1">
        <f t="array" ref="AD171">_xlfn.XLOOKUP(Table1[[#This Row],[5 cm2 cell test code]:[5 cm2 cell test code]],[1]!Table1[[Test code]:[Test code]],[1]!Table1[HFR DIW/ mOhm cm2],"",0)</f>
        <v>#REF!</v>
      </c>
      <c r="AE171" s="69" t="e" cm="1">
        <f t="array" ref="AE171">_xlfn.XLOOKUP(Table1[[#This Row],[5 cm2 cell test code]:[5 cm2 cell test code]],[1]!Table1[[Test code]:[Test code]],[1]!Table1[HFR 10 mM KOH/ mOhm cm2],"",0)</f>
        <v>#REF!</v>
      </c>
      <c r="AF171" s="69" t="e" cm="1">
        <f t="array" ref="AF171">_xlfn.XLOOKUP(Table1[[#This Row],[5 cm2 cell test code]:[5 cm2 cell test code]],[1]!Table1[[Test code]:[Test code]],[1]!Table1[Ionic resistance DIW/Ohm cm2],"",0)</f>
        <v>#REF!</v>
      </c>
      <c r="AG171" s="69" t="e" cm="1">
        <f t="array" ref="AG171">_xlfn.XLOOKUP(Table1[[#This Row],[5 cm2 cell test code]:[5 cm2 cell test code]],[1]!Table1[[Test code]:[Test code]],[1]!Table1[Q_int_frac DIW],"",0)</f>
        <v>#REF!</v>
      </c>
      <c r="AH171" s="69" t="e" cm="1">
        <f t="array" ref="AH171">_xlfn.XLOOKUP(Table1[[#This Row],[5 cm2 cell test code]:[5 cm2 cell test code]],[1]!Table1[[Test code]:[Test code]],[1]!Table1[Ionic resistance 10 mM KOH/Ohm cm2],"",0)</f>
        <v>#REF!</v>
      </c>
      <c r="AI171" s="69" t="e" cm="1">
        <f t="array" ref="AI171">_xlfn.XLOOKUP(Table1[[#This Row],[5 cm2 cell test code]:[5 cm2 cell test code]],[1]!Table1[[Test code]:[Test code]],[1]!Table1[Q_int_frac DIW 10 mM KOH],"",0)</f>
        <v>#REF!</v>
      </c>
      <c r="AJ171" s="69" t="e" cm="1">
        <f t="array" ref="AJ171">_xlfn.XLOOKUP(Table1[[#This Row],[5 cm2 cell test code]:[5 cm2 cell test code]],[1]!Table1[[Test code]:[Test code]],[1]!Table1[DIW conductivity (µS/cm)],"",0)</f>
        <v>#REF!</v>
      </c>
      <c r="AQ171" s="4" t="str">
        <v>VSG01A-23226E1</v>
      </c>
      <c r="AR171" s="95">
        <f>COUNTIFS(Table1[Anode PN (Stack/cell electrodes)],AQ171,Table1[ƞ at 20mAcm-2 (mV)],"&lt;&gt;")</f>
        <v>0</v>
      </c>
      <c r="AS171" s="95">
        <f>COUNTIFS(Table1[Anode PN (Stack/cell electrodes)],AQ171,Table1[i @ 1.8 V DIW (A/cm2)],"&lt;&gt;")</f>
        <v>1</v>
      </c>
      <c r="AT171" s="95">
        <f>COUNTIFS(Table1[Anode PN (Stack/cell electrodes)],AQ171,Table1[i at 1.8 V 10 mM KOH (A/cm2)],"&lt;&gt;")</f>
        <v>1</v>
      </c>
      <c r="AU171" s="95">
        <f>COUNTIFS(Table1[Anode PN (Stack/cell electrodes)],AQ171,Table1[Ionic resistance DIW/Ohm cm2],"&lt;&gt;")</f>
        <v>1</v>
      </c>
      <c r="AV171" s="95">
        <f>COUNTIFS(Table1[Anode PN (Stack/cell electrodes)],AQ171,Table1[Ionic resistance 10 mM KOH/Ohm cm2],"&lt;&gt;")</f>
        <v>1</v>
      </c>
    </row>
    <row r="172" spans="1:48">
      <c r="A172" s="81"/>
      <c r="K172" s="43" t="s">
        <v>59</v>
      </c>
      <c r="U172" s="101"/>
      <c r="V172" s="101"/>
      <c r="W172" s="69" t="e" cm="1">
        <f t="array" ref="W172">_xlfn.XLOOKUP(Table1[[#This Row],[5 cm2 cell test code]:[5 cm2 cell test code]],[1]!Table1[[Test code]:[Test code]],[1]!Table1[i @ 1.8 V DIW (A/cm2)],"",0)</f>
        <v>#REF!</v>
      </c>
      <c r="X172" s="69" t="e" cm="1">
        <f t="array" ref="X172">_xlfn.XLOOKUP(Table1[[#This Row],[5 cm2 cell test code]:[5 cm2 cell test code]],[1]!Table1[[Test code]:[Test code]],[1]!Table1[i @ 1.8 V 10 mM KOH (A/cm2)],"",0)</f>
        <v>#REF!</v>
      </c>
      <c r="Y172" s="69" t="e" cm="1">
        <f t="array" ref="Y172">_xlfn.XLOOKUP(Table1[[#This Row],[5 cm2 cell test code]:[5 cm2 cell test code]],[1]!Table1[[Test code]:[Test code]],[1]!Table1[3-E ƞ at 20mAcm-2 (mV)],"",0)</f>
        <v>#REF!</v>
      </c>
      <c r="Z172" s="69" t="e" cm="1">
        <f t="array" ref="Z172">_xlfn.XLOOKUP(Table1[[#This Row],[5 cm2 cell test code]:[5 cm2 cell test code]],[1]!Table1[[Test code]:[Test code]],[1]!Table1[3-E Tafel slope (mV/dec)],"",0)</f>
        <v>#REF!</v>
      </c>
      <c r="AA172" s="69" t="e" cm="1">
        <f t="array" ref="AA172">_xlfn.XLOOKUP(Table1[[#This Row],[5 cm2 cell test code]:[5 cm2 cell test code]],[1]!Table1[[Test code]:[Test code]],[1]!Table1[E @ 100 mA/cm2 DIW/V],"",0)</f>
        <v>#REF!</v>
      </c>
      <c r="AB172" s="69" t="e" cm="1">
        <f t="array" ref="AB172">_xlfn.XLOOKUP(Table1[[#This Row],[5 cm2 cell test code]:[5 cm2 cell test code]],[1]!Table1[[Test code]:[Test code]],[1]!Table1[E @ 100 mA/cm2 10 mM KOH/V],"",0)</f>
        <v>#REF!</v>
      </c>
      <c r="AC172" s="69" t="e" cm="1">
        <f t="array" ref="AC172">_xlfn.XLOOKUP(Table1[[#This Row],[5 cm2 cell test code]:[5 cm2 cell test code]],[1]!Table1[[Test code]:[Test code]],[1]!Table1[Anode ICR/mOhm],"",0)</f>
        <v>#REF!</v>
      </c>
      <c r="AD172" s="69" t="e" cm="1">
        <f t="array" ref="AD172">_xlfn.XLOOKUP(Table1[[#This Row],[5 cm2 cell test code]:[5 cm2 cell test code]],[1]!Table1[[Test code]:[Test code]],[1]!Table1[HFR DIW/ mOhm cm2],"",0)</f>
        <v>#REF!</v>
      </c>
      <c r="AE172" s="69" t="e" cm="1">
        <f t="array" ref="AE172">_xlfn.XLOOKUP(Table1[[#This Row],[5 cm2 cell test code]:[5 cm2 cell test code]],[1]!Table1[[Test code]:[Test code]],[1]!Table1[HFR 10 mM KOH/ mOhm cm2],"",0)</f>
        <v>#REF!</v>
      </c>
      <c r="AF172" s="69" t="e" cm="1">
        <f t="array" ref="AF172">_xlfn.XLOOKUP(Table1[[#This Row],[5 cm2 cell test code]:[5 cm2 cell test code]],[1]!Table1[[Test code]:[Test code]],[1]!Table1[Ionic resistance DIW/Ohm cm2],"",0)</f>
        <v>#REF!</v>
      </c>
      <c r="AG172" s="69" t="e" cm="1">
        <f t="array" ref="AG172">_xlfn.XLOOKUP(Table1[[#This Row],[5 cm2 cell test code]:[5 cm2 cell test code]],[1]!Table1[[Test code]:[Test code]],[1]!Table1[Q_int_frac DIW],"",0)</f>
        <v>#REF!</v>
      </c>
      <c r="AH172" s="69" t="e" cm="1">
        <f t="array" ref="AH172">_xlfn.XLOOKUP(Table1[[#This Row],[5 cm2 cell test code]:[5 cm2 cell test code]],[1]!Table1[[Test code]:[Test code]],[1]!Table1[Ionic resistance 10 mM KOH/Ohm cm2],"",0)</f>
        <v>#REF!</v>
      </c>
      <c r="AI172" s="69" t="e" cm="1">
        <f t="array" ref="AI172">_xlfn.XLOOKUP(Table1[[#This Row],[5 cm2 cell test code]:[5 cm2 cell test code]],[1]!Table1[[Test code]:[Test code]],[1]!Table1[Q_int_frac DIW 10 mM KOH],"",0)</f>
        <v>#REF!</v>
      </c>
      <c r="AJ172" s="69" t="e" cm="1">
        <f t="array" ref="AJ172">_xlfn.XLOOKUP(Table1[[#This Row],[5 cm2 cell test code]:[5 cm2 cell test code]],[1]!Table1[[Test code]:[Test code]],[1]!Table1[DIW conductivity (µS/cm)],"",0)</f>
        <v>#REF!</v>
      </c>
      <c r="AQ172" s="4" t="str">
        <v>VSG02A-23227E1</v>
      </c>
      <c r="AR172" s="95">
        <f>COUNTIFS(Table1[Anode PN (Stack/cell electrodes)],AQ172,Table1[ƞ at 20mAcm-2 (mV)],"&lt;&gt;")</f>
        <v>0</v>
      </c>
      <c r="AS172" s="95">
        <f>COUNTIFS(Table1[Anode PN (Stack/cell electrodes)],AQ172,Table1[i @ 1.8 V DIW (A/cm2)],"&lt;&gt;")</f>
        <v>1</v>
      </c>
      <c r="AT172" s="95">
        <f>COUNTIFS(Table1[Anode PN (Stack/cell electrodes)],AQ172,Table1[i at 1.8 V 10 mM KOH (A/cm2)],"&lt;&gt;")</f>
        <v>1</v>
      </c>
      <c r="AU172" s="95">
        <f>COUNTIFS(Table1[Anode PN (Stack/cell electrodes)],AQ172,Table1[Ionic resistance DIW/Ohm cm2],"&lt;&gt;")</f>
        <v>1</v>
      </c>
      <c r="AV172" s="95">
        <f>COUNTIFS(Table1[Anode PN (Stack/cell electrodes)],AQ172,Table1[Ionic resistance 10 mM KOH/Ohm cm2],"&lt;&gt;")</f>
        <v>1</v>
      </c>
    </row>
    <row r="173" spans="1:48">
      <c r="A173" s="81" t="s">
        <v>339</v>
      </c>
      <c r="B173" s="11" t="s">
        <v>340</v>
      </c>
      <c r="C173" s="4" t="s">
        <v>341</v>
      </c>
      <c r="I173" s="11" t="s">
        <v>114</v>
      </c>
      <c r="J173" s="11" t="s">
        <v>134</v>
      </c>
      <c r="K173" s="43" t="s">
        <v>59</v>
      </c>
      <c r="M173" s="13">
        <f>(59.62-58.88)*1000/(21.5*31.2)</f>
        <v>1.1031604054859794</v>
      </c>
      <c r="N173" s="13">
        <v>4.258</v>
      </c>
      <c r="P173" s="28">
        <v>1.45</v>
      </c>
      <c r="Q173" s="23">
        <f>_xlfn.STDEV.P(P173:P193)</f>
        <v>0.25439850618049958</v>
      </c>
      <c r="R173" s="23"/>
      <c r="S173" s="23"/>
      <c r="U173" s="101"/>
      <c r="V173" s="101"/>
      <c r="W173" s="69" t="e" cm="1">
        <f t="array" ref="W173">_xlfn.XLOOKUP(Table1[[#This Row],[5 cm2 cell test code]:[5 cm2 cell test code]],[1]!Table1[[Test code]:[Test code]],[1]!Table1[i @ 1.8 V DIW (A/cm2)],"",0)</f>
        <v>#REF!</v>
      </c>
      <c r="X173" s="69" t="e" cm="1">
        <f t="array" ref="X173">_xlfn.XLOOKUP(Table1[[#This Row],[5 cm2 cell test code]:[5 cm2 cell test code]],[1]!Table1[[Test code]:[Test code]],[1]!Table1[i @ 1.8 V 10 mM KOH (A/cm2)],"",0)</f>
        <v>#REF!</v>
      </c>
      <c r="Y173" s="69" t="e" cm="1">
        <f t="array" ref="Y173">_xlfn.XLOOKUP(Table1[[#This Row],[5 cm2 cell test code]:[5 cm2 cell test code]],[1]!Table1[[Test code]:[Test code]],[1]!Table1[3-E ƞ at 20mAcm-2 (mV)],"",0)</f>
        <v>#REF!</v>
      </c>
      <c r="Z173" s="69" t="e" cm="1">
        <f t="array" ref="Z173">_xlfn.XLOOKUP(Table1[[#This Row],[5 cm2 cell test code]:[5 cm2 cell test code]],[1]!Table1[[Test code]:[Test code]],[1]!Table1[3-E Tafel slope (mV/dec)],"",0)</f>
        <v>#REF!</v>
      </c>
      <c r="AA173" s="69" t="e" cm="1">
        <f t="array" ref="AA173">_xlfn.XLOOKUP(Table1[[#This Row],[5 cm2 cell test code]:[5 cm2 cell test code]],[1]!Table1[[Test code]:[Test code]],[1]!Table1[E @ 100 mA/cm2 DIW/V],"",0)</f>
        <v>#REF!</v>
      </c>
      <c r="AB173" s="69" t="e" cm="1">
        <f t="array" ref="AB173">_xlfn.XLOOKUP(Table1[[#This Row],[5 cm2 cell test code]:[5 cm2 cell test code]],[1]!Table1[[Test code]:[Test code]],[1]!Table1[E @ 100 mA/cm2 10 mM KOH/V],"",0)</f>
        <v>#REF!</v>
      </c>
      <c r="AC173" s="69" t="e" cm="1">
        <f t="array" ref="AC173">_xlfn.XLOOKUP(Table1[[#This Row],[5 cm2 cell test code]:[5 cm2 cell test code]],[1]!Table1[[Test code]:[Test code]],[1]!Table1[Anode ICR/mOhm],"",0)</f>
        <v>#REF!</v>
      </c>
      <c r="AD173" s="69" t="e" cm="1">
        <f t="array" ref="AD173">_xlfn.XLOOKUP(Table1[[#This Row],[5 cm2 cell test code]:[5 cm2 cell test code]],[1]!Table1[[Test code]:[Test code]],[1]!Table1[HFR DIW/ mOhm cm2],"",0)</f>
        <v>#REF!</v>
      </c>
      <c r="AE173" s="69" t="e" cm="1">
        <f t="array" ref="AE173">_xlfn.XLOOKUP(Table1[[#This Row],[5 cm2 cell test code]:[5 cm2 cell test code]],[1]!Table1[[Test code]:[Test code]],[1]!Table1[HFR 10 mM KOH/ mOhm cm2],"",0)</f>
        <v>#REF!</v>
      </c>
      <c r="AF173" s="69" t="e" cm="1">
        <f t="array" ref="AF173">_xlfn.XLOOKUP(Table1[[#This Row],[5 cm2 cell test code]:[5 cm2 cell test code]],[1]!Table1[[Test code]:[Test code]],[1]!Table1[Ionic resistance DIW/Ohm cm2],"",0)</f>
        <v>#REF!</v>
      </c>
      <c r="AG173" s="69" t="e" cm="1">
        <f t="array" ref="AG173">_xlfn.XLOOKUP(Table1[[#This Row],[5 cm2 cell test code]:[5 cm2 cell test code]],[1]!Table1[[Test code]:[Test code]],[1]!Table1[Q_int_frac DIW],"",0)</f>
        <v>#REF!</v>
      </c>
      <c r="AH173" s="69" t="e" cm="1">
        <f t="array" ref="AH173">_xlfn.XLOOKUP(Table1[[#This Row],[5 cm2 cell test code]:[5 cm2 cell test code]],[1]!Table1[[Test code]:[Test code]],[1]!Table1[Ionic resistance 10 mM KOH/Ohm cm2],"",0)</f>
        <v>#REF!</v>
      </c>
      <c r="AI173" s="69" t="e" cm="1">
        <f t="array" ref="AI173">_xlfn.XLOOKUP(Table1[[#This Row],[5 cm2 cell test code]:[5 cm2 cell test code]],[1]!Table1[[Test code]:[Test code]],[1]!Table1[Q_int_frac DIW 10 mM KOH],"",0)</f>
        <v>#REF!</v>
      </c>
      <c r="AJ173" s="69" t="e" cm="1">
        <f t="array" ref="AJ173">_xlfn.XLOOKUP(Table1[[#This Row],[5 cm2 cell test code]:[5 cm2 cell test code]],[1]!Table1[[Test code]:[Test code]],[1]!Table1[DIW conductivity (µS/cm)],"",0)</f>
        <v>#REF!</v>
      </c>
      <c r="AQ173" s="4" t="str">
        <v>VSG01A-23227E1.01</v>
      </c>
      <c r="AR173" s="95">
        <f>COUNTIFS(Table1[Anode PN (Stack/cell electrodes)],AQ173,Table1[ƞ at 20mAcm-2 (mV)],"&lt;&gt;")</f>
        <v>0</v>
      </c>
      <c r="AS173" s="95">
        <f>COUNTIFS(Table1[Anode PN (Stack/cell electrodes)],AQ173,Table1[i @ 1.8 V DIW (A/cm2)],"&lt;&gt;")</f>
        <v>1</v>
      </c>
      <c r="AT173" s="95">
        <f>COUNTIFS(Table1[Anode PN (Stack/cell electrodes)],AQ173,Table1[i at 1.8 V 10 mM KOH (A/cm2)],"&lt;&gt;")</f>
        <v>1</v>
      </c>
      <c r="AU173" s="95">
        <f>COUNTIFS(Table1[Anode PN (Stack/cell electrodes)],AQ173,Table1[Ionic resistance DIW/Ohm cm2],"&lt;&gt;")</f>
        <v>1</v>
      </c>
      <c r="AV173" s="95">
        <f>COUNTIFS(Table1[Anode PN (Stack/cell electrodes)],AQ173,Table1[Ionic resistance 10 mM KOH/Ohm cm2],"&lt;&gt;")</f>
        <v>1</v>
      </c>
    </row>
    <row r="174" spans="1:48">
      <c r="A174" s="81"/>
      <c r="B174" s="11" t="s">
        <v>342</v>
      </c>
      <c r="C174" s="4" t="s">
        <v>343</v>
      </c>
      <c r="I174" s="11" t="s">
        <v>114</v>
      </c>
      <c r="J174" s="11" t="s">
        <v>134</v>
      </c>
      <c r="K174" s="43" t="s">
        <v>59</v>
      </c>
      <c r="M174" s="13">
        <f>(64.88-64.28)*1000/(21.6*32.2)</f>
        <v>0.86266390614215871</v>
      </c>
      <c r="N174" s="13">
        <v>2.95</v>
      </c>
      <c r="O174" s="11" t="s">
        <v>344</v>
      </c>
      <c r="P174" s="28">
        <f>(63.66-62.91)*1000/(30.8*21.5)</f>
        <v>1.1325883418906675</v>
      </c>
      <c r="R174" s="4">
        <v>1.2669999999999999</v>
      </c>
      <c r="S174" s="4">
        <v>213.8</v>
      </c>
      <c r="T174" s="4">
        <v>30.7</v>
      </c>
      <c r="U174" s="101"/>
      <c r="V174" s="101"/>
      <c r="W174" s="69" t="e" cm="1">
        <f t="array" ref="W174">_xlfn.XLOOKUP(Table1[[#This Row],[5 cm2 cell test code]:[5 cm2 cell test code]],[1]!Table1[[Test code]:[Test code]],[1]!Table1[i @ 1.8 V DIW (A/cm2)],"",0)</f>
        <v>#REF!</v>
      </c>
      <c r="X174" s="69" t="e" cm="1">
        <f t="array" ref="X174">_xlfn.XLOOKUP(Table1[[#This Row],[5 cm2 cell test code]:[5 cm2 cell test code]],[1]!Table1[[Test code]:[Test code]],[1]!Table1[i @ 1.8 V 10 mM KOH (A/cm2)],"",0)</f>
        <v>#REF!</v>
      </c>
      <c r="Y174" s="69" t="e" cm="1">
        <f t="array" ref="Y174">_xlfn.XLOOKUP(Table1[[#This Row],[5 cm2 cell test code]:[5 cm2 cell test code]],[1]!Table1[[Test code]:[Test code]],[1]!Table1[3-E ƞ at 20mAcm-2 (mV)],"",0)</f>
        <v>#REF!</v>
      </c>
      <c r="Z174" s="69" t="e" cm="1">
        <f t="array" ref="Z174">_xlfn.XLOOKUP(Table1[[#This Row],[5 cm2 cell test code]:[5 cm2 cell test code]],[1]!Table1[[Test code]:[Test code]],[1]!Table1[3-E Tafel slope (mV/dec)],"",0)</f>
        <v>#REF!</v>
      </c>
      <c r="AA174" s="69" t="e" cm="1">
        <f t="array" ref="AA174">_xlfn.XLOOKUP(Table1[[#This Row],[5 cm2 cell test code]:[5 cm2 cell test code]],[1]!Table1[[Test code]:[Test code]],[1]!Table1[E @ 100 mA/cm2 DIW/V],"",0)</f>
        <v>#REF!</v>
      </c>
      <c r="AB174" s="69" t="e" cm="1">
        <f t="array" ref="AB174">_xlfn.XLOOKUP(Table1[[#This Row],[5 cm2 cell test code]:[5 cm2 cell test code]],[1]!Table1[[Test code]:[Test code]],[1]!Table1[E @ 100 mA/cm2 10 mM KOH/V],"",0)</f>
        <v>#REF!</v>
      </c>
      <c r="AC174" s="69" t="e" cm="1">
        <f t="array" ref="AC174">_xlfn.XLOOKUP(Table1[[#This Row],[5 cm2 cell test code]:[5 cm2 cell test code]],[1]!Table1[[Test code]:[Test code]],[1]!Table1[Anode ICR/mOhm],"",0)</f>
        <v>#REF!</v>
      </c>
      <c r="AD174" s="69" t="e" cm="1">
        <f t="array" ref="AD174">_xlfn.XLOOKUP(Table1[[#This Row],[5 cm2 cell test code]:[5 cm2 cell test code]],[1]!Table1[[Test code]:[Test code]],[1]!Table1[HFR DIW/ mOhm cm2],"",0)</f>
        <v>#REF!</v>
      </c>
      <c r="AE174" s="69" t="e" cm="1">
        <f t="array" ref="AE174">_xlfn.XLOOKUP(Table1[[#This Row],[5 cm2 cell test code]:[5 cm2 cell test code]],[1]!Table1[[Test code]:[Test code]],[1]!Table1[HFR 10 mM KOH/ mOhm cm2],"",0)</f>
        <v>#REF!</v>
      </c>
      <c r="AF174" s="69" t="e" cm="1">
        <f t="array" ref="AF174">_xlfn.XLOOKUP(Table1[[#This Row],[5 cm2 cell test code]:[5 cm2 cell test code]],[1]!Table1[[Test code]:[Test code]],[1]!Table1[Ionic resistance DIW/Ohm cm2],"",0)</f>
        <v>#REF!</v>
      </c>
      <c r="AG174" s="69" t="e" cm="1">
        <f t="array" ref="AG174">_xlfn.XLOOKUP(Table1[[#This Row],[5 cm2 cell test code]:[5 cm2 cell test code]],[1]!Table1[[Test code]:[Test code]],[1]!Table1[Q_int_frac DIW],"",0)</f>
        <v>#REF!</v>
      </c>
      <c r="AH174" s="69" t="e" cm="1">
        <f t="array" ref="AH174">_xlfn.XLOOKUP(Table1[[#This Row],[5 cm2 cell test code]:[5 cm2 cell test code]],[1]!Table1[[Test code]:[Test code]],[1]!Table1[Ionic resistance 10 mM KOH/Ohm cm2],"",0)</f>
        <v>#REF!</v>
      </c>
      <c r="AI174" s="69" t="e" cm="1">
        <f t="array" ref="AI174">_xlfn.XLOOKUP(Table1[[#This Row],[5 cm2 cell test code]:[5 cm2 cell test code]],[1]!Table1[[Test code]:[Test code]],[1]!Table1[Q_int_frac DIW 10 mM KOH],"",0)</f>
        <v>#REF!</v>
      </c>
      <c r="AJ174" s="69" t="e" cm="1">
        <f t="array" ref="AJ174">_xlfn.XLOOKUP(Table1[[#This Row],[5 cm2 cell test code]:[5 cm2 cell test code]],[1]!Table1[[Test code]:[Test code]],[1]!Table1[DIW conductivity (µS/cm)],"",0)</f>
        <v>#REF!</v>
      </c>
      <c r="AQ174" s="4" t="str">
        <v>VSG01A-23227E1.02</v>
      </c>
      <c r="AR174" s="95">
        <f>COUNTIFS(Table1[Anode PN (Stack/cell electrodes)],AQ174,Table1[ƞ at 20mAcm-2 (mV)],"&lt;&gt;")</f>
        <v>1</v>
      </c>
      <c r="AS174" s="95">
        <f>COUNTIFS(Table1[Anode PN (Stack/cell electrodes)],AQ174,Table1[i @ 1.8 V DIW (A/cm2)],"&lt;&gt;")</f>
        <v>1</v>
      </c>
      <c r="AT174" s="95">
        <f>COUNTIFS(Table1[Anode PN (Stack/cell electrodes)],AQ174,Table1[i at 1.8 V 10 mM KOH (A/cm2)],"&lt;&gt;")</f>
        <v>1</v>
      </c>
      <c r="AU174" s="95">
        <f>COUNTIFS(Table1[Anode PN (Stack/cell electrodes)],AQ174,Table1[Ionic resistance DIW/Ohm cm2],"&lt;&gt;")</f>
        <v>1</v>
      </c>
      <c r="AV174" s="95">
        <f>COUNTIFS(Table1[Anode PN (Stack/cell electrodes)],AQ174,Table1[Ionic resistance 10 mM KOH/Ohm cm2],"&lt;&gt;")</f>
        <v>1</v>
      </c>
    </row>
    <row r="175" spans="1:48">
      <c r="A175" s="81"/>
      <c r="B175" s="11" t="s">
        <v>345</v>
      </c>
      <c r="C175" s="4" t="s">
        <v>346</v>
      </c>
      <c r="I175" s="11" t="s">
        <v>114</v>
      </c>
      <c r="J175" s="11" t="s">
        <v>134</v>
      </c>
      <c r="K175" s="43" t="s">
        <v>59</v>
      </c>
      <c r="M175" s="13">
        <f>(65.39-64.86)*1000/(32.3*21.6)</f>
        <v>0.75966058938195324</v>
      </c>
      <c r="N175" s="13">
        <v>2.569</v>
      </c>
      <c r="O175" s="11" t="s">
        <v>347</v>
      </c>
      <c r="P175" s="28">
        <f>(63.52-62.79)*1000/(30.8*21.5)</f>
        <v>1.1023859861069223</v>
      </c>
      <c r="R175" s="4">
        <v>1.208</v>
      </c>
      <c r="S175" s="4">
        <v>215.09</v>
      </c>
      <c r="T175" s="4">
        <v>34.67</v>
      </c>
      <c r="U175" s="101"/>
      <c r="V175" s="101"/>
      <c r="W175" s="69" t="e" cm="1">
        <f t="array" ref="W175">_xlfn.XLOOKUP(Table1[[#This Row],[5 cm2 cell test code]:[5 cm2 cell test code]],[1]!Table1[[Test code]:[Test code]],[1]!Table1[i @ 1.8 V DIW (A/cm2)],"",0)</f>
        <v>#REF!</v>
      </c>
      <c r="X175" s="69" t="e" cm="1">
        <f t="array" ref="X175">_xlfn.XLOOKUP(Table1[[#This Row],[5 cm2 cell test code]:[5 cm2 cell test code]],[1]!Table1[[Test code]:[Test code]],[1]!Table1[i @ 1.8 V 10 mM KOH (A/cm2)],"",0)</f>
        <v>#REF!</v>
      </c>
      <c r="Y175" s="69" t="e" cm="1">
        <f t="array" ref="Y175">_xlfn.XLOOKUP(Table1[[#This Row],[5 cm2 cell test code]:[5 cm2 cell test code]],[1]!Table1[[Test code]:[Test code]],[1]!Table1[3-E ƞ at 20mAcm-2 (mV)],"",0)</f>
        <v>#REF!</v>
      </c>
      <c r="Z175" s="69" t="e" cm="1">
        <f t="array" ref="Z175">_xlfn.XLOOKUP(Table1[[#This Row],[5 cm2 cell test code]:[5 cm2 cell test code]],[1]!Table1[[Test code]:[Test code]],[1]!Table1[3-E Tafel slope (mV/dec)],"",0)</f>
        <v>#REF!</v>
      </c>
      <c r="AA175" s="69" t="e" cm="1">
        <f t="array" ref="AA175">_xlfn.XLOOKUP(Table1[[#This Row],[5 cm2 cell test code]:[5 cm2 cell test code]],[1]!Table1[[Test code]:[Test code]],[1]!Table1[E @ 100 mA/cm2 DIW/V],"",0)</f>
        <v>#REF!</v>
      </c>
      <c r="AB175" s="69" t="e" cm="1">
        <f t="array" ref="AB175">_xlfn.XLOOKUP(Table1[[#This Row],[5 cm2 cell test code]:[5 cm2 cell test code]],[1]!Table1[[Test code]:[Test code]],[1]!Table1[E @ 100 mA/cm2 10 mM KOH/V],"",0)</f>
        <v>#REF!</v>
      </c>
      <c r="AC175" s="69" t="e" cm="1">
        <f t="array" ref="AC175">_xlfn.XLOOKUP(Table1[[#This Row],[5 cm2 cell test code]:[5 cm2 cell test code]],[1]!Table1[[Test code]:[Test code]],[1]!Table1[Anode ICR/mOhm],"",0)</f>
        <v>#REF!</v>
      </c>
      <c r="AD175" s="69" t="e" cm="1">
        <f t="array" ref="AD175">_xlfn.XLOOKUP(Table1[[#This Row],[5 cm2 cell test code]:[5 cm2 cell test code]],[1]!Table1[[Test code]:[Test code]],[1]!Table1[HFR DIW/ mOhm cm2],"",0)</f>
        <v>#REF!</v>
      </c>
      <c r="AE175" s="69" t="e" cm="1">
        <f t="array" ref="AE175">_xlfn.XLOOKUP(Table1[[#This Row],[5 cm2 cell test code]:[5 cm2 cell test code]],[1]!Table1[[Test code]:[Test code]],[1]!Table1[HFR 10 mM KOH/ mOhm cm2],"",0)</f>
        <v>#REF!</v>
      </c>
      <c r="AF175" s="69" t="e" cm="1">
        <f t="array" ref="AF175">_xlfn.XLOOKUP(Table1[[#This Row],[5 cm2 cell test code]:[5 cm2 cell test code]],[1]!Table1[[Test code]:[Test code]],[1]!Table1[Ionic resistance DIW/Ohm cm2],"",0)</f>
        <v>#REF!</v>
      </c>
      <c r="AG175" s="69" t="e" cm="1">
        <f t="array" ref="AG175">_xlfn.XLOOKUP(Table1[[#This Row],[5 cm2 cell test code]:[5 cm2 cell test code]],[1]!Table1[[Test code]:[Test code]],[1]!Table1[Q_int_frac DIW],"",0)</f>
        <v>#REF!</v>
      </c>
      <c r="AH175" s="69" t="e" cm="1">
        <f t="array" ref="AH175">_xlfn.XLOOKUP(Table1[[#This Row],[5 cm2 cell test code]:[5 cm2 cell test code]],[1]!Table1[[Test code]:[Test code]],[1]!Table1[Ionic resistance 10 mM KOH/Ohm cm2],"",0)</f>
        <v>#REF!</v>
      </c>
      <c r="AI175" s="69" t="e" cm="1">
        <f t="array" ref="AI175">_xlfn.XLOOKUP(Table1[[#This Row],[5 cm2 cell test code]:[5 cm2 cell test code]],[1]!Table1[[Test code]:[Test code]],[1]!Table1[Q_int_frac DIW 10 mM KOH],"",0)</f>
        <v>#REF!</v>
      </c>
      <c r="AJ175" s="69" t="e" cm="1">
        <f t="array" ref="AJ175">_xlfn.XLOOKUP(Table1[[#This Row],[5 cm2 cell test code]:[5 cm2 cell test code]],[1]!Table1[[Test code]:[Test code]],[1]!Table1[DIW conductivity (µS/cm)],"",0)</f>
        <v>#REF!</v>
      </c>
      <c r="AQ175" s="4" t="str">
        <v>VSG01A-23228E1</v>
      </c>
      <c r="AR175" s="95">
        <f>COUNTIFS(Table1[Anode PN (Stack/cell electrodes)],AQ175,Table1[ƞ at 20mAcm-2 (mV)],"&lt;&gt;")</f>
        <v>0</v>
      </c>
      <c r="AS175" s="95">
        <f>COUNTIFS(Table1[Anode PN (Stack/cell electrodes)],AQ175,Table1[i @ 1.8 V DIW (A/cm2)],"&lt;&gt;")</f>
        <v>1</v>
      </c>
      <c r="AT175" s="95">
        <f>COUNTIFS(Table1[Anode PN (Stack/cell electrodes)],AQ175,Table1[i at 1.8 V 10 mM KOH (A/cm2)],"&lt;&gt;")</f>
        <v>1</v>
      </c>
      <c r="AU175" s="95">
        <f>COUNTIFS(Table1[Anode PN (Stack/cell electrodes)],AQ175,Table1[Ionic resistance DIW/Ohm cm2],"&lt;&gt;")</f>
        <v>1</v>
      </c>
      <c r="AV175" s="95">
        <f>COUNTIFS(Table1[Anode PN (Stack/cell electrodes)],AQ175,Table1[Ionic resistance 10 mM KOH/Ohm cm2],"&lt;&gt;")</f>
        <v>1</v>
      </c>
    </row>
    <row r="176" spans="1:48">
      <c r="A176" s="81" t="s">
        <v>348</v>
      </c>
      <c r="B176" s="11" t="s">
        <v>349</v>
      </c>
      <c r="C176" s="4" t="s">
        <v>350</v>
      </c>
      <c r="I176" s="11" t="s">
        <v>114</v>
      </c>
      <c r="J176" s="11" t="s">
        <v>134</v>
      </c>
      <c r="K176" s="43" t="s">
        <v>59</v>
      </c>
      <c r="M176" s="13">
        <f>(64.18-63.51)*1000/(32.16*21.4)</f>
        <v>0.97352024922119673</v>
      </c>
      <c r="N176" s="13">
        <v>3.0310000000000001</v>
      </c>
      <c r="O176" s="11" t="s">
        <v>351</v>
      </c>
      <c r="P176" s="28">
        <f>(62.53-61.26)*1000/(30.8*21.4)</f>
        <v>1.9268115062507634</v>
      </c>
      <c r="U176" s="99" t="s">
        <v>352</v>
      </c>
      <c r="V176" s="153" t="s">
        <v>353</v>
      </c>
      <c r="W176" s="69" t="e" cm="1">
        <f t="array" ref="W176">_xlfn.XLOOKUP(Table1[[#This Row],[5 cm2 cell test code]:[5 cm2 cell test code]],[1]!Table1[[Test code]:[Test code]],[1]!Table1[i @ 1.8 V DIW (A/cm2)],"",0)</f>
        <v>#REF!</v>
      </c>
      <c r="X176" s="69" t="e" cm="1">
        <f t="array" ref="X176">_xlfn.XLOOKUP(Table1[[#This Row],[5 cm2 cell test code]:[5 cm2 cell test code]],[1]!Table1[[Test code]:[Test code]],[1]!Table1[i @ 1.8 V 10 mM KOH (A/cm2)],"",0)</f>
        <v>#REF!</v>
      </c>
      <c r="Y176" s="69" t="e" cm="1">
        <f t="array" ref="Y176">_xlfn.XLOOKUP(Table1[[#This Row],[5 cm2 cell test code]:[5 cm2 cell test code]],[1]!Table1[[Test code]:[Test code]],[1]!Table1[3-E ƞ at 20mAcm-2 (mV)],"",0)</f>
        <v>#REF!</v>
      </c>
      <c r="Z176" s="69" t="e" cm="1">
        <f t="array" ref="Z176">_xlfn.XLOOKUP(Table1[[#This Row],[5 cm2 cell test code]:[5 cm2 cell test code]],[1]!Table1[[Test code]:[Test code]],[1]!Table1[3-E Tafel slope (mV/dec)],"",0)</f>
        <v>#REF!</v>
      </c>
      <c r="AA176" s="69" t="e" cm="1">
        <f t="array" ref="AA176">_xlfn.XLOOKUP(Table1[[#This Row],[5 cm2 cell test code]:[5 cm2 cell test code]],[1]!Table1[[Test code]:[Test code]],[1]!Table1[E @ 100 mA/cm2 DIW/V],"",0)</f>
        <v>#REF!</v>
      </c>
      <c r="AB176" s="69" t="e" cm="1">
        <f t="array" ref="AB176">_xlfn.XLOOKUP(Table1[[#This Row],[5 cm2 cell test code]:[5 cm2 cell test code]],[1]!Table1[[Test code]:[Test code]],[1]!Table1[E @ 100 mA/cm2 10 mM KOH/V],"",0)</f>
        <v>#REF!</v>
      </c>
      <c r="AC176" s="69" t="e" cm="1">
        <f t="array" ref="AC176">_xlfn.XLOOKUP(Table1[[#This Row],[5 cm2 cell test code]:[5 cm2 cell test code]],[1]!Table1[[Test code]:[Test code]],[1]!Table1[Anode ICR/mOhm],"",0)</f>
        <v>#REF!</v>
      </c>
      <c r="AD176" s="69" t="e" cm="1">
        <f t="array" ref="AD176">_xlfn.XLOOKUP(Table1[[#This Row],[5 cm2 cell test code]:[5 cm2 cell test code]],[1]!Table1[[Test code]:[Test code]],[1]!Table1[HFR DIW/ mOhm cm2],"",0)</f>
        <v>#REF!</v>
      </c>
      <c r="AE176" s="69" t="e" cm="1">
        <f t="array" ref="AE176">_xlfn.XLOOKUP(Table1[[#This Row],[5 cm2 cell test code]:[5 cm2 cell test code]],[1]!Table1[[Test code]:[Test code]],[1]!Table1[HFR 10 mM KOH/ mOhm cm2],"",0)</f>
        <v>#REF!</v>
      </c>
      <c r="AF176" s="69" t="e" cm="1">
        <f t="array" ref="AF176">_xlfn.XLOOKUP(Table1[[#This Row],[5 cm2 cell test code]:[5 cm2 cell test code]],[1]!Table1[[Test code]:[Test code]],[1]!Table1[Ionic resistance DIW/Ohm cm2],"",0)</f>
        <v>#REF!</v>
      </c>
      <c r="AG176" s="69" t="e" cm="1">
        <f t="array" ref="AG176">_xlfn.XLOOKUP(Table1[[#This Row],[5 cm2 cell test code]:[5 cm2 cell test code]],[1]!Table1[[Test code]:[Test code]],[1]!Table1[Q_int_frac DIW],"",0)</f>
        <v>#REF!</v>
      </c>
      <c r="AH176" s="69" t="e" cm="1">
        <f t="array" ref="AH176">_xlfn.XLOOKUP(Table1[[#This Row],[5 cm2 cell test code]:[5 cm2 cell test code]],[1]!Table1[[Test code]:[Test code]],[1]!Table1[Ionic resistance 10 mM KOH/Ohm cm2],"",0)</f>
        <v>#REF!</v>
      </c>
      <c r="AI176" s="69" t="e" cm="1">
        <f t="array" ref="AI176">_xlfn.XLOOKUP(Table1[[#This Row],[5 cm2 cell test code]:[5 cm2 cell test code]],[1]!Table1[[Test code]:[Test code]],[1]!Table1[Q_int_frac DIW 10 mM KOH],"",0)</f>
        <v>#REF!</v>
      </c>
      <c r="AJ176" s="69" t="e" cm="1">
        <f t="array" ref="AJ176">_xlfn.XLOOKUP(Table1[[#This Row],[5 cm2 cell test code]:[5 cm2 cell test code]],[1]!Table1[[Test code]:[Test code]],[1]!Table1[DIW conductivity (µS/cm)],"",0)</f>
        <v>#REF!</v>
      </c>
      <c r="AQ176" s="4" t="str">
        <v>VSG01A-23229E1</v>
      </c>
      <c r="AR176" s="95">
        <f>COUNTIFS(Table1[Anode PN (Stack/cell electrodes)],AQ176,Table1[ƞ at 20mAcm-2 (mV)],"&lt;&gt;")</f>
        <v>0</v>
      </c>
      <c r="AS176" s="95">
        <f>COUNTIFS(Table1[Anode PN (Stack/cell electrodes)],AQ176,Table1[i @ 1.8 V DIW (A/cm2)],"&lt;&gt;")</f>
        <v>1</v>
      </c>
      <c r="AT176" s="95">
        <f>COUNTIFS(Table1[Anode PN (Stack/cell electrodes)],AQ176,Table1[i at 1.8 V 10 mM KOH (A/cm2)],"&lt;&gt;")</f>
        <v>1</v>
      </c>
      <c r="AU176" s="95">
        <f>COUNTIFS(Table1[Anode PN (Stack/cell electrodes)],AQ176,Table1[Ionic resistance DIW/Ohm cm2],"&lt;&gt;")</f>
        <v>1</v>
      </c>
      <c r="AV176" s="95">
        <f>COUNTIFS(Table1[Anode PN (Stack/cell electrodes)],AQ176,Table1[Ionic resistance 10 mM KOH/Ohm cm2],"&lt;&gt;")</f>
        <v>1</v>
      </c>
    </row>
    <row r="177" spans="1:48">
      <c r="A177" s="81" t="s">
        <v>354</v>
      </c>
      <c r="B177" s="11" t="s">
        <v>355</v>
      </c>
      <c r="C177" s="4" t="s">
        <v>356</v>
      </c>
      <c r="I177" s="11" t="s">
        <v>114</v>
      </c>
      <c r="J177" s="11" t="s">
        <v>134</v>
      </c>
      <c r="K177" s="43" t="s">
        <v>59</v>
      </c>
      <c r="M177" s="13">
        <f>(60.52-59.62)*1000/(31*21.5)</f>
        <v>1.3503375843961076</v>
      </c>
      <c r="N177" s="13">
        <v>3.625</v>
      </c>
      <c r="O177" s="11" t="s">
        <v>357</v>
      </c>
      <c r="P177" s="28">
        <f>(60.04-59.13)*1000/(30.8*21.5)</f>
        <v>1.3742071881606712</v>
      </c>
      <c r="U177" s="101"/>
      <c r="V177" s="101"/>
      <c r="W177" s="69" t="e" cm="1">
        <f t="array" ref="W177">_xlfn.XLOOKUP(Table1[[#This Row],[5 cm2 cell test code]:[5 cm2 cell test code]],[1]!Table1[[Test code]:[Test code]],[1]!Table1[i @ 1.8 V DIW (A/cm2)],"",0)</f>
        <v>#REF!</v>
      </c>
      <c r="X177" s="69" t="e" cm="1">
        <f t="array" ref="X177">_xlfn.XLOOKUP(Table1[[#This Row],[5 cm2 cell test code]:[5 cm2 cell test code]],[1]!Table1[[Test code]:[Test code]],[1]!Table1[i @ 1.8 V 10 mM KOH (A/cm2)],"",0)</f>
        <v>#REF!</v>
      </c>
      <c r="Y177" s="69" t="e" cm="1">
        <f t="array" ref="Y177">_xlfn.XLOOKUP(Table1[[#This Row],[5 cm2 cell test code]:[5 cm2 cell test code]],[1]!Table1[[Test code]:[Test code]],[1]!Table1[3-E ƞ at 20mAcm-2 (mV)],"",0)</f>
        <v>#REF!</v>
      </c>
      <c r="Z177" s="69" t="e" cm="1">
        <f t="array" ref="Z177">_xlfn.XLOOKUP(Table1[[#This Row],[5 cm2 cell test code]:[5 cm2 cell test code]],[1]!Table1[[Test code]:[Test code]],[1]!Table1[3-E Tafel slope (mV/dec)],"",0)</f>
        <v>#REF!</v>
      </c>
      <c r="AA177" s="69" t="e" cm="1">
        <f t="array" ref="AA177">_xlfn.XLOOKUP(Table1[[#This Row],[5 cm2 cell test code]:[5 cm2 cell test code]],[1]!Table1[[Test code]:[Test code]],[1]!Table1[E @ 100 mA/cm2 DIW/V],"",0)</f>
        <v>#REF!</v>
      </c>
      <c r="AB177" s="69" t="e" cm="1">
        <f t="array" ref="AB177">_xlfn.XLOOKUP(Table1[[#This Row],[5 cm2 cell test code]:[5 cm2 cell test code]],[1]!Table1[[Test code]:[Test code]],[1]!Table1[E @ 100 mA/cm2 10 mM KOH/V],"",0)</f>
        <v>#REF!</v>
      </c>
      <c r="AC177" s="69" t="e" cm="1">
        <f t="array" ref="AC177">_xlfn.XLOOKUP(Table1[[#This Row],[5 cm2 cell test code]:[5 cm2 cell test code]],[1]!Table1[[Test code]:[Test code]],[1]!Table1[Anode ICR/mOhm],"",0)</f>
        <v>#REF!</v>
      </c>
      <c r="AD177" s="69" t="e" cm="1">
        <f t="array" ref="AD177">_xlfn.XLOOKUP(Table1[[#This Row],[5 cm2 cell test code]:[5 cm2 cell test code]],[1]!Table1[[Test code]:[Test code]],[1]!Table1[HFR DIW/ mOhm cm2],"",0)</f>
        <v>#REF!</v>
      </c>
      <c r="AE177" s="69" t="e" cm="1">
        <f t="array" ref="AE177">_xlfn.XLOOKUP(Table1[[#This Row],[5 cm2 cell test code]:[5 cm2 cell test code]],[1]!Table1[[Test code]:[Test code]],[1]!Table1[HFR 10 mM KOH/ mOhm cm2],"",0)</f>
        <v>#REF!</v>
      </c>
      <c r="AF177" s="69" t="e" cm="1">
        <f t="array" ref="AF177">_xlfn.XLOOKUP(Table1[[#This Row],[5 cm2 cell test code]:[5 cm2 cell test code]],[1]!Table1[[Test code]:[Test code]],[1]!Table1[Ionic resistance DIW/Ohm cm2],"",0)</f>
        <v>#REF!</v>
      </c>
      <c r="AG177" s="69" t="e" cm="1">
        <f t="array" ref="AG177">_xlfn.XLOOKUP(Table1[[#This Row],[5 cm2 cell test code]:[5 cm2 cell test code]],[1]!Table1[[Test code]:[Test code]],[1]!Table1[Q_int_frac DIW],"",0)</f>
        <v>#REF!</v>
      </c>
      <c r="AH177" s="69" t="e" cm="1">
        <f t="array" ref="AH177">_xlfn.XLOOKUP(Table1[[#This Row],[5 cm2 cell test code]:[5 cm2 cell test code]],[1]!Table1[[Test code]:[Test code]],[1]!Table1[Ionic resistance 10 mM KOH/Ohm cm2],"",0)</f>
        <v>#REF!</v>
      </c>
      <c r="AI177" s="69" t="e" cm="1">
        <f t="array" ref="AI177">_xlfn.XLOOKUP(Table1[[#This Row],[5 cm2 cell test code]:[5 cm2 cell test code]],[1]!Table1[[Test code]:[Test code]],[1]!Table1[Q_int_frac DIW 10 mM KOH],"",0)</f>
        <v>#REF!</v>
      </c>
      <c r="AJ177" s="69" t="e" cm="1">
        <f t="array" ref="AJ177">_xlfn.XLOOKUP(Table1[[#This Row],[5 cm2 cell test code]:[5 cm2 cell test code]],[1]!Table1[[Test code]:[Test code]],[1]!Table1[DIW conductivity (µS/cm)],"",0)</f>
        <v>#REF!</v>
      </c>
      <c r="AQ177" s="4" t="str">
        <v>VSG01A-23233E1</v>
      </c>
      <c r="AR177" s="95">
        <f>COUNTIFS(Table1[Anode PN (Stack/cell electrodes)],AQ177,Table1[ƞ at 20mAcm-2 (mV)],"&lt;&gt;")</f>
        <v>0</v>
      </c>
      <c r="AS177" s="95">
        <f>COUNTIFS(Table1[Anode PN (Stack/cell electrodes)],AQ177,Table1[i @ 1.8 V DIW (A/cm2)],"&lt;&gt;")</f>
        <v>1</v>
      </c>
      <c r="AT177" s="95">
        <f>COUNTIFS(Table1[Anode PN (Stack/cell electrodes)],AQ177,Table1[i at 1.8 V 10 mM KOH (A/cm2)],"&lt;&gt;")</f>
        <v>1</v>
      </c>
      <c r="AU177" s="95">
        <f>COUNTIFS(Table1[Anode PN (Stack/cell electrodes)],AQ177,Table1[Ionic resistance DIW/Ohm cm2],"&lt;&gt;")</f>
        <v>1</v>
      </c>
      <c r="AV177" s="95">
        <f>COUNTIFS(Table1[Anode PN (Stack/cell electrodes)],AQ177,Table1[Ionic resistance 10 mM KOH/Ohm cm2],"&lt;&gt;")</f>
        <v>1</v>
      </c>
    </row>
    <row r="178" spans="1:48">
      <c r="A178" s="81"/>
      <c r="B178" s="11" t="s">
        <v>358</v>
      </c>
      <c r="C178" s="4" t="s">
        <v>359</v>
      </c>
      <c r="I178" s="11" t="s">
        <v>114</v>
      </c>
      <c r="J178" s="11" t="s">
        <v>134</v>
      </c>
      <c r="K178" s="43" t="s">
        <v>59</v>
      </c>
      <c r="M178" s="13">
        <f>(64.54-63.75)*1000/(31.1*21.5)</f>
        <v>1.1814850818814122</v>
      </c>
      <c r="N178" s="13">
        <v>2.5249999999999999</v>
      </c>
      <c r="O178" s="11" t="s">
        <v>360</v>
      </c>
      <c r="P178" s="28">
        <f>(63.56-62.82)*1000/(30.8*21.5)</f>
        <v>1.1174871639987949</v>
      </c>
      <c r="U178" s="101"/>
      <c r="V178" s="101"/>
      <c r="W178" s="69" t="e" cm="1">
        <f t="array" ref="W178">_xlfn.XLOOKUP(Table1[[#This Row],[5 cm2 cell test code]:[5 cm2 cell test code]],[1]!Table1[[Test code]:[Test code]],[1]!Table1[i @ 1.8 V DIW (A/cm2)],"",0)</f>
        <v>#REF!</v>
      </c>
      <c r="X178" s="69" t="e" cm="1">
        <f t="array" ref="X178">_xlfn.XLOOKUP(Table1[[#This Row],[5 cm2 cell test code]:[5 cm2 cell test code]],[1]!Table1[[Test code]:[Test code]],[1]!Table1[i @ 1.8 V 10 mM KOH (A/cm2)],"",0)</f>
        <v>#REF!</v>
      </c>
      <c r="Y178" s="69" t="e" cm="1">
        <f t="array" ref="Y178">_xlfn.XLOOKUP(Table1[[#This Row],[5 cm2 cell test code]:[5 cm2 cell test code]],[1]!Table1[[Test code]:[Test code]],[1]!Table1[3-E ƞ at 20mAcm-2 (mV)],"",0)</f>
        <v>#REF!</v>
      </c>
      <c r="Z178" s="69" t="e" cm="1">
        <f t="array" ref="Z178">_xlfn.XLOOKUP(Table1[[#This Row],[5 cm2 cell test code]:[5 cm2 cell test code]],[1]!Table1[[Test code]:[Test code]],[1]!Table1[3-E Tafel slope (mV/dec)],"",0)</f>
        <v>#REF!</v>
      </c>
      <c r="AA178" s="69" t="e" cm="1">
        <f t="array" ref="AA178">_xlfn.XLOOKUP(Table1[[#This Row],[5 cm2 cell test code]:[5 cm2 cell test code]],[1]!Table1[[Test code]:[Test code]],[1]!Table1[E @ 100 mA/cm2 DIW/V],"",0)</f>
        <v>#REF!</v>
      </c>
      <c r="AB178" s="69" t="e" cm="1">
        <f t="array" ref="AB178">_xlfn.XLOOKUP(Table1[[#This Row],[5 cm2 cell test code]:[5 cm2 cell test code]],[1]!Table1[[Test code]:[Test code]],[1]!Table1[E @ 100 mA/cm2 10 mM KOH/V],"",0)</f>
        <v>#REF!</v>
      </c>
      <c r="AC178" s="69" t="e" cm="1">
        <f t="array" ref="AC178">_xlfn.XLOOKUP(Table1[[#This Row],[5 cm2 cell test code]:[5 cm2 cell test code]],[1]!Table1[[Test code]:[Test code]],[1]!Table1[Anode ICR/mOhm],"",0)</f>
        <v>#REF!</v>
      </c>
      <c r="AD178" s="69" t="e" cm="1">
        <f t="array" ref="AD178">_xlfn.XLOOKUP(Table1[[#This Row],[5 cm2 cell test code]:[5 cm2 cell test code]],[1]!Table1[[Test code]:[Test code]],[1]!Table1[HFR DIW/ mOhm cm2],"",0)</f>
        <v>#REF!</v>
      </c>
      <c r="AE178" s="69" t="e" cm="1">
        <f t="array" ref="AE178">_xlfn.XLOOKUP(Table1[[#This Row],[5 cm2 cell test code]:[5 cm2 cell test code]],[1]!Table1[[Test code]:[Test code]],[1]!Table1[HFR 10 mM KOH/ mOhm cm2],"",0)</f>
        <v>#REF!</v>
      </c>
      <c r="AF178" s="69" t="e" cm="1">
        <f t="array" ref="AF178">_xlfn.XLOOKUP(Table1[[#This Row],[5 cm2 cell test code]:[5 cm2 cell test code]],[1]!Table1[[Test code]:[Test code]],[1]!Table1[Ionic resistance DIW/Ohm cm2],"",0)</f>
        <v>#REF!</v>
      </c>
      <c r="AG178" s="69" t="e" cm="1">
        <f t="array" ref="AG178">_xlfn.XLOOKUP(Table1[[#This Row],[5 cm2 cell test code]:[5 cm2 cell test code]],[1]!Table1[[Test code]:[Test code]],[1]!Table1[Q_int_frac DIW],"",0)</f>
        <v>#REF!</v>
      </c>
      <c r="AH178" s="69" t="e" cm="1">
        <f t="array" ref="AH178">_xlfn.XLOOKUP(Table1[[#This Row],[5 cm2 cell test code]:[5 cm2 cell test code]],[1]!Table1[[Test code]:[Test code]],[1]!Table1[Ionic resistance 10 mM KOH/Ohm cm2],"",0)</f>
        <v>#REF!</v>
      </c>
      <c r="AI178" s="69" t="e" cm="1">
        <f t="array" ref="AI178">_xlfn.XLOOKUP(Table1[[#This Row],[5 cm2 cell test code]:[5 cm2 cell test code]],[1]!Table1[[Test code]:[Test code]],[1]!Table1[Q_int_frac DIW 10 mM KOH],"",0)</f>
        <v>#REF!</v>
      </c>
      <c r="AJ178" s="69" t="e" cm="1">
        <f t="array" ref="AJ178">_xlfn.XLOOKUP(Table1[[#This Row],[5 cm2 cell test code]:[5 cm2 cell test code]],[1]!Table1[[Test code]:[Test code]],[1]!Table1[DIW conductivity (µS/cm)],"",0)</f>
        <v>#REF!</v>
      </c>
      <c r="AQ178" s="4" t="str">
        <v>VSG01A-23234E1</v>
      </c>
      <c r="AR178" s="95">
        <f>COUNTIFS(Table1[Anode PN (Stack/cell electrodes)],AQ178,Table1[ƞ at 20mAcm-2 (mV)],"&lt;&gt;")</f>
        <v>0</v>
      </c>
      <c r="AS178" s="95">
        <f>COUNTIFS(Table1[Anode PN (Stack/cell electrodes)],AQ178,Table1[i @ 1.8 V DIW (A/cm2)],"&lt;&gt;")</f>
        <v>1</v>
      </c>
      <c r="AT178" s="95">
        <f>COUNTIFS(Table1[Anode PN (Stack/cell electrodes)],AQ178,Table1[i at 1.8 V 10 mM KOH (A/cm2)],"&lt;&gt;")</f>
        <v>1</v>
      </c>
      <c r="AU178" s="95">
        <f>COUNTIFS(Table1[Anode PN (Stack/cell electrodes)],AQ178,Table1[Ionic resistance DIW/Ohm cm2],"&lt;&gt;")</f>
        <v>1</v>
      </c>
      <c r="AV178" s="95">
        <f>COUNTIFS(Table1[Anode PN (Stack/cell electrodes)],AQ178,Table1[Ionic resistance 10 mM KOH/Ohm cm2],"&lt;&gt;")</f>
        <v>1</v>
      </c>
    </row>
    <row r="179" spans="1:48">
      <c r="A179" s="81" t="s">
        <v>361</v>
      </c>
      <c r="B179" s="11" t="s">
        <v>362</v>
      </c>
      <c r="C179" s="4" t="s">
        <v>363</v>
      </c>
      <c r="I179" s="11" t="s">
        <v>114</v>
      </c>
      <c r="J179" s="11" t="s">
        <v>134</v>
      </c>
      <c r="K179" s="43" t="s">
        <v>59</v>
      </c>
      <c r="M179" s="13">
        <f>(62.37-62.06)*1000/(31.1*21.5)</f>
        <v>0.4636207283332015</v>
      </c>
      <c r="N179" s="13">
        <v>3.7290000000000001</v>
      </c>
      <c r="O179" s="11" t="s">
        <v>364</v>
      </c>
      <c r="P179" s="28">
        <f>(62.59-61.79)*1000/(30.8*21.5)</f>
        <v>1.2080942313500518</v>
      </c>
      <c r="Q179" s="23">
        <v>5.0485356539011789E-2</v>
      </c>
      <c r="U179" s="101"/>
      <c r="V179" s="101"/>
      <c r="W179" s="69" t="e" cm="1">
        <f t="array" ref="W179">_xlfn.XLOOKUP(Table1[[#This Row],[5 cm2 cell test code]:[5 cm2 cell test code]],[1]!Table1[[Test code]:[Test code]],[1]!Table1[i @ 1.8 V DIW (A/cm2)],"",0)</f>
        <v>#REF!</v>
      </c>
      <c r="X179" s="69" t="e" cm="1">
        <f t="array" ref="X179">_xlfn.XLOOKUP(Table1[[#This Row],[5 cm2 cell test code]:[5 cm2 cell test code]],[1]!Table1[[Test code]:[Test code]],[1]!Table1[i @ 1.8 V 10 mM KOH (A/cm2)],"",0)</f>
        <v>#REF!</v>
      </c>
      <c r="Y179" s="69" t="e" cm="1">
        <f t="array" ref="Y179">_xlfn.XLOOKUP(Table1[[#This Row],[5 cm2 cell test code]:[5 cm2 cell test code]],[1]!Table1[[Test code]:[Test code]],[1]!Table1[3-E ƞ at 20mAcm-2 (mV)],"",0)</f>
        <v>#REF!</v>
      </c>
      <c r="Z179" s="69" t="e" cm="1">
        <f t="array" ref="Z179">_xlfn.XLOOKUP(Table1[[#This Row],[5 cm2 cell test code]:[5 cm2 cell test code]],[1]!Table1[[Test code]:[Test code]],[1]!Table1[3-E Tafel slope (mV/dec)],"",0)</f>
        <v>#REF!</v>
      </c>
      <c r="AA179" s="69" t="e" cm="1">
        <f t="array" ref="AA179">_xlfn.XLOOKUP(Table1[[#This Row],[5 cm2 cell test code]:[5 cm2 cell test code]],[1]!Table1[[Test code]:[Test code]],[1]!Table1[E @ 100 mA/cm2 DIW/V],"",0)</f>
        <v>#REF!</v>
      </c>
      <c r="AB179" s="69" t="e" cm="1">
        <f t="array" ref="AB179">_xlfn.XLOOKUP(Table1[[#This Row],[5 cm2 cell test code]:[5 cm2 cell test code]],[1]!Table1[[Test code]:[Test code]],[1]!Table1[E @ 100 mA/cm2 10 mM KOH/V],"",0)</f>
        <v>#REF!</v>
      </c>
      <c r="AC179" s="69" t="e" cm="1">
        <f t="array" ref="AC179">_xlfn.XLOOKUP(Table1[[#This Row],[5 cm2 cell test code]:[5 cm2 cell test code]],[1]!Table1[[Test code]:[Test code]],[1]!Table1[Anode ICR/mOhm],"",0)</f>
        <v>#REF!</v>
      </c>
      <c r="AD179" s="69" t="e" cm="1">
        <f t="array" ref="AD179">_xlfn.XLOOKUP(Table1[[#This Row],[5 cm2 cell test code]:[5 cm2 cell test code]],[1]!Table1[[Test code]:[Test code]],[1]!Table1[HFR DIW/ mOhm cm2],"",0)</f>
        <v>#REF!</v>
      </c>
      <c r="AE179" s="69" t="e" cm="1">
        <f t="array" ref="AE179">_xlfn.XLOOKUP(Table1[[#This Row],[5 cm2 cell test code]:[5 cm2 cell test code]],[1]!Table1[[Test code]:[Test code]],[1]!Table1[HFR 10 mM KOH/ mOhm cm2],"",0)</f>
        <v>#REF!</v>
      </c>
      <c r="AF179" s="69" t="e" cm="1">
        <f t="array" ref="AF179">_xlfn.XLOOKUP(Table1[[#This Row],[5 cm2 cell test code]:[5 cm2 cell test code]],[1]!Table1[[Test code]:[Test code]],[1]!Table1[Ionic resistance DIW/Ohm cm2],"",0)</f>
        <v>#REF!</v>
      </c>
      <c r="AG179" s="69" t="e" cm="1">
        <f t="array" ref="AG179">_xlfn.XLOOKUP(Table1[[#This Row],[5 cm2 cell test code]:[5 cm2 cell test code]],[1]!Table1[[Test code]:[Test code]],[1]!Table1[Q_int_frac DIW],"",0)</f>
        <v>#REF!</v>
      </c>
      <c r="AH179" s="69" t="e" cm="1">
        <f t="array" ref="AH179">_xlfn.XLOOKUP(Table1[[#This Row],[5 cm2 cell test code]:[5 cm2 cell test code]],[1]!Table1[[Test code]:[Test code]],[1]!Table1[Ionic resistance 10 mM KOH/Ohm cm2],"",0)</f>
        <v>#REF!</v>
      </c>
      <c r="AI179" s="69" t="e" cm="1">
        <f t="array" ref="AI179">_xlfn.XLOOKUP(Table1[[#This Row],[5 cm2 cell test code]:[5 cm2 cell test code]],[1]!Table1[[Test code]:[Test code]],[1]!Table1[Q_int_frac DIW 10 mM KOH],"",0)</f>
        <v>#REF!</v>
      </c>
      <c r="AJ179" s="69" t="e" cm="1">
        <f t="array" ref="AJ179">_xlfn.XLOOKUP(Table1[[#This Row],[5 cm2 cell test code]:[5 cm2 cell test code]],[1]!Table1[[Test code]:[Test code]],[1]!Table1[DIW conductivity (µS/cm)],"",0)</f>
        <v>#REF!</v>
      </c>
      <c r="AQ179" s="4" t="str">
        <v>VSG01A-23234E1.01</v>
      </c>
      <c r="AR179" s="95">
        <f>COUNTIFS(Table1[Anode PN (Stack/cell electrodes)],AQ179,Table1[ƞ at 20mAcm-2 (mV)],"&lt;&gt;")</f>
        <v>0</v>
      </c>
      <c r="AS179" s="95">
        <f>COUNTIFS(Table1[Anode PN (Stack/cell electrodes)],AQ179,Table1[i @ 1.8 V DIW (A/cm2)],"&lt;&gt;")</f>
        <v>1</v>
      </c>
      <c r="AT179" s="95">
        <f>COUNTIFS(Table1[Anode PN (Stack/cell electrodes)],AQ179,Table1[i at 1.8 V 10 mM KOH (A/cm2)],"&lt;&gt;")</f>
        <v>1</v>
      </c>
      <c r="AU179" s="95">
        <f>COUNTIFS(Table1[Anode PN (Stack/cell electrodes)],AQ179,Table1[Ionic resistance DIW/Ohm cm2],"&lt;&gt;")</f>
        <v>1</v>
      </c>
      <c r="AV179" s="95">
        <f>COUNTIFS(Table1[Anode PN (Stack/cell electrodes)],AQ179,Table1[Ionic resistance 10 mM KOH/Ohm cm2],"&lt;&gt;")</f>
        <v>1</v>
      </c>
    </row>
    <row r="180" spans="1:48">
      <c r="A180" s="81"/>
      <c r="B180" s="11" t="s">
        <v>365</v>
      </c>
      <c r="C180" s="4" t="s">
        <v>366</v>
      </c>
      <c r="K180" s="43" t="s">
        <v>59</v>
      </c>
      <c r="U180" s="101"/>
      <c r="V180" s="101"/>
      <c r="W180" s="69" t="e" cm="1">
        <f t="array" ref="W180">_xlfn.XLOOKUP(Table1[[#This Row],[5 cm2 cell test code]:[5 cm2 cell test code]],[1]!Table1[[Test code]:[Test code]],[1]!Table1[i @ 1.8 V DIW (A/cm2)],"",0)</f>
        <v>#REF!</v>
      </c>
      <c r="X180" s="69" t="e" cm="1">
        <f t="array" ref="X180">_xlfn.XLOOKUP(Table1[[#This Row],[5 cm2 cell test code]:[5 cm2 cell test code]],[1]!Table1[[Test code]:[Test code]],[1]!Table1[i @ 1.8 V 10 mM KOH (A/cm2)],"",0)</f>
        <v>#REF!</v>
      </c>
      <c r="Y180" s="69" t="e" cm="1">
        <f t="array" ref="Y180">_xlfn.XLOOKUP(Table1[[#This Row],[5 cm2 cell test code]:[5 cm2 cell test code]],[1]!Table1[[Test code]:[Test code]],[1]!Table1[3-E ƞ at 20mAcm-2 (mV)],"",0)</f>
        <v>#REF!</v>
      </c>
      <c r="Z180" s="69" t="e" cm="1">
        <f t="array" ref="Z180">_xlfn.XLOOKUP(Table1[[#This Row],[5 cm2 cell test code]:[5 cm2 cell test code]],[1]!Table1[[Test code]:[Test code]],[1]!Table1[3-E Tafel slope (mV/dec)],"",0)</f>
        <v>#REF!</v>
      </c>
      <c r="AA180" s="69" t="e" cm="1">
        <f t="array" ref="AA180">_xlfn.XLOOKUP(Table1[[#This Row],[5 cm2 cell test code]:[5 cm2 cell test code]],[1]!Table1[[Test code]:[Test code]],[1]!Table1[E @ 100 mA/cm2 DIW/V],"",0)</f>
        <v>#REF!</v>
      </c>
      <c r="AB180" s="69" t="e" cm="1">
        <f t="array" ref="AB180">_xlfn.XLOOKUP(Table1[[#This Row],[5 cm2 cell test code]:[5 cm2 cell test code]],[1]!Table1[[Test code]:[Test code]],[1]!Table1[E @ 100 mA/cm2 10 mM KOH/V],"",0)</f>
        <v>#REF!</v>
      </c>
      <c r="AC180" s="69" t="e" cm="1">
        <f t="array" ref="AC180">_xlfn.XLOOKUP(Table1[[#This Row],[5 cm2 cell test code]:[5 cm2 cell test code]],[1]!Table1[[Test code]:[Test code]],[1]!Table1[Anode ICR/mOhm],"",0)</f>
        <v>#REF!</v>
      </c>
      <c r="AD180" s="69" t="e" cm="1">
        <f t="array" ref="AD180">_xlfn.XLOOKUP(Table1[[#This Row],[5 cm2 cell test code]:[5 cm2 cell test code]],[1]!Table1[[Test code]:[Test code]],[1]!Table1[HFR DIW/ mOhm cm2],"",0)</f>
        <v>#REF!</v>
      </c>
      <c r="AE180" s="69" t="e" cm="1">
        <f t="array" ref="AE180">_xlfn.XLOOKUP(Table1[[#This Row],[5 cm2 cell test code]:[5 cm2 cell test code]],[1]!Table1[[Test code]:[Test code]],[1]!Table1[HFR 10 mM KOH/ mOhm cm2],"",0)</f>
        <v>#REF!</v>
      </c>
      <c r="AF180" s="69" t="e" cm="1">
        <f t="array" ref="AF180">_xlfn.XLOOKUP(Table1[[#This Row],[5 cm2 cell test code]:[5 cm2 cell test code]],[1]!Table1[[Test code]:[Test code]],[1]!Table1[Ionic resistance DIW/Ohm cm2],"",0)</f>
        <v>#REF!</v>
      </c>
      <c r="AG180" s="69" t="e" cm="1">
        <f t="array" ref="AG180">_xlfn.XLOOKUP(Table1[[#This Row],[5 cm2 cell test code]:[5 cm2 cell test code]],[1]!Table1[[Test code]:[Test code]],[1]!Table1[Q_int_frac DIW],"",0)</f>
        <v>#REF!</v>
      </c>
      <c r="AH180" s="69" t="e" cm="1">
        <f t="array" ref="AH180">_xlfn.XLOOKUP(Table1[[#This Row],[5 cm2 cell test code]:[5 cm2 cell test code]],[1]!Table1[[Test code]:[Test code]],[1]!Table1[Ionic resistance 10 mM KOH/Ohm cm2],"",0)</f>
        <v>#REF!</v>
      </c>
      <c r="AI180" s="69" t="e" cm="1">
        <f t="array" ref="AI180">_xlfn.XLOOKUP(Table1[[#This Row],[5 cm2 cell test code]:[5 cm2 cell test code]],[1]!Table1[[Test code]:[Test code]],[1]!Table1[Q_int_frac DIW 10 mM KOH],"",0)</f>
        <v>#REF!</v>
      </c>
      <c r="AJ180" s="69" t="e" cm="1">
        <f t="array" ref="AJ180">_xlfn.XLOOKUP(Table1[[#This Row],[5 cm2 cell test code]:[5 cm2 cell test code]],[1]!Table1[[Test code]:[Test code]],[1]!Table1[DIW conductivity (µS/cm)],"",0)</f>
        <v>#REF!</v>
      </c>
      <c r="AQ180" s="4" t="str">
        <v>VSG01A-23234E1.02</v>
      </c>
      <c r="AR180" s="95"/>
      <c r="AS180" s="95"/>
      <c r="AT180" s="95"/>
      <c r="AU180" s="95"/>
      <c r="AV180" s="95"/>
    </row>
    <row r="181" spans="1:48">
      <c r="A181" s="81"/>
      <c r="B181" s="11" t="s">
        <v>367</v>
      </c>
      <c r="C181" s="4" t="s">
        <v>368</v>
      </c>
      <c r="K181" s="43" t="s">
        <v>59</v>
      </c>
      <c r="U181" s="101"/>
      <c r="V181" s="101"/>
      <c r="W181" s="69" t="e" cm="1">
        <f t="array" ref="W181">_xlfn.XLOOKUP(Table1[[#This Row],[5 cm2 cell test code]:[5 cm2 cell test code]],[1]!Table1[[Test code]:[Test code]],[1]!Table1[i @ 1.8 V DIW (A/cm2)],"",0)</f>
        <v>#REF!</v>
      </c>
      <c r="X181" s="69" t="e" cm="1">
        <f t="array" ref="X181">_xlfn.XLOOKUP(Table1[[#This Row],[5 cm2 cell test code]:[5 cm2 cell test code]],[1]!Table1[[Test code]:[Test code]],[1]!Table1[i @ 1.8 V 10 mM KOH (A/cm2)],"",0)</f>
        <v>#REF!</v>
      </c>
      <c r="Y181" s="69" t="e" cm="1">
        <f t="array" ref="Y181">_xlfn.XLOOKUP(Table1[[#This Row],[5 cm2 cell test code]:[5 cm2 cell test code]],[1]!Table1[[Test code]:[Test code]],[1]!Table1[3-E ƞ at 20mAcm-2 (mV)],"",0)</f>
        <v>#REF!</v>
      </c>
      <c r="Z181" s="69" t="e" cm="1">
        <f t="array" ref="Z181">_xlfn.XLOOKUP(Table1[[#This Row],[5 cm2 cell test code]:[5 cm2 cell test code]],[1]!Table1[[Test code]:[Test code]],[1]!Table1[3-E Tafel slope (mV/dec)],"",0)</f>
        <v>#REF!</v>
      </c>
      <c r="AA181" s="69" t="e" cm="1">
        <f t="array" ref="AA181">_xlfn.XLOOKUP(Table1[[#This Row],[5 cm2 cell test code]:[5 cm2 cell test code]],[1]!Table1[[Test code]:[Test code]],[1]!Table1[E @ 100 mA/cm2 DIW/V],"",0)</f>
        <v>#REF!</v>
      </c>
      <c r="AB181" s="69" t="e" cm="1">
        <f t="array" ref="AB181">_xlfn.XLOOKUP(Table1[[#This Row],[5 cm2 cell test code]:[5 cm2 cell test code]],[1]!Table1[[Test code]:[Test code]],[1]!Table1[E @ 100 mA/cm2 10 mM KOH/V],"",0)</f>
        <v>#REF!</v>
      </c>
      <c r="AC181" s="69" t="e" cm="1">
        <f t="array" ref="AC181">_xlfn.XLOOKUP(Table1[[#This Row],[5 cm2 cell test code]:[5 cm2 cell test code]],[1]!Table1[[Test code]:[Test code]],[1]!Table1[Anode ICR/mOhm],"",0)</f>
        <v>#REF!</v>
      </c>
      <c r="AD181" s="69" t="e" cm="1">
        <f t="array" ref="AD181">_xlfn.XLOOKUP(Table1[[#This Row],[5 cm2 cell test code]:[5 cm2 cell test code]],[1]!Table1[[Test code]:[Test code]],[1]!Table1[HFR DIW/ mOhm cm2],"",0)</f>
        <v>#REF!</v>
      </c>
      <c r="AE181" s="69" t="e" cm="1">
        <f t="array" ref="AE181">_xlfn.XLOOKUP(Table1[[#This Row],[5 cm2 cell test code]:[5 cm2 cell test code]],[1]!Table1[[Test code]:[Test code]],[1]!Table1[HFR 10 mM KOH/ mOhm cm2],"",0)</f>
        <v>#REF!</v>
      </c>
      <c r="AF181" s="69" t="e" cm="1">
        <f t="array" ref="AF181">_xlfn.XLOOKUP(Table1[[#This Row],[5 cm2 cell test code]:[5 cm2 cell test code]],[1]!Table1[[Test code]:[Test code]],[1]!Table1[Ionic resistance DIW/Ohm cm2],"",0)</f>
        <v>#REF!</v>
      </c>
      <c r="AG181" s="69" t="e" cm="1">
        <f t="array" ref="AG181">_xlfn.XLOOKUP(Table1[[#This Row],[5 cm2 cell test code]:[5 cm2 cell test code]],[1]!Table1[[Test code]:[Test code]],[1]!Table1[Q_int_frac DIW],"",0)</f>
        <v>#REF!</v>
      </c>
      <c r="AH181" s="69" t="e" cm="1">
        <f t="array" ref="AH181">_xlfn.XLOOKUP(Table1[[#This Row],[5 cm2 cell test code]:[5 cm2 cell test code]],[1]!Table1[[Test code]:[Test code]],[1]!Table1[Ionic resistance 10 mM KOH/Ohm cm2],"",0)</f>
        <v>#REF!</v>
      </c>
      <c r="AI181" s="69" t="e" cm="1">
        <f t="array" ref="AI181">_xlfn.XLOOKUP(Table1[[#This Row],[5 cm2 cell test code]:[5 cm2 cell test code]],[1]!Table1[[Test code]:[Test code]],[1]!Table1[Q_int_frac DIW 10 mM KOH],"",0)</f>
        <v>#REF!</v>
      </c>
      <c r="AJ181" s="69" t="e" cm="1">
        <f t="array" ref="AJ181">_xlfn.XLOOKUP(Table1[[#This Row],[5 cm2 cell test code]:[5 cm2 cell test code]],[1]!Table1[[Test code]:[Test code]],[1]!Table1[DIW conductivity (µS/cm)],"",0)</f>
        <v>#REF!</v>
      </c>
      <c r="AQ181" s="4" t="str">
        <v>VSG01A-23235E1</v>
      </c>
      <c r="AR181" s="95"/>
      <c r="AS181" s="95"/>
      <c r="AT181" s="95"/>
      <c r="AU181" s="95"/>
      <c r="AV181" s="95"/>
    </row>
    <row r="182" spans="1:48">
      <c r="A182" s="81"/>
      <c r="B182" s="11" t="s">
        <v>369</v>
      </c>
      <c r="C182" s="4" t="s">
        <v>368</v>
      </c>
      <c r="K182" s="43" t="s">
        <v>59</v>
      </c>
      <c r="U182" s="101"/>
      <c r="V182" s="101"/>
      <c r="W182" s="69" t="e" cm="1">
        <f t="array" ref="W182">_xlfn.XLOOKUP(Table1[[#This Row],[5 cm2 cell test code]:[5 cm2 cell test code]],[1]!Table1[[Test code]:[Test code]],[1]!Table1[i @ 1.8 V DIW (A/cm2)],"",0)</f>
        <v>#REF!</v>
      </c>
      <c r="X182" s="69" t="e" cm="1">
        <f t="array" ref="X182">_xlfn.XLOOKUP(Table1[[#This Row],[5 cm2 cell test code]:[5 cm2 cell test code]],[1]!Table1[[Test code]:[Test code]],[1]!Table1[i @ 1.8 V 10 mM KOH (A/cm2)],"",0)</f>
        <v>#REF!</v>
      </c>
      <c r="Y182" s="69" t="e" cm="1">
        <f t="array" ref="Y182">_xlfn.XLOOKUP(Table1[[#This Row],[5 cm2 cell test code]:[5 cm2 cell test code]],[1]!Table1[[Test code]:[Test code]],[1]!Table1[3-E ƞ at 20mAcm-2 (mV)],"",0)</f>
        <v>#REF!</v>
      </c>
      <c r="Z182" s="69" t="e" cm="1">
        <f t="array" ref="Z182">_xlfn.XLOOKUP(Table1[[#This Row],[5 cm2 cell test code]:[5 cm2 cell test code]],[1]!Table1[[Test code]:[Test code]],[1]!Table1[3-E Tafel slope (mV/dec)],"",0)</f>
        <v>#REF!</v>
      </c>
      <c r="AA182" s="69" t="e" cm="1">
        <f t="array" ref="AA182">_xlfn.XLOOKUP(Table1[[#This Row],[5 cm2 cell test code]:[5 cm2 cell test code]],[1]!Table1[[Test code]:[Test code]],[1]!Table1[E @ 100 mA/cm2 DIW/V],"",0)</f>
        <v>#REF!</v>
      </c>
      <c r="AB182" s="69" t="e" cm="1">
        <f t="array" ref="AB182">_xlfn.XLOOKUP(Table1[[#This Row],[5 cm2 cell test code]:[5 cm2 cell test code]],[1]!Table1[[Test code]:[Test code]],[1]!Table1[E @ 100 mA/cm2 10 mM KOH/V],"",0)</f>
        <v>#REF!</v>
      </c>
      <c r="AC182" s="69" t="e" cm="1">
        <f t="array" ref="AC182">_xlfn.XLOOKUP(Table1[[#This Row],[5 cm2 cell test code]:[5 cm2 cell test code]],[1]!Table1[[Test code]:[Test code]],[1]!Table1[Anode ICR/mOhm],"",0)</f>
        <v>#REF!</v>
      </c>
      <c r="AD182" s="69" t="e" cm="1">
        <f t="array" ref="AD182">_xlfn.XLOOKUP(Table1[[#This Row],[5 cm2 cell test code]:[5 cm2 cell test code]],[1]!Table1[[Test code]:[Test code]],[1]!Table1[HFR DIW/ mOhm cm2],"",0)</f>
        <v>#REF!</v>
      </c>
      <c r="AE182" s="69" t="e" cm="1">
        <f t="array" ref="AE182">_xlfn.XLOOKUP(Table1[[#This Row],[5 cm2 cell test code]:[5 cm2 cell test code]],[1]!Table1[[Test code]:[Test code]],[1]!Table1[HFR 10 mM KOH/ mOhm cm2],"",0)</f>
        <v>#REF!</v>
      </c>
      <c r="AF182" s="69" t="e" cm="1">
        <f t="array" ref="AF182">_xlfn.XLOOKUP(Table1[[#This Row],[5 cm2 cell test code]:[5 cm2 cell test code]],[1]!Table1[[Test code]:[Test code]],[1]!Table1[Ionic resistance DIW/Ohm cm2],"",0)</f>
        <v>#REF!</v>
      </c>
      <c r="AG182" s="69" t="e" cm="1">
        <f t="array" ref="AG182">_xlfn.XLOOKUP(Table1[[#This Row],[5 cm2 cell test code]:[5 cm2 cell test code]],[1]!Table1[[Test code]:[Test code]],[1]!Table1[Q_int_frac DIW],"",0)</f>
        <v>#REF!</v>
      </c>
      <c r="AH182" s="69" t="e" cm="1">
        <f t="array" ref="AH182">_xlfn.XLOOKUP(Table1[[#This Row],[5 cm2 cell test code]:[5 cm2 cell test code]],[1]!Table1[[Test code]:[Test code]],[1]!Table1[Ionic resistance 10 mM KOH/Ohm cm2],"",0)</f>
        <v>#REF!</v>
      </c>
      <c r="AI182" s="69" t="e" cm="1">
        <f t="array" ref="AI182">_xlfn.XLOOKUP(Table1[[#This Row],[5 cm2 cell test code]:[5 cm2 cell test code]],[1]!Table1[[Test code]:[Test code]],[1]!Table1[Q_int_frac DIW 10 mM KOH],"",0)</f>
        <v>#REF!</v>
      </c>
      <c r="AJ182" s="69" t="e" cm="1">
        <f t="array" ref="AJ182">_xlfn.XLOOKUP(Table1[[#This Row],[5 cm2 cell test code]:[5 cm2 cell test code]],[1]!Table1[[Test code]:[Test code]],[1]!Table1[DIW conductivity (µS/cm)],"",0)</f>
        <v>#REF!</v>
      </c>
      <c r="AQ182" s="4" t="str">
        <v>VSG01A-23235E1.01-location 1</v>
      </c>
      <c r="AR182" s="95"/>
      <c r="AS182" s="95"/>
      <c r="AT182" s="95"/>
      <c r="AU182" s="95"/>
      <c r="AV182" s="95"/>
    </row>
    <row r="183" spans="1:48">
      <c r="A183" s="81"/>
      <c r="B183" s="11" t="s">
        <v>370</v>
      </c>
      <c r="C183" s="4" t="s">
        <v>368</v>
      </c>
      <c r="K183" s="43" t="s">
        <v>59</v>
      </c>
      <c r="U183" s="101"/>
      <c r="V183" s="101"/>
      <c r="W183" s="69" t="e" cm="1">
        <f t="array" ref="W183">_xlfn.XLOOKUP(Table1[[#This Row],[5 cm2 cell test code]:[5 cm2 cell test code]],[1]!Table1[[Test code]:[Test code]],[1]!Table1[i @ 1.8 V DIW (A/cm2)],"",0)</f>
        <v>#REF!</v>
      </c>
      <c r="X183" s="69" t="e" cm="1">
        <f t="array" ref="X183">_xlfn.XLOOKUP(Table1[[#This Row],[5 cm2 cell test code]:[5 cm2 cell test code]],[1]!Table1[[Test code]:[Test code]],[1]!Table1[i @ 1.8 V 10 mM KOH (A/cm2)],"",0)</f>
        <v>#REF!</v>
      </c>
      <c r="Y183" s="69" t="e" cm="1">
        <f t="array" ref="Y183">_xlfn.XLOOKUP(Table1[[#This Row],[5 cm2 cell test code]:[5 cm2 cell test code]],[1]!Table1[[Test code]:[Test code]],[1]!Table1[3-E ƞ at 20mAcm-2 (mV)],"",0)</f>
        <v>#REF!</v>
      </c>
      <c r="Z183" s="69" t="e" cm="1">
        <f t="array" ref="Z183">_xlfn.XLOOKUP(Table1[[#This Row],[5 cm2 cell test code]:[5 cm2 cell test code]],[1]!Table1[[Test code]:[Test code]],[1]!Table1[3-E Tafel slope (mV/dec)],"",0)</f>
        <v>#REF!</v>
      </c>
      <c r="AA183" s="69" t="e" cm="1">
        <f t="array" ref="AA183">_xlfn.XLOOKUP(Table1[[#This Row],[5 cm2 cell test code]:[5 cm2 cell test code]],[1]!Table1[[Test code]:[Test code]],[1]!Table1[E @ 100 mA/cm2 DIW/V],"",0)</f>
        <v>#REF!</v>
      </c>
      <c r="AB183" s="69" t="e" cm="1">
        <f t="array" ref="AB183">_xlfn.XLOOKUP(Table1[[#This Row],[5 cm2 cell test code]:[5 cm2 cell test code]],[1]!Table1[[Test code]:[Test code]],[1]!Table1[E @ 100 mA/cm2 10 mM KOH/V],"",0)</f>
        <v>#REF!</v>
      </c>
      <c r="AC183" s="69" t="e" cm="1">
        <f t="array" ref="AC183">_xlfn.XLOOKUP(Table1[[#This Row],[5 cm2 cell test code]:[5 cm2 cell test code]],[1]!Table1[[Test code]:[Test code]],[1]!Table1[Anode ICR/mOhm],"",0)</f>
        <v>#REF!</v>
      </c>
      <c r="AD183" s="69" t="e" cm="1">
        <f t="array" ref="AD183">_xlfn.XLOOKUP(Table1[[#This Row],[5 cm2 cell test code]:[5 cm2 cell test code]],[1]!Table1[[Test code]:[Test code]],[1]!Table1[HFR DIW/ mOhm cm2],"",0)</f>
        <v>#REF!</v>
      </c>
      <c r="AE183" s="69" t="e" cm="1">
        <f t="array" ref="AE183">_xlfn.XLOOKUP(Table1[[#This Row],[5 cm2 cell test code]:[5 cm2 cell test code]],[1]!Table1[[Test code]:[Test code]],[1]!Table1[HFR 10 mM KOH/ mOhm cm2],"",0)</f>
        <v>#REF!</v>
      </c>
      <c r="AF183" s="69" t="e" cm="1">
        <f t="array" ref="AF183">_xlfn.XLOOKUP(Table1[[#This Row],[5 cm2 cell test code]:[5 cm2 cell test code]],[1]!Table1[[Test code]:[Test code]],[1]!Table1[Ionic resistance DIW/Ohm cm2],"",0)</f>
        <v>#REF!</v>
      </c>
      <c r="AG183" s="69" t="e" cm="1">
        <f t="array" ref="AG183">_xlfn.XLOOKUP(Table1[[#This Row],[5 cm2 cell test code]:[5 cm2 cell test code]],[1]!Table1[[Test code]:[Test code]],[1]!Table1[Q_int_frac DIW],"",0)</f>
        <v>#REF!</v>
      </c>
      <c r="AH183" s="69" t="e" cm="1">
        <f t="array" ref="AH183">_xlfn.XLOOKUP(Table1[[#This Row],[5 cm2 cell test code]:[5 cm2 cell test code]],[1]!Table1[[Test code]:[Test code]],[1]!Table1[Ionic resistance 10 mM KOH/Ohm cm2],"",0)</f>
        <v>#REF!</v>
      </c>
      <c r="AI183" s="69" t="e" cm="1">
        <f t="array" ref="AI183">_xlfn.XLOOKUP(Table1[[#This Row],[5 cm2 cell test code]:[5 cm2 cell test code]],[1]!Table1[[Test code]:[Test code]],[1]!Table1[Q_int_frac DIW 10 mM KOH],"",0)</f>
        <v>#REF!</v>
      </c>
      <c r="AJ183" s="69" t="e" cm="1">
        <f t="array" ref="AJ183">_xlfn.XLOOKUP(Table1[[#This Row],[5 cm2 cell test code]:[5 cm2 cell test code]],[1]!Table1[[Test code]:[Test code]],[1]!Table1[DIW conductivity (µS/cm)],"",0)</f>
        <v>#REF!</v>
      </c>
      <c r="AQ183" s="4" t="str">
        <v>VSG01A-23235E1.01-location 2</v>
      </c>
      <c r="AR183" s="95"/>
      <c r="AS183" s="95"/>
      <c r="AT183" s="95"/>
      <c r="AU183" s="95"/>
      <c r="AV183" s="95"/>
    </row>
    <row r="184" spans="1:48">
      <c r="A184" s="81"/>
      <c r="B184" s="11" t="s">
        <v>371</v>
      </c>
      <c r="C184" s="4" t="s">
        <v>368</v>
      </c>
      <c r="K184" s="43" t="s">
        <v>59</v>
      </c>
      <c r="U184" s="101"/>
      <c r="V184" s="101"/>
      <c r="W184" s="69" t="e" cm="1">
        <f t="array" ref="W184">_xlfn.XLOOKUP(Table1[[#This Row],[5 cm2 cell test code]:[5 cm2 cell test code]],[1]!Table1[[Test code]:[Test code]],[1]!Table1[i @ 1.8 V DIW (A/cm2)],"",0)</f>
        <v>#REF!</v>
      </c>
      <c r="X184" s="69" t="e" cm="1">
        <f t="array" ref="X184">_xlfn.XLOOKUP(Table1[[#This Row],[5 cm2 cell test code]:[5 cm2 cell test code]],[1]!Table1[[Test code]:[Test code]],[1]!Table1[i @ 1.8 V 10 mM KOH (A/cm2)],"",0)</f>
        <v>#REF!</v>
      </c>
      <c r="Y184" s="69" t="e" cm="1">
        <f t="array" ref="Y184">_xlfn.XLOOKUP(Table1[[#This Row],[5 cm2 cell test code]:[5 cm2 cell test code]],[1]!Table1[[Test code]:[Test code]],[1]!Table1[3-E ƞ at 20mAcm-2 (mV)],"",0)</f>
        <v>#REF!</v>
      </c>
      <c r="Z184" s="69" t="e" cm="1">
        <f t="array" ref="Z184">_xlfn.XLOOKUP(Table1[[#This Row],[5 cm2 cell test code]:[5 cm2 cell test code]],[1]!Table1[[Test code]:[Test code]],[1]!Table1[3-E Tafel slope (mV/dec)],"",0)</f>
        <v>#REF!</v>
      </c>
      <c r="AA184" s="69" t="e" cm="1">
        <f t="array" ref="AA184">_xlfn.XLOOKUP(Table1[[#This Row],[5 cm2 cell test code]:[5 cm2 cell test code]],[1]!Table1[[Test code]:[Test code]],[1]!Table1[E @ 100 mA/cm2 DIW/V],"",0)</f>
        <v>#REF!</v>
      </c>
      <c r="AB184" s="69" t="e" cm="1">
        <f t="array" ref="AB184">_xlfn.XLOOKUP(Table1[[#This Row],[5 cm2 cell test code]:[5 cm2 cell test code]],[1]!Table1[[Test code]:[Test code]],[1]!Table1[E @ 100 mA/cm2 10 mM KOH/V],"",0)</f>
        <v>#REF!</v>
      </c>
      <c r="AC184" s="69" t="e" cm="1">
        <f t="array" ref="AC184">_xlfn.XLOOKUP(Table1[[#This Row],[5 cm2 cell test code]:[5 cm2 cell test code]],[1]!Table1[[Test code]:[Test code]],[1]!Table1[Anode ICR/mOhm],"",0)</f>
        <v>#REF!</v>
      </c>
      <c r="AD184" s="69" t="e" cm="1">
        <f t="array" ref="AD184">_xlfn.XLOOKUP(Table1[[#This Row],[5 cm2 cell test code]:[5 cm2 cell test code]],[1]!Table1[[Test code]:[Test code]],[1]!Table1[HFR DIW/ mOhm cm2],"",0)</f>
        <v>#REF!</v>
      </c>
      <c r="AE184" s="69" t="e" cm="1">
        <f t="array" ref="AE184">_xlfn.XLOOKUP(Table1[[#This Row],[5 cm2 cell test code]:[5 cm2 cell test code]],[1]!Table1[[Test code]:[Test code]],[1]!Table1[HFR 10 mM KOH/ mOhm cm2],"",0)</f>
        <v>#REF!</v>
      </c>
      <c r="AF184" s="69" t="e" cm="1">
        <f t="array" ref="AF184">_xlfn.XLOOKUP(Table1[[#This Row],[5 cm2 cell test code]:[5 cm2 cell test code]],[1]!Table1[[Test code]:[Test code]],[1]!Table1[Ionic resistance DIW/Ohm cm2],"",0)</f>
        <v>#REF!</v>
      </c>
      <c r="AG184" s="69" t="e" cm="1">
        <f t="array" ref="AG184">_xlfn.XLOOKUP(Table1[[#This Row],[5 cm2 cell test code]:[5 cm2 cell test code]],[1]!Table1[[Test code]:[Test code]],[1]!Table1[Q_int_frac DIW],"",0)</f>
        <v>#REF!</v>
      </c>
      <c r="AH184" s="69" t="e" cm="1">
        <f t="array" ref="AH184">_xlfn.XLOOKUP(Table1[[#This Row],[5 cm2 cell test code]:[5 cm2 cell test code]],[1]!Table1[[Test code]:[Test code]],[1]!Table1[Ionic resistance 10 mM KOH/Ohm cm2],"",0)</f>
        <v>#REF!</v>
      </c>
      <c r="AI184" s="69" t="e" cm="1">
        <f t="array" ref="AI184">_xlfn.XLOOKUP(Table1[[#This Row],[5 cm2 cell test code]:[5 cm2 cell test code]],[1]!Table1[[Test code]:[Test code]],[1]!Table1[Q_int_frac DIW 10 mM KOH],"",0)</f>
        <v>#REF!</v>
      </c>
      <c r="AJ184" s="69" t="e" cm="1">
        <f t="array" ref="AJ184">_xlfn.XLOOKUP(Table1[[#This Row],[5 cm2 cell test code]:[5 cm2 cell test code]],[1]!Table1[[Test code]:[Test code]],[1]!Table1[DIW conductivity (µS/cm)],"",0)</f>
        <v>#REF!</v>
      </c>
      <c r="AQ184" s="4" t="str">
        <v>VSG01A-23235E1.01-location 3</v>
      </c>
      <c r="AR184" s="95"/>
      <c r="AS184" s="95"/>
      <c r="AT184" s="95"/>
      <c r="AU184" s="95"/>
      <c r="AV184" s="95"/>
    </row>
    <row r="185" spans="1:48">
      <c r="A185" s="81"/>
      <c r="B185" s="11" t="s">
        <v>372</v>
      </c>
      <c r="C185" s="4" t="s">
        <v>368</v>
      </c>
      <c r="K185" s="43" t="s">
        <v>59</v>
      </c>
      <c r="U185" s="101"/>
      <c r="V185" s="101"/>
      <c r="W185" s="69" t="e" cm="1">
        <f t="array" ref="W185">_xlfn.XLOOKUP(Table1[[#This Row],[5 cm2 cell test code]:[5 cm2 cell test code]],[1]!Table1[[Test code]:[Test code]],[1]!Table1[i @ 1.8 V DIW (A/cm2)],"",0)</f>
        <v>#REF!</v>
      </c>
      <c r="X185" s="69" t="e" cm="1">
        <f t="array" ref="X185">_xlfn.XLOOKUP(Table1[[#This Row],[5 cm2 cell test code]:[5 cm2 cell test code]],[1]!Table1[[Test code]:[Test code]],[1]!Table1[i @ 1.8 V 10 mM KOH (A/cm2)],"",0)</f>
        <v>#REF!</v>
      </c>
      <c r="Y185" s="69" t="e" cm="1">
        <f t="array" ref="Y185">_xlfn.XLOOKUP(Table1[[#This Row],[5 cm2 cell test code]:[5 cm2 cell test code]],[1]!Table1[[Test code]:[Test code]],[1]!Table1[3-E ƞ at 20mAcm-2 (mV)],"",0)</f>
        <v>#REF!</v>
      </c>
      <c r="Z185" s="69" t="e" cm="1">
        <f t="array" ref="Z185">_xlfn.XLOOKUP(Table1[[#This Row],[5 cm2 cell test code]:[5 cm2 cell test code]],[1]!Table1[[Test code]:[Test code]],[1]!Table1[3-E Tafel slope (mV/dec)],"",0)</f>
        <v>#REF!</v>
      </c>
      <c r="AA185" s="69" t="e" cm="1">
        <f t="array" ref="AA185">_xlfn.XLOOKUP(Table1[[#This Row],[5 cm2 cell test code]:[5 cm2 cell test code]],[1]!Table1[[Test code]:[Test code]],[1]!Table1[E @ 100 mA/cm2 DIW/V],"",0)</f>
        <v>#REF!</v>
      </c>
      <c r="AB185" s="69" t="e" cm="1">
        <f t="array" ref="AB185">_xlfn.XLOOKUP(Table1[[#This Row],[5 cm2 cell test code]:[5 cm2 cell test code]],[1]!Table1[[Test code]:[Test code]],[1]!Table1[E @ 100 mA/cm2 10 mM KOH/V],"",0)</f>
        <v>#REF!</v>
      </c>
      <c r="AC185" s="69" t="e" cm="1">
        <f t="array" ref="AC185">_xlfn.XLOOKUP(Table1[[#This Row],[5 cm2 cell test code]:[5 cm2 cell test code]],[1]!Table1[[Test code]:[Test code]],[1]!Table1[Anode ICR/mOhm],"",0)</f>
        <v>#REF!</v>
      </c>
      <c r="AD185" s="69" t="e" cm="1">
        <f t="array" ref="AD185">_xlfn.XLOOKUP(Table1[[#This Row],[5 cm2 cell test code]:[5 cm2 cell test code]],[1]!Table1[[Test code]:[Test code]],[1]!Table1[HFR DIW/ mOhm cm2],"",0)</f>
        <v>#REF!</v>
      </c>
      <c r="AE185" s="69" t="e" cm="1">
        <f t="array" ref="AE185">_xlfn.XLOOKUP(Table1[[#This Row],[5 cm2 cell test code]:[5 cm2 cell test code]],[1]!Table1[[Test code]:[Test code]],[1]!Table1[HFR 10 mM KOH/ mOhm cm2],"",0)</f>
        <v>#REF!</v>
      </c>
      <c r="AF185" s="69" t="e" cm="1">
        <f t="array" ref="AF185">_xlfn.XLOOKUP(Table1[[#This Row],[5 cm2 cell test code]:[5 cm2 cell test code]],[1]!Table1[[Test code]:[Test code]],[1]!Table1[Ionic resistance DIW/Ohm cm2],"",0)</f>
        <v>#REF!</v>
      </c>
      <c r="AG185" s="69" t="e" cm="1">
        <f t="array" ref="AG185">_xlfn.XLOOKUP(Table1[[#This Row],[5 cm2 cell test code]:[5 cm2 cell test code]],[1]!Table1[[Test code]:[Test code]],[1]!Table1[Q_int_frac DIW],"",0)</f>
        <v>#REF!</v>
      </c>
      <c r="AH185" s="69" t="e" cm="1">
        <f t="array" ref="AH185">_xlfn.XLOOKUP(Table1[[#This Row],[5 cm2 cell test code]:[5 cm2 cell test code]],[1]!Table1[[Test code]:[Test code]],[1]!Table1[Ionic resistance 10 mM KOH/Ohm cm2],"",0)</f>
        <v>#REF!</v>
      </c>
      <c r="AI185" s="69" t="e" cm="1">
        <f t="array" ref="AI185">_xlfn.XLOOKUP(Table1[[#This Row],[5 cm2 cell test code]:[5 cm2 cell test code]],[1]!Table1[[Test code]:[Test code]],[1]!Table1[Q_int_frac DIW 10 mM KOH],"",0)</f>
        <v>#REF!</v>
      </c>
      <c r="AJ185" s="69" t="e" cm="1">
        <f t="array" ref="AJ185">_xlfn.XLOOKUP(Table1[[#This Row],[5 cm2 cell test code]:[5 cm2 cell test code]],[1]!Table1[[Test code]:[Test code]],[1]!Table1[DIW conductivity (µS/cm)],"",0)</f>
        <v>#REF!</v>
      </c>
      <c r="AQ185" s="4" t="str">
        <v>VSG01A-23235E1.01-location 4</v>
      </c>
      <c r="AR185" s="95"/>
      <c r="AS185" s="95"/>
      <c r="AT185" s="95"/>
      <c r="AU185" s="95"/>
      <c r="AV185" s="95"/>
    </row>
    <row r="186" spans="1:48">
      <c r="A186" s="81"/>
      <c r="B186" s="11" t="s">
        <v>373</v>
      </c>
      <c r="C186" s="4" t="s">
        <v>368</v>
      </c>
      <c r="K186" s="43" t="s">
        <v>59</v>
      </c>
      <c r="U186" s="101"/>
      <c r="V186" s="101"/>
      <c r="W186" s="69" t="e" cm="1">
        <f t="array" ref="W186">_xlfn.XLOOKUP(Table1[[#This Row],[5 cm2 cell test code]:[5 cm2 cell test code]],[1]!Table1[[Test code]:[Test code]],[1]!Table1[i @ 1.8 V DIW (A/cm2)],"",0)</f>
        <v>#REF!</v>
      </c>
      <c r="X186" s="69" t="e" cm="1">
        <f t="array" ref="X186">_xlfn.XLOOKUP(Table1[[#This Row],[5 cm2 cell test code]:[5 cm2 cell test code]],[1]!Table1[[Test code]:[Test code]],[1]!Table1[i @ 1.8 V 10 mM KOH (A/cm2)],"",0)</f>
        <v>#REF!</v>
      </c>
      <c r="Y186" s="69" t="e" cm="1">
        <f t="array" ref="Y186">_xlfn.XLOOKUP(Table1[[#This Row],[5 cm2 cell test code]:[5 cm2 cell test code]],[1]!Table1[[Test code]:[Test code]],[1]!Table1[3-E ƞ at 20mAcm-2 (mV)],"",0)</f>
        <v>#REF!</v>
      </c>
      <c r="Z186" s="69" t="e" cm="1">
        <f t="array" ref="Z186">_xlfn.XLOOKUP(Table1[[#This Row],[5 cm2 cell test code]:[5 cm2 cell test code]],[1]!Table1[[Test code]:[Test code]],[1]!Table1[3-E Tafel slope (mV/dec)],"",0)</f>
        <v>#REF!</v>
      </c>
      <c r="AA186" s="69" t="e" cm="1">
        <f t="array" ref="AA186">_xlfn.XLOOKUP(Table1[[#This Row],[5 cm2 cell test code]:[5 cm2 cell test code]],[1]!Table1[[Test code]:[Test code]],[1]!Table1[E @ 100 mA/cm2 DIW/V],"",0)</f>
        <v>#REF!</v>
      </c>
      <c r="AB186" s="69" t="e" cm="1">
        <f t="array" ref="AB186">_xlfn.XLOOKUP(Table1[[#This Row],[5 cm2 cell test code]:[5 cm2 cell test code]],[1]!Table1[[Test code]:[Test code]],[1]!Table1[E @ 100 mA/cm2 10 mM KOH/V],"",0)</f>
        <v>#REF!</v>
      </c>
      <c r="AC186" s="69" t="e" cm="1">
        <f t="array" ref="AC186">_xlfn.XLOOKUP(Table1[[#This Row],[5 cm2 cell test code]:[5 cm2 cell test code]],[1]!Table1[[Test code]:[Test code]],[1]!Table1[Anode ICR/mOhm],"",0)</f>
        <v>#REF!</v>
      </c>
      <c r="AD186" s="69" t="e" cm="1">
        <f t="array" ref="AD186">_xlfn.XLOOKUP(Table1[[#This Row],[5 cm2 cell test code]:[5 cm2 cell test code]],[1]!Table1[[Test code]:[Test code]],[1]!Table1[HFR DIW/ mOhm cm2],"",0)</f>
        <v>#REF!</v>
      </c>
      <c r="AE186" s="69" t="e" cm="1">
        <f t="array" ref="AE186">_xlfn.XLOOKUP(Table1[[#This Row],[5 cm2 cell test code]:[5 cm2 cell test code]],[1]!Table1[[Test code]:[Test code]],[1]!Table1[HFR 10 mM KOH/ mOhm cm2],"",0)</f>
        <v>#REF!</v>
      </c>
      <c r="AF186" s="69" t="e" cm="1">
        <f t="array" ref="AF186">_xlfn.XLOOKUP(Table1[[#This Row],[5 cm2 cell test code]:[5 cm2 cell test code]],[1]!Table1[[Test code]:[Test code]],[1]!Table1[Ionic resistance DIW/Ohm cm2],"",0)</f>
        <v>#REF!</v>
      </c>
      <c r="AG186" s="69" t="e" cm="1">
        <f t="array" ref="AG186">_xlfn.XLOOKUP(Table1[[#This Row],[5 cm2 cell test code]:[5 cm2 cell test code]],[1]!Table1[[Test code]:[Test code]],[1]!Table1[Q_int_frac DIW],"",0)</f>
        <v>#REF!</v>
      </c>
      <c r="AH186" s="69" t="e" cm="1">
        <f t="array" ref="AH186">_xlfn.XLOOKUP(Table1[[#This Row],[5 cm2 cell test code]:[5 cm2 cell test code]],[1]!Table1[[Test code]:[Test code]],[1]!Table1[Ionic resistance 10 mM KOH/Ohm cm2],"",0)</f>
        <v>#REF!</v>
      </c>
      <c r="AI186" s="69" t="e" cm="1">
        <f t="array" ref="AI186">_xlfn.XLOOKUP(Table1[[#This Row],[5 cm2 cell test code]:[5 cm2 cell test code]],[1]!Table1[[Test code]:[Test code]],[1]!Table1[Q_int_frac DIW 10 mM KOH],"",0)</f>
        <v>#REF!</v>
      </c>
      <c r="AJ186" s="69" t="e" cm="1">
        <f t="array" ref="AJ186">_xlfn.XLOOKUP(Table1[[#This Row],[5 cm2 cell test code]:[5 cm2 cell test code]],[1]!Table1[[Test code]:[Test code]],[1]!Table1[DIW conductivity (µS/cm)],"",0)</f>
        <v>#REF!</v>
      </c>
      <c r="AQ186" s="4" t="str">
        <v>VSG01A-23240E1</v>
      </c>
      <c r="AR186" s="95"/>
      <c r="AS186" s="95"/>
      <c r="AT186" s="95"/>
      <c r="AU186" s="95"/>
      <c r="AV186" s="95"/>
    </row>
    <row r="187" spans="1:48">
      <c r="A187" s="81"/>
      <c r="B187" s="11" t="s">
        <v>374</v>
      </c>
      <c r="C187" s="4" t="s">
        <v>368</v>
      </c>
      <c r="K187" s="43" t="s">
        <v>59</v>
      </c>
      <c r="U187" s="101"/>
      <c r="V187" s="101"/>
      <c r="W187" s="69" t="e" cm="1">
        <f t="array" ref="W187">_xlfn.XLOOKUP(Table1[[#This Row],[5 cm2 cell test code]:[5 cm2 cell test code]],[1]!Table1[[Test code]:[Test code]],[1]!Table1[i @ 1.8 V DIW (A/cm2)],"",0)</f>
        <v>#REF!</v>
      </c>
      <c r="X187" s="69" t="e" cm="1">
        <f t="array" ref="X187">_xlfn.XLOOKUP(Table1[[#This Row],[5 cm2 cell test code]:[5 cm2 cell test code]],[1]!Table1[[Test code]:[Test code]],[1]!Table1[i @ 1.8 V 10 mM KOH (A/cm2)],"",0)</f>
        <v>#REF!</v>
      </c>
      <c r="Y187" s="69" t="e" cm="1">
        <f t="array" ref="Y187">_xlfn.XLOOKUP(Table1[[#This Row],[5 cm2 cell test code]:[5 cm2 cell test code]],[1]!Table1[[Test code]:[Test code]],[1]!Table1[3-E ƞ at 20mAcm-2 (mV)],"",0)</f>
        <v>#REF!</v>
      </c>
      <c r="Z187" s="69" t="e" cm="1">
        <f t="array" ref="Z187">_xlfn.XLOOKUP(Table1[[#This Row],[5 cm2 cell test code]:[5 cm2 cell test code]],[1]!Table1[[Test code]:[Test code]],[1]!Table1[3-E Tafel slope (mV/dec)],"",0)</f>
        <v>#REF!</v>
      </c>
      <c r="AA187" s="69" t="e" cm="1">
        <f t="array" ref="AA187">_xlfn.XLOOKUP(Table1[[#This Row],[5 cm2 cell test code]:[5 cm2 cell test code]],[1]!Table1[[Test code]:[Test code]],[1]!Table1[E @ 100 mA/cm2 DIW/V],"",0)</f>
        <v>#REF!</v>
      </c>
      <c r="AB187" s="69" t="e" cm="1">
        <f t="array" ref="AB187">_xlfn.XLOOKUP(Table1[[#This Row],[5 cm2 cell test code]:[5 cm2 cell test code]],[1]!Table1[[Test code]:[Test code]],[1]!Table1[E @ 100 mA/cm2 10 mM KOH/V],"",0)</f>
        <v>#REF!</v>
      </c>
      <c r="AC187" s="69" t="e" cm="1">
        <f t="array" ref="AC187">_xlfn.XLOOKUP(Table1[[#This Row],[5 cm2 cell test code]:[5 cm2 cell test code]],[1]!Table1[[Test code]:[Test code]],[1]!Table1[Anode ICR/mOhm],"",0)</f>
        <v>#REF!</v>
      </c>
      <c r="AD187" s="69" t="e" cm="1">
        <f t="array" ref="AD187">_xlfn.XLOOKUP(Table1[[#This Row],[5 cm2 cell test code]:[5 cm2 cell test code]],[1]!Table1[[Test code]:[Test code]],[1]!Table1[HFR DIW/ mOhm cm2],"",0)</f>
        <v>#REF!</v>
      </c>
      <c r="AE187" s="69" t="e" cm="1">
        <f t="array" ref="AE187">_xlfn.XLOOKUP(Table1[[#This Row],[5 cm2 cell test code]:[5 cm2 cell test code]],[1]!Table1[[Test code]:[Test code]],[1]!Table1[HFR 10 mM KOH/ mOhm cm2],"",0)</f>
        <v>#REF!</v>
      </c>
      <c r="AF187" s="69" t="e" cm="1">
        <f t="array" ref="AF187">_xlfn.XLOOKUP(Table1[[#This Row],[5 cm2 cell test code]:[5 cm2 cell test code]],[1]!Table1[[Test code]:[Test code]],[1]!Table1[Ionic resistance DIW/Ohm cm2],"",0)</f>
        <v>#REF!</v>
      </c>
      <c r="AG187" s="69" t="e" cm="1">
        <f t="array" ref="AG187">_xlfn.XLOOKUP(Table1[[#This Row],[5 cm2 cell test code]:[5 cm2 cell test code]],[1]!Table1[[Test code]:[Test code]],[1]!Table1[Q_int_frac DIW],"",0)</f>
        <v>#REF!</v>
      </c>
      <c r="AH187" s="69" t="e" cm="1">
        <f t="array" ref="AH187">_xlfn.XLOOKUP(Table1[[#This Row],[5 cm2 cell test code]:[5 cm2 cell test code]],[1]!Table1[[Test code]:[Test code]],[1]!Table1[Ionic resistance 10 mM KOH/Ohm cm2],"",0)</f>
        <v>#REF!</v>
      </c>
      <c r="AI187" s="69" t="e" cm="1">
        <f t="array" ref="AI187">_xlfn.XLOOKUP(Table1[[#This Row],[5 cm2 cell test code]:[5 cm2 cell test code]],[1]!Table1[[Test code]:[Test code]],[1]!Table1[Q_int_frac DIW 10 mM KOH],"",0)</f>
        <v>#REF!</v>
      </c>
      <c r="AJ187" s="69" t="e" cm="1">
        <f t="array" ref="AJ187">_xlfn.XLOOKUP(Table1[[#This Row],[5 cm2 cell test code]:[5 cm2 cell test code]],[1]!Table1[[Test code]:[Test code]],[1]!Table1[DIW conductivity (µS/cm)],"",0)</f>
        <v>#REF!</v>
      </c>
      <c r="AQ187" s="4" t="str">
        <v>VSG01A-23241E1</v>
      </c>
      <c r="AR187" s="95"/>
      <c r="AS187" s="95"/>
      <c r="AT187" s="95"/>
      <c r="AU187" s="95"/>
      <c r="AV187" s="95"/>
    </row>
    <row r="188" spans="1:48">
      <c r="A188" s="81"/>
      <c r="B188" s="11" t="s">
        <v>375</v>
      </c>
      <c r="C188" s="4" t="s">
        <v>368</v>
      </c>
      <c r="K188" s="43" t="s">
        <v>59</v>
      </c>
      <c r="U188" s="101"/>
      <c r="V188" s="101"/>
      <c r="W188" s="69" t="e" cm="1">
        <f t="array" ref="W188">_xlfn.XLOOKUP(Table1[[#This Row],[5 cm2 cell test code]:[5 cm2 cell test code]],[1]!Table1[[Test code]:[Test code]],[1]!Table1[i @ 1.8 V DIW (A/cm2)],"",0)</f>
        <v>#REF!</v>
      </c>
      <c r="X188" s="69" t="e" cm="1">
        <f t="array" ref="X188">_xlfn.XLOOKUP(Table1[[#This Row],[5 cm2 cell test code]:[5 cm2 cell test code]],[1]!Table1[[Test code]:[Test code]],[1]!Table1[i @ 1.8 V 10 mM KOH (A/cm2)],"",0)</f>
        <v>#REF!</v>
      </c>
      <c r="Y188" s="69" t="e" cm="1">
        <f t="array" ref="Y188">_xlfn.XLOOKUP(Table1[[#This Row],[5 cm2 cell test code]:[5 cm2 cell test code]],[1]!Table1[[Test code]:[Test code]],[1]!Table1[3-E ƞ at 20mAcm-2 (mV)],"",0)</f>
        <v>#REF!</v>
      </c>
      <c r="Z188" s="69" t="e" cm="1">
        <f t="array" ref="Z188">_xlfn.XLOOKUP(Table1[[#This Row],[5 cm2 cell test code]:[5 cm2 cell test code]],[1]!Table1[[Test code]:[Test code]],[1]!Table1[3-E Tafel slope (mV/dec)],"",0)</f>
        <v>#REF!</v>
      </c>
      <c r="AA188" s="69" t="e" cm="1">
        <f t="array" ref="AA188">_xlfn.XLOOKUP(Table1[[#This Row],[5 cm2 cell test code]:[5 cm2 cell test code]],[1]!Table1[[Test code]:[Test code]],[1]!Table1[E @ 100 mA/cm2 DIW/V],"",0)</f>
        <v>#REF!</v>
      </c>
      <c r="AB188" s="69" t="e" cm="1">
        <f t="array" ref="AB188">_xlfn.XLOOKUP(Table1[[#This Row],[5 cm2 cell test code]:[5 cm2 cell test code]],[1]!Table1[[Test code]:[Test code]],[1]!Table1[E @ 100 mA/cm2 10 mM KOH/V],"",0)</f>
        <v>#REF!</v>
      </c>
      <c r="AC188" s="69" t="e" cm="1">
        <f t="array" ref="AC188">_xlfn.XLOOKUP(Table1[[#This Row],[5 cm2 cell test code]:[5 cm2 cell test code]],[1]!Table1[[Test code]:[Test code]],[1]!Table1[Anode ICR/mOhm],"",0)</f>
        <v>#REF!</v>
      </c>
      <c r="AD188" s="69" t="e" cm="1">
        <f t="array" ref="AD188">_xlfn.XLOOKUP(Table1[[#This Row],[5 cm2 cell test code]:[5 cm2 cell test code]],[1]!Table1[[Test code]:[Test code]],[1]!Table1[HFR DIW/ mOhm cm2],"",0)</f>
        <v>#REF!</v>
      </c>
      <c r="AE188" s="69" t="e" cm="1">
        <f t="array" ref="AE188">_xlfn.XLOOKUP(Table1[[#This Row],[5 cm2 cell test code]:[5 cm2 cell test code]],[1]!Table1[[Test code]:[Test code]],[1]!Table1[HFR 10 mM KOH/ mOhm cm2],"",0)</f>
        <v>#REF!</v>
      </c>
      <c r="AF188" s="69" t="e" cm="1">
        <f t="array" ref="AF188">_xlfn.XLOOKUP(Table1[[#This Row],[5 cm2 cell test code]:[5 cm2 cell test code]],[1]!Table1[[Test code]:[Test code]],[1]!Table1[Ionic resistance DIW/Ohm cm2],"",0)</f>
        <v>#REF!</v>
      </c>
      <c r="AG188" s="69" t="e" cm="1">
        <f t="array" ref="AG188">_xlfn.XLOOKUP(Table1[[#This Row],[5 cm2 cell test code]:[5 cm2 cell test code]],[1]!Table1[[Test code]:[Test code]],[1]!Table1[Q_int_frac DIW],"",0)</f>
        <v>#REF!</v>
      </c>
      <c r="AH188" s="69" t="e" cm="1">
        <f t="array" ref="AH188">_xlfn.XLOOKUP(Table1[[#This Row],[5 cm2 cell test code]:[5 cm2 cell test code]],[1]!Table1[[Test code]:[Test code]],[1]!Table1[Ionic resistance 10 mM KOH/Ohm cm2],"",0)</f>
        <v>#REF!</v>
      </c>
      <c r="AI188" s="69" t="e" cm="1">
        <f t="array" ref="AI188">_xlfn.XLOOKUP(Table1[[#This Row],[5 cm2 cell test code]:[5 cm2 cell test code]],[1]!Table1[[Test code]:[Test code]],[1]!Table1[Q_int_frac DIW 10 mM KOH],"",0)</f>
        <v>#REF!</v>
      </c>
      <c r="AJ188" s="69" t="e" cm="1">
        <f t="array" ref="AJ188">_xlfn.XLOOKUP(Table1[[#This Row],[5 cm2 cell test code]:[5 cm2 cell test code]],[1]!Table1[[Test code]:[Test code]],[1]!Table1[DIW conductivity (µS/cm)],"",0)</f>
        <v>#REF!</v>
      </c>
      <c r="AQ188" s="4" t="str">
        <v>VSG01A-23242E4</v>
      </c>
      <c r="AR188" s="95"/>
      <c r="AS188" s="95"/>
      <c r="AT188" s="95"/>
      <c r="AU188" s="95"/>
      <c r="AV188" s="95"/>
    </row>
    <row r="189" spans="1:48">
      <c r="A189" s="81"/>
      <c r="B189" s="11" t="s">
        <v>376</v>
      </c>
      <c r="C189" s="4" t="s">
        <v>368</v>
      </c>
      <c r="K189" s="43" t="s">
        <v>59</v>
      </c>
      <c r="U189" s="101"/>
      <c r="V189" s="101"/>
      <c r="W189" s="69" t="e" cm="1">
        <f t="array" ref="W189">_xlfn.XLOOKUP(Table1[[#This Row],[5 cm2 cell test code]:[5 cm2 cell test code]],[1]!Table1[[Test code]:[Test code]],[1]!Table1[i @ 1.8 V DIW (A/cm2)],"",0)</f>
        <v>#REF!</v>
      </c>
      <c r="X189" s="69" t="e" cm="1">
        <f t="array" ref="X189">_xlfn.XLOOKUP(Table1[[#This Row],[5 cm2 cell test code]:[5 cm2 cell test code]],[1]!Table1[[Test code]:[Test code]],[1]!Table1[i @ 1.8 V 10 mM KOH (A/cm2)],"",0)</f>
        <v>#REF!</v>
      </c>
      <c r="Y189" s="69" t="e" cm="1">
        <f t="array" ref="Y189">_xlfn.XLOOKUP(Table1[[#This Row],[5 cm2 cell test code]:[5 cm2 cell test code]],[1]!Table1[[Test code]:[Test code]],[1]!Table1[3-E ƞ at 20mAcm-2 (mV)],"",0)</f>
        <v>#REF!</v>
      </c>
      <c r="Z189" s="69" t="e" cm="1">
        <f t="array" ref="Z189">_xlfn.XLOOKUP(Table1[[#This Row],[5 cm2 cell test code]:[5 cm2 cell test code]],[1]!Table1[[Test code]:[Test code]],[1]!Table1[3-E Tafel slope (mV/dec)],"",0)</f>
        <v>#REF!</v>
      </c>
      <c r="AA189" s="69" t="e" cm="1">
        <f t="array" ref="AA189">_xlfn.XLOOKUP(Table1[[#This Row],[5 cm2 cell test code]:[5 cm2 cell test code]],[1]!Table1[[Test code]:[Test code]],[1]!Table1[E @ 100 mA/cm2 DIW/V],"",0)</f>
        <v>#REF!</v>
      </c>
      <c r="AB189" s="69" t="e" cm="1">
        <f t="array" ref="AB189">_xlfn.XLOOKUP(Table1[[#This Row],[5 cm2 cell test code]:[5 cm2 cell test code]],[1]!Table1[[Test code]:[Test code]],[1]!Table1[E @ 100 mA/cm2 10 mM KOH/V],"",0)</f>
        <v>#REF!</v>
      </c>
      <c r="AC189" s="69" t="e" cm="1">
        <f t="array" ref="AC189">_xlfn.XLOOKUP(Table1[[#This Row],[5 cm2 cell test code]:[5 cm2 cell test code]],[1]!Table1[[Test code]:[Test code]],[1]!Table1[Anode ICR/mOhm],"",0)</f>
        <v>#REF!</v>
      </c>
      <c r="AD189" s="69" t="e" cm="1">
        <f t="array" ref="AD189">_xlfn.XLOOKUP(Table1[[#This Row],[5 cm2 cell test code]:[5 cm2 cell test code]],[1]!Table1[[Test code]:[Test code]],[1]!Table1[HFR DIW/ mOhm cm2],"",0)</f>
        <v>#REF!</v>
      </c>
      <c r="AE189" s="69" t="e" cm="1">
        <f t="array" ref="AE189">_xlfn.XLOOKUP(Table1[[#This Row],[5 cm2 cell test code]:[5 cm2 cell test code]],[1]!Table1[[Test code]:[Test code]],[1]!Table1[HFR 10 mM KOH/ mOhm cm2],"",0)</f>
        <v>#REF!</v>
      </c>
      <c r="AF189" s="69" t="e" cm="1">
        <f t="array" ref="AF189">_xlfn.XLOOKUP(Table1[[#This Row],[5 cm2 cell test code]:[5 cm2 cell test code]],[1]!Table1[[Test code]:[Test code]],[1]!Table1[Ionic resistance DIW/Ohm cm2],"",0)</f>
        <v>#REF!</v>
      </c>
      <c r="AG189" s="69" t="e" cm="1">
        <f t="array" ref="AG189">_xlfn.XLOOKUP(Table1[[#This Row],[5 cm2 cell test code]:[5 cm2 cell test code]],[1]!Table1[[Test code]:[Test code]],[1]!Table1[Q_int_frac DIW],"",0)</f>
        <v>#REF!</v>
      </c>
      <c r="AH189" s="69" t="e" cm="1">
        <f t="array" ref="AH189">_xlfn.XLOOKUP(Table1[[#This Row],[5 cm2 cell test code]:[5 cm2 cell test code]],[1]!Table1[[Test code]:[Test code]],[1]!Table1[Ionic resistance 10 mM KOH/Ohm cm2],"",0)</f>
        <v>#REF!</v>
      </c>
      <c r="AI189" s="69" t="e" cm="1">
        <f t="array" ref="AI189">_xlfn.XLOOKUP(Table1[[#This Row],[5 cm2 cell test code]:[5 cm2 cell test code]],[1]!Table1[[Test code]:[Test code]],[1]!Table1[Q_int_frac DIW 10 mM KOH],"",0)</f>
        <v>#REF!</v>
      </c>
      <c r="AJ189" s="69" t="e" cm="1">
        <f t="array" ref="AJ189">_xlfn.XLOOKUP(Table1[[#This Row],[5 cm2 cell test code]:[5 cm2 cell test code]],[1]!Table1[[Test code]:[Test code]],[1]!Table1[DIW conductivity (µS/cm)],"",0)</f>
        <v>#REF!</v>
      </c>
      <c r="AQ189" s="4" t="str">
        <v>VSG01A-23243E1</v>
      </c>
      <c r="AR189" s="95"/>
      <c r="AS189" s="95"/>
      <c r="AT189" s="95"/>
      <c r="AU189" s="95"/>
      <c r="AV189" s="95"/>
    </row>
    <row r="190" spans="1:48">
      <c r="A190" s="81"/>
      <c r="K190" s="43" t="s">
        <v>59</v>
      </c>
      <c r="U190" s="101"/>
      <c r="V190" s="101"/>
      <c r="W190" s="69" t="e" cm="1">
        <f t="array" ref="W190">_xlfn.XLOOKUP(Table1[[#This Row],[5 cm2 cell test code]:[5 cm2 cell test code]],[1]!Table1[[Test code]:[Test code]],[1]!Table1[i @ 1.8 V DIW (A/cm2)],"",0)</f>
        <v>#REF!</v>
      </c>
      <c r="X190" s="69" t="e" cm="1">
        <f t="array" ref="X190">_xlfn.XLOOKUP(Table1[[#This Row],[5 cm2 cell test code]:[5 cm2 cell test code]],[1]!Table1[[Test code]:[Test code]],[1]!Table1[i @ 1.8 V 10 mM KOH (A/cm2)],"",0)</f>
        <v>#REF!</v>
      </c>
      <c r="Y190" s="69" t="e" cm="1">
        <f t="array" ref="Y190">_xlfn.XLOOKUP(Table1[[#This Row],[5 cm2 cell test code]:[5 cm2 cell test code]],[1]!Table1[[Test code]:[Test code]],[1]!Table1[3-E ƞ at 20mAcm-2 (mV)],"",0)</f>
        <v>#REF!</v>
      </c>
      <c r="Z190" s="69" t="e" cm="1">
        <f t="array" ref="Z190">_xlfn.XLOOKUP(Table1[[#This Row],[5 cm2 cell test code]:[5 cm2 cell test code]],[1]!Table1[[Test code]:[Test code]],[1]!Table1[3-E Tafel slope (mV/dec)],"",0)</f>
        <v>#REF!</v>
      </c>
      <c r="AA190" s="69" t="e" cm="1">
        <f t="array" ref="AA190">_xlfn.XLOOKUP(Table1[[#This Row],[5 cm2 cell test code]:[5 cm2 cell test code]],[1]!Table1[[Test code]:[Test code]],[1]!Table1[E @ 100 mA/cm2 DIW/V],"",0)</f>
        <v>#REF!</v>
      </c>
      <c r="AB190" s="69" t="e" cm="1">
        <f t="array" ref="AB190">_xlfn.XLOOKUP(Table1[[#This Row],[5 cm2 cell test code]:[5 cm2 cell test code]],[1]!Table1[[Test code]:[Test code]],[1]!Table1[E @ 100 mA/cm2 10 mM KOH/V],"",0)</f>
        <v>#REF!</v>
      </c>
      <c r="AC190" s="69" t="e" cm="1">
        <f t="array" ref="AC190">_xlfn.XLOOKUP(Table1[[#This Row],[5 cm2 cell test code]:[5 cm2 cell test code]],[1]!Table1[[Test code]:[Test code]],[1]!Table1[Anode ICR/mOhm],"",0)</f>
        <v>#REF!</v>
      </c>
      <c r="AD190" s="69" t="e" cm="1">
        <f t="array" ref="AD190">_xlfn.XLOOKUP(Table1[[#This Row],[5 cm2 cell test code]:[5 cm2 cell test code]],[1]!Table1[[Test code]:[Test code]],[1]!Table1[HFR DIW/ mOhm cm2],"",0)</f>
        <v>#REF!</v>
      </c>
      <c r="AE190" s="69" t="e" cm="1">
        <f t="array" ref="AE190">_xlfn.XLOOKUP(Table1[[#This Row],[5 cm2 cell test code]:[5 cm2 cell test code]],[1]!Table1[[Test code]:[Test code]],[1]!Table1[HFR 10 mM KOH/ mOhm cm2],"",0)</f>
        <v>#REF!</v>
      </c>
      <c r="AF190" s="69" t="e" cm="1">
        <f t="array" ref="AF190">_xlfn.XLOOKUP(Table1[[#This Row],[5 cm2 cell test code]:[5 cm2 cell test code]],[1]!Table1[[Test code]:[Test code]],[1]!Table1[Ionic resistance DIW/Ohm cm2],"",0)</f>
        <v>#REF!</v>
      </c>
      <c r="AG190" s="69" t="e" cm="1">
        <f t="array" ref="AG190">_xlfn.XLOOKUP(Table1[[#This Row],[5 cm2 cell test code]:[5 cm2 cell test code]],[1]!Table1[[Test code]:[Test code]],[1]!Table1[Q_int_frac DIW],"",0)</f>
        <v>#REF!</v>
      </c>
      <c r="AH190" s="69" t="e" cm="1">
        <f t="array" ref="AH190">_xlfn.XLOOKUP(Table1[[#This Row],[5 cm2 cell test code]:[5 cm2 cell test code]],[1]!Table1[[Test code]:[Test code]],[1]!Table1[Ionic resistance 10 mM KOH/Ohm cm2],"",0)</f>
        <v>#REF!</v>
      </c>
      <c r="AI190" s="69" t="e" cm="1">
        <f t="array" ref="AI190">_xlfn.XLOOKUP(Table1[[#This Row],[5 cm2 cell test code]:[5 cm2 cell test code]],[1]!Table1[[Test code]:[Test code]],[1]!Table1[Q_int_frac DIW 10 mM KOH],"",0)</f>
        <v>#REF!</v>
      </c>
      <c r="AJ190" s="69" t="e" cm="1">
        <f t="array" ref="AJ190">_xlfn.XLOOKUP(Table1[[#This Row],[5 cm2 cell test code]:[5 cm2 cell test code]],[1]!Table1[[Test code]:[Test code]],[1]!Table1[DIW conductivity (µS/cm)],"",0)</f>
        <v>#REF!</v>
      </c>
      <c r="AQ190" s="4" t="str">
        <v>VSG01A-23247E1.01</v>
      </c>
      <c r="AR190" s="95"/>
      <c r="AS190" s="95"/>
      <c r="AT190" s="95"/>
      <c r="AU190" s="95"/>
      <c r="AV190" s="95"/>
    </row>
    <row r="191" spans="1:48">
      <c r="A191" s="81"/>
      <c r="K191" s="43" t="s">
        <v>59</v>
      </c>
      <c r="U191" s="101"/>
      <c r="V191" s="101"/>
      <c r="W191" s="69" t="e" cm="1">
        <f t="array" ref="W191">_xlfn.XLOOKUP(Table1[[#This Row],[5 cm2 cell test code]:[5 cm2 cell test code]],[1]!Table1[[Test code]:[Test code]],[1]!Table1[i @ 1.8 V DIW (A/cm2)],"",0)</f>
        <v>#REF!</v>
      </c>
      <c r="X191" s="69" t="e" cm="1">
        <f t="array" ref="X191">_xlfn.XLOOKUP(Table1[[#This Row],[5 cm2 cell test code]:[5 cm2 cell test code]],[1]!Table1[[Test code]:[Test code]],[1]!Table1[i @ 1.8 V 10 mM KOH (A/cm2)],"",0)</f>
        <v>#REF!</v>
      </c>
      <c r="Y191" s="69" t="e" cm="1">
        <f t="array" ref="Y191">_xlfn.XLOOKUP(Table1[[#This Row],[5 cm2 cell test code]:[5 cm2 cell test code]],[1]!Table1[[Test code]:[Test code]],[1]!Table1[3-E ƞ at 20mAcm-2 (mV)],"",0)</f>
        <v>#REF!</v>
      </c>
      <c r="Z191" s="69" t="e" cm="1">
        <f t="array" ref="Z191">_xlfn.XLOOKUP(Table1[[#This Row],[5 cm2 cell test code]:[5 cm2 cell test code]],[1]!Table1[[Test code]:[Test code]],[1]!Table1[3-E Tafel slope (mV/dec)],"",0)</f>
        <v>#REF!</v>
      </c>
      <c r="AA191" s="69" t="e" cm="1">
        <f t="array" ref="AA191">_xlfn.XLOOKUP(Table1[[#This Row],[5 cm2 cell test code]:[5 cm2 cell test code]],[1]!Table1[[Test code]:[Test code]],[1]!Table1[E @ 100 mA/cm2 DIW/V],"",0)</f>
        <v>#REF!</v>
      </c>
      <c r="AB191" s="69" t="e" cm="1">
        <f t="array" ref="AB191">_xlfn.XLOOKUP(Table1[[#This Row],[5 cm2 cell test code]:[5 cm2 cell test code]],[1]!Table1[[Test code]:[Test code]],[1]!Table1[E @ 100 mA/cm2 10 mM KOH/V],"",0)</f>
        <v>#REF!</v>
      </c>
      <c r="AC191" s="69" t="e" cm="1">
        <f t="array" ref="AC191">_xlfn.XLOOKUP(Table1[[#This Row],[5 cm2 cell test code]:[5 cm2 cell test code]],[1]!Table1[[Test code]:[Test code]],[1]!Table1[Anode ICR/mOhm],"",0)</f>
        <v>#REF!</v>
      </c>
      <c r="AD191" s="69" t="e" cm="1">
        <f t="array" ref="AD191">_xlfn.XLOOKUP(Table1[[#This Row],[5 cm2 cell test code]:[5 cm2 cell test code]],[1]!Table1[[Test code]:[Test code]],[1]!Table1[HFR DIW/ mOhm cm2],"",0)</f>
        <v>#REF!</v>
      </c>
      <c r="AE191" s="69" t="e" cm="1">
        <f t="array" ref="AE191">_xlfn.XLOOKUP(Table1[[#This Row],[5 cm2 cell test code]:[5 cm2 cell test code]],[1]!Table1[[Test code]:[Test code]],[1]!Table1[HFR 10 mM KOH/ mOhm cm2],"",0)</f>
        <v>#REF!</v>
      </c>
      <c r="AF191" s="69" t="e" cm="1">
        <f t="array" ref="AF191">_xlfn.XLOOKUP(Table1[[#This Row],[5 cm2 cell test code]:[5 cm2 cell test code]],[1]!Table1[[Test code]:[Test code]],[1]!Table1[Ionic resistance DIW/Ohm cm2],"",0)</f>
        <v>#REF!</v>
      </c>
      <c r="AG191" s="69" t="e" cm="1">
        <f t="array" ref="AG191">_xlfn.XLOOKUP(Table1[[#This Row],[5 cm2 cell test code]:[5 cm2 cell test code]],[1]!Table1[[Test code]:[Test code]],[1]!Table1[Q_int_frac DIW],"",0)</f>
        <v>#REF!</v>
      </c>
      <c r="AH191" s="69" t="e" cm="1">
        <f t="array" ref="AH191">_xlfn.XLOOKUP(Table1[[#This Row],[5 cm2 cell test code]:[5 cm2 cell test code]],[1]!Table1[[Test code]:[Test code]],[1]!Table1[Ionic resistance 10 mM KOH/Ohm cm2],"",0)</f>
        <v>#REF!</v>
      </c>
      <c r="AI191" s="69" t="e" cm="1">
        <f t="array" ref="AI191">_xlfn.XLOOKUP(Table1[[#This Row],[5 cm2 cell test code]:[5 cm2 cell test code]],[1]!Table1[[Test code]:[Test code]],[1]!Table1[Q_int_frac DIW 10 mM KOH],"",0)</f>
        <v>#REF!</v>
      </c>
      <c r="AJ191" s="69" t="e" cm="1">
        <f t="array" ref="AJ191">_xlfn.XLOOKUP(Table1[[#This Row],[5 cm2 cell test code]:[5 cm2 cell test code]],[1]!Table1[[Test code]:[Test code]],[1]!Table1[DIW conductivity (µS/cm)],"",0)</f>
        <v>#REF!</v>
      </c>
      <c r="AQ191" s="4" t="str">
        <v>VSG01A-23247E1.02</v>
      </c>
      <c r="AR191" s="95"/>
      <c r="AS191" s="95"/>
      <c r="AT191" s="95"/>
      <c r="AU191" s="95"/>
      <c r="AV191" s="95"/>
    </row>
    <row r="192" spans="1:48">
      <c r="A192" s="81"/>
      <c r="B192" s="11" t="s">
        <v>377</v>
      </c>
      <c r="C192" s="4" t="s">
        <v>363</v>
      </c>
      <c r="I192" s="11" t="s">
        <v>114</v>
      </c>
      <c r="J192" s="11" t="s">
        <v>134</v>
      </c>
      <c r="K192" s="43" t="s">
        <v>59</v>
      </c>
      <c r="M192" s="13">
        <f>(61.9-61.42)*1000/(31*21.5)</f>
        <v>0.7201800450112481</v>
      </c>
      <c r="N192" s="13">
        <v>2.7170000000000001</v>
      </c>
      <c r="O192" s="11" t="s">
        <v>378</v>
      </c>
      <c r="P192" s="28">
        <f>(62.35-61.63)*1000/(30.8*21.5)</f>
        <v>1.087284808215039</v>
      </c>
      <c r="U192" s="101"/>
      <c r="V192" s="101"/>
      <c r="W192" s="69" t="e" cm="1">
        <f t="array" ref="W192">_xlfn.XLOOKUP(Table1[[#This Row],[5 cm2 cell test code]:[5 cm2 cell test code]],[1]!Table1[[Test code]:[Test code]],[1]!Table1[i @ 1.8 V DIW (A/cm2)],"",0)</f>
        <v>#REF!</v>
      </c>
      <c r="X192" s="69" t="e" cm="1">
        <f t="array" ref="X192">_xlfn.XLOOKUP(Table1[[#This Row],[5 cm2 cell test code]:[5 cm2 cell test code]],[1]!Table1[[Test code]:[Test code]],[1]!Table1[i @ 1.8 V 10 mM KOH (A/cm2)],"",0)</f>
        <v>#REF!</v>
      </c>
      <c r="Y192" s="69" t="e" cm="1">
        <f t="array" ref="Y192">_xlfn.XLOOKUP(Table1[[#This Row],[5 cm2 cell test code]:[5 cm2 cell test code]],[1]!Table1[[Test code]:[Test code]],[1]!Table1[3-E ƞ at 20mAcm-2 (mV)],"",0)</f>
        <v>#REF!</v>
      </c>
      <c r="Z192" s="69" t="e" cm="1">
        <f t="array" ref="Z192">_xlfn.XLOOKUP(Table1[[#This Row],[5 cm2 cell test code]:[5 cm2 cell test code]],[1]!Table1[[Test code]:[Test code]],[1]!Table1[3-E Tafel slope (mV/dec)],"",0)</f>
        <v>#REF!</v>
      </c>
      <c r="AA192" s="69" t="e" cm="1">
        <f t="array" ref="AA192">_xlfn.XLOOKUP(Table1[[#This Row],[5 cm2 cell test code]:[5 cm2 cell test code]],[1]!Table1[[Test code]:[Test code]],[1]!Table1[E @ 100 mA/cm2 DIW/V],"",0)</f>
        <v>#REF!</v>
      </c>
      <c r="AB192" s="69" t="e" cm="1">
        <f t="array" ref="AB192">_xlfn.XLOOKUP(Table1[[#This Row],[5 cm2 cell test code]:[5 cm2 cell test code]],[1]!Table1[[Test code]:[Test code]],[1]!Table1[E @ 100 mA/cm2 10 mM KOH/V],"",0)</f>
        <v>#REF!</v>
      </c>
      <c r="AC192" s="69" t="e" cm="1">
        <f t="array" ref="AC192">_xlfn.XLOOKUP(Table1[[#This Row],[5 cm2 cell test code]:[5 cm2 cell test code]],[1]!Table1[[Test code]:[Test code]],[1]!Table1[Anode ICR/mOhm],"",0)</f>
        <v>#REF!</v>
      </c>
      <c r="AD192" s="69" t="e" cm="1">
        <f t="array" ref="AD192">_xlfn.XLOOKUP(Table1[[#This Row],[5 cm2 cell test code]:[5 cm2 cell test code]],[1]!Table1[[Test code]:[Test code]],[1]!Table1[HFR DIW/ mOhm cm2],"",0)</f>
        <v>#REF!</v>
      </c>
      <c r="AE192" s="69" t="e" cm="1">
        <f t="array" ref="AE192">_xlfn.XLOOKUP(Table1[[#This Row],[5 cm2 cell test code]:[5 cm2 cell test code]],[1]!Table1[[Test code]:[Test code]],[1]!Table1[HFR 10 mM KOH/ mOhm cm2],"",0)</f>
        <v>#REF!</v>
      </c>
      <c r="AF192" s="69" t="e" cm="1">
        <f t="array" ref="AF192">_xlfn.XLOOKUP(Table1[[#This Row],[5 cm2 cell test code]:[5 cm2 cell test code]],[1]!Table1[[Test code]:[Test code]],[1]!Table1[Ionic resistance DIW/Ohm cm2],"",0)</f>
        <v>#REF!</v>
      </c>
      <c r="AG192" s="69" t="e" cm="1">
        <f t="array" ref="AG192">_xlfn.XLOOKUP(Table1[[#This Row],[5 cm2 cell test code]:[5 cm2 cell test code]],[1]!Table1[[Test code]:[Test code]],[1]!Table1[Q_int_frac DIW],"",0)</f>
        <v>#REF!</v>
      </c>
      <c r="AH192" s="69" t="e" cm="1">
        <f t="array" ref="AH192">_xlfn.XLOOKUP(Table1[[#This Row],[5 cm2 cell test code]:[5 cm2 cell test code]],[1]!Table1[[Test code]:[Test code]],[1]!Table1[Ionic resistance 10 mM KOH/Ohm cm2],"",0)</f>
        <v>#REF!</v>
      </c>
      <c r="AI192" s="69" t="e" cm="1">
        <f t="array" ref="AI192">_xlfn.XLOOKUP(Table1[[#This Row],[5 cm2 cell test code]:[5 cm2 cell test code]],[1]!Table1[[Test code]:[Test code]],[1]!Table1[Q_int_frac DIW 10 mM KOH],"",0)</f>
        <v>#REF!</v>
      </c>
      <c r="AJ192" s="69" t="e" cm="1">
        <f t="array" ref="AJ192">_xlfn.XLOOKUP(Table1[[#This Row],[5 cm2 cell test code]:[5 cm2 cell test code]],[1]!Table1[[Test code]:[Test code]],[1]!Table1[DIW conductivity (µS/cm)],"",0)</f>
        <v>#REF!</v>
      </c>
      <c r="AQ192" s="4" t="str">
        <v>VSG01A-23247E1.03</v>
      </c>
      <c r="AR192" s="95">
        <f>COUNTIFS(Table1[Anode PN (Stack/cell electrodes)],AQ192,Table1[ƞ at 20mAcm-2 (mV)],"&lt;&gt;")</f>
        <v>0</v>
      </c>
      <c r="AS192" s="95">
        <f>COUNTIFS(Table1[Anode PN (Stack/cell electrodes)],AQ192,Table1[i @ 1.8 V DIW (A/cm2)],"&lt;&gt;")</f>
        <v>1</v>
      </c>
      <c r="AT192" s="95">
        <f>COUNTIFS(Table1[Anode PN (Stack/cell electrodes)],AQ192,Table1[i at 1.8 V 10 mM KOH (A/cm2)],"&lt;&gt;")</f>
        <v>1</v>
      </c>
      <c r="AU192" s="95">
        <f>COUNTIFS(Table1[Anode PN (Stack/cell electrodes)],AQ192,Table1[Ionic resistance DIW/Ohm cm2],"&lt;&gt;")</f>
        <v>1</v>
      </c>
      <c r="AV192" s="95">
        <f>COUNTIFS(Table1[Anode PN (Stack/cell electrodes)],AQ192,Table1[Ionic resistance 10 mM KOH/Ohm cm2],"&lt;&gt;")</f>
        <v>1</v>
      </c>
    </row>
    <row r="193" spans="1:48">
      <c r="A193" s="81"/>
      <c r="B193" s="11" t="s">
        <v>379</v>
      </c>
      <c r="C193" s="4" t="s">
        <v>363</v>
      </c>
      <c r="I193" s="11" t="s">
        <v>114</v>
      </c>
      <c r="J193" s="11" t="s">
        <v>134</v>
      </c>
      <c r="K193" s="43" t="s">
        <v>59</v>
      </c>
      <c r="M193" s="13">
        <f>(62.5-62.15)*1000/(31.1*21.5)</f>
        <v>0.52344275779556038</v>
      </c>
      <c r="N193" s="13">
        <v>2.83</v>
      </c>
      <c r="O193" s="11" t="s">
        <v>380</v>
      </c>
      <c r="P193" s="28">
        <f>(62.82-62.02)*1000/(30.8*21.5)</f>
        <v>1.2080942313500409</v>
      </c>
      <c r="U193" s="101"/>
      <c r="V193" s="101"/>
      <c r="W193" s="69" t="e" cm="1">
        <f t="array" ref="W193">_xlfn.XLOOKUP(Table1[[#This Row],[5 cm2 cell test code]:[5 cm2 cell test code]],[1]!Table1[[Test code]:[Test code]],[1]!Table1[i @ 1.8 V DIW (A/cm2)],"",0)</f>
        <v>#REF!</v>
      </c>
      <c r="X193" s="69" t="e" cm="1">
        <f t="array" ref="X193">_xlfn.XLOOKUP(Table1[[#This Row],[5 cm2 cell test code]:[5 cm2 cell test code]],[1]!Table1[[Test code]:[Test code]],[1]!Table1[i @ 1.8 V 10 mM KOH (A/cm2)],"",0)</f>
        <v>#REF!</v>
      </c>
      <c r="Y193" s="69" t="e" cm="1">
        <f t="array" ref="Y193">_xlfn.XLOOKUP(Table1[[#This Row],[5 cm2 cell test code]:[5 cm2 cell test code]],[1]!Table1[[Test code]:[Test code]],[1]!Table1[3-E ƞ at 20mAcm-2 (mV)],"",0)</f>
        <v>#REF!</v>
      </c>
      <c r="Z193" s="69" t="e" cm="1">
        <f t="array" ref="Z193">_xlfn.XLOOKUP(Table1[[#This Row],[5 cm2 cell test code]:[5 cm2 cell test code]],[1]!Table1[[Test code]:[Test code]],[1]!Table1[3-E Tafel slope (mV/dec)],"",0)</f>
        <v>#REF!</v>
      </c>
      <c r="AA193" s="69" t="e" cm="1">
        <f t="array" ref="AA193">_xlfn.XLOOKUP(Table1[[#This Row],[5 cm2 cell test code]:[5 cm2 cell test code]],[1]!Table1[[Test code]:[Test code]],[1]!Table1[E @ 100 mA/cm2 DIW/V],"",0)</f>
        <v>#REF!</v>
      </c>
      <c r="AB193" s="69" t="e" cm="1">
        <f t="array" ref="AB193">_xlfn.XLOOKUP(Table1[[#This Row],[5 cm2 cell test code]:[5 cm2 cell test code]],[1]!Table1[[Test code]:[Test code]],[1]!Table1[E @ 100 mA/cm2 10 mM KOH/V],"",0)</f>
        <v>#REF!</v>
      </c>
      <c r="AC193" s="69" t="e" cm="1">
        <f t="array" ref="AC193">_xlfn.XLOOKUP(Table1[[#This Row],[5 cm2 cell test code]:[5 cm2 cell test code]],[1]!Table1[[Test code]:[Test code]],[1]!Table1[Anode ICR/mOhm],"",0)</f>
        <v>#REF!</v>
      </c>
      <c r="AD193" s="69" t="e" cm="1">
        <f t="array" ref="AD193">_xlfn.XLOOKUP(Table1[[#This Row],[5 cm2 cell test code]:[5 cm2 cell test code]],[1]!Table1[[Test code]:[Test code]],[1]!Table1[HFR DIW/ mOhm cm2],"",0)</f>
        <v>#REF!</v>
      </c>
      <c r="AE193" s="69" t="e" cm="1">
        <f t="array" ref="AE193">_xlfn.XLOOKUP(Table1[[#This Row],[5 cm2 cell test code]:[5 cm2 cell test code]],[1]!Table1[[Test code]:[Test code]],[1]!Table1[HFR 10 mM KOH/ mOhm cm2],"",0)</f>
        <v>#REF!</v>
      </c>
      <c r="AF193" s="69" t="e" cm="1">
        <f t="array" ref="AF193">_xlfn.XLOOKUP(Table1[[#This Row],[5 cm2 cell test code]:[5 cm2 cell test code]],[1]!Table1[[Test code]:[Test code]],[1]!Table1[Ionic resistance DIW/Ohm cm2],"",0)</f>
        <v>#REF!</v>
      </c>
      <c r="AG193" s="69" t="e" cm="1">
        <f t="array" ref="AG193">_xlfn.XLOOKUP(Table1[[#This Row],[5 cm2 cell test code]:[5 cm2 cell test code]],[1]!Table1[[Test code]:[Test code]],[1]!Table1[Q_int_frac DIW],"",0)</f>
        <v>#REF!</v>
      </c>
      <c r="AH193" s="69" t="e" cm="1">
        <f t="array" ref="AH193">_xlfn.XLOOKUP(Table1[[#This Row],[5 cm2 cell test code]:[5 cm2 cell test code]],[1]!Table1[[Test code]:[Test code]],[1]!Table1[Ionic resistance 10 mM KOH/Ohm cm2],"",0)</f>
        <v>#REF!</v>
      </c>
      <c r="AI193" s="69" t="e" cm="1">
        <f t="array" ref="AI193">_xlfn.XLOOKUP(Table1[[#This Row],[5 cm2 cell test code]:[5 cm2 cell test code]],[1]!Table1[[Test code]:[Test code]],[1]!Table1[Q_int_frac DIW 10 mM KOH],"",0)</f>
        <v>#REF!</v>
      </c>
      <c r="AJ193" s="69" t="e" cm="1">
        <f t="array" ref="AJ193">_xlfn.XLOOKUP(Table1[[#This Row],[5 cm2 cell test code]:[5 cm2 cell test code]],[1]!Table1[[Test code]:[Test code]],[1]!Table1[DIW conductivity (µS/cm)],"",0)</f>
        <v>#REF!</v>
      </c>
      <c r="AQ193" s="4" t="str">
        <v>VSG01A-23248E1.01</v>
      </c>
      <c r="AR193" s="95">
        <f>COUNTIFS(Table1[Anode PN (Stack/cell electrodes)],AQ193,Table1[ƞ at 20mAcm-2 (mV)],"&lt;&gt;")</f>
        <v>0</v>
      </c>
      <c r="AS193" s="95">
        <f>COUNTIFS(Table1[Anode PN (Stack/cell electrodes)],AQ193,Table1[i @ 1.8 V DIW (A/cm2)],"&lt;&gt;")</f>
        <v>1</v>
      </c>
      <c r="AT193" s="95">
        <f>COUNTIFS(Table1[Anode PN (Stack/cell electrodes)],AQ193,Table1[i at 1.8 V 10 mM KOH (A/cm2)],"&lt;&gt;")</f>
        <v>1</v>
      </c>
      <c r="AU193" s="95">
        <f>COUNTIFS(Table1[Anode PN (Stack/cell electrodes)],AQ193,Table1[Ionic resistance DIW/Ohm cm2],"&lt;&gt;")</f>
        <v>1</v>
      </c>
      <c r="AV193" s="95">
        <f>COUNTIFS(Table1[Anode PN (Stack/cell electrodes)],AQ193,Table1[Ionic resistance 10 mM KOH/Ohm cm2],"&lt;&gt;")</f>
        <v>1</v>
      </c>
    </row>
    <row r="194" spans="1:48">
      <c r="A194" s="81"/>
      <c r="K194" s="43" t="s">
        <v>59</v>
      </c>
      <c r="U194" s="101"/>
      <c r="V194" s="101"/>
      <c r="W194" s="69" t="e" cm="1">
        <f t="array" ref="W194">_xlfn.XLOOKUP(Table1[[#This Row],[5 cm2 cell test code]:[5 cm2 cell test code]],[1]!Table1[[Test code]:[Test code]],[1]!Table1[i @ 1.8 V DIW (A/cm2)],"",0)</f>
        <v>#REF!</v>
      </c>
      <c r="X194" s="69" t="e" cm="1">
        <f t="array" ref="X194">_xlfn.XLOOKUP(Table1[[#This Row],[5 cm2 cell test code]:[5 cm2 cell test code]],[1]!Table1[[Test code]:[Test code]],[1]!Table1[i @ 1.8 V 10 mM KOH (A/cm2)],"",0)</f>
        <v>#REF!</v>
      </c>
      <c r="Y194" s="69" t="e" cm="1">
        <f t="array" ref="Y194">_xlfn.XLOOKUP(Table1[[#This Row],[5 cm2 cell test code]:[5 cm2 cell test code]],[1]!Table1[[Test code]:[Test code]],[1]!Table1[3-E ƞ at 20mAcm-2 (mV)],"",0)</f>
        <v>#REF!</v>
      </c>
      <c r="Z194" s="69" t="e" cm="1">
        <f t="array" ref="Z194">_xlfn.XLOOKUP(Table1[[#This Row],[5 cm2 cell test code]:[5 cm2 cell test code]],[1]!Table1[[Test code]:[Test code]],[1]!Table1[3-E Tafel slope (mV/dec)],"",0)</f>
        <v>#REF!</v>
      </c>
      <c r="AA194" s="69" t="e" cm="1">
        <f t="array" ref="AA194">_xlfn.XLOOKUP(Table1[[#This Row],[5 cm2 cell test code]:[5 cm2 cell test code]],[1]!Table1[[Test code]:[Test code]],[1]!Table1[E @ 100 mA/cm2 DIW/V],"",0)</f>
        <v>#REF!</v>
      </c>
      <c r="AB194" s="69" t="e" cm="1">
        <f t="array" ref="AB194">_xlfn.XLOOKUP(Table1[[#This Row],[5 cm2 cell test code]:[5 cm2 cell test code]],[1]!Table1[[Test code]:[Test code]],[1]!Table1[E @ 100 mA/cm2 10 mM KOH/V],"",0)</f>
        <v>#REF!</v>
      </c>
      <c r="AC194" s="69" t="e" cm="1">
        <f t="array" ref="AC194">_xlfn.XLOOKUP(Table1[[#This Row],[5 cm2 cell test code]:[5 cm2 cell test code]],[1]!Table1[[Test code]:[Test code]],[1]!Table1[Anode ICR/mOhm],"",0)</f>
        <v>#REF!</v>
      </c>
      <c r="AD194" s="69" t="e" cm="1">
        <f t="array" ref="AD194">_xlfn.XLOOKUP(Table1[[#This Row],[5 cm2 cell test code]:[5 cm2 cell test code]],[1]!Table1[[Test code]:[Test code]],[1]!Table1[HFR DIW/ mOhm cm2],"",0)</f>
        <v>#REF!</v>
      </c>
      <c r="AE194" s="69" t="e" cm="1">
        <f t="array" ref="AE194">_xlfn.XLOOKUP(Table1[[#This Row],[5 cm2 cell test code]:[5 cm2 cell test code]],[1]!Table1[[Test code]:[Test code]],[1]!Table1[HFR 10 mM KOH/ mOhm cm2],"",0)</f>
        <v>#REF!</v>
      </c>
      <c r="AF194" s="69" t="e" cm="1">
        <f t="array" ref="AF194">_xlfn.XLOOKUP(Table1[[#This Row],[5 cm2 cell test code]:[5 cm2 cell test code]],[1]!Table1[[Test code]:[Test code]],[1]!Table1[Ionic resistance DIW/Ohm cm2],"",0)</f>
        <v>#REF!</v>
      </c>
      <c r="AG194" s="69" t="e" cm="1">
        <f t="array" ref="AG194">_xlfn.XLOOKUP(Table1[[#This Row],[5 cm2 cell test code]:[5 cm2 cell test code]],[1]!Table1[[Test code]:[Test code]],[1]!Table1[Q_int_frac DIW],"",0)</f>
        <v>#REF!</v>
      </c>
      <c r="AH194" s="69" t="e" cm="1">
        <f t="array" ref="AH194">_xlfn.XLOOKUP(Table1[[#This Row],[5 cm2 cell test code]:[5 cm2 cell test code]],[1]!Table1[[Test code]:[Test code]],[1]!Table1[Ionic resistance 10 mM KOH/Ohm cm2],"",0)</f>
        <v>#REF!</v>
      </c>
      <c r="AI194" s="69" t="e" cm="1">
        <f t="array" ref="AI194">_xlfn.XLOOKUP(Table1[[#This Row],[5 cm2 cell test code]:[5 cm2 cell test code]],[1]!Table1[[Test code]:[Test code]],[1]!Table1[Q_int_frac DIW 10 mM KOH],"",0)</f>
        <v>#REF!</v>
      </c>
      <c r="AJ194" s="69" t="e" cm="1">
        <f t="array" ref="AJ194">_xlfn.XLOOKUP(Table1[[#This Row],[5 cm2 cell test code]:[5 cm2 cell test code]],[1]!Table1[[Test code]:[Test code]],[1]!Table1[DIW conductivity (µS/cm)],"",0)</f>
        <v>#REF!</v>
      </c>
      <c r="AQ194" s="4" t="str">
        <v>VSG01A-23248E1.02</v>
      </c>
      <c r="AR194" s="95">
        <f>COUNTIFS(Table1[Anode PN (Stack/cell electrodes)],AQ194,Table1[ƞ at 20mAcm-2 (mV)],"&lt;&gt;")</f>
        <v>0</v>
      </c>
      <c r="AS194" s="95">
        <f>COUNTIFS(Table1[Anode PN (Stack/cell electrodes)],AQ194,Table1[i @ 1.8 V DIW (A/cm2)],"&lt;&gt;")</f>
        <v>1</v>
      </c>
      <c r="AT194" s="95">
        <f>COUNTIFS(Table1[Anode PN (Stack/cell electrodes)],AQ194,Table1[i at 1.8 V 10 mM KOH (A/cm2)],"&lt;&gt;")</f>
        <v>1</v>
      </c>
      <c r="AU194" s="95">
        <f>COUNTIFS(Table1[Anode PN (Stack/cell electrodes)],AQ194,Table1[Ionic resistance DIW/Ohm cm2],"&lt;&gt;")</f>
        <v>1</v>
      </c>
      <c r="AV194" s="95">
        <f>COUNTIFS(Table1[Anode PN (Stack/cell electrodes)],AQ194,Table1[Ionic resistance 10 mM KOH/Ohm cm2],"&lt;&gt;")</f>
        <v>1</v>
      </c>
    </row>
    <row r="195" spans="1:48">
      <c r="A195" s="81"/>
      <c r="K195" s="43" t="s">
        <v>59</v>
      </c>
      <c r="U195" s="101"/>
      <c r="V195" s="101"/>
      <c r="W195" s="69" t="e" cm="1">
        <f t="array" ref="W195">_xlfn.XLOOKUP(Table1[[#This Row],[5 cm2 cell test code]:[5 cm2 cell test code]],[1]!Table1[[Test code]:[Test code]],[1]!Table1[i @ 1.8 V DIW (A/cm2)],"",0)</f>
        <v>#REF!</v>
      </c>
      <c r="X195" s="69" t="e" cm="1">
        <f t="array" ref="X195">_xlfn.XLOOKUP(Table1[[#This Row],[5 cm2 cell test code]:[5 cm2 cell test code]],[1]!Table1[[Test code]:[Test code]],[1]!Table1[i @ 1.8 V 10 mM KOH (A/cm2)],"",0)</f>
        <v>#REF!</v>
      </c>
      <c r="Y195" s="69" t="e" cm="1">
        <f t="array" ref="Y195">_xlfn.XLOOKUP(Table1[[#This Row],[5 cm2 cell test code]:[5 cm2 cell test code]],[1]!Table1[[Test code]:[Test code]],[1]!Table1[3-E ƞ at 20mAcm-2 (mV)],"",0)</f>
        <v>#REF!</v>
      </c>
      <c r="Z195" s="69" t="e" cm="1">
        <f t="array" ref="Z195">_xlfn.XLOOKUP(Table1[[#This Row],[5 cm2 cell test code]:[5 cm2 cell test code]],[1]!Table1[[Test code]:[Test code]],[1]!Table1[3-E Tafel slope (mV/dec)],"",0)</f>
        <v>#REF!</v>
      </c>
      <c r="AA195" s="69" t="e" cm="1">
        <f t="array" ref="AA195">_xlfn.XLOOKUP(Table1[[#This Row],[5 cm2 cell test code]:[5 cm2 cell test code]],[1]!Table1[[Test code]:[Test code]],[1]!Table1[E @ 100 mA/cm2 DIW/V],"",0)</f>
        <v>#REF!</v>
      </c>
      <c r="AB195" s="69" t="e" cm="1">
        <f t="array" ref="AB195">_xlfn.XLOOKUP(Table1[[#This Row],[5 cm2 cell test code]:[5 cm2 cell test code]],[1]!Table1[[Test code]:[Test code]],[1]!Table1[E @ 100 mA/cm2 10 mM KOH/V],"",0)</f>
        <v>#REF!</v>
      </c>
      <c r="AC195" s="69" t="e" cm="1">
        <f t="array" ref="AC195">_xlfn.XLOOKUP(Table1[[#This Row],[5 cm2 cell test code]:[5 cm2 cell test code]],[1]!Table1[[Test code]:[Test code]],[1]!Table1[Anode ICR/mOhm],"",0)</f>
        <v>#REF!</v>
      </c>
      <c r="AD195" s="69" t="e" cm="1">
        <f t="array" ref="AD195">_xlfn.XLOOKUP(Table1[[#This Row],[5 cm2 cell test code]:[5 cm2 cell test code]],[1]!Table1[[Test code]:[Test code]],[1]!Table1[HFR DIW/ mOhm cm2],"",0)</f>
        <v>#REF!</v>
      </c>
      <c r="AE195" s="69" t="e" cm="1">
        <f t="array" ref="AE195">_xlfn.XLOOKUP(Table1[[#This Row],[5 cm2 cell test code]:[5 cm2 cell test code]],[1]!Table1[[Test code]:[Test code]],[1]!Table1[HFR 10 mM KOH/ mOhm cm2],"",0)</f>
        <v>#REF!</v>
      </c>
      <c r="AF195" s="69" t="e" cm="1">
        <f t="array" ref="AF195">_xlfn.XLOOKUP(Table1[[#This Row],[5 cm2 cell test code]:[5 cm2 cell test code]],[1]!Table1[[Test code]:[Test code]],[1]!Table1[Ionic resistance DIW/Ohm cm2],"",0)</f>
        <v>#REF!</v>
      </c>
      <c r="AG195" s="69" t="e" cm="1">
        <f t="array" ref="AG195">_xlfn.XLOOKUP(Table1[[#This Row],[5 cm2 cell test code]:[5 cm2 cell test code]],[1]!Table1[[Test code]:[Test code]],[1]!Table1[Q_int_frac DIW],"",0)</f>
        <v>#REF!</v>
      </c>
      <c r="AH195" s="69" t="e" cm="1">
        <f t="array" ref="AH195">_xlfn.XLOOKUP(Table1[[#This Row],[5 cm2 cell test code]:[5 cm2 cell test code]],[1]!Table1[[Test code]:[Test code]],[1]!Table1[Ionic resistance 10 mM KOH/Ohm cm2],"",0)</f>
        <v>#REF!</v>
      </c>
      <c r="AI195" s="69" t="e" cm="1">
        <f t="array" ref="AI195">_xlfn.XLOOKUP(Table1[[#This Row],[5 cm2 cell test code]:[5 cm2 cell test code]],[1]!Table1[[Test code]:[Test code]],[1]!Table1[Q_int_frac DIW 10 mM KOH],"",0)</f>
        <v>#REF!</v>
      </c>
      <c r="AJ195" s="69" t="e" cm="1">
        <f t="array" ref="AJ195">_xlfn.XLOOKUP(Table1[[#This Row],[5 cm2 cell test code]:[5 cm2 cell test code]],[1]!Table1[[Test code]:[Test code]],[1]!Table1[DIW conductivity (µS/cm)],"",0)</f>
        <v>#REF!</v>
      </c>
      <c r="AQ195" s="4" t="str">
        <v>VSG01A-23249E1.01-01</v>
      </c>
      <c r="AR195" s="95">
        <f>COUNTIFS(Table1[Anode PN (Stack/cell electrodes)],AQ195,Table1[ƞ at 20mAcm-2 (mV)],"&lt;&gt;")</f>
        <v>0</v>
      </c>
      <c r="AS195" s="95">
        <f>COUNTIFS(Table1[Anode PN (Stack/cell electrodes)],AQ195,Table1[i @ 1.8 V DIW (A/cm2)],"&lt;&gt;")</f>
        <v>1</v>
      </c>
      <c r="AT195" s="95">
        <f>COUNTIFS(Table1[Anode PN (Stack/cell electrodes)],AQ195,Table1[i at 1.8 V 10 mM KOH (A/cm2)],"&lt;&gt;")</f>
        <v>1</v>
      </c>
      <c r="AU195" s="95">
        <f>COUNTIFS(Table1[Anode PN (Stack/cell electrodes)],AQ195,Table1[Ionic resistance DIW/Ohm cm2],"&lt;&gt;")</f>
        <v>1</v>
      </c>
      <c r="AV195" s="95">
        <f>COUNTIFS(Table1[Anode PN (Stack/cell electrodes)],AQ195,Table1[Ionic resistance 10 mM KOH/Ohm cm2],"&lt;&gt;")</f>
        <v>1</v>
      </c>
    </row>
    <row r="196" spans="1:48">
      <c r="A196" s="81"/>
      <c r="B196" s="11" t="s">
        <v>381</v>
      </c>
      <c r="C196" s="4" t="s">
        <v>382</v>
      </c>
      <c r="I196" s="11" t="s">
        <v>383</v>
      </c>
      <c r="J196" s="11" t="s">
        <v>134</v>
      </c>
      <c r="K196" s="43" t="s">
        <v>59</v>
      </c>
      <c r="M196" s="13">
        <f>(AVERAGE(1.1155,1.1156)-1.1264)*1000/(3.5*3.5)</f>
        <v>-0.88571428571430599</v>
      </c>
      <c r="N196" s="13">
        <v>0.63333333333331909</v>
      </c>
      <c r="U196" s="101"/>
      <c r="V196" s="101"/>
      <c r="W196" s="69" t="e" cm="1">
        <f t="array" ref="W196">_xlfn.XLOOKUP(Table1[[#This Row],[5 cm2 cell test code]:[5 cm2 cell test code]],[1]!Table1[[Test code]:[Test code]],[1]!Table1[i @ 1.8 V DIW (A/cm2)],"",0)</f>
        <v>#REF!</v>
      </c>
      <c r="X196" s="69" t="e" cm="1">
        <f t="array" ref="X196">_xlfn.XLOOKUP(Table1[[#This Row],[5 cm2 cell test code]:[5 cm2 cell test code]],[1]!Table1[[Test code]:[Test code]],[1]!Table1[i @ 1.8 V 10 mM KOH (A/cm2)],"",0)</f>
        <v>#REF!</v>
      </c>
      <c r="Y196" s="69" t="e" cm="1">
        <f t="array" ref="Y196">_xlfn.XLOOKUP(Table1[[#This Row],[5 cm2 cell test code]:[5 cm2 cell test code]],[1]!Table1[[Test code]:[Test code]],[1]!Table1[3-E ƞ at 20mAcm-2 (mV)],"",0)</f>
        <v>#REF!</v>
      </c>
      <c r="Z196" s="69" t="e" cm="1">
        <f t="array" ref="Z196">_xlfn.XLOOKUP(Table1[[#This Row],[5 cm2 cell test code]:[5 cm2 cell test code]],[1]!Table1[[Test code]:[Test code]],[1]!Table1[3-E Tafel slope (mV/dec)],"",0)</f>
        <v>#REF!</v>
      </c>
      <c r="AA196" s="69" t="e" cm="1">
        <f t="array" ref="AA196">_xlfn.XLOOKUP(Table1[[#This Row],[5 cm2 cell test code]:[5 cm2 cell test code]],[1]!Table1[[Test code]:[Test code]],[1]!Table1[E @ 100 mA/cm2 DIW/V],"",0)</f>
        <v>#REF!</v>
      </c>
      <c r="AB196" s="69" t="e" cm="1">
        <f t="array" ref="AB196">_xlfn.XLOOKUP(Table1[[#This Row],[5 cm2 cell test code]:[5 cm2 cell test code]],[1]!Table1[[Test code]:[Test code]],[1]!Table1[E @ 100 mA/cm2 10 mM KOH/V],"",0)</f>
        <v>#REF!</v>
      </c>
      <c r="AC196" s="69" t="e" cm="1">
        <f t="array" ref="AC196">_xlfn.XLOOKUP(Table1[[#This Row],[5 cm2 cell test code]:[5 cm2 cell test code]],[1]!Table1[[Test code]:[Test code]],[1]!Table1[Anode ICR/mOhm],"",0)</f>
        <v>#REF!</v>
      </c>
      <c r="AD196" s="69" t="e" cm="1">
        <f t="array" ref="AD196">_xlfn.XLOOKUP(Table1[[#This Row],[5 cm2 cell test code]:[5 cm2 cell test code]],[1]!Table1[[Test code]:[Test code]],[1]!Table1[HFR DIW/ mOhm cm2],"",0)</f>
        <v>#REF!</v>
      </c>
      <c r="AE196" s="69" t="e" cm="1">
        <f t="array" ref="AE196">_xlfn.XLOOKUP(Table1[[#This Row],[5 cm2 cell test code]:[5 cm2 cell test code]],[1]!Table1[[Test code]:[Test code]],[1]!Table1[HFR 10 mM KOH/ mOhm cm2],"",0)</f>
        <v>#REF!</v>
      </c>
      <c r="AF196" s="69" t="e" cm="1">
        <f t="array" ref="AF196">_xlfn.XLOOKUP(Table1[[#This Row],[5 cm2 cell test code]:[5 cm2 cell test code]],[1]!Table1[[Test code]:[Test code]],[1]!Table1[Ionic resistance DIW/Ohm cm2],"",0)</f>
        <v>#REF!</v>
      </c>
      <c r="AG196" s="69" t="e" cm="1">
        <f t="array" ref="AG196">_xlfn.XLOOKUP(Table1[[#This Row],[5 cm2 cell test code]:[5 cm2 cell test code]],[1]!Table1[[Test code]:[Test code]],[1]!Table1[Q_int_frac DIW],"",0)</f>
        <v>#REF!</v>
      </c>
      <c r="AH196" s="69" t="e" cm="1">
        <f t="array" ref="AH196">_xlfn.XLOOKUP(Table1[[#This Row],[5 cm2 cell test code]:[5 cm2 cell test code]],[1]!Table1[[Test code]:[Test code]],[1]!Table1[Ionic resistance 10 mM KOH/Ohm cm2],"",0)</f>
        <v>#REF!</v>
      </c>
      <c r="AI196" s="69" t="e" cm="1">
        <f t="array" ref="AI196">_xlfn.XLOOKUP(Table1[[#This Row],[5 cm2 cell test code]:[5 cm2 cell test code]],[1]!Table1[[Test code]:[Test code]],[1]!Table1[Q_int_frac DIW 10 mM KOH],"",0)</f>
        <v>#REF!</v>
      </c>
      <c r="AJ196" s="69" t="e" cm="1">
        <f t="array" ref="AJ196">_xlfn.XLOOKUP(Table1[[#This Row],[5 cm2 cell test code]:[5 cm2 cell test code]],[1]!Table1[[Test code]:[Test code]],[1]!Table1[DIW conductivity (µS/cm)],"",0)</f>
        <v>#REF!</v>
      </c>
      <c r="AQ196" s="4" t="str">
        <v>VSG01A-23249E1.01-02</v>
      </c>
      <c r="AR196" s="95">
        <f>COUNTIFS(Table1[Anode PN (Stack/cell electrodes)],AQ196,Table1[ƞ at 20mAcm-2 (mV)],"&lt;&gt;")</f>
        <v>0</v>
      </c>
      <c r="AS196" s="95">
        <f>COUNTIFS(Table1[Anode PN (Stack/cell electrodes)],AQ196,Table1[i @ 1.8 V DIW (A/cm2)],"&lt;&gt;")</f>
        <v>1</v>
      </c>
      <c r="AT196" s="95">
        <f>COUNTIFS(Table1[Anode PN (Stack/cell electrodes)],AQ196,Table1[i at 1.8 V 10 mM KOH (A/cm2)],"&lt;&gt;")</f>
        <v>1</v>
      </c>
      <c r="AU196" s="95">
        <f>COUNTIFS(Table1[Anode PN (Stack/cell electrodes)],AQ196,Table1[Ionic resistance DIW/Ohm cm2],"&lt;&gt;")</f>
        <v>1</v>
      </c>
      <c r="AV196" s="95">
        <f>COUNTIFS(Table1[Anode PN (Stack/cell electrodes)],AQ196,Table1[Ionic resistance 10 mM KOH/Ohm cm2],"&lt;&gt;")</f>
        <v>1</v>
      </c>
    </row>
    <row r="197" spans="1:48">
      <c r="A197" s="81"/>
      <c r="B197" s="11" t="s">
        <v>384</v>
      </c>
      <c r="C197" s="4" t="s">
        <v>385</v>
      </c>
      <c r="I197" s="11" t="s">
        <v>383</v>
      </c>
      <c r="J197" s="11" t="s">
        <v>134</v>
      </c>
      <c r="K197" s="43" t="s">
        <v>59</v>
      </c>
      <c r="M197" s="13">
        <f>(AVERAGE(1.1453,1.1454,1.1454)-1.1539)*1000/(3.5*3.5)</f>
        <v>-0.69659863945577805</v>
      </c>
      <c r="N197" s="13">
        <v>0.94999999999999596</v>
      </c>
      <c r="U197" s="101"/>
      <c r="V197" s="101"/>
      <c r="W197" s="69" t="e" cm="1">
        <f t="array" ref="W197">_xlfn.XLOOKUP(Table1[[#This Row],[5 cm2 cell test code]:[5 cm2 cell test code]],[1]!Table1[[Test code]:[Test code]],[1]!Table1[i @ 1.8 V DIW (A/cm2)],"",0)</f>
        <v>#REF!</v>
      </c>
      <c r="X197" s="69" t="e" cm="1">
        <f t="array" ref="X197">_xlfn.XLOOKUP(Table1[[#This Row],[5 cm2 cell test code]:[5 cm2 cell test code]],[1]!Table1[[Test code]:[Test code]],[1]!Table1[i @ 1.8 V 10 mM KOH (A/cm2)],"",0)</f>
        <v>#REF!</v>
      </c>
      <c r="Y197" s="69" t="e" cm="1">
        <f t="array" ref="Y197">_xlfn.XLOOKUP(Table1[[#This Row],[5 cm2 cell test code]:[5 cm2 cell test code]],[1]!Table1[[Test code]:[Test code]],[1]!Table1[3-E ƞ at 20mAcm-2 (mV)],"",0)</f>
        <v>#REF!</v>
      </c>
      <c r="Z197" s="69" t="e" cm="1">
        <f t="array" ref="Z197">_xlfn.XLOOKUP(Table1[[#This Row],[5 cm2 cell test code]:[5 cm2 cell test code]],[1]!Table1[[Test code]:[Test code]],[1]!Table1[3-E Tafel slope (mV/dec)],"",0)</f>
        <v>#REF!</v>
      </c>
      <c r="AA197" s="69" t="e" cm="1">
        <f t="array" ref="AA197">_xlfn.XLOOKUP(Table1[[#This Row],[5 cm2 cell test code]:[5 cm2 cell test code]],[1]!Table1[[Test code]:[Test code]],[1]!Table1[E @ 100 mA/cm2 DIW/V],"",0)</f>
        <v>#REF!</v>
      </c>
      <c r="AB197" s="69" t="e" cm="1">
        <f t="array" ref="AB197">_xlfn.XLOOKUP(Table1[[#This Row],[5 cm2 cell test code]:[5 cm2 cell test code]],[1]!Table1[[Test code]:[Test code]],[1]!Table1[E @ 100 mA/cm2 10 mM KOH/V],"",0)</f>
        <v>#REF!</v>
      </c>
      <c r="AC197" s="69" t="e" cm="1">
        <f t="array" ref="AC197">_xlfn.XLOOKUP(Table1[[#This Row],[5 cm2 cell test code]:[5 cm2 cell test code]],[1]!Table1[[Test code]:[Test code]],[1]!Table1[Anode ICR/mOhm],"",0)</f>
        <v>#REF!</v>
      </c>
      <c r="AD197" s="69" t="e" cm="1">
        <f t="array" ref="AD197">_xlfn.XLOOKUP(Table1[[#This Row],[5 cm2 cell test code]:[5 cm2 cell test code]],[1]!Table1[[Test code]:[Test code]],[1]!Table1[HFR DIW/ mOhm cm2],"",0)</f>
        <v>#REF!</v>
      </c>
      <c r="AE197" s="69" t="e" cm="1">
        <f t="array" ref="AE197">_xlfn.XLOOKUP(Table1[[#This Row],[5 cm2 cell test code]:[5 cm2 cell test code]],[1]!Table1[[Test code]:[Test code]],[1]!Table1[HFR 10 mM KOH/ mOhm cm2],"",0)</f>
        <v>#REF!</v>
      </c>
      <c r="AF197" s="69" t="e" cm="1">
        <f t="array" ref="AF197">_xlfn.XLOOKUP(Table1[[#This Row],[5 cm2 cell test code]:[5 cm2 cell test code]],[1]!Table1[[Test code]:[Test code]],[1]!Table1[Ionic resistance DIW/Ohm cm2],"",0)</f>
        <v>#REF!</v>
      </c>
      <c r="AG197" s="69" t="e" cm="1">
        <f t="array" ref="AG197">_xlfn.XLOOKUP(Table1[[#This Row],[5 cm2 cell test code]:[5 cm2 cell test code]],[1]!Table1[[Test code]:[Test code]],[1]!Table1[Q_int_frac DIW],"",0)</f>
        <v>#REF!</v>
      </c>
      <c r="AH197" s="69" t="e" cm="1">
        <f t="array" ref="AH197">_xlfn.XLOOKUP(Table1[[#This Row],[5 cm2 cell test code]:[5 cm2 cell test code]],[1]!Table1[[Test code]:[Test code]],[1]!Table1[Ionic resistance 10 mM KOH/Ohm cm2],"",0)</f>
        <v>#REF!</v>
      </c>
      <c r="AI197" s="69" t="e" cm="1">
        <f t="array" ref="AI197">_xlfn.XLOOKUP(Table1[[#This Row],[5 cm2 cell test code]:[5 cm2 cell test code]],[1]!Table1[[Test code]:[Test code]],[1]!Table1[Q_int_frac DIW 10 mM KOH],"",0)</f>
        <v>#REF!</v>
      </c>
      <c r="AJ197" s="69" t="e" cm="1">
        <f t="array" ref="AJ197">_xlfn.XLOOKUP(Table1[[#This Row],[5 cm2 cell test code]:[5 cm2 cell test code]],[1]!Table1[[Test code]:[Test code]],[1]!Table1[DIW conductivity (µS/cm)],"",0)</f>
        <v>#REF!</v>
      </c>
      <c r="AQ197" s="4" t="str">
        <v>VSG01A-23249E1.01-03</v>
      </c>
      <c r="AR197" s="95">
        <f>COUNTIFS(Table1[Anode PN (Stack/cell electrodes)],AQ197,Table1[ƞ at 20mAcm-2 (mV)],"&lt;&gt;")</f>
        <v>0</v>
      </c>
      <c r="AS197" s="95">
        <f>COUNTIFS(Table1[Anode PN (Stack/cell electrodes)],AQ197,Table1[i @ 1.8 V DIW (A/cm2)],"&lt;&gt;")</f>
        <v>1</v>
      </c>
      <c r="AT197" s="95">
        <f>COUNTIFS(Table1[Anode PN (Stack/cell electrodes)],AQ197,Table1[i at 1.8 V 10 mM KOH (A/cm2)],"&lt;&gt;")</f>
        <v>1</v>
      </c>
      <c r="AU197" s="95">
        <f>COUNTIFS(Table1[Anode PN (Stack/cell electrodes)],AQ197,Table1[Ionic resistance DIW/Ohm cm2],"&lt;&gt;")</f>
        <v>1</v>
      </c>
      <c r="AV197" s="95">
        <f>COUNTIFS(Table1[Anode PN (Stack/cell electrodes)],AQ197,Table1[Ionic resistance 10 mM KOH/Ohm cm2],"&lt;&gt;")</f>
        <v>1</v>
      </c>
    </row>
    <row r="198" spans="1:48">
      <c r="A198" s="81"/>
      <c r="B198" s="11" t="s">
        <v>386</v>
      </c>
      <c r="C198" s="4" t="s">
        <v>387</v>
      </c>
      <c r="I198" s="11" t="s">
        <v>383</v>
      </c>
      <c r="J198" s="11" t="s">
        <v>134</v>
      </c>
      <c r="K198" s="43" t="s">
        <v>59</v>
      </c>
      <c r="M198" s="13">
        <f>(AVERAGE(1.1449,1.1448)-1.1562)*1000/(3.5*3.5)</f>
        <v>-0.92653061224489563</v>
      </c>
      <c r="N198" s="13">
        <v>0.83333333333333526</v>
      </c>
      <c r="U198" s="101"/>
      <c r="V198" s="101"/>
      <c r="W198" s="69" t="e" cm="1">
        <f t="array" ref="W198">_xlfn.XLOOKUP(Table1[[#This Row],[5 cm2 cell test code]:[5 cm2 cell test code]],[1]!Table1[[Test code]:[Test code]],[1]!Table1[i @ 1.8 V DIW (A/cm2)],"",0)</f>
        <v>#REF!</v>
      </c>
      <c r="X198" s="69" t="e" cm="1">
        <f t="array" ref="X198">_xlfn.XLOOKUP(Table1[[#This Row],[5 cm2 cell test code]:[5 cm2 cell test code]],[1]!Table1[[Test code]:[Test code]],[1]!Table1[i @ 1.8 V 10 mM KOH (A/cm2)],"",0)</f>
        <v>#REF!</v>
      </c>
      <c r="Y198" s="69" t="e" cm="1">
        <f t="array" ref="Y198">_xlfn.XLOOKUP(Table1[[#This Row],[5 cm2 cell test code]:[5 cm2 cell test code]],[1]!Table1[[Test code]:[Test code]],[1]!Table1[3-E ƞ at 20mAcm-2 (mV)],"",0)</f>
        <v>#REF!</v>
      </c>
      <c r="Z198" s="69" t="e" cm="1">
        <f t="array" ref="Z198">_xlfn.XLOOKUP(Table1[[#This Row],[5 cm2 cell test code]:[5 cm2 cell test code]],[1]!Table1[[Test code]:[Test code]],[1]!Table1[3-E Tafel slope (mV/dec)],"",0)</f>
        <v>#REF!</v>
      </c>
      <c r="AA198" s="69" t="e" cm="1">
        <f t="array" ref="AA198">_xlfn.XLOOKUP(Table1[[#This Row],[5 cm2 cell test code]:[5 cm2 cell test code]],[1]!Table1[[Test code]:[Test code]],[1]!Table1[E @ 100 mA/cm2 DIW/V],"",0)</f>
        <v>#REF!</v>
      </c>
      <c r="AB198" s="69" t="e" cm="1">
        <f t="array" ref="AB198">_xlfn.XLOOKUP(Table1[[#This Row],[5 cm2 cell test code]:[5 cm2 cell test code]],[1]!Table1[[Test code]:[Test code]],[1]!Table1[E @ 100 mA/cm2 10 mM KOH/V],"",0)</f>
        <v>#REF!</v>
      </c>
      <c r="AC198" s="69" t="e" cm="1">
        <f t="array" ref="AC198">_xlfn.XLOOKUP(Table1[[#This Row],[5 cm2 cell test code]:[5 cm2 cell test code]],[1]!Table1[[Test code]:[Test code]],[1]!Table1[Anode ICR/mOhm],"",0)</f>
        <v>#REF!</v>
      </c>
      <c r="AD198" s="69" t="e" cm="1">
        <f t="array" ref="AD198">_xlfn.XLOOKUP(Table1[[#This Row],[5 cm2 cell test code]:[5 cm2 cell test code]],[1]!Table1[[Test code]:[Test code]],[1]!Table1[HFR DIW/ mOhm cm2],"",0)</f>
        <v>#REF!</v>
      </c>
      <c r="AE198" s="69" t="e" cm="1">
        <f t="array" ref="AE198">_xlfn.XLOOKUP(Table1[[#This Row],[5 cm2 cell test code]:[5 cm2 cell test code]],[1]!Table1[[Test code]:[Test code]],[1]!Table1[HFR 10 mM KOH/ mOhm cm2],"",0)</f>
        <v>#REF!</v>
      </c>
      <c r="AF198" s="69" t="e" cm="1">
        <f t="array" ref="AF198">_xlfn.XLOOKUP(Table1[[#This Row],[5 cm2 cell test code]:[5 cm2 cell test code]],[1]!Table1[[Test code]:[Test code]],[1]!Table1[Ionic resistance DIW/Ohm cm2],"",0)</f>
        <v>#REF!</v>
      </c>
      <c r="AG198" s="69" t="e" cm="1">
        <f t="array" ref="AG198">_xlfn.XLOOKUP(Table1[[#This Row],[5 cm2 cell test code]:[5 cm2 cell test code]],[1]!Table1[[Test code]:[Test code]],[1]!Table1[Q_int_frac DIW],"",0)</f>
        <v>#REF!</v>
      </c>
      <c r="AH198" s="69" t="e" cm="1">
        <f t="array" ref="AH198">_xlfn.XLOOKUP(Table1[[#This Row],[5 cm2 cell test code]:[5 cm2 cell test code]],[1]!Table1[[Test code]:[Test code]],[1]!Table1[Ionic resistance 10 mM KOH/Ohm cm2],"",0)</f>
        <v>#REF!</v>
      </c>
      <c r="AI198" s="69" t="e" cm="1">
        <f t="array" ref="AI198">_xlfn.XLOOKUP(Table1[[#This Row],[5 cm2 cell test code]:[5 cm2 cell test code]],[1]!Table1[[Test code]:[Test code]],[1]!Table1[Q_int_frac DIW 10 mM KOH],"",0)</f>
        <v>#REF!</v>
      </c>
      <c r="AJ198" s="69" t="e" cm="1">
        <f t="array" ref="AJ198">_xlfn.XLOOKUP(Table1[[#This Row],[5 cm2 cell test code]:[5 cm2 cell test code]],[1]!Table1[[Test code]:[Test code]],[1]!Table1[DIW conductivity (µS/cm)],"",0)</f>
        <v>#REF!</v>
      </c>
      <c r="AQ198" s="4" t="str">
        <v>VSG01A-23249E1.01-04</v>
      </c>
      <c r="AR198" s="95">
        <f>COUNTIFS(Table1[Anode PN (Stack/cell electrodes)],AQ198,Table1[ƞ at 20mAcm-2 (mV)],"&lt;&gt;")</f>
        <v>0</v>
      </c>
      <c r="AS198" s="95">
        <f>COUNTIFS(Table1[Anode PN (Stack/cell electrodes)],AQ198,Table1[i @ 1.8 V DIW (A/cm2)],"&lt;&gt;")</f>
        <v>1</v>
      </c>
      <c r="AT198" s="95">
        <f>COUNTIFS(Table1[Anode PN (Stack/cell electrodes)],AQ198,Table1[i at 1.8 V 10 mM KOH (A/cm2)],"&lt;&gt;")</f>
        <v>1</v>
      </c>
      <c r="AU198" s="95">
        <f>COUNTIFS(Table1[Anode PN (Stack/cell electrodes)],AQ198,Table1[Ionic resistance DIW/Ohm cm2],"&lt;&gt;")</f>
        <v>1</v>
      </c>
      <c r="AV198" s="95">
        <f>COUNTIFS(Table1[Anode PN (Stack/cell electrodes)],AQ198,Table1[Ionic resistance 10 mM KOH/Ohm cm2],"&lt;&gt;")</f>
        <v>1</v>
      </c>
    </row>
    <row r="199" spans="1:48">
      <c r="A199" s="81"/>
      <c r="B199" s="11" t="s">
        <v>388</v>
      </c>
      <c r="C199" s="4" t="s">
        <v>389</v>
      </c>
      <c r="I199" s="11" t="s">
        <v>383</v>
      </c>
      <c r="J199" s="11" t="s">
        <v>134</v>
      </c>
      <c r="K199" s="43" t="s">
        <v>59</v>
      </c>
      <c r="M199" s="13">
        <f>(AVERAGE(1.1642,1.1644,1.1644)-1.1862)*1000/(3.5*3.5)</f>
        <v>-1.7850340136054452</v>
      </c>
      <c r="N199" s="13">
        <v>1.8000000000000029</v>
      </c>
      <c r="U199" s="101"/>
      <c r="V199" s="101"/>
      <c r="W199" s="69" t="e" cm="1">
        <f t="array" ref="W199">_xlfn.XLOOKUP(Table1[[#This Row],[5 cm2 cell test code]:[5 cm2 cell test code]],[1]!Table1[[Test code]:[Test code]],[1]!Table1[i @ 1.8 V DIW (A/cm2)],"",0)</f>
        <v>#REF!</v>
      </c>
      <c r="X199" s="69" t="e" cm="1">
        <f t="array" ref="X199">_xlfn.XLOOKUP(Table1[[#This Row],[5 cm2 cell test code]:[5 cm2 cell test code]],[1]!Table1[[Test code]:[Test code]],[1]!Table1[i @ 1.8 V 10 mM KOH (A/cm2)],"",0)</f>
        <v>#REF!</v>
      </c>
      <c r="Y199" s="69" t="e" cm="1">
        <f t="array" ref="Y199">_xlfn.XLOOKUP(Table1[[#This Row],[5 cm2 cell test code]:[5 cm2 cell test code]],[1]!Table1[[Test code]:[Test code]],[1]!Table1[3-E ƞ at 20mAcm-2 (mV)],"",0)</f>
        <v>#REF!</v>
      </c>
      <c r="Z199" s="69" t="e" cm="1">
        <f t="array" ref="Z199">_xlfn.XLOOKUP(Table1[[#This Row],[5 cm2 cell test code]:[5 cm2 cell test code]],[1]!Table1[[Test code]:[Test code]],[1]!Table1[3-E Tafel slope (mV/dec)],"",0)</f>
        <v>#REF!</v>
      </c>
      <c r="AA199" s="69" t="e" cm="1">
        <f t="array" ref="AA199">_xlfn.XLOOKUP(Table1[[#This Row],[5 cm2 cell test code]:[5 cm2 cell test code]],[1]!Table1[[Test code]:[Test code]],[1]!Table1[E @ 100 mA/cm2 DIW/V],"",0)</f>
        <v>#REF!</v>
      </c>
      <c r="AB199" s="69" t="e" cm="1">
        <f t="array" ref="AB199">_xlfn.XLOOKUP(Table1[[#This Row],[5 cm2 cell test code]:[5 cm2 cell test code]],[1]!Table1[[Test code]:[Test code]],[1]!Table1[E @ 100 mA/cm2 10 mM KOH/V],"",0)</f>
        <v>#REF!</v>
      </c>
      <c r="AC199" s="69" t="e" cm="1">
        <f t="array" ref="AC199">_xlfn.XLOOKUP(Table1[[#This Row],[5 cm2 cell test code]:[5 cm2 cell test code]],[1]!Table1[[Test code]:[Test code]],[1]!Table1[Anode ICR/mOhm],"",0)</f>
        <v>#REF!</v>
      </c>
      <c r="AD199" s="69" t="e" cm="1">
        <f t="array" ref="AD199">_xlfn.XLOOKUP(Table1[[#This Row],[5 cm2 cell test code]:[5 cm2 cell test code]],[1]!Table1[[Test code]:[Test code]],[1]!Table1[HFR DIW/ mOhm cm2],"",0)</f>
        <v>#REF!</v>
      </c>
      <c r="AE199" s="69" t="e" cm="1">
        <f t="array" ref="AE199">_xlfn.XLOOKUP(Table1[[#This Row],[5 cm2 cell test code]:[5 cm2 cell test code]],[1]!Table1[[Test code]:[Test code]],[1]!Table1[HFR 10 mM KOH/ mOhm cm2],"",0)</f>
        <v>#REF!</v>
      </c>
      <c r="AF199" s="69" t="e" cm="1">
        <f t="array" ref="AF199">_xlfn.XLOOKUP(Table1[[#This Row],[5 cm2 cell test code]:[5 cm2 cell test code]],[1]!Table1[[Test code]:[Test code]],[1]!Table1[Ionic resistance DIW/Ohm cm2],"",0)</f>
        <v>#REF!</v>
      </c>
      <c r="AG199" s="69" t="e" cm="1">
        <f t="array" ref="AG199">_xlfn.XLOOKUP(Table1[[#This Row],[5 cm2 cell test code]:[5 cm2 cell test code]],[1]!Table1[[Test code]:[Test code]],[1]!Table1[Q_int_frac DIW],"",0)</f>
        <v>#REF!</v>
      </c>
      <c r="AH199" s="69" t="e" cm="1">
        <f t="array" ref="AH199">_xlfn.XLOOKUP(Table1[[#This Row],[5 cm2 cell test code]:[5 cm2 cell test code]],[1]!Table1[[Test code]:[Test code]],[1]!Table1[Ionic resistance 10 mM KOH/Ohm cm2],"",0)</f>
        <v>#REF!</v>
      </c>
      <c r="AI199" s="69" t="e" cm="1">
        <f t="array" ref="AI199">_xlfn.XLOOKUP(Table1[[#This Row],[5 cm2 cell test code]:[5 cm2 cell test code]],[1]!Table1[[Test code]:[Test code]],[1]!Table1[Q_int_frac DIW 10 mM KOH],"",0)</f>
        <v>#REF!</v>
      </c>
      <c r="AJ199" s="69" t="e" cm="1">
        <f t="array" ref="AJ199">_xlfn.XLOOKUP(Table1[[#This Row],[5 cm2 cell test code]:[5 cm2 cell test code]],[1]!Table1[[Test code]:[Test code]],[1]!Table1[DIW conductivity (µS/cm)],"",0)</f>
        <v>#REF!</v>
      </c>
      <c r="AQ199" s="4" t="str">
        <v>VSG01A-23249E1.01-05</v>
      </c>
      <c r="AR199" s="95">
        <f>COUNTIFS(Table1[Anode PN (Stack/cell electrodes)],AQ199,Table1[ƞ at 20mAcm-2 (mV)],"&lt;&gt;")</f>
        <v>0</v>
      </c>
      <c r="AS199" s="95">
        <f>COUNTIFS(Table1[Anode PN (Stack/cell electrodes)],AQ199,Table1[i @ 1.8 V DIW (A/cm2)],"&lt;&gt;")</f>
        <v>1</v>
      </c>
      <c r="AT199" s="95">
        <f>COUNTIFS(Table1[Anode PN (Stack/cell electrodes)],AQ199,Table1[i at 1.8 V 10 mM KOH (A/cm2)],"&lt;&gt;")</f>
        <v>1</v>
      </c>
      <c r="AU199" s="95">
        <f>COUNTIFS(Table1[Anode PN (Stack/cell electrodes)],AQ199,Table1[Ionic resistance DIW/Ohm cm2],"&lt;&gt;")</f>
        <v>1</v>
      </c>
      <c r="AV199" s="95">
        <f>COUNTIFS(Table1[Anode PN (Stack/cell electrodes)],AQ199,Table1[Ionic resistance 10 mM KOH/Ohm cm2],"&lt;&gt;")</f>
        <v>1</v>
      </c>
    </row>
    <row r="200" spans="1:48">
      <c r="A200" s="81"/>
      <c r="B200" s="11" t="s">
        <v>390</v>
      </c>
      <c r="C200" s="4" t="s">
        <v>391</v>
      </c>
      <c r="I200" s="11" t="s">
        <v>383</v>
      </c>
      <c r="J200" s="11" t="s">
        <v>134</v>
      </c>
      <c r="K200" s="43" t="s">
        <v>59</v>
      </c>
      <c r="M200" s="13">
        <f>(AVERAGE(1.1266,1.1268,1.1267)-1.1621)*1000/(3.5*3.5)</f>
        <v>-2.8897959183673372</v>
      </c>
      <c r="N200" s="13">
        <v>1.5250000000000055</v>
      </c>
      <c r="U200" s="101"/>
      <c r="V200" s="101"/>
      <c r="W200" s="69" t="e" cm="1">
        <f t="array" ref="W200">_xlfn.XLOOKUP(Table1[[#This Row],[5 cm2 cell test code]:[5 cm2 cell test code]],[1]!Table1[[Test code]:[Test code]],[1]!Table1[i @ 1.8 V DIW (A/cm2)],"",0)</f>
        <v>#REF!</v>
      </c>
      <c r="X200" s="69" t="e" cm="1">
        <f t="array" ref="X200">_xlfn.XLOOKUP(Table1[[#This Row],[5 cm2 cell test code]:[5 cm2 cell test code]],[1]!Table1[[Test code]:[Test code]],[1]!Table1[i @ 1.8 V 10 mM KOH (A/cm2)],"",0)</f>
        <v>#REF!</v>
      </c>
      <c r="Y200" s="69" t="e" cm="1">
        <f t="array" ref="Y200">_xlfn.XLOOKUP(Table1[[#This Row],[5 cm2 cell test code]:[5 cm2 cell test code]],[1]!Table1[[Test code]:[Test code]],[1]!Table1[3-E ƞ at 20mAcm-2 (mV)],"",0)</f>
        <v>#REF!</v>
      </c>
      <c r="Z200" s="69" t="e" cm="1">
        <f t="array" ref="Z200">_xlfn.XLOOKUP(Table1[[#This Row],[5 cm2 cell test code]:[5 cm2 cell test code]],[1]!Table1[[Test code]:[Test code]],[1]!Table1[3-E Tafel slope (mV/dec)],"",0)</f>
        <v>#REF!</v>
      </c>
      <c r="AA200" s="69" t="e" cm="1">
        <f t="array" ref="AA200">_xlfn.XLOOKUP(Table1[[#This Row],[5 cm2 cell test code]:[5 cm2 cell test code]],[1]!Table1[[Test code]:[Test code]],[1]!Table1[E @ 100 mA/cm2 DIW/V],"",0)</f>
        <v>#REF!</v>
      </c>
      <c r="AB200" s="69" t="e" cm="1">
        <f t="array" ref="AB200">_xlfn.XLOOKUP(Table1[[#This Row],[5 cm2 cell test code]:[5 cm2 cell test code]],[1]!Table1[[Test code]:[Test code]],[1]!Table1[E @ 100 mA/cm2 10 mM KOH/V],"",0)</f>
        <v>#REF!</v>
      </c>
      <c r="AC200" s="69" t="e" cm="1">
        <f t="array" ref="AC200">_xlfn.XLOOKUP(Table1[[#This Row],[5 cm2 cell test code]:[5 cm2 cell test code]],[1]!Table1[[Test code]:[Test code]],[1]!Table1[Anode ICR/mOhm],"",0)</f>
        <v>#REF!</v>
      </c>
      <c r="AD200" s="69" t="e" cm="1">
        <f t="array" ref="AD200">_xlfn.XLOOKUP(Table1[[#This Row],[5 cm2 cell test code]:[5 cm2 cell test code]],[1]!Table1[[Test code]:[Test code]],[1]!Table1[HFR DIW/ mOhm cm2],"",0)</f>
        <v>#REF!</v>
      </c>
      <c r="AE200" s="69" t="e" cm="1">
        <f t="array" ref="AE200">_xlfn.XLOOKUP(Table1[[#This Row],[5 cm2 cell test code]:[5 cm2 cell test code]],[1]!Table1[[Test code]:[Test code]],[1]!Table1[HFR 10 mM KOH/ mOhm cm2],"",0)</f>
        <v>#REF!</v>
      </c>
      <c r="AF200" s="69" t="e" cm="1">
        <f t="array" ref="AF200">_xlfn.XLOOKUP(Table1[[#This Row],[5 cm2 cell test code]:[5 cm2 cell test code]],[1]!Table1[[Test code]:[Test code]],[1]!Table1[Ionic resistance DIW/Ohm cm2],"",0)</f>
        <v>#REF!</v>
      </c>
      <c r="AG200" s="69" t="e" cm="1">
        <f t="array" ref="AG200">_xlfn.XLOOKUP(Table1[[#This Row],[5 cm2 cell test code]:[5 cm2 cell test code]],[1]!Table1[[Test code]:[Test code]],[1]!Table1[Q_int_frac DIW],"",0)</f>
        <v>#REF!</v>
      </c>
      <c r="AH200" s="69" t="e" cm="1">
        <f t="array" ref="AH200">_xlfn.XLOOKUP(Table1[[#This Row],[5 cm2 cell test code]:[5 cm2 cell test code]],[1]!Table1[[Test code]:[Test code]],[1]!Table1[Ionic resistance 10 mM KOH/Ohm cm2],"",0)</f>
        <v>#REF!</v>
      </c>
      <c r="AI200" s="69" t="e" cm="1">
        <f t="array" ref="AI200">_xlfn.XLOOKUP(Table1[[#This Row],[5 cm2 cell test code]:[5 cm2 cell test code]],[1]!Table1[[Test code]:[Test code]],[1]!Table1[Q_int_frac DIW 10 mM KOH],"",0)</f>
        <v>#REF!</v>
      </c>
      <c r="AJ200" s="69" t="e" cm="1">
        <f t="array" ref="AJ200">_xlfn.XLOOKUP(Table1[[#This Row],[5 cm2 cell test code]:[5 cm2 cell test code]],[1]!Table1[[Test code]:[Test code]],[1]!Table1[DIW conductivity (µS/cm)],"",0)</f>
        <v>#REF!</v>
      </c>
      <c r="AQ200" s="4" t="str">
        <v>VSG01A-23249E1.01-06</v>
      </c>
      <c r="AR200" s="95">
        <f>COUNTIFS(Table1[Anode PN (Stack/cell electrodes)],AQ200,Table1[ƞ at 20mAcm-2 (mV)],"&lt;&gt;")</f>
        <v>0</v>
      </c>
      <c r="AS200" s="95">
        <f>COUNTIFS(Table1[Anode PN (Stack/cell electrodes)],AQ200,Table1[i @ 1.8 V DIW (A/cm2)],"&lt;&gt;")</f>
        <v>1</v>
      </c>
      <c r="AT200" s="95">
        <f>COUNTIFS(Table1[Anode PN (Stack/cell electrodes)],AQ200,Table1[i at 1.8 V 10 mM KOH (A/cm2)],"&lt;&gt;")</f>
        <v>1</v>
      </c>
      <c r="AU200" s="95">
        <f>COUNTIFS(Table1[Anode PN (Stack/cell electrodes)],AQ200,Table1[Ionic resistance DIW/Ohm cm2],"&lt;&gt;")</f>
        <v>1</v>
      </c>
      <c r="AV200" s="95">
        <f>COUNTIFS(Table1[Anode PN (Stack/cell electrodes)],AQ200,Table1[Ionic resistance 10 mM KOH/Ohm cm2],"&lt;&gt;")</f>
        <v>1</v>
      </c>
    </row>
    <row r="201" spans="1:48">
      <c r="A201" s="81"/>
      <c r="B201" s="11" t="s">
        <v>392</v>
      </c>
      <c r="C201" s="4" t="s">
        <v>393</v>
      </c>
      <c r="I201" s="11" t="s">
        <v>383</v>
      </c>
      <c r="J201" s="11" t="s">
        <v>134</v>
      </c>
      <c r="K201" s="43" t="s">
        <v>59</v>
      </c>
      <c r="M201" s="13">
        <f>(AVERAGE(1.1223,1.1224,1.1223)-1.1465)*1000/(3.5*3.5)</f>
        <v>-1.9727891156462589</v>
      </c>
      <c r="N201" s="13">
        <v>1.2333333333333396</v>
      </c>
      <c r="U201" s="101"/>
      <c r="V201" s="101"/>
      <c r="W201" s="69" t="e" cm="1">
        <f t="array" ref="W201">_xlfn.XLOOKUP(Table1[[#This Row],[5 cm2 cell test code]:[5 cm2 cell test code]],[1]!Table1[[Test code]:[Test code]],[1]!Table1[i @ 1.8 V DIW (A/cm2)],"",0)</f>
        <v>#REF!</v>
      </c>
      <c r="X201" s="69" t="e" cm="1">
        <f t="array" ref="X201">_xlfn.XLOOKUP(Table1[[#This Row],[5 cm2 cell test code]:[5 cm2 cell test code]],[1]!Table1[[Test code]:[Test code]],[1]!Table1[i @ 1.8 V 10 mM KOH (A/cm2)],"",0)</f>
        <v>#REF!</v>
      </c>
      <c r="Y201" s="69" t="e" cm="1">
        <f t="array" ref="Y201">_xlfn.XLOOKUP(Table1[[#This Row],[5 cm2 cell test code]:[5 cm2 cell test code]],[1]!Table1[[Test code]:[Test code]],[1]!Table1[3-E ƞ at 20mAcm-2 (mV)],"",0)</f>
        <v>#REF!</v>
      </c>
      <c r="Z201" s="69" t="e" cm="1">
        <f t="array" ref="Z201">_xlfn.XLOOKUP(Table1[[#This Row],[5 cm2 cell test code]:[5 cm2 cell test code]],[1]!Table1[[Test code]:[Test code]],[1]!Table1[3-E Tafel slope (mV/dec)],"",0)</f>
        <v>#REF!</v>
      </c>
      <c r="AA201" s="69" t="e" cm="1">
        <f t="array" ref="AA201">_xlfn.XLOOKUP(Table1[[#This Row],[5 cm2 cell test code]:[5 cm2 cell test code]],[1]!Table1[[Test code]:[Test code]],[1]!Table1[E @ 100 mA/cm2 DIW/V],"",0)</f>
        <v>#REF!</v>
      </c>
      <c r="AB201" s="69" t="e" cm="1">
        <f t="array" ref="AB201">_xlfn.XLOOKUP(Table1[[#This Row],[5 cm2 cell test code]:[5 cm2 cell test code]],[1]!Table1[[Test code]:[Test code]],[1]!Table1[E @ 100 mA/cm2 10 mM KOH/V],"",0)</f>
        <v>#REF!</v>
      </c>
      <c r="AC201" s="69" t="e" cm="1">
        <f t="array" ref="AC201">_xlfn.XLOOKUP(Table1[[#This Row],[5 cm2 cell test code]:[5 cm2 cell test code]],[1]!Table1[[Test code]:[Test code]],[1]!Table1[Anode ICR/mOhm],"",0)</f>
        <v>#REF!</v>
      </c>
      <c r="AD201" s="69" t="e" cm="1">
        <f t="array" ref="AD201">_xlfn.XLOOKUP(Table1[[#This Row],[5 cm2 cell test code]:[5 cm2 cell test code]],[1]!Table1[[Test code]:[Test code]],[1]!Table1[HFR DIW/ mOhm cm2],"",0)</f>
        <v>#REF!</v>
      </c>
      <c r="AE201" s="69" t="e" cm="1">
        <f t="array" ref="AE201">_xlfn.XLOOKUP(Table1[[#This Row],[5 cm2 cell test code]:[5 cm2 cell test code]],[1]!Table1[[Test code]:[Test code]],[1]!Table1[HFR 10 mM KOH/ mOhm cm2],"",0)</f>
        <v>#REF!</v>
      </c>
      <c r="AF201" s="69" t="e" cm="1">
        <f t="array" ref="AF201">_xlfn.XLOOKUP(Table1[[#This Row],[5 cm2 cell test code]:[5 cm2 cell test code]],[1]!Table1[[Test code]:[Test code]],[1]!Table1[Ionic resistance DIW/Ohm cm2],"",0)</f>
        <v>#REF!</v>
      </c>
      <c r="AG201" s="69" t="e" cm="1">
        <f t="array" ref="AG201">_xlfn.XLOOKUP(Table1[[#This Row],[5 cm2 cell test code]:[5 cm2 cell test code]],[1]!Table1[[Test code]:[Test code]],[1]!Table1[Q_int_frac DIW],"",0)</f>
        <v>#REF!</v>
      </c>
      <c r="AH201" s="69" t="e" cm="1">
        <f t="array" ref="AH201">_xlfn.XLOOKUP(Table1[[#This Row],[5 cm2 cell test code]:[5 cm2 cell test code]],[1]!Table1[[Test code]:[Test code]],[1]!Table1[Ionic resistance 10 mM KOH/Ohm cm2],"",0)</f>
        <v>#REF!</v>
      </c>
      <c r="AI201" s="69" t="e" cm="1">
        <f t="array" ref="AI201">_xlfn.XLOOKUP(Table1[[#This Row],[5 cm2 cell test code]:[5 cm2 cell test code]],[1]!Table1[[Test code]:[Test code]],[1]!Table1[Q_int_frac DIW 10 mM KOH],"",0)</f>
        <v>#REF!</v>
      </c>
      <c r="AJ201" s="69" t="e" cm="1">
        <f t="array" ref="AJ201">_xlfn.XLOOKUP(Table1[[#This Row],[5 cm2 cell test code]:[5 cm2 cell test code]],[1]!Table1[[Test code]:[Test code]],[1]!Table1[DIW conductivity (µS/cm)],"",0)</f>
        <v>#REF!</v>
      </c>
      <c r="AQ201" s="4" t="str">
        <v>VSG01A-23249E1.01-07</v>
      </c>
      <c r="AR201" s="95">
        <f>COUNTIFS(Table1[Anode PN (Stack/cell electrodes)],AQ201,Table1[ƞ at 20mAcm-2 (mV)],"&lt;&gt;")</f>
        <v>0</v>
      </c>
      <c r="AS201" s="95">
        <f>COUNTIFS(Table1[Anode PN (Stack/cell electrodes)],AQ201,Table1[i @ 1.8 V DIW (A/cm2)],"&lt;&gt;")</f>
        <v>1</v>
      </c>
      <c r="AT201" s="95">
        <f>COUNTIFS(Table1[Anode PN (Stack/cell electrodes)],AQ201,Table1[i at 1.8 V 10 mM KOH (A/cm2)],"&lt;&gt;")</f>
        <v>1</v>
      </c>
      <c r="AU201" s="95">
        <f>COUNTIFS(Table1[Anode PN (Stack/cell electrodes)],AQ201,Table1[Ionic resistance DIW/Ohm cm2],"&lt;&gt;")</f>
        <v>1</v>
      </c>
      <c r="AV201" s="95">
        <f>COUNTIFS(Table1[Anode PN (Stack/cell electrodes)],AQ201,Table1[Ionic resistance 10 mM KOH/Ohm cm2],"&lt;&gt;")</f>
        <v>1</v>
      </c>
    </row>
    <row r="202" spans="1:48">
      <c r="A202" s="81"/>
      <c r="B202" s="11" t="s">
        <v>394</v>
      </c>
      <c r="C202" s="4" t="s">
        <v>395</v>
      </c>
      <c r="I202" s="11" t="s">
        <v>383</v>
      </c>
      <c r="J202" s="11" t="s">
        <v>134</v>
      </c>
      <c r="K202" s="43" t="s">
        <v>59</v>
      </c>
      <c r="M202" s="13">
        <f>(1.1467-1.1813)*1000/(3.5*3.5)</f>
        <v>-2.8244897959183644</v>
      </c>
      <c r="N202" s="13">
        <v>1.87777777777777</v>
      </c>
      <c r="U202" s="101"/>
      <c r="V202" s="101"/>
      <c r="W202" s="69" t="e" cm="1">
        <f t="array" ref="W202">_xlfn.XLOOKUP(Table1[[#This Row],[5 cm2 cell test code]:[5 cm2 cell test code]],[1]!Table1[[Test code]:[Test code]],[1]!Table1[i @ 1.8 V DIW (A/cm2)],"",0)</f>
        <v>#REF!</v>
      </c>
      <c r="X202" s="69" t="e" cm="1">
        <f t="array" ref="X202">_xlfn.XLOOKUP(Table1[[#This Row],[5 cm2 cell test code]:[5 cm2 cell test code]],[1]!Table1[[Test code]:[Test code]],[1]!Table1[i @ 1.8 V 10 mM KOH (A/cm2)],"",0)</f>
        <v>#REF!</v>
      </c>
      <c r="Y202" s="69" t="e" cm="1">
        <f t="array" ref="Y202">_xlfn.XLOOKUP(Table1[[#This Row],[5 cm2 cell test code]:[5 cm2 cell test code]],[1]!Table1[[Test code]:[Test code]],[1]!Table1[3-E ƞ at 20mAcm-2 (mV)],"",0)</f>
        <v>#REF!</v>
      </c>
      <c r="Z202" s="69" t="e" cm="1">
        <f t="array" ref="Z202">_xlfn.XLOOKUP(Table1[[#This Row],[5 cm2 cell test code]:[5 cm2 cell test code]],[1]!Table1[[Test code]:[Test code]],[1]!Table1[3-E Tafel slope (mV/dec)],"",0)</f>
        <v>#REF!</v>
      </c>
      <c r="AA202" s="69" t="e" cm="1">
        <f t="array" ref="AA202">_xlfn.XLOOKUP(Table1[[#This Row],[5 cm2 cell test code]:[5 cm2 cell test code]],[1]!Table1[[Test code]:[Test code]],[1]!Table1[E @ 100 mA/cm2 DIW/V],"",0)</f>
        <v>#REF!</v>
      </c>
      <c r="AB202" s="69" t="e" cm="1">
        <f t="array" ref="AB202">_xlfn.XLOOKUP(Table1[[#This Row],[5 cm2 cell test code]:[5 cm2 cell test code]],[1]!Table1[[Test code]:[Test code]],[1]!Table1[E @ 100 mA/cm2 10 mM KOH/V],"",0)</f>
        <v>#REF!</v>
      </c>
      <c r="AC202" s="69" t="e" cm="1">
        <f t="array" ref="AC202">_xlfn.XLOOKUP(Table1[[#This Row],[5 cm2 cell test code]:[5 cm2 cell test code]],[1]!Table1[[Test code]:[Test code]],[1]!Table1[Anode ICR/mOhm],"",0)</f>
        <v>#REF!</v>
      </c>
      <c r="AD202" s="69" t="e" cm="1">
        <f t="array" ref="AD202">_xlfn.XLOOKUP(Table1[[#This Row],[5 cm2 cell test code]:[5 cm2 cell test code]],[1]!Table1[[Test code]:[Test code]],[1]!Table1[HFR DIW/ mOhm cm2],"",0)</f>
        <v>#REF!</v>
      </c>
      <c r="AE202" s="69" t="e" cm="1">
        <f t="array" ref="AE202">_xlfn.XLOOKUP(Table1[[#This Row],[5 cm2 cell test code]:[5 cm2 cell test code]],[1]!Table1[[Test code]:[Test code]],[1]!Table1[HFR 10 mM KOH/ mOhm cm2],"",0)</f>
        <v>#REF!</v>
      </c>
      <c r="AF202" s="69" t="e" cm="1">
        <f t="array" ref="AF202">_xlfn.XLOOKUP(Table1[[#This Row],[5 cm2 cell test code]:[5 cm2 cell test code]],[1]!Table1[[Test code]:[Test code]],[1]!Table1[Ionic resistance DIW/Ohm cm2],"",0)</f>
        <v>#REF!</v>
      </c>
      <c r="AG202" s="69" t="e" cm="1">
        <f t="array" ref="AG202">_xlfn.XLOOKUP(Table1[[#This Row],[5 cm2 cell test code]:[5 cm2 cell test code]],[1]!Table1[[Test code]:[Test code]],[1]!Table1[Q_int_frac DIW],"",0)</f>
        <v>#REF!</v>
      </c>
      <c r="AH202" s="69" t="e" cm="1">
        <f t="array" ref="AH202">_xlfn.XLOOKUP(Table1[[#This Row],[5 cm2 cell test code]:[5 cm2 cell test code]],[1]!Table1[[Test code]:[Test code]],[1]!Table1[Ionic resistance 10 mM KOH/Ohm cm2],"",0)</f>
        <v>#REF!</v>
      </c>
      <c r="AI202" s="69" t="e" cm="1">
        <f t="array" ref="AI202">_xlfn.XLOOKUP(Table1[[#This Row],[5 cm2 cell test code]:[5 cm2 cell test code]],[1]!Table1[[Test code]:[Test code]],[1]!Table1[Q_int_frac DIW 10 mM KOH],"",0)</f>
        <v>#REF!</v>
      </c>
      <c r="AJ202" s="69" t="e" cm="1">
        <f t="array" ref="AJ202">_xlfn.XLOOKUP(Table1[[#This Row],[5 cm2 cell test code]:[5 cm2 cell test code]],[1]!Table1[[Test code]:[Test code]],[1]!Table1[DIW conductivity (µS/cm)],"",0)</f>
        <v>#REF!</v>
      </c>
      <c r="AQ202" s="4" t="str">
        <v>VSG01A-23249E1.01-08</v>
      </c>
      <c r="AR202" s="95">
        <f>COUNTIFS(Table1[Anode PN (Stack/cell electrodes)],AQ202,Table1[ƞ at 20mAcm-2 (mV)],"&lt;&gt;")</f>
        <v>0</v>
      </c>
      <c r="AS202" s="95">
        <f>COUNTIFS(Table1[Anode PN (Stack/cell electrodes)],AQ202,Table1[i @ 1.8 V DIW (A/cm2)],"&lt;&gt;")</f>
        <v>1</v>
      </c>
      <c r="AT202" s="95">
        <f>COUNTIFS(Table1[Anode PN (Stack/cell electrodes)],AQ202,Table1[i at 1.8 V 10 mM KOH (A/cm2)],"&lt;&gt;")</f>
        <v>1</v>
      </c>
      <c r="AU202" s="95">
        <f>COUNTIFS(Table1[Anode PN (Stack/cell electrodes)],AQ202,Table1[Ionic resistance DIW/Ohm cm2],"&lt;&gt;")</f>
        <v>1</v>
      </c>
      <c r="AV202" s="95">
        <f>COUNTIFS(Table1[Anode PN (Stack/cell electrodes)],AQ202,Table1[Ionic resistance 10 mM KOH/Ohm cm2],"&lt;&gt;")</f>
        <v>1</v>
      </c>
    </row>
    <row r="203" spans="1:48">
      <c r="A203" s="81"/>
      <c r="B203" s="11" t="s">
        <v>396</v>
      </c>
      <c r="C203" s="4" t="s">
        <v>397</v>
      </c>
      <c r="I203" s="11" t="s">
        <v>383</v>
      </c>
      <c r="J203" s="11" t="s">
        <v>134</v>
      </c>
      <c r="K203" s="43" t="s">
        <v>59</v>
      </c>
      <c r="M203" s="13">
        <f>(1.136-1.1907)*1000/(3.5*3.5)</f>
        <v>-4.4653061224489958</v>
      </c>
      <c r="N203" s="13">
        <v>2.3333333333333259</v>
      </c>
      <c r="U203" s="101"/>
      <c r="V203" s="101"/>
      <c r="W203" s="69" t="e" cm="1">
        <f t="array" ref="W203">_xlfn.XLOOKUP(Table1[[#This Row],[5 cm2 cell test code]:[5 cm2 cell test code]],[1]!Table1[[Test code]:[Test code]],[1]!Table1[i @ 1.8 V DIW (A/cm2)],"",0)</f>
        <v>#REF!</v>
      </c>
      <c r="X203" s="69" t="e" cm="1">
        <f t="array" ref="X203">_xlfn.XLOOKUP(Table1[[#This Row],[5 cm2 cell test code]:[5 cm2 cell test code]],[1]!Table1[[Test code]:[Test code]],[1]!Table1[i @ 1.8 V 10 mM KOH (A/cm2)],"",0)</f>
        <v>#REF!</v>
      </c>
      <c r="Y203" s="69" t="e" cm="1">
        <f t="array" ref="Y203">_xlfn.XLOOKUP(Table1[[#This Row],[5 cm2 cell test code]:[5 cm2 cell test code]],[1]!Table1[[Test code]:[Test code]],[1]!Table1[3-E ƞ at 20mAcm-2 (mV)],"",0)</f>
        <v>#REF!</v>
      </c>
      <c r="Z203" s="69" t="e" cm="1">
        <f t="array" ref="Z203">_xlfn.XLOOKUP(Table1[[#This Row],[5 cm2 cell test code]:[5 cm2 cell test code]],[1]!Table1[[Test code]:[Test code]],[1]!Table1[3-E Tafel slope (mV/dec)],"",0)</f>
        <v>#REF!</v>
      </c>
      <c r="AA203" s="69" t="e" cm="1">
        <f t="array" ref="AA203">_xlfn.XLOOKUP(Table1[[#This Row],[5 cm2 cell test code]:[5 cm2 cell test code]],[1]!Table1[[Test code]:[Test code]],[1]!Table1[E @ 100 mA/cm2 DIW/V],"",0)</f>
        <v>#REF!</v>
      </c>
      <c r="AB203" s="69" t="e" cm="1">
        <f t="array" ref="AB203">_xlfn.XLOOKUP(Table1[[#This Row],[5 cm2 cell test code]:[5 cm2 cell test code]],[1]!Table1[[Test code]:[Test code]],[1]!Table1[E @ 100 mA/cm2 10 mM KOH/V],"",0)</f>
        <v>#REF!</v>
      </c>
      <c r="AC203" s="69" t="e" cm="1">
        <f t="array" ref="AC203">_xlfn.XLOOKUP(Table1[[#This Row],[5 cm2 cell test code]:[5 cm2 cell test code]],[1]!Table1[[Test code]:[Test code]],[1]!Table1[Anode ICR/mOhm],"",0)</f>
        <v>#REF!</v>
      </c>
      <c r="AD203" s="69" t="e" cm="1">
        <f t="array" ref="AD203">_xlfn.XLOOKUP(Table1[[#This Row],[5 cm2 cell test code]:[5 cm2 cell test code]],[1]!Table1[[Test code]:[Test code]],[1]!Table1[HFR DIW/ mOhm cm2],"",0)</f>
        <v>#REF!</v>
      </c>
      <c r="AE203" s="69" t="e" cm="1">
        <f t="array" ref="AE203">_xlfn.XLOOKUP(Table1[[#This Row],[5 cm2 cell test code]:[5 cm2 cell test code]],[1]!Table1[[Test code]:[Test code]],[1]!Table1[HFR 10 mM KOH/ mOhm cm2],"",0)</f>
        <v>#REF!</v>
      </c>
      <c r="AF203" s="69" t="e" cm="1">
        <f t="array" ref="AF203">_xlfn.XLOOKUP(Table1[[#This Row],[5 cm2 cell test code]:[5 cm2 cell test code]],[1]!Table1[[Test code]:[Test code]],[1]!Table1[Ionic resistance DIW/Ohm cm2],"",0)</f>
        <v>#REF!</v>
      </c>
      <c r="AG203" s="69" t="e" cm="1">
        <f t="array" ref="AG203">_xlfn.XLOOKUP(Table1[[#This Row],[5 cm2 cell test code]:[5 cm2 cell test code]],[1]!Table1[[Test code]:[Test code]],[1]!Table1[Q_int_frac DIW],"",0)</f>
        <v>#REF!</v>
      </c>
      <c r="AH203" s="69" t="e" cm="1">
        <f t="array" ref="AH203">_xlfn.XLOOKUP(Table1[[#This Row],[5 cm2 cell test code]:[5 cm2 cell test code]],[1]!Table1[[Test code]:[Test code]],[1]!Table1[Ionic resistance 10 mM KOH/Ohm cm2],"",0)</f>
        <v>#REF!</v>
      </c>
      <c r="AI203" s="69" t="e" cm="1">
        <f t="array" ref="AI203">_xlfn.XLOOKUP(Table1[[#This Row],[5 cm2 cell test code]:[5 cm2 cell test code]],[1]!Table1[[Test code]:[Test code]],[1]!Table1[Q_int_frac DIW 10 mM KOH],"",0)</f>
        <v>#REF!</v>
      </c>
      <c r="AJ203" s="69" t="e" cm="1">
        <f t="array" ref="AJ203">_xlfn.XLOOKUP(Table1[[#This Row],[5 cm2 cell test code]:[5 cm2 cell test code]],[1]!Table1[[Test code]:[Test code]],[1]!Table1[DIW conductivity (µS/cm)],"",0)</f>
        <v>#REF!</v>
      </c>
      <c r="AQ203" s="4" t="str">
        <v>VSG01A-23249E1.01-09</v>
      </c>
      <c r="AR203" s="95">
        <f>COUNTIFS(Table1[Anode PN (Stack/cell electrodes)],AQ203,Table1[ƞ at 20mAcm-2 (mV)],"&lt;&gt;")</f>
        <v>0</v>
      </c>
      <c r="AS203" s="95">
        <f>COUNTIFS(Table1[Anode PN (Stack/cell electrodes)],AQ203,Table1[i @ 1.8 V DIW (A/cm2)],"&lt;&gt;")</f>
        <v>1</v>
      </c>
      <c r="AT203" s="95">
        <f>COUNTIFS(Table1[Anode PN (Stack/cell electrodes)],AQ203,Table1[i at 1.8 V 10 mM KOH (A/cm2)],"&lt;&gt;")</f>
        <v>1</v>
      </c>
      <c r="AU203" s="95">
        <f>COUNTIFS(Table1[Anode PN (Stack/cell electrodes)],AQ203,Table1[Ionic resistance DIW/Ohm cm2],"&lt;&gt;")</f>
        <v>1</v>
      </c>
      <c r="AV203" s="95">
        <f>COUNTIFS(Table1[Anode PN (Stack/cell electrodes)],AQ203,Table1[Ionic resistance 10 mM KOH/Ohm cm2],"&lt;&gt;")</f>
        <v>1</v>
      </c>
    </row>
    <row r="204" spans="1:48">
      <c r="A204" s="81"/>
      <c r="B204" s="11" t="s">
        <v>398</v>
      </c>
      <c r="C204" s="4" t="s">
        <v>399</v>
      </c>
      <c r="I204" s="11" t="s">
        <v>383</v>
      </c>
      <c r="J204" s="11" t="s">
        <v>134</v>
      </c>
      <c r="K204" s="43" t="s">
        <v>59</v>
      </c>
      <c r="M204" s="13">
        <f>(AVERAGE(2.1251,2.1255,2.1254)-2.3307)*1000/(3.5*3.5)</f>
        <v>-16.764625850340156</v>
      </c>
      <c r="N204" s="13">
        <v>4.5916666666666677</v>
      </c>
      <c r="U204" s="101"/>
      <c r="V204" s="101"/>
      <c r="W204" s="69" t="e" cm="1">
        <f t="array" ref="W204">_xlfn.XLOOKUP(Table1[[#This Row],[5 cm2 cell test code]:[5 cm2 cell test code]],[1]!Table1[[Test code]:[Test code]],[1]!Table1[i @ 1.8 V DIW (A/cm2)],"",0)</f>
        <v>#REF!</v>
      </c>
      <c r="X204" s="69" t="e" cm="1">
        <f t="array" ref="X204">_xlfn.XLOOKUP(Table1[[#This Row],[5 cm2 cell test code]:[5 cm2 cell test code]],[1]!Table1[[Test code]:[Test code]],[1]!Table1[i @ 1.8 V 10 mM KOH (A/cm2)],"",0)</f>
        <v>#REF!</v>
      </c>
      <c r="Y204" s="69" t="e" cm="1">
        <f t="array" ref="Y204">_xlfn.XLOOKUP(Table1[[#This Row],[5 cm2 cell test code]:[5 cm2 cell test code]],[1]!Table1[[Test code]:[Test code]],[1]!Table1[3-E ƞ at 20mAcm-2 (mV)],"",0)</f>
        <v>#REF!</v>
      </c>
      <c r="Z204" s="69" t="e" cm="1">
        <f t="array" ref="Z204">_xlfn.XLOOKUP(Table1[[#This Row],[5 cm2 cell test code]:[5 cm2 cell test code]],[1]!Table1[[Test code]:[Test code]],[1]!Table1[3-E Tafel slope (mV/dec)],"",0)</f>
        <v>#REF!</v>
      </c>
      <c r="AA204" s="69" t="e" cm="1">
        <f t="array" ref="AA204">_xlfn.XLOOKUP(Table1[[#This Row],[5 cm2 cell test code]:[5 cm2 cell test code]],[1]!Table1[[Test code]:[Test code]],[1]!Table1[E @ 100 mA/cm2 DIW/V],"",0)</f>
        <v>#REF!</v>
      </c>
      <c r="AB204" s="69" t="e" cm="1">
        <f t="array" ref="AB204">_xlfn.XLOOKUP(Table1[[#This Row],[5 cm2 cell test code]:[5 cm2 cell test code]],[1]!Table1[[Test code]:[Test code]],[1]!Table1[E @ 100 mA/cm2 10 mM KOH/V],"",0)</f>
        <v>#REF!</v>
      </c>
      <c r="AC204" s="69" t="e" cm="1">
        <f t="array" ref="AC204">_xlfn.XLOOKUP(Table1[[#This Row],[5 cm2 cell test code]:[5 cm2 cell test code]],[1]!Table1[[Test code]:[Test code]],[1]!Table1[Anode ICR/mOhm],"",0)</f>
        <v>#REF!</v>
      </c>
      <c r="AD204" s="69" t="e" cm="1">
        <f t="array" ref="AD204">_xlfn.XLOOKUP(Table1[[#This Row],[5 cm2 cell test code]:[5 cm2 cell test code]],[1]!Table1[[Test code]:[Test code]],[1]!Table1[HFR DIW/ mOhm cm2],"",0)</f>
        <v>#REF!</v>
      </c>
      <c r="AE204" s="69" t="e" cm="1">
        <f t="array" ref="AE204">_xlfn.XLOOKUP(Table1[[#This Row],[5 cm2 cell test code]:[5 cm2 cell test code]],[1]!Table1[[Test code]:[Test code]],[1]!Table1[HFR 10 mM KOH/ mOhm cm2],"",0)</f>
        <v>#REF!</v>
      </c>
      <c r="AF204" s="69" t="e" cm="1">
        <f t="array" ref="AF204">_xlfn.XLOOKUP(Table1[[#This Row],[5 cm2 cell test code]:[5 cm2 cell test code]],[1]!Table1[[Test code]:[Test code]],[1]!Table1[Ionic resistance DIW/Ohm cm2],"",0)</f>
        <v>#REF!</v>
      </c>
      <c r="AG204" s="69" t="e" cm="1">
        <f t="array" ref="AG204">_xlfn.XLOOKUP(Table1[[#This Row],[5 cm2 cell test code]:[5 cm2 cell test code]],[1]!Table1[[Test code]:[Test code]],[1]!Table1[Q_int_frac DIW],"",0)</f>
        <v>#REF!</v>
      </c>
      <c r="AH204" s="69" t="e" cm="1">
        <f t="array" ref="AH204">_xlfn.XLOOKUP(Table1[[#This Row],[5 cm2 cell test code]:[5 cm2 cell test code]],[1]!Table1[[Test code]:[Test code]],[1]!Table1[Ionic resistance 10 mM KOH/Ohm cm2],"",0)</f>
        <v>#REF!</v>
      </c>
      <c r="AI204" s="69" t="e" cm="1">
        <f t="array" ref="AI204">_xlfn.XLOOKUP(Table1[[#This Row],[5 cm2 cell test code]:[5 cm2 cell test code]],[1]!Table1[[Test code]:[Test code]],[1]!Table1[Q_int_frac DIW 10 mM KOH],"",0)</f>
        <v>#REF!</v>
      </c>
      <c r="AJ204" s="69" t="e" cm="1">
        <f t="array" ref="AJ204">_xlfn.XLOOKUP(Table1[[#This Row],[5 cm2 cell test code]:[5 cm2 cell test code]],[1]!Table1[[Test code]:[Test code]],[1]!Table1[DIW conductivity (µS/cm)],"",0)</f>
        <v>#REF!</v>
      </c>
      <c r="AQ204" s="4" t="str">
        <v>VSG01A-23249E1.01-10</v>
      </c>
      <c r="AR204" s="95">
        <f>COUNTIFS(Table1[Anode PN (Stack/cell electrodes)],AQ204,Table1[ƞ at 20mAcm-2 (mV)],"&lt;&gt;")</f>
        <v>0</v>
      </c>
      <c r="AS204" s="95">
        <f>COUNTIFS(Table1[Anode PN (Stack/cell electrodes)],AQ204,Table1[i @ 1.8 V DIW (A/cm2)],"&lt;&gt;")</f>
        <v>1</v>
      </c>
      <c r="AT204" s="95">
        <f>COUNTIFS(Table1[Anode PN (Stack/cell electrodes)],AQ204,Table1[i at 1.8 V 10 mM KOH (A/cm2)],"&lt;&gt;")</f>
        <v>1</v>
      </c>
      <c r="AU204" s="95">
        <f>COUNTIFS(Table1[Anode PN (Stack/cell electrodes)],AQ204,Table1[Ionic resistance DIW/Ohm cm2],"&lt;&gt;")</f>
        <v>1</v>
      </c>
      <c r="AV204" s="95">
        <f>COUNTIFS(Table1[Anode PN (Stack/cell electrodes)],AQ204,Table1[Ionic resistance 10 mM KOH/Ohm cm2],"&lt;&gt;")</f>
        <v>1</v>
      </c>
    </row>
    <row r="205" spans="1:48">
      <c r="A205" s="81"/>
      <c r="K205" s="43" t="s">
        <v>59</v>
      </c>
      <c r="U205" s="101"/>
      <c r="V205" s="101"/>
      <c r="W205" s="69" t="e" cm="1">
        <f t="array" ref="W205">_xlfn.XLOOKUP(Table1[[#This Row],[5 cm2 cell test code]:[5 cm2 cell test code]],[1]!Table1[[Test code]:[Test code]],[1]!Table1[i @ 1.8 V DIW (A/cm2)],"",0)</f>
        <v>#REF!</v>
      </c>
      <c r="X205" s="69" t="e" cm="1">
        <f t="array" ref="X205">_xlfn.XLOOKUP(Table1[[#This Row],[5 cm2 cell test code]:[5 cm2 cell test code]],[1]!Table1[[Test code]:[Test code]],[1]!Table1[i @ 1.8 V 10 mM KOH (A/cm2)],"",0)</f>
        <v>#REF!</v>
      </c>
      <c r="Y205" s="69" t="e" cm="1">
        <f t="array" ref="Y205">_xlfn.XLOOKUP(Table1[[#This Row],[5 cm2 cell test code]:[5 cm2 cell test code]],[1]!Table1[[Test code]:[Test code]],[1]!Table1[3-E ƞ at 20mAcm-2 (mV)],"",0)</f>
        <v>#REF!</v>
      </c>
      <c r="Z205" s="69" t="e" cm="1">
        <f t="array" ref="Z205">_xlfn.XLOOKUP(Table1[[#This Row],[5 cm2 cell test code]:[5 cm2 cell test code]],[1]!Table1[[Test code]:[Test code]],[1]!Table1[3-E Tafel slope (mV/dec)],"",0)</f>
        <v>#REF!</v>
      </c>
      <c r="AA205" s="69" t="e" cm="1">
        <f t="array" ref="AA205">_xlfn.XLOOKUP(Table1[[#This Row],[5 cm2 cell test code]:[5 cm2 cell test code]],[1]!Table1[[Test code]:[Test code]],[1]!Table1[E @ 100 mA/cm2 DIW/V],"",0)</f>
        <v>#REF!</v>
      </c>
      <c r="AB205" s="69" t="e" cm="1">
        <f t="array" ref="AB205">_xlfn.XLOOKUP(Table1[[#This Row],[5 cm2 cell test code]:[5 cm2 cell test code]],[1]!Table1[[Test code]:[Test code]],[1]!Table1[E @ 100 mA/cm2 10 mM KOH/V],"",0)</f>
        <v>#REF!</v>
      </c>
      <c r="AC205" s="69" t="e" cm="1">
        <f t="array" ref="AC205">_xlfn.XLOOKUP(Table1[[#This Row],[5 cm2 cell test code]:[5 cm2 cell test code]],[1]!Table1[[Test code]:[Test code]],[1]!Table1[Anode ICR/mOhm],"",0)</f>
        <v>#REF!</v>
      </c>
      <c r="AD205" s="69" t="e" cm="1">
        <f t="array" ref="AD205">_xlfn.XLOOKUP(Table1[[#This Row],[5 cm2 cell test code]:[5 cm2 cell test code]],[1]!Table1[[Test code]:[Test code]],[1]!Table1[HFR DIW/ mOhm cm2],"",0)</f>
        <v>#REF!</v>
      </c>
      <c r="AE205" s="69" t="e" cm="1">
        <f t="array" ref="AE205">_xlfn.XLOOKUP(Table1[[#This Row],[5 cm2 cell test code]:[5 cm2 cell test code]],[1]!Table1[[Test code]:[Test code]],[1]!Table1[HFR 10 mM KOH/ mOhm cm2],"",0)</f>
        <v>#REF!</v>
      </c>
      <c r="AF205" s="69" t="e" cm="1">
        <f t="array" ref="AF205">_xlfn.XLOOKUP(Table1[[#This Row],[5 cm2 cell test code]:[5 cm2 cell test code]],[1]!Table1[[Test code]:[Test code]],[1]!Table1[Ionic resistance DIW/Ohm cm2],"",0)</f>
        <v>#REF!</v>
      </c>
      <c r="AG205" s="69" t="e" cm="1">
        <f t="array" ref="AG205">_xlfn.XLOOKUP(Table1[[#This Row],[5 cm2 cell test code]:[5 cm2 cell test code]],[1]!Table1[[Test code]:[Test code]],[1]!Table1[Q_int_frac DIW],"",0)</f>
        <v>#REF!</v>
      </c>
      <c r="AH205" s="69" t="e" cm="1">
        <f t="array" ref="AH205">_xlfn.XLOOKUP(Table1[[#This Row],[5 cm2 cell test code]:[5 cm2 cell test code]],[1]!Table1[[Test code]:[Test code]],[1]!Table1[Ionic resistance 10 mM KOH/Ohm cm2],"",0)</f>
        <v>#REF!</v>
      </c>
      <c r="AI205" s="69" t="e" cm="1">
        <f t="array" ref="AI205">_xlfn.XLOOKUP(Table1[[#This Row],[5 cm2 cell test code]:[5 cm2 cell test code]],[1]!Table1[[Test code]:[Test code]],[1]!Table1[Q_int_frac DIW 10 mM KOH],"",0)</f>
        <v>#REF!</v>
      </c>
      <c r="AJ205" s="69" t="e" cm="1">
        <f t="array" ref="AJ205">_xlfn.XLOOKUP(Table1[[#This Row],[5 cm2 cell test code]:[5 cm2 cell test code]],[1]!Table1[[Test code]:[Test code]],[1]!Table1[DIW conductivity (µS/cm)],"",0)</f>
        <v>#REF!</v>
      </c>
      <c r="AQ205" s="4" t="str">
        <v>VSG01A-23249E1.01-11</v>
      </c>
    </row>
    <row r="206" spans="1:48">
      <c r="A206" s="81"/>
      <c r="B206" s="11" t="s">
        <v>400</v>
      </c>
      <c r="C206" s="4" t="s">
        <v>401</v>
      </c>
      <c r="I206" s="11" t="s">
        <v>114</v>
      </c>
      <c r="J206" s="11" t="s">
        <v>402</v>
      </c>
      <c r="K206" s="43" t="s">
        <v>59</v>
      </c>
      <c r="M206" s="13">
        <v>0.3</v>
      </c>
      <c r="N206" s="13">
        <v>3.6389999999999998</v>
      </c>
      <c r="O206" s="11" t="s">
        <v>403</v>
      </c>
      <c r="P206" s="28">
        <v>1.07</v>
      </c>
      <c r="U206" s="101"/>
      <c r="V206" s="101"/>
      <c r="W206" s="69" t="e" cm="1">
        <f t="array" ref="W206">_xlfn.XLOOKUP(Table1[[#This Row],[5 cm2 cell test code]:[5 cm2 cell test code]],[1]!Table1[[Test code]:[Test code]],[1]!Table1[i @ 1.8 V DIW (A/cm2)],"",0)</f>
        <v>#REF!</v>
      </c>
      <c r="X206" s="69" t="e" cm="1">
        <f t="array" ref="X206">_xlfn.XLOOKUP(Table1[[#This Row],[5 cm2 cell test code]:[5 cm2 cell test code]],[1]!Table1[[Test code]:[Test code]],[1]!Table1[i @ 1.8 V 10 mM KOH (A/cm2)],"",0)</f>
        <v>#REF!</v>
      </c>
      <c r="Y206" s="69" t="e" cm="1">
        <f t="array" ref="Y206">_xlfn.XLOOKUP(Table1[[#This Row],[5 cm2 cell test code]:[5 cm2 cell test code]],[1]!Table1[[Test code]:[Test code]],[1]!Table1[3-E ƞ at 20mAcm-2 (mV)],"",0)</f>
        <v>#REF!</v>
      </c>
      <c r="Z206" s="69" t="e" cm="1">
        <f t="array" ref="Z206">_xlfn.XLOOKUP(Table1[[#This Row],[5 cm2 cell test code]:[5 cm2 cell test code]],[1]!Table1[[Test code]:[Test code]],[1]!Table1[3-E Tafel slope (mV/dec)],"",0)</f>
        <v>#REF!</v>
      </c>
      <c r="AA206" s="69" t="e" cm="1">
        <f t="array" ref="AA206">_xlfn.XLOOKUP(Table1[[#This Row],[5 cm2 cell test code]:[5 cm2 cell test code]],[1]!Table1[[Test code]:[Test code]],[1]!Table1[E @ 100 mA/cm2 DIW/V],"",0)</f>
        <v>#REF!</v>
      </c>
      <c r="AB206" s="69" t="e" cm="1">
        <f t="array" ref="AB206">_xlfn.XLOOKUP(Table1[[#This Row],[5 cm2 cell test code]:[5 cm2 cell test code]],[1]!Table1[[Test code]:[Test code]],[1]!Table1[E @ 100 mA/cm2 10 mM KOH/V],"",0)</f>
        <v>#REF!</v>
      </c>
      <c r="AC206" s="69" t="e" cm="1">
        <f t="array" ref="AC206">_xlfn.XLOOKUP(Table1[[#This Row],[5 cm2 cell test code]:[5 cm2 cell test code]],[1]!Table1[[Test code]:[Test code]],[1]!Table1[Anode ICR/mOhm],"",0)</f>
        <v>#REF!</v>
      </c>
      <c r="AD206" s="69" t="e" cm="1">
        <f t="array" ref="AD206">_xlfn.XLOOKUP(Table1[[#This Row],[5 cm2 cell test code]:[5 cm2 cell test code]],[1]!Table1[[Test code]:[Test code]],[1]!Table1[HFR DIW/ mOhm cm2],"",0)</f>
        <v>#REF!</v>
      </c>
      <c r="AE206" s="69" t="e" cm="1">
        <f t="array" ref="AE206">_xlfn.XLOOKUP(Table1[[#This Row],[5 cm2 cell test code]:[5 cm2 cell test code]],[1]!Table1[[Test code]:[Test code]],[1]!Table1[HFR 10 mM KOH/ mOhm cm2],"",0)</f>
        <v>#REF!</v>
      </c>
      <c r="AF206" s="69" t="e" cm="1">
        <f t="array" ref="AF206">_xlfn.XLOOKUP(Table1[[#This Row],[5 cm2 cell test code]:[5 cm2 cell test code]],[1]!Table1[[Test code]:[Test code]],[1]!Table1[Ionic resistance DIW/Ohm cm2],"",0)</f>
        <v>#REF!</v>
      </c>
      <c r="AG206" s="69" t="e" cm="1">
        <f t="array" ref="AG206">_xlfn.XLOOKUP(Table1[[#This Row],[5 cm2 cell test code]:[5 cm2 cell test code]],[1]!Table1[[Test code]:[Test code]],[1]!Table1[Q_int_frac DIW],"",0)</f>
        <v>#REF!</v>
      </c>
      <c r="AH206" s="69" t="e" cm="1">
        <f t="array" ref="AH206">_xlfn.XLOOKUP(Table1[[#This Row],[5 cm2 cell test code]:[5 cm2 cell test code]],[1]!Table1[[Test code]:[Test code]],[1]!Table1[Ionic resistance 10 mM KOH/Ohm cm2],"",0)</f>
        <v>#REF!</v>
      </c>
      <c r="AI206" s="69" t="e" cm="1">
        <f t="array" ref="AI206">_xlfn.XLOOKUP(Table1[[#This Row],[5 cm2 cell test code]:[5 cm2 cell test code]],[1]!Table1[[Test code]:[Test code]],[1]!Table1[Q_int_frac DIW 10 mM KOH],"",0)</f>
        <v>#REF!</v>
      </c>
      <c r="AJ206" s="69" t="e" cm="1">
        <f t="array" ref="AJ206">_xlfn.XLOOKUP(Table1[[#This Row],[5 cm2 cell test code]:[5 cm2 cell test code]],[1]!Table1[[Test code]:[Test code]],[1]!Table1[DIW conductivity (µS/cm)],"",0)</f>
        <v>#REF!</v>
      </c>
      <c r="AQ206" s="4" t="str">
        <v>VSG01A-23249E1.01-12</v>
      </c>
    </row>
    <row r="207" spans="1:48">
      <c r="A207" s="81"/>
      <c r="K207" s="43" t="s">
        <v>59</v>
      </c>
      <c r="U207" s="101"/>
      <c r="V207" s="101"/>
      <c r="W207" s="69" t="e" cm="1">
        <f t="array" ref="W207">_xlfn.XLOOKUP(Table1[[#This Row],[5 cm2 cell test code]:[5 cm2 cell test code]],[1]!Table1[[Test code]:[Test code]],[1]!Table1[i @ 1.8 V DIW (A/cm2)],"",0)</f>
        <v>#REF!</v>
      </c>
      <c r="X207" s="69" t="e" cm="1">
        <f t="array" ref="X207">_xlfn.XLOOKUP(Table1[[#This Row],[5 cm2 cell test code]:[5 cm2 cell test code]],[1]!Table1[[Test code]:[Test code]],[1]!Table1[i @ 1.8 V 10 mM KOH (A/cm2)],"",0)</f>
        <v>#REF!</v>
      </c>
      <c r="Y207" s="69" t="e" cm="1">
        <f t="array" ref="Y207">_xlfn.XLOOKUP(Table1[[#This Row],[5 cm2 cell test code]:[5 cm2 cell test code]],[1]!Table1[[Test code]:[Test code]],[1]!Table1[3-E ƞ at 20mAcm-2 (mV)],"",0)</f>
        <v>#REF!</v>
      </c>
      <c r="Z207" s="69" t="e" cm="1">
        <f t="array" ref="Z207">_xlfn.XLOOKUP(Table1[[#This Row],[5 cm2 cell test code]:[5 cm2 cell test code]],[1]!Table1[[Test code]:[Test code]],[1]!Table1[3-E Tafel slope (mV/dec)],"",0)</f>
        <v>#REF!</v>
      </c>
      <c r="AA207" s="69" t="e" cm="1">
        <f t="array" ref="AA207">_xlfn.XLOOKUP(Table1[[#This Row],[5 cm2 cell test code]:[5 cm2 cell test code]],[1]!Table1[[Test code]:[Test code]],[1]!Table1[E @ 100 mA/cm2 DIW/V],"",0)</f>
        <v>#REF!</v>
      </c>
      <c r="AB207" s="69" t="e" cm="1">
        <f t="array" ref="AB207">_xlfn.XLOOKUP(Table1[[#This Row],[5 cm2 cell test code]:[5 cm2 cell test code]],[1]!Table1[[Test code]:[Test code]],[1]!Table1[E @ 100 mA/cm2 10 mM KOH/V],"",0)</f>
        <v>#REF!</v>
      </c>
      <c r="AC207" s="69" t="e" cm="1">
        <f t="array" ref="AC207">_xlfn.XLOOKUP(Table1[[#This Row],[5 cm2 cell test code]:[5 cm2 cell test code]],[1]!Table1[[Test code]:[Test code]],[1]!Table1[Anode ICR/mOhm],"",0)</f>
        <v>#REF!</v>
      </c>
      <c r="AD207" s="69" t="e" cm="1">
        <f t="array" ref="AD207">_xlfn.XLOOKUP(Table1[[#This Row],[5 cm2 cell test code]:[5 cm2 cell test code]],[1]!Table1[[Test code]:[Test code]],[1]!Table1[HFR DIW/ mOhm cm2],"",0)</f>
        <v>#REF!</v>
      </c>
      <c r="AE207" s="69" t="e" cm="1">
        <f t="array" ref="AE207">_xlfn.XLOOKUP(Table1[[#This Row],[5 cm2 cell test code]:[5 cm2 cell test code]],[1]!Table1[[Test code]:[Test code]],[1]!Table1[HFR 10 mM KOH/ mOhm cm2],"",0)</f>
        <v>#REF!</v>
      </c>
      <c r="AF207" s="69" t="e" cm="1">
        <f t="array" ref="AF207">_xlfn.XLOOKUP(Table1[[#This Row],[5 cm2 cell test code]:[5 cm2 cell test code]],[1]!Table1[[Test code]:[Test code]],[1]!Table1[Ionic resistance DIW/Ohm cm2],"",0)</f>
        <v>#REF!</v>
      </c>
      <c r="AG207" s="69" t="e" cm="1">
        <f t="array" ref="AG207">_xlfn.XLOOKUP(Table1[[#This Row],[5 cm2 cell test code]:[5 cm2 cell test code]],[1]!Table1[[Test code]:[Test code]],[1]!Table1[Q_int_frac DIW],"",0)</f>
        <v>#REF!</v>
      </c>
      <c r="AH207" s="69" t="e" cm="1">
        <f t="array" ref="AH207">_xlfn.XLOOKUP(Table1[[#This Row],[5 cm2 cell test code]:[5 cm2 cell test code]],[1]!Table1[[Test code]:[Test code]],[1]!Table1[Ionic resistance 10 mM KOH/Ohm cm2],"",0)</f>
        <v>#REF!</v>
      </c>
      <c r="AI207" s="69" t="e" cm="1">
        <f t="array" ref="AI207">_xlfn.XLOOKUP(Table1[[#This Row],[5 cm2 cell test code]:[5 cm2 cell test code]],[1]!Table1[[Test code]:[Test code]],[1]!Table1[Q_int_frac DIW 10 mM KOH],"",0)</f>
        <v>#REF!</v>
      </c>
      <c r="AJ207" s="69" t="e" cm="1">
        <f t="array" ref="AJ207">_xlfn.XLOOKUP(Table1[[#This Row],[5 cm2 cell test code]:[5 cm2 cell test code]],[1]!Table1[[Test code]:[Test code]],[1]!Table1[DIW conductivity (µS/cm)],"",0)</f>
        <v>#REF!</v>
      </c>
      <c r="AQ207" s="4" t="str">
        <v>VSG01A-23249E1.01 spot #8</v>
      </c>
    </row>
    <row r="208" spans="1:48">
      <c r="A208" s="81"/>
      <c r="B208" s="11" t="s">
        <v>404</v>
      </c>
      <c r="C208" s="4" t="s">
        <v>405</v>
      </c>
      <c r="I208" s="11" t="s">
        <v>114</v>
      </c>
      <c r="J208" s="11" t="s">
        <v>402</v>
      </c>
      <c r="K208" s="43" t="s">
        <v>59</v>
      </c>
      <c r="M208" s="13">
        <f>(61.54-61.39)*1000/(31.1*21.5)</f>
        <v>0.22433261048380854</v>
      </c>
      <c r="U208" s="101"/>
      <c r="V208" s="101"/>
      <c r="W208" s="69" t="e" cm="1">
        <f t="array" ref="W208">_xlfn.XLOOKUP(Table1[[#This Row],[5 cm2 cell test code]:[5 cm2 cell test code]],[1]!Table1[[Test code]:[Test code]],[1]!Table1[i @ 1.8 V DIW (A/cm2)],"",0)</f>
        <v>#REF!</v>
      </c>
      <c r="X208" s="69" t="e" cm="1">
        <f t="array" ref="X208">_xlfn.XLOOKUP(Table1[[#This Row],[5 cm2 cell test code]:[5 cm2 cell test code]],[1]!Table1[[Test code]:[Test code]],[1]!Table1[i @ 1.8 V 10 mM KOH (A/cm2)],"",0)</f>
        <v>#REF!</v>
      </c>
      <c r="Y208" s="69" t="e" cm="1">
        <f t="array" ref="Y208">_xlfn.XLOOKUP(Table1[[#This Row],[5 cm2 cell test code]:[5 cm2 cell test code]],[1]!Table1[[Test code]:[Test code]],[1]!Table1[3-E ƞ at 20mAcm-2 (mV)],"",0)</f>
        <v>#REF!</v>
      </c>
      <c r="Z208" s="69" t="e" cm="1">
        <f t="array" ref="Z208">_xlfn.XLOOKUP(Table1[[#This Row],[5 cm2 cell test code]:[5 cm2 cell test code]],[1]!Table1[[Test code]:[Test code]],[1]!Table1[3-E Tafel slope (mV/dec)],"",0)</f>
        <v>#REF!</v>
      </c>
      <c r="AA208" s="69" t="e" cm="1">
        <f t="array" ref="AA208">_xlfn.XLOOKUP(Table1[[#This Row],[5 cm2 cell test code]:[5 cm2 cell test code]],[1]!Table1[[Test code]:[Test code]],[1]!Table1[E @ 100 mA/cm2 DIW/V],"",0)</f>
        <v>#REF!</v>
      </c>
      <c r="AB208" s="69" t="e" cm="1">
        <f t="array" ref="AB208">_xlfn.XLOOKUP(Table1[[#This Row],[5 cm2 cell test code]:[5 cm2 cell test code]],[1]!Table1[[Test code]:[Test code]],[1]!Table1[E @ 100 mA/cm2 10 mM KOH/V],"",0)</f>
        <v>#REF!</v>
      </c>
      <c r="AC208" s="69" t="e" cm="1">
        <f t="array" ref="AC208">_xlfn.XLOOKUP(Table1[[#This Row],[5 cm2 cell test code]:[5 cm2 cell test code]],[1]!Table1[[Test code]:[Test code]],[1]!Table1[Anode ICR/mOhm],"",0)</f>
        <v>#REF!</v>
      </c>
      <c r="AD208" s="69" t="e" cm="1">
        <f t="array" ref="AD208">_xlfn.XLOOKUP(Table1[[#This Row],[5 cm2 cell test code]:[5 cm2 cell test code]],[1]!Table1[[Test code]:[Test code]],[1]!Table1[HFR DIW/ mOhm cm2],"",0)</f>
        <v>#REF!</v>
      </c>
      <c r="AE208" s="69" t="e" cm="1">
        <f t="array" ref="AE208">_xlfn.XLOOKUP(Table1[[#This Row],[5 cm2 cell test code]:[5 cm2 cell test code]],[1]!Table1[[Test code]:[Test code]],[1]!Table1[HFR 10 mM KOH/ mOhm cm2],"",0)</f>
        <v>#REF!</v>
      </c>
      <c r="AF208" s="69" t="e" cm="1">
        <f t="array" ref="AF208">_xlfn.XLOOKUP(Table1[[#This Row],[5 cm2 cell test code]:[5 cm2 cell test code]],[1]!Table1[[Test code]:[Test code]],[1]!Table1[Ionic resistance DIW/Ohm cm2],"",0)</f>
        <v>#REF!</v>
      </c>
      <c r="AG208" s="69" t="e" cm="1">
        <f t="array" ref="AG208">_xlfn.XLOOKUP(Table1[[#This Row],[5 cm2 cell test code]:[5 cm2 cell test code]],[1]!Table1[[Test code]:[Test code]],[1]!Table1[Q_int_frac DIW],"",0)</f>
        <v>#REF!</v>
      </c>
      <c r="AH208" s="69" t="e" cm="1">
        <f t="array" ref="AH208">_xlfn.XLOOKUP(Table1[[#This Row],[5 cm2 cell test code]:[5 cm2 cell test code]],[1]!Table1[[Test code]:[Test code]],[1]!Table1[Ionic resistance 10 mM KOH/Ohm cm2],"",0)</f>
        <v>#REF!</v>
      </c>
      <c r="AI208" s="69" t="e" cm="1">
        <f t="array" ref="AI208">_xlfn.XLOOKUP(Table1[[#This Row],[5 cm2 cell test code]:[5 cm2 cell test code]],[1]!Table1[[Test code]:[Test code]],[1]!Table1[Q_int_frac DIW 10 mM KOH],"",0)</f>
        <v>#REF!</v>
      </c>
      <c r="AJ208" s="69" t="e" cm="1">
        <f t="array" ref="AJ208">_xlfn.XLOOKUP(Table1[[#This Row],[5 cm2 cell test code]:[5 cm2 cell test code]],[1]!Table1[[Test code]:[Test code]],[1]!Table1[DIW conductivity (µS/cm)],"",0)</f>
        <v>#REF!</v>
      </c>
      <c r="AQ208" s="4" t="str">
        <v>VSG01A-23249E1.01 spot #1</v>
      </c>
    </row>
    <row r="209" spans="1:43">
      <c r="A209" s="81"/>
      <c r="B209" s="11" t="s">
        <v>406</v>
      </c>
      <c r="C209" s="4" t="s">
        <v>407</v>
      </c>
      <c r="I209" s="11" t="s">
        <v>114</v>
      </c>
      <c r="J209" s="11" t="s">
        <v>402</v>
      </c>
      <c r="K209" s="43" t="s">
        <v>59</v>
      </c>
      <c r="U209" s="101"/>
      <c r="V209" s="101"/>
      <c r="W209" s="69" t="e" cm="1">
        <f t="array" ref="W209">_xlfn.XLOOKUP(Table1[[#This Row],[5 cm2 cell test code]:[5 cm2 cell test code]],[1]!Table1[[Test code]:[Test code]],[1]!Table1[i @ 1.8 V DIW (A/cm2)],"",0)</f>
        <v>#REF!</v>
      </c>
      <c r="X209" s="69" t="e" cm="1">
        <f t="array" ref="X209">_xlfn.XLOOKUP(Table1[[#This Row],[5 cm2 cell test code]:[5 cm2 cell test code]],[1]!Table1[[Test code]:[Test code]],[1]!Table1[i @ 1.8 V 10 mM KOH (A/cm2)],"",0)</f>
        <v>#REF!</v>
      </c>
      <c r="Y209" s="69" t="e" cm="1">
        <f t="array" ref="Y209">_xlfn.XLOOKUP(Table1[[#This Row],[5 cm2 cell test code]:[5 cm2 cell test code]],[1]!Table1[[Test code]:[Test code]],[1]!Table1[3-E ƞ at 20mAcm-2 (mV)],"",0)</f>
        <v>#REF!</v>
      </c>
      <c r="Z209" s="69" t="e" cm="1">
        <f t="array" ref="Z209">_xlfn.XLOOKUP(Table1[[#This Row],[5 cm2 cell test code]:[5 cm2 cell test code]],[1]!Table1[[Test code]:[Test code]],[1]!Table1[3-E Tafel slope (mV/dec)],"",0)</f>
        <v>#REF!</v>
      </c>
      <c r="AA209" s="69" t="e" cm="1">
        <f t="array" ref="AA209">_xlfn.XLOOKUP(Table1[[#This Row],[5 cm2 cell test code]:[5 cm2 cell test code]],[1]!Table1[[Test code]:[Test code]],[1]!Table1[E @ 100 mA/cm2 DIW/V],"",0)</f>
        <v>#REF!</v>
      </c>
      <c r="AB209" s="69" t="e" cm="1">
        <f t="array" ref="AB209">_xlfn.XLOOKUP(Table1[[#This Row],[5 cm2 cell test code]:[5 cm2 cell test code]],[1]!Table1[[Test code]:[Test code]],[1]!Table1[E @ 100 mA/cm2 10 mM KOH/V],"",0)</f>
        <v>#REF!</v>
      </c>
      <c r="AC209" s="69" t="e" cm="1">
        <f t="array" ref="AC209">_xlfn.XLOOKUP(Table1[[#This Row],[5 cm2 cell test code]:[5 cm2 cell test code]],[1]!Table1[[Test code]:[Test code]],[1]!Table1[Anode ICR/mOhm],"",0)</f>
        <v>#REF!</v>
      </c>
      <c r="AD209" s="69" t="e" cm="1">
        <f t="array" ref="AD209">_xlfn.XLOOKUP(Table1[[#This Row],[5 cm2 cell test code]:[5 cm2 cell test code]],[1]!Table1[[Test code]:[Test code]],[1]!Table1[HFR DIW/ mOhm cm2],"",0)</f>
        <v>#REF!</v>
      </c>
      <c r="AE209" s="69" t="e" cm="1">
        <f t="array" ref="AE209">_xlfn.XLOOKUP(Table1[[#This Row],[5 cm2 cell test code]:[5 cm2 cell test code]],[1]!Table1[[Test code]:[Test code]],[1]!Table1[HFR 10 mM KOH/ mOhm cm2],"",0)</f>
        <v>#REF!</v>
      </c>
      <c r="AF209" s="69" t="e" cm="1">
        <f t="array" ref="AF209">_xlfn.XLOOKUP(Table1[[#This Row],[5 cm2 cell test code]:[5 cm2 cell test code]],[1]!Table1[[Test code]:[Test code]],[1]!Table1[Ionic resistance DIW/Ohm cm2],"",0)</f>
        <v>#REF!</v>
      </c>
      <c r="AG209" s="69" t="e" cm="1">
        <f t="array" ref="AG209">_xlfn.XLOOKUP(Table1[[#This Row],[5 cm2 cell test code]:[5 cm2 cell test code]],[1]!Table1[[Test code]:[Test code]],[1]!Table1[Q_int_frac DIW],"",0)</f>
        <v>#REF!</v>
      </c>
      <c r="AH209" s="69" t="e" cm="1">
        <f t="array" ref="AH209">_xlfn.XLOOKUP(Table1[[#This Row],[5 cm2 cell test code]:[5 cm2 cell test code]],[1]!Table1[[Test code]:[Test code]],[1]!Table1[Ionic resistance 10 mM KOH/Ohm cm2],"",0)</f>
        <v>#REF!</v>
      </c>
      <c r="AI209" s="69" t="e" cm="1">
        <f t="array" ref="AI209">_xlfn.XLOOKUP(Table1[[#This Row],[5 cm2 cell test code]:[5 cm2 cell test code]],[1]!Table1[[Test code]:[Test code]],[1]!Table1[Q_int_frac DIW 10 mM KOH],"",0)</f>
        <v>#REF!</v>
      </c>
      <c r="AJ209" s="69" t="e" cm="1">
        <f t="array" ref="AJ209">_xlfn.XLOOKUP(Table1[[#This Row],[5 cm2 cell test code]:[5 cm2 cell test code]],[1]!Table1[[Test code]:[Test code]],[1]!Table1[DIW conductivity (µS/cm)],"",0)</f>
        <v>#REF!</v>
      </c>
      <c r="AQ209" s="4" t="str">
        <v>AIL0925, 1 (23249E1.01 spot 8 location)</v>
      </c>
    </row>
    <row r="210" spans="1:43">
      <c r="A210" s="81"/>
      <c r="B210" s="11" t="s">
        <v>408</v>
      </c>
      <c r="C210" s="4" t="s">
        <v>409</v>
      </c>
      <c r="I210" s="11" t="s">
        <v>114</v>
      </c>
      <c r="J210" s="11" t="s">
        <v>402</v>
      </c>
      <c r="K210" s="43" t="s">
        <v>59</v>
      </c>
      <c r="U210" s="101"/>
      <c r="V210" s="101"/>
      <c r="W210" s="69" t="e" cm="1">
        <f t="array" ref="W210">_xlfn.XLOOKUP(Table1[[#This Row],[5 cm2 cell test code]:[5 cm2 cell test code]],[1]!Table1[[Test code]:[Test code]],[1]!Table1[i @ 1.8 V DIW (A/cm2)],"",0)</f>
        <v>#REF!</v>
      </c>
      <c r="X210" s="69" t="e" cm="1">
        <f t="array" ref="X210">_xlfn.XLOOKUP(Table1[[#This Row],[5 cm2 cell test code]:[5 cm2 cell test code]],[1]!Table1[[Test code]:[Test code]],[1]!Table1[i @ 1.8 V 10 mM KOH (A/cm2)],"",0)</f>
        <v>#REF!</v>
      </c>
      <c r="Y210" s="69" t="e" cm="1">
        <f t="array" ref="Y210">_xlfn.XLOOKUP(Table1[[#This Row],[5 cm2 cell test code]:[5 cm2 cell test code]],[1]!Table1[[Test code]:[Test code]],[1]!Table1[3-E ƞ at 20mAcm-2 (mV)],"",0)</f>
        <v>#REF!</v>
      </c>
      <c r="Z210" s="69" t="e" cm="1">
        <f t="array" ref="Z210">_xlfn.XLOOKUP(Table1[[#This Row],[5 cm2 cell test code]:[5 cm2 cell test code]],[1]!Table1[[Test code]:[Test code]],[1]!Table1[3-E Tafel slope (mV/dec)],"",0)</f>
        <v>#REF!</v>
      </c>
      <c r="AA210" s="69" t="e" cm="1">
        <f t="array" ref="AA210">_xlfn.XLOOKUP(Table1[[#This Row],[5 cm2 cell test code]:[5 cm2 cell test code]],[1]!Table1[[Test code]:[Test code]],[1]!Table1[E @ 100 mA/cm2 DIW/V],"",0)</f>
        <v>#REF!</v>
      </c>
      <c r="AB210" s="69" t="e" cm="1">
        <f t="array" ref="AB210">_xlfn.XLOOKUP(Table1[[#This Row],[5 cm2 cell test code]:[5 cm2 cell test code]],[1]!Table1[[Test code]:[Test code]],[1]!Table1[E @ 100 mA/cm2 10 mM KOH/V],"",0)</f>
        <v>#REF!</v>
      </c>
      <c r="AC210" s="69" t="e" cm="1">
        <f t="array" ref="AC210">_xlfn.XLOOKUP(Table1[[#This Row],[5 cm2 cell test code]:[5 cm2 cell test code]],[1]!Table1[[Test code]:[Test code]],[1]!Table1[Anode ICR/mOhm],"",0)</f>
        <v>#REF!</v>
      </c>
      <c r="AD210" s="69" t="e" cm="1">
        <f t="array" ref="AD210">_xlfn.XLOOKUP(Table1[[#This Row],[5 cm2 cell test code]:[5 cm2 cell test code]],[1]!Table1[[Test code]:[Test code]],[1]!Table1[HFR DIW/ mOhm cm2],"",0)</f>
        <v>#REF!</v>
      </c>
      <c r="AE210" s="69" t="e" cm="1">
        <f t="array" ref="AE210">_xlfn.XLOOKUP(Table1[[#This Row],[5 cm2 cell test code]:[5 cm2 cell test code]],[1]!Table1[[Test code]:[Test code]],[1]!Table1[HFR 10 mM KOH/ mOhm cm2],"",0)</f>
        <v>#REF!</v>
      </c>
      <c r="AF210" s="69" t="e" cm="1">
        <f t="array" ref="AF210">_xlfn.XLOOKUP(Table1[[#This Row],[5 cm2 cell test code]:[5 cm2 cell test code]],[1]!Table1[[Test code]:[Test code]],[1]!Table1[Ionic resistance DIW/Ohm cm2],"",0)</f>
        <v>#REF!</v>
      </c>
      <c r="AG210" s="69" t="e" cm="1">
        <f t="array" ref="AG210">_xlfn.XLOOKUP(Table1[[#This Row],[5 cm2 cell test code]:[5 cm2 cell test code]],[1]!Table1[[Test code]:[Test code]],[1]!Table1[Q_int_frac DIW],"",0)</f>
        <v>#REF!</v>
      </c>
      <c r="AH210" s="69" t="e" cm="1">
        <f t="array" ref="AH210">_xlfn.XLOOKUP(Table1[[#This Row],[5 cm2 cell test code]:[5 cm2 cell test code]],[1]!Table1[[Test code]:[Test code]],[1]!Table1[Ionic resistance 10 mM KOH/Ohm cm2],"",0)</f>
        <v>#REF!</v>
      </c>
      <c r="AI210" s="69" t="e" cm="1">
        <f t="array" ref="AI210">_xlfn.XLOOKUP(Table1[[#This Row],[5 cm2 cell test code]:[5 cm2 cell test code]],[1]!Table1[[Test code]:[Test code]],[1]!Table1[Q_int_frac DIW 10 mM KOH],"",0)</f>
        <v>#REF!</v>
      </c>
      <c r="AJ210" s="69" t="e" cm="1">
        <f t="array" ref="AJ210">_xlfn.XLOOKUP(Table1[[#This Row],[5 cm2 cell test code]:[5 cm2 cell test code]],[1]!Table1[[Test code]:[Test code]],[1]!Table1[DIW conductivity (µS/cm)],"",0)</f>
        <v>#REF!</v>
      </c>
      <c r="AQ210" s="4" t="str">
        <v>AIL0925, 2 (23249E1.01 spot 1 location)</v>
      </c>
    </row>
    <row r="211" spans="1:43">
      <c r="A211" s="81"/>
      <c r="B211" s="11" t="s">
        <v>410</v>
      </c>
      <c r="C211" s="4" t="s">
        <v>411</v>
      </c>
      <c r="I211" s="11" t="s">
        <v>114</v>
      </c>
      <c r="J211" s="11" t="s">
        <v>402</v>
      </c>
      <c r="K211" s="43" t="s">
        <v>59</v>
      </c>
      <c r="U211" s="101"/>
      <c r="V211" s="101"/>
      <c r="W211" s="69" t="e" cm="1">
        <f t="array" ref="W211">_xlfn.XLOOKUP(Table1[[#This Row],[5 cm2 cell test code]:[5 cm2 cell test code]],[1]!Table1[[Test code]:[Test code]],[1]!Table1[i @ 1.8 V DIW (A/cm2)],"",0)</f>
        <v>#REF!</v>
      </c>
      <c r="X211" s="69" t="e" cm="1">
        <f t="array" ref="X211">_xlfn.XLOOKUP(Table1[[#This Row],[5 cm2 cell test code]:[5 cm2 cell test code]],[1]!Table1[[Test code]:[Test code]],[1]!Table1[i @ 1.8 V 10 mM KOH (A/cm2)],"",0)</f>
        <v>#REF!</v>
      </c>
      <c r="Y211" s="69" t="e" cm="1">
        <f t="array" ref="Y211">_xlfn.XLOOKUP(Table1[[#This Row],[5 cm2 cell test code]:[5 cm2 cell test code]],[1]!Table1[[Test code]:[Test code]],[1]!Table1[3-E ƞ at 20mAcm-2 (mV)],"",0)</f>
        <v>#REF!</v>
      </c>
      <c r="Z211" s="69" t="e" cm="1">
        <f t="array" ref="Z211">_xlfn.XLOOKUP(Table1[[#This Row],[5 cm2 cell test code]:[5 cm2 cell test code]],[1]!Table1[[Test code]:[Test code]],[1]!Table1[3-E Tafel slope (mV/dec)],"",0)</f>
        <v>#REF!</v>
      </c>
      <c r="AA211" s="69" t="e" cm="1">
        <f t="array" ref="AA211">_xlfn.XLOOKUP(Table1[[#This Row],[5 cm2 cell test code]:[5 cm2 cell test code]],[1]!Table1[[Test code]:[Test code]],[1]!Table1[E @ 100 mA/cm2 DIW/V],"",0)</f>
        <v>#REF!</v>
      </c>
      <c r="AB211" s="69" t="e" cm="1">
        <f t="array" ref="AB211">_xlfn.XLOOKUP(Table1[[#This Row],[5 cm2 cell test code]:[5 cm2 cell test code]],[1]!Table1[[Test code]:[Test code]],[1]!Table1[E @ 100 mA/cm2 10 mM KOH/V],"",0)</f>
        <v>#REF!</v>
      </c>
      <c r="AC211" s="69" t="e" cm="1">
        <f t="array" ref="AC211">_xlfn.XLOOKUP(Table1[[#This Row],[5 cm2 cell test code]:[5 cm2 cell test code]],[1]!Table1[[Test code]:[Test code]],[1]!Table1[Anode ICR/mOhm],"",0)</f>
        <v>#REF!</v>
      </c>
      <c r="AD211" s="69" t="e" cm="1">
        <f t="array" ref="AD211">_xlfn.XLOOKUP(Table1[[#This Row],[5 cm2 cell test code]:[5 cm2 cell test code]],[1]!Table1[[Test code]:[Test code]],[1]!Table1[HFR DIW/ mOhm cm2],"",0)</f>
        <v>#REF!</v>
      </c>
      <c r="AE211" s="69" t="e" cm="1">
        <f t="array" ref="AE211">_xlfn.XLOOKUP(Table1[[#This Row],[5 cm2 cell test code]:[5 cm2 cell test code]],[1]!Table1[[Test code]:[Test code]],[1]!Table1[HFR 10 mM KOH/ mOhm cm2],"",0)</f>
        <v>#REF!</v>
      </c>
      <c r="AF211" s="69" t="e" cm="1">
        <f t="array" ref="AF211">_xlfn.XLOOKUP(Table1[[#This Row],[5 cm2 cell test code]:[5 cm2 cell test code]],[1]!Table1[[Test code]:[Test code]],[1]!Table1[Ionic resistance DIW/Ohm cm2],"",0)</f>
        <v>#REF!</v>
      </c>
      <c r="AG211" s="69" t="e" cm="1">
        <f t="array" ref="AG211">_xlfn.XLOOKUP(Table1[[#This Row],[5 cm2 cell test code]:[5 cm2 cell test code]],[1]!Table1[[Test code]:[Test code]],[1]!Table1[Q_int_frac DIW],"",0)</f>
        <v>#REF!</v>
      </c>
      <c r="AH211" s="69" t="e" cm="1">
        <f t="array" ref="AH211">_xlfn.XLOOKUP(Table1[[#This Row],[5 cm2 cell test code]:[5 cm2 cell test code]],[1]!Table1[[Test code]:[Test code]],[1]!Table1[Ionic resistance 10 mM KOH/Ohm cm2],"",0)</f>
        <v>#REF!</v>
      </c>
      <c r="AI211" s="69" t="e" cm="1">
        <f t="array" ref="AI211">_xlfn.XLOOKUP(Table1[[#This Row],[5 cm2 cell test code]:[5 cm2 cell test code]],[1]!Table1[[Test code]:[Test code]],[1]!Table1[Q_int_frac DIW 10 mM KOH],"",0)</f>
        <v>#REF!</v>
      </c>
      <c r="AJ211" s="69" t="e" cm="1">
        <f t="array" ref="AJ211">_xlfn.XLOOKUP(Table1[[#This Row],[5 cm2 cell test code]:[5 cm2 cell test code]],[1]!Table1[[Test code]:[Test code]],[1]!Table1[DIW conductivity (µS/cm)],"",0)</f>
        <v>#REF!</v>
      </c>
      <c r="AQ211" s="4" t="str">
        <v>VSG01A-23249E1.02</v>
      </c>
    </row>
    <row r="212" spans="1:43">
      <c r="A212" s="81"/>
      <c r="B212" s="11" t="s">
        <v>412</v>
      </c>
      <c r="C212" s="4" t="s">
        <v>413</v>
      </c>
      <c r="I212" s="11" t="s">
        <v>114</v>
      </c>
      <c r="J212" s="11" t="s">
        <v>402</v>
      </c>
      <c r="K212" s="43" t="s">
        <v>59</v>
      </c>
      <c r="U212" s="101"/>
      <c r="V212" s="101"/>
      <c r="W212" s="69" t="e" cm="1">
        <f t="array" ref="W212">_xlfn.XLOOKUP(Table1[[#This Row],[5 cm2 cell test code]:[5 cm2 cell test code]],[1]!Table1[[Test code]:[Test code]],[1]!Table1[i @ 1.8 V DIW (A/cm2)],"",0)</f>
        <v>#REF!</v>
      </c>
      <c r="X212" s="69" t="e" cm="1">
        <f t="array" ref="X212">_xlfn.XLOOKUP(Table1[[#This Row],[5 cm2 cell test code]:[5 cm2 cell test code]],[1]!Table1[[Test code]:[Test code]],[1]!Table1[i @ 1.8 V 10 mM KOH (A/cm2)],"",0)</f>
        <v>#REF!</v>
      </c>
      <c r="Y212" s="69" t="e" cm="1">
        <f t="array" ref="Y212">_xlfn.XLOOKUP(Table1[[#This Row],[5 cm2 cell test code]:[5 cm2 cell test code]],[1]!Table1[[Test code]:[Test code]],[1]!Table1[3-E ƞ at 20mAcm-2 (mV)],"",0)</f>
        <v>#REF!</v>
      </c>
      <c r="Z212" s="69" t="e" cm="1">
        <f t="array" ref="Z212">_xlfn.XLOOKUP(Table1[[#This Row],[5 cm2 cell test code]:[5 cm2 cell test code]],[1]!Table1[[Test code]:[Test code]],[1]!Table1[3-E Tafel slope (mV/dec)],"",0)</f>
        <v>#REF!</v>
      </c>
      <c r="AA212" s="69" t="e" cm="1">
        <f t="array" ref="AA212">_xlfn.XLOOKUP(Table1[[#This Row],[5 cm2 cell test code]:[5 cm2 cell test code]],[1]!Table1[[Test code]:[Test code]],[1]!Table1[E @ 100 mA/cm2 DIW/V],"",0)</f>
        <v>#REF!</v>
      </c>
      <c r="AB212" s="69" t="e" cm="1">
        <f t="array" ref="AB212">_xlfn.XLOOKUP(Table1[[#This Row],[5 cm2 cell test code]:[5 cm2 cell test code]],[1]!Table1[[Test code]:[Test code]],[1]!Table1[E @ 100 mA/cm2 10 mM KOH/V],"",0)</f>
        <v>#REF!</v>
      </c>
      <c r="AC212" s="69" t="e" cm="1">
        <f t="array" ref="AC212">_xlfn.XLOOKUP(Table1[[#This Row],[5 cm2 cell test code]:[5 cm2 cell test code]],[1]!Table1[[Test code]:[Test code]],[1]!Table1[Anode ICR/mOhm],"",0)</f>
        <v>#REF!</v>
      </c>
      <c r="AD212" s="69" t="e" cm="1">
        <f t="array" ref="AD212">_xlfn.XLOOKUP(Table1[[#This Row],[5 cm2 cell test code]:[5 cm2 cell test code]],[1]!Table1[[Test code]:[Test code]],[1]!Table1[HFR DIW/ mOhm cm2],"",0)</f>
        <v>#REF!</v>
      </c>
      <c r="AE212" s="69" t="e" cm="1">
        <f t="array" ref="AE212">_xlfn.XLOOKUP(Table1[[#This Row],[5 cm2 cell test code]:[5 cm2 cell test code]],[1]!Table1[[Test code]:[Test code]],[1]!Table1[HFR 10 mM KOH/ mOhm cm2],"",0)</f>
        <v>#REF!</v>
      </c>
      <c r="AF212" s="69" t="e" cm="1">
        <f t="array" ref="AF212">_xlfn.XLOOKUP(Table1[[#This Row],[5 cm2 cell test code]:[5 cm2 cell test code]],[1]!Table1[[Test code]:[Test code]],[1]!Table1[Ionic resistance DIW/Ohm cm2],"",0)</f>
        <v>#REF!</v>
      </c>
      <c r="AG212" s="69" t="e" cm="1">
        <f t="array" ref="AG212">_xlfn.XLOOKUP(Table1[[#This Row],[5 cm2 cell test code]:[5 cm2 cell test code]],[1]!Table1[[Test code]:[Test code]],[1]!Table1[Q_int_frac DIW],"",0)</f>
        <v>#REF!</v>
      </c>
      <c r="AH212" s="69" t="e" cm="1">
        <f t="array" ref="AH212">_xlfn.XLOOKUP(Table1[[#This Row],[5 cm2 cell test code]:[5 cm2 cell test code]],[1]!Table1[[Test code]:[Test code]],[1]!Table1[Ionic resistance 10 mM KOH/Ohm cm2],"",0)</f>
        <v>#REF!</v>
      </c>
      <c r="AI212" s="69" t="e" cm="1">
        <f t="array" ref="AI212">_xlfn.XLOOKUP(Table1[[#This Row],[5 cm2 cell test code]:[5 cm2 cell test code]],[1]!Table1[[Test code]:[Test code]],[1]!Table1[Q_int_frac DIW 10 mM KOH],"",0)</f>
        <v>#REF!</v>
      </c>
      <c r="AJ212" s="69" t="e" cm="1">
        <f t="array" ref="AJ212">_xlfn.XLOOKUP(Table1[[#This Row],[5 cm2 cell test code]:[5 cm2 cell test code]],[1]!Table1[[Test code]:[Test code]],[1]!Table1[DIW conductivity (µS/cm)],"",0)</f>
        <v>#REF!</v>
      </c>
      <c r="AQ212" s="4" t="str">
        <v>VSG01A-23250E1.01</v>
      </c>
    </row>
    <row r="213" spans="1:43">
      <c r="A213" s="81"/>
      <c r="B213" s="11" t="s">
        <v>414</v>
      </c>
      <c r="C213" s="4" t="s">
        <v>415</v>
      </c>
      <c r="I213" s="11" t="s">
        <v>114</v>
      </c>
      <c r="J213" s="11" t="s">
        <v>402</v>
      </c>
      <c r="K213" s="43" t="s">
        <v>59</v>
      </c>
      <c r="U213" s="101"/>
      <c r="V213" s="101"/>
      <c r="W213" s="69" t="e" cm="1">
        <f t="array" ref="W213">_xlfn.XLOOKUP(Table1[[#This Row],[5 cm2 cell test code]:[5 cm2 cell test code]],[1]!Table1[[Test code]:[Test code]],[1]!Table1[i @ 1.8 V DIW (A/cm2)],"",0)</f>
        <v>#REF!</v>
      </c>
      <c r="X213" s="69" t="e" cm="1">
        <f t="array" ref="X213">_xlfn.XLOOKUP(Table1[[#This Row],[5 cm2 cell test code]:[5 cm2 cell test code]],[1]!Table1[[Test code]:[Test code]],[1]!Table1[i @ 1.8 V 10 mM KOH (A/cm2)],"",0)</f>
        <v>#REF!</v>
      </c>
      <c r="Y213" s="69" t="e" cm="1">
        <f t="array" ref="Y213">_xlfn.XLOOKUP(Table1[[#This Row],[5 cm2 cell test code]:[5 cm2 cell test code]],[1]!Table1[[Test code]:[Test code]],[1]!Table1[3-E ƞ at 20mAcm-2 (mV)],"",0)</f>
        <v>#REF!</v>
      </c>
      <c r="Z213" s="69" t="e" cm="1">
        <f t="array" ref="Z213">_xlfn.XLOOKUP(Table1[[#This Row],[5 cm2 cell test code]:[5 cm2 cell test code]],[1]!Table1[[Test code]:[Test code]],[1]!Table1[3-E Tafel slope (mV/dec)],"",0)</f>
        <v>#REF!</v>
      </c>
      <c r="AA213" s="69" t="e" cm="1">
        <f t="array" ref="AA213">_xlfn.XLOOKUP(Table1[[#This Row],[5 cm2 cell test code]:[5 cm2 cell test code]],[1]!Table1[[Test code]:[Test code]],[1]!Table1[E @ 100 mA/cm2 DIW/V],"",0)</f>
        <v>#REF!</v>
      </c>
      <c r="AB213" s="69" t="e" cm="1">
        <f t="array" ref="AB213">_xlfn.XLOOKUP(Table1[[#This Row],[5 cm2 cell test code]:[5 cm2 cell test code]],[1]!Table1[[Test code]:[Test code]],[1]!Table1[E @ 100 mA/cm2 10 mM KOH/V],"",0)</f>
        <v>#REF!</v>
      </c>
      <c r="AC213" s="69" t="e" cm="1">
        <f t="array" ref="AC213">_xlfn.XLOOKUP(Table1[[#This Row],[5 cm2 cell test code]:[5 cm2 cell test code]],[1]!Table1[[Test code]:[Test code]],[1]!Table1[Anode ICR/mOhm],"",0)</f>
        <v>#REF!</v>
      </c>
      <c r="AD213" s="69" t="e" cm="1">
        <f t="array" ref="AD213">_xlfn.XLOOKUP(Table1[[#This Row],[5 cm2 cell test code]:[5 cm2 cell test code]],[1]!Table1[[Test code]:[Test code]],[1]!Table1[HFR DIW/ mOhm cm2],"",0)</f>
        <v>#REF!</v>
      </c>
      <c r="AE213" s="69" t="e" cm="1">
        <f t="array" ref="AE213">_xlfn.XLOOKUP(Table1[[#This Row],[5 cm2 cell test code]:[5 cm2 cell test code]],[1]!Table1[[Test code]:[Test code]],[1]!Table1[HFR 10 mM KOH/ mOhm cm2],"",0)</f>
        <v>#REF!</v>
      </c>
      <c r="AF213" s="69" t="e" cm="1">
        <f t="array" ref="AF213">_xlfn.XLOOKUP(Table1[[#This Row],[5 cm2 cell test code]:[5 cm2 cell test code]],[1]!Table1[[Test code]:[Test code]],[1]!Table1[Ionic resistance DIW/Ohm cm2],"",0)</f>
        <v>#REF!</v>
      </c>
      <c r="AG213" s="69" t="e" cm="1">
        <f t="array" ref="AG213">_xlfn.XLOOKUP(Table1[[#This Row],[5 cm2 cell test code]:[5 cm2 cell test code]],[1]!Table1[[Test code]:[Test code]],[1]!Table1[Q_int_frac DIW],"",0)</f>
        <v>#REF!</v>
      </c>
      <c r="AH213" s="69" t="e" cm="1">
        <f t="array" ref="AH213">_xlfn.XLOOKUP(Table1[[#This Row],[5 cm2 cell test code]:[5 cm2 cell test code]],[1]!Table1[[Test code]:[Test code]],[1]!Table1[Ionic resistance 10 mM KOH/Ohm cm2],"",0)</f>
        <v>#REF!</v>
      </c>
      <c r="AI213" s="69" t="e" cm="1">
        <f t="array" ref="AI213">_xlfn.XLOOKUP(Table1[[#This Row],[5 cm2 cell test code]:[5 cm2 cell test code]],[1]!Table1[[Test code]:[Test code]],[1]!Table1[Q_int_frac DIW 10 mM KOH],"",0)</f>
        <v>#REF!</v>
      </c>
      <c r="AJ213" s="69" t="e" cm="1">
        <f t="array" ref="AJ213">_xlfn.XLOOKUP(Table1[[#This Row],[5 cm2 cell test code]:[5 cm2 cell test code]],[1]!Table1[[Test code]:[Test code]],[1]!Table1[DIW conductivity (µS/cm)],"",0)</f>
        <v>#REF!</v>
      </c>
      <c r="AQ213" s="4" t="str">
        <v>VSG01A-23250E1.02</v>
      </c>
    </row>
    <row r="214" spans="1:43">
      <c r="A214" s="81"/>
      <c r="B214" s="11" t="s">
        <v>416</v>
      </c>
      <c r="C214" s="4" t="s">
        <v>417</v>
      </c>
      <c r="I214" s="11" t="s">
        <v>114</v>
      </c>
      <c r="J214" s="11" t="s">
        <v>402</v>
      </c>
      <c r="K214" s="43" t="s">
        <v>59</v>
      </c>
      <c r="U214" s="101"/>
      <c r="V214" s="101"/>
      <c r="W214" s="69" t="e" cm="1">
        <f t="array" ref="W214">_xlfn.XLOOKUP(Table1[[#This Row],[5 cm2 cell test code]:[5 cm2 cell test code]],[1]!Table1[[Test code]:[Test code]],[1]!Table1[i @ 1.8 V DIW (A/cm2)],"",0)</f>
        <v>#REF!</v>
      </c>
      <c r="X214" s="69" t="e" cm="1">
        <f t="array" ref="X214">_xlfn.XLOOKUP(Table1[[#This Row],[5 cm2 cell test code]:[5 cm2 cell test code]],[1]!Table1[[Test code]:[Test code]],[1]!Table1[i @ 1.8 V 10 mM KOH (A/cm2)],"",0)</f>
        <v>#REF!</v>
      </c>
      <c r="Y214" s="69" t="e" cm="1">
        <f t="array" ref="Y214">_xlfn.XLOOKUP(Table1[[#This Row],[5 cm2 cell test code]:[5 cm2 cell test code]],[1]!Table1[[Test code]:[Test code]],[1]!Table1[3-E ƞ at 20mAcm-2 (mV)],"",0)</f>
        <v>#REF!</v>
      </c>
      <c r="Z214" s="69" t="e" cm="1">
        <f t="array" ref="Z214">_xlfn.XLOOKUP(Table1[[#This Row],[5 cm2 cell test code]:[5 cm2 cell test code]],[1]!Table1[[Test code]:[Test code]],[1]!Table1[3-E Tafel slope (mV/dec)],"",0)</f>
        <v>#REF!</v>
      </c>
      <c r="AA214" s="69" t="e" cm="1">
        <f t="array" ref="AA214">_xlfn.XLOOKUP(Table1[[#This Row],[5 cm2 cell test code]:[5 cm2 cell test code]],[1]!Table1[[Test code]:[Test code]],[1]!Table1[E @ 100 mA/cm2 DIW/V],"",0)</f>
        <v>#REF!</v>
      </c>
      <c r="AB214" s="69" t="e" cm="1">
        <f t="array" ref="AB214">_xlfn.XLOOKUP(Table1[[#This Row],[5 cm2 cell test code]:[5 cm2 cell test code]],[1]!Table1[[Test code]:[Test code]],[1]!Table1[E @ 100 mA/cm2 10 mM KOH/V],"",0)</f>
        <v>#REF!</v>
      </c>
      <c r="AC214" s="69" t="e" cm="1">
        <f t="array" ref="AC214">_xlfn.XLOOKUP(Table1[[#This Row],[5 cm2 cell test code]:[5 cm2 cell test code]],[1]!Table1[[Test code]:[Test code]],[1]!Table1[Anode ICR/mOhm],"",0)</f>
        <v>#REF!</v>
      </c>
      <c r="AD214" s="69" t="e" cm="1">
        <f t="array" ref="AD214">_xlfn.XLOOKUP(Table1[[#This Row],[5 cm2 cell test code]:[5 cm2 cell test code]],[1]!Table1[[Test code]:[Test code]],[1]!Table1[HFR DIW/ mOhm cm2],"",0)</f>
        <v>#REF!</v>
      </c>
      <c r="AE214" s="69" t="e" cm="1">
        <f t="array" ref="AE214">_xlfn.XLOOKUP(Table1[[#This Row],[5 cm2 cell test code]:[5 cm2 cell test code]],[1]!Table1[[Test code]:[Test code]],[1]!Table1[HFR 10 mM KOH/ mOhm cm2],"",0)</f>
        <v>#REF!</v>
      </c>
      <c r="AF214" s="69" t="e" cm="1">
        <f t="array" ref="AF214">_xlfn.XLOOKUP(Table1[[#This Row],[5 cm2 cell test code]:[5 cm2 cell test code]],[1]!Table1[[Test code]:[Test code]],[1]!Table1[Ionic resistance DIW/Ohm cm2],"",0)</f>
        <v>#REF!</v>
      </c>
      <c r="AG214" s="69" t="e" cm="1">
        <f t="array" ref="AG214">_xlfn.XLOOKUP(Table1[[#This Row],[5 cm2 cell test code]:[5 cm2 cell test code]],[1]!Table1[[Test code]:[Test code]],[1]!Table1[Q_int_frac DIW],"",0)</f>
        <v>#REF!</v>
      </c>
      <c r="AH214" s="69" t="e" cm="1">
        <f t="array" ref="AH214">_xlfn.XLOOKUP(Table1[[#This Row],[5 cm2 cell test code]:[5 cm2 cell test code]],[1]!Table1[[Test code]:[Test code]],[1]!Table1[Ionic resistance 10 mM KOH/Ohm cm2],"",0)</f>
        <v>#REF!</v>
      </c>
      <c r="AI214" s="69" t="e" cm="1">
        <f t="array" ref="AI214">_xlfn.XLOOKUP(Table1[[#This Row],[5 cm2 cell test code]:[5 cm2 cell test code]],[1]!Table1[[Test code]:[Test code]],[1]!Table1[Q_int_frac DIW 10 mM KOH],"",0)</f>
        <v>#REF!</v>
      </c>
      <c r="AJ214" s="69" t="e" cm="1">
        <f t="array" ref="AJ214">_xlfn.XLOOKUP(Table1[[#This Row],[5 cm2 cell test code]:[5 cm2 cell test code]],[1]!Table1[[Test code]:[Test code]],[1]!Table1[DIW conductivity (µS/cm)],"",0)</f>
        <v>#REF!</v>
      </c>
      <c r="AQ214" s="4" t="str">
        <v>VSG01A-23253E1</v>
      </c>
    </row>
    <row r="215" spans="1:43">
      <c r="A215" s="81"/>
      <c r="B215" s="11" t="s">
        <v>418</v>
      </c>
      <c r="C215" s="4" t="s">
        <v>419</v>
      </c>
      <c r="I215" s="11" t="s">
        <v>114</v>
      </c>
      <c r="J215" s="11" t="s">
        <v>402</v>
      </c>
      <c r="K215" s="43" t="s">
        <v>59</v>
      </c>
      <c r="U215" s="101"/>
      <c r="V215" s="101"/>
      <c r="W215" s="69" t="e" cm="1">
        <f t="array" ref="W215">_xlfn.XLOOKUP(Table1[[#This Row],[5 cm2 cell test code]:[5 cm2 cell test code]],[1]!Table1[[Test code]:[Test code]],[1]!Table1[i @ 1.8 V DIW (A/cm2)],"",0)</f>
        <v>#REF!</v>
      </c>
      <c r="X215" s="69" t="e" cm="1">
        <f t="array" ref="X215">_xlfn.XLOOKUP(Table1[[#This Row],[5 cm2 cell test code]:[5 cm2 cell test code]],[1]!Table1[[Test code]:[Test code]],[1]!Table1[i @ 1.8 V 10 mM KOH (A/cm2)],"",0)</f>
        <v>#REF!</v>
      </c>
      <c r="Y215" s="69" t="e" cm="1">
        <f t="array" ref="Y215">_xlfn.XLOOKUP(Table1[[#This Row],[5 cm2 cell test code]:[5 cm2 cell test code]],[1]!Table1[[Test code]:[Test code]],[1]!Table1[3-E ƞ at 20mAcm-2 (mV)],"",0)</f>
        <v>#REF!</v>
      </c>
      <c r="Z215" s="69" t="e" cm="1">
        <f t="array" ref="Z215">_xlfn.XLOOKUP(Table1[[#This Row],[5 cm2 cell test code]:[5 cm2 cell test code]],[1]!Table1[[Test code]:[Test code]],[1]!Table1[3-E Tafel slope (mV/dec)],"",0)</f>
        <v>#REF!</v>
      </c>
      <c r="AA215" s="69" t="e" cm="1">
        <f t="array" ref="AA215">_xlfn.XLOOKUP(Table1[[#This Row],[5 cm2 cell test code]:[5 cm2 cell test code]],[1]!Table1[[Test code]:[Test code]],[1]!Table1[E @ 100 mA/cm2 DIW/V],"",0)</f>
        <v>#REF!</v>
      </c>
      <c r="AB215" s="69" t="e" cm="1">
        <f t="array" ref="AB215">_xlfn.XLOOKUP(Table1[[#This Row],[5 cm2 cell test code]:[5 cm2 cell test code]],[1]!Table1[[Test code]:[Test code]],[1]!Table1[E @ 100 mA/cm2 10 mM KOH/V],"",0)</f>
        <v>#REF!</v>
      </c>
      <c r="AC215" s="69" t="e" cm="1">
        <f t="array" ref="AC215">_xlfn.XLOOKUP(Table1[[#This Row],[5 cm2 cell test code]:[5 cm2 cell test code]],[1]!Table1[[Test code]:[Test code]],[1]!Table1[Anode ICR/mOhm],"",0)</f>
        <v>#REF!</v>
      </c>
      <c r="AD215" s="69" t="e" cm="1">
        <f t="array" ref="AD215">_xlfn.XLOOKUP(Table1[[#This Row],[5 cm2 cell test code]:[5 cm2 cell test code]],[1]!Table1[[Test code]:[Test code]],[1]!Table1[HFR DIW/ mOhm cm2],"",0)</f>
        <v>#REF!</v>
      </c>
      <c r="AE215" s="69" t="e" cm="1">
        <f t="array" ref="AE215">_xlfn.XLOOKUP(Table1[[#This Row],[5 cm2 cell test code]:[5 cm2 cell test code]],[1]!Table1[[Test code]:[Test code]],[1]!Table1[HFR 10 mM KOH/ mOhm cm2],"",0)</f>
        <v>#REF!</v>
      </c>
      <c r="AF215" s="69" t="e" cm="1">
        <f t="array" ref="AF215">_xlfn.XLOOKUP(Table1[[#This Row],[5 cm2 cell test code]:[5 cm2 cell test code]],[1]!Table1[[Test code]:[Test code]],[1]!Table1[Ionic resistance DIW/Ohm cm2],"",0)</f>
        <v>#REF!</v>
      </c>
      <c r="AG215" s="69" t="e" cm="1">
        <f t="array" ref="AG215">_xlfn.XLOOKUP(Table1[[#This Row],[5 cm2 cell test code]:[5 cm2 cell test code]],[1]!Table1[[Test code]:[Test code]],[1]!Table1[Q_int_frac DIW],"",0)</f>
        <v>#REF!</v>
      </c>
      <c r="AH215" s="69" t="e" cm="1">
        <f t="array" ref="AH215">_xlfn.XLOOKUP(Table1[[#This Row],[5 cm2 cell test code]:[5 cm2 cell test code]],[1]!Table1[[Test code]:[Test code]],[1]!Table1[Ionic resistance 10 mM KOH/Ohm cm2],"",0)</f>
        <v>#REF!</v>
      </c>
      <c r="AI215" s="69" t="e" cm="1">
        <f t="array" ref="AI215">_xlfn.XLOOKUP(Table1[[#This Row],[5 cm2 cell test code]:[5 cm2 cell test code]],[1]!Table1[[Test code]:[Test code]],[1]!Table1[Q_int_frac DIW 10 mM KOH],"",0)</f>
        <v>#REF!</v>
      </c>
      <c r="AJ215" s="69" t="e" cm="1">
        <f t="array" ref="AJ215">_xlfn.XLOOKUP(Table1[[#This Row],[5 cm2 cell test code]:[5 cm2 cell test code]],[1]!Table1[[Test code]:[Test code]],[1]!Table1[DIW conductivity (µS/cm)],"",0)</f>
        <v>#REF!</v>
      </c>
      <c r="AQ215" s="4" t="str">
        <v>VSG01A-23253E1.01</v>
      </c>
    </row>
    <row r="216" spans="1:43">
      <c r="A216" s="81"/>
      <c r="B216" s="11" t="s">
        <v>420</v>
      </c>
      <c r="C216" s="4" t="s">
        <v>421</v>
      </c>
      <c r="I216" s="11" t="s">
        <v>114</v>
      </c>
      <c r="J216" s="11" t="s">
        <v>402</v>
      </c>
      <c r="K216" s="43" t="s">
        <v>59</v>
      </c>
      <c r="U216" s="101"/>
      <c r="V216" s="101"/>
      <c r="W216" s="69" t="e" cm="1">
        <f t="array" ref="W216">_xlfn.XLOOKUP(Table1[[#This Row],[5 cm2 cell test code]:[5 cm2 cell test code]],[1]!Table1[[Test code]:[Test code]],[1]!Table1[i @ 1.8 V DIW (A/cm2)],"",0)</f>
        <v>#REF!</v>
      </c>
      <c r="X216" s="69" t="e" cm="1">
        <f t="array" ref="X216">_xlfn.XLOOKUP(Table1[[#This Row],[5 cm2 cell test code]:[5 cm2 cell test code]],[1]!Table1[[Test code]:[Test code]],[1]!Table1[i @ 1.8 V 10 mM KOH (A/cm2)],"",0)</f>
        <v>#REF!</v>
      </c>
      <c r="Y216" s="69" t="e" cm="1">
        <f t="array" ref="Y216">_xlfn.XLOOKUP(Table1[[#This Row],[5 cm2 cell test code]:[5 cm2 cell test code]],[1]!Table1[[Test code]:[Test code]],[1]!Table1[3-E ƞ at 20mAcm-2 (mV)],"",0)</f>
        <v>#REF!</v>
      </c>
      <c r="Z216" s="69" t="e" cm="1">
        <f t="array" ref="Z216">_xlfn.XLOOKUP(Table1[[#This Row],[5 cm2 cell test code]:[5 cm2 cell test code]],[1]!Table1[[Test code]:[Test code]],[1]!Table1[3-E Tafel slope (mV/dec)],"",0)</f>
        <v>#REF!</v>
      </c>
      <c r="AA216" s="69" t="e" cm="1">
        <f t="array" ref="AA216">_xlfn.XLOOKUP(Table1[[#This Row],[5 cm2 cell test code]:[5 cm2 cell test code]],[1]!Table1[[Test code]:[Test code]],[1]!Table1[E @ 100 mA/cm2 DIW/V],"",0)</f>
        <v>#REF!</v>
      </c>
      <c r="AB216" s="69" t="e" cm="1">
        <f t="array" ref="AB216">_xlfn.XLOOKUP(Table1[[#This Row],[5 cm2 cell test code]:[5 cm2 cell test code]],[1]!Table1[[Test code]:[Test code]],[1]!Table1[E @ 100 mA/cm2 10 mM KOH/V],"",0)</f>
        <v>#REF!</v>
      </c>
      <c r="AC216" s="69" t="e" cm="1">
        <f t="array" ref="AC216">_xlfn.XLOOKUP(Table1[[#This Row],[5 cm2 cell test code]:[5 cm2 cell test code]],[1]!Table1[[Test code]:[Test code]],[1]!Table1[Anode ICR/mOhm],"",0)</f>
        <v>#REF!</v>
      </c>
      <c r="AD216" s="69" t="e" cm="1">
        <f t="array" ref="AD216">_xlfn.XLOOKUP(Table1[[#This Row],[5 cm2 cell test code]:[5 cm2 cell test code]],[1]!Table1[[Test code]:[Test code]],[1]!Table1[HFR DIW/ mOhm cm2],"",0)</f>
        <v>#REF!</v>
      </c>
      <c r="AE216" s="69" t="e" cm="1">
        <f t="array" ref="AE216">_xlfn.XLOOKUP(Table1[[#This Row],[5 cm2 cell test code]:[5 cm2 cell test code]],[1]!Table1[[Test code]:[Test code]],[1]!Table1[HFR 10 mM KOH/ mOhm cm2],"",0)</f>
        <v>#REF!</v>
      </c>
      <c r="AF216" s="69" t="e" cm="1">
        <f t="array" ref="AF216">_xlfn.XLOOKUP(Table1[[#This Row],[5 cm2 cell test code]:[5 cm2 cell test code]],[1]!Table1[[Test code]:[Test code]],[1]!Table1[Ionic resistance DIW/Ohm cm2],"",0)</f>
        <v>#REF!</v>
      </c>
      <c r="AG216" s="69" t="e" cm="1">
        <f t="array" ref="AG216">_xlfn.XLOOKUP(Table1[[#This Row],[5 cm2 cell test code]:[5 cm2 cell test code]],[1]!Table1[[Test code]:[Test code]],[1]!Table1[Q_int_frac DIW],"",0)</f>
        <v>#REF!</v>
      </c>
      <c r="AH216" s="69" t="e" cm="1">
        <f t="array" ref="AH216">_xlfn.XLOOKUP(Table1[[#This Row],[5 cm2 cell test code]:[5 cm2 cell test code]],[1]!Table1[[Test code]:[Test code]],[1]!Table1[Ionic resistance 10 mM KOH/Ohm cm2],"",0)</f>
        <v>#REF!</v>
      </c>
      <c r="AI216" s="69" t="e" cm="1">
        <f t="array" ref="AI216">_xlfn.XLOOKUP(Table1[[#This Row],[5 cm2 cell test code]:[5 cm2 cell test code]],[1]!Table1[[Test code]:[Test code]],[1]!Table1[Q_int_frac DIW 10 mM KOH],"",0)</f>
        <v>#REF!</v>
      </c>
      <c r="AJ216" s="69" t="e" cm="1">
        <f t="array" ref="AJ216">_xlfn.XLOOKUP(Table1[[#This Row],[5 cm2 cell test code]:[5 cm2 cell test code]],[1]!Table1[[Test code]:[Test code]],[1]!Table1[DIW conductivity (µS/cm)],"",0)</f>
        <v>#REF!</v>
      </c>
      <c r="AQ216" s="4" t="str">
        <v>VSG01A-23253E1.02</v>
      </c>
    </row>
    <row r="217" spans="1:43">
      <c r="A217" s="81"/>
      <c r="K217" s="43" t="s">
        <v>59</v>
      </c>
      <c r="U217" s="101"/>
      <c r="V217" s="101"/>
      <c r="W217" s="69" t="e" cm="1">
        <f t="array" ref="W217">_xlfn.XLOOKUP(Table1[[#This Row],[5 cm2 cell test code]:[5 cm2 cell test code]],[1]!Table1[[Test code]:[Test code]],[1]!Table1[i @ 1.8 V DIW (A/cm2)],"",0)</f>
        <v>#REF!</v>
      </c>
      <c r="X217" s="69" t="e" cm="1">
        <f t="array" ref="X217">_xlfn.XLOOKUP(Table1[[#This Row],[5 cm2 cell test code]:[5 cm2 cell test code]],[1]!Table1[[Test code]:[Test code]],[1]!Table1[i @ 1.8 V 10 mM KOH (A/cm2)],"",0)</f>
        <v>#REF!</v>
      </c>
      <c r="Y217" s="69" t="e" cm="1">
        <f t="array" ref="Y217">_xlfn.XLOOKUP(Table1[[#This Row],[5 cm2 cell test code]:[5 cm2 cell test code]],[1]!Table1[[Test code]:[Test code]],[1]!Table1[3-E ƞ at 20mAcm-2 (mV)],"",0)</f>
        <v>#REF!</v>
      </c>
      <c r="Z217" s="69" t="e" cm="1">
        <f t="array" ref="Z217">_xlfn.XLOOKUP(Table1[[#This Row],[5 cm2 cell test code]:[5 cm2 cell test code]],[1]!Table1[[Test code]:[Test code]],[1]!Table1[3-E Tafel slope (mV/dec)],"",0)</f>
        <v>#REF!</v>
      </c>
      <c r="AA217" s="69" t="e" cm="1">
        <f t="array" ref="AA217">_xlfn.XLOOKUP(Table1[[#This Row],[5 cm2 cell test code]:[5 cm2 cell test code]],[1]!Table1[[Test code]:[Test code]],[1]!Table1[E @ 100 mA/cm2 DIW/V],"",0)</f>
        <v>#REF!</v>
      </c>
      <c r="AB217" s="69" t="e" cm="1">
        <f t="array" ref="AB217">_xlfn.XLOOKUP(Table1[[#This Row],[5 cm2 cell test code]:[5 cm2 cell test code]],[1]!Table1[[Test code]:[Test code]],[1]!Table1[E @ 100 mA/cm2 10 mM KOH/V],"",0)</f>
        <v>#REF!</v>
      </c>
      <c r="AC217" s="69" t="e" cm="1">
        <f t="array" ref="AC217">_xlfn.XLOOKUP(Table1[[#This Row],[5 cm2 cell test code]:[5 cm2 cell test code]],[1]!Table1[[Test code]:[Test code]],[1]!Table1[Anode ICR/mOhm],"",0)</f>
        <v>#REF!</v>
      </c>
      <c r="AD217" s="69" t="e" cm="1">
        <f t="array" ref="AD217">_xlfn.XLOOKUP(Table1[[#This Row],[5 cm2 cell test code]:[5 cm2 cell test code]],[1]!Table1[[Test code]:[Test code]],[1]!Table1[HFR DIW/ mOhm cm2],"",0)</f>
        <v>#REF!</v>
      </c>
      <c r="AE217" s="69" t="e" cm="1">
        <f t="array" ref="AE217">_xlfn.XLOOKUP(Table1[[#This Row],[5 cm2 cell test code]:[5 cm2 cell test code]],[1]!Table1[[Test code]:[Test code]],[1]!Table1[HFR 10 mM KOH/ mOhm cm2],"",0)</f>
        <v>#REF!</v>
      </c>
      <c r="AF217" s="69" t="e" cm="1">
        <f t="array" ref="AF217">_xlfn.XLOOKUP(Table1[[#This Row],[5 cm2 cell test code]:[5 cm2 cell test code]],[1]!Table1[[Test code]:[Test code]],[1]!Table1[Ionic resistance DIW/Ohm cm2],"",0)</f>
        <v>#REF!</v>
      </c>
      <c r="AG217" s="69" t="e" cm="1">
        <f t="array" ref="AG217">_xlfn.XLOOKUP(Table1[[#This Row],[5 cm2 cell test code]:[5 cm2 cell test code]],[1]!Table1[[Test code]:[Test code]],[1]!Table1[Q_int_frac DIW],"",0)</f>
        <v>#REF!</v>
      </c>
      <c r="AH217" s="69" t="e" cm="1">
        <f t="array" ref="AH217">_xlfn.XLOOKUP(Table1[[#This Row],[5 cm2 cell test code]:[5 cm2 cell test code]],[1]!Table1[[Test code]:[Test code]],[1]!Table1[Ionic resistance 10 mM KOH/Ohm cm2],"",0)</f>
        <v>#REF!</v>
      </c>
      <c r="AI217" s="69" t="e" cm="1">
        <f t="array" ref="AI217">_xlfn.XLOOKUP(Table1[[#This Row],[5 cm2 cell test code]:[5 cm2 cell test code]],[1]!Table1[[Test code]:[Test code]],[1]!Table1[Q_int_frac DIW 10 mM KOH],"",0)</f>
        <v>#REF!</v>
      </c>
      <c r="AJ217" s="69" t="e" cm="1">
        <f t="array" ref="AJ217">_xlfn.XLOOKUP(Table1[[#This Row],[5 cm2 cell test code]:[5 cm2 cell test code]],[1]!Table1[[Test code]:[Test code]],[1]!Table1[DIW conductivity (µS/cm)],"",0)</f>
        <v>#REF!</v>
      </c>
      <c r="AQ217" s="4" t="str">
        <v>VSG01A-23254E1.01</v>
      </c>
    </row>
    <row r="218" spans="1:43">
      <c r="A218" s="81"/>
      <c r="B218" s="11" t="s">
        <v>422</v>
      </c>
      <c r="C218" s="4" t="s">
        <v>423</v>
      </c>
      <c r="I218" s="11" t="s">
        <v>114</v>
      </c>
      <c r="J218" s="11" t="s">
        <v>402</v>
      </c>
      <c r="K218" s="43" t="s">
        <v>59</v>
      </c>
      <c r="M218" s="13">
        <v>0.35</v>
      </c>
      <c r="N218" s="13">
        <v>3.6389999999999998</v>
      </c>
      <c r="O218" s="11" t="s">
        <v>424</v>
      </c>
      <c r="P218" s="28">
        <v>1.1399999999999999</v>
      </c>
      <c r="U218" s="101"/>
      <c r="V218" s="101"/>
      <c r="W218" s="69" t="e" cm="1">
        <f t="array" ref="W218">_xlfn.XLOOKUP(Table1[[#This Row],[5 cm2 cell test code]:[5 cm2 cell test code]],[1]!Table1[[Test code]:[Test code]],[1]!Table1[i @ 1.8 V DIW (A/cm2)],"",0)</f>
        <v>#REF!</v>
      </c>
      <c r="X218" s="69" t="e" cm="1">
        <f t="array" ref="X218">_xlfn.XLOOKUP(Table1[[#This Row],[5 cm2 cell test code]:[5 cm2 cell test code]],[1]!Table1[[Test code]:[Test code]],[1]!Table1[i @ 1.8 V 10 mM KOH (A/cm2)],"",0)</f>
        <v>#REF!</v>
      </c>
      <c r="Y218" s="69" t="e" cm="1">
        <f t="array" ref="Y218">_xlfn.XLOOKUP(Table1[[#This Row],[5 cm2 cell test code]:[5 cm2 cell test code]],[1]!Table1[[Test code]:[Test code]],[1]!Table1[3-E ƞ at 20mAcm-2 (mV)],"",0)</f>
        <v>#REF!</v>
      </c>
      <c r="Z218" s="69" t="e" cm="1">
        <f t="array" ref="Z218">_xlfn.XLOOKUP(Table1[[#This Row],[5 cm2 cell test code]:[5 cm2 cell test code]],[1]!Table1[[Test code]:[Test code]],[1]!Table1[3-E Tafel slope (mV/dec)],"",0)</f>
        <v>#REF!</v>
      </c>
      <c r="AA218" s="69" t="e" cm="1">
        <f t="array" ref="AA218">_xlfn.XLOOKUP(Table1[[#This Row],[5 cm2 cell test code]:[5 cm2 cell test code]],[1]!Table1[[Test code]:[Test code]],[1]!Table1[E @ 100 mA/cm2 DIW/V],"",0)</f>
        <v>#REF!</v>
      </c>
      <c r="AB218" s="69" t="e" cm="1">
        <f t="array" ref="AB218">_xlfn.XLOOKUP(Table1[[#This Row],[5 cm2 cell test code]:[5 cm2 cell test code]],[1]!Table1[[Test code]:[Test code]],[1]!Table1[E @ 100 mA/cm2 10 mM KOH/V],"",0)</f>
        <v>#REF!</v>
      </c>
      <c r="AC218" s="69" t="e" cm="1">
        <f t="array" ref="AC218">_xlfn.XLOOKUP(Table1[[#This Row],[5 cm2 cell test code]:[5 cm2 cell test code]],[1]!Table1[[Test code]:[Test code]],[1]!Table1[Anode ICR/mOhm],"",0)</f>
        <v>#REF!</v>
      </c>
      <c r="AD218" s="69" t="e" cm="1">
        <f t="array" ref="AD218">_xlfn.XLOOKUP(Table1[[#This Row],[5 cm2 cell test code]:[5 cm2 cell test code]],[1]!Table1[[Test code]:[Test code]],[1]!Table1[HFR DIW/ mOhm cm2],"",0)</f>
        <v>#REF!</v>
      </c>
      <c r="AE218" s="69" t="e" cm="1">
        <f t="array" ref="AE218">_xlfn.XLOOKUP(Table1[[#This Row],[5 cm2 cell test code]:[5 cm2 cell test code]],[1]!Table1[[Test code]:[Test code]],[1]!Table1[HFR 10 mM KOH/ mOhm cm2],"",0)</f>
        <v>#REF!</v>
      </c>
      <c r="AF218" s="69" t="e" cm="1">
        <f t="array" ref="AF218">_xlfn.XLOOKUP(Table1[[#This Row],[5 cm2 cell test code]:[5 cm2 cell test code]],[1]!Table1[[Test code]:[Test code]],[1]!Table1[Ionic resistance DIW/Ohm cm2],"",0)</f>
        <v>#REF!</v>
      </c>
      <c r="AG218" s="69" t="e" cm="1">
        <f t="array" ref="AG218">_xlfn.XLOOKUP(Table1[[#This Row],[5 cm2 cell test code]:[5 cm2 cell test code]],[1]!Table1[[Test code]:[Test code]],[1]!Table1[Q_int_frac DIW],"",0)</f>
        <v>#REF!</v>
      </c>
      <c r="AH218" s="69" t="e" cm="1">
        <f t="array" ref="AH218">_xlfn.XLOOKUP(Table1[[#This Row],[5 cm2 cell test code]:[5 cm2 cell test code]],[1]!Table1[[Test code]:[Test code]],[1]!Table1[Ionic resistance 10 mM KOH/Ohm cm2],"",0)</f>
        <v>#REF!</v>
      </c>
      <c r="AI218" s="69" t="e" cm="1">
        <f t="array" ref="AI218">_xlfn.XLOOKUP(Table1[[#This Row],[5 cm2 cell test code]:[5 cm2 cell test code]],[1]!Table1[[Test code]:[Test code]],[1]!Table1[Q_int_frac DIW 10 mM KOH],"",0)</f>
        <v>#REF!</v>
      </c>
      <c r="AJ218" s="69" t="e" cm="1">
        <f t="array" ref="AJ218">_xlfn.XLOOKUP(Table1[[#This Row],[5 cm2 cell test code]:[5 cm2 cell test code]],[1]!Table1[[Test code]:[Test code]],[1]!Table1[DIW conductivity (µS/cm)],"",0)</f>
        <v>#REF!</v>
      </c>
      <c r="AQ218" s="4" t="str">
        <v>VSG01A-23254E1.01-01</v>
      </c>
    </row>
    <row r="219" spans="1:43">
      <c r="A219" s="81"/>
      <c r="K219" s="43" t="s">
        <v>59</v>
      </c>
      <c r="U219" s="101"/>
      <c r="V219" s="101"/>
      <c r="W219" s="69" t="e" cm="1">
        <f t="array" ref="W219">_xlfn.XLOOKUP(Table1[[#This Row],[5 cm2 cell test code]:[5 cm2 cell test code]],[1]!Table1[[Test code]:[Test code]],[1]!Table1[i @ 1.8 V DIW (A/cm2)],"",0)</f>
        <v>#REF!</v>
      </c>
      <c r="X219" s="69" t="e" cm="1">
        <f t="array" ref="X219">_xlfn.XLOOKUP(Table1[[#This Row],[5 cm2 cell test code]:[5 cm2 cell test code]],[1]!Table1[[Test code]:[Test code]],[1]!Table1[i @ 1.8 V 10 mM KOH (A/cm2)],"",0)</f>
        <v>#REF!</v>
      </c>
      <c r="Y219" s="69" t="e" cm="1">
        <f t="array" ref="Y219">_xlfn.XLOOKUP(Table1[[#This Row],[5 cm2 cell test code]:[5 cm2 cell test code]],[1]!Table1[[Test code]:[Test code]],[1]!Table1[3-E ƞ at 20mAcm-2 (mV)],"",0)</f>
        <v>#REF!</v>
      </c>
      <c r="Z219" s="69" t="e" cm="1">
        <f t="array" ref="Z219">_xlfn.XLOOKUP(Table1[[#This Row],[5 cm2 cell test code]:[5 cm2 cell test code]],[1]!Table1[[Test code]:[Test code]],[1]!Table1[3-E Tafel slope (mV/dec)],"",0)</f>
        <v>#REF!</v>
      </c>
      <c r="AA219" s="69" t="e" cm="1">
        <f t="array" ref="AA219">_xlfn.XLOOKUP(Table1[[#This Row],[5 cm2 cell test code]:[5 cm2 cell test code]],[1]!Table1[[Test code]:[Test code]],[1]!Table1[E @ 100 mA/cm2 DIW/V],"",0)</f>
        <v>#REF!</v>
      </c>
      <c r="AB219" s="69" t="e" cm="1">
        <f t="array" ref="AB219">_xlfn.XLOOKUP(Table1[[#This Row],[5 cm2 cell test code]:[5 cm2 cell test code]],[1]!Table1[[Test code]:[Test code]],[1]!Table1[E @ 100 mA/cm2 10 mM KOH/V],"",0)</f>
        <v>#REF!</v>
      </c>
      <c r="AC219" s="69" t="e" cm="1">
        <f t="array" ref="AC219">_xlfn.XLOOKUP(Table1[[#This Row],[5 cm2 cell test code]:[5 cm2 cell test code]],[1]!Table1[[Test code]:[Test code]],[1]!Table1[Anode ICR/mOhm],"",0)</f>
        <v>#REF!</v>
      </c>
      <c r="AD219" s="69" t="e" cm="1">
        <f t="array" ref="AD219">_xlfn.XLOOKUP(Table1[[#This Row],[5 cm2 cell test code]:[5 cm2 cell test code]],[1]!Table1[[Test code]:[Test code]],[1]!Table1[HFR DIW/ mOhm cm2],"",0)</f>
        <v>#REF!</v>
      </c>
      <c r="AE219" s="69" t="e" cm="1">
        <f t="array" ref="AE219">_xlfn.XLOOKUP(Table1[[#This Row],[5 cm2 cell test code]:[5 cm2 cell test code]],[1]!Table1[[Test code]:[Test code]],[1]!Table1[HFR 10 mM KOH/ mOhm cm2],"",0)</f>
        <v>#REF!</v>
      </c>
      <c r="AF219" s="69" t="e" cm="1">
        <f t="array" ref="AF219">_xlfn.XLOOKUP(Table1[[#This Row],[5 cm2 cell test code]:[5 cm2 cell test code]],[1]!Table1[[Test code]:[Test code]],[1]!Table1[Ionic resistance DIW/Ohm cm2],"",0)</f>
        <v>#REF!</v>
      </c>
      <c r="AG219" s="69" t="e" cm="1">
        <f t="array" ref="AG219">_xlfn.XLOOKUP(Table1[[#This Row],[5 cm2 cell test code]:[5 cm2 cell test code]],[1]!Table1[[Test code]:[Test code]],[1]!Table1[Q_int_frac DIW],"",0)</f>
        <v>#REF!</v>
      </c>
      <c r="AH219" s="69" t="e" cm="1">
        <f t="array" ref="AH219">_xlfn.XLOOKUP(Table1[[#This Row],[5 cm2 cell test code]:[5 cm2 cell test code]],[1]!Table1[[Test code]:[Test code]],[1]!Table1[Ionic resistance 10 mM KOH/Ohm cm2],"",0)</f>
        <v>#REF!</v>
      </c>
      <c r="AI219" s="69" t="e" cm="1">
        <f t="array" ref="AI219">_xlfn.XLOOKUP(Table1[[#This Row],[5 cm2 cell test code]:[5 cm2 cell test code]],[1]!Table1[[Test code]:[Test code]],[1]!Table1[Q_int_frac DIW 10 mM KOH],"",0)</f>
        <v>#REF!</v>
      </c>
      <c r="AJ219" s="69" t="e" cm="1">
        <f t="array" ref="AJ219">_xlfn.XLOOKUP(Table1[[#This Row],[5 cm2 cell test code]:[5 cm2 cell test code]],[1]!Table1[[Test code]:[Test code]],[1]!Table1[DIW conductivity (µS/cm)],"",0)</f>
        <v>#REF!</v>
      </c>
      <c r="AQ219" s="4" t="str">
        <v>VSG01A-23254E1.01-02</v>
      </c>
    </row>
    <row r="220" spans="1:43">
      <c r="A220" s="81"/>
      <c r="B220" s="11" t="s">
        <v>425</v>
      </c>
      <c r="C220" s="4" t="s">
        <v>426</v>
      </c>
      <c r="I220" s="11" t="s">
        <v>114</v>
      </c>
      <c r="J220" s="11" t="s">
        <v>402</v>
      </c>
      <c r="K220" s="43" t="s">
        <v>59</v>
      </c>
      <c r="M220" s="13">
        <v>0.28299999999999997</v>
      </c>
      <c r="N220" s="13">
        <v>0</v>
      </c>
      <c r="O220" s="40" t="s">
        <v>427</v>
      </c>
      <c r="P220" s="28">
        <v>1.1759999999999999</v>
      </c>
      <c r="U220" s="101"/>
      <c r="V220" s="101"/>
      <c r="W220" s="69" t="e" cm="1">
        <f t="array" ref="W220">_xlfn.XLOOKUP(Table1[[#This Row],[5 cm2 cell test code]:[5 cm2 cell test code]],[1]!Table1[[Test code]:[Test code]],[1]!Table1[i @ 1.8 V DIW (A/cm2)],"",0)</f>
        <v>#REF!</v>
      </c>
      <c r="X220" s="69" t="e" cm="1">
        <f t="array" ref="X220">_xlfn.XLOOKUP(Table1[[#This Row],[5 cm2 cell test code]:[5 cm2 cell test code]],[1]!Table1[[Test code]:[Test code]],[1]!Table1[i @ 1.8 V 10 mM KOH (A/cm2)],"",0)</f>
        <v>#REF!</v>
      </c>
      <c r="Y220" s="69" t="e" cm="1">
        <f t="array" ref="Y220">_xlfn.XLOOKUP(Table1[[#This Row],[5 cm2 cell test code]:[5 cm2 cell test code]],[1]!Table1[[Test code]:[Test code]],[1]!Table1[3-E ƞ at 20mAcm-2 (mV)],"",0)</f>
        <v>#REF!</v>
      </c>
      <c r="Z220" s="69" t="e" cm="1">
        <f t="array" ref="Z220">_xlfn.XLOOKUP(Table1[[#This Row],[5 cm2 cell test code]:[5 cm2 cell test code]],[1]!Table1[[Test code]:[Test code]],[1]!Table1[3-E Tafel slope (mV/dec)],"",0)</f>
        <v>#REF!</v>
      </c>
      <c r="AA220" s="69" t="e" cm="1">
        <f t="array" ref="AA220">_xlfn.XLOOKUP(Table1[[#This Row],[5 cm2 cell test code]:[5 cm2 cell test code]],[1]!Table1[[Test code]:[Test code]],[1]!Table1[E @ 100 mA/cm2 DIW/V],"",0)</f>
        <v>#REF!</v>
      </c>
      <c r="AB220" s="69" t="e" cm="1">
        <f t="array" ref="AB220">_xlfn.XLOOKUP(Table1[[#This Row],[5 cm2 cell test code]:[5 cm2 cell test code]],[1]!Table1[[Test code]:[Test code]],[1]!Table1[E @ 100 mA/cm2 10 mM KOH/V],"",0)</f>
        <v>#REF!</v>
      </c>
      <c r="AC220" s="69" t="e" cm="1">
        <f t="array" ref="AC220">_xlfn.XLOOKUP(Table1[[#This Row],[5 cm2 cell test code]:[5 cm2 cell test code]],[1]!Table1[[Test code]:[Test code]],[1]!Table1[Anode ICR/mOhm],"",0)</f>
        <v>#REF!</v>
      </c>
      <c r="AD220" s="69" t="e" cm="1">
        <f t="array" ref="AD220">_xlfn.XLOOKUP(Table1[[#This Row],[5 cm2 cell test code]:[5 cm2 cell test code]],[1]!Table1[[Test code]:[Test code]],[1]!Table1[HFR DIW/ mOhm cm2],"",0)</f>
        <v>#REF!</v>
      </c>
      <c r="AE220" s="69" t="e" cm="1">
        <f t="array" ref="AE220">_xlfn.XLOOKUP(Table1[[#This Row],[5 cm2 cell test code]:[5 cm2 cell test code]],[1]!Table1[[Test code]:[Test code]],[1]!Table1[HFR 10 mM KOH/ mOhm cm2],"",0)</f>
        <v>#REF!</v>
      </c>
      <c r="AF220" s="69" t="e" cm="1">
        <f t="array" ref="AF220">_xlfn.XLOOKUP(Table1[[#This Row],[5 cm2 cell test code]:[5 cm2 cell test code]],[1]!Table1[[Test code]:[Test code]],[1]!Table1[Ionic resistance DIW/Ohm cm2],"",0)</f>
        <v>#REF!</v>
      </c>
      <c r="AG220" s="69" t="e" cm="1">
        <f t="array" ref="AG220">_xlfn.XLOOKUP(Table1[[#This Row],[5 cm2 cell test code]:[5 cm2 cell test code]],[1]!Table1[[Test code]:[Test code]],[1]!Table1[Q_int_frac DIW],"",0)</f>
        <v>#REF!</v>
      </c>
      <c r="AH220" s="69" t="e" cm="1">
        <f t="array" ref="AH220">_xlfn.XLOOKUP(Table1[[#This Row],[5 cm2 cell test code]:[5 cm2 cell test code]],[1]!Table1[[Test code]:[Test code]],[1]!Table1[Ionic resistance 10 mM KOH/Ohm cm2],"",0)</f>
        <v>#REF!</v>
      </c>
      <c r="AI220" s="69" t="e" cm="1">
        <f t="array" ref="AI220">_xlfn.XLOOKUP(Table1[[#This Row],[5 cm2 cell test code]:[5 cm2 cell test code]],[1]!Table1[[Test code]:[Test code]],[1]!Table1[Q_int_frac DIW 10 mM KOH],"",0)</f>
        <v>#REF!</v>
      </c>
      <c r="AJ220" s="69" t="e" cm="1">
        <f t="array" ref="AJ220">_xlfn.XLOOKUP(Table1[[#This Row],[5 cm2 cell test code]:[5 cm2 cell test code]],[1]!Table1[[Test code]:[Test code]],[1]!Table1[DIW conductivity (µS/cm)],"",0)</f>
        <v>#REF!</v>
      </c>
      <c r="AQ220" s="4" t="str">
        <v>VSG01A-23254E1.02</v>
      </c>
    </row>
    <row r="221" spans="1:43">
      <c r="A221" s="81"/>
      <c r="B221" s="11" t="s">
        <v>428</v>
      </c>
      <c r="C221" s="4" t="s">
        <v>429</v>
      </c>
      <c r="I221" s="11" t="s">
        <v>114</v>
      </c>
      <c r="J221" s="11" t="s">
        <v>402</v>
      </c>
      <c r="K221" s="43" t="s">
        <v>59</v>
      </c>
      <c r="M221" s="13">
        <v>0.15</v>
      </c>
      <c r="O221" s="40" t="s">
        <v>430</v>
      </c>
      <c r="P221" s="28">
        <v>1.0610999999999999</v>
      </c>
      <c r="R221" s="50">
        <v>1.1180000000000001</v>
      </c>
      <c r="S221" s="50">
        <v>235</v>
      </c>
      <c r="T221" s="50">
        <v>33.85</v>
      </c>
      <c r="U221" s="101"/>
      <c r="V221" s="101"/>
      <c r="W221" s="69" t="e" cm="1">
        <f t="array" ref="W221">_xlfn.XLOOKUP(Table1[[#This Row],[5 cm2 cell test code]:[5 cm2 cell test code]],[1]!Table1[[Test code]:[Test code]],[1]!Table1[i @ 1.8 V DIW (A/cm2)],"",0)</f>
        <v>#REF!</v>
      </c>
      <c r="X221" s="69" t="e" cm="1">
        <f t="array" ref="X221">_xlfn.XLOOKUP(Table1[[#This Row],[5 cm2 cell test code]:[5 cm2 cell test code]],[1]!Table1[[Test code]:[Test code]],[1]!Table1[i @ 1.8 V 10 mM KOH (A/cm2)],"",0)</f>
        <v>#REF!</v>
      </c>
      <c r="Y221" s="69" t="e" cm="1">
        <f t="array" ref="Y221">_xlfn.XLOOKUP(Table1[[#This Row],[5 cm2 cell test code]:[5 cm2 cell test code]],[1]!Table1[[Test code]:[Test code]],[1]!Table1[3-E ƞ at 20mAcm-2 (mV)],"",0)</f>
        <v>#REF!</v>
      </c>
      <c r="Z221" s="69" t="e" cm="1">
        <f t="array" ref="Z221">_xlfn.XLOOKUP(Table1[[#This Row],[5 cm2 cell test code]:[5 cm2 cell test code]],[1]!Table1[[Test code]:[Test code]],[1]!Table1[3-E Tafel slope (mV/dec)],"",0)</f>
        <v>#REF!</v>
      </c>
      <c r="AA221" s="69" t="e" cm="1">
        <f t="array" ref="AA221">_xlfn.XLOOKUP(Table1[[#This Row],[5 cm2 cell test code]:[5 cm2 cell test code]],[1]!Table1[[Test code]:[Test code]],[1]!Table1[E @ 100 mA/cm2 DIW/V],"",0)</f>
        <v>#REF!</v>
      </c>
      <c r="AB221" s="69" t="e" cm="1">
        <f t="array" ref="AB221">_xlfn.XLOOKUP(Table1[[#This Row],[5 cm2 cell test code]:[5 cm2 cell test code]],[1]!Table1[[Test code]:[Test code]],[1]!Table1[E @ 100 mA/cm2 10 mM KOH/V],"",0)</f>
        <v>#REF!</v>
      </c>
      <c r="AC221" s="69" t="e" cm="1">
        <f t="array" ref="AC221">_xlfn.XLOOKUP(Table1[[#This Row],[5 cm2 cell test code]:[5 cm2 cell test code]],[1]!Table1[[Test code]:[Test code]],[1]!Table1[Anode ICR/mOhm],"",0)</f>
        <v>#REF!</v>
      </c>
      <c r="AD221" s="69" t="e" cm="1">
        <f t="array" ref="AD221">_xlfn.XLOOKUP(Table1[[#This Row],[5 cm2 cell test code]:[5 cm2 cell test code]],[1]!Table1[[Test code]:[Test code]],[1]!Table1[HFR DIW/ mOhm cm2],"",0)</f>
        <v>#REF!</v>
      </c>
      <c r="AE221" s="69" t="e" cm="1">
        <f t="array" ref="AE221">_xlfn.XLOOKUP(Table1[[#This Row],[5 cm2 cell test code]:[5 cm2 cell test code]],[1]!Table1[[Test code]:[Test code]],[1]!Table1[HFR 10 mM KOH/ mOhm cm2],"",0)</f>
        <v>#REF!</v>
      </c>
      <c r="AF221" s="69" t="e" cm="1">
        <f t="array" ref="AF221">_xlfn.XLOOKUP(Table1[[#This Row],[5 cm2 cell test code]:[5 cm2 cell test code]],[1]!Table1[[Test code]:[Test code]],[1]!Table1[Ionic resistance DIW/Ohm cm2],"",0)</f>
        <v>#REF!</v>
      </c>
      <c r="AG221" s="69" t="e" cm="1">
        <f t="array" ref="AG221">_xlfn.XLOOKUP(Table1[[#This Row],[5 cm2 cell test code]:[5 cm2 cell test code]],[1]!Table1[[Test code]:[Test code]],[1]!Table1[Q_int_frac DIW],"",0)</f>
        <v>#REF!</v>
      </c>
      <c r="AH221" s="69" t="e" cm="1">
        <f t="array" ref="AH221">_xlfn.XLOOKUP(Table1[[#This Row],[5 cm2 cell test code]:[5 cm2 cell test code]],[1]!Table1[[Test code]:[Test code]],[1]!Table1[Ionic resistance 10 mM KOH/Ohm cm2],"",0)</f>
        <v>#REF!</v>
      </c>
      <c r="AI221" s="69" t="e" cm="1">
        <f t="array" ref="AI221">_xlfn.XLOOKUP(Table1[[#This Row],[5 cm2 cell test code]:[5 cm2 cell test code]],[1]!Table1[[Test code]:[Test code]],[1]!Table1[Q_int_frac DIW 10 mM KOH],"",0)</f>
        <v>#REF!</v>
      </c>
      <c r="AJ221" s="69" t="e" cm="1">
        <f t="array" ref="AJ221">_xlfn.XLOOKUP(Table1[[#This Row],[5 cm2 cell test code]:[5 cm2 cell test code]],[1]!Table1[[Test code]:[Test code]],[1]!Table1[DIW conductivity (µS/cm)],"",0)</f>
        <v>#REF!</v>
      </c>
      <c r="AQ221" s="4" t="str">
        <v>VSG01A-23254E1.02-01</v>
      </c>
    </row>
    <row r="222" spans="1:43">
      <c r="A222" s="81"/>
      <c r="K222" s="43" t="s">
        <v>59</v>
      </c>
      <c r="U222" s="101"/>
      <c r="V222" s="101"/>
      <c r="W222" s="69" t="e" cm="1">
        <f t="array" ref="W222">_xlfn.XLOOKUP(Table1[[#This Row],[5 cm2 cell test code]:[5 cm2 cell test code]],[1]!Table1[[Test code]:[Test code]],[1]!Table1[i @ 1.8 V DIW (A/cm2)],"",0)</f>
        <v>#REF!</v>
      </c>
      <c r="X222" s="69" t="e" cm="1">
        <f t="array" ref="X222">_xlfn.XLOOKUP(Table1[[#This Row],[5 cm2 cell test code]:[5 cm2 cell test code]],[1]!Table1[[Test code]:[Test code]],[1]!Table1[i @ 1.8 V 10 mM KOH (A/cm2)],"",0)</f>
        <v>#REF!</v>
      </c>
      <c r="Y222" s="69" t="e" cm="1">
        <f t="array" ref="Y222">_xlfn.XLOOKUP(Table1[[#This Row],[5 cm2 cell test code]:[5 cm2 cell test code]],[1]!Table1[[Test code]:[Test code]],[1]!Table1[3-E ƞ at 20mAcm-2 (mV)],"",0)</f>
        <v>#REF!</v>
      </c>
      <c r="Z222" s="69" t="e" cm="1">
        <f t="array" ref="Z222">_xlfn.XLOOKUP(Table1[[#This Row],[5 cm2 cell test code]:[5 cm2 cell test code]],[1]!Table1[[Test code]:[Test code]],[1]!Table1[3-E Tafel slope (mV/dec)],"",0)</f>
        <v>#REF!</v>
      </c>
      <c r="AA222" s="69" t="e" cm="1">
        <f t="array" ref="AA222">_xlfn.XLOOKUP(Table1[[#This Row],[5 cm2 cell test code]:[5 cm2 cell test code]],[1]!Table1[[Test code]:[Test code]],[1]!Table1[E @ 100 mA/cm2 DIW/V],"",0)</f>
        <v>#REF!</v>
      </c>
      <c r="AB222" s="69" t="e" cm="1">
        <f t="array" ref="AB222">_xlfn.XLOOKUP(Table1[[#This Row],[5 cm2 cell test code]:[5 cm2 cell test code]],[1]!Table1[[Test code]:[Test code]],[1]!Table1[E @ 100 mA/cm2 10 mM KOH/V],"",0)</f>
        <v>#REF!</v>
      </c>
      <c r="AC222" s="69" t="e" cm="1">
        <f t="array" ref="AC222">_xlfn.XLOOKUP(Table1[[#This Row],[5 cm2 cell test code]:[5 cm2 cell test code]],[1]!Table1[[Test code]:[Test code]],[1]!Table1[Anode ICR/mOhm],"",0)</f>
        <v>#REF!</v>
      </c>
      <c r="AD222" s="69" t="e" cm="1">
        <f t="array" ref="AD222">_xlfn.XLOOKUP(Table1[[#This Row],[5 cm2 cell test code]:[5 cm2 cell test code]],[1]!Table1[[Test code]:[Test code]],[1]!Table1[HFR DIW/ mOhm cm2],"",0)</f>
        <v>#REF!</v>
      </c>
      <c r="AE222" s="69" t="e" cm="1">
        <f t="array" ref="AE222">_xlfn.XLOOKUP(Table1[[#This Row],[5 cm2 cell test code]:[5 cm2 cell test code]],[1]!Table1[[Test code]:[Test code]],[1]!Table1[HFR 10 mM KOH/ mOhm cm2],"",0)</f>
        <v>#REF!</v>
      </c>
      <c r="AF222" s="69" t="e" cm="1">
        <f t="array" ref="AF222">_xlfn.XLOOKUP(Table1[[#This Row],[5 cm2 cell test code]:[5 cm2 cell test code]],[1]!Table1[[Test code]:[Test code]],[1]!Table1[Ionic resistance DIW/Ohm cm2],"",0)</f>
        <v>#REF!</v>
      </c>
      <c r="AG222" s="69" t="e" cm="1">
        <f t="array" ref="AG222">_xlfn.XLOOKUP(Table1[[#This Row],[5 cm2 cell test code]:[5 cm2 cell test code]],[1]!Table1[[Test code]:[Test code]],[1]!Table1[Q_int_frac DIW],"",0)</f>
        <v>#REF!</v>
      </c>
      <c r="AH222" s="69" t="e" cm="1">
        <f t="array" ref="AH222">_xlfn.XLOOKUP(Table1[[#This Row],[5 cm2 cell test code]:[5 cm2 cell test code]],[1]!Table1[[Test code]:[Test code]],[1]!Table1[Ionic resistance 10 mM KOH/Ohm cm2],"",0)</f>
        <v>#REF!</v>
      </c>
      <c r="AI222" s="69" t="e" cm="1">
        <f t="array" ref="AI222">_xlfn.XLOOKUP(Table1[[#This Row],[5 cm2 cell test code]:[5 cm2 cell test code]],[1]!Table1[[Test code]:[Test code]],[1]!Table1[Q_int_frac DIW 10 mM KOH],"",0)</f>
        <v>#REF!</v>
      </c>
      <c r="AJ222" s="69" t="e" cm="1">
        <f t="array" ref="AJ222">_xlfn.XLOOKUP(Table1[[#This Row],[5 cm2 cell test code]:[5 cm2 cell test code]],[1]!Table1[[Test code]:[Test code]],[1]!Table1[DIW conductivity (µS/cm)],"",0)</f>
        <v>#REF!</v>
      </c>
      <c r="AQ222" s="4" t="str">
        <v>VSG01A-23254E1.02-02</v>
      </c>
    </row>
    <row r="223" spans="1:43">
      <c r="A223" s="81" t="s">
        <v>431</v>
      </c>
      <c r="B223" s="11" t="s">
        <v>432</v>
      </c>
      <c r="C223" s="4" t="s">
        <v>423</v>
      </c>
      <c r="I223" s="11" t="s">
        <v>114</v>
      </c>
      <c r="J223" s="11" t="s">
        <v>402</v>
      </c>
      <c r="K223" s="43" t="s">
        <v>59</v>
      </c>
      <c r="M223" s="13">
        <f>(61.57-61.43)*1000/(31.1*21.4)</f>
        <v>0.21035550079634668</v>
      </c>
      <c r="U223" s="101"/>
      <c r="V223" s="101"/>
      <c r="W223" s="69" t="e" cm="1">
        <f t="array" ref="W223">_xlfn.XLOOKUP(Table1[[#This Row],[5 cm2 cell test code]:[5 cm2 cell test code]],[1]!Table1[[Test code]:[Test code]],[1]!Table1[i @ 1.8 V DIW (A/cm2)],"",0)</f>
        <v>#REF!</v>
      </c>
      <c r="X223" s="69" t="e" cm="1">
        <f t="array" ref="X223">_xlfn.XLOOKUP(Table1[[#This Row],[5 cm2 cell test code]:[5 cm2 cell test code]],[1]!Table1[[Test code]:[Test code]],[1]!Table1[i @ 1.8 V 10 mM KOH (A/cm2)],"",0)</f>
        <v>#REF!</v>
      </c>
      <c r="Y223" s="69" t="e" cm="1">
        <f t="array" ref="Y223">_xlfn.XLOOKUP(Table1[[#This Row],[5 cm2 cell test code]:[5 cm2 cell test code]],[1]!Table1[[Test code]:[Test code]],[1]!Table1[3-E ƞ at 20mAcm-2 (mV)],"",0)</f>
        <v>#REF!</v>
      </c>
      <c r="Z223" s="69" t="e" cm="1">
        <f t="array" ref="Z223">_xlfn.XLOOKUP(Table1[[#This Row],[5 cm2 cell test code]:[5 cm2 cell test code]],[1]!Table1[[Test code]:[Test code]],[1]!Table1[3-E Tafel slope (mV/dec)],"",0)</f>
        <v>#REF!</v>
      </c>
      <c r="AA223" s="69" t="e" cm="1">
        <f t="array" ref="AA223">_xlfn.XLOOKUP(Table1[[#This Row],[5 cm2 cell test code]:[5 cm2 cell test code]],[1]!Table1[[Test code]:[Test code]],[1]!Table1[E @ 100 mA/cm2 DIW/V],"",0)</f>
        <v>#REF!</v>
      </c>
      <c r="AB223" s="69" t="e" cm="1">
        <f t="array" ref="AB223">_xlfn.XLOOKUP(Table1[[#This Row],[5 cm2 cell test code]:[5 cm2 cell test code]],[1]!Table1[[Test code]:[Test code]],[1]!Table1[E @ 100 mA/cm2 10 mM KOH/V],"",0)</f>
        <v>#REF!</v>
      </c>
      <c r="AC223" s="69" t="e" cm="1">
        <f t="array" ref="AC223">_xlfn.XLOOKUP(Table1[[#This Row],[5 cm2 cell test code]:[5 cm2 cell test code]],[1]!Table1[[Test code]:[Test code]],[1]!Table1[Anode ICR/mOhm],"",0)</f>
        <v>#REF!</v>
      </c>
      <c r="AD223" s="69" t="e" cm="1">
        <f t="array" ref="AD223">_xlfn.XLOOKUP(Table1[[#This Row],[5 cm2 cell test code]:[5 cm2 cell test code]],[1]!Table1[[Test code]:[Test code]],[1]!Table1[HFR DIW/ mOhm cm2],"",0)</f>
        <v>#REF!</v>
      </c>
      <c r="AE223" s="69" t="e" cm="1">
        <f t="array" ref="AE223">_xlfn.XLOOKUP(Table1[[#This Row],[5 cm2 cell test code]:[5 cm2 cell test code]],[1]!Table1[[Test code]:[Test code]],[1]!Table1[HFR 10 mM KOH/ mOhm cm2],"",0)</f>
        <v>#REF!</v>
      </c>
      <c r="AF223" s="69" t="e" cm="1">
        <f t="array" ref="AF223">_xlfn.XLOOKUP(Table1[[#This Row],[5 cm2 cell test code]:[5 cm2 cell test code]],[1]!Table1[[Test code]:[Test code]],[1]!Table1[Ionic resistance DIW/Ohm cm2],"",0)</f>
        <v>#REF!</v>
      </c>
      <c r="AG223" s="69" t="e" cm="1">
        <f t="array" ref="AG223">_xlfn.XLOOKUP(Table1[[#This Row],[5 cm2 cell test code]:[5 cm2 cell test code]],[1]!Table1[[Test code]:[Test code]],[1]!Table1[Q_int_frac DIW],"",0)</f>
        <v>#REF!</v>
      </c>
      <c r="AH223" s="69" t="e" cm="1">
        <f t="array" ref="AH223">_xlfn.XLOOKUP(Table1[[#This Row],[5 cm2 cell test code]:[5 cm2 cell test code]],[1]!Table1[[Test code]:[Test code]],[1]!Table1[Ionic resistance 10 mM KOH/Ohm cm2],"",0)</f>
        <v>#REF!</v>
      </c>
      <c r="AI223" s="69" t="e" cm="1">
        <f t="array" ref="AI223">_xlfn.XLOOKUP(Table1[[#This Row],[5 cm2 cell test code]:[5 cm2 cell test code]],[1]!Table1[[Test code]:[Test code]],[1]!Table1[Q_int_frac DIW 10 mM KOH],"",0)</f>
        <v>#REF!</v>
      </c>
      <c r="AJ223" s="69" t="e" cm="1">
        <f t="array" ref="AJ223">_xlfn.XLOOKUP(Table1[[#This Row],[5 cm2 cell test code]:[5 cm2 cell test code]],[1]!Table1[[Test code]:[Test code]],[1]!Table1[DIW conductivity (µS/cm)],"",0)</f>
        <v>#REF!</v>
      </c>
      <c r="AQ223" s="4" t="str">
        <v>VSG01A-23255E1.01</v>
      </c>
    </row>
    <row r="224" spans="1:43">
      <c r="A224" s="81" t="s">
        <v>433</v>
      </c>
      <c r="B224" s="11" t="s">
        <v>434</v>
      </c>
      <c r="C224" s="4" t="s">
        <v>435</v>
      </c>
      <c r="I224" s="11" t="s">
        <v>114</v>
      </c>
      <c r="J224" s="11" t="s">
        <v>402</v>
      </c>
      <c r="K224" s="43" t="s">
        <v>59</v>
      </c>
      <c r="M224" s="13">
        <f>(62.09-61.89)*1000/(21.7*31.5)</f>
        <v>0.29259015434131058</v>
      </c>
      <c r="N224" s="13">
        <v>3.35</v>
      </c>
      <c r="Q224" s="4">
        <v>1.7149874771008024E-2</v>
      </c>
      <c r="R224" s="50">
        <v>1.22</v>
      </c>
      <c r="S224" s="50">
        <v>238.6</v>
      </c>
      <c r="T224" s="50">
        <v>33.159999999999997</v>
      </c>
      <c r="U224" s="101"/>
      <c r="V224" s="101"/>
      <c r="W224" s="69" t="e" cm="1">
        <f t="array" ref="W224">_xlfn.XLOOKUP(Table1[[#This Row],[5 cm2 cell test code]:[5 cm2 cell test code]],[1]!Table1[[Test code]:[Test code]],[1]!Table1[i @ 1.8 V DIW (A/cm2)],"",0)</f>
        <v>#REF!</v>
      </c>
      <c r="X224" s="69" t="e" cm="1">
        <f t="array" ref="X224">_xlfn.XLOOKUP(Table1[[#This Row],[5 cm2 cell test code]:[5 cm2 cell test code]],[1]!Table1[[Test code]:[Test code]],[1]!Table1[i @ 1.8 V 10 mM KOH (A/cm2)],"",0)</f>
        <v>#REF!</v>
      </c>
      <c r="Y224" s="69" t="e" cm="1">
        <f t="array" ref="Y224">_xlfn.XLOOKUP(Table1[[#This Row],[5 cm2 cell test code]:[5 cm2 cell test code]],[1]!Table1[[Test code]:[Test code]],[1]!Table1[3-E ƞ at 20mAcm-2 (mV)],"",0)</f>
        <v>#REF!</v>
      </c>
      <c r="Z224" s="69" t="e" cm="1">
        <f t="array" ref="Z224">_xlfn.XLOOKUP(Table1[[#This Row],[5 cm2 cell test code]:[5 cm2 cell test code]],[1]!Table1[[Test code]:[Test code]],[1]!Table1[3-E Tafel slope (mV/dec)],"",0)</f>
        <v>#REF!</v>
      </c>
      <c r="AA224" s="69" t="e" cm="1">
        <f t="array" ref="AA224">_xlfn.XLOOKUP(Table1[[#This Row],[5 cm2 cell test code]:[5 cm2 cell test code]],[1]!Table1[[Test code]:[Test code]],[1]!Table1[E @ 100 mA/cm2 DIW/V],"",0)</f>
        <v>#REF!</v>
      </c>
      <c r="AB224" s="69" t="e" cm="1">
        <f t="array" ref="AB224">_xlfn.XLOOKUP(Table1[[#This Row],[5 cm2 cell test code]:[5 cm2 cell test code]],[1]!Table1[[Test code]:[Test code]],[1]!Table1[E @ 100 mA/cm2 10 mM KOH/V],"",0)</f>
        <v>#REF!</v>
      </c>
      <c r="AC224" s="69" t="e" cm="1">
        <f t="array" ref="AC224">_xlfn.XLOOKUP(Table1[[#This Row],[5 cm2 cell test code]:[5 cm2 cell test code]],[1]!Table1[[Test code]:[Test code]],[1]!Table1[Anode ICR/mOhm],"",0)</f>
        <v>#REF!</v>
      </c>
      <c r="AD224" s="69" t="e" cm="1">
        <f t="array" ref="AD224">_xlfn.XLOOKUP(Table1[[#This Row],[5 cm2 cell test code]:[5 cm2 cell test code]],[1]!Table1[[Test code]:[Test code]],[1]!Table1[HFR DIW/ mOhm cm2],"",0)</f>
        <v>#REF!</v>
      </c>
      <c r="AE224" s="69" t="e" cm="1">
        <f t="array" ref="AE224">_xlfn.XLOOKUP(Table1[[#This Row],[5 cm2 cell test code]:[5 cm2 cell test code]],[1]!Table1[[Test code]:[Test code]],[1]!Table1[HFR 10 mM KOH/ mOhm cm2],"",0)</f>
        <v>#REF!</v>
      </c>
      <c r="AF224" s="69" t="e" cm="1">
        <f t="array" ref="AF224">_xlfn.XLOOKUP(Table1[[#This Row],[5 cm2 cell test code]:[5 cm2 cell test code]],[1]!Table1[[Test code]:[Test code]],[1]!Table1[Ionic resistance DIW/Ohm cm2],"",0)</f>
        <v>#REF!</v>
      </c>
      <c r="AG224" s="69" t="e" cm="1">
        <f t="array" ref="AG224">_xlfn.XLOOKUP(Table1[[#This Row],[5 cm2 cell test code]:[5 cm2 cell test code]],[1]!Table1[[Test code]:[Test code]],[1]!Table1[Q_int_frac DIW],"",0)</f>
        <v>#REF!</v>
      </c>
      <c r="AH224" s="69" t="e" cm="1">
        <f t="array" ref="AH224">_xlfn.XLOOKUP(Table1[[#This Row],[5 cm2 cell test code]:[5 cm2 cell test code]],[1]!Table1[[Test code]:[Test code]],[1]!Table1[Ionic resistance 10 mM KOH/Ohm cm2],"",0)</f>
        <v>#REF!</v>
      </c>
      <c r="AI224" s="69" t="e" cm="1">
        <f t="array" ref="AI224">_xlfn.XLOOKUP(Table1[[#This Row],[5 cm2 cell test code]:[5 cm2 cell test code]],[1]!Table1[[Test code]:[Test code]],[1]!Table1[Q_int_frac DIW 10 mM KOH],"",0)</f>
        <v>#REF!</v>
      </c>
      <c r="AJ224" s="69" t="e" cm="1">
        <f t="array" ref="AJ224">_xlfn.XLOOKUP(Table1[[#This Row],[5 cm2 cell test code]:[5 cm2 cell test code]],[1]!Table1[[Test code]:[Test code]],[1]!Table1[DIW conductivity (µS/cm)],"",0)</f>
        <v>#REF!</v>
      </c>
      <c r="AQ224" s="4" t="str">
        <v>VSG01A-23255E1.01-01</v>
      </c>
    </row>
    <row r="225" spans="1:54">
      <c r="A225" s="81"/>
      <c r="B225" s="11" t="s">
        <v>436</v>
      </c>
      <c r="C225" s="4" t="s">
        <v>437</v>
      </c>
      <c r="I225" s="11" t="s">
        <v>114</v>
      </c>
      <c r="J225" s="11" t="s">
        <v>402</v>
      </c>
      <c r="K225" s="43" t="s">
        <v>59</v>
      </c>
      <c r="P225" s="28">
        <f>(0.5503-0.5403)*1000/ (2.5 * 2.5)</f>
        <v>1.6000000000000014</v>
      </c>
      <c r="R225" s="50"/>
      <c r="S225" s="50"/>
      <c r="T225" s="50"/>
      <c r="U225" s="101"/>
      <c r="V225" s="101"/>
      <c r="W225" s="69" t="e" cm="1">
        <f t="array" ref="W225">_xlfn.XLOOKUP(Table1[[#This Row],[5 cm2 cell test code]:[5 cm2 cell test code]],[1]!Table1[[Test code]:[Test code]],[1]!Table1[i @ 1.8 V DIW (A/cm2)],"",0)</f>
        <v>#REF!</v>
      </c>
      <c r="X225" s="69" t="e" cm="1">
        <f t="array" ref="X225">_xlfn.XLOOKUP(Table1[[#This Row],[5 cm2 cell test code]:[5 cm2 cell test code]],[1]!Table1[[Test code]:[Test code]],[1]!Table1[i @ 1.8 V 10 mM KOH (A/cm2)],"",0)</f>
        <v>#REF!</v>
      </c>
      <c r="Y225" s="69" t="e" cm="1">
        <f t="array" ref="Y225">_xlfn.XLOOKUP(Table1[[#This Row],[5 cm2 cell test code]:[5 cm2 cell test code]],[1]!Table1[[Test code]:[Test code]],[1]!Table1[3-E ƞ at 20mAcm-2 (mV)],"",0)</f>
        <v>#REF!</v>
      </c>
      <c r="Z225" s="69" t="e" cm="1">
        <f t="array" ref="Z225">_xlfn.XLOOKUP(Table1[[#This Row],[5 cm2 cell test code]:[5 cm2 cell test code]],[1]!Table1[[Test code]:[Test code]],[1]!Table1[3-E Tafel slope (mV/dec)],"",0)</f>
        <v>#REF!</v>
      </c>
      <c r="AA225" s="69" t="e" cm="1">
        <f t="array" ref="AA225">_xlfn.XLOOKUP(Table1[[#This Row],[5 cm2 cell test code]:[5 cm2 cell test code]],[1]!Table1[[Test code]:[Test code]],[1]!Table1[E @ 100 mA/cm2 DIW/V],"",0)</f>
        <v>#REF!</v>
      </c>
      <c r="AB225" s="69" t="e" cm="1">
        <f t="array" ref="AB225">_xlfn.XLOOKUP(Table1[[#This Row],[5 cm2 cell test code]:[5 cm2 cell test code]],[1]!Table1[[Test code]:[Test code]],[1]!Table1[E @ 100 mA/cm2 10 mM KOH/V],"",0)</f>
        <v>#REF!</v>
      </c>
      <c r="AC225" s="69" t="e" cm="1">
        <f t="array" ref="AC225">_xlfn.XLOOKUP(Table1[[#This Row],[5 cm2 cell test code]:[5 cm2 cell test code]],[1]!Table1[[Test code]:[Test code]],[1]!Table1[Anode ICR/mOhm],"",0)</f>
        <v>#REF!</v>
      </c>
      <c r="AD225" s="69" t="e" cm="1">
        <f t="array" ref="AD225">_xlfn.XLOOKUP(Table1[[#This Row],[5 cm2 cell test code]:[5 cm2 cell test code]],[1]!Table1[[Test code]:[Test code]],[1]!Table1[HFR DIW/ mOhm cm2],"",0)</f>
        <v>#REF!</v>
      </c>
      <c r="AE225" s="69" t="e" cm="1">
        <f t="array" ref="AE225">_xlfn.XLOOKUP(Table1[[#This Row],[5 cm2 cell test code]:[5 cm2 cell test code]],[1]!Table1[[Test code]:[Test code]],[1]!Table1[HFR 10 mM KOH/ mOhm cm2],"",0)</f>
        <v>#REF!</v>
      </c>
      <c r="AF225" s="69" t="e" cm="1">
        <f t="array" ref="AF225">_xlfn.XLOOKUP(Table1[[#This Row],[5 cm2 cell test code]:[5 cm2 cell test code]],[1]!Table1[[Test code]:[Test code]],[1]!Table1[Ionic resistance DIW/Ohm cm2],"",0)</f>
        <v>#REF!</v>
      </c>
      <c r="AG225" s="69" t="e" cm="1">
        <f t="array" ref="AG225">_xlfn.XLOOKUP(Table1[[#This Row],[5 cm2 cell test code]:[5 cm2 cell test code]],[1]!Table1[[Test code]:[Test code]],[1]!Table1[Q_int_frac DIW],"",0)</f>
        <v>#REF!</v>
      </c>
      <c r="AH225" s="69" t="e" cm="1">
        <f t="array" ref="AH225">_xlfn.XLOOKUP(Table1[[#This Row],[5 cm2 cell test code]:[5 cm2 cell test code]],[1]!Table1[[Test code]:[Test code]],[1]!Table1[Ionic resistance 10 mM KOH/Ohm cm2],"",0)</f>
        <v>#REF!</v>
      </c>
      <c r="AI225" s="69" t="e" cm="1">
        <f t="array" ref="AI225">_xlfn.XLOOKUP(Table1[[#This Row],[5 cm2 cell test code]:[5 cm2 cell test code]],[1]!Table1[[Test code]:[Test code]],[1]!Table1[Q_int_frac DIW 10 mM KOH],"",0)</f>
        <v>#REF!</v>
      </c>
      <c r="AJ225" s="69" t="e" cm="1">
        <f t="array" ref="AJ225">_xlfn.XLOOKUP(Table1[[#This Row],[5 cm2 cell test code]:[5 cm2 cell test code]],[1]!Table1[[Test code]:[Test code]],[1]!Table1[DIW conductivity (µS/cm)],"",0)</f>
        <v>#REF!</v>
      </c>
      <c r="AQ225" s="4" t="str">
        <v>VSG01A-23255E1.01-02</v>
      </c>
    </row>
    <row r="226" spans="1:54">
      <c r="A226" s="81" t="s">
        <v>438</v>
      </c>
      <c r="B226" s="11" t="s">
        <v>439</v>
      </c>
      <c r="C226" s="4" t="s">
        <v>440</v>
      </c>
      <c r="I226" s="11" t="s">
        <v>383</v>
      </c>
      <c r="J226" s="11" t="s">
        <v>402</v>
      </c>
      <c r="K226" s="43" t="s">
        <v>59</v>
      </c>
      <c r="M226" s="13">
        <f>(32.185-32.38)*1000/(27.9*12.7)</f>
        <v>-0.55033443400220217</v>
      </c>
      <c r="N226" s="28">
        <v>3.3222222222222264</v>
      </c>
      <c r="O226" s="11" t="s">
        <v>441</v>
      </c>
      <c r="P226" s="28">
        <f>(31.3-30.94)*1000/(12.7*26.9)</f>
        <v>1.0537716242718715</v>
      </c>
      <c r="U226" s="101"/>
      <c r="V226" s="101"/>
      <c r="W226" s="69" t="e" cm="1">
        <f t="array" ref="W226">_xlfn.XLOOKUP(Table1[[#This Row],[5 cm2 cell test code]:[5 cm2 cell test code]],[1]!Table1[[Test code]:[Test code]],[1]!Table1[i @ 1.8 V DIW (A/cm2)],"",0)</f>
        <v>#REF!</v>
      </c>
      <c r="X226" s="69" t="e" cm="1">
        <f t="array" ref="X226">_xlfn.XLOOKUP(Table1[[#This Row],[5 cm2 cell test code]:[5 cm2 cell test code]],[1]!Table1[[Test code]:[Test code]],[1]!Table1[i @ 1.8 V 10 mM KOH (A/cm2)],"",0)</f>
        <v>#REF!</v>
      </c>
      <c r="Y226" s="69" t="e" cm="1">
        <f t="array" ref="Y226">_xlfn.XLOOKUP(Table1[[#This Row],[5 cm2 cell test code]:[5 cm2 cell test code]],[1]!Table1[[Test code]:[Test code]],[1]!Table1[3-E ƞ at 20mAcm-2 (mV)],"",0)</f>
        <v>#REF!</v>
      </c>
      <c r="Z226" s="69" t="e" cm="1">
        <f t="array" ref="Z226">_xlfn.XLOOKUP(Table1[[#This Row],[5 cm2 cell test code]:[5 cm2 cell test code]],[1]!Table1[[Test code]:[Test code]],[1]!Table1[3-E Tafel slope (mV/dec)],"",0)</f>
        <v>#REF!</v>
      </c>
      <c r="AA226" s="69" t="e" cm="1">
        <f t="array" ref="AA226">_xlfn.XLOOKUP(Table1[[#This Row],[5 cm2 cell test code]:[5 cm2 cell test code]],[1]!Table1[[Test code]:[Test code]],[1]!Table1[E @ 100 mA/cm2 DIW/V],"",0)</f>
        <v>#REF!</v>
      </c>
      <c r="AB226" s="69" t="e" cm="1">
        <f t="array" ref="AB226">_xlfn.XLOOKUP(Table1[[#This Row],[5 cm2 cell test code]:[5 cm2 cell test code]],[1]!Table1[[Test code]:[Test code]],[1]!Table1[E @ 100 mA/cm2 10 mM KOH/V],"",0)</f>
        <v>#REF!</v>
      </c>
      <c r="AC226" s="69" t="e" cm="1">
        <f t="array" ref="AC226">_xlfn.XLOOKUP(Table1[[#This Row],[5 cm2 cell test code]:[5 cm2 cell test code]],[1]!Table1[[Test code]:[Test code]],[1]!Table1[Anode ICR/mOhm],"",0)</f>
        <v>#REF!</v>
      </c>
      <c r="AD226" s="69" t="e" cm="1">
        <f t="array" ref="AD226">_xlfn.XLOOKUP(Table1[[#This Row],[5 cm2 cell test code]:[5 cm2 cell test code]],[1]!Table1[[Test code]:[Test code]],[1]!Table1[HFR DIW/ mOhm cm2],"",0)</f>
        <v>#REF!</v>
      </c>
      <c r="AE226" s="69" t="e" cm="1">
        <f t="array" ref="AE226">_xlfn.XLOOKUP(Table1[[#This Row],[5 cm2 cell test code]:[5 cm2 cell test code]],[1]!Table1[[Test code]:[Test code]],[1]!Table1[HFR 10 mM KOH/ mOhm cm2],"",0)</f>
        <v>#REF!</v>
      </c>
      <c r="AF226" s="69" t="e" cm="1">
        <f t="array" ref="AF226">_xlfn.XLOOKUP(Table1[[#This Row],[5 cm2 cell test code]:[5 cm2 cell test code]],[1]!Table1[[Test code]:[Test code]],[1]!Table1[Ionic resistance DIW/Ohm cm2],"",0)</f>
        <v>#REF!</v>
      </c>
      <c r="AG226" s="69" t="e" cm="1">
        <f t="array" ref="AG226">_xlfn.XLOOKUP(Table1[[#This Row],[5 cm2 cell test code]:[5 cm2 cell test code]],[1]!Table1[[Test code]:[Test code]],[1]!Table1[Q_int_frac DIW],"",0)</f>
        <v>#REF!</v>
      </c>
      <c r="AH226" s="69" t="e" cm="1">
        <f t="array" ref="AH226">_xlfn.XLOOKUP(Table1[[#This Row],[5 cm2 cell test code]:[5 cm2 cell test code]],[1]!Table1[[Test code]:[Test code]],[1]!Table1[Ionic resistance 10 mM KOH/Ohm cm2],"",0)</f>
        <v>#REF!</v>
      </c>
      <c r="AI226" s="69" t="e" cm="1">
        <f t="array" ref="AI226">_xlfn.XLOOKUP(Table1[[#This Row],[5 cm2 cell test code]:[5 cm2 cell test code]],[1]!Table1[[Test code]:[Test code]],[1]!Table1[Q_int_frac DIW 10 mM KOH],"",0)</f>
        <v>#REF!</v>
      </c>
      <c r="AJ226" s="69" t="e" cm="1">
        <f t="array" ref="AJ226">_xlfn.XLOOKUP(Table1[[#This Row],[5 cm2 cell test code]:[5 cm2 cell test code]],[1]!Table1[[Test code]:[Test code]],[1]!Table1[DIW conductivity (µS/cm)],"",0)</f>
        <v>#REF!</v>
      </c>
      <c r="AQ226" s="4" t="str">
        <v>VSG01A-23255E1.02</v>
      </c>
    </row>
    <row r="227" spans="1:54">
      <c r="A227" s="81" t="s">
        <v>442</v>
      </c>
      <c r="B227" s="11" t="s">
        <v>443</v>
      </c>
      <c r="C227" s="4" t="s">
        <v>444</v>
      </c>
      <c r="I227" s="11" t="s">
        <v>383</v>
      </c>
      <c r="J227" s="11" t="s">
        <v>402</v>
      </c>
      <c r="K227" s="43" t="s">
        <v>59</v>
      </c>
      <c r="M227" s="13">
        <f>(37.32-37.23)*1000/(14.66*27.49)</f>
        <v>0.22332317791860667</v>
      </c>
      <c r="N227" s="28">
        <v>3.1694444444444394</v>
      </c>
      <c r="O227" s="11" t="s">
        <v>445</v>
      </c>
      <c r="P227" s="28">
        <f>(35.43-34.92)*1000/(14.66*26.49)</f>
        <v>1.3132706774468115</v>
      </c>
      <c r="U227" s="101"/>
      <c r="V227" s="101"/>
      <c r="W227" s="69" t="e" cm="1">
        <f t="array" ref="W227">_xlfn.XLOOKUP(Table1[[#This Row],[5 cm2 cell test code]:[5 cm2 cell test code]],[1]!Table1[[Test code]:[Test code]],[1]!Table1[i @ 1.8 V DIW (A/cm2)],"",0)</f>
        <v>#REF!</v>
      </c>
      <c r="X227" s="69" t="e" cm="1">
        <f t="array" ref="X227">_xlfn.XLOOKUP(Table1[[#This Row],[5 cm2 cell test code]:[5 cm2 cell test code]],[1]!Table1[[Test code]:[Test code]],[1]!Table1[i @ 1.8 V 10 mM KOH (A/cm2)],"",0)</f>
        <v>#REF!</v>
      </c>
      <c r="Y227" s="69" t="e" cm="1">
        <f t="array" ref="Y227">_xlfn.XLOOKUP(Table1[[#This Row],[5 cm2 cell test code]:[5 cm2 cell test code]],[1]!Table1[[Test code]:[Test code]],[1]!Table1[3-E ƞ at 20mAcm-2 (mV)],"",0)</f>
        <v>#REF!</v>
      </c>
      <c r="Z227" s="69" t="e" cm="1">
        <f t="array" ref="Z227">_xlfn.XLOOKUP(Table1[[#This Row],[5 cm2 cell test code]:[5 cm2 cell test code]],[1]!Table1[[Test code]:[Test code]],[1]!Table1[3-E Tafel slope (mV/dec)],"",0)</f>
        <v>#REF!</v>
      </c>
      <c r="AA227" s="69" t="e" cm="1">
        <f t="array" ref="AA227">_xlfn.XLOOKUP(Table1[[#This Row],[5 cm2 cell test code]:[5 cm2 cell test code]],[1]!Table1[[Test code]:[Test code]],[1]!Table1[E @ 100 mA/cm2 DIW/V],"",0)</f>
        <v>#REF!</v>
      </c>
      <c r="AB227" s="69" t="e" cm="1">
        <f t="array" ref="AB227">_xlfn.XLOOKUP(Table1[[#This Row],[5 cm2 cell test code]:[5 cm2 cell test code]],[1]!Table1[[Test code]:[Test code]],[1]!Table1[E @ 100 mA/cm2 10 mM KOH/V],"",0)</f>
        <v>#REF!</v>
      </c>
      <c r="AC227" s="69" t="e" cm="1">
        <f t="array" ref="AC227">_xlfn.XLOOKUP(Table1[[#This Row],[5 cm2 cell test code]:[5 cm2 cell test code]],[1]!Table1[[Test code]:[Test code]],[1]!Table1[Anode ICR/mOhm],"",0)</f>
        <v>#REF!</v>
      </c>
      <c r="AD227" s="69" t="e" cm="1">
        <f t="array" ref="AD227">_xlfn.XLOOKUP(Table1[[#This Row],[5 cm2 cell test code]:[5 cm2 cell test code]],[1]!Table1[[Test code]:[Test code]],[1]!Table1[HFR DIW/ mOhm cm2],"",0)</f>
        <v>#REF!</v>
      </c>
      <c r="AE227" s="69" t="e" cm="1">
        <f t="array" ref="AE227">_xlfn.XLOOKUP(Table1[[#This Row],[5 cm2 cell test code]:[5 cm2 cell test code]],[1]!Table1[[Test code]:[Test code]],[1]!Table1[HFR 10 mM KOH/ mOhm cm2],"",0)</f>
        <v>#REF!</v>
      </c>
      <c r="AF227" s="69" t="e" cm="1">
        <f t="array" ref="AF227">_xlfn.XLOOKUP(Table1[[#This Row],[5 cm2 cell test code]:[5 cm2 cell test code]],[1]!Table1[[Test code]:[Test code]],[1]!Table1[Ionic resistance DIW/Ohm cm2],"",0)</f>
        <v>#REF!</v>
      </c>
      <c r="AG227" s="69" t="e" cm="1">
        <f t="array" ref="AG227">_xlfn.XLOOKUP(Table1[[#This Row],[5 cm2 cell test code]:[5 cm2 cell test code]],[1]!Table1[[Test code]:[Test code]],[1]!Table1[Q_int_frac DIW],"",0)</f>
        <v>#REF!</v>
      </c>
      <c r="AH227" s="69" t="e" cm="1">
        <f t="array" ref="AH227">_xlfn.XLOOKUP(Table1[[#This Row],[5 cm2 cell test code]:[5 cm2 cell test code]],[1]!Table1[[Test code]:[Test code]],[1]!Table1[Ionic resistance 10 mM KOH/Ohm cm2],"",0)</f>
        <v>#REF!</v>
      </c>
      <c r="AI227" s="69" t="e" cm="1">
        <f t="array" ref="AI227">_xlfn.XLOOKUP(Table1[[#This Row],[5 cm2 cell test code]:[5 cm2 cell test code]],[1]!Table1[[Test code]:[Test code]],[1]!Table1[Q_int_frac DIW 10 mM KOH],"",0)</f>
        <v>#REF!</v>
      </c>
      <c r="AJ227" s="69" t="e" cm="1">
        <f t="array" ref="AJ227">_xlfn.XLOOKUP(Table1[[#This Row],[5 cm2 cell test code]:[5 cm2 cell test code]],[1]!Table1[[Test code]:[Test code]],[1]!Table1[DIW conductivity (µS/cm)],"",0)</f>
        <v>#REF!</v>
      </c>
      <c r="AQ227" s="4" t="str">
        <v>VSG01A-23255E1.02-01</v>
      </c>
    </row>
    <row r="228" spans="1:54">
      <c r="A228" s="81" t="s">
        <v>446</v>
      </c>
      <c r="B228" s="11" t="s">
        <v>447</v>
      </c>
      <c r="C228" s="4" t="s">
        <v>448</v>
      </c>
      <c r="I228" s="11" t="s">
        <v>383</v>
      </c>
      <c r="J228" s="11" t="s">
        <v>402</v>
      </c>
      <c r="K228" s="43" t="s">
        <v>59</v>
      </c>
      <c r="M228" s="13">
        <f>(41.62-41.91)*1000/(15.9*29.1)</f>
        <v>-0.62676954332274115</v>
      </c>
      <c r="N228" s="28">
        <v>4.613333333333328</v>
      </c>
      <c r="O228" s="11" t="s">
        <v>449</v>
      </c>
      <c r="P228" s="28">
        <f>(40.81-40.2)*1000/(28.1*15.9)</f>
        <v>1.3652946574453309</v>
      </c>
      <c r="U228" s="101"/>
      <c r="V228" s="101"/>
      <c r="W228" s="69" t="e" cm="1">
        <f t="array" ref="W228">_xlfn.XLOOKUP(Table1[[#This Row],[5 cm2 cell test code]:[5 cm2 cell test code]],[1]!Table1[[Test code]:[Test code]],[1]!Table1[i @ 1.8 V DIW (A/cm2)],"",0)</f>
        <v>#REF!</v>
      </c>
      <c r="X228" s="69" t="e" cm="1">
        <f t="array" ref="X228">_xlfn.XLOOKUP(Table1[[#This Row],[5 cm2 cell test code]:[5 cm2 cell test code]],[1]!Table1[[Test code]:[Test code]],[1]!Table1[i @ 1.8 V 10 mM KOH (A/cm2)],"",0)</f>
        <v>#REF!</v>
      </c>
      <c r="Y228" s="69" t="e" cm="1">
        <f t="array" ref="Y228">_xlfn.XLOOKUP(Table1[[#This Row],[5 cm2 cell test code]:[5 cm2 cell test code]],[1]!Table1[[Test code]:[Test code]],[1]!Table1[3-E ƞ at 20mAcm-2 (mV)],"",0)</f>
        <v>#REF!</v>
      </c>
      <c r="Z228" s="69" t="e" cm="1">
        <f t="array" ref="Z228">_xlfn.XLOOKUP(Table1[[#This Row],[5 cm2 cell test code]:[5 cm2 cell test code]],[1]!Table1[[Test code]:[Test code]],[1]!Table1[3-E Tafel slope (mV/dec)],"",0)</f>
        <v>#REF!</v>
      </c>
      <c r="AA228" s="69" t="e" cm="1">
        <f t="array" ref="AA228">_xlfn.XLOOKUP(Table1[[#This Row],[5 cm2 cell test code]:[5 cm2 cell test code]],[1]!Table1[[Test code]:[Test code]],[1]!Table1[E @ 100 mA/cm2 DIW/V],"",0)</f>
        <v>#REF!</v>
      </c>
      <c r="AB228" s="69" t="e" cm="1">
        <f t="array" ref="AB228">_xlfn.XLOOKUP(Table1[[#This Row],[5 cm2 cell test code]:[5 cm2 cell test code]],[1]!Table1[[Test code]:[Test code]],[1]!Table1[E @ 100 mA/cm2 10 mM KOH/V],"",0)</f>
        <v>#REF!</v>
      </c>
      <c r="AC228" s="69" t="e" cm="1">
        <f t="array" ref="AC228">_xlfn.XLOOKUP(Table1[[#This Row],[5 cm2 cell test code]:[5 cm2 cell test code]],[1]!Table1[[Test code]:[Test code]],[1]!Table1[Anode ICR/mOhm],"",0)</f>
        <v>#REF!</v>
      </c>
      <c r="AD228" s="69" t="e" cm="1">
        <f t="array" ref="AD228">_xlfn.XLOOKUP(Table1[[#This Row],[5 cm2 cell test code]:[5 cm2 cell test code]],[1]!Table1[[Test code]:[Test code]],[1]!Table1[HFR DIW/ mOhm cm2],"",0)</f>
        <v>#REF!</v>
      </c>
      <c r="AE228" s="69" t="e" cm="1">
        <f t="array" ref="AE228">_xlfn.XLOOKUP(Table1[[#This Row],[5 cm2 cell test code]:[5 cm2 cell test code]],[1]!Table1[[Test code]:[Test code]],[1]!Table1[HFR 10 mM KOH/ mOhm cm2],"",0)</f>
        <v>#REF!</v>
      </c>
      <c r="AF228" s="69" t="e" cm="1">
        <f t="array" ref="AF228">_xlfn.XLOOKUP(Table1[[#This Row],[5 cm2 cell test code]:[5 cm2 cell test code]],[1]!Table1[[Test code]:[Test code]],[1]!Table1[Ionic resistance DIW/Ohm cm2],"",0)</f>
        <v>#REF!</v>
      </c>
      <c r="AG228" s="69" t="e" cm="1">
        <f t="array" ref="AG228">_xlfn.XLOOKUP(Table1[[#This Row],[5 cm2 cell test code]:[5 cm2 cell test code]],[1]!Table1[[Test code]:[Test code]],[1]!Table1[Q_int_frac DIW],"",0)</f>
        <v>#REF!</v>
      </c>
      <c r="AH228" s="69" t="e" cm="1">
        <f t="array" ref="AH228">_xlfn.XLOOKUP(Table1[[#This Row],[5 cm2 cell test code]:[5 cm2 cell test code]],[1]!Table1[[Test code]:[Test code]],[1]!Table1[Ionic resistance 10 mM KOH/Ohm cm2],"",0)</f>
        <v>#REF!</v>
      </c>
      <c r="AI228" s="69" t="e" cm="1">
        <f t="array" ref="AI228">_xlfn.XLOOKUP(Table1[[#This Row],[5 cm2 cell test code]:[5 cm2 cell test code]],[1]!Table1[[Test code]:[Test code]],[1]!Table1[Q_int_frac DIW 10 mM KOH],"",0)</f>
        <v>#REF!</v>
      </c>
      <c r="AJ228" s="69" t="e" cm="1">
        <f t="array" ref="AJ228">_xlfn.XLOOKUP(Table1[[#This Row],[5 cm2 cell test code]:[5 cm2 cell test code]],[1]!Table1[[Test code]:[Test code]],[1]!Table1[DIW conductivity (µS/cm)],"",0)</f>
        <v>#REF!</v>
      </c>
      <c r="AQ228" s="4" t="str">
        <v>VSG01A-23255E1.02-02</v>
      </c>
    </row>
    <row r="229" spans="1:54">
      <c r="A229" s="81" t="s">
        <v>450</v>
      </c>
      <c r="B229" s="11" t="s">
        <v>451</v>
      </c>
      <c r="C229" s="4" t="s">
        <v>452</v>
      </c>
      <c r="I229" s="11" t="s">
        <v>114</v>
      </c>
      <c r="J229" s="11" t="s">
        <v>402</v>
      </c>
      <c r="K229" s="43" t="s">
        <v>59</v>
      </c>
      <c r="M229" s="13">
        <f>(62.9-62.56)*1000/(31.7*21.6)</f>
        <v>0.4965533356700495</v>
      </c>
      <c r="N229" s="28">
        <v>3.927</v>
      </c>
      <c r="O229" s="40" t="s">
        <v>453</v>
      </c>
      <c r="P229" s="28">
        <v>1.196</v>
      </c>
      <c r="U229" s="101"/>
      <c r="V229" s="101"/>
      <c r="W229" s="69" t="e" cm="1">
        <f t="array" ref="W229">_xlfn.XLOOKUP(Table1[[#This Row],[5 cm2 cell test code]:[5 cm2 cell test code]],[1]!Table1[[Test code]:[Test code]],[1]!Table1[i @ 1.8 V DIW (A/cm2)],"",0)</f>
        <v>#REF!</v>
      </c>
      <c r="X229" s="69" t="e" cm="1">
        <f t="array" ref="X229">_xlfn.XLOOKUP(Table1[[#This Row],[5 cm2 cell test code]:[5 cm2 cell test code]],[1]!Table1[[Test code]:[Test code]],[1]!Table1[i @ 1.8 V 10 mM KOH (A/cm2)],"",0)</f>
        <v>#REF!</v>
      </c>
      <c r="Y229" s="69" t="e" cm="1">
        <f t="array" ref="Y229">_xlfn.XLOOKUP(Table1[[#This Row],[5 cm2 cell test code]:[5 cm2 cell test code]],[1]!Table1[[Test code]:[Test code]],[1]!Table1[3-E ƞ at 20mAcm-2 (mV)],"",0)</f>
        <v>#REF!</v>
      </c>
      <c r="Z229" s="69" t="e" cm="1">
        <f t="array" ref="Z229">_xlfn.XLOOKUP(Table1[[#This Row],[5 cm2 cell test code]:[5 cm2 cell test code]],[1]!Table1[[Test code]:[Test code]],[1]!Table1[3-E Tafel slope (mV/dec)],"",0)</f>
        <v>#REF!</v>
      </c>
      <c r="AA229" s="69" t="e" cm="1">
        <f t="array" ref="AA229">_xlfn.XLOOKUP(Table1[[#This Row],[5 cm2 cell test code]:[5 cm2 cell test code]],[1]!Table1[[Test code]:[Test code]],[1]!Table1[E @ 100 mA/cm2 DIW/V],"",0)</f>
        <v>#REF!</v>
      </c>
      <c r="AB229" s="69" t="e" cm="1">
        <f t="array" ref="AB229">_xlfn.XLOOKUP(Table1[[#This Row],[5 cm2 cell test code]:[5 cm2 cell test code]],[1]!Table1[[Test code]:[Test code]],[1]!Table1[E @ 100 mA/cm2 10 mM KOH/V],"",0)</f>
        <v>#REF!</v>
      </c>
      <c r="AC229" s="69" t="e" cm="1">
        <f t="array" ref="AC229">_xlfn.XLOOKUP(Table1[[#This Row],[5 cm2 cell test code]:[5 cm2 cell test code]],[1]!Table1[[Test code]:[Test code]],[1]!Table1[Anode ICR/mOhm],"",0)</f>
        <v>#REF!</v>
      </c>
      <c r="AD229" s="69" t="e" cm="1">
        <f t="array" ref="AD229">_xlfn.XLOOKUP(Table1[[#This Row],[5 cm2 cell test code]:[5 cm2 cell test code]],[1]!Table1[[Test code]:[Test code]],[1]!Table1[HFR DIW/ mOhm cm2],"",0)</f>
        <v>#REF!</v>
      </c>
      <c r="AE229" s="69" t="e" cm="1">
        <f t="array" ref="AE229">_xlfn.XLOOKUP(Table1[[#This Row],[5 cm2 cell test code]:[5 cm2 cell test code]],[1]!Table1[[Test code]:[Test code]],[1]!Table1[HFR 10 mM KOH/ mOhm cm2],"",0)</f>
        <v>#REF!</v>
      </c>
      <c r="AF229" s="69" t="e" cm="1">
        <f t="array" ref="AF229">_xlfn.XLOOKUP(Table1[[#This Row],[5 cm2 cell test code]:[5 cm2 cell test code]],[1]!Table1[[Test code]:[Test code]],[1]!Table1[Ionic resistance DIW/Ohm cm2],"",0)</f>
        <v>#REF!</v>
      </c>
      <c r="AG229" s="69" t="e" cm="1">
        <f t="array" ref="AG229">_xlfn.XLOOKUP(Table1[[#This Row],[5 cm2 cell test code]:[5 cm2 cell test code]],[1]!Table1[[Test code]:[Test code]],[1]!Table1[Q_int_frac DIW],"",0)</f>
        <v>#REF!</v>
      </c>
      <c r="AH229" s="69" t="e" cm="1">
        <f t="array" ref="AH229">_xlfn.XLOOKUP(Table1[[#This Row],[5 cm2 cell test code]:[5 cm2 cell test code]],[1]!Table1[[Test code]:[Test code]],[1]!Table1[Ionic resistance 10 mM KOH/Ohm cm2],"",0)</f>
        <v>#REF!</v>
      </c>
      <c r="AI229" s="69" t="e" cm="1">
        <f t="array" ref="AI229">_xlfn.XLOOKUP(Table1[[#This Row],[5 cm2 cell test code]:[5 cm2 cell test code]],[1]!Table1[[Test code]:[Test code]],[1]!Table1[Q_int_frac DIW 10 mM KOH],"",0)</f>
        <v>#REF!</v>
      </c>
      <c r="AJ229" s="69" t="e" cm="1">
        <f t="array" ref="AJ229">_xlfn.XLOOKUP(Table1[[#This Row],[5 cm2 cell test code]:[5 cm2 cell test code]],[1]!Table1[[Test code]:[Test code]],[1]!Table1[DIW conductivity (µS/cm)],"",0)</f>
        <v>#REF!</v>
      </c>
      <c r="AQ229" s="4" t="str">
        <v>VSG01A-23256E1.01</v>
      </c>
    </row>
    <row r="230" spans="1:54">
      <c r="A230" s="81"/>
      <c r="B230" s="11" t="s">
        <v>454</v>
      </c>
      <c r="C230" s="4" t="s">
        <v>455</v>
      </c>
      <c r="K230" s="43" t="s">
        <v>59</v>
      </c>
      <c r="N230" s="28"/>
      <c r="U230" s="101"/>
      <c r="V230" s="101"/>
      <c r="W230" s="69" t="e" cm="1">
        <f t="array" ref="W230">_xlfn.XLOOKUP(Table1[[#This Row],[5 cm2 cell test code]:[5 cm2 cell test code]],[1]!Table1[[Test code]:[Test code]],[1]!Table1[i @ 1.8 V DIW (A/cm2)],"",0)</f>
        <v>#REF!</v>
      </c>
      <c r="X230" s="69" t="e" cm="1">
        <f t="array" ref="X230">_xlfn.XLOOKUP(Table1[[#This Row],[5 cm2 cell test code]:[5 cm2 cell test code]],[1]!Table1[[Test code]:[Test code]],[1]!Table1[i @ 1.8 V 10 mM KOH (A/cm2)],"",0)</f>
        <v>#REF!</v>
      </c>
      <c r="Y230" s="69" t="e" cm="1">
        <f t="array" ref="Y230">_xlfn.XLOOKUP(Table1[[#This Row],[5 cm2 cell test code]:[5 cm2 cell test code]],[1]!Table1[[Test code]:[Test code]],[1]!Table1[3-E ƞ at 20mAcm-2 (mV)],"",0)</f>
        <v>#REF!</v>
      </c>
      <c r="Z230" s="69" t="e" cm="1">
        <f t="array" ref="Z230">_xlfn.XLOOKUP(Table1[[#This Row],[5 cm2 cell test code]:[5 cm2 cell test code]],[1]!Table1[[Test code]:[Test code]],[1]!Table1[3-E Tafel slope (mV/dec)],"",0)</f>
        <v>#REF!</v>
      </c>
      <c r="AA230" s="69" t="e" cm="1">
        <f t="array" ref="AA230">_xlfn.XLOOKUP(Table1[[#This Row],[5 cm2 cell test code]:[5 cm2 cell test code]],[1]!Table1[[Test code]:[Test code]],[1]!Table1[E @ 100 mA/cm2 DIW/V],"",0)</f>
        <v>#REF!</v>
      </c>
      <c r="AB230" s="69" t="e" cm="1">
        <f t="array" ref="AB230">_xlfn.XLOOKUP(Table1[[#This Row],[5 cm2 cell test code]:[5 cm2 cell test code]],[1]!Table1[[Test code]:[Test code]],[1]!Table1[E @ 100 mA/cm2 10 mM KOH/V],"",0)</f>
        <v>#REF!</v>
      </c>
      <c r="AC230" s="69" t="e" cm="1">
        <f t="array" ref="AC230">_xlfn.XLOOKUP(Table1[[#This Row],[5 cm2 cell test code]:[5 cm2 cell test code]],[1]!Table1[[Test code]:[Test code]],[1]!Table1[Anode ICR/mOhm],"",0)</f>
        <v>#REF!</v>
      </c>
      <c r="AD230" s="69" t="e" cm="1">
        <f t="array" ref="AD230">_xlfn.XLOOKUP(Table1[[#This Row],[5 cm2 cell test code]:[5 cm2 cell test code]],[1]!Table1[[Test code]:[Test code]],[1]!Table1[HFR DIW/ mOhm cm2],"",0)</f>
        <v>#REF!</v>
      </c>
      <c r="AE230" s="69" t="e" cm="1">
        <f t="array" ref="AE230">_xlfn.XLOOKUP(Table1[[#This Row],[5 cm2 cell test code]:[5 cm2 cell test code]],[1]!Table1[[Test code]:[Test code]],[1]!Table1[HFR 10 mM KOH/ mOhm cm2],"",0)</f>
        <v>#REF!</v>
      </c>
      <c r="AF230" s="69" t="e" cm="1">
        <f t="array" ref="AF230">_xlfn.XLOOKUP(Table1[[#This Row],[5 cm2 cell test code]:[5 cm2 cell test code]],[1]!Table1[[Test code]:[Test code]],[1]!Table1[Ionic resistance DIW/Ohm cm2],"",0)</f>
        <v>#REF!</v>
      </c>
      <c r="AG230" s="69" t="e" cm="1">
        <f t="array" ref="AG230">_xlfn.XLOOKUP(Table1[[#This Row],[5 cm2 cell test code]:[5 cm2 cell test code]],[1]!Table1[[Test code]:[Test code]],[1]!Table1[Q_int_frac DIW],"",0)</f>
        <v>#REF!</v>
      </c>
      <c r="AH230" s="69" t="e" cm="1">
        <f t="array" ref="AH230">_xlfn.XLOOKUP(Table1[[#This Row],[5 cm2 cell test code]:[5 cm2 cell test code]],[1]!Table1[[Test code]:[Test code]],[1]!Table1[Ionic resistance 10 mM KOH/Ohm cm2],"",0)</f>
        <v>#REF!</v>
      </c>
      <c r="AI230" s="69" t="e" cm="1">
        <f t="array" ref="AI230">_xlfn.XLOOKUP(Table1[[#This Row],[5 cm2 cell test code]:[5 cm2 cell test code]],[1]!Table1[[Test code]:[Test code]],[1]!Table1[Q_int_frac DIW 10 mM KOH],"",0)</f>
        <v>#REF!</v>
      </c>
      <c r="AJ230" s="69" t="e" cm="1">
        <f t="array" ref="AJ230">_xlfn.XLOOKUP(Table1[[#This Row],[5 cm2 cell test code]:[5 cm2 cell test code]],[1]!Table1[[Test code]:[Test code]],[1]!Table1[DIW conductivity (µS/cm)],"",0)</f>
        <v>#REF!</v>
      </c>
      <c r="AQ230" s="4" t="str">
        <v>VSG01A-23256E1.02</v>
      </c>
      <c r="BB230" s="96"/>
    </row>
    <row r="231" spans="1:54">
      <c r="A231" s="81"/>
      <c r="B231" s="11" t="s">
        <v>456</v>
      </c>
      <c r="C231" s="4" t="s">
        <v>455</v>
      </c>
      <c r="K231" s="43" t="s">
        <v>59</v>
      </c>
      <c r="N231" s="28"/>
      <c r="R231" s="50">
        <v>1.0840000000000001</v>
      </c>
      <c r="S231" s="50">
        <v>228</v>
      </c>
      <c r="T231" s="50">
        <v>34.549999999999997</v>
      </c>
      <c r="U231" s="101"/>
      <c r="V231" s="101"/>
      <c r="W231" s="69" t="e" cm="1">
        <f t="array" ref="W231">_xlfn.XLOOKUP(Table1[[#This Row],[5 cm2 cell test code]:[5 cm2 cell test code]],[1]!Table1[[Test code]:[Test code]],[1]!Table1[i @ 1.8 V DIW (A/cm2)],"",0)</f>
        <v>#REF!</v>
      </c>
      <c r="X231" s="69" t="e" cm="1">
        <f t="array" ref="X231">_xlfn.XLOOKUP(Table1[[#This Row],[5 cm2 cell test code]:[5 cm2 cell test code]],[1]!Table1[[Test code]:[Test code]],[1]!Table1[i @ 1.8 V 10 mM KOH (A/cm2)],"",0)</f>
        <v>#REF!</v>
      </c>
      <c r="Y231" s="69" t="e" cm="1">
        <f t="array" ref="Y231">_xlfn.XLOOKUP(Table1[[#This Row],[5 cm2 cell test code]:[5 cm2 cell test code]],[1]!Table1[[Test code]:[Test code]],[1]!Table1[3-E ƞ at 20mAcm-2 (mV)],"",0)</f>
        <v>#REF!</v>
      </c>
      <c r="Z231" s="69" t="e" cm="1">
        <f t="array" ref="Z231">_xlfn.XLOOKUP(Table1[[#This Row],[5 cm2 cell test code]:[5 cm2 cell test code]],[1]!Table1[[Test code]:[Test code]],[1]!Table1[3-E Tafel slope (mV/dec)],"",0)</f>
        <v>#REF!</v>
      </c>
      <c r="AA231" s="69" t="e" cm="1">
        <f t="array" ref="AA231">_xlfn.XLOOKUP(Table1[[#This Row],[5 cm2 cell test code]:[5 cm2 cell test code]],[1]!Table1[[Test code]:[Test code]],[1]!Table1[E @ 100 mA/cm2 DIW/V],"",0)</f>
        <v>#REF!</v>
      </c>
      <c r="AB231" s="69" t="e" cm="1">
        <f t="array" ref="AB231">_xlfn.XLOOKUP(Table1[[#This Row],[5 cm2 cell test code]:[5 cm2 cell test code]],[1]!Table1[[Test code]:[Test code]],[1]!Table1[E @ 100 mA/cm2 10 mM KOH/V],"",0)</f>
        <v>#REF!</v>
      </c>
      <c r="AC231" s="69" t="e" cm="1">
        <f t="array" ref="AC231">_xlfn.XLOOKUP(Table1[[#This Row],[5 cm2 cell test code]:[5 cm2 cell test code]],[1]!Table1[[Test code]:[Test code]],[1]!Table1[Anode ICR/mOhm],"",0)</f>
        <v>#REF!</v>
      </c>
      <c r="AD231" s="69" t="e" cm="1">
        <f t="array" ref="AD231">_xlfn.XLOOKUP(Table1[[#This Row],[5 cm2 cell test code]:[5 cm2 cell test code]],[1]!Table1[[Test code]:[Test code]],[1]!Table1[HFR DIW/ mOhm cm2],"",0)</f>
        <v>#REF!</v>
      </c>
      <c r="AE231" s="69" t="e" cm="1">
        <f t="array" ref="AE231">_xlfn.XLOOKUP(Table1[[#This Row],[5 cm2 cell test code]:[5 cm2 cell test code]],[1]!Table1[[Test code]:[Test code]],[1]!Table1[HFR 10 mM KOH/ mOhm cm2],"",0)</f>
        <v>#REF!</v>
      </c>
      <c r="AF231" s="69" t="e" cm="1">
        <f t="array" ref="AF231">_xlfn.XLOOKUP(Table1[[#This Row],[5 cm2 cell test code]:[5 cm2 cell test code]],[1]!Table1[[Test code]:[Test code]],[1]!Table1[Ionic resistance DIW/Ohm cm2],"",0)</f>
        <v>#REF!</v>
      </c>
      <c r="AG231" s="69" t="e" cm="1">
        <f t="array" ref="AG231">_xlfn.XLOOKUP(Table1[[#This Row],[5 cm2 cell test code]:[5 cm2 cell test code]],[1]!Table1[[Test code]:[Test code]],[1]!Table1[Q_int_frac DIW],"",0)</f>
        <v>#REF!</v>
      </c>
      <c r="AH231" s="69" t="e" cm="1">
        <f t="array" ref="AH231">_xlfn.XLOOKUP(Table1[[#This Row],[5 cm2 cell test code]:[5 cm2 cell test code]],[1]!Table1[[Test code]:[Test code]],[1]!Table1[Ionic resistance 10 mM KOH/Ohm cm2],"",0)</f>
        <v>#REF!</v>
      </c>
      <c r="AI231" s="69" t="e" cm="1">
        <f t="array" ref="AI231">_xlfn.XLOOKUP(Table1[[#This Row],[5 cm2 cell test code]:[5 cm2 cell test code]],[1]!Table1[[Test code]:[Test code]],[1]!Table1[Q_int_frac DIW 10 mM KOH],"",0)</f>
        <v>#REF!</v>
      </c>
      <c r="AJ231" s="69" t="e" cm="1">
        <f t="array" ref="AJ231">_xlfn.XLOOKUP(Table1[[#This Row],[5 cm2 cell test code]:[5 cm2 cell test code]],[1]!Table1[[Test code]:[Test code]],[1]!Table1[DIW conductivity (µS/cm)],"",0)</f>
        <v>#REF!</v>
      </c>
      <c r="AQ231" s="4" t="str">
        <v>VSG01A-23256E1.03</v>
      </c>
    </row>
    <row r="232" spans="1:54">
      <c r="A232" s="81" t="s">
        <v>457</v>
      </c>
      <c r="B232" s="11" t="s">
        <v>458</v>
      </c>
      <c r="C232" s="4" t="s">
        <v>459</v>
      </c>
      <c r="I232" s="11" t="s">
        <v>114</v>
      </c>
      <c r="J232" s="11" t="s">
        <v>402</v>
      </c>
      <c r="K232" s="43" t="s">
        <v>59</v>
      </c>
      <c r="M232" s="13">
        <f>(62.42-62.34)*1000/(32.2*21.6)</f>
        <v>0.11502185415228647</v>
      </c>
      <c r="O232" s="11" t="s">
        <v>449</v>
      </c>
      <c r="U232" s="101"/>
      <c r="V232" s="101"/>
      <c r="W232" s="69" t="e" cm="1">
        <f t="array" ref="W232">_xlfn.XLOOKUP(Table1[[#This Row],[5 cm2 cell test code]:[5 cm2 cell test code]],[1]!Table1[[Test code]:[Test code]],[1]!Table1[i @ 1.8 V DIW (A/cm2)],"",0)</f>
        <v>#REF!</v>
      </c>
      <c r="X232" s="69" t="e" cm="1">
        <f t="array" ref="X232">_xlfn.XLOOKUP(Table1[[#This Row],[5 cm2 cell test code]:[5 cm2 cell test code]],[1]!Table1[[Test code]:[Test code]],[1]!Table1[i @ 1.8 V 10 mM KOH (A/cm2)],"",0)</f>
        <v>#REF!</v>
      </c>
      <c r="Y232" s="69" t="e" cm="1">
        <f t="array" ref="Y232">_xlfn.XLOOKUP(Table1[[#This Row],[5 cm2 cell test code]:[5 cm2 cell test code]],[1]!Table1[[Test code]:[Test code]],[1]!Table1[3-E ƞ at 20mAcm-2 (mV)],"",0)</f>
        <v>#REF!</v>
      </c>
      <c r="Z232" s="69" t="e" cm="1">
        <f t="array" ref="Z232">_xlfn.XLOOKUP(Table1[[#This Row],[5 cm2 cell test code]:[5 cm2 cell test code]],[1]!Table1[[Test code]:[Test code]],[1]!Table1[3-E Tafel slope (mV/dec)],"",0)</f>
        <v>#REF!</v>
      </c>
      <c r="AA232" s="69" t="e" cm="1">
        <f t="array" ref="AA232">_xlfn.XLOOKUP(Table1[[#This Row],[5 cm2 cell test code]:[5 cm2 cell test code]],[1]!Table1[[Test code]:[Test code]],[1]!Table1[E @ 100 mA/cm2 DIW/V],"",0)</f>
        <v>#REF!</v>
      </c>
      <c r="AB232" s="69" t="e" cm="1">
        <f t="array" ref="AB232">_xlfn.XLOOKUP(Table1[[#This Row],[5 cm2 cell test code]:[5 cm2 cell test code]],[1]!Table1[[Test code]:[Test code]],[1]!Table1[E @ 100 mA/cm2 10 mM KOH/V],"",0)</f>
        <v>#REF!</v>
      </c>
      <c r="AC232" s="69" t="e" cm="1">
        <f t="array" ref="AC232">_xlfn.XLOOKUP(Table1[[#This Row],[5 cm2 cell test code]:[5 cm2 cell test code]],[1]!Table1[[Test code]:[Test code]],[1]!Table1[Anode ICR/mOhm],"",0)</f>
        <v>#REF!</v>
      </c>
      <c r="AD232" s="69" t="e" cm="1">
        <f t="array" ref="AD232">_xlfn.XLOOKUP(Table1[[#This Row],[5 cm2 cell test code]:[5 cm2 cell test code]],[1]!Table1[[Test code]:[Test code]],[1]!Table1[HFR DIW/ mOhm cm2],"",0)</f>
        <v>#REF!</v>
      </c>
      <c r="AE232" s="69" t="e" cm="1">
        <f t="array" ref="AE232">_xlfn.XLOOKUP(Table1[[#This Row],[5 cm2 cell test code]:[5 cm2 cell test code]],[1]!Table1[[Test code]:[Test code]],[1]!Table1[HFR 10 mM KOH/ mOhm cm2],"",0)</f>
        <v>#REF!</v>
      </c>
      <c r="AF232" s="69" t="e" cm="1">
        <f t="array" ref="AF232">_xlfn.XLOOKUP(Table1[[#This Row],[5 cm2 cell test code]:[5 cm2 cell test code]],[1]!Table1[[Test code]:[Test code]],[1]!Table1[Ionic resistance DIW/Ohm cm2],"",0)</f>
        <v>#REF!</v>
      </c>
      <c r="AG232" s="69" t="e" cm="1">
        <f t="array" ref="AG232">_xlfn.XLOOKUP(Table1[[#This Row],[5 cm2 cell test code]:[5 cm2 cell test code]],[1]!Table1[[Test code]:[Test code]],[1]!Table1[Q_int_frac DIW],"",0)</f>
        <v>#REF!</v>
      </c>
      <c r="AH232" s="69" t="e" cm="1">
        <f t="array" ref="AH232">_xlfn.XLOOKUP(Table1[[#This Row],[5 cm2 cell test code]:[5 cm2 cell test code]],[1]!Table1[[Test code]:[Test code]],[1]!Table1[Ionic resistance 10 mM KOH/Ohm cm2],"",0)</f>
        <v>#REF!</v>
      </c>
      <c r="AI232" s="69" t="e" cm="1">
        <f t="array" ref="AI232">_xlfn.XLOOKUP(Table1[[#This Row],[5 cm2 cell test code]:[5 cm2 cell test code]],[1]!Table1[[Test code]:[Test code]],[1]!Table1[Q_int_frac DIW 10 mM KOH],"",0)</f>
        <v>#REF!</v>
      </c>
      <c r="AJ232" s="69" t="e" cm="1">
        <f t="array" ref="AJ232">_xlfn.XLOOKUP(Table1[[#This Row],[5 cm2 cell test code]:[5 cm2 cell test code]],[1]!Table1[[Test code]:[Test code]],[1]!Table1[DIW conductivity (µS/cm)],"",0)</f>
        <v>#REF!</v>
      </c>
      <c r="AQ232" s="4" t="str">
        <v>VSG01A-23256E1.04</v>
      </c>
    </row>
    <row r="233" spans="1:54">
      <c r="A233" s="81" t="s">
        <v>460</v>
      </c>
      <c r="B233" s="11" t="s">
        <v>461</v>
      </c>
      <c r="C233" s="4" t="s">
        <v>462</v>
      </c>
      <c r="I233" s="11" t="s">
        <v>114</v>
      </c>
      <c r="J233" s="11" t="s">
        <v>402</v>
      </c>
      <c r="K233" s="43" t="s">
        <v>59</v>
      </c>
      <c r="M233" s="13">
        <f>(63.31-63.29)*1000/(21.6*32.2)</f>
        <v>2.8755463538076724E-2</v>
      </c>
      <c r="O233" s="11" t="s">
        <v>463</v>
      </c>
      <c r="U233" s="101"/>
      <c r="V233" s="101"/>
      <c r="W233" s="69" t="e" cm="1">
        <f t="array" ref="W233">_xlfn.XLOOKUP(Table1[[#This Row],[5 cm2 cell test code]:[5 cm2 cell test code]],[1]!Table1[[Test code]:[Test code]],[1]!Table1[i @ 1.8 V DIW (A/cm2)],"",0)</f>
        <v>#REF!</v>
      </c>
      <c r="X233" s="69" t="e" cm="1">
        <f t="array" ref="X233">_xlfn.XLOOKUP(Table1[[#This Row],[5 cm2 cell test code]:[5 cm2 cell test code]],[1]!Table1[[Test code]:[Test code]],[1]!Table1[i @ 1.8 V 10 mM KOH (A/cm2)],"",0)</f>
        <v>#REF!</v>
      </c>
      <c r="Y233" s="69" t="e" cm="1">
        <f t="array" ref="Y233">_xlfn.XLOOKUP(Table1[[#This Row],[5 cm2 cell test code]:[5 cm2 cell test code]],[1]!Table1[[Test code]:[Test code]],[1]!Table1[3-E ƞ at 20mAcm-2 (mV)],"",0)</f>
        <v>#REF!</v>
      </c>
      <c r="Z233" s="69" t="e" cm="1">
        <f t="array" ref="Z233">_xlfn.XLOOKUP(Table1[[#This Row],[5 cm2 cell test code]:[5 cm2 cell test code]],[1]!Table1[[Test code]:[Test code]],[1]!Table1[3-E Tafel slope (mV/dec)],"",0)</f>
        <v>#REF!</v>
      </c>
      <c r="AA233" s="69" t="e" cm="1">
        <f t="array" ref="AA233">_xlfn.XLOOKUP(Table1[[#This Row],[5 cm2 cell test code]:[5 cm2 cell test code]],[1]!Table1[[Test code]:[Test code]],[1]!Table1[E @ 100 mA/cm2 DIW/V],"",0)</f>
        <v>#REF!</v>
      </c>
      <c r="AB233" s="69" t="e" cm="1">
        <f t="array" ref="AB233">_xlfn.XLOOKUP(Table1[[#This Row],[5 cm2 cell test code]:[5 cm2 cell test code]],[1]!Table1[[Test code]:[Test code]],[1]!Table1[E @ 100 mA/cm2 10 mM KOH/V],"",0)</f>
        <v>#REF!</v>
      </c>
      <c r="AC233" s="69" t="e" cm="1">
        <f t="array" ref="AC233">_xlfn.XLOOKUP(Table1[[#This Row],[5 cm2 cell test code]:[5 cm2 cell test code]],[1]!Table1[[Test code]:[Test code]],[1]!Table1[Anode ICR/mOhm],"",0)</f>
        <v>#REF!</v>
      </c>
      <c r="AD233" s="69" t="e" cm="1">
        <f t="array" ref="AD233">_xlfn.XLOOKUP(Table1[[#This Row],[5 cm2 cell test code]:[5 cm2 cell test code]],[1]!Table1[[Test code]:[Test code]],[1]!Table1[HFR DIW/ mOhm cm2],"",0)</f>
        <v>#REF!</v>
      </c>
      <c r="AE233" s="69" t="e" cm="1">
        <f t="array" ref="AE233">_xlfn.XLOOKUP(Table1[[#This Row],[5 cm2 cell test code]:[5 cm2 cell test code]],[1]!Table1[[Test code]:[Test code]],[1]!Table1[HFR 10 mM KOH/ mOhm cm2],"",0)</f>
        <v>#REF!</v>
      </c>
      <c r="AF233" s="69" t="e" cm="1">
        <f t="array" ref="AF233">_xlfn.XLOOKUP(Table1[[#This Row],[5 cm2 cell test code]:[5 cm2 cell test code]],[1]!Table1[[Test code]:[Test code]],[1]!Table1[Ionic resistance DIW/Ohm cm2],"",0)</f>
        <v>#REF!</v>
      </c>
      <c r="AG233" s="69" t="e" cm="1">
        <f t="array" ref="AG233">_xlfn.XLOOKUP(Table1[[#This Row],[5 cm2 cell test code]:[5 cm2 cell test code]],[1]!Table1[[Test code]:[Test code]],[1]!Table1[Q_int_frac DIW],"",0)</f>
        <v>#REF!</v>
      </c>
      <c r="AH233" s="69" t="e" cm="1">
        <f t="array" ref="AH233">_xlfn.XLOOKUP(Table1[[#This Row],[5 cm2 cell test code]:[5 cm2 cell test code]],[1]!Table1[[Test code]:[Test code]],[1]!Table1[Ionic resistance 10 mM KOH/Ohm cm2],"",0)</f>
        <v>#REF!</v>
      </c>
      <c r="AI233" s="69" t="e" cm="1">
        <f t="array" ref="AI233">_xlfn.XLOOKUP(Table1[[#This Row],[5 cm2 cell test code]:[5 cm2 cell test code]],[1]!Table1[[Test code]:[Test code]],[1]!Table1[Q_int_frac DIW 10 mM KOH],"",0)</f>
        <v>#REF!</v>
      </c>
      <c r="AJ233" s="69" t="e" cm="1">
        <f t="array" ref="AJ233">_xlfn.XLOOKUP(Table1[[#This Row],[5 cm2 cell test code]:[5 cm2 cell test code]],[1]!Table1[[Test code]:[Test code]],[1]!Table1[DIW conductivity (µS/cm)],"",0)</f>
        <v>#REF!</v>
      </c>
      <c r="AQ233" s="4" t="str">
        <v>VSG01A-23256E1.05</v>
      </c>
    </row>
    <row r="234" spans="1:54">
      <c r="A234" s="81" t="s">
        <v>464</v>
      </c>
      <c r="B234" s="11" t="s">
        <v>465</v>
      </c>
      <c r="C234" s="4" t="s">
        <v>466</v>
      </c>
      <c r="I234" s="11" t="s">
        <v>114</v>
      </c>
      <c r="J234" s="11" t="s">
        <v>402</v>
      </c>
      <c r="K234" s="43" t="s">
        <v>59</v>
      </c>
      <c r="M234" s="13">
        <f>(62.95-63.18)*1000/(32.2*21.5)</f>
        <v>-0.33222591362125792</v>
      </c>
      <c r="O234" s="11" t="s">
        <v>467</v>
      </c>
      <c r="U234" s="101"/>
      <c r="V234" s="101"/>
      <c r="W234" s="69" t="e" cm="1">
        <f t="array" ref="W234">_xlfn.XLOOKUP(Table1[[#This Row],[5 cm2 cell test code]:[5 cm2 cell test code]],[1]!Table1[[Test code]:[Test code]],[1]!Table1[i @ 1.8 V DIW (A/cm2)],"",0)</f>
        <v>#REF!</v>
      </c>
      <c r="X234" s="69" t="e" cm="1">
        <f t="array" ref="X234">_xlfn.XLOOKUP(Table1[[#This Row],[5 cm2 cell test code]:[5 cm2 cell test code]],[1]!Table1[[Test code]:[Test code]],[1]!Table1[i @ 1.8 V 10 mM KOH (A/cm2)],"",0)</f>
        <v>#REF!</v>
      </c>
      <c r="Y234" s="69" t="e" cm="1">
        <f t="array" ref="Y234">_xlfn.XLOOKUP(Table1[[#This Row],[5 cm2 cell test code]:[5 cm2 cell test code]],[1]!Table1[[Test code]:[Test code]],[1]!Table1[3-E ƞ at 20mAcm-2 (mV)],"",0)</f>
        <v>#REF!</v>
      </c>
      <c r="Z234" s="69" t="e" cm="1">
        <f t="array" ref="Z234">_xlfn.XLOOKUP(Table1[[#This Row],[5 cm2 cell test code]:[5 cm2 cell test code]],[1]!Table1[[Test code]:[Test code]],[1]!Table1[3-E Tafel slope (mV/dec)],"",0)</f>
        <v>#REF!</v>
      </c>
      <c r="AA234" s="69" t="e" cm="1">
        <f t="array" ref="AA234">_xlfn.XLOOKUP(Table1[[#This Row],[5 cm2 cell test code]:[5 cm2 cell test code]],[1]!Table1[[Test code]:[Test code]],[1]!Table1[E @ 100 mA/cm2 DIW/V],"",0)</f>
        <v>#REF!</v>
      </c>
      <c r="AB234" s="69" t="e" cm="1">
        <f t="array" ref="AB234">_xlfn.XLOOKUP(Table1[[#This Row],[5 cm2 cell test code]:[5 cm2 cell test code]],[1]!Table1[[Test code]:[Test code]],[1]!Table1[E @ 100 mA/cm2 10 mM KOH/V],"",0)</f>
        <v>#REF!</v>
      </c>
      <c r="AC234" s="69" t="e" cm="1">
        <f t="array" ref="AC234">_xlfn.XLOOKUP(Table1[[#This Row],[5 cm2 cell test code]:[5 cm2 cell test code]],[1]!Table1[[Test code]:[Test code]],[1]!Table1[Anode ICR/mOhm],"",0)</f>
        <v>#REF!</v>
      </c>
      <c r="AD234" s="69" t="e" cm="1">
        <f t="array" ref="AD234">_xlfn.XLOOKUP(Table1[[#This Row],[5 cm2 cell test code]:[5 cm2 cell test code]],[1]!Table1[[Test code]:[Test code]],[1]!Table1[HFR DIW/ mOhm cm2],"",0)</f>
        <v>#REF!</v>
      </c>
      <c r="AE234" s="69" t="e" cm="1">
        <f t="array" ref="AE234">_xlfn.XLOOKUP(Table1[[#This Row],[5 cm2 cell test code]:[5 cm2 cell test code]],[1]!Table1[[Test code]:[Test code]],[1]!Table1[HFR 10 mM KOH/ mOhm cm2],"",0)</f>
        <v>#REF!</v>
      </c>
      <c r="AF234" s="69" t="e" cm="1">
        <f t="array" ref="AF234">_xlfn.XLOOKUP(Table1[[#This Row],[5 cm2 cell test code]:[5 cm2 cell test code]],[1]!Table1[[Test code]:[Test code]],[1]!Table1[Ionic resistance DIW/Ohm cm2],"",0)</f>
        <v>#REF!</v>
      </c>
      <c r="AG234" s="69" t="e" cm="1">
        <f t="array" ref="AG234">_xlfn.XLOOKUP(Table1[[#This Row],[5 cm2 cell test code]:[5 cm2 cell test code]],[1]!Table1[[Test code]:[Test code]],[1]!Table1[Q_int_frac DIW],"",0)</f>
        <v>#REF!</v>
      </c>
      <c r="AH234" s="69" t="e" cm="1">
        <f t="array" ref="AH234">_xlfn.XLOOKUP(Table1[[#This Row],[5 cm2 cell test code]:[5 cm2 cell test code]],[1]!Table1[[Test code]:[Test code]],[1]!Table1[Ionic resistance 10 mM KOH/Ohm cm2],"",0)</f>
        <v>#REF!</v>
      </c>
      <c r="AI234" s="69" t="e" cm="1">
        <f t="array" ref="AI234">_xlfn.XLOOKUP(Table1[[#This Row],[5 cm2 cell test code]:[5 cm2 cell test code]],[1]!Table1[[Test code]:[Test code]],[1]!Table1[Q_int_frac DIW 10 mM KOH],"",0)</f>
        <v>#REF!</v>
      </c>
      <c r="AJ234" s="69" t="e" cm="1">
        <f t="array" ref="AJ234">_xlfn.XLOOKUP(Table1[[#This Row],[5 cm2 cell test code]:[5 cm2 cell test code]],[1]!Table1[[Test code]:[Test code]],[1]!Table1[DIW conductivity (µS/cm)],"",0)</f>
        <v>#REF!</v>
      </c>
      <c r="AQ234" s="4" t="str">
        <v>VSG01A-23261E1.01</v>
      </c>
    </row>
    <row r="235" spans="1:54">
      <c r="A235" s="81" t="s">
        <v>468</v>
      </c>
      <c r="B235" s="11" t="s">
        <v>469</v>
      </c>
      <c r="C235" s="4" t="s">
        <v>470</v>
      </c>
      <c r="I235" s="11" t="s">
        <v>114</v>
      </c>
      <c r="J235" s="11" t="s">
        <v>402</v>
      </c>
      <c r="K235" s="43" t="s">
        <v>59</v>
      </c>
      <c r="M235" s="13">
        <f>(31.37-31.34)*1000/(13*26)</f>
        <v>8.875739644970751E-2</v>
      </c>
      <c r="N235" s="28">
        <v>2.0609999999999999</v>
      </c>
      <c r="O235" s="42" t="s">
        <v>471</v>
      </c>
      <c r="P235" s="28">
        <v>1.169</v>
      </c>
      <c r="U235" s="101"/>
      <c r="V235" s="101"/>
      <c r="W235" s="69" t="e" cm="1">
        <f t="array" ref="W235">_xlfn.XLOOKUP(Table1[[#This Row],[5 cm2 cell test code]:[5 cm2 cell test code]],[1]!Table1[[Test code]:[Test code]],[1]!Table1[i @ 1.8 V DIW (A/cm2)],"",0)</f>
        <v>#REF!</v>
      </c>
      <c r="X235" s="69" t="e" cm="1">
        <f t="array" ref="X235">_xlfn.XLOOKUP(Table1[[#This Row],[5 cm2 cell test code]:[5 cm2 cell test code]],[1]!Table1[[Test code]:[Test code]],[1]!Table1[i @ 1.8 V 10 mM KOH (A/cm2)],"",0)</f>
        <v>#REF!</v>
      </c>
      <c r="Y235" s="69" t="e" cm="1">
        <f t="array" ref="Y235">_xlfn.XLOOKUP(Table1[[#This Row],[5 cm2 cell test code]:[5 cm2 cell test code]],[1]!Table1[[Test code]:[Test code]],[1]!Table1[3-E ƞ at 20mAcm-2 (mV)],"",0)</f>
        <v>#REF!</v>
      </c>
      <c r="Z235" s="69" t="e" cm="1">
        <f t="array" ref="Z235">_xlfn.XLOOKUP(Table1[[#This Row],[5 cm2 cell test code]:[5 cm2 cell test code]],[1]!Table1[[Test code]:[Test code]],[1]!Table1[3-E Tafel slope (mV/dec)],"",0)</f>
        <v>#REF!</v>
      </c>
      <c r="AA235" s="69" t="e" cm="1">
        <f t="array" ref="AA235">_xlfn.XLOOKUP(Table1[[#This Row],[5 cm2 cell test code]:[5 cm2 cell test code]],[1]!Table1[[Test code]:[Test code]],[1]!Table1[E @ 100 mA/cm2 DIW/V],"",0)</f>
        <v>#REF!</v>
      </c>
      <c r="AB235" s="69" t="e" cm="1">
        <f t="array" ref="AB235">_xlfn.XLOOKUP(Table1[[#This Row],[5 cm2 cell test code]:[5 cm2 cell test code]],[1]!Table1[[Test code]:[Test code]],[1]!Table1[E @ 100 mA/cm2 10 mM KOH/V],"",0)</f>
        <v>#REF!</v>
      </c>
      <c r="AC235" s="69" t="e" cm="1">
        <f t="array" ref="AC235">_xlfn.XLOOKUP(Table1[[#This Row],[5 cm2 cell test code]:[5 cm2 cell test code]],[1]!Table1[[Test code]:[Test code]],[1]!Table1[Anode ICR/mOhm],"",0)</f>
        <v>#REF!</v>
      </c>
      <c r="AD235" s="69" t="e" cm="1">
        <f t="array" ref="AD235">_xlfn.XLOOKUP(Table1[[#This Row],[5 cm2 cell test code]:[5 cm2 cell test code]],[1]!Table1[[Test code]:[Test code]],[1]!Table1[HFR DIW/ mOhm cm2],"",0)</f>
        <v>#REF!</v>
      </c>
      <c r="AE235" s="69" t="e" cm="1">
        <f t="array" ref="AE235">_xlfn.XLOOKUP(Table1[[#This Row],[5 cm2 cell test code]:[5 cm2 cell test code]],[1]!Table1[[Test code]:[Test code]],[1]!Table1[HFR 10 mM KOH/ mOhm cm2],"",0)</f>
        <v>#REF!</v>
      </c>
      <c r="AF235" s="69" t="e" cm="1">
        <f t="array" ref="AF235">_xlfn.XLOOKUP(Table1[[#This Row],[5 cm2 cell test code]:[5 cm2 cell test code]],[1]!Table1[[Test code]:[Test code]],[1]!Table1[Ionic resistance DIW/Ohm cm2],"",0)</f>
        <v>#REF!</v>
      </c>
      <c r="AG235" s="69" t="e" cm="1">
        <f t="array" ref="AG235">_xlfn.XLOOKUP(Table1[[#This Row],[5 cm2 cell test code]:[5 cm2 cell test code]],[1]!Table1[[Test code]:[Test code]],[1]!Table1[Q_int_frac DIW],"",0)</f>
        <v>#REF!</v>
      </c>
      <c r="AH235" s="69" t="e" cm="1">
        <f t="array" ref="AH235">_xlfn.XLOOKUP(Table1[[#This Row],[5 cm2 cell test code]:[5 cm2 cell test code]],[1]!Table1[[Test code]:[Test code]],[1]!Table1[Ionic resistance 10 mM KOH/Ohm cm2],"",0)</f>
        <v>#REF!</v>
      </c>
      <c r="AI235" s="69" t="e" cm="1">
        <f t="array" ref="AI235">_xlfn.XLOOKUP(Table1[[#This Row],[5 cm2 cell test code]:[5 cm2 cell test code]],[1]!Table1[[Test code]:[Test code]],[1]!Table1[Q_int_frac DIW 10 mM KOH],"",0)</f>
        <v>#REF!</v>
      </c>
      <c r="AJ235" s="69" t="e" cm="1">
        <f t="array" ref="AJ235">_xlfn.XLOOKUP(Table1[[#This Row],[5 cm2 cell test code]:[5 cm2 cell test code]],[1]!Table1[[Test code]:[Test code]],[1]!Table1[DIW conductivity (µS/cm)],"",0)</f>
        <v>#REF!</v>
      </c>
      <c r="AQ235" s="4" t="str">
        <v>VSG01A-23261E1.01 location #1</v>
      </c>
    </row>
    <row r="236" spans="1:54">
      <c r="A236" s="81"/>
      <c r="B236" s="11" t="s">
        <v>472</v>
      </c>
      <c r="C236" s="4" t="s">
        <v>473</v>
      </c>
      <c r="K236" s="43" t="s">
        <v>59</v>
      </c>
      <c r="U236" s="101"/>
      <c r="V236" s="101"/>
      <c r="W236" s="69" t="e" cm="1">
        <f t="array" ref="W236">_xlfn.XLOOKUP(Table1[[#This Row],[5 cm2 cell test code]:[5 cm2 cell test code]],[1]!Table1[[Test code]:[Test code]],[1]!Table1[i @ 1.8 V DIW (A/cm2)],"",0)</f>
        <v>#REF!</v>
      </c>
      <c r="X236" s="69" t="e" cm="1">
        <f t="array" ref="X236">_xlfn.XLOOKUP(Table1[[#This Row],[5 cm2 cell test code]:[5 cm2 cell test code]],[1]!Table1[[Test code]:[Test code]],[1]!Table1[i @ 1.8 V 10 mM KOH (A/cm2)],"",0)</f>
        <v>#REF!</v>
      </c>
      <c r="Y236" s="69" t="e" cm="1">
        <f t="array" ref="Y236">_xlfn.XLOOKUP(Table1[[#This Row],[5 cm2 cell test code]:[5 cm2 cell test code]],[1]!Table1[[Test code]:[Test code]],[1]!Table1[3-E ƞ at 20mAcm-2 (mV)],"",0)</f>
        <v>#REF!</v>
      </c>
      <c r="Z236" s="69" t="e" cm="1">
        <f t="array" ref="Z236">_xlfn.XLOOKUP(Table1[[#This Row],[5 cm2 cell test code]:[5 cm2 cell test code]],[1]!Table1[[Test code]:[Test code]],[1]!Table1[3-E Tafel slope (mV/dec)],"",0)</f>
        <v>#REF!</v>
      </c>
      <c r="AA236" s="69" t="e" cm="1">
        <f t="array" ref="AA236">_xlfn.XLOOKUP(Table1[[#This Row],[5 cm2 cell test code]:[5 cm2 cell test code]],[1]!Table1[[Test code]:[Test code]],[1]!Table1[E @ 100 mA/cm2 DIW/V],"",0)</f>
        <v>#REF!</v>
      </c>
      <c r="AB236" s="69" t="e" cm="1">
        <f t="array" ref="AB236">_xlfn.XLOOKUP(Table1[[#This Row],[5 cm2 cell test code]:[5 cm2 cell test code]],[1]!Table1[[Test code]:[Test code]],[1]!Table1[E @ 100 mA/cm2 10 mM KOH/V],"",0)</f>
        <v>#REF!</v>
      </c>
      <c r="AC236" s="69" t="e" cm="1">
        <f t="array" ref="AC236">_xlfn.XLOOKUP(Table1[[#This Row],[5 cm2 cell test code]:[5 cm2 cell test code]],[1]!Table1[[Test code]:[Test code]],[1]!Table1[Anode ICR/mOhm],"",0)</f>
        <v>#REF!</v>
      </c>
      <c r="AD236" s="69" t="e" cm="1">
        <f t="array" ref="AD236">_xlfn.XLOOKUP(Table1[[#This Row],[5 cm2 cell test code]:[5 cm2 cell test code]],[1]!Table1[[Test code]:[Test code]],[1]!Table1[HFR DIW/ mOhm cm2],"",0)</f>
        <v>#REF!</v>
      </c>
      <c r="AE236" s="69" t="e" cm="1">
        <f t="array" ref="AE236">_xlfn.XLOOKUP(Table1[[#This Row],[5 cm2 cell test code]:[5 cm2 cell test code]],[1]!Table1[[Test code]:[Test code]],[1]!Table1[HFR 10 mM KOH/ mOhm cm2],"",0)</f>
        <v>#REF!</v>
      </c>
      <c r="AF236" s="69" t="e" cm="1">
        <f t="array" ref="AF236">_xlfn.XLOOKUP(Table1[[#This Row],[5 cm2 cell test code]:[5 cm2 cell test code]],[1]!Table1[[Test code]:[Test code]],[1]!Table1[Ionic resistance DIW/Ohm cm2],"",0)</f>
        <v>#REF!</v>
      </c>
      <c r="AG236" s="69" t="e" cm="1">
        <f t="array" ref="AG236">_xlfn.XLOOKUP(Table1[[#This Row],[5 cm2 cell test code]:[5 cm2 cell test code]],[1]!Table1[[Test code]:[Test code]],[1]!Table1[Q_int_frac DIW],"",0)</f>
        <v>#REF!</v>
      </c>
      <c r="AH236" s="69" t="e" cm="1">
        <f t="array" ref="AH236">_xlfn.XLOOKUP(Table1[[#This Row],[5 cm2 cell test code]:[5 cm2 cell test code]],[1]!Table1[[Test code]:[Test code]],[1]!Table1[Ionic resistance 10 mM KOH/Ohm cm2],"",0)</f>
        <v>#REF!</v>
      </c>
      <c r="AI236" s="69" t="e" cm="1">
        <f t="array" ref="AI236">_xlfn.XLOOKUP(Table1[[#This Row],[5 cm2 cell test code]:[5 cm2 cell test code]],[1]!Table1[[Test code]:[Test code]],[1]!Table1[Q_int_frac DIW 10 mM KOH],"",0)</f>
        <v>#REF!</v>
      </c>
      <c r="AJ236" s="69" t="e" cm="1">
        <f t="array" ref="AJ236">_xlfn.XLOOKUP(Table1[[#This Row],[5 cm2 cell test code]:[5 cm2 cell test code]],[1]!Table1[[Test code]:[Test code]],[1]!Table1[DIW conductivity (µS/cm)],"",0)</f>
        <v>#REF!</v>
      </c>
      <c r="AQ236" s="4" t="str">
        <v>VSG01A-23261E1.01 location #8</v>
      </c>
    </row>
    <row r="237" spans="1:54">
      <c r="A237" s="81"/>
      <c r="B237" s="11" t="s">
        <v>474</v>
      </c>
      <c r="C237" s="4" t="s">
        <v>473</v>
      </c>
      <c r="K237" s="43" t="s">
        <v>59</v>
      </c>
      <c r="U237" s="101"/>
      <c r="V237" s="101"/>
      <c r="W237" s="69" t="e" cm="1">
        <f t="array" ref="W237">_xlfn.XLOOKUP(Table1[[#This Row],[5 cm2 cell test code]:[5 cm2 cell test code]],[1]!Table1[[Test code]:[Test code]],[1]!Table1[i @ 1.8 V DIW (A/cm2)],"",0)</f>
        <v>#REF!</v>
      </c>
      <c r="X237" s="69" t="e" cm="1">
        <f t="array" ref="X237">_xlfn.XLOOKUP(Table1[[#This Row],[5 cm2 cell test code]:[5 cm2 cell test code]],[1]!Table1[[Test code]:[Test code]],[1]!Table1[i @ 1.8 V 10 mM KOH (A/cm2)],"",0)</f>
        <v>#REF!</v>
      </c>
      <c r="Y237" s="69" t="e" cm="1">
        <f t="array" ref="Y237">_xlfn.XLOOKUP(Table1[[#This Row],[5 cm2 cell test code]:[5 cm2 cell test code]],[1]!Table1[[Test code]:[Test code]],[1]!Table1[3-E ƞ at 20mAcm-2 (mV)],"",0)</f>
        <v>#REF!</v>
      </c>
      <c r="Z237" s="69" t="e" cm="1">
        <f t="array" ref="Z237">_xlfn.XLOOKUP(Table1[[#This Row],[5 cm2 cell test code]:[5 cm2 cell test code]],[1]!Table1[[Test code]:[Test code]],[1]!Table1[3-E Tafel slope (mV/dec)],"",0)</f>
        <v>#REF!</v>
      </c>
      <c r="AA237" s="69" t="e" cm="1">
        <f t="array" ref="AA237">_xlfn.XLOOKUP(Table1[[#This Row],[5 cm2 cell test code]:[5 cm2 cell test code]],[1]!Table1[[Test code]:[Test code]],[1]!Table1[E @ 100 mA/cm2 DIW/V],"",0)</f>
        <v>#REF!</v>
      </c>
      <c r="AB237" s="69" t="e" cm="1">
        <f t="array" ref="AB237">_xlfn.XLOOKUP(Table1[[#This Row],[5 cm2 cell test code]:[5 cm2 cell test code]],[1]!Table1[[Test code]:[Test code]],[1]!Table1[E @ 100 mA/cm2 10 mM KOH/V],"",0)</f>
        <v>#REF!</v>
      </c>
      <c r="AC237" s="69" t="e" cm="1">
        <f t="array" ref="AC237">_xlfn.XLOOKUP(Table1[[#This Row],[5 cm2 cell test code]:[5 cm2 cell test code]],[1]!Table1[[Test code]:[Test code]],[1]!Table1[Anode ICR/mOhm],"",0)</f>
        <v>#REF!</v>
      </c>
      <c r="AD237" s="69" t="e" cm="1">
        <f t="array" ref="AD237">_xlfn.XLOOKUP(Table1[[#This Row],[5 cm2 cell test code]:[5 cm2 cell test code]],[1]!Table1[[Test code]:[Test code]],[1]!Table1[HFR DIW/ mOhm cm2],"",0)</f>
        <v>#REF!</v>
      </c>
      <c r="AE237" s="69" t="e" cm="1">
        <f t="array" ref="AE237">_xlfn.XLOOKUP(Table1[[#This Row],[5 cm2 cell test code]:[5 cm2 cell test code]],[1]!Table1[[Test code]:[Test code]],[1]!Table1[HFR 10 mM KOH/ mOhm cm2],"",0)</f>
        <v>#REF!</v>
      </c>
      <c r="AF237" s="69" t="e" cm="1">
        <f t="array" ref="AF237">_xlfn.XLOOKUP(Table1[[#This Row],[5 cm2 cell test code]:[5 cm2 cell test code]],[1]!Table1[[Test code]:[Test code]],[1]!Table1[Ionic resistance DIW/Ohm cm2],"",0)</f>
        <v>#REF!</v>
      </c>
      <c r="AG237" s="69" t="e" cm="1">
        <f t="array" ref="AG237">_xlfn.XLOOKUP(Table1[[#This Row],[5 cm2 cell test code]:[5 cm2 cell test code]],[1]!Table1[[Test code]:[Test code]],[1]!Table1[Q_int_frac DIW],"",0)</f>
        <v>#REF!</v>
      </c>
      <c r="AH237" s="69" t="e" cm="1">
        <f t="array" ref="AH237">_xlfn.XLOOKUP(Table1[[#This Row],[5 cm2 cell test code]:[5 cm2 cell test code]],[1]!Table1[[Test code]:[Test code]],[1]!Table1[Ionic resistance 10 mM KOH/Ohm cm2],"",0)</f>
        <v>#REF!</v>
      </c>
      <c r="AI237" s="69" t="e" cm="1">
        <f t="array" ref="AI237">_xlfn.XLOOKUP(Table1[[#This Row],[5 cm2 cell test code]:[5 cm2 cell test code]],[1]!Table1[[Test code]:[Test code]],[1]!Table1[Q_int_frac DIW 10 mM KOH],"",0)</f>
        <v>#REF!</v>
      </c>
      <c r="AJ237" s="69" t="e" cm="1">
        <f t="array" ref="AJ237">_xlfn.XLOOKUP(Table1[[#This Row],[5 cm2 cell test code]:[5 cm2 cell test code]],[1]!Table1[[Test code]:[Test code]],[1]!Table1[DIW conductivity (µS/cm)],"",0)</f>
        <v>#REF!</v>
      </c>
      <c r="AQ237" s="4" t="str">
        <v>VSG01A-23269C1.01</v>
      </c>
    </row>
    <row r="238" spans="1:54">
      <c r="A238" s="81" t="s">
        <v>475</v>
      </c>
      <c r="B238" s="11" t="s">
        <v>476</v>
      </c>
      <c r="C238" s="4" t="s">
        <v>466</v>
      </c>
      <c r="I238" s="11" t="s">
        <v>114</v>
      </c>
      <c r="J238" s="11" t="s">
        <v>402</v>
      </c>
      <c r="K238" s="43" t="s">
        <v>59</v>
      </c>
      <c r="M238" s="13">
        <f>(61.7-61.68)*1000/(32.1*21.7)</f>
        <v>2.8712117949385021E-2</v>
      </c>
      <c r="N238" s="13">
        <v>3.25</v>
      </c>
      <c r="Q238" s="196">
        <v>4.4234207402762217E-2</v>
      </c>
      <c r="U238" s="101"/>
      <c r="V238" s="101"/>
      <c r="W238" s="69" t="e" cm="1">
        <f t="array" ref="W238">_xlfn.XLOOKUP(Table1[[#This Row],[5 cm2 cell test code]:[5 cm2 cell test code]],[1]!Table1[[Test code]:[Test code]],[1]!Table1[i @ 1.8 V DIW (A/cm2)],"",0)</f>
        <v>#REF!</v>
      </c>
      <c r="X238" s="69" t="e" cm="1">
        <f t="array" ref="X238">_xlfn.XLOOKUP(Table1[[#This Row],[5 cm2 cell test code]:[5 cm2 cell test code]],[1]!Table1[[Test code]:[Test code]],[1]!Table1[i @ 1.8 V 10 mM KOH (A/cm2)],"",0)</f>
        <v>#REF!</v>
      </c>
      <c r="Y238" s="69" t="e" cm="1">
        <f t="array" ref="Y238">_xlfn.XLOOKUP(Table1[[#This Row],[5 cm2 cell test code]:[5 cm2 cell test code]],[1]!Table1[[Test code]:[Test code]],[1]!Table1[3-E ƞ at 20mAcm-2 (mV)],"",0)</f>
        <v>#REF!</v>
      </c>
      <c r="Z238" s="69" t="e" cm="1">
        <f t="array" ref="Z238">_xlfn.XLOOKUP(Table1[[#This Row],[5 cm2 cell test code]:[5 cm2 cell test code]],[1]!Table1[[Test code]:[Test code]],[1]!Table1[3-E Tafel slope (mV/dec)],"",0)</f>
        <v>#REF!</v>
      </c>
      <c r="AA238" s="69" t="e" cm="1">
        <f t="array" ref="AA238">_xlfn.XLOOKUP(Table1[[#This Row],[5 cm2 cell test code]:[5 cm2 cell test code]],[1]!Table1[[Test code]:[Test code]],[1]!Table1[E @ 100 mA/cm2 DIW/V],"",0)</f>
        <v>#REF!</v>
      </c>
      <c r="AB238" s="69" t="e" cm="1">
        <f t="array" ref="AB238">_xlfn.XLOOKUP(Table1[[#This Row],[5 cm2 cell test code]:[5 cm2 cell test code]],[1]!Table1[[Test code]:[Test code]],[1]!Table1[E @ 100 mA/cm2 10 mM KOH/V],"",0)</f>
        <v>#REF!</v>
      </c>
      <c r="AC238" s="69" t="e" cm="1">
        <f t="array" ref="AC238">_xlfn.XLOOKUP(Table1[[#This Row],[5 cm2 cell test code]:[5 cm2 cell test code]],[1]!Table1[[Test code]:[Test code]],[1]!Table1[Anode ICR/mOhm],"",0)</f>
        <v>#REF!</v>
      </c>
      <c r="AD238" s="69" t="e" cm="1">
        <f t="array" ref="AD238">_xlfn.XLOOKUP(Table1[[#This Row],[5 cm2 cell test code]:[5 cm2 cell test code]],[1]!Table1[[Test code]:[Test code]],[1]!Table1[HFR DIW/ mOhm cm2],"",0)</f>
        <v>#REF!</v>
      </c>
      <c r="AE238" s="69" t="e" cm="1">
        <f t="array" ref="AE238">_xlfn.XLOOKUP(Table1[[#This Row],[5 cm2 cell test code]:[5 cm2 cell test code]],[1]!Table1[[Test code]:[Test code]],[1]!Table1[HFR 10 mM KOH/ mOhm cm2],"",0)</f>
        <v>#REF!</v>
      </c>
      <c r="AF238" s="69" t="e" cm="1">
        <f t="array" ref="AF238">_xlfn.XLOOKUP(Table1[[#This Row],[5 cm2 cell test code]:[5 cm2 cell test code]],[1]!Table1[[Test code]:[Test code]],[1]!Table1[Ionic resistance DIW/Ohm cm2],"",0)</f>
        <v>#REF!</v>
      </c>
      <c r="AG238" s="69" t="e" cm="1">
        <f t="array" ref="AG238">_xlfn.XLOOKUP(Table1[[#This Row],[5 cm2 cell test code]:[5 cm2 cell test code]],[1]!Table1[[Test code]:[Test code]],[1]!Table1[Q_int_frac DIW],"",0)</f>
        <v>#REF!</v>
      </c>
      <c r="AH238" s="69" t="e" cm="1">
        <f t="array" ref="AH238">_xlfn.XLOOKUP(Table1[[#This Row],[5 cm2 cell test code]:[5 cm2 cell test code]],[1]!Table1[[Test code]:[Test code]],[1]!Table1[Ionic resistance 10 mM KOH/Ohm cm2],"",0)</f>
        <v>#REF!</v>
      </c>
      <c r="AI238" s="69" t="e" cm="1">
        <f t="array" ref="AI238">_xlfn.XLOOKUP(Table1[[#This Row],[5 cm2 cell test code]:[5 cm2 cell test code]],[1]!Table1[[Test code]:[Test code]],[1]!Table1[Q_int_frac DIW 10 mM KOH],"",0)</f>
        <v>#REF!</v>
      </c>
      <c r="AJ238" s="69" t="e" cm="1">
        <f t="array" ref="AJ238">_xlfn.XLOOKUP(Table1[[#This Row],[5 cm2 cell test code]:[5 cm2 cell test code]],[1]!Table1[[Test code]:[Test code]],[1]!Table1[DIW conductivity (µS/cm)],"",0)</f>
        <v>#REF!</v>
      </c>
      <c r="AQ238" s="4" t="str">
        <v>VSG01A-23269C1.01-Location #1</v>
      </c>
    </row>
    <row r="239" spans="1:54">
      <c r="A239" s="81" t="s">
        <v>477</v>
      </c>
      <c r="B239" s="11" t="s">
        <v>478</v>
      </c>
      <c r="C239" s="4" t="s">
        <v>479</v>
      </c>
      <c r="K239" s="194"/>
      <c r="L239" s="89"/>
      <c r="P239" s="11">
        <v>1.4410000000000001</v>
      </c>
      <c r="Q239" s="196">
        <v>3.4893519626304347E-2</v>
      </c>
      <c r="U239" s="101"/>
      <c r="V239" s="101"/>
      <c r="W239" s="69" t="e" cm="1">
        <f t="array" ref="W239">_xlfn.XLOOKUP(Table1[[#This Row],[5 cm2 cell test code]:[5 cm2 cell test code]],[1]!Table1[[Test code]:[Test code]],[1]!Table1[i @ 1.8 V DIW (A/cm2)],"",0)</f>
        <v>#REF!</v>
      </c>
      <c r="X239" s="69" t="e" cm="1">
        <f t="array" ref="X239">_xlfn.XLOOKUP(Table1[[#This Row],[5 cm2 cell test code]:[5 cm2 cell test code]],[1]!Table1[[Test code]:[Test code]],[1]!Table1[i @ 1.8 V 10 mM KOH (A/cm2)],"",0)</f>
        <v>#REF!</v>
      </c>
      <c r="Y239" s="69" t="e" cm="1">
        <f t="array" ref="Y239">_xlfn.XLOOKUP(Table1[[#This Row],[5 cm2 cell test code]:[5 cm2 cell test code]],[1]!Table1[[Test code]:[Test code]],[1]!Table1[3-E ƞ at 20mAcm-2 (mV)],"",0)</f>
        <v>#REF!</v>
      </c>
      <c r="Z239" s="69" t="e" cm="1">
        <f t="array" ref="Z239">_xlfn.XLOOKUP(Table1[[#This Row],[5 cm2 cell test code]:[5 cm2 cell test code]],[1]!Table1[[Test code]:[Test code]],[1]!Table1[3-E Tafel slope (mV/dec)],"",0)</f>
        <v>#REF!</v>
      </c>
      <c r="AA239" s="69" t="e" cm="1">
        <f t="array" ref="AA239">_xlfn.XLOOKUP(Table1[[#This Row],[5 cm2 cell test code]:[5 cm2 cell test code]],[1]!Table1[[Test code]:[Test code]],[1]!Table1[E @ 100 mA/cm2 DIW/V],"",0)</f>
        <v>#REF!</v>
      </c>
      <c r="AB239" s="69" t="e" cm="1">
        <f t="array" ref="AB239">_xlfn.XLOOKUP(Table1[[#This Row],[5 cm2 cell test code]:[5 cm2 cell test code]],[1]!Table1[[Test code]:[Test code]],[1]!Table1[E @ 100 mA/cm2 10 mM KOH/V],"",0)</f>
        <v>#REF!</v>
      </c>
      <c r="AC239" s="69" t="e" cm="1">
        <f t="array" ref="AC239">_xlfn.XLOOKUP(Table1[[#This Row],[5 cm2 cell test code]:[5 cm2 cell test code]],[1]!Table1[[Test code]:[Test code]],[1]!Table1[Anode ICR/mOhm],"",0)</f>
        <v>#REF!</v>
      </c>
      <c r="AD239" s="69" t="e" cm="1">
        <f t="array" ref="AD239">_xlfn.XLOOKUP(Table1[[#This Row],[5 cm2 cell test code]:[5 cm2 cell test code]],[1]!Table1[[Test code]:[Test code]],[1]!Table1[HFR DIW/ mOhm cm2],"",0)</f>
        <v>#REF!</v>
      </c>
      <c r="AE239" s="69" t="e" cm="1">
        <f t="array" ref="AE239">_xlfn.XLOOKUP(Table1[[#This Row],[5 cm2 cell test code]:[5 cm2 cell test code]],[1]!Table1[[Test code]:[Test code]],[1]!Table1[HFR 10 mM KOH/ mOhm cm2],"",0)</f>
        <v>#REF!</v>
      </c>
      <c r="AF239" s="69" t="e" cm="1">
        <f t="array" ref="AF239">_xlfn.XLOOKUP(Table1[[#This Row],[5 cm2 cell test code]:[5 cm2 cell test code]],[1]!Table1[[Test code]:[Test code]],[1]!Table1[Ionic resistance DIW/Ohm cm2],"",0)</f>
        <v>#REF!</v>
      </c>
      <c r="AG239" s="195" t="e" cm="1">
        <f t="array" ref="AG239">_xlfn.XLOOKUP(Table1[[#This Row],[5 cm2 cell test code]:[5 cm2 cell test code]],[1]!Table1[[Test code]:[Test code]],[1]!Table1[Q_int_frac DIW],"",0)</f>
        <v>#REF!</v>
      </c>
      <c r="AH239" s="195" t="e" cm="1">
        <f t="array" ref="AH239">_xlfn.XLOOKUP(Table1[[#This Row],[5 cm2 cell test code]:[5 cm2 cell test code]],[1]!Table1[[Test code]:[Test code]],[1]!Table1[Ionic resistance 10 mM KOH/Ohm cm2],"",0)</f>
        <v>#REF!</v>
      </c>
      <c r="AI239" s="195" t="e" cm="1">
        <f t="array" ref="AI239">_xlfn.XLOOKUP(Table1[[#This Row],[5 cm2 cell test code]:[5 cm2 cell test code]],[1]!Table1[[Test code]:[Test code]],[1]!Table1[Q_int_frac DIW 10 mM KOH],"",0)</f>
        <v>#REF!</v>
      </c>
      <c r="AJ239" s="69" t="e" cm="1">
        <f t="array" ref="AJ239">_xlfn.XLOOKUP(Table1[[#This Row],[5 cm2 cell test code]:[5 cm2 cell test code]],[1]!Table1[[Test code]:[Test code]],[1]!Table1[DIW conductivity (µS/cm)],"",0)</f>
        <v>#REF!</v>
      </c>
      <c r="AQ239" s="4" t="str">
        <v>VSG01A-23269C1.01-Location #5</v>
      </c>
    </row>
    <row r="240" spans="1:54">
      <c r="A240" s="81" t="s">
        <v>477</v>
      </c>
      <c r="B240" s="11" t="s">
        <v>480</v>
      </c>
      <c r="C240" s="4" t="s">
        <v>479</v>
      </c>
      <c r="K240" s="194"/>
      <c r="L240" s="89"/>
      <c r="P240" s="11">
        <v>1.4582999999999999</v>
      </c>
      <c r="Q240" s="196">
        <v>3.8632738796401507E-2</v>
      </c>
      <c r="U240" s="101"/>
      <c r="V240" s="101"/>
      <c r="W240" s="69" t="e" cm="1">
        <f t="array" ref="W240">_xlfn.XLOOKUP(Table1[[#This Row],[5 cm2 cell test code]:[5 cm2 cell test code]],[1]!Table1[[Test code]:[Test code]],[1]!Table1[i @ 1.8 V DIW (A/cm2)],"",0)</f>
        <v>#REF!</v>
      </c>
      <c r="X240" s="69" t="e" cm="1">
        <f t="array" ref="X240">_xlfn.XLOOKUP(Table1[[#This Row],[5 cm2 cell test code]:[5 cm2 cell test code]],[1]!Table1[[Test code]:[Test code]],[1]!Table1[i @ 1.8 V 10 mM KOH (A/cm2)],"",0)</f>
        <v>#REF!</v>
      </c>
      <c r="Y240" s="69" t="e" cm="1">
        <f t="array" ref="Y240">_xlfn.XLOOKUP(Table1[[#This Row],[5 cm2 cell test code]:[5 cm2 cell test code]],[1]!Table1[[Test code]:[Test code]],[1]!Table1[3-E ƞ at 20mAcm-2 (mV)],"",0)</f>
        <v>#REF!</v>
      </c>
      <c r="Z240" s="69" t="e" cm="1">
        <f t="array" ref="Z240">_xlfn.XLOOKUP(Table1[[#This Row],[5 cm2 cell test code]:[5 cm2 cell test code]],[1]!Table1[[Test code]:[Test code]],[1]!Table1[3-E Tafel slope (mV/dec)],"",0)</f>
        <v>#REF!</v>
      </c>
      <c r="AA240" s="69" t="e" cm="1">
        <f t="array" ref="AA240">_xlfn.XLOOKUP(Table1[[#This Row],[5 cm2 cell test code]:[5 cm2 cell test code]],[1]!Table1[[Test code]:[Test code]],[1]!Table1[E @ 100 mA/cm2 DIW/V],"",0)</f>
        <v>#REF!</v>
      </c>
      <c r="AB240" s="69" t="e" cm="1">
        <f t="array" ref="AB240">_xlfn.XLOOKUP(Table1[[#This Row],[5 cm2 cell test code]:[5 cm2 cell test code]],[1]!Table1[[Test code]:[Test code]],[1]!Table1[E @ 100 mA/cm2 10 mM KOH/V],"",0)</f>
        <v>#REF!</v>
      </c>
      <c r="AC240" s="69" t="e" cm="1">
        <f t="array" ref="AC240">_xlfn.XLOOKUP(Table1[[#This Row],[5 cm2 cell test code]:[5 cm2 cell test code]],[1]!Table1[[Test code]:[Test code]],[1]!Table1[Anode ICR/mOhm],"",0)</f>
        <v>#REF!</v>
      </c>
      <c r="AD240" s="69" t="e" cm="1">
        <f t="array" ref="AD240">_xlfn.XLOOKUP(Table1[[#This Row],[5 cm2 cell test code]:[5 cm2 cell test code]],[1]!Table1[[Test code]:[Test code]],[1]!Table1[HFR DIW/ mOhm cm2],"",0)</f>
        <v>#REF!</v>
      </c>
      <c r="AE240" s="69" t="e" cm="1">
        <f t="array" ref="AE240">_xlfn.XLOOKUP(Table1[[#This Row],[5 cm2 cell test code]:[5 cm2 cell test code]],[1]!Table1[[Test code]:[Test code]],[1]!Table1[HFR 10 mM KOH/ mOhm cm2],"",0)</f>
        <v>#REF!</v>
      </c>
      <c r="AF240" s="69" t="e" cm="1">
        <f t="array" ref="AF240">_xlfn.XLOOKUP(Table1[[#This Row],[5 cm2 cell test code]:[5 cm2 cell test code]],[1]!Table1[[Test code]:[Test code]],[1]!Table1[Ionic resistance DIW/Ohm cm2],"",0)</f>
        <v>#REF!</v>
      </c>
      <c r="AG240" s="195" t="e" cm="1">
        <f t="array" ref="AG240">_xlfn.XLOOKUP(Table1[[#This Row],[5 cm2 cell test code]:[5 cm2 cell test code]],[1]!Table1[[Test code]:[Test code]],[1]!Table1[Q_int_frac DIW],"",0)</f>
        <v>#REF!</v>
      </c>
      <c r="AH240" s="195" t="e" cm="1">
        <f t="array" ref="AH240">_xlfn.XLOOKUP(Table1[[#This Row],[5 cm2 cell test code]:[5 cm2 cell test code]],[1]!Table1[[Test code]:[Test code]],[1]!Table1[Ionic resistance 10 mM KOH/Ohm cm2],"",0)</f>
        <v>#REF!</v>
      </c>
      <c r="AI240" s="195" t="e" cm="1">
        <f t="array" ref="AI240">_xlfn.XLOOKUP(Table1[[#This Row],[5 cm2 cell test code]:[5 cm2 cell test code]],[1]!Table1[[Test code]:[Test code]],[1]!Table1[Q_int_frac DIW 10 mM KOH],"",0)</f>
        <v>#REF!</v>
      </c>
      <c r="AJ240" s="69" t="e" cm="1">
        <f t="array" ref="AJ240">_xlfn.XLOOKUP(Table1[[#This Row],[5 cm2 cell test code]:[5 cm2 cell test code]],[1]!Table1[[Test code]:[Test code]],[1]!Table1[DIW conductivity (µS/cm)],"",0)</f>
        <v>#REF!</v>
      </c>
      <c r="AQ240" s="4" t="str">
        <v>VSG01A-23269C1.01-Location #6</v>
      </c>
    </row>
    <row r="241" spans="1:43">
      <c r="A241" s="81" t="s">
        <v>477</v>
      </c>
      <c r="B241" s="11" t="s">
        <v>481</v>
      </c>
      <c r="C241" s="4" t="s">
        <v>479</v>
      </c>
      <c r="K241" s="194"/>
      <c r="L241" s="89"/>
      <c r="P241" s="11">
        <v>1.3889</v>
      </c>
      <c r="Q241" s="196">
        <v>3.5239589720140914E-2</v>
      </c>
      <c r="U241" s="101"/>
      <c r="V241" s="101"/>
      <c r="W241" s="69" t="e" cm="1">
        <f t="array" ref="W241">_xlfn.XLOOKUP(Table1[[#This Row],[5 cm2 cell test code]:[5 cm2 cell test code]],[1]!Table1[[Test code]:[Test code]],[1]!Table1[i @ 1.8 V DIW (A/cm2)],"",0)</f>
        <v>#REF!</v>
      </c>
      <c r="X241" s="69" t="e" cm="1">
        <f t="array" ref="X241">_xlfn.XLOOKUP(Table1[[#This Row],[5 cm2 cell test code]:[5 cm2 cell test code]],[1]!Table1[[Test code]:[Test code]],[1]!Table1[i @ 1.8 V 10 mM KOH (A/cm2)],"",0)</f>
        <v>#REF!</v>
      </c>
      <c r="Y241" s="69" t="e" cm="1">
        <f t="array" ref="Y241">_xlfn.XLOOKUP(Table1[[#This Row],[5 cm2 cell test code]:[5 cm2 cell test code]],[1]!Table1[[Test code]:[Test code]],[1]!Table1[3-E ƞ at 20mAcm-2 (mV)],"",0)</f>
        <v>#REF!</v>
      </c>
      <c r="Z241" s="69" t="e" cm="1">
        <f t="array" ref="Z241">_xlfn.XLOOKUP(Table1[[#This Row],[5 cm2 cell test code]:[5 cm2 cell test code]],[1]!Table1[[Test code]:[Test code]],[1]!Table1[3-E Tafel slope (mV/dec)],"",0)</f>
        <v>#REF!</v>
      </c>
      <c r="AA241" s="69" t="e" cm="1">
        <f t="array" ref="AA241">_xlfn.XLOOKUP(Table1[[#This Row],[5 cm2 cell test code]:[5 cm2 cell test code]],[1]!Table1[[Test code]:[Test code]],[1]!Table1[E @ 100 mA/cm2 DIW/V],"",0)</f>
        <v>#REF!</v>
      </c>
      <c r="AB241" s="69" t="e" cm="1">
        <f t="array" ref="AB241">_xlfn.XLOOKUP(Table1[[#This Row],[5 cm2 cell test code]:[5 cm2 cell test code]],[1]!Table1[[Test code]:[Test code]],[1]!Table1[E @ 100 mA/cm2 10 mM KOH/V],"",0)</f>
        <v>#REF!</v>
      </c>
      <c r="AC241" s="69" t="e" cm="1">
        <f t="array" ref="AC241">_xlfn.XLOOKUP(Table1[[#This Row],[5 cm2 cell test code]:[5 cm2 cell test code]],[1]!Table1[[Test code]:[Test code]],[1]!Table1[Anode ICR/mOhm],"",0)</f>
        <v>#REF!</v>
      </c>
      <c r="AD241" s="69" t="e" cm="1">
        <f t="array" ref="AD241">_xlfn.XLOOKUP(Table1[[#This Row],[5 cm2 cell test code]:[5 cm2 cell test code]],[1]!Table1[[Test code]:[Test code]],[1]!Table1[HFR DIW/ mOhm cm2],"",0)</f>
        <v>#REF!</v>
      </c>
      <c r="AE241" s="69" t="e" cm="1">
        <f t="array" ref="AE241">_xlfn.XLOOKUP(Table1[[#This Row],[5 cm2 cell test code]:[5 cm2 cell test code]],[1]!Table1[[Test code]:[Test code]],[1]!Table1[HFR 10 mM KOH/ mOhm cm2],"",0)</f>
        <v>#REF!</v>
      </c>
      <c r="AF241" s="69" t="e" cm="1">
        <f t="array" ref="AF241">_xlfn.XLOOKUP(Table1[[#This Row],[5 cm2 cell test code]:[5 cm2 cell test code]],[1]!Table1[[Test code]:[Test code]],[1]!Table1[Ionic resistance DIW/Ohm cm2],"",0)</f>
        <v>#REF!</v>
      </c>
      <c r="AG241" s="195" t="e" cm="1">
        <f t="array" ref="AG241">_xlfn.XLOOKUP(Table1[[#This Row],[5 cm2 cell test code]:[5 cm2 cell test code]],[1]!Table1[[Test code]:[Test code]],[1]!Table1[Q_int_frac DIW],"",0)</f>
        <v>#REF!</v>
      </c>
      <c r="AH241" s="195" t="e" cm="1">
        <f t="array" ref="AH241">_xlfn.XLOOKUP(Table1[[#This Row],[5 cm2 cell test code]:[5 cm2 cell test code]],[1]!Table1[[Test code]:[Test code]],[1]!Table1[Ionic resistance 10 mM KOH/Ohm cm2],"",0)</f>
        <v>#REF!</v>
      </c>
      <c r="AI241" s="195" t="e" cm="1">
        <f t="array" ref="AI241">_xlfn.XLOOKUP(Table1[[#This Row],[5 cm2 cell test code]:[5 cm2 cell test code]],[1]!Table1[[Test code]:[Test code]],[1]!Table1[Q_int_frac DIW 10 mM KOH],"",0)</f>
        <v>#REF!</v>
      </c>
      <c r="AJ241" s="69" t="e" cm="1">
        <f t="array" ref="AJ241">_xlfn.XLOOKUP(Table1[[#This Row],[5 cm2 cell test code]:[5 cm2 cell test code]],[1]!Table1[[Test code]:[Test code]],[1]!Table1[DIW conductivity (µS/cm)],"",0)</f>
        <v>#REF!</v>
      </c>
      <c r="AQ241" s="4" t="str">
        <v>VSG01A-23269C1.01-Location #7</v>
      </c>
    </row>
    <row r="242" spans="1:43">
      <c r="A242" s="81" t="s">
        <v>477</v>
      </c>
      <c r="B242" s="11" t="s">
        <v>482</v>
      </c>
      <c r="C242" s="4" t="s">
        <v>479</v>
      </c>
      <c r="K242" s="194"/>
      <c r="L242" s="89"/>
      <c r="P242" s="11">
        <v>1.0417000000000001</v>
      </c>
      <c r="Q242" s="196">
        <v>4.1669278833093015E-2</v>
      </c>
      <c r="U242" s="101"/>
      <c r="V242" s="101"/>
      <c r="W242" s="69" t="e" cm="1">
        <f t="array" ref="W242">_xlfn.XLOOKUP(Table1[[#This Row],[5 cm2 cell test code]:[5 cm2 cell test code]],[1]!Table1[[Test code]:[Test code]],[1]!Table1[i @ 1.8 V DIW (A/cm2)],"",0)</f>
        <v>#REF!</v>
      </c>
      <c r="X242" s="69" t="e" cm="1">
        <f t="array" ref="X242">_xlfn.XLOOKUP(Table1[[#This Row],[5 cm2 cell test code]:[5 cm2 cell test code]],[1]!Table1[[Test code]:[Test code]],[1]!Table1[i @ 1.8 V 10 mM KOH (A/cm2)],"",0)</f>
        <v>#REF!</v>
      </c>
      <c r="Y242" s="69" t="e" cm="1">
        <f t="array" ref="Y242">_xlfn.XLOOKUP(Table1[[#This Row],[5 cm2 cell test code]:[5 cm2 cell test code]],[1]!Table1[[Test code]:[Test code]],[1]!Table1[3-E ƞ at 20mAcm-2 (mV)],"",0)</f>
        <v>#REF!</v>
      </c>
      <c r="Z242" s="69" t="e" cm="1">
        <f t="array" ref="Z242">_xlfn.XLOOKUP(Table1[[#This Row],[5 cm2 cell test code]:[5 cm2 cell test code]],[1]!Table1[[Test code]:[Test code]],[1]!Table1[3-E Tafel slope (mV/dec)],"",0)</f>
        <v>#REF!</v>
      </c>
      <c r="AA242" s="69" t="e" cm="1">
        <f t="array" ref="AA242">_xlfn.XLOOKUP(Table1[[#This Row],[5 cm2 cell test code]:[5 cm2 cell test code]],[1]!Table1[[Test code]:[Test code]],[1]!Table1[E @ 100 mA/cm2 DIW/V],"",0)</f>
        <v>#REF!</v>
      </c>
      <c r="AB242" s="69" t="e" cm="1">
        <f t="array" ref="AB242">_xlfn.XLOOKUP(Table1[[#This Row],[5 cm2 cell test code]:[5 cm2 cell test code]],[1]!Table1[[Test code]:[Test code]],[1]!Table1[E @ 100 mA/cm2 10 mM KOH/V],"",0)</f>
        <v>#REF!</v>
      </c>
      <c r="AC242" s="69" t="e" cm="1">
        <f t="array" ref="AC242">_xlfn.XLOOKUP(Table1[[#This Row],[5 cm2 cell test code]:[5 cm2 cell test code]],[1]!Table1[[Test code]:[Test code]],[1]!Table1[Anode ICR/mOhm],"",0)</f>
        <v>#REF!</v>
      </c>
      <c r="AD242" s="69" t="e" cm="1">
        <f t="array" ref="AD242">_xlfn.XLOOKUP(Table1[[#This Row],[5 cm2 cell test code]:[5 cm2 cell test code]],[1]!Table1[[Test code]:[Test code]],[1]!Table1[HFR DIW/ mOhm cm2],"",0)</f>
        <v>#REF!</v>
      </c>
      <c r="AE242" s="69" t="e" cm="1">
        <f t="array" ref="AE242">_xlfn.XLOOKUP(Table1[[#This Row],[5 cm2 cell test code]:[5 cm2 cell test code]],[1]!Table1[[Test code]:[Test code]],[1]!Table1[HFR 10 mM KOH/ mOhm cm2],"",0)</f>
        <v>#REF!</v>
      </c>
      <c r="AF242" s="69" t="e" cm="1">
        <f t="array" ref="AF242">_xlfn.XLOOKUP(Table1[[#This Row],[5 cm2 cell test code]:[5 cm2 cell test code]],[1]!Table1[[Test code]:[Test code]],[1]!Table1[Ionic resistance DIW/Ohm cm2],"",0)</f>
        <v>#REF!</v>
      </c>
      <c r="AG242" s="195" t="e" cm="1">
        <f t="array" ref="AG242">_xlfn.XLOOKUP(Table1[[#This Row],[5 cm2 cell test code]:[5 cm2 cell test code]],[1]!Table1[[Test code]:[Test code]],[1]!Table1[Q_int_frac DIW],"",0)</f>
        <v>#REF!</v>
      </c>
      <c r="AH242" s="195" t="e" cm="1">
        <f t="array" ref="AH242">_xlfn.XLOOKUP(Table1[[#This Row],[5 cm2 cell test code]:[5 cm2 cell test code]],[1]!Table1[[Test code]:[Test code]],[1]!Table1[Ionic resistance 10 mM KOH/Ohm cm2],"",0)</f>
        <v>#REF!</v>
      </c>
      <c r="AI242" s="195" t="e" cm="1">
        <f t="array" ref="AI242">_xlfn.XLOOKUP(Table1[[#This Row],[5 cm2 cell test code]:[5 cm2 cell test code]],[1]!Table1[[Test code]:[Test code]],[1]!Table1[Q_int_frac DIW 10 mM KOH],"",0)</f>
        <v>#REF!</v>
      </c>
      <c r="AJ242" s="69" t="e" cm="1">
        <f t="array" ref="AJ242">_xlfn.XLOOKUP(Table1[[#This Row],[5 cm2 cell test code]:[5 cm2 cell test code]],[1]!Table1[[Test code]:[Test code]],[1]!Table1[DIW conductivity (µS/cm)],"",0)</f>
        <v>#REF!</v>
      </c>
      <c r="AQ242" s="4" t="str">
        <v>VSG01A-23269C1.01-Location #8</v>
      </c>
    </row>
    <row r="243" spans="1:43">
      <c r="A243" s="81"/>
      <c r="K243" s="43" t="s">
        <v>59</v>
      </c>
      <c r="U243" s="101"/>
      <c r="V243" s="101"/>
      <c r="W243" s="69" t="e" cm="1">
        <f t="array" ref="W243">_xlfn.XLOOKUP(Table1[[#This Row],[5 cm2 cell test code]:[5 cm2 cell test code]],[1]!Table1[[Test code]:[Test code]],[1]!Table1[i @ 1.8 V DIW (A/cm2)],"",0)</f>
        <v>#REF!</v>
      </c>
      <c r="X243" s="69" t="e" cm="1">
        <f t="array" ref="X243">_xlfn.XLOOKUP(Table1[[#This Row],[5 cm2 cell test code]:[5 cm2 cell test code]],[1]!Table1[[Test code]:[Test code]],[1]!Table1[i @ 1.8 V 10 mM KOH (A/cm2)],"",0)</f>
        <v>#REF!</v>
      </c>
      <c r="Y243" s="69" t="e" cm="1">
        <f t="array" ref="Y243">_xlfn.XLOOKUP(Table1[[#This Row],[5 cm2 cell test code]:[5 cm2 cell test code]],[1]!Table1[[Test code]:[Test code]],[1]!Table1[3-E ƞ at 20mAcm-2 (mV)],"",0)</f>
        <v>#REF!</v>
      </c>
      <c r="Z243" s="69" t="e" cm="1">
        <f t="array" ref="Z243">_xlfn.XLOOKUP(Table1[[#This Row],[5 cm2 cell test code]:[5 cm2 cell test code]],[1]!Table1[[Test code]:[Test code]],[1]!Table1[3-E Tafel slope (mV/dec)],"",0)</f>
        <v>#REF!</v>
      </c>
      <c r="AA243" s="69" t="e" cm="1">
        <f t="array" ref="AA243">_xlfn.XLOOKUP(Table1[[#This Row],[5 cm2 cell test code]:[5 cm2 cell test code]],[1]!Table1[[Test code]:[Test code]],[1]!Table1[E @ 100 mA/cm2 DIW/V],"",0)</f>
        <v>#REF!</v>
      </c>
      <c r="AB243" s="69" t="e" cm="1">
        <f t="array" ref="AB243">_xlfn.XLOOKUP(Table1[[#This Row],[5 cm2 cell test code]:[5 cm2 cell test code]],[1]!Table1[[Test code]:[Test code]],[1]!Table1[E @ 100 mA/cm2 10 mM KOH/V],"",0)</f>
        <v>#REF!</v>
      </c>
      <c r="AC243" s="69" t="e" cm="1">
        <f t="array" ref="AC243">_xlfn.XLOOKUP(Table1[[#This Row],[5 cm2 cell test code]:[5 cm2 cell test code]],[1]!Table1[[Test code]:[Test code]],[1]!Table1[Anode ICR/mOhm],"",0)</f>
        <v>#REF!</v>
      </c>
      <c r="AD243" s="69" t="e" cm="1">
        <f t="array" ref="AD243">_xlfn.XLOOKUP(Table1[[#This Row],[5 cm2 cell test code]:[5 cm2 cell test code]],[1]!Table1[[Test code]:[Test code]],[1]!Table1[HFR DIW/ mOhm cm2],"",0)</f>
        <v>#REF!</v>
      </c>
      <c r="AE243" s="69" t="e" cm="1">
        <f t="array" ref="AE243">_xlfn.XLOOKUP(Table1[[#This Row],[5 cm2 cell test code]:[5 cm2 cell test code]],[1]!Table1[[Test code]:[Test code]],[1]!Table1[HFR 10 mM KOH/ mOhm cm2],"",0)</f>
        <v>#REF!</v>
      </c>
      <c r="AF243" s="69" t="e" cm="1">
        <f t="array" ref="AF243">_xlfn.XLOOKUP(Table1[[#This Row],[5 cm2 cell test code]:[5 cm2 cell test code]],[1]!Table1[[Test code]:[Test code]],[1]!Table1[Ionic resistance DIW/Ohm cm2],"",0)</f>
        <v>#REF!</v>
      </c>
      <c r="AG243" s="69" t="e" cm="1">
        <f t="array" ref="AG243">_xlfn.XLOOKUP(Table1[[#This Row],[5 cm2 cell test code]:[5 cm2 cell test code]],[1]!Table1[[Test code]:[Test code]],[1]!Table1[Q_int_frac DIW],"",0)</f>
        <v>#REF!</v>
      </c>
      <c r="AH243" s="69" t="e" cm="1">
        <f t="array" ref="AH243">_xlfn.XLOOKUP(Table1[[#This Row],[5 cm2 cell test code]:[5 cm2 cell test code]],[1]!Table1[[Test code]:[Test code]],[1]!Table1[Ionic resistance 10 mM KOH/Ohm cm2],"",0)</f>
        <v>#REF!</v>
      </c>
      <c r="AI243" s="69" t="e" cm="1">
        <f t="array" ref="AI243">_xlfn.XLOOKUP(Table1[[#This Row],[5 cm2 cell test code]:[5 cm2 cell test code]],[1]!Table1[[Test code]:[Test code]],[1]!Table1[Q_int_frac DIW 10 mM KOH],"",0)</f>
        <v>#REF!</v>
      </c>
      <c r="AJ243" s="69" t="e" cm="1">
        <f t="array" ref="AJ243">_xlfn.XLOOKUP(Table1[[#This Row],[5 cm2 cell test code]:[5 cm2 cell test code]],[1]!Table1[[Test code]:[Test code]],[1]!Table1[DIW conductivity (µS/cm)],"",0)</f>
        <v>#REF!</v>
      </c>
      <c r="AQ243" s="4" t="str">
        <v>VSG01A-23269C1.01-Location #9</v>
      </c>
    </row>
    <row r="244" spans="1:43">
      <c r="A244" s="81" t="s">
        <v>483</v>
      </c>
      <c r="B244" s="11" t="s">
        <v>484</v>
      </c>
      <c r="C244" s="4" t="s">
        <v>485</v>
      </c>
      <c r="I244" s="11" t="s">
        <v>114</v>
      </c>
      <c r="J244" s="11" t="s">
        <v>402</v>
      </c>
      <c r="K244" s="43" t="s">
        <v>59</v>
      </c>
      <c r="M244" s="13">
        <f>(62.93-62.16)*1000/(32.2*22.1)</f>
        <v>1.0820381664371477</v>
      </c>
      <c r="N244" s="28">
        <v>0</v>
      </c>
      <c r="O244" s="11" t="s">
        <v>486</v>
      </c>
      <c r="U244" s="101"/>
      <c r="V244" s="101"/>
      <c r="W244" s="69" t="e" cm="1">
        <f t="array" ref="W244">_xlfn.XLOOKUP(Table1[[#This Row],[5 cm2 cell test code]:[5 cm2 cell test code]],[1]!Table1[[Test code]:[Test code]],[1]!Table1[i @ 1.8 V DIW (A/cm2)],"",0)</f>
        <v>#REF!</v>
      </c>
      <c r="X244" s="69" t="e" cm="1">
        <f t="array" ref="X244">_xlfn.XLOOKUP(Table1[[#This Row],[5 cm2 cell test code]:[5 cm2 cell test code]],[1]!Table1[[Test code]:[Test code]],[1]!Table1[i @ 1.8 V 10 mM KOH (A/cm2)],"",0)</f>
        <v>#REF!</v>
      </c>
      <c r="Y244" s="69" t="e" cm="1">
        <f t="array" ref="Y244">_xlfn.XLOOKUP(Table1[[#This Row],[5 cm2 cell test code]:[5 cm2 cell test code]],[1]!Table1[[Test code]:[Test code]],[1]!Table1[3-E ƞ at 20mAcm-2 (mV)],"",0)</f>
        <v>#REF!</v>
      </c>
      <c r="Z244" s="69" t="e" cm="1">
        <f t="array" ref="Z244">_xlfn.XLOOKUP(Table1[[#This Row],[5 cm2 cell test code]:[5 cm2 cell test code]],[1]!Table1[[Test code]:[Test code]],[1]!Table1[3-E Tafel slope (mV/dec)],"",0)</f>
        <v>#REF!</v>
      </c>
      <c r="AA244" s="69" t="e" cm="1">
        <f t="array" ref="AA244">_xlfn.XLOOKUP(Table1[[#This Row],[5 cm2 cell test code]:[5 cm2 cell test code]],[1]!Table1[[Test code]:[Test code]],[1]!Table1[E @ 100 mA/cm2 DIW/V],"",0)</f>
        <v>#REF!</v>
      </c>
      <c r="AB244" s="69" t="e" cm="1">
        <f t="array" ref="AB244">_xlfn.XLOOKUP(Table1[[#This Row],[5 cm2 cell test code]:[5 cm2 cell test code]],[1]!Table1[[Test code]:[Test code]],[1]!Table1[E @ 100 mA/cm2 10 mM KOH/V],"",0)</f>
        <v>#REF!</v>
      </c>
      <c r="AC244" s="69" t="e" cm="1">
        <f t="array" ref="AC244">_xlfn.XLOOKUP(Table1[[#This Row],[5 cm2 cell test code]:[5 cm2 cell test code]],[1]!Table1[[Test code]:[Test code]],[1]!Table1[Anode ICR/mOhm],"",0)</f>
        <v>#REF!</v>
      </c>
      <c r="AD244" s="69" t="e" cm="1">
        <f t="array" ref="AD244">_xlfn.XLOOKUP(Table1[[#This Row],[5 cm2 cell test code]:[5 cm2 cell test code]],[1]!Table1[[Test code]:[Test code]],[1]!Table1[HFR DIW/ mOhm cm2],"",0)</f>
        <v>#REF!</v>
      </c>
      <c r="AE244" s="69" t="e" cm="1">
        <f t="array" ref="AE244">_xlfn.XLOOKUP(Table1[[#This Row],[5 cm2 cell test code]:[5 cm2 cell test code]],[1]!Table1[[Test code]:[Test code]],[1]!Table1[HFR 10 mM KOH/ mOhm cm2],"",0)</f>
        <v>#REF!</v>
      </c>
      <c r="AF244" s="69" t="e" cm="1">
        <f t="array" ref="AF244">_xlfn.XLOOKUP(Table1[[#This Row],[5 cm2 cell test code]:[5 cm2 cell test code]],[1]!Table1[[Test code]:[Test code]],[1]!Table1[Ionic resistance DIW/Ohm cm2],"",0)</f>
        <v>#REF!</v>
      </c>
      <c r="AG244" s="69" t="e" cm="1">
        <f t="array" ref="AG244">_xlfn.XLOOKUP(Table1[[#This Row],[5 cm2 cell test code]:[5 cm2 cell test code]],[1]!Table1[[Test code]:[Test code]],[1]!Table1[Q_int_frac DIW],"",0)</f>
        <v>#REF!</v>
      </c>
      <c r="AH244" s="69" t="e" cm="1">
        <f t="array" ref="AH244">_xlfn.XLOOKUP(Table1[[#This Row],[5 cm2 cell test code]:[5 cm2 cell test code]],[1]!Table1[[Test code]:[Test code]],[1]!Table1[Ionic resistance 10 mM KOH/Ohm cm2],"",0)</f>
        <v>#REF!</v>
      </c>
      <c r="AI244" s="69" t="e" cm="1">
        <f t="array" ref="AI244">_xlfn.XLOOKUP(Table1[[#This Row],[5 cm2 cell test code]:[5 cm2 cell test code]],[1]!Table1[[Test code]:[Test code]],[1]!Table1[Q_int_frac DIW 10 mM KOH],"",0)</f>
        <v>#REF!</v>
      </c>
      <c r="AJ244" s="69" t="e" cm="1">
        <f t="array" ref="AJ244">_xlfn.XLOOKUP(Table1[[#This Row],[5 cm2 cell test code]:[5 cm2 cell test code]],[1]!Table1[[Test code]:[Test code]],[1]!Table1[DIW conductivity (µS/cm)],"",0)</f>
        <v>#REF!</v>
      </c>
      <c r="AQ244" s="4" t="str">
        <v>VSG01A-23270C1.01</v>
      </c>
    </row>
    <row r="245" spans="1:43">
      <c r="A245" s="81" t="s">
        <v>487</v>
      </c>
      <c r="B245" s="11" t="s">
        <v>488</v>
      </c>
      <c r="C245" s="4" t="s">
        <v>489</v>
      </c>
      <c r="I245" s="11" t="s">
        <v>114</v>
      </c>
      <c r="J245" s="11" t="s">
        <v>402</v>
      </c>
      <c r="K245" s="43" t="s">
        <v>59</v>
      </c>
      <c r="M245" s="13">
        <f>(63.66-63.37)*1000/(32.1*21.5)</f>
        <v>0.42019850757081673</v>
      </c>
      <c r="O245" s="11" t="s">
        <v>490</v>
      </c>
      <c r="U245" s="101"/>
      <c r="V245" s="101"/>
      <c r="W245" s="69" t="e" cm="1">
        <f t="array" ref="W245">_xlfn.XLOOKUP(Table1[[#This Row],[5 cm2 cell test code]:[5 cm2 cell test code]],[1]!Table1[[Test code]:[Test code]],[1]!Table1[i @ 1.8 V DIW (A/cm2)],"",0)</f>
        <v>#REF!</v>
      </c>
      <c r="X245" s="69" t="e" cm="1">
        <f t="array" ref="X245">_xlfn.XLOOKUP(Table1[[#This Row],[5 cm2 cell test code]:[5 cm2 cell test code]],[1]!Table1[[Test code]:[Test code]],[1]!Table1[i @ 1.8 V 10 mM KOH (A/cm2)],"",0)</f>
        <v>#REF!</v>
      </c>
      <c r="Y245" s="69" t="e" cm="1">
        <f t="array" ref="Y245">_xlfn.XLOOKUP(Table1[[#This Row],[5 cm2 cell test code]:[5 cm2 cell test code]],[1]!Table1[[Test code]:[Test code]],[1]!Table1[3-E ƞ at 20mAcm-2 (mV)],"",0)</f>
        <v>#REF!</v>
      </c>
      <c r="Z245" s="69" t="e" cm="1">
        <f t="array" ref="Z245">_xlfn.XLOOKUP(Table1[[#This Row],[5 cm2 cell test code]:[5 cm2 cell test code]],[1]!Table1[[Test code]:[Test code]],[1]!Table1[3-E Tafel slope (mV/dec)],"",0)</f>
        <v>#REF!</v>
      </c>
      <c r="AA245" s="69" t="e" cm="1">
        <f t="array" ref="AA245">_xlfn.XLOOKUP(Table1[[#This Row],[5 cm2 cell test code]:[5 cm2 cell test code]],[1]!Table1[[Test code]:[Test code]],[1]!Table1[E @ 100 mA/cm2 DIW/V],"",0)</f>
        <v>#REF!</v>
      </c>
      <c r="AB245" s="69" t="e" cm="1">
        <f t="array" ref="AB245">_xlfn.XLOOKUP(Table1[[#This Row],[5 cm2 cell test code]:[5 cm2 cell test code]],[1]!Table1[[Test code]:[Test code]],[1]!Table1[E @ 100 mA/cm2 10 mM KOH/V],"",0)</f>
        <v>#REF!</v>
      </c>
      <c r="AC245" s="69" t="e" cm="1">
        <f t="array" ref="AC245">_xlfn.XLOOKUP(Table1[[#This Row],[5 cm2 cell test code]:[5 cm2 cell test code]],[1]!Table1[[Test code]:[Test code]],[1]!Table1[Anode ICR/mOhm],"",0)</f>
        <v>#REF!</v>
      </c>
      <c r="AD245" s="69" t="e" cm="1">
        <f t="array" ref="AD245">_xlfn.XLOOKUP(Table1[[#This Row],[5 cm2 cell test code]:[5 cm2 cell test code]],[1]!Table1[[Test code]:[Test code]],[1]!Table1[HFR DIW/ mOhm cm2],"",0)</f>
        <v>#REF!</v>
      </c>
      <c r="AE245" s="69" t="e" cm="1">
        <f t="array" ref="AE245">_xlfn.XLOOKUP(Table1[[#This Row],[5 cm2 cell test code]:[5 cm2 cell test code]],[1]!Table1[[Test code]:[Test code]],[1]!Table1[HFR 10 mM KOH/ mOhm cm2],"",0)</f>
        <v>#REF!</v>
      </c>
      <c r="AF245" s="69" t="e" cm="1">
        <f t="array" ref="AF245">_xlfn.XLOOKUP(Table1[[#This Row],[5 cm2 cell test code]:[5 cm2 cell test code]],[1]!Table1[[Test code]:[Test code]],[1]!Table1[Ionic resistance DIW/Ohm cm2],"",0)</f>
        <v>#REF!</v>
      </c>
      <c r="AG245" s="69" t="e" cm="1">
        <f t="array" ref="AG245">_xlfn.XLOOKUP(Table1[[#This Row],[5 cm2 cell test code]:[5 cm2 cell test code]],[1]!Table1[[Test code]:[Test code]],[1]!Table1[Q_int_frac DIW],"",0)</f>
        <v>#REF!</v>
      </c>
      <c r="AH245" s="69" t="e" cm="1">
        <f t="array" ref="AH245">_xlfn.XLOOKUP(Table1[[#This Row],[5 cm2 cell test code]:[5 cm2 cell test code]],[1]!Table1[[Test code]:[Test code]],[1]!Table1[Ionic resistance 10 mM KOH/Ohm cm2],"",0)</f>
        <v>#REF!</v>
      </c>
      <c r="AI245" s="69" t="e" cm="1">
        <f t="array" ref="AI245">_xlfn.XLOOKUP(Table1[[#This Row],[5 cm2 cell test code]:[5 cm2 cell test code]],[1]!Table1[[Test code]:[Test code]],[1]!Table1[Q_int_frac DIW 10 mM KOH],"",0)</f>
        <v>#REF!</v>
      </c>
      <c r="AJ245" s="69" t="e" cm="1">
        <f t="array" ref="AJ245">_xlfn.XLOOKUP(Table1[[#This Row],[5 cm2 cell test code]:[5 cm2 cell test code]],[1]!Table1[[Test code]:[Test code]],[1]!Table1[DIW conductivity (µS/cm)],"",0)</f>
        <v>#REF!</v>
      </c>
      <c r="AQ245" s="4" t="str">
        <v>VSG01A-23270C1.01 - Location #1</v>
      </c>
    </row>
    <row r="246" spans="1:43">
      <c r="A246" s="81"/>
      <c r="B246" s="11" t="s">
        <v>491</v>
      </c>
      <c r="C246" s="4" t="s">
        <v>492</v>
      </c>
      <c r="I246" s="11" t="s">
        <v>493</v>
      </c>
      <c r="K246" s="43" t="s">
        <v>59</v>
      </c>
      <c r="M246" s="13">
        <f>(20.33-20.91)*1000/(10.8*10.8)</f>
        <v>-4.972565157750358</v>
      </c>
      <c r="N246" s="13">
        <v>0</v>
      </c>
      <c r="O246" s="11" t="s">
        <v>494</v>
      </c>
      <c r="P246" s="28">
        <f>(6.2268-6.204)*1000/(6*6.01)</f>
        <v>0.63227953410982118</v>
      </c>
      <c r="U246" s="101"/>
      <c r="V246" s="101"/>
      <c r="W246" s="69" t="e" cm="1">
        <f t="array" ref="W246">_xlfn.XLOOKUP(Table1[[#This Row],[5 cm2 cell test code]:[5 cm2 cell test code]],[1]!Table1[[Test code]:[Test code]],[1]!Table1[i @ 1.8 V DIW (A/cm2)],"",0)</f>
        <v>#REF!</v>
      </c>
      <c r="X246" s="69" t="e" cm="1">
        <f t="array" ref="X246">_xlfn.XLOOKUP(Table1[[#This Row],[5 cm2 cell test code]:[5 cm2 cell test code]],[1]!Table1[[Test code]:[Test code]],[1]!Table1[i @ 1.8 V 10 mM KOH (A/cm2)],"",0)</f>
        <v>#REF!</v>
      </c>
      <c r="Y246" s="69" t="e" cm="1">
        <f t="array" ref="Y246">_xlfn.XLOOKUP(Table1[[#This Row],[5 cm2 cell test code]:[5 cm2 cell test code]],[1]!Table1[[Test code]:[Test code]],[1]!Table1[3-E ƞ at 20mAcm-2 (mV)],"",0)</f>
        <v>#REF!</v>
      </c>
      <c r="Z246" s="69" t="e" cm="1">
        <f t="array" ref="Z246">_xlfn.XLOOKUP(Table1[[#This Row],[5 cm2 cell test code]:[5 cm2 cell test code]],[1]!Table1[[Test code]:[Test code]],[1]!Table1[3-E Tafel slope (mV/dec)],"",0)</f>
        <v>#REF!</v>
      </c>
      <c r="AA246" s="69" t="e" cm="1">
        <f t="array" ref="AA246">_xlfn.XLOOKUP(Table1[[#This Row],[5 cm2 cell test code]:[5 cm2 cell test code]],[1]!Table1[[Test code]:[Test code]],[1]!Table1[E @ 100 mA/cm2 DIW/V],"",0)</f>
        <v>#REF!</v>
      </c>
      <c r="AB246" s="69" t="e" cm="1">
        <f t="array" ref="AB246">_xlfn.XLOOKUP(Table1[[#This Row],[5 cm2 cell test code]:[5 cm2 cell test code]],[1]!Table1[[Test code]:[Test code]],[1]!Table1[E @ 100 mA/cm2 10 mM KOH/V],"",0)</f>
        <v>#REF!</v>
      </c>
      <c r="AC246" s="69" t="e" cm="1">
        <f t="array" ref="AC246">_xlfn.XLOOKUP(Table1[[#This Row],[5 cm2 cell test code]:[5 cm2 cell test code]],[1]!Table1[[Test code]:[Test code]],[1]!Table1[Anode ICR/mOhm],"",0)</f>
        <v>#REF!</v>
      </c>
      <c r="AD246" s="69" t="e" cm="1">
        <f t="array" ref="AD246">_xlfn.XLOOKUP(Table1[[#This Row],[5 cm2 cell test code]:[5 cm2 cell test code]],[1]!Table1[[Test code]:[Test code]],[1]!Table1[HFR DIW/ mOhm cm2],"",0)</f>
        <v>#REF!</v>
      </c>
      <c r="AE246" s="69" t="e" cm="1">
        <f t="array" ref="AE246">_xlfn.XLOOKUP(Table1[[#This Row],[5 cm2 cell test code]:[5 cm2 cell test code]],[1]!Table1[[Test code]:[Test code]],[1]!Table1[HFR 10 mM KOH/ mOhm cm2],"",0)</f>
        <v>#REF!</v>
      </c>
      <c r="AF246" s="69" t="e" cm="1">
        <f t="array" ref="AF246">_xlfn.XLOOKUP(Table1[[#This Row],[5 cm2 cell test code]:[5 cm2 cell test code]],[1]!Table1[[Test code]:[Test code]],[1]!Table1[Ionic resistance DIW/Ohm cm2],"",0)</f>
        <v>#REF!</v>
      </c>
      <c r="AG246" s="69" t="e" cm="1">
        <f t="array" ref="AG246">_xlfn.XLOOKUP(Table1[[#This Row],[5 cm2 cell test code]:[5 cm2 cell test code]],[1]!Table1[[Test code]:[Test code]],[1]!Table1[Q_int_frac DIW],"",0)</f>
        <v>#REF!</v>
      </c>
      <c r="AH246" s="69" t="e" cm="1">
        <f t="array" ref="AH246">_xlfn.XLOOKUP(Table1[[#This Row],[5 cm2 cell test code]:[5 cm2 cell test code]],[1]!Table1[[Test code]:[Test code]],[1]!Table1[Ionic resistance 10 mM KOH/Ohm cm2],"",0)</f>
        <v>#REF!</v>
      </c>
      <c r="AI246" s="69" t="e" cm="1">
        <f t="array" ref="AI246">_xlfn.XLOOKUP(Table1[[#This Row],[5 cm2 cell test code]:[5 cm2 cell test code]],[1]!Table1[[Test code]:[Test code]],[1]!Table1[Q_int_frac DIW 10 mM KOH],"",0)</f>
        <v>#REF!</v>
      </c>
      <c r="AJ246" s="69" t="e" cm="1">
        <f t="array" ref="AJ246">_xlfn.XLOOKUP(Table1[[#This Row],[5 cm2 cell test code]:[5 cm2 cell test code]],[1]!Table1[[Test code]:[Test code]],[1]!Table1[DIW conductivity (µS/cm)],"",0)</f>
        <v>#REF!</v>
      </c>
      <c r="AQ246" s="4" t="str">
        <v>VSG01A-23270C1.01 - Location #3</v>
      </c>
    </row>
    <row r="247" spans="1:43">
      <c r="A247" s="81" t="s">
        <v>495</v>
      </c>
      <c r="B247" s="11" t="s">
        <v>496</v>
      </c>
      <c r="C247" s="4" t="s">
        <v>497</v>
      </c>
      <c r="I247" s="11" t="s">
        <v>114</v>
      </c>
      <c r="J247" s="11" t="s">
        <v>402</v>
      </c>
      <c r="K247" s="43" t="s">
        <v>59</v>
      </c>
      <c r="M247" s="13">
        <f>(65.04-64.59)*1000/(32.1*21.7)</f>
        <v>0.64602265386106605</v>
      </c>
      <c r="N247" s="13">
        <v>2.52</v>
      </c>
      <c r="O247" s="11" t="s">
        <v>498</v>
      </c>
      <c r="P247" s="28">
        <v>1.1080000000000001</v>
      </c>
      <c r="Q247" s="147"/>
      <c r="R247" s="50">
        <v>1.02</v>
      </c>
      <c r="S247" s="50">
        <v>217</v>
      </c>
      <c r="T247" s="50">
        <v>32.700000000000003</v>
      </c>
      <c r="U247" s="101"/>
      <c r="V247" s="101"/>
      <c r="W247" s="69" t="e" cm="1">
        <f t="array" ref="W247">_xlfn.XLOOKUP(Table1[[#This Row],[5 cm2 cell test code]:[5 cm2 cell test code]],[1]!Table1[[Test code]:[Test code]],[1]!Table1[i @ 1.8 V DIW (A/cm2)],"",0)</f>
        <v>#REF!</v>
      </c>
      <c r="X247" s="69" t="e" cm="1">
        <f t="array" ref="X247">_xlfn.XLOOKUP(Table1[[#This Row],[5 cm2 cell test code]:[5 cm2 cell test code]],[1]!Table1[[Test code]:[Test code]],[1]!Table1[i @ 1.8 V 10 mM KOH (A/cm2)],"",0)</f>
        <v>#REF!</v>
      </c>
      <c r="Y247" s="69" t="e" cm="1">
        <f t="array" ref="Y247">_xlfn.XLOOKUP(Table1[[#This Row],[5 cm2 cell test code]:[5 cm2 cell test code]],[1]!Table1[[Test code]:[Test code]],[1]!Table1[3-E ƞ at 20mAcm-2 (mV)],"",0)</f>
        <v>#REF!</v>
      </c>
      <c r="Z247" s="69" t="e" cm="1">
        <f t="array" ref="Z247">_xlfn.XLOOKUP(Table1[[#This Row],[5 cm2 cell test code]:[5 cm2 cell test code]],[1]!Table1[[Test code]:[Test code]],[1]!Table1[3-E Tafel slope (mV/dec)],"",0)</f>
        <v>#REF!</v>
      </c>
      <c r="AA247" s="69" t="e" cm="1">
        <f t="array" ref="AA247">_xlfn.XLOOKUP(Table1[[#This Row],[5 cm2 cell test code]:[5 cm2 cell test code]],[1]!Table1[[Test code]:[Test code]],[1]!Table1[E @ 100 mA/cm2 DIW/V],"",0)</f>
        <v>#REF!</v>
      </c>
      <c r="AB247" s="69" t="e" cm="1">
        <f t="array" ref="AB247">_xlfn.XLOOKUP(Table1[[#This Row],[5 cm2 cell test code]:[5 cm2 cell test code]],[1]!Table1[[Test code]:[Test code]],[1]!Table1[E @ 100 mA/cm2 10 mM KOH/V],"",0)</f>
        <v>#REF!</v>
      </c>
      <c r="AC247" s="69" t="e" cm="1">
        <f t="array" ref="AC247">_xlfn.XLOOKUP(Table1[[#This Row],[5 cm2 cell test code]:[5 cm2 cell test code]],[1]!Table1[[Test code]:[Test code]],[1]!Table1[Anode ICR/mOhm],"",0)</f>
        <v>#REF!</v>
      </c>
      <c r="AD247" s="69" t="e" cm="1">
        <f t="array" ref="AD247">_xlfn.XLOOKUP(Table1[[#This Row],[5 cm2 cell test code]:[5 cm2 cell test code]],[1]!Table1[[Test code]:[Test code]],[1]!Table1[HFR DIW/ mOhm cm2],"",0)</f>
        <v>#REF!</v>
      </c>
      <c r="AE247" s="69" t="e" cm="1">
        <f t="array" ref="AE247">_xlfn.XLOOKUP(Table1[[#This Row],[5 cm2 cell test code]:[5 cm2 cell test code]],[1]!Table1[[Test code]:[Test code]],[1]!Table1[HFR 10 mM KOH/ mOhm cm2],"",0)</f>
        <v>#REF!</v>
      </c>
      <c r="AF247" s="69" t="e" cm="1">
        <f t="array" ref="AF247">_xlfn.XLOOKUP(Table1[[#This Row],[5 cm2 cell test code]:[5 cm2 cell test code]],[1]!Table1[[Test code]:[Test code]],[1]!Table1[Ionic resistance DIW/Ohm cm2],"",0)</f>
        <v>#REF!</v>
      </c>
      <c r="AG247" s="69" t="e" cm="1">
        <f t="array" ref="AG247">_xlfn.XLOOKUP(Table1[[#This Row],[5 cm2 cell test code]:[5 cm2 cell test code]],[1]!Table1[[Test code]:[Test code]],[1]!Table1[Q_int_frac DIW],"",0)</f>
        <v>#REF!</v>
      </c>
      <c r="AH247" s="69" t="e" cm="1">
        <f t="array" ref="AH247">_xlfn.XLOOKUP(Table1[[#This Row],[5 cm2 cell test code]:[5 cm2 cell test code]],[1]!Table1[[Test code]:[Test code]],[1]!Table1[Ionic resistance 10 mM KOH/Ohm cm2],"",0)</f>
        <v>#REF!</v>
      </c>
      <c r="AI247" s="69" t="e" cm="1">
        <f t="array" ref="AI247">_xlfn.XLOOKUP(Table1[[#This Row],[5 cm2 cell test code]:[5 cm2 cell test code]],[1]!Table1[[Test code]:[Test code]],[1]!Table1[Q_int_frac DIW 10 mM KOH],"",0)</f>
        <v>#REF!</v>
      </c>
      <c r="AJ247" s="69" t="e" cm="1">
        <f t="array" ref="AJ247">_xlfn.XLOOKUP(Table1[[#This Row],[5 cm2 cell test code]:[5 cm2 cell test code]],[1]!Table1[[Test code]:[Test code]],[1]!Table1[DIW conductivity (µS/cm)],"",0)</f>
        <v>#REF!</v>
      </c>
      <c r="AQ247" s="4" t="str">
        <v>VSG01A-23270C1.01 - Location #4</v>
      </c>
    </row>
    <row r="248" spans="1:43">
      <c r="A248" s="81"/>
      <c r="B248" s="4"/>
      <c r="K248" s="43" t="s">
        <v>59</v>
      </c>
      <c r="U248" s="101"/>
      <c r="V248" s="101"/>
      <c r="W248" s="69" t="e" cm="1">
        <f t="array" ref="W248">_xlfn.XLOOKUP(Table1[[#This Row],[5 cm2 cell test code]:[5 cm2 cell test code]],[1]!Table1[[Test code]:[Test code]],[1]!Table1[i @ 1.8 V DIW (A/cm2)],"",0)</f>
        <v>#REF!</v>
      </c>
      <c r="X248" s="69" t="e" cm="1">
        <f t="array" ref="X248">_xlfn.XLOOKUP(Table1[[#This Row],[5 cm2 cell test code]:[5 cm2 cell test code]],[1]!Table1[[Test code]:[Test code]],[1]!Table1[i @ 1.8 V 10 mM KOH (A/cm2)],"",0)</f>
        <v>#REF!</v>
      </c>
      <c r="Y248" s="69" t="e" cm="1">
        <f t="array" ref="Y248">_xlfn.XLOOKUP(Table1[[#This Row],[5 cm2 cell test code]:[5 cm2 cell test code]],[1]!Table1[[Test code]:[Test code]],[1]!Table1[3-E ƞ at 20mAcm-2 (mV)],"",0)</f>
        <v>#REF!</v>
      </c>
      <c r="Z248" s="69" t="e" cm="1">
        <f t="array" ref="Z248">_xlfn.XLOOKUP(Table1[[#This Row],[5 cm2 cell test code]:[5 cm2 cell test code]],[1]!Table1[[Test code]:[Test code]],[1]!Table1[3-E Tafel slope (mV/dec)],"",0)</f>
        <v>#REF!</v>
      </c>
      <c r="AA248" s="69" t="e" cm="1">
        <f t="array" ref="AA248">_xlfn.XLOOKUP(Table1[[#This Row],[5 cm2 cell test code]:[5 cm2 cell test code]],[1]!Table1[[Test code]:[Test code]],[1]!Table1[E @ 100 mA/cm2 DIW/V],"",0)</f>
        <v>#REF!</v>
      </c>
      <c r="AB248" s="69" t="e" cm="1">
        <f t="array" ref="AB248">_xlfn.XLOOKUP(Table1[[#This Row],[5 cm2 cell test code]:[5 cm2 cell test code]],[1]!Table1[[Test code]:[Test code]],[1]!Table1[E @ 100 mA/cm2 10 mM KOH/V],"",0)</f>
        <v>#REF!</v>
      </c>
      <c r="AC248" s="69" t="e" cm="1">
        <f t="array" ref="AC248">_xlfn.XLOOKUP(Table1[[#This Row],[5 cm2 cell test code]:[5 cm2 cell test code]],[1]!Table1[[Test code]:[Test code]],[1]!Table1[Anode ICR/mOhm],"",0)</f>
        <v>#REF!</v>
      </c>
      <c r="AD248" s="69" t="e" cm="1">
        <f t="array" ref="AD248">_xlfn.XLOOKUP(Table1[[#This Row],[5 cm2 cell test code]:[5 cm2 cell test code]],[1]!Table1[[Test code]:[Test code]],[1]!Table1[HFR DIW/ mOhm cm2],"",0)</f>
        <v>#REF!</v>
      </c>
      <c r="AE248" s="69" t="e" cm="1">
        <f t="array" ref="AE248">_xlfn.XLOOKUP(Table1[[#This Row],[5 cm2 cell test code]:[5 cm2 cell test code]],[1]!Table1[[Test code]:[Test code]],[1]!Table1[HFR 10 mM KOH/ mOhm cm2],"",0)</f>
        <v>#REF!</v>
      </c>
      <c r="AF248" s="69" t="e" cm="1">
        <f t="array" ref="AF248">_xlfn.XLOOKUP(Table1[[#This Row],[5 cm2 cell test code]:[5 cm2 cell test code]],[1]!Table1[[Test code]:[Test code]],[1]!Table1[Ionic resistance DIW/Ohm cm2],"",0)</f>
        <v>#REF!</v>
      </c>
      <c r="AG248" s="69" t="e" cm="1">
        <f t="array" ref="AG248">_xlfn.XLOOKUP(Table1[[#This Row],[5 cm2 cell test code]:[5 cm2 cell test code]],[1]!Table1[[Test code]:[Test code]],[1]!Table1[Q_int_frac DIW],"",0)</f>
        <v>#REF!</v>
      </c>
      <c r="AH248" s="69" t="e" cm="1">
        <f t="array" ref="AH248">_xlfn.XLOOKUP(Table1[[#This Row],[5 cm2 cell test code]:[5 cm2 cell test code]],[1]!Table1[[Test code]:[Test code]],[1]!Table1[Ionic resistance 10 mM KOH/Ohm cm2],"",0)</f>
        <v>#REF!</v>
      </c>
      <c r="AI248" s="69" t="e" cm="1">
        <f t="array" ref="AI248">_xlfn.XLOOKUP(Table1[[#This Row],[5 cm2 cell test code]:[5 cm2 cell test code]],[1]!Table1[[Test code]:[Test code]],[1]!Table1[Q_int_frac DIW 10 mM KOH],"",0)</f>
        <v>#REF!</v>
      </c>
      <c r="AJ248" s="69" t="e" cm="1">
        <f t="array" ref="AJ248">_xlfn.XLOOKUP(Table1[[#This Row],[5 cm2 cell test code]:[5 cm2 cell test code]],[1]!Table1[[Test code]:[Test code]],[1]!Table1[DIW conductivity (µS/cm)],"",0)</f>
        <v>#REF!</v>
      </c>
      <c r="AQ248" s="4" t="str">
        <v>VSG01A-23270C1.01 - Location #5</v>
      </c>
    </row>
    <row r="249" spans="1:43">
      <c r="A249" s="81" t="s">
        <v>499</v>
      </c>
      <c r="B249" s="11" t="s">
        <v>500</v>
      </c>
      <c r="C249" s="4" t="s">
        <v>501</v>
      </c>
      <c r="I249" s="11" t="s">
        <v>114</v>
      </c>
      <c r="J249" s="11" t="s">
        <v>402</v>
      </c>
      <c r="K249" s="43" t="s">
        <v>59</v>
      </c>
      <c r="M249" s="13">
        <v>0.61799999999999999</v>
      </c>
      <c r="N249" s="13">
        <v>2.25</v>
      </c>
      <c r="O249" s="11" t="s">
        <v>502</v>
      </c>
      <c r="P249" s="28">
        <v>1.05</v>
      </c>
      <c r="Q249" s="147"/>
      <c r="U249" s="101"/>
      <c r="V249" s="101"/>
      <c r="W249" s="69" t="e" cm="1">
        <f t="array" ref="W249">_xlfn.XLOOKUP(Table1[[#This Row],[5 cm2 cell test code]:[5 cm2 cell test code]],[1]!Table1[[Test code]:[Test code]],[1]!Table1[i @ 1.8 V DIW (A/cm2)],"",0)</f>
        <v>#REF!</v>
      </c>
      <c r="X249" s="69" t="e" cm="1">
        <f t="array" ref="X249">_xlfn.XLOOKUP(Table1[[#This Row],[5 cm2 cell test code]:[5 cm2 cell test code]],[1]!Table1[[Test code]:[Test code]],[1]!Table1[i @ 1.8 V 10 mM KOH (A/cm2)],"",0)</f>
        <v>#REF!</v>
      </c>
      <c r="Y249" s="69" t="e" cm="1">
        <f t="array" ref="Y249">_xlfn.XLOOKUP(Table1[[#This Row],[5 cm2 cell test code]:[5 cm2 cell test code]],[1]!Table1[[Test code]:[Test code]],[1]!Table1[3-E ƞ at 20mAcm-2 (mV)],"",0)</f>
        <v>#REF!</v>
      </c>
      <c r="Z249" s="69" t="e" cm="1">
        <f t="array" ref="Z249">_xlfn.XLOOKUP(Table1[[#This Row],[5 cm2 cell test code]:[5 cm2 cell test code]],[1]!Table1[[Test code]:[Test code]],[1]!Table1[3-E Tafel slope (mV/dec)],"",0)</f>
        <v>#REF!</v>
      </c>
      <c r="AA249" s="69" t="e" cm="1">
        <f t="array" ref="AA249">_xlfn.XLOOKUP(Table1[[#This Row],[5 cm2 cell test code]:[5 cm2 cell test code]],[1]!Table1[[Test code]:[Test code]],[1]!Table1[E @ 100 mA/cm2 DIW/V],"",0)</f>
        <v>#REF!</v>
      </c>
      <c r="AB249" s="69" t="e" cm="1">
        <f t="array" ref="AB249">_xlfn.XLOOKUP(Table1[[#This Row],[5 cm2 cell test code]:[5 cm2 cell test code]],[1]!Table1[[Test code]:[Test code]],[1]!Table1[E @ 100 mA/cm2 10 mM KOH/V],"",0)</f>
        <v>#REF!</v>
      </c>
      <c r="AC249" s="69" t="e" cm="1">
        <f t="array" ref="AC249">_xlfn.XLOOKUP(Table1[[#This Row],[5 cm2 cell test code]:[5 cm2 cell test code]],[1]!Table1[[Test code]:[Test code]],[1]!Table1[Anode ICR/mOhm],"",0)</f>
        <v>#REF!</v>
      </c>
      <c r="AD249" s="69" t="e" cm="1">
        <f t="array" ref="AD249">_xlfn.XLOOKUP(Table1[[#This Row],[5 cm2 cell test code]:[5 cm2 cell test code]],[1]!Table1[[Test code]:[Test code]],[1]!Table1[HFR DIW/ mOhm cm2],"",0)</f>
        <v>#REF!</v>
      </c>
      <c r="AE249" s="69" t="e" cm="1">
        <f t="array" ref="AE249">_xlfn.XLOOKUP(Table1[[#This Row],[5 cm2 cell test code]:[5 cm2 cell test code]],[1]!Table1[[Test code]:[Test code]],[1]!Table1[HFR 10 mM KOH/ mOhm cm2],"",0)</f>
        <v>#REF!</v>
      </c>
      <c r="AF249" s="69" t="e" cm="1">
        <f t="array" ref="AF249">_xlfn.XLOOKUP(Table1[[#This Row],[5 cm2 cell test code]:[5 cm2 cell test code]],[1]!Table1[[Test code]:[Test code]],[1]!Table1[Ionic resistance DIW/Ohm cm2],"",0)</f>
        <v>#REF!</v>
      </c>
      <c r="AG249" s="69" t="e" cm="1">
        <f t="array" ref="AG249">_xlfn.XLOOKUP(Table1[[#This Row],[5 cm2 cell test code]:[5 cm2 cell test code]],[1]!Table1[[Test code]:[Test code]],[1]!Table1[Q_int_frac DIW],"",0)</f>
        <v>#REF!</v>
      </c>
      <c r="AH249" s="69" t="e" cm="1">
        <f t="array" ref="AH249">_xlfn.XLOOKUP(Table1[[#This Row],[5 cm2 cell test code]:[5 cm2 cell test code]],[1]!Table1[[Test code]:[Test code]],[1]!Table1[Ionic resistance 10 mM KOH/Ohm cm2],"",0)</f>
        <v>#REF!</v>
      </c>
      <c r="AI249" s="69" t="e" cm="1">
        <f t="array" ref="AI249">_xlfn.XLOOKUP(Table1[[#This Row],[5 cm2 cell test code]:[5 cm2 cell test code]],[1]!Table1[[Test code]:[Test code]],[1]!Table1[Q_int_frac DIW 10 mM KOH],"",0)</f>
        <v>#REF!</v>
      </c>
      <c r="AJ249" s="69" t="e" cm="1">
        <f t="array" ref="AJ249">_xlfn.XLOOKUP(Table1[[#This Row],[5 cm2 cell test code]:[5 cm2 cell test code]],[1]!Table1[[Test code]:[Test code]],[1]!Table1[DIW conductivity (µS/cm)],"",0)</f>
        <v>#REF!</v>
      </c>
      <c r="AQ249" s="4" t="str">
        <v>VSG01A-23270C1.01 - Location #7</v>
      </c>
    </row>
    <row r="250" spans="1:43">
      <c r="A250" s="81" t="s">
        <v>503</v>
      </c>
      <c r="B250" s="11" t="s">
        <v>504</v>
      </c>
      <c r="C250" s="4" t="s">
        <v>505</v>
      </c>
      <c r="I250" s="11" t="s">
        <v>114</v>
      </c>
      <c r="J250" s="11" t="s">
        <v>402</v>
      </c>
      <c r="K250" s="43" t="s">
        <v>59</v>
      </c>
      <c r="M250" s="13">
        <v>2.8159999999999998</v>
      </c>
      <c r="N250" s="13">
        <v>1.6</v>
      </c>
      <c r="O250" s="11" t="s">
        <v>506</v>
      </c>
      <c r="P250" s="28">
        <v>1.196</v>
      </c>
      <c r="Q250" s="147"/>
      <c r="U250" s="101"/>
      <c r="V250" s="101"/>
      <c r="W250" s="69" t="e" cm="1">
        <f t="array" ref="W250">_xlfn.XLOOKUP(Table1[[#This Row],[5 cm2 cell test code]:[5 cm2 cell test code]],[1]!Table1[[Test code]:[Test code]],[1]!Table1[i @ 1.8 V DIW (A/cm2)],"",0)</f>
        <v>#REF!</v>
      </c>
      <c r="X250" s="69" t="e" cm="1">
        <f t="array" ref="X250">_xlfn.XLOOKUP(Table1[[#This Row],[5 cm2 cell test code]:[5 cm2 cell test code]],[1]!Table1[[Test code]:[Test code]],[1]!Table1[i @ 1.8 V 10 mM KOH (A/cm2)],"",0)</f>
        <v>#REF!</v>
      </c>
      <c r="Y250" s="69" t="e" cm="1">
        <f t="array" ref="Y250">_xlfn.XLOOKUP(Table1[[#This Row],[5 cm2 cell test code]:[5 cm2 cell test code]],[1]!Table1[[Test code]:[Test code]],[1]!Table1[3-E ƞ at 20mAcm-2 (mV)],"",0)</f>
        <v>#REF!</v>
      </c>
      <c r="Z250" s="69" t="e" cm="1">
        <f t="array" ref="Z250">_xlfn.XLOOKUP(Table1[[#This Row],[5 cm2 cell test code]:[5 cm2 cell test code]],[1]!Table1[[Test code]:[Test code]],[1]!Table1[3-E Tafel slope (mV/dec)],"",0)</f>
        <v>#REF!</v>
      </c>
      <c r="AA250" s="69" t="e" cm="1">
        <f t="array" ref="AA250">_xlfn.XLOOKUP(Table1[[#This Row],[5 cm2 cell test code]:[5 cm2 cell test code]],[1]!Table1[[Test code]:[Test code]],[1]!Table1[E @ 100 mA/cm2 DIW/V],"",0)</f>
        <v>#REF!</v>
      </c>
      <c r="AB250" s="69" t="e" cm="1">
        <f t="array" ref="AB250">_xlfn.XLOOKUP(Table1[[#This Row],[5 cm2 cell test code]:[5 cm2 cell test code]],[1]!Table1[[Test code]:[Test code]],[1]!Table1[E @ 100 mA/cm2 10 mM KOH/V],"",0)</f>
        <v>#REF!</v>
      </c>
      <c r="AC250" s="69" t="e" cm="1">
        <f t="array" ref="AC250">_xlfn.XLOOKUP(Table1[[#This Row],[5 cm2 cell test code]:[5 cm2 cell test code]],[1]!Table1[[Test code]:[Test code]],[1]!Table1[Anode ICR/mOhm],"",0)</f>
        <v>#REF!</v>
      </c>
      <c r="AD250" s="69" t="e" cm="1">
        <f t="array" ref="AD250">_xlfn.XLOOKUP(Table1[[#This Row],[5 cm2 cell test code]:[5 cm2 cell test code]],[1]!Table1[[Test code]:[Test code]],[1]!Table1[HFR DIW/ mOhm cm2],"",0)</f>
        <v>#REF!</v>
      </c>
      <c r="AE250" s="69" t="e" cm="1">
        <f t="array" ref="AE250">_xlfn.XLOOKUP(Table1[[#This Row],[5 cm2 cell test code]:[5 cm2 cell test code]],[1]!Table1[[Test code]:[Test code]],[1]!Table1[HFR 10 mM KOH/ mOhm cm2],"",0)</f>
        <v>#REF!</v>
      </c>
      <c r="AF250" s="69" t="e" cm="1">
        <f t="array" ref="AF250">_xlfn.XLOOKUP(Table1[[#This Row],[5 cm2 cell test code]:[5 cm2 cell test code]],[1]!Table1[[Test code]:[Test code]],[1]!Table1[Ionic resistance DIW/Ohm cm2],"",0)</f>
        <v>#REF!</v>
      </c>
      <c r="AG250" s="69" t="e" cm="1">
        <f t="array" ref="AG250">_xlfn.XLOOKUP(Table1[[#This Row],[5 cm2 cell test code]:[5 cm2 cell test code]],[1]!Table1[[Test code]:[Test code]],[1]!Table1[Q_int_frac DIW],"",0)</f>
        <v>#REF!</v>
      </c>
      <c r="AH250" s="69" t="e" cm="1">
        <f t="array" ref="AH250">_xlfn.XLOOKUP(Table1[[#This Row],[5 cm2 cell test code]:[5 cm2 cell test code]],[1]!Table1[[Test code]:[Test code]],[1]!Table1[Ionic resistance 10 mM KOH/Ohm cm2],"",0)</f>
        <v>#REF!</v>
      </c>
      <c r="AI250" s="69" t="e" cm="1">
        <f t="array" ref="AI250">_xlfn.XLOOKUP(Table1[[#This Row],[5 cm2 cell test code]:[5 cm2 cell test code]],[1]!Table1[[Test code]:[Test code]],[1]!Table1[Q_int_frac DIW 10 mM KOH],"",0)</f>
        <v>#REF!</v>
      </c>
      <c r="AJ250" s="69" t="e" cm="1">
        <f t="array" ref="AJ250">_xlfn.XLOOKUP(Table1[[#This Row],[5 cm2 cell test code]:[5 cm2 cell test code]],[1]!Table1[[Test code]:[Test code]],[1]!Table1[DIW conductivity (µS/cm)],"",0)</f>
        <v>#REF!</v>
      </c>
      <c r="AQ250" s="4" t="str">
        <v>VSG01A-23270C1.01 - Location #8</v>
      </c>
    </row>
    <row r="251" spans="1:43">
      <c r="A251" s="81" t="s">
        <v>507</v>
      </c>
      <c r="B251" s="11" t="s">
        <v>508</v>
      </c>
      <c r="C251" s="4" t="s">
        <v>509</v>
      </c>
      <c r="I251" s="11" t="s">
        <v>114</v>
      </c>
      <c r="J251" s="11" t="s">
        <v>402</v>
      </c>
      <c r="K251" s="43" t="s">
        <v>59</v>
      </c>
      <c r="M251" s="13">
        <v>0.87</v>
      </c>
      <c r="N251" s="13">
        <v>4.22</v>
      </c>
      <c r="O251" s="11" t="s">
        <v>510</v>
      </c>
      <c r="P251" s="28">
        <v>1.6559999999999999</v>
      </c>
      <c r="Q251" s="147"/>
      <c r="U251" s="101"/>
      <c r="V251" s="101"/>
      <c r="W251" s="69" t="e" cm="1">
        <f t="array" ref="W251">_xlfn.XLOOKUP(Table1[[#This Row],[5 cm2 cell test code]:[5 cm2 cell test code]],[1]!Table1[[Test code]:[Test code]],[1]!Table1[i @ 1.8 V DIW (A/cm2)],"",0)</f>
        <v>#REF!</v>
      </c>
      <c r="X251" s="69" t="e" cm="1">
        <f t="array" ref="X251">_xlfn.XLOOKUP(Table1[[#This Row],[5 cm2 cell test code]:[5 cm2 cell test code]],[1]!Table1[[Test code]:[Test code]],[1]!Table1[i @ 1.8 V 10 mM KOH (A/cm2)],"",0)</f>
        <v>#REF!</v>
      </c>
      <c r="Y251" s="69" t="e" cm="1">
        <f t="array" ref="Y251">_xlfn.XLOOKUP(Table1[[#This Row],[5 cm2 cell test code]:[5 cm2 cell test code]],[1]!Table1[[Test code]:[Test code]],[1]!Table1[3-E ƞ at 20mAcm-2 (mV)],"",0)</f>
        <v>#REF!</v>
      </c>
      <c r="Z251" s="69" t="e" cm="1">
        <f t="array" ref="Z251">_xlfn.XLOOKUP(Table1[[#This Row],[5 cm2 cell test code]:[5 cm2 cell test code]],[1]!Table1[[Test code]:[Test code]],[1]!Table1[3-E Tafel slope (mV/dec)],"",0)</f>
        <v>#REF!</v>
      </c>
      <c r="AA251" s="69" t="e" cm="1">
        <f t="array" ref="AA251">_xlfn.XLOOKUP(Table1[[#This Row],[5 cm2 cell test code]:[5 cm2 cell test code]],[1]!Table1[[Test code]:[Test code]],[1]!Table1[E @ 100 mA/cm2 DIW/V],"",0)</f>
        <v>#REF!</v>
      </c>
      <c r="AB251" s="69" t="e" cm="1">
        <f t="array" ref="AB251">_xlfn.XLOOKUP(Table1[[#This Row],[5 cm2 cell test code]:[5 cm2 cell test code]],[1]!Table1[[Test code]:[Test code]],[1]!Table1[E @ 100 mA/cm2 10 mM KOH/V],"",0)</f>
        <v>#REF!</v>
      </c>
      <c r="AC251" s="69" t="e" cm="1">
        <f t="array" ref="AC251">_xlfn.XLOOKUP(Table1[[#This Row],[5 cm2 cell test code]:[5 cm2 cell test code]],[1]!Table1[[Test code]:[Test code]],[1]!Table1[Anode ICR/mOhm],"",0)</f>
        <v>#REF!</v>
      </c>
      <c r="AD251" s="69" t="e" cm="1">
        <f t="array" ref="AD251">_xlfn.XLOOKUP(Table1[[#This Row],[5 cm2 cell test code]:[5 cm2 cell test code]],[1]!Table1[[Test code]:[Test code]],[1]!Table1[HFR DIW/ mOhm cm2],"",0)</f>
        <v>#REF!</v>
      </c>
      <c r="AE251" s="69" t="e" cm="1">
        <f t="array" ref="AE251">_xlfn.XLOOKUP(Table1[[#This Row],[5 cm2 cell test code]:[5 cm2 cell test code]],[1]!Table1[[Test code]:[Test code]],[1]!Table1[HFR 10 mM KOH/ mOhm cm2],"",0)</f>
        <v>#REF!</v>
      </c>
      <c r="AF251" s="69" t="e" cm="1">
        <f t="array" ref="AF251">_xlfn.XLOOKUP(Table1[[#This Row],[5 cm2 cell test code]:[5 cm2 cell test code]],[1]!Table1[[Test code]:[Test code]],[1]!Table1[Ionic resistance DIW/Ohm cm2],"",0)</f>
        <v>#REF!</v>
      </c>
      <c r="AG251" s="69" t="e" cm="1">
        <f t="array" ref="AG251">_xlfn.XLOOKUP(Table1[[#This Row],[5 cm2 cell test code]:[5 cm2 cell test code]],[1]!Table1[[Test code]:[Test code]],[1]!Table1[Q_int_frac DIW],"",0)</f>
        <v>#REF!</v>
      </c>
      <c r="AH251" s="69" t="e" cm="1">
        <f t="array" ref="AH251">_xlfn.XLOOKUP(Table1[[#This Row],[5 cm2 cell test code]:[5 cm2 cell test code]],[1]!Table1[[Test code]:[Test code]],[1]!Table1[Ionic resistance 10 mM KOH/Ohm cm2],"",0)</f>
        <v>#REF!</v>
      </c>
      <c r="AI251" s="69" t="e" cm="1">
        <f t="array" ref="AI251">_xlfn.XLOOKUP(Table1[[#This Row],[5 cm2 cell test code]:[5 cm2 cell test code]],[1]!Table1[[Test code]:[Test code]],[1]!Table1[Q_int_frac DIW 10 mM KOH],"",0)</f>
        <v>#REF!</v>
      </c>
      <c r="AJ251" s="69" t="e" cm="1">
        <f t="array" ref="AJ251">_xlfn.XLOOKUP(Table1[[#This Row],[5 cm2 cell test code]:[5 cm2 cell test code]],[1]!Table1[[Test code]:[Test code]],[1]!Table1[DIW conductivity (µS/cm)],"",0)</f>
        <v>#REF!</v>
      </c>
      <c r="AQ251" s="4" t="str">
        <v>VSG01A-23271C1.01</v>
      </c>
    </row>
    <row r="252" spans="1:43">
      <c r="A252" s="81" t="s">
        <v>511</v>
      </c>
      <c r="B252" s="11" t="s">
        <v>512</v>
      </c>
      <c r="C252" s="4" t="s">
        <v>513</v>
      </c>
      <c r="I252" s="11" t="s">
        <v>114</v>
      </c>
      <c r="J252" s="11" t="s">
        <v>402</v>
      </c>
      <c r="K252" s="43" t="s">
        <v>59</v>
      </c>
      <c r="M252" s="13">
        <v>2.13</v>
      </c>
      <c r="N252" s="13">
        <v>2.2799999999999998</v>
      </c>
      <c r="O252" s="11" t="s">
        <v>498</v>
      </c>
      <c r="P252" s="28">
        <v>1.0469999999999999</v>
      </c>
      <c r="Q252" s="147"/>
      <c r="U252" s="101"/>
      <c r="V252" s="101"/>
      <c r="W252" s="69" t="e" cm="1">
        <f t="array" ref="W252">_xlfn.XLOOKUP(Table1[[#This Row],[5 cm2 cell test code]:[5 cm2 cell test code]],[1]!Table1[[Test code]:[Test code]],[1]!Table1[i @ 1.8 V DIW (A/cm2)],"",0)</f>
        <v>#REF!</v>
      </c>
      <c r="X252" s="69" t="e" cm="1">
        <f t="array" ref="X252">_xlfn.XLOOKUP(Table1[[#This Row],[5 cm2 cell test code]:[5 cm2 cell test code]],[1]!Table1[[Test code]:[Test code]],[1]!Table1[i @ 1.8 V 10 mM KOH (A/cm2)],"",0)</f>
        <v>#REF!</v>
      </c>
      <c r="Y252" s="69" t="e" cm="1">
        <f t="array" ref="Y252">_xlfn.XLOOKUP(Table1[[#This Row],[5 cm2 cell test code]:[5 cm2 cell test code]],[1]!Table1[[Test code]:[Test code]],[1]!Table1[3-E ƞ at 20mAcm-2 (mV)],"",0)</f>
        <v>#REF!</v>
      </c>
      <c r="Z252" s="69" t="e" cm="1">
        <f t="array" ref="Z252">_xlfn.XLOOKUP(Table1[[#This Row],[5 cm2 cell test code]:[5 cm2 cell test code]],[1]!Table1[[Test code]:[Test code]],[1]!Table1[3-E Tafel slope (mV/dec)],"",0)</f>
        <v>#REF!</v>
      </c>
      <c r="AA252" s="69" t="e" cm="1">
        <f t="array" ref="AA252">_xlfn.XLOOKUP(Table1[[#This Row],[5 cm2 cell test code]:[5 cm2 cell test code]],[1]!Table1[[Test code]:[Test code]],[1]!Table1[E @ 100 mA/cm2 DIW/V],"",0)</f>
        <v>#REF!</v>
      </c>
      <c r="AB252" s="69" t="e" cm="1">
        <f t="array" ref="AB252">_xlfn.XLOOKUP(Table1[[#This Row],[5 cm2 cell test code]:[5 cm2 cell test code]],[1]!Table1[[Test code]:[Test code]],[1]!Table1[E @ 100 mA/cm2 10 mM KOH/V],"",0)</f>
        <v>#REF!</v>
      </c>
      <c r="AC252" s="69" t="e" cm="1">
        <f t="array" ref="AC252">_xlfn.XLOOKUP(Table1[[#This Row],[5 cm2 cell test code]:[5 cm2 cell test code]],[1]!Table1[[Test code]:[Test code]],[1]!Table1[Anode ICR/mOhm],"",0)</f>
        <v>#REF!</v>
      </c>
      <c r="AD252" s="69" t="e" cm="1">
        <f t="array" ref="AD252">_xlfn.XLOOKUP(Table1[[#This Row],[5 cm2 cell test code]:[5 cm2 cell test code]],[1]!Table1[[Test code]:[Test code]],[1]!Table1[HFR DIW/ mOhm cm2],"",0)</f>
        <v>#REF!</v>
      </c>
      <c r="AE252" s="69" t="e" cm="1">
        <f t="array" ref="AE252">_xlfn.XLOOKUP(Table1[[#This Row],[5 cm2 cell test code]:[5 cm2 cell test code]],[1]!Table1[[Test code]:[Test code]],[1]!Table1[HFR 10 mM KOH/ mOhm cm2],"",0)</f>
        <v>#REF!</v>
      </c>
      <c r="AF252" s="69" t="e" cm="1">
        <f t="array" ref="AF252">_xlfn.XLOOKUP(Table1[[#This Row],[5 cm2 cell test code]:[5 cm2 cell test code]],[1]!Table1[[Test code]:[Test code]],[1]!Table1[Ionic resistance DIW/Ohm cm2],"",0)</f>
        <v>#REF!</v>
      </c>
      <c r="AG252" s="69" t="e" cm="1">
        <f t="array" ref="AG252">_xlfn.XLOOKUP(Table1[[#This Row],[5 cm2 cell test code]:[5 cm2 cell test code]],[1]!Table1[[Test code]:[Test code]],[1]!Table1[Q_int_frac DIW],"",0)</f>
        <v>#REF!</v>
      </c>
      <c r="AH252" s="69" t="e" cm="1">
        <f t="array" ref="AH252">_xlfn.XLOOKUP(Table1[[#This Row],[5 cm2 cell test code]:[5 cm2 cell test code]],[1]!Table1[[Test code]:[Test code]],[1]!Table1[Ionic resistance 10 mM KOH/Ohm cm2],"",0)</f>
        <v>#REF!</v>
      </c>
      <c r="AI252" s="69" t="e" cm="1">
        <f t="array" ref="AI252">_xlfn.XLOOKUP(Table1[[#This Row],[5 cm2 cell test code]:[5 cm2 cell test code]],[1]!Table1[[Test code]:[Test code]],[1]!Table1[Q_int_frac DIW 10 mM KOH],"",0)</f>
        <v>#REF!</v>
      </c>
      <c r="AJ252" s="69" t="e" cm="1">
        <f t="array" ref="AJ252">_xlfn.XLOOKUP(Table1[[#This Row],[5 cm2 cell test code]:[5 cm2 cell test code]],[1]!Table1[[Test code]:[Test code]],[1]!Table1[DIW conductivity (µS/cm)],"",0)</f>
        <v>#REF!</v>
      </c>
      <c r="AQ252" s="4" t="str">
        <v>VSG01A-23271C1.01 - Location #1</v>
      </c>
    </row>
    <row r="253" spans="1:43">
      <c r="A253" s="81" t="s">
        <v>514</v>
      </c>
      <c r="B253" s="11" t="s">
        <v>515</v>
      </c>
      <c r="C253" s="4" t="s">
        <v>516</v>
      </c>
      <c r="I253" s="11" t="s">
        <v>114</v>
      </c>
      <c r="J253" s="11" t="s">
        <v>402</v>
      </c>
      <c r="K253" s="43" t="s">
        <v>59</v>
      </c>
      <c r="M253" s="13">
        <v>0.61299999999999999</v>
      </c>
      <c r="N253" s="13">
        <v>0</v>
      </c>
      <c r="O253" s="11" t="s">
        <v>403</v>
      </c>
      <c r="P253" s="28">
        <v>1.151</v>
      </c>
      <c r="Q253" s="145">
        <f>AVERAGE(Q241:Q252)</f>
        <v>3.8454434276616961E-2</v>
      </c>
      <c r="U253" s="101"/>
      <c r="V253" s="101"/>
      <c r="W253" s="69" t="e" cm="1">
        <f t="array" ref="W253">_xlfn.XLOOKUP(Table1[[#This Row],[5 cm2 cell test code]:[5 cm2 cell test code]],[1]!Table1[[Test code]:[Test code]],[1]!Table1[i @ 1.8 V DIW (A/cm2)],"",0)</f>
        <v>#REF!</v>
      </c>
      <c r="X253" s="69" t="e" cm="1">
        <f t="array" ref="X253">_xlfn.XLOOKUP(Table1[[#This Row],[5 cm2 cell test code]:[5 cm2 cell test code]],[1]!Table1[[Test code]:[Test code]],[1]!Table1[i @ 1.8 V 10 mM KOH (A/cm2)],"",0)</f>
        <v>#REF!</v>
      </c>
      <c r="Y253" s="69" t="e" cm="1">
        <f t="array" ref="Y253">_xlfn.XLOOKUP(Table1[[#This Row],[5 cm2 cell test code]:[5 cm2 cell test code]],[1]!Table1[[Test code]:[Test code]],[1]!Table1[3-E ƞ at 20mAcm-2 (mV)],"",0)</f>
        <v>#REF!</v>
      </c>
      <c r="Z253" s="69" t="e" cm="1">
        <f t="array" ref="Z253">_xlfn.XLOOKUP(Table1[[#This Row],[5 cm2 cell test code]:[5 cm2 cell test code]],[1]!Table1[[Test code]:[Test code]],[1]!Table1[3-E Tafel slope (mV/dec)],"",0)</f>
        <v>#REF!</v>
      </c>
      <c r="AA253" s="69" t="e" cm="1">
        <f t="array" ref="AA253">_xlfn.XLOOKUP(Table1[[#This Row],[5 cm2 cell test code]:[5 cm2 cell test code]],[1]!Table1[[Test code]:[Test code]],[1]!Table1[E @ 100 mA/cm2 DIW/V],"",0)</f>
        <v>#REF!</v>
      </c>
      <c r="AB253" s="69" t="e" cm="1">
        <f t="array" ref="AB253">_xlfn.XLOOKUP(Table1[[#This Row],[5 cm2 cell test code]:[5 cm2 cell test code]],[1]!Table1[[Test code]:[Test code]],[1]!Table1[E @ 100 mA/cm2 10 mM KOH/V],"",0)</f>
        <v>#REF!</v>
      </c>
      <c r="AC253" s="69" t="e" cm="1">
        <f t="array" ref="AC253">_xlfn.XLOOKUP(Table1[[#This Row],[5 cm2 cell test code]:[5 cm2 cell test code]],[1]!Table1[[Test code]:[Test code]],[1]!Table1[Anode ICR/mOhm],"",0)</f>
        <v>#REF!</v>
      </c>
      <c r="AD253" s="69" t="e" cm="1">
        <f t="array" ref="AD253">_xlfn.XLOOKUP(Table1[[#This Row],[5 cm2 cell test code]:[5 cm2 cell test code]],[1]!Table1[[Test code]:[Test code]],[1]!Table1[HFR DIW/ mOhm cm2],"",0)</f>
        <v>#REF!</v>
      </c>
      <c r="AE253" s="69" t="e" cm="1">
        <f t="array" ref="AE253">_xlfn.XLOOKUP(Table1[[#This Row],[5 cm2 cell test code]:[5 cm2 cell test code]],[1]!Table1[[Test code]:[Test code]],[1]!Table1[HFR 10 mM KOH/ mOhm cm2],"",0)</f>
        <v>#REF!</v>
      </c>
      <c r="AF253" s="69" t="e" cm="1">
        <f t="array" ref="AF253">_xlfn.XLOOKUP(Table1[[#This Row],[5 cm2 cell test code]:[5 cm2 cell test code]],[1]!Table1[[Test code]:[Test code]],[1]!Table1[Ionic resistance DIW/Ohm cm2],"",0)</f>
        <v>#REF!</v>
      </c>
      <c r="AG253" s="69" t="e" cm="1">
        <f t="array" ref="AG253">_xlfn.XLOOKUP(Table1[[#This Row],[5 cm2 cell test code]:[5 cm2 cell test code]],[1]!Table1[[Test code]:[Test code]],[1]!Table1[Q_int_frac DIW],"",0)</f>
        <v>#REF!</v>
      </c>
      <c r="AH253" s="69" t="e" cm="1">
        <f t="array" ref="AH253">_xlfn.XLOOKUP(Table1[[#This Row],[5 cm2 cell test code]:[5 cm2 cell test code]],[1]!Table1[[Test code]:[Test code]],[1]!Table1[Ionic resistance 10 mM KOH/Ohm cm2],"",0)</f>
        <v>#REF!</v>
      </c>
      <c r="AI253" s="69" t="e" cm="1">
        <f t="array" ref="AI253">_xlfn.XLOOKUP(Table1[[#This Row],[5 cm2 cell test code]:[5 cm2 cell test code]],[1]!Table1[[Test code]:[Test code]],[1]!Table1[Q_int_frac DIW 10 mM KOH],"",0)</f>
        <v>#REF!</v>
      </c>
      <c r="AJ253" s="69" t="e" cm="1">
        <f t="array" ref="AJ253">_xlfn.XLOOKUP(Table1[[#This Row],[5 cm2 cell test code]:[5 cm2 cell test code]],[1]!Table1[[Test code]:[Test code]],[1]!Table1[DIW conductivity (µS/cm)],"",0)</f>
        <v>#REF!</v>
      </c>
      <c r="AQ253" s="4" t="str">
        <v>VSG01A-23271C1.01-Location #2</v>
      </c>
    </row>
    <row r="254" spans="1:43">
      <c r="A254" s="81"/>
      <c r="C254" s="4" t="s">
        <v>517</v>
      </c>
      <c r="K254" s="43" t="s">
        <v>59</v>
      </c>
      <c r="M254" s="13">
        <f>(67.23-67.02)*1000/(14.04*24.9)</f>
        <v>0.60069337177773197</v>
      </c>
      <c r="U254" s="101"/>
      <c r="V254" s="101"/>
      <c r="W254" s="69" t="e" cm="1">
        <f t="array" ref="W254">_xlfn.XLOOKUP(Table1[[#This Row],[5 cm2 cell test code]:[5 cm2 cell test code]],[1]!Table1[[Test code]:[Test code]],[1]!Table1[i @ 1.8 V DIW (A/cm2)],"",0)</f>
        <v>#REF!</v>
      </c>
      <c r="X254" s="69" t="e" cm="1">
        <f t="array" ref="X254">_xlfn.XLOOKUP(Table1[[#This Row],[5 cm2 cell test code]:[5 cm2 cell test code]],[1]!Table1[[Test code]:[Test code]],[1]!Table1[i @ 1.8 V 10 mM KOH (A/cm2)],"",0)</f>
        <v>#REF!</v>
      </c>
      <c r="Y254" s="69" t="e" cm="1">
        <f t="array" ref="Y254">_xlfn.XLOOKUP(Table1[[#This Row],[5 cm2 cell test code]:[5 cm2 cell test code]],[1]!Table1[[Test code]:[Test code]],[1]!Table1[3-E ƞ at 20mAcm-2 (mV)],"",0)</f>
        <v>#REF!</v>
      </c>
      <c r="Z254" s="69" t="e" cm="1">
        <f t="array" ref="Z254">_xlfn.XLOOKUP(Table1[[#This Row],[5 cm2 cell test code]:[5 cm2 cell test code]],[1]!Table1[[Test code]:[Test code]],[1]!Table1[3-E Tafel slope (mV/dec)],"",0)</f>
        <v>#REF!</v>
      </c>
      <c r="AA254" s="69" t="e" cm="1">
        <f t="array" ref="AA254">_xlfn.XLOOKUP(Table1[[#This Row],[5 cm2 cell test code]:[5 cm2 cell test code]],[1]!Table1[[Test code]:[Test code]],[1]!Table1[E @ 100 mA/cm2 DIW/V],"",0)</f>
        <v>#REF!</v>
      </c>
      <c r="AB254" s="69" t="e" cm="1">
        <f t="array" ref="AB254">_xlfn.XLOOKUP(Table1[[#This Row],[5 cm2 cell test code]:[5 cm2 cell test code]],[1]!Table1[[Test code]:[Test code]],[1]!Table1[E @ 100 mA/cm2 10 mM KOH/V],"",0)</f>
        <v>#REF!</v>
      </c>
      <c r="AC254" s="69" t="e" cm="1">
        <f t="array" ref="AC254">_xlfn.XLOOKUP(Table1[[#This Row],[5 cm2 cell test code]:[5 cm2 cell test code]],[1]!Table1[[Test code]:[Test code]],[1]!Table1[Anode ICR/mOhm],"",0)</f>
        <v>#REF!</v>
      </c>
      <c r="AD254" s="69" t="e" cm="1">
        <f t="array" ref="AD254">_xlfn.XLOOKUP(Table1[[#This Row],[5 cm2 cell test code]:[5 cm2 cell test code]],[1]!Table1[[Test code]:[Test code]],[1]!Table1[HFR DIW/ mOhm cm2],"",0)</f>
        <v>#REF!</v>
      </c>
      <c r="AE254" s="69" t="e" cm="1">
        <f t="array" ref="AE254">_xlfn.XLOOKUP(Table1[[#This Row],[5 cm2 cell test code]:[5 cm2 cell test code]],[1]!Table1[[Test code]:[Test code]],[1]!Table1[HFR 10 mM KOH/ mOhm cm2],"",0)</f>
        <v>#REF!</v>
      </c>
      <c r="AF254" s="69" t="e" cm="1">
        <f t="array" ref="AF254">_xlfn.XLOOKUP(Table1[[#This Row],[5 cm2 cell test code]:[5 cm2 cell test code]],[1]!Table1[[Test code]:[Test code]],[1]!Table1[Ionic resistance DIW/Ohm cm2],"",0)</f>
        <v>#REF!</v>
      </c>
      <c r="AG254" s="69" t="e" cm="1">
        <f t="array" ref="AG254">_xlfn.XLOOKUP(Table1[[#This Row],[5 cm2 cell test code]:[5 cm2 cell test code]],[1]!Table1[[Test code]:[Test code]],[1]!Table1[Q_int_frac DIW],"",0)</f>
        <v>#REF!</v>
      </c>
      <c r="AH254" s="69" t="e" cm="1">
        <f t="array" ref="AH254">_xlfn.XLOOKUP(Table1[[#This Row],[5 cm2 cell test code]:[5 cm2 cell test code]],[1]!Table1[[Test code]:[Test code]],[1]!Table1[Ionic resistance 10 mM KOH/Ohm cm2],"",0)</f>
        <v>#REF!</v>
      </c>
      <c r="AI254" s="69" t="e" cm="1">
        <f t="array" ref="AI254">_xlfn.XLOOKUP(Table1[[#This Row],[5 cm2 cell test code]:[5 cm2 cell test code]],[1]!Table1[[Test code]:[Test code]],[1]!Table1[Q_int_frac DIW 10 mM KOH],"",0)</f>
        <v>#REF!</v>
      </c>
      <c r="AJ254" s="69" t="e" cm="1">
        <f t="array" ref="AJ254">_xlfn.XLOOKUP(Table1[[#This Row],[5 cm2 cell test code]:[5 cm2 cell test code]],[1]!Table1[[Test code]:[Test code]],[1]!Table1[DIW conductivity (µS/cm)],"",0)</f>
        <v>#REF!</v>
      </c>
      <c r="AQ254" s="4" t="str">
        <v>VSG01A-23271C1.01- Location #3</v>
      </c>
    </row>
    <row r="255" spans="1:43">
      <c r="A255" s="81" t="s">
        <v>518</v>
      </c>
      <c r="B255" s="199" t="s">
        <v>519</v>
      </c>
      <c r="C255" s="4" t="s">
        <v>520</v>
      </c>
      <c r="K255" s="43" t="s">
        <v>59</v>
      </c>
      <c r="L255" s="11" t="s">
        <v>521</v>
      </c>
      <c r="N255" s="13">
        <v>0</v>
      </c>
      <c r="P255" s="197">
        <v>1.3889</v>
      </c>
      <c r="Q255" s="4">
        <v>3.3900413647249092E-2</v>
      </c>
      <c r="U255" s="101"/>
      <c r="V255" s="101"/>
      <c r="W255" s="69" t="e" cm="1">
        <f t="array" ref="W255">_xlfn.XLOOKUP(Table1[[#This Row],[5 cm2 cell test code]:[5 cm2 cell test code]],[1]!Table1[[Test code]:[Test code]],[1]!Table1[i @ 1.8 V DIW (A/cm2)],"",0)</f>
        <v>#REF!</v>
      </c>
      <c r="X255" s="69" t="e" cm="1">
        <f t="array" ref="X255">_xlfn.XLOOKUP(Table1[[#This Row],[5 cm2 cell test code]:[5 cm2 cell test code]],[1]!Table1[[Test code]:[Test code]],[1]!Table1[i @ 1.8 V 10 mM KOH (A/cm2)],"",0)</f>
        <v>#REF!</v>
      </c>
      <c r="Y255" s="69" t="e" cm="1">
        <f t="array" ref="Y255">_xlfn.XLOOKUP(Table1[[#This Row],[5 cm2 cell test code]:[5 cm2 cell test code]],[1]!Table1[[Test code]:[Test code]],[1]!Table1[3-E ƞ at 20mAcm-2 (mV)],"",0)</f>
        <v>#REF!</v>
      </c>
      <c r="Z255" s="69" t="e" cm="1">
        <f t="array" ref="Z255">_xlfn.XLOOKUP(Table1[[#This Row],[5 cm2 cell test code]:[5 cm2 cell test code]],[1]!Table1[[Test code]:[Test code]],[1]!Table1[3-E Tafel slope (mV/dec)],"",0)</f>
        <v>#REF!</v>
      </c>
      <c r="AA255" s="69" t="e" cm="1">
        <f t="array" ref="AA255">_xlfn.XLOOKUP(Table1[[#This Row],[5 cm2 cell test code]:[5 cm2 cell test code]],[1]!Table1[[Test code]:[Test code]],[1]!Table1[E @ 100 mA/cm2 DIW/V],"",0)</f>
        <v>#REF!</v>
      </c>
      <c r="AB255" s="69" t="e" cm="1">
        <f t="array" ref="AB255">_xlfn.XLOOKUP(Table1[[#This Row],[5 cm2 cell test code]:[5 cm2 cell test code]],[1]!Table1[[Test code]:[Test code]],[1]!Table1[E @ 100 mA/cm2 10 mM KOH/V],"",0)</f>
        <v>#REF!</v>
      </c>
      <c r="AC255" s="69" t="e" cm="1">
        <f t="array" ref="AC255">_xlfn.XLOOKUP(Table1[[#This Row],[5 cm2 cell test code]:[5 cm2 cell test code]],[1]!Table1[[Test code]:[Test code]],[1]!Table1[Anode ICR/mOhm],"",0)</f>
        <v>#REF!</v>
      </c>
      <c r="AD255" s="69" t="e" cm="1">
        <f t="array" ref="AD255">_xlfn.XLOOKUP(Table1[[#This Row],[5 cm2 cell test code]:[5 cm2 cell test code]],[1]!Table1[[Test code]:[Test code]],[1]!Table1[HFR DIW/ mOhm cm2],"",0)</f>
        <v>#REF!</v>
      </c>
      <c r="AE255" s="69" t="e" cm="1">
        <f t="array" ref="AE255">_xlfn.XLOOKUP(Table1[[#This Row],[5 cm2 cell test code]:[5 cm2 cell test code]],[1]!Table1[[Test code]:[Test code]],[1]!Table1[HFR 10 mM KOH/ mOhm cm2],"",0)</f>
        <v>#REF!</v>
      </c>
      <c r="AF255" s="69" t="e" cm="1">
        <f t="array" ref="AF255">_xlfn.XLOOKUP(Table1[[#This Row],[5 cm2 cell test code]:[5 cm2 cell test code]],[1]!Table1[[Test code]:[Test code]],[1]!Table1[Ionic resistance DIW/Ohm cm2],"",0)</f>
        <v>#REF!</v>
      </c>
      <c r="AG255" s="195" t="e" cm="1">
        <f t="array" ref="AG255">_xlfn.XLOOKUP(Table1[[#This Row],[5 cm2 cell test code]:[5 cm2 cell test code]],[1]!Table1[[Test code]:[Test code]],[1]!Table1[Q_int_frac DIW],"",0)</f>
        <v>#REF!</v>
      </c>
      <c r="AH255" s="195" t="e" cm="1">
        <f t="array" ref="AH255">_xlfn.XLOOKUP(Table1[[#This Row],[5 cm2 cell test code]:[5 cm2 cell test code]],[1]!Table1[[Test code]:[Test code]],[1]!Table1[Ionic resistance 10 mM KOH/Ohm cm2],"",0)</f>
        <v>#REF!</v>
      </c>
      <c r="AI255" s="195" t="e" cm="1">
        <f t="array" ref="AI255">_xlfn.XLOOKUP(Table1[[#This Row],[5 cm2 cell test code]:[5 cm2 cell test code]],[1]!Table1[[Test code]:[Test code]],[1]!Table1[Q_int_frac DIW 10 mM KOH],"",0)</f>
        <v>#REF!</v>
      </c>
      <c r="AJ255" s="69" t="e" cm="1">
        <f t="array" ref="AJ255">_xlfn.XLOOKUP(Table1[[#This Row],[5 cm2 cell test code]:[5 cm2 cell test code]],[1]!Table1[[Test code]:[Test code]],[1]!Table1[DIW conductivity (µS/cm)],"",0)</f>
        <v>#REF!</v>
      </c>
      <c r="AQ255" s="4" t="str">
        <v>VSG01A-23271C1.01- Location #5</v>
      </c>
    </row>
    <row r="256" spans="1:43">
      <c r="A256" s="81"/>
      <c r="B256" s="199" t="s">
        <v>522</v>
      </c>
      <c r="C256" s="4" t="s">
        <v>520</v>
      </c>
      <c r="K256" s="43" t="s">
        <v>59</v>
      </c>
      <c r="L256" s="11" t="s">
        <v>521</v>
      </c>
      <c r="P256" s="197">
        <v>1.3193999999999999</v>
      </c>
      <c r="Q256" s="4">
        <v>2.7417577324365804E-2</v>
      </c>
      <c r="U256" s="101"/>
      <c r="V256" s="101"/>
      <c r="W256" s="69" t="e" cm="1">
        <f t="array" ref="W256">_xlfn.XLOOKUP(Table1[[#This Row],[5 cm2 cell test code]:[5 cm2 cell test code]],[1]!Table1[[Test code]:[Test code]],[1]!Table1[i @ 1.8 V DIW (A/cm2)],"",0)</f>
        <v>#REF!</v>
      </c>
      <c r="X256" s="69" t="e" cm="1">
        <f t="array" ref="X256">_xlfn.XLOOKUP(Table1[[#This Row],[5 cm2 cell test code]:[5 cm2 cell test code]],[1]!Table1[[Test code]:[Test code]],[1]!Table1[i @ 1.8 V 10 mM KOH (A/cm2)],"",0)</f>
        <v>#REF!</v>
      </c>
      <c r="Y256" s="69" t="e" cm="1">
        <f t="array" ref="Y256">_xlfn.XLOOKUP(Table1[[#This Row],[5 cm2 cell test code]:[5 cm2 cell test code]],[1]!Table1[[Test code]:[Test code]],[1]!Table1[3-E ƞ at 20mAcm-2 (mV)],"",0)</f>
        <v>#REF!</v>
      </c>
      <c r="Z256" s="69" t="e" cm="1">
        <f t="array" ref="Z256">_xlfn.XLOOKUP(Table1[[#This Row],[5 cm2 cell test code]:[5 cm2 cell test code]],[1]!Table1[[Test code]:[Test code]],[1]!Table1[3-E Tafel slope (mV/dec)],"",0)</f>
        <v>#REF!</v>
      </c>
      <c r="AA256" s="69" t="e" cm="1">
        <f t="array" ref="AA256">_xlfn.XLOOKUP(Table1[[#This Row],[5 cm2 cell test code]:[5 cm2 cell test code]],[1]!Table1[[Test code]:[Test code]],[1]!Table1[E @ 100 mA/cm2 DIW/V],"",0)</f>
        <v>#REF!</v>
      </c>
      <c r="AB256" s="69" t="e" cm="1">
        <f t="array" ref="AB256">_xlfn.XLOOKUP(Table1[[#This Row],[5 cm2 cell test code]:[5 cm2 cell test code]],[1]!Table1[[Test code]:[Test code]],[1]!Table1[E @ 100 mA/cm2 10 mM KOH/V],"",0)</f>
        <v>#REF!</v>
      </c>
      <c r="AC256" s="69" t="e" cm="1">
        <f t="array" ref="AC256">_xlfn.XLOOKUP(Table1[[#This Row],[5 cm2 cell test code]:[5 cm2 cell test code]],[1]!Table1[[Test code]:[Test code]],[1]!Table1[Anode ICR/mOhm],"",0)</f>
        <v>#REF!</v>
      </c>
      <c r="AD256" s="69" t="e" cm="1">
        <f t="array" ref="AD256">_xlfn.XLOOKUP(Table1[[#This Row],[5 cm2 cell test code]:[5 cm2 cell test code]],[1]!Table1[[Test code]:[Test code]],[1]!Table1[HFR DIW/ mOhm cm2],"",0)</f>
        <v>#REF!</v>
      </c>
      <c r="AE256" s="69" t="e" cm="1">
        <f t="array" ref="AE256">_xlfn.XLOOKUP(Table1[[#This Row],[5 cm2 cell test code]:[5 cm2 cell test code]],[1]!Table1[[Test code]:[Test code]],[1]!Table1[HFR 10 mM KOH/ mOhm cm2],"",0)</f>
        <v>#REF!</v>
      </c>
      <c r="AF256" s="69" t="e" cm="1">
        <f t="array" ref="AF256">_xlfn.XLOOKUP(Table1[[#This Row],[5 cm2 cell test code]:[5 cm2 cell test code]],[1]!Table1[[Test code]:[Test code]],[1]!Table1[Ionic resistance DIW/Ohm cm2],"",0)</f>
        <v>#REF!</v>
      </c>
      <c r="AG256" s="195" t="e" cm="1">
        <f t="array" ref="AG256">_xlfn.XLOOKUP(Table1[[#This Row],[5 cm2 cell test code]:[5 cm2 cell test code]],[1]!Table1[[Test code]:[Test code]],[1]!Table1[Q_int_frac DIW],"",0)</f>
        <v>#REF!</v>
      </c>
      <c r="AH256" s="195" t="e" cm="1">
        <f t="array" ref="AH256">_xlfn.XLOOKUP(Table1[[#This Row],[5 cm2 cell test code]:[5 cm2 cell test code]],[1]!Table1[[Test code]:[Test code]],[1]!Table1[Ionic resistance 10 mM KOH/Ohm cm2],"",0)</f>
        <v>#REF!</v>
      </c>
      <c r="AI256" s="195" t="e" cm="1">
        <f t="array" ref="AI256">_xlfn.XLOOKUP(Table1[[#This Row],[5 cm2 cell test code]:[5 cm2 cell test code]],[1]!Table1[[Test code]:[Test code]],[1]!Table1[Q_int_frac DIW 10 mM KOH],"",0)</f>
        <v>#REF!</v>
      </c>
      <c r="AJ256" s="69" t="e" cm="1">
        <f t="array" ref="AJ256">_xlfn.XLOOKUP(Table1[[#This Row],[5 cm2 cell test code]:[5 cm2 cell test code]],[1]!Table1[[Test code]:[Test code]],[1]!Table1[DIW conductivity (µS/cm)],"",0)</f>
        <v>#REF!</v>
      </c>
      <c r="AQ256" s="4" t="str">
        <v>VSG01A-23271C1.01- Location #6</v>
      </c>
    </row>
    <row r="257" spans="1:48">
      <c r="A257" s="81"/>
      <c r="B257" s="199" t="s">
        <v>523</v>
      </c>
      <c r="C257" s="4" t="s">
        <v>520</v>
      </c>
      <c r="K257" s="43" t="s">
        <v>59</v>
      </c>
      <c r="L257" s="11" t="s">
        <v>521</v>
      </c>
      <c r="P257" s="197">
        <v>0.85070000000000001</v>
      </c>
      <c r="Q257" s="4">
        <v>4.3202831324670433E-2</v>
      </c>
      <c r="U257" s="101"/>
      <c r="V257" s="101"/>
      <c r="W257" s="69" t="e" cm="1">
        <f t="array" ref="W257">_xlfn.XLOOKUP(Table1[[#This Row],[5 cm2 cell test code]:[5 cm2 cell test code]],[1]!Table1[[Test code]:[Test code]],[1]!Table1[i @ 1.8 V DIW (A/cm2)],"",0)</f>
        <v>#REF!</v>
      </c>
      <c r="X257" s="69" t="e" cm="1">
        <f t="array" ref="X257">_xlfn.XLOOKUP(Table1[[#This Row],[5 cm2 cell test code]:[5 cm2 cell test code]],[1]!Table1[[Test code]:[Test code]],[1]!Table1[i @ 1.8 V 10 mM KOH (A/cm2)],"",0)</f>
        <v>#REF!</v>
      </c>
      <c r="Y257" s="69" t="e" cm="1">
        <f t="array" ref="Y257">_xlfn.XLOOKUP(Table1[[#This Row],[5 cm2 cell test code]:[5 cm2 cell test code]],[1]!Table1[[Test code]:[Test code]],[1]!Table1[3-E ƞ at 20mAcm-2 (mV)],"",0)</f>
        <v>#REF!</v>
      </c>
      <c r="Z257" s="69" t="e" cm="1">
        <f t="array" ref="Z257">_xlfn.XLOOKUP(Table1[[#This Row],[5 cm2 cell test code]:[5 cm2 cell test code]],[1]!Table1[[Test code]:[Test code]],[1]!Table1[3-E Tafel slope (mV/dec)],"",0)</f>
        <v>#REF!</v>
      </c>
      <c r="AA257" s="69" t="e" cm="1">
        <f t="array" ref="AA257">_xlfn.XLOOKUP(Table1[[#This Row],[5 cm2 cell test code]:[5 cm2 cell test code]],[1]!Table1[[Test code]:[Test code]],[1]!Table1[E @ 100 mA/cm2 DIW/V],"",0)</f>
        <v>#REF!</v>
      </c>
      <c r="AB257" s="69" t="e" cm="1">
        <f t="array" ref="AB257">_xlfn.XLOOKUP(Table1[[#This Row],[5 cm2 cell test code]:[5 cm2 cell test code]],[1]!Table1[[Test code]:[Test code]],[1]!Table1[E @ 100 mA/cm2 10 mM KOH/V],"",0)</f>
        <v>#REF!</v>
      </c>
      <c r="AC257" s="69" t="e" cm="1">
        <f t="array" ref="AC257">_xlfn.XLOOKUP(Table1[[#This Row],[5 cm2 cell test code]:[5 cm2 cell test code]],[1]!Table1[[Test code]:[Test code]],[1]!Table1[Anode ICR/mOhm],"",0)</f>
        <v>#REF!</v>
      </c>
      <c r="AD257" s="69" t="e" cm="1">
        <f t="array" ref="AD257">_xlfn.XLOOKUP(Table1[[#This Row],[5 cm2 cell test code]:[5 cm2 cell test code]],[1]!Table1[[Test code]:[Test code]],[1]!Table1[HFR DIW/ mOhm cm2],"",0)</f>
        <v>#REF!</v>
      </c>
      <c r="AE257" s="69" t="e" cm="1">
        <f t="array" ref="AE257">_xlfn.XLOOKUP(Table1[[#This Row],[5 cm2 cell test code]:[5 cm2 cell test code]],[1]!Table1[[Test code]:[Test code]],[1]!Table1[HFR 10 mM KOH/ mOhm cm2],"",0)</f>
        <v>#REF!</v>
      </c>
      <c r="AF257" s="69" t="e" cm="1">
        <f t="array" ref="AF257">_xlfn.XLOOKUP(Table1[[#This Row],[5 cm2 cell test code]:[5 cm2 cell test code]],[1]!Table1[[Test code]:[Test code]],[1]!Table1[Ionic resistance DIW/Ohm cm2],"",0)</f>
        <v>#REF!</v>
      </c>
      <c r="AG257" s="195" t="e" cm="1">
        <f t="array" ref="AG257">_xlfn.XLOOKUP(Table1[[#This Row],[5 cm2 cell test code]:[5 cm2 cell test code]],[1]!Table1[[Test code]:[Test code]],[1]!Table1[Q_int_frac DIW],"",0)</f>
        <v>#REF!</v>
      </c>
      <c r="AH257" s="195" t="e" cm="1">
        <f t="array" ref="AH257">_xlfn.XLOOKUP(Table1[[#This Row],[5 cm2 cell test code]:[5 cm2 cell test code]],[1]!Table1[[Test code]:[Test code]],[1]!Table1[Ionic resistance 10 mM KOH/Ohm cm2],"",0)</f>
        <v>#REF!</v>
      </c>
      <c r="AI257" s="195" t="e" cm="1">
        <f t="array" ref="AI257">_xlfn.XLOOKUP(Table1[[#This Row],[5 cm2 cell test code]:[5 cm2 cell test code]],[1]!Table1[[Test code]:[Test code]],[1]!Table1[Q_int_frac DIW 10 mM KOH],"",0)</f>
        <v>#REF!</v>
      </c>
      <c r="AJ257" s="69" t="e" cm="1">
        <f t="array" ref="AJ257">_xlfn.XLOOKUP(Table1[[#This Row],[5 cm2 cell test code]:[5 cm2 cell test code]],[1]!Table1[[Test code]:[Test code]],[1]!Table1[DIW conductivity (µS/cm)],"",0)</f>
        <v>#REF!</v>
      </c>
      <c r="AQ257" s="4" t="str">
        <v>VSG01A-23271C1.01- Location #8</v>
      </c>
    </row>
    <row r="258" spans="1:48">
      <c r="A258" s="81"/>
      <c r="B258" s="199" t="s">
        <v>524</v>
      </c>
      <c r="C258" s="4" t="s">
        <v>520</v>
      </c>
      <c r="K258" s="43" t="s">
        <v>59</v>
      </c>
      <c r="L258" s="11" t="s">
        <v>521</v>
      </c>
      <c r="P258" s="197">
        <v>0.9375</v>
      </c>
      <c r="Q258" s="4">
        <v>2.4563565413842678E-2</v>
      </c>
      <c r="U258" s="101"/>
      <c r="V258" s="101"/>
      <c r="W258" s="69" t="e" cm="1">
        <f t="array" ref="W258">_xlfn.XLOOKUP(Table1[[#This Row],[5 cm2 cell test code]:[5 cm2 cell test code]],[1]!Table1[[Test code]:[Test code]],[1]!Table1[i @ 1.8 V DIW (A/cm2)],"",0)</f>
        <v>#REF!</v>
      </c>
      <c r="X258" s="69" t="e" cm="1">
        <f t="array" ref="X258">_xlfn.XLOOKUP(Table1[[#This Row],[5 cm2 cell test code]:[5 cm2 cell test code]],[1]!Table1[[Test code]:[Test code]],[1]!Table1[i @ 1.8 V 10 mM KOH (A/cm2)],"",0)</f>
        <v>#REF!</v>
      </c>
      <c r="Y258" s="69" t="e" cm="1">
        <f t="array" ref="Y258">_xlfn.XLOOKUP(Table1[[#This Row],[5 cm2 cell test code]:[5 cm2 cell test code]],[1]!Table1[[Test code]:[Test code]],[1]!Table1[3-E ƞ at 20mAcm-2 (mV)],"",0)</f>
        <v>#REF!</v>
      </c>
      <c r="Z258" s="69" t="e" cm="1">
        <f t="array" ref="Z258">_xlfn.XLOOKUP(Table1[[#This Row],[5 cm2 cell test code]:[5 cm2 cell test code]],[1]!Table1[[Test code]:[Test code]],[1]!Table1[3-E Tafel slope (mV/dec)],"",0)</f>
        <v>#REF!</v>
      </c>
      <c r="AA258" s="69" t="e" cm="1">
        <f t="array" ref="AA258">_xlfn.XLOOKUP(Table1[[#This Row],[5 cm2 cell test code]:[5 cm2 cell test code]],[1]!Table1[[Test code]:[Test code]],[1]!Table1[E @ 100 mA/cm2 DIW/V],"",0)</f>
        <v>#REF!</v>
      </c>
      <c r="AB258" s="69" t="e" cm="1">
        <f t="array" ref="AB258">_xlfn.XLOOKUP(Table1[[#This Row],[5 cm2 cell test code]:[5 cm2 cell test code]],[1]!Table1[[Test code]:[Test code]],[1]!Table1[E @ 100 mA/cm2 10 mM KOH/V],"",0)</f>
        <v>#REF!</v>
      </c>
      <c r="AC258" s="69" t="e" cm="1">
        <f t="array" ref="AC258">_xlfn.XLOOKUP(Table1[[#This Row],[5 cm2 cell test code]:[5 cm2 cell test code]],[1]!Table1[[Test code]:[Test code]],[1]!Table1[Anode ICR/mOhm],"",0)</f>
        <v>#REF!</v>
      </c>
      <c r="AD258" s="69" t="e" cm="1">
        <f t="array" ref="AD258">_xlfn.XLOOKUP(Table1[[#This Row],[5 cm2 cell test code]:[5 cm2 cell test code]],[1]!Table1[[Test code]:[Test code]],[1]!Table1[HFR DIW/ mOhm cm2],"",0)</f>
        <v>#REF!</v>
      </c>
      <c r="AE258" s="69" t="e" cm="1">
        <f t="array" ref="AE258">_xlfn.XLOOKUP(Table1[[#This Row],[5 cm2 cell test code]:[5 cm2 cell test code]],[1]!Table1[[Test code]:[Test code]],[1]!Table1[HFR 10 mM KOH/ mOhm cm2],"",0)</f>
        <v>#REF!</v>
      </c>
      <c r="AF258" s="69" t="e" cm="1">
        <f t="array" ref="AF258">_xlfn.XLOOKUP(Table1[[#This Row],[5 cm2 cell test code]:[5 cm2 cell test code]],[1]!Table1[[Test code]:[Test code]],[1]!Table1[Ionic resistance DIW/Ohm cm2],"",0)</f>
        <v>#REF!</v>
      </c>
      <c r="AG258" s="195" t="e" cm="1">
        <f t="array" ref="AG258">_xlfn.XLOOKUP(Table1[[#This Row],[5 cm2 cell test code]:[5 cm2 cell test code]],[1]!Table1[[Test code]:[Test code]],[1]!Table1[Q_int_frac DIW],"",0)</f>
        <v>#REF!</v>
      </c>
      <c r="AH258" s="195" t="e" cm="1">
        <f t="array" ref="AH258">_xlfn.XLOOKUP(Table1[[#This Row],[5 cm2 cell test code]:[5 cm2 cell test code]],[1]!Table1[[Test code]:[Test code]],[1]!Table1[Ionic resistance 10 mM KOH/Ohm cm2],"",0)</f>
        <v>#REF!</v>
      </c>
      <c r="AI258" s="195" t="e" cm="1">
        <f t="array" ref="AI258">_xlfn.XLOOKUP(Table1[[#This Row],[5 cm2 cell test code]:[5 cm2 cell test code]],[1]!Table1[[Test code]:[Test code]],[1]!Table1[Q_int_frac DIW 10 mM KOH],"",0)</f>
        <v>#REF!</v>
      </c>
      <c r="AJ258" s="69" t="e" cm="1">
        <f t="array" ref="AJ258">_xlfn.XLOOKUP(Table1[[#This Row],[5 cm2 cell test code]:[5 cm2 cell test code]],[1]!Table1[[Test code]:[Test code]],[1]!Table1[DIW conductivity (µS/cm)],"",0)</f>
        <v>#REF!</v>
      </c>
      <c r="AQ258" s="4" t="str">
        <v>VSG01A-23270C1.02</v>
      </c>
    </row>
    <row r="259" spans="1:48">
      <c r="A259" s="81"/>
      <c r="B259" s="199" t="s">
        <v>525</v>
      </c>
      <c r="C259" s="4" t="s">
        <v>526</v>
      </c>
      <c r="K259" s="43" t="s">
        <v>59</v>
      </c>
      <c r="L259" s="198">
        <v>44862</v>
      </c>
      <c r="P259" s="197">
        <v>1.0243</v>
      </c>
      <c r="Q259" s="4">
        <v>3.9832898172323758E-2</v>
      </c>
      <c r="U259" s="101"/>
      <c r="V259" s="101"/>
      <c r="W259" s="69" t="e" cm="1">
        <f t="array" ref="W259">_xlfn.XLOOKUP(Table1[[#This Row],[5 cm2 cell test code]:[5 cm2 cell test code]],[1]!Table1[[Test code]:[Test code]],[1]!Table1[i @ 1.8 V DIW (A/cm2)],"",0)</f>
        <v>#REF!</v>
      </c>
      <c r="X259" s="69" t="e" cm="1">
        <f t="array" ref="X259">_xlfn.XLOOKUP(Table1[[#This Row],[5 cm2 cell test code]:[5 cm2 cell test code]],[1]!Table1[[Test code]:[Test code]],[1]!Table1[i @ 1.8 V 10 mM KOH (A/cm2)],"",0)</f>
        <v>#REF!</v>
      </c>
      <c r="Y259" s="69" t="e" cm="1">
        <f t="array" ref="Y259">_xlfn.XLOOKUP(Table1[[#This Row],[5 cm2 cell test code]:[5 cm2 cell test code]],[1]!Table1[[Test code]:[Test code]],[1]!Table1[3-E ƞ at 20mAcm-2 (mV)],"",0)</f>
        <v>#REF!</v>
      </c>
      <c r="Z259" s="69" t="e" cm="1">
        <f t="array" ref="Z259">_xlfn.XLOOKUP(Table1[[#This Row],[5 cm2 cell test code]:[5 cm2 cell test code]],[1]!Table1[[Test code]:[Test code]],[1]!Table1[3-E Tafel slope (mV/dec)],"",0)</f>
        <v>#REF!</v>
      </c>
      <c r="AA259" s="69" t="e" cm="1">
        <f t="array" ref="AA259">_xlfn.XLOOKUP(Table1[[#This Row],[5 cm2 cell test code]:[5 cm2 cell test code]],[1]!Table1[[Test code]:[Test code]],[1]!Table1[E @ 100 mA/cm2 DIW/V],"",0)</f>
        <v>#REF!</v>
      </c>
      <c r="AB259" s="69" t="e" cm="1">
        <f t="array" ref="AB259">_xlfn.XLOOKUP(Table1[[#This Row],[5 cm2 cell test code]:[5 cm2 cell test code]],[1]!Table1[[Test code]:[Test code]],[1]!Table1[E @ 100 mA/cm2 10 mM KOH/V],"",0)</f>
        <v>#REF!</v>
      </c>
      <c r="AC259" s="69" t="e" cm="1">
        <f t="array" ref="AC259">_xlfn.XLOOKUP(Table1[[#This Row],[5 cm2 cell test code]:[5 cm2 cell test code]],[1]!Table1[[Test code]:[Test code]],[1]!Table1[Anode ICR/mOhm],"",0)</f>
        <v>#REF!</v>
      </c>
      <c r="AD259" s="69" t="e" cm="1">
        <f t="array" ref="AD259">_xlfn.XLOOKUP(Table1[[#This Row],[5 cm2 cell test code]:[5 cm2 cell test code]],[1]!Table1[[Test code]:[Test code]],[1]!Table1[HFR DIW/ mOhm cm2],"",0)</f>
        <v>#REF!</v>
      </c>
      <c r="AE259" s="69" t="e" cm="1">
        <f t="array" ref="AE259">_xlfn.XLOOKUP(Table1[[#This Row],[5 cm2 cell test code]:[5 cm2 cell test code]],[1]!Table1[[Test code]:[Test code]],[1]!Table1[HFR 10 mM KOH/ mOhm cm2],"",0)</f>
        <v>#REF!</v>
      </c>
      <c r="AF259" s="69" t="e" cm="1">
        <f t="array" ref="AF259">_xlfn.XLOOKUP(Table1[[#This Row],[5 cm2 cell test code]:[5 cm2 cell test code]],[1]!Table1[[Test code]:[Test code]],[1]!Table1[Ionic resistance DIW/Ohm cm2],"",0)</f>
        <v>#REF!</v>
      </c>
      <c r="AG259" s="195" t="e" cm="1">
        <f t="array" ref="AG259">_xlfn.XLOOKUP(Table1[[#This Row],[5 cm2 cell test code]:[5 cm2 cell test code]],[1]!Table1[[Test code]:[Test code]],[1]!Table1[Q_int_frac DIW],"",0)</f>
        <v>#REF!</v>
      </c>
      <c r="AH259" s="195" t="e" cm="1">
        <f t="array" ref="AH259">_xlfn.XLOOKUP(Table1[[#This Row],[5 cm2 cell test code]:[5 cm2 cell test code]],[1]!Table1[[Test code]:[Test code]],[1]!Table1[Ionic resistance 10 mM KOH/Ohm cm2],"",0)</f>
        <v>#REF!</v>
      </c>
      <c r="AI259" s="195" t="e" cm="1">
        <f t="array" ref="AI259">_xlfn.XLOOKUP(Table1[[#This Row],[5 cm2 cell test code]:[5 cm2 cell test code]],[1]!Table1[[Test code]:[Test code]],[1]!Table1[Q_int_frac DIW 10 mM KOH],"",0)</f>
        <v>#REF!</v>
      </c>
      <c r="AJ259" s="69" t="e" cm="1">
        <f t="array" ref="AJ259">_xlfn.XLOOKUP(Table1[[#This Row],[5 cm2 cell test code]:[5 cm2 cell test code]],[1]!Table1[[Test code]:[Test code]],[1]!Table1[DIW conductivity (µS/cm)],"",0)</f>
        <v>#REF!</v>
      </c>
      <c r="AQ259" s="4" t="str">
        <v>VSG01A-23270C1.02- Location #4</v>
      </c>
    </row>
    <row r="260" spans="1:48">
      <c r="A260" s="81"/>
      <c r="B260" s="199" t="s">
        <v>527</v>
      </c>
      <c r="C260" s="4" t="s">
        <v>526</v>
      </c>
      <c r="K260" s="43" t="s">
        <v>59</v>
      </c>
      <c r="L260" s="198">
        <v>44862</v>
      </c>
      <c r="P260" s="197">
        <v>1.2153</v>
      </c>
      <c r="Q260" s="4">
        <v>5.7451186317165698E-2</v>
      </c>
      <c r="U260" s="101"/>
      <c r="V260" s="101"/>
      <c r="W260" s="69" t="e" cm="1">
        <f t="array" ref="W260">_xlfn.XLOOKUP(Table1[[#This Row],[5 cm2 cell test code]:[5 cm2 cell test code]],[1]!Table1[[Test code]:[Test code]],[1]!Table1[i @ 1.8 V DIW (A/cm2)],"",0)</f>
        <v>#REF!</v>
      </c>
      <c r="X260" s="69" t="e" cm="1">
        <f t="array" ref="X260">_xlfn.XLOOKUP(Table1[[#This Row],[5 cm2 cell test code]:[5 cm2 cell test code]],[1]!Table1[[Test code]:[Test code]],[1]!Table1[i @ 1.8 V 10 mM KOH (A/cm2)],"",0)</f>
        <v>#REF!</v>
      </c>
      <c r="Y260" s="69" t="e" cm="1">
        <f t="array" ref="Y260">_xlfn.XLOOKUP(Table1[[#This Row],[5 cm2 cell test code]:[5 cm2 cell test code]],[1]!Table1[[Test code]:[Test code]],[1]!Table1[3-E ƞ at 20mAcm-2 (mV)],"",0)</f>
        <v>#REF!</v>
      </c>
      <c r="Z260" s="69" t="e" cm="1">
        <f t="array" ref="Z260">_xlfn.XLOOKUP(Table1[[#This Row],[5 cm2 cell test code]:[5 cm2 cell test code]],[1]!Table1[[Test code]:[Test code]],[1]!Table1[3-E Tafel slope (mV/dec)],"",0)</f>
        <v>#REF!</v>
      </c>
      <c r="AA260" s="69" t="e" cm="1">
        <f t="array" ref="AA260">_xlfn.XLOOKUP(Table1[[#This Row],[5 cm2 cell test code]:[5 cm2 cell test code]],[1]!Table1[[Test code]:[Test code]],[1]!Table1[E @ 100 mA/cm2 DIW/V],"",0)</f>
        <v>#REF!</v>
      </c>
      <c r="AB260" s="69" t="e" cm="1">
        <f t="array" ref="AB260">_xlfn.XLOOKUP(Table1[[#This Row],[5 cm2 cell test code]:[5 cm2 cell test code]],[1]!Table1[[Test code]:[Test code]],[1]!Table1[E @ 100 mA/cm2 10 mM KOH/V],"",0)</f>
        <v>#REF!</v>
      </c>
      <c r="AC260" s="69" t="e" cm="1">
        <f t="array" ref="AC260">_xlfn.XLOOKUP(Table1[[#This Row],[5 cm2 cell test code]:[5 cm2 cell test code]],[1]!Table1[[Test code]:[Test code]],[1]!Table1[Anode ICR/mOhm],"",0)</f>
        <v>#REF!</v>
      </c>
      <c r="AD260" s="69" t="e" cm="1">
        <f t="array" ref="AD260">_xlfn.XLOOKUP(Table1[[#This Row],[5 cm2 cell test code]:[5 cm2 cell test code]],[1]!Table1[[Test code]:[Test code]],[1]!Table1[HFR DIW/ mOhm cm2],"",0)</f>
        <v>#REF!</v>
      </c>
      <c r="AE260" s="69" t="e" cm="1">
        <f t="array" ref="AE260">_xlfn.XLOOKUP(Table1[[#This Row],[5 cm2 cell test code]:[5 cm2 cell test code]],[1]!Table1[[Test code]:[Test code]],[1]!Table1[HFR 10 mM KOH/ mOhm cm2],"",0)</f>
        <v>#REF!</v>
      </c>
      <c r="AF260" s="69" t="e" cm="1">
        <f t="array" ref="AF260">_xlfn.XLOOKUP(Table1[[#This Row],[5 cm2 cell test code]:[5 cm2 cell test code]],[1]!Table1[[Test code]:[Test code]],[1]!Table1[Ionic resistance DIW/Ohm cm2],"",0)</f>
        <v>#REF!</v>
      </c>
      <c r="AG260" s="195" t="e" cm="1">
        <f t="array" ref="AG260">_xlfn.XLOOKUP(Table1[[#This Row],[5 cm2 cell test code]:[5 cm2 cell test code]],[1]!Table1[[Test code]:[Test code]],[1]!Table1[Q_int_frac DIW],"",0)</f>
        <v>#REF!</v>
      </c>
      <c r="AH260" s="195" t="e" cm="1">
        <f t="array" ref="AH260">_xlfn.XLOOKUP(Table1[[#This Row],[5 cm2 cell test code]:[5 cm2 cell test code]],[1]!Table1[[Test code]:[Test code]],[1]!Table1[Ionic resistance 10 mM KOH/Ohm cm2],"",0)</f>
        <v>#REF!</v>
      </c>
      <c r="AI260" s="195" t="e" cm="1">
        <f t="array" ref="AI260">_xlfn.XLOOKUP(Table1[[#This Row],[5 cm2 cell test code]:[5 cm2 cell test code]],[1]!Table1[[Test code]:[Test code]],[1]!Table1[Q_int_frac DIW 10 mM KOH],"",0)</f>
        <v>#REF!</v>
      </c>
      <c r="AJ260" s="69" t="e" cm="1">
        <f t="array" ref="AJ260">_xlfn.XLOOKUP(Table1[[#This Row],[5 cm2 cell test code]:[5 cm2 cell test code]],[1]!Table1[[Test code]:[Test code]],[1]!Table1[DIW conductivity (µS/cm)],"",0)</f>
        <v>#REF!</v>
      </c>
      <c r="AQ260" s="4" t="str">
        <v>VSG01A-23270C1.02- Location #5</v>
      </c>
    </row>
    <row r="261" spans="1:48">
      <c r="A261" s="81"/>
      <c r="B261" s="199" t="s">
        <v>528</v>
      </c>
      <c r="C261" s="4" t="s">
        <v>526</v>
      </c>
      <c r="K261" s="43" t="s">
        <v>59</v>
      </c>
      <c r="L261" s="198">
        <v>44862</v>
      </c>
      <c r="P261" s="197">
        <v>1.1632</v>
      </c>
      <c r="Q261" s="4">
        <v>3.4825922274684791E-2</v>
      </c>
      <c r="U261" s="101"/>
      <c r="V261" s="101"/>
      <c r="W261" s="69" t="e" cm="1">
        <f t="array" ref="W261">_xlfn.XLOOKUP(Table1[[#This Row],[5 cm2 cell test code]:[5 cm2 cell test code]],[1]!Table1[[Test code]:[Test code]],[1]!Table1[i @ 1.8 V DIW (A/cm2)],"",0)</f>
        <v>#REF!</v>
      </c>
      <c r="X261" s="69" t="e" cm="1">
        <f t="array" ref="X261">_xlfn.XLOOKUP(Table1[[#This Row],[5 cm2 cell test code]:[5 cm2 cell test code]],[1]!Table1[[Test code]:[Test code]],[1]!Table1[i @ 1.8 V 10 mM KOH (A/cm2)],"",0)</f>
        <v>#REF!</v>
      </c>
      <c r="Y261" s="69" t="e" cm="1">
        <f t="array" ref="Y261">_xlfn.XLOOKUP(Table1[[#This Row],[5 cm2 cell test code]:[5 cm2 cell test code]],[1]!Table1[[Test code]:[Test code]],[1]!Table1[3-E ƞ at 20mAcm-2 (mV)],"",0)</f>
        <v>#REF!</v>
      </c>
      <c r="Z261" s="69" t="e" cm="1">
        <f t="array" ref="Z261">_xlfn.XLOOKUP(Table1[[#This Row],[5 cm2 cell test code]:[5 cm2 cell test code]],[1]!Table1[[Test code]:[Test code]],[1]!Table1[3-E Tafel slope (mV/dec)],"",0)</f>
        <v>#REF!</v>
      </c>
      <c r="AA261" s="69" t="e" cm="1">
        <f t="array" ref="AA261">_xlfn.XLOOKUP(Table1[[#This Row],[5 cm2 cell test code]:[5 cm2 cell test code]],[1]!Table1[[Test code]:[Test code]],[1]!Table1[E @ 100 mA/cm2 DIW/V],"",0)</f>
        <v>#REF!</v>
      </c>
      <c r="AB261" s="69" t="e" cm="1">
        <f t="array" ref="AB261">_xlfn.XLOOKUP(Table1[[#This Row],[5 cm2 cell test code]:[5 cm2 cell test code]],[1]!Table1[[Test code]:[Test code]],[1]!Table1[E @ 100 mA/cm2 10 mM KOH/V],"",0)</f>
        <v>#REF!</v>
      </c>
      <c r="AC261" s="69" t="e" cm="1">
        <f t="array" ref="AC261">_xlfn.XLOOKUP(Table1[[#This Row],[5 cm2 cell test code]:[5 cm2 cell test code]],[1]!Table1[[Test code]:[Test code]],[1]!Table1[Anode ICR/mOhm],"",0)</f>
        <v>#REF!</v>
      </c>
      <c r="AD261" s="69" t="e" cm="1">
        <f t="array" ref="AD261">_xlfn.XLOOKUP(Table1[[#This Row],[5 cm2 cell test code]:[5 cm2 cell test code]],[1]!Table1[[Test code]:[Test code]],[1]!Table1[HFR DIW/ mOhm cm2],"",0)</f>
        <v>#REF!</v>
      </c>
      <c r="AE261" s="69" t="e" cm="1">
        <f t="array" ref="AE261">_xlfn.XLOOKUP(Table1[[#This Row],[5 cm2 cell test code]:[5 cm2 cell test code]],[1]!Table1[[Test code]:[Test code]],[1]!Table1[HFR 10 mM KOH/ mOhm cm2],"",0)</f>
        <v>#REF!</v>
      </c>
      <c r="AF261" s="69" t="e" cm="1">
        <f t="array" ref="AF261">_xlfn.XLOOKUP(Table1[[#This Row],[5 cm2 cell test code]:[5 cm2 cell test code]],[1]!Table1[[Test code]:[Test code]],[1]!Table1[Ionic resistance DIW/Ohm cm2],"",0)</f>
        <v>#REF!</v>
      </c>
      <c r="AG261" s="195" t="e" cm="1">
        <f t="array" ref="AG261">_xlfn.XLOOKUP(Table1[[#This Row],[5 cm2 cell test code]:[5 cm2 cell test code]],[1]!Table1[[Test code]:[Test code]],[1]!Table1[Q_int_frac DIW],"",0)</f>
        <v>#REF!</v>
      </c>
      <c r="AH261" s="195" t="e" cm="1">
        <f t="array" ref="AH261">_xlfn.XLOOKUP(Table1[[#This Row],[5 cm2 cell test code]:[5 cm2 cell test code]],[1]!Table1[[Test code]:[Test code]],[1]!Table1[Ionic resistance 10 mM KOH/Ohm cm2],"",0)</f>
        <v>#REF!</v>
      </c>
      <c r="AI261" s="195" t="e" cm="1">
        <f t="array" ref="AI261">_xlfn.XLOOKUP(Table1[[#This Row],[5 cm2 cell test code]:[5 cm2 cell test code]],[1]!Table1[[Test code]:[Test code]],[1]!Table1[Q_int_frac DIW 10 mM KOH],"",0)</f>
        <v>#REF!</v>
      </c>
      <c r="AJ261" s="69" t="e" cm="1">
        <f t="array" ref="AJ261">_xlfn.XLOOKUP(Table1[[#This Row],[5 cm2 cell test code]:[5 cm2 cell test code]],[1]!Table1[[Test code]:[Test code]],[1]!Table1[DIW conductivity (µS/cm)],"",0)</f>
        <v>#REF!</v>
      </c>
      <c r="AQ261" s="4" t="str">
        <v>VSG01A-23270C1.02- Location #2</v>
      </c>
    </row>
    <row r="262" spans="1:48">
      <c r="A262" s="81"/>
      <c r="B262" s="199" t="s">
        <v>529</v>
      </c>
      <c r="C262" s="4" t="s">
        <v>526</v>
      </c>
      <c r="K262" s="43" t="s">
        <v>59</v>
      </c>
      <c r="L262" s="198">
        <v>44863</v>
      </c>
      <c r="P262" s="197">
        <v>1.0243</v>
      </c>
      <c r="Q262" s="4">
        <v>3.9722598811137766E-2</v>
      </c>
      <c r="U262" s="101"/>
      <c r="V262" s="101"/>
      <c r="W262" s="69" t="e" cm="1">
        <f t="array" ref="W262">_xlfn.XLOOKUP(Table1[[#This Row],[5 cm2 cell test code]:[5 cm2 cell test code]],[1]!Table1[[Test code]:[Test code]],[1]!Table1[i @ 1.8 V DIW (A/cm2)],"",0)</f>
        <v>#REF!</v>
      </c>
      <c r="X262" s="69" t="e" cm="1">
        <f t="array" ref="X262">_xlfn.XLOOKUP(Table1[[#This Row],[5 cm2 cell test code]:[5 cm2 cell test code]],[1]!Table1[[Test code]:[Test code]],[1]!Table1[i @ 1.8 V 10 mM KOH (A/cm2)],"",0)</f>
        <v>#REF!</v>
      </c>
      <c r="Y262" s="69" t="e" cm="1">
        <f t="array" ref="Y262">_xlfn.XLOOKUP(Table1[[#This Row],[5 cm2 cell test code]:[5 cm2 cell test code]],[1]!Table1[[Test code]:[Test code]],[1]!Table1[3-E ƞ at 20mAcm-2 (mV)],"",0)</f>
        <v>#REF!</v>
      </c>
      <c r="Z262" s="69" t="e" cm="1">
        <f t="array" ref="Z262">_xlfn.XLOOKUP(Table1[[#This Row],[5 cm2 cell test code]:[5 cm2 cell test code]],[1]!Table1[[Test code]:[Test code]],[1]!Table1[3-E Tafel slope (mV/dec)],"",0)</f>
        <v>#REF!</v>
      </c>
      <c r="AA262" s="69" t="e" cm="1">
        <f t="array" ref="AA262">_xlfn.XLOOKUP(Table1[[#This Row],[5 cm2 cell test code]:[5 cm2 cell test code]],[1]!Table1[[Test code]:[Test code]],[1]!Table1[E @ 100 mA/cm2 DIW/V],"",0)</f>
        <v>#REF!</v>
      </c>
      <c r="AB262" s="69" t="e" cm="1">
        <f t="array" ref="AB262">_xlfn.XLOOKUP(Table1[[#This Row],[5 cm2 cell test code]:[5 cm2 cell test code]],[1]!Table1[[Test code]:[Test code]],[1]!Table1[E @ 100 mA/cm2 10 mM KOH/V],"",0)</f>
        <v>#REF!</v>
      </c>
      <c r="AC262" s="69" t="e" cm="1">
        <f t="array" ref="AC262">_xlfn.XLOOKUP(Table1[[#This Row],[5 cm2 cell test code]:[5 cm2 cell test code]],[1]!Table1[[Test code]:[Test code]],[1]!Table1[Anode ICR/mOhm],"",0)</f>
        <v>#REF!</v>
      </c>
      <c r="AD262" s="69" t="e" cm="1">
        <f t="array" ref="AD262">_xlfn.XLOOKUP(Table1[[#This Row],[5 cm2 cell test code]:[5 cm2 cell test code]],[1]!Table1[[Test code]:[Test code]],[1]!Table1[HFR DIW/ mOhm cm2],"",0)</f>
        <v>#REF!</v>
      </c>
      <c r="AE262" s="69" t="e" cm="1">
        <f t="array" ref="AE262">_xlfn.XLOOKUP(Table1[[#This Row],[5 cm2 cell test code]:[5 cm2 cell test code]],[1]!Table1[[Test code]:[Test code]],[1]!Table1[HFR 10 mM KOH/ mOhm cm2],"",0)</f>
        <v>#REF!</v>
      </c>
      <c r="AF262" s="69" t="e" cm="1">
        <f t="array" ref="AF262">_xlfn.XLOOKUP(Table1[[#This Row],[5 cm2 cell test code]:[5 cm2 cell test code]],[1]!Table1[[Test code]:[Test code]],[1]!Table1[Ionic resistance DIW/Ohm cm2],"",0)</f>
        <v>#REF!</v>
      </c>
      <c r="AG262" s="195" t="e" cm="1">
        <f t="array" ref="AG262">_xlfn.XLOOKUP(Table1[[#This Row],[5 cm2 cell test code]:[5 cm2 cell test code]],[1]!Table1[[Test code]:[Test code]],[1]!Table1[Q_int_frac DIW],"",0)</f>
        <v>#REF!</v>
      </c>
      <c r="AH262" s="195" t="e" cm="1">
        <f t="array" ref="AH262">_xlfn.XLOOKUP(Table1[[#This Row],[5 cm2 cell test code]:[5 cm2 cell test code]],[1]!Table1[[Test code]:[Test code]],[1]!Table1[Ionic resistance 10 mM KOH/Ohm cm2],"",0)</f>
        <v>#REF!</v>
      </c>
      <c r="AI262" s="195" t="e" cm="1">
        <f t="array" ref="AI262">_xlfn.XLOOKUP(Table1[[#This Row],[5 cm2 cell test code]:[5 cm2 cell test code]],[1]!Table1[[Test code]:[Test code]],[1]!Table1[Q_int_frac DIW 10 mM KOH],"",0)</f>
        <v>#REF!</v>
      </c>
      <c r="AJ262" s="69" t="e" cm="1">
        <f t="array" ref="AJ262">_xlfn.XLOOKUP(Table1[[#This Row],[5 cm2 cell test code]:[5 cm2 cell test code]],[1]!Table1[[Test code]:[Test code]],[1]!Table1[DIW conductivity (µS/cm)],"",0)</f>
        <v>#REF!</v>
      </c>
      <c r="AQ262" s="4" t="str">
        <v>VSG01A-23270C1.02- Location #3</v>
      </c>
    </row>
    <row r="263" spans="1:48">
      <c r="A263" s="81"/>
      <c r="B263" s="199" t="s">
        <v>530</v>
      </c>
      <c r="C263" s="4" t="s">
        <v>531</v>
      </c>
      <c r="K263" s="194"/>
      <c r="L263" s="89"/>
      <c r="P263" s="28">
        <v>0.86809999999999998</v>
      </c>
      <c r="Q263" s="4">
        <v>0.56235584843492581</v>
      </c>
      <c r="U263" s="101"/>
      <c r="V263" s="101"/>
      <c r="W263" s="69" t="e" cm="1">
        <f t="array" ref="W263">_xlfn.XLOOKUP(Table1[[#This Row],[5 cm2 cell test code]:[5 cm2 cell test code]],[1]!Table1[[Test code]:[Test code]],[1]!Table1[i @ 1.8 V DIW (A/cm2)],"",0)</f>
        <v>#REF!</v>
      </c>
      <c r="X263" s="69" t="e" cm="1">
        <f t="array" ref="X263">_xlfn.XLOOKUP(Table1[[#This Row],[5 cm2 cell test code]:[5 cm2 cell test code]],[1]!Table1[[Test code]:[Test code]],[1]!Table1[i @ 1.8 V 10 mM KOH (A/cm2)],"",0)</f>
        <v>#REF!</v>
      </c>
      <c r="Y263" s="69" t="e" cm="1">
        <f t="array" ref="Y263">_xlfn.XLOOKUP(Table1[[#This Row],[5 cm2 cell test code]:[5 cm2 cell test code]],[1]!Table1[[Test code]:[Test code]],[1]!Table1[3-E ƞ at 20mAcm-2 (mV)],"",0)</f>
        <v>#REF!</v>
      </c>
      <c r="Z263" s="69" t="e" cm="1">
        <f t="array" ref="Z263">_xlfn.XLOOKUP(Table1[[#This Row],[5 cm2 cell test code]:[5 cm2 cell test code]],[1]!Table1[[Test code]:[Test code]],[1]!Table1[3-E Tafel slope (mV/dec)],"",0)</f>
        <v>#REF!</v>
      </c>
      <c r="AA263" s="69" t="e" cm="1">
        <f t="array" ref="AA263">_xlfn.XLOOKUP(Table1[[#This Row],[5 cm2 cell test code]:[5 cm2 cell test code]],[1]!Table1[[Test code]:[Test code]],[1]!Table1[E @ 100 mA/cm2 DIW/V],"",0)</f>
        <v>#REF!</v>
      </c>
      <c r="AB263" s="69" t="e" cm="1">
        <f t="array" ref="AB263">_xlfn.XLOOKUP(Table1[[#This Row],[5 cm2 cell test code]:[5 cm2 cell test code]],[1]!Table1[[Test code]:[Test code]],[1]!Table1[E @ 100 mA/cm2 10 mM KOH/V],"",0)</f>
        <v>#REF!</v>
      </c>
      <c r="AC263" s="69" t="e" cm="1">
        <f t="array" ref="AC263">_xlfn.XLOOKUP(Table1[[#This Row],[5 cm2 cell test code]:[5 cm2 cell test code]],[1]!Table1[[Test code]:[Test code]],[1]!Table1[Anode ICR/mOhm],"",0)</f>
        <v>#REF!</v>
      </c>
      <c r="AD263" s="69" t="e" cm="1">
        <f t="array" ref="AD263">_xlfn.XLOOKUP(Table1[[#This Row],[5 cm2 cell test code]:[5 cm2 cell test code]],[1]!Table1[[Test code]:[Test code]],[1]!Table1[HFR DIW/ mOhm cm2],"",0)</f>
        <v>#REF!</v>
      </c>
      <c r="AE263" s="69" t="e" cm="1">
        <f t="array" ref="AE263">_xlfn.XLOOKUP(Table1[[#This Row],[5 cm2 cell test code]:[5 cm2 cell test code]],[1]!Table1[[Test code]:[Test code]],[1]!Table1[HFR 10 mM KOH/ mOhm cm2],"",0)</f>
        <v>#REF!</v>
      </c>
      <c r="AF263" s="69" t="e" cm="1">
        <f t="array" ref="AF263">_xlfn.XLOOKUP(Table1[[#This Row],[5 cm2 cell test code]:[5 cm2 cell test code]],[1]!Table1[[Test code]:[Test code]],[1]!Table1[Ionic resistance DIW/Ohm cm2],"",0)</f>
        <v>#REF!</v>
      </c>
      <c r="AG263" s="195" t="e" cm="1">
        <f t="array" ref="AG263">_xlfn.XLOOKUP(Table1[[#This Row],[5 cm2 cell test code]:[5 cm2 cell test code]],[1]!Table1[[Test code]:[Test code]],[1]!Table1[Q_int_frac DIW],"",0)</f>
        <v>#REF!</v>
      </c>
      <c r="AH263" s="195" t="e" cm="1">
        <f t="array" ref="AH263">_xlfn.XLOOKUP(Table1[[#This Row],[5 cm2 cell test code]:[5 cm2 cell test code]],[1]!Table1[[Test code]:[Test code]],[1]!Table1[Ionic resistance 10 mM KOH/Ohm cm2],"",0)</f>
        <v>#REF!</v>
      </c>
      <c r="AI263" s="195" t="e" cm="1">
        <f t="array" ref="AI263">_xlfn.XLOOKUP(Table1[[#This Row],[5 cm2 cell test code]:[5 cm2 cell test code]],[1]!Table1[[Test code]:[Test code]],[1]!Table1[Q_int_frac DIW 10 mM KOH],"",0)</f>
        <v>#REF!</v>
      </c>
      <c r="AJ263" s="69" t="e" cm="1">
        <f t="array" ref="AJ263">_xlfn.XLOOKUP(Table1[[#This Row],[5 cm2 cell test code]:[5 cm2 cell test code]],[1]!Table1[[Test code]:[Test code]],[1]!Table1[DIW conductivity (µS/cm)],"",0)</f>
        <v>#REF!</v>
      </c>
      <c r="AQ263" s="4" t="str">
        <v>VSG01A-23270C1.02- Location #7</v>
      </c>
    </row>
    <row r="264" spans="1:48">
      <c r="A264" s="81"/>
      <c r="B264" s="199" t="s">
        <v>532</v>
      </c>
      <c r="C264" s="4" t="s">
        <v>531</v>
      </c>
      <c r="K264" s="194"/>
      <c r="L264" s="89"/>
      <c r="P264" s="197">
        <v>0.86809999999999998</v>
      </c>
      <c r="Q264" s="4">
        <v>0.30035790980672866</v>
      </c>
      <c r="U264" s="101"/>
      <c r="V264" s="101"/>
      <c r="W264" s="69" t="e" cm="1">
        <f t="array" ref="W264">_xlfn.XLOOKUP(Table1[[#This Row],[5 cm2 cell test code]:[5 cm2 cell test code]],[1]!Table1[[Test code]:[Test code]],[1]!Table1[i @ 1.8 V DIW (A/cm2)],"",0)</f>
        <v>#REF!</v>
      </c>
      <c r="X264" s="69" t="e" cm="1">
        <f t="array" ref="X264">_xlfn.XLOOKUP(Table1[[#This Row],[5 cm2 cell test code]:[5 cm2 cell test code]],[1]!Table1[[Test code]:[Test code]],[1]!Table1[i @ 1.8 V 10 mM KOH (A/cm2)],"",0)</f>
        <v>#REF!</v>
      </c>
      <c r="Y264" s="69" t="e" cm="1">
        <f t="array" ref="Y264">_xlfn.XLOOKUP(Table1[[#This Row],[5 cm2 cell test code]:[5 cm2 cell test code]],[1]!Table1[[Test code]:[Test code]],[1]!Table1[3-E ƞ at 20mAcm-2 (mV)],"",0)</f>
        <v>#REF!</v>
      </c>
      <c r="Z264" s="69" t="e" cm="1">
        <f t="array" ref="Z264">_xlfn.XLOOKUP(Table1[[#This Row],[5 cm2 cell test code]:[5 cm2 cell test code]],[1]!Table1[[Test code]:[Test code]],[1]!Table1[3-E Tafel slope (mV/dec)],"",0)</f>
        <v>#REF!</v>
      </c>
      <c r="AA264" s="69" t="e" cm="1">
        <f t="array" ref="AA264">_xlfn.XLOOKUP(Table1[[#This Row],[5 cm2 cell test code]:[5 cm2 cell test code]],[1]!Table1[[Test code]:[Test code]],[1]!Table1[E @ 100 mA/cm2 DIW/V],"",0)</f>
        <v>#REF!</v>
      </c>
      <c r="AB264" s="69" t="e" cm="1">
        <f t="array" ref="AB264">_xlfn.XLOOKUP(Table1[[#This Row],[5 cm2 cell test code]:[5 cm2 cell test code]],[1]!Table1[[Test code]:[Test code]],[1]!Table1[E @ 100 mA/cm2 10 mM KOH/V],"",0)</f>
        <v>#REF!</v>
      </c>
      <c r="AC264" s="69" t="e" cm="1">
        <f t="array" ref="AC264">_xlfn.XLOOKUP(Table1[[#This Row],[5 cm2 cell test code]:[5 cm2 cell test code]],[1]!Table1[[Test code]:[Test code]],[1]!Table1[Anode ICR/mOhm],"",0)</f>
        <v>#REF!</v>
      </c>
      <c r="AD264" s="69" t="e" cm="1">
        <f t="array" ref="AD264">_xlfn.XLOOKUP(Table1[[#This Row],[5 cm2 cell test code]:[5 cm2 cell test code]],[1]!Table1[[Test code]:[Test code]],[1]!Table1[HFR DIW/ mOhm cm2],"",0)</f>
        <v>#REF!</v>
      </c>
      <c r="AE264" s="69" t="e" cm="1">
        <f t="array" ref="AE264">_xlfn.XLOOKUP(Table1[[#This Row],[5 cm2 cell test code]:[5 cm2 cell test code]],[1]!Table1[[Test code]:[Test code]],[1]!Table1[HFR 10 mM KOH/ mOhm cm2],"",0)</f>
        <v>#REF!</v>
      </c>
      <c r="AF264" s="69" t="e" cm="1">
        <f t="array" ref="AF264">_xlfn.XLOOKUP(Table1[[#This Row],[5 cm2 cell test code]:[5 cm2 cell test code]],[1]!Table1[[Test code]:[Test code]],[1]!Table1[Ionic resistance DIW/Ohm cm2],"",0)</f>
        <v>#REF!</v>
      </c>
      <c r="AG264" s="195" t="e" cm="1">
        <f t="array" ref="AG264">_xlfn.XLOOKUP(Table1[[#This Row],[5 cm2 cell test code]:[5 cm2 cell test code]],[1]!Table1[[Test code]:[Test code]],[1]!Table1[Q_int_frac DIW],"",0)</f>
        <v>#REF!</v>
      </c>
      <c r="AH264" s="195" t="e" cm="1">
        <f t="array" ref="AH264">_xlfn.XLOOKUP(Table1[[#This Row],[5 cm2 cell test code]:[5 cm2 cell test code]],[1]!Table1[[Test code]:[Test code]],[1]!Table1[Ionic resistance 10 mM KOH/Ohm cm2],"",0)</f>
        <v>#REF!</v>
      </c>
      <c r="AI264" s="195" t="e" cm="1">
        <f t="array" ref="AI264">_xlfn.XLOOKUP(Table1[[#This Row],[5 cm2 cell test code]:[5 cm2 cell test code]],[1]!Table1[[Test code]:[Test code]],[1]!Table1[Q_int_frac DIW 10 mM KOH],"",0)</f>
        <v>#REF!</v>
      </c>
      <c r="AJ264" s="69" t="e" cm="1">
        <f t="array" ref="AJ264">_xlfn.XLOOKUP(Table1[[#This Row],[5 cm2 cell test code]:[5 cm2 cell test code]],[1]!Table1[[Test code]:[Test code]],[1]!Table1[DIW conductivity (µS/cm)],"",0)</f>
        <v>#REF!</v>
      </c>
      <c r="AQ264" s="4" t="str">
        <v>VSG01A-23270C1.02- Location #9</v>
      </c>
    </row>
    <row r="265" spans="1:48">
      <c r="A265" s="81"/>
      <c r="B265" s="199" t="s">
        <v>533</v>
      </c>
      <c r="C265" s="4" t="s">
        <v>531</v>
      </c>
      <c r="K265" s="194"/>
      <c r="L265" s="89"/>
      <c r="P265" s="197">
        <v>1.0764</v>
      </c>
      <c r="Q265" s="4">
        <v>0.25013262599469493</v>
      </c>
      <c r="U265" s="101"/>
      <c r="V265" s="101"/>
      <c r="W265" s="69" t="e" cm="1">
        <f t="array" ref="W265">_xlfn.XLOOKUP(Table1[[#This Row],[5 cm2 cell test code]:[5 cm2 cell test code]],[1]!Table1[[Test code]:[Test code]],[1]!Table1[i @ 1.8 V DIW (A/cm2)],"",0)</f>
        <v>#REF!</v>
      </c>
      <c r="X265" s="69" t="e" cm="1">
        <f t="array" ref="X265">_xlfn.XLOOKUP(Table1[[#This Row],[5 cm2 cell test code]:[5 cm2 cell test code]],[1]!Table1[[Test code]:[Test code]],[1]!Table1[i @ 1.8 V 10 mM KOH (A/cm2)],"",0)</f>
        <v>#REF!</v>
      </c>
      <c r="Y265" s="69" t="e" cm="1">
        <f t="array" ref="Y265">_xlfn.XLOOKUP(Table1[[#This Row],[5 cm2 cell test code]:[5 cm2 cell test code]],[1]!Table1[[Test code]:[Test code]],[1]!Table1[3-E ƞ at 20mAcm-2 (mV)],"",0)</f>
        <v>#REF!</v>
      </c>
      <c r="Z265" s="69" t="e" cm="1">
        <f t="array" ref="Z265">_xlfn.XLOOKUP(Table1[[#This Row],[5 cm2 cell test code]:[5 cm2 cell test code]],[1]!Table1[[Test code]:[Test code]],[1]!Table1[3-E Tafel slope (mV/dec)],"",0)</f>
        <v>#REF!</v>
      </c>
      <c r="AA265" s="69" t="e" cm="1">
        <f t="array" ref="AA265">_xlfn.XLOOKUP(Table1[[#This Row],[5 cm2 cell test code]:[5 cm2 cell test code]],[1]!Table1[[Test code]:[Test code]],[1]!Table1[E @ 100 mA/cm2 DIW/V],"",0)</f>
        <v>#REF!</v>
      </c>
      <c r="AB265" s="69" t="e" cm="1">
        <f t="array" ref="AB265">_xlfn.XLOOKUP(Table1[[#This Row],[5 cm2 cell test code]:[5 cm2 cell test code]],[1]!Table1[[Test code]:[Test code]],[1]!Table1[E @ 100 mA/cm2 10 mM KOH/V],"",0)</f>
        <v>#REF!</v>
      </c>
      <c r="AC265" s="69" t="e" cm="1">
        <f t="array" ref="AC265">_xlfn.XLOOKUP(Table1[[#This Row],[5 cm2 cell test code]:[5 cm2 cell test code]],[1]!Table1[[Test code]:[Test code]],[1]!Table1[Anode ICR/mOhm],"",0)</f>
        <v>#REF!</v>
      </c>
      <c r="AD265" s="69" t="e" cm="1">
        <f t="array" ref="AD265">_xlfn.XLOOKUP(Table1[[#This Row],[5 cm2 cell test code]:[5 cm2 cell test code]],[1]!Table1[[Test code]:[Test code]],[1]!Table1[HFR DIW/ mOhm cm2],"",0)</f>
        <v>#REF!</v>
      </c>
      <c r="AE265" s="69" t="e" cm="1">
        <f t="array" ref="AE265">_xlfn.XLOOKUP(Table1[[#This Row],[5 cm2 cell test code]:[5 cm2 cell test code]],[1]!Table1[[Test code]:[Test code]],[1]!Table1[HFR 10 mM KOH/ mOhm cm2],"",0)</f>
        <v>#REF!</v>
      </c>
      <c r="AF265" s="69" t="e" cm="1">
        <f t="array" ref="AF265">_xlfn.XLOOKUP(Table1[[#This Row],[5 cm2 cell test code]:[5 cm2 cell test code]],[1]!Table1[[Test code]:[Test code]],[1]!Table1[Ionic resistance DIW/Ohm cm2],"",0)</f>
        <v>#REF!</v>
      </c>
      <c r="AG265" s="195" t="e" cm="1">
        <f t="array" ref="AG265">_xlfn.XLOOKUP(Table1[[#This Row],[5 cm2 cell test code]:[5 cm2 cell test code]],[1]!Table1[[Test code]:[Test code]],[1]!Table1[Q_int_frac DIW],"",0)</f>
        <v>#REF!</v>
      </c>
      <c r="AH265" s="195" t="e" cm="1">
        <f t="array" ref="AH265">_xlfn.XLOOKUP(Table1[[#This Row],[5 cm2 cell test code]:[5 cm2 cell test code]],[1]!Table1[[Test code]:[Test code]],[1]!Table1[Ionic resistance 10 mM KOH/Ohm cm2],"",0)</f>
        <v>#REF!</v>
      </c>
      <c r="AI265" s="195" t="e" cm="1">
        <f t="array" ref="AI265">_xlfn.XLOOKUP(Table1[[#This Row],[5 cm2 cell test code]:[5 cm2 cell test code]],[1]!Table1[[Test code]:[Test code]],[1]!Table1[Q_int_frac DIW 10 mM KOH],"",0)</f>
        <v>#REF!</v>
      </c>
      <c r="AJ265" s="69" t="e" cm="1">
        <f t="array" ref="AJ265">_xlfn.XLOOKUP(Table1[[#This Row],[5 cm2 cell test code]:[5 cm2 cell test code]],[1]!Table1[[Test code]:[Test code]],[1]!Table1[DIW conductivity (µS/cm)],"",0)</f>
        <v>#REF!</v>
      </c>
      <c r="AQ265" s="4" t="str">
        <v>VSG01A-23271C1.02</v>
      </c>
    </row>
    <row r="266" spans="1:48">
      <c r="A266" s="81"/>
      <c r="B266" s="199" t="s">
        <v>534</v>
      </c>
      <c r="C266" s="4" t="s">
        <v>531</v>
      </c>
      <c r="K266" s="194"/>
      <c r="L266" s="89"/>
      <c r="P266" s="197">
        <v>0.88539999999999996</v>
      </c>
      <c r="Q266" s="4">
        <v>0.39985673352435525</v>
      </c>
      <c r="U266" s="101"/>
      <c r="V266" s="101"/>
      <c r="W266" s="69" t="e" cm="1">
        <f t="array" ref="W266">_xlfn.XLOOKUP(Table1[[#This Row],[5 cm2 cell test code]:[5 cm2 cell test code]],[1]!Table1[[Test code]:[Test code]],[1]!Table1[i @ 1.8 V DIW (A/cm2)],"",0)</f>
        <v>#REF!</v>
      </c>
      <c r="X266" s="69" t="e" cm="1">
        <f t="array" ref="X266">_xlfn.XLOOKUP(Table1[[#This Row],[5 cm2 cell test code]:[5 cm2 cell test code]],[1]!Table1[[Test code]:[Test code]],[1]!Table1[i @ 1.8 V 10 mM KOH (A/cm2)],"",0)</f>
        <v>#REF!</v>
      </c>
      <c r="Y266" s="69" t="e" cm="1">
        <f t="array" ref="Y266">_xlfn.XLOOKUP(Table1[[#This Row],[5 cm2 cell test code]:[5 cm2 cell test code]],[1]!Table1[[Test code]:[Test code]],[1]!Table1[3-E ƞ at 20mAcm-2 (mV)],"",0)</f>
        <v>#REF!</v>
      </c>
      <c r="Z266" s="69" t="e" cm="1">
        <f t="array" ref="Z266">_xlfn.XLOOKUP(Table1[[#This Row],[5 cm2 cell test code]:[5 cm2 cell test code]],[1]!Table1[[Test code]:[Test code]],[1]!Table1[3-E Tafel slope (mV/dec)],"",0)</f>
        <v>#REF!</v>
      </c>
      <c r="AA266" s="69" t="e" cm="1">
        <f t="array" ref="AA266">_xlfn.XLOOKUP(Table1[[#This Row],[5 cm2 cell test code]:[5 cm2 cell test code]],[1]!Table1[[Test code]:[Test code]],[1]!Table1[E @ 100 mA/cm2 DIW/V],"",0)</f>
        <v>#REF!</v>
      </c>
      <c r="AB266" s="69" t="e" cm="1">
        <f t="array" ref="AB266">_xlfn.XLOOKUP(Table1[[#This Row],[5 cm2 cell test code]:[5 cm2 cell test code]],[1]!Table1[[Test code]:[Test code]],[1]!Table1[E @ 100 mA/cm2 10 mM KOH/V],"",0)</f>
        <v>#REF!</v>
      </c>
      <c r="AC266" s="69" t="e" cm="1">
        <f t="array" ref="AC266">_xlfn.XLOOKUP(Table1[[#This Row],[5 cm2 cell test code]:[5 cm2 cell test code]],[1]!Table1[[Test code]:[Test code]],[1]!Table1[Anode ICR/mOhm],"",0)</f>
        <v>#REF!</v>
      </c>
      <c r="AD266" s="69" t="e" cm="1">
        <f t="array" ref="AD266">_xlfn.XLOOKUP(Table1[[#This Row],[5 cm2 cell test code]:[5 cm2 cell test code]],[1]!Table1[[Test code]:[Test code]],[1]!Table1[HFR DIW/ mOhm cm2],"",0)</f>
        <v>#REF!</v>
      </c>
      <c r="AE266" s="69" t="e" cm="1">
        <f t="array" ref="AE266">_xlfn.XLOOKUP(Table1[[#This Row],[5 cm2 cell test code]:[5 cm2 cell test code]],[1]!Table1[[Test code]:[Test code]],[1]!Table1[HFR 10 mM KOH/ mOhm cm2],"",0)</f>
        <v>#REF!</v>
      </c>
      <c r="AF266" s="69" t="e" cm="1">
        <f t="array" ref="AF266">_xlfn.XLOOKUP(Table1[[#This Row],[5 cm2 cell test code]:[5 cm2 cell test code]],[1]!Table1[[Test code]:[Test code]],[1]!Table1[Ionic resistance DIW/Ohm cm2],"",0)</f>
        <v>#REF!</v>
      </c>
      <c r="AG266" s="195" t="e" cm="1">
        <f t="array" ref="AG266">_xlfn.XLOOKUP(Table1[[#This Row],[5 cm2 cell test code]:[5 cm2 cell test code]],[1]!Table1[[Test code]:[Test code]],[1]!Table1[Q_int_frac DIW],"",0)</f>
        <v>#REF!</v>
      </c>
      <c r="AH266" s="195" t="e" cm="1">
        <f t="array" ref="AH266">_xlfn.XLOOKUP(Table1[[#This Row],[5 cm2 cell test code]:[5 cm2 cell test code]],[1]!Table1[[Test code]:[Test code]],[1]!Table1[Ionic resistance 10 mM KOH/Ohm cm2],"",0)</f>
        <v>#REF!</v>
      </c>
      <c r="AI266" s="195" t="e" cm="1">
        <f t="array" ref="AI266">_xlfn.XLOOKUP(Table1[[#This Row],[5 cm2 cell test code]:[5 cm2 cell test code]],[1]!Table1[[Test code]:[Test code]],[1]!Table1[Q_int_frac DIW 10 mM KOH],"",0)</f>
        <v>#REF!</v>
      </c>
      <c r="AJ266" s="69" t="e" cm="1">
        <f t="array" ref="AJ266">_xlfn.XLOOKUP(Table1[[#This Row],[5 cm2 cell test code]:[5 cm2 cell test code]],[1]!Table1[[Test code]:[Test code]],[1]!Table1[DIW conductivity (µS/cm)],"",0)</f>
        <v>#REF!</v>
      </c>
      <c r="AQ266" s="4" t="str">
        <v>VSG01A-23271C1.02 -Location #1</v>
      </c>
    </row>
    <row r="267" spans="1:48">
      <c r="A267" s="81"/>
      <c r="K267" s="194"/>
      <c r="L267" s="89"/>
      <c r="U267" s="101"/>
      <c r="V267" s="101"/>
      <c r="W267" s="69" t="e" cm="1">
        <f t="array" ref="W267">_xlfn.XLOOKUP(Table1[[#This Row],[5 cm2 cell test code]:[5 cm2 cell test code]],[1]!Table1[[Test code]:[Test code]],[1]!Table1[i @ 1.8 V DIW (A/cm2)],"",0)</f>
        <v>#REF!</v>
      </c>
      <c r="X267" s="69" t="e" cm="1">
        <f t="array" ref="X267">_xlfn.XLOOKUP(Table1[[#This Row],[5 cm2 cell test code]:[5 cm2 cell test code]],[1]!Table1[[Test code]:[Test code]],[1]!Table1[i @ 1.8 V 10 mM KOH (A/cm2)],"",0)</f>
        <v>#REF!</v>
      </c>
      <c r="Y267" s="69" t="e" cm="1">
        <f t="array" ref="Y267">_xlfn.XLOOKUP(Table1[[#This Row],[5 cm2 cell test code]:[5 cm2 cell test code]],[1]!Table1[[Test code]:[Test code]],[1]!Table1[3-E ƞ at 20mAcm-2 (mV)],"",0)</f>
        <v>#REF!</v>
      </c>
      <c r="Z267" s="69" t="e" cm="1">
        <f t="array" ref="Z267">_xlfn.XLOOKUP(Table1[[#This Row],[5 cm2 cell test code]:[5 cm2 cell test code]],[1]!Table1[[Test code]:[Test code]],[1]!Table1[3-E Tafel slope (mV/dec)],"",0)</f>
        <v>#REF!</v>
      </c>
      <c r="AA267" s="69" t="e" cm="1">
        <f t="array" ref="AA267">_xlfn.XLOOKUP(Table1[[#This Row],[5 cm2 cell test code]:[5 cm2 cell test code]],[1]!Table1[[Test code]:[Test code]],[1]!Table1[E @ 100 mA/cm2 DIW/V],"",0)</f>
        <v>#REF!</v>
      </c>
      <c r="AB267" s="69" t="e" cm="1">
        <f t="array" ref="AB267">_xlfn.XLOOKUP(Table1[[#This Row],[5 cm2 cell test code]:[5 cm2 cell test code]],[1]!Table1[[Test code]:[Test code]],[1]!Table1[E @ 100 mA/cm2 10 mM KOH/V],"",0)</f>
        <v>#REF!</v>
      </c>
      <c r="AC267" s="69" t="e" cm="1">
        <f t="array" ref="AC267">_xlfn.XLOOKUP(Table1[[#This Row],[5 cm2 cell test code]:[5 cm2 cell test code]],[1]!Table1[[Test code]:[Test code]],[1]!Table1[Anode ICR/mOhm],"",0)</f>
        <v>#REF!</v>
      </c>
      <c r="AD267" s="69" t="e" cm="1">
        <f t="array" ref="AD267">_xlfn.XLOOKUP(Table1[[#This Row],[5 cm2 cell test code]:[5 cm2 cell test code]],[1]!Table1[[Test code]:[Test code]],[1]!Table1[HFR DIW/ mOhm cm2],"",0)</f>
        <v>#REF!</v>
      </c>
      <c r="AE267" s="69" t="e" cm="1">
        <f t="array" ref="AE267">_xlfn.XLOOKUP(Table1[[#This Row],[5 cm2 cell test code]:[5 cm2 cell test code]],[1]!Table1[[Test code]:[Test code]],[1]!Table1[HFR 10 mM KOH/ mOhm cm2],"",0)</f>
        <v>#REF!</v>
      </c>
      <c r="AF267" s="69" t="e" cm="1">
        <f t="array" ref="AF267">_xlfn.XLOOKUP(Table1[[#This Row],[5 cm2 cell test code]:[5 cm2 cell test code]],[1]!Table1[[Test code]:[Test code]],[1]!Table1[Ionic resistance DIW/Ohm cm2],"",0)</f>
        <v>#REF!</v>
      </c>
      <c r="AG267" s="195" t="e" cm="1">
        <f t="array" ref="AG267">_xlfn.XLOOKUP(Table1[[#This Row],[5 cm2 cell test code]:[5 cm2 cell test code]],[1]!Table1[[Test code]:[Test code]],[1]!Table1[Q_int_frac DIW],"",0)</f>
        <v>#REF!</v>
      </c>
      <c r="AH267" s="195" t="e" cm="1">
        <f t="array" ref="AH267">_xlfn.XLOOKUP(Table1[[#This Row],[5 cm2 cell test code]:[5 cm2 cell test code]],[1]!Table1[[Test code]:[Test code]],[1]!Table1[Ionic resistance 10 mM KOH/Ohm cm2],"",0)</f>
        <v>#REF!</v>
      </c>
      <c r="AI267" s="195" t="e" cm="1">
        <f t="array" ref="AI267">_xlfn.XLOOKUP(Table1[[#This Row],[5 cm2 cell test code]:[5 cm2 cell test code]],[1]!Table1[[Test code]:[Test code]],[1]!Table1[Q_int_frac DIW 10 mM KOH],"",0)</f>
        <v>#REF!</v>
      </c>
      <c r="AJ267" s="69" t="e" cm="1">
        <f t="array" ref="AJ267">_xlfn.XLOOKUP(Table1[[#This Row],[5 cm2 cell test code]:[5 cm2 cell test code]],[1]!Table1[[Test code]:[Test code]],[1]!Table1[DIW conductivity (µS/cm)],"",0)</f>
        <v>#REF!</v>
      </c>
      <c r="AQ267" s="4" t="str">
        <v>VSG01A-23271C1.02 -Location #4</v>
      </c>
    </row>
    <row r="268" spans="1:48">
      <c r="A268" s="81" t="s">
        <v>477</v>
      </c>
      <c r="B268" s="11" t="s">
        <v>535</v>
      </c>
      <c r="C268" s="4" t="s">
        <v>536</v>
      </c>
      <c r="I268" s="11" t="s">
        <v>114</v>
      </c>
      <c r="J268" s="11" t="s">
        <v>402</v>
      </c>
      <c r="K268" s="43" t="s">
        <v>59</v>
      </c>
      <c r="N268" s="13">
        <v>0</v>
      </c>
      <c r="O268" s="11">
        <v>0</v>
      </c>
      <c r="P268" s="28">
        <v>0.92800000000000005</v>
      </c>
      <c r="R268" s="4">
        <v>1.1839999999999999</v>
      </c>
      <c r="S268" s="4">
        <v>217.94</v>
      </c>
      <c r="T268" s="4">
        <v>34.159999999999997</v>
      </c>
      <c r="U268" s="101" t="s">
        <v>537</v>
      </c>
      <c r="V268" t="s">
        <v>538</v>
      </c>
      <c r="W268" s="69" t="e" cm="1">
        <f t="array" ref="W268">_xlfn.XLOOKUP(Table1[[#This Row],[5 cm2 cell test code]:[5 cm2 cell test code]],[1]!Table1[[Test code]:[Test code]],[1]!Table1[i @ 1.8 V DIW (A/cm2)],"",0)</f>
        <v>#REF!</v>
      </c>
      <c r="X268" s="69" t="e" cm="1">
        <f t="array" ref="X268">_xlfn.XLOOKUP(Table1[[#This Row],[5 cm2 cell test code]:[5 cm2 cell test code]],[1]!Table1[[Test code]:[Test code]],[1]!Table1[i @ 1.8 V 10 mM KOH (A/cm2)],"",0)</f>
        <v>#REF!</v>
      </c>
      <c r="Y268" s="69" t="e" cm="1">
        <f t="array" ref="Y268">_xlfn.XLOOKUP(Table1[[#This Row],[5 cm2 cell test code]:[5 cm2 cell test code]],[1]!Table1[[Test code]:[Test code]],[1]!Table1[3-E ƞ at 20mAcm-2 (mV)],"",0)</f>
        <v>#REF!</v>
      </c>
      <c r="Z268" s="69" t="e" cm="1">
        <f t="array" ref="Z268">_xlfn.XLOOKUP(Table1[[#This Row],[5 cm2 cell test code]:[5 cm2 cell test code]],[1]!Table1[[Test code]:[Test code]],[1]!Table1[3-E Tafel slope (mV/dec)],"",0)</f>
        <v>#REF!</v>
      </c>
      <c r="AA268" s="69" t="e" cm="1">
        <f t="array" ref="AA268">_xlfn.XLOOKUP(Table1[[#This Row],[5 cm2 cell test code]:[5 cm2 cell test code]],[1]!Table1[[Test code]:[Test code]],[1]!Table1[E @ 100 mA/cm2 DIW/V],"",0)</f>
        <v>#REF!</v>
      </c>
      <c r="AB268" s="69" t="e" cm="1">
        <f t="array" ref="AB268">_xlfn.XLOOKUP(Table1[[#This Row],[5 cm2 cell test code]:[5 cm2 cell test code]],[1]!Table1[[Test code]:[Test code]],[1]!Table1[E @ 100 mA/cm2 10 mM KOH/V],"",0)</f>
        <v>#REF!</v>
      </c>
      <c r="AC268" s="69" t="e" cm="1">
        <f t="array" ref="AC268">_xlfn.XLOOKUP(Table1[[#This Row],[5 cm2 cell test code]:[5 cm2 cell test code]],[1]!Table1[[Test code]:[Test code]],[1]!Table1[Anode ICR/mOhm],"",0)</f>
        <v>#REF!</v>
      </c>
      <c r="AD268" s="69" t="e" cm="1">
        <f t="array" ref="AD268">_xlfn.XLOOKUP(Table1[[#This Row],[5 cm2 cell test code]:[5 cm2 cell test code]],[1]!Table1[[Test code]:[Test code]],[1]!Table1[HFR DIW/ mOhm cm2],"",0)</f>
        <v>#REF!</v>
      </c>
      <c r="AE268" s="69" t="e" cm="1">
        <f t="array" ref="AE268">_xlfn.XLOOKUP(Table1[[#This Row],[5 cm2 cell test code]:[5 cm2 cell test code]],[1]!Table1[[Test code]:[Test code]],[1]!Table1[HFR 10 mM KOH/ mOhm cm2],"",0)</f>
        <v>#REF!</v>
      </c>
      <c r="AF268" s="69" t="e" cm="1">
        <f t="array" ref="AF268">_xlfn.XLOOKUP(Table1[[#This Row],[5 cm2 cell test code]:[5 cm2 cell test code]],[1]!Table1[[Test code]:[Test code]],[1]!Table1[Ionic resistance DIW/Ohm cm2],"",0)</f>
        <v>#REF!</v>
      </c>
      <c r="AG268" s="69" t="e" cm="1">
        <f t="array" ref="AG268">_xlfn.XLOOKUP(Table1[[#This Row],[5 cm2 cell test code]:[5 cm2 cell test code]],[1]!Table1[[Test code]:[Test code]],[1]!Table1[Q_int_frac DIW],"",0)</f>
        <v>#REF!</v>
      </c>
      <c r="AH268" s="69" t="e" cm="1">
        <f t="array" ref="AH268">_xlfn.XLOOKUP(Table1[[#This Row],[5 cm2 cell test code]:[5 cm2 cell test code]],[1]!Table1[[Test code]:[Test code]],[1]!Table1[Ionic resistance 10 mM KOH/Ohm cm2],"",0)</f>
        <v>#REF!</v>
      </c>
      <c r="AI268" s="69" t="e" cm="1">
        <f t="array" ref="AI268">_xlfn.XLOOKUP(Table1[[#This Row],[5 cm2 cell test code]:[5 cm2 cell test code]],[1]!Table1[[Test code]:[Test code]],[1]!Table1[Q_int_frac DIW 10 mM KOH],"",0)</f>
        <v>#REF!</v>
      </c>
      <c r="AJ268" s="69" t="e" cm="1">
        <f t="array" ref="AJ268">_xlfn.XLOOKUP(Table1[[#This Row],[5 cm2 cell test code]:[5 cm2 cell test code]],[1]!Table1[[Test code]:[Test code]],[1]!Table1[DIW conductivity (µS/cm)],"",0)</f>
        <v>#REF!</v>
      </c>
      <c r="AQ268" s="4" t="str">
        <v>VSG01A-23271C1.02 -Location #5</v>
      </c>
    </row>
    <row r="269" spans="1:48">
      <c r="A269" s="81" t="s">
        <v>477</v>
      </c>
      <c r="B269" s="11" t="s">
        <v>539</v>
      </c>
      <c r="C269" s="4" t="s">
        <v>536</v>
      </c>
      <c r="K269" s="43" t="s">
        <v>59</v>
      </c>
      <c r="P269" s="28">
        <v>1.0880000000000001</v>
      </c>
      <c r="R269" s="4">
        <v>1.0580000000000001</v>
      </c>
      <c r="S269" s="4">
        <v>229.94</v>
      </c>
      <c r="T269" s="4">
        <v>33.74</v>
      </c>
      <c r="U269" s="101" t="s">
        <v>540</v>
      </c>
      <c r="V269" t="s">
        <v>541</v>
      </c>
      <c r="W269" s="69" t="e" cm="1">
        <f t="array" ref="W269">_xlfn.XLOOKUP(Table1[[#This Row],[5 cm2 cell test code]:[5 cm2 cell test code]],[1]!Table1[[Test code]:[Test code]],[1]!Table1[i @ 1.8 V DIW (A/cm2)],"",0)</f>
        <v>#REF!</v>
      </c>
      <c r="X269" s="69" t="e" cm="1">
        <f t="array" ref="X269">_xlfn.XLOOKUP(Table1[[#This Row],[5 cm2 cell test code]:[5 cm2 cell test code]],[1]!Table1[[Test code]:[Test code]],[1]!Table1[i @ 1.8 V 10 mM KOH (A/cm2)],"",0)</f>
        <v>#REF!</v>
      </c>
      <c r="Y269" s="69" t="e" cm="1">
        <f t="array" ref="Y269">_xlfn.XLOOKUP(Table1[[#This Row],[5 cm2 cell test code]:[5 cm2 cell test code]],[1]!Table1[[Test code]:[Test code]],[1]!Table1[3-E ƞ at 20mAcm-2 (mV)],"",0)</f>
        <v>#REF!</v>
      </c>
      <c r="Z269" s="69" t="e" cm="1">
        <f t="array" ref="Z269">_xlfn.XLOOKUP(Table1[[#This Row],[5 cm2 cell test code]:[5 cm2 cell test code]],[1]!Table1[[Test code]:[Test code]],[1]!Table1[3-E Tafel slope (mV/dec)],"",0)</f>
        <v>#REF!</v>
      </c>
      <c r="AA269" s="69" t="e" cm="1">
        <f t="array" ref="AA269">_xlfn.XLOOKUP(Table1[[#This Row],[5 cm2 cell test code]:[5 cm2 cell test code]],[1]!Table1[[Test code]:[Test code]],[1]!Table1[E @ 100 mA/cm2 DIW/V],"",0)</f>
        <v>#REF!</v>
      </c>
      <c r="AB269" s="69" t="e" cm="1">
        <f t="array" ref="AB269">_xlfn.XLOOKUP(Table1[[#This Row],[5 cm2 cell test code]:[5 cm2 cell test code]],[1]!Table1[[Test code]:[Test code]],[1]!Table1[E @ 100 mA/cm2 10 mM KOH/V],"",0)</f>
        <v>#REF!</v>
      </c>
      <c r="AC269" s="69" t="e" cm="1">
        <f t="array" ref="AC269">_xlfn.XLOOKUP(Table1[[#This Row],[5 cm2 cell test code]:[5 cm2 cell test code]],[1]!Table1[[Test code]:[Test code]],[1]!Table1[Anode ICR/mOhm],"",0)</f>
        <v>#REF!</v>
      </c>
      <c r="AD269" s="69" t="e" cm="1">
        <f t="array" ref="AD269">_xlfn.XLOOKUP(Table1[[#This Row],[5 cm2 cell test code]:[5 cm2 cell test code]],[1]!Table1[[Test code]:[Test code]],[1]!Table1[HFR DIW/ mOhm cm2],"",0)</f>
        <v>#REF!</v>
      </c>
      <c r="AE269" s="69" t="e" cm="1">
        <f t="array" ref="AE269">_xlfn.XLOOKUP(Table1[[#This Row],[5 cm2 cell test code]:[5 cm2 cell test code]],[1]!Table1[[Test code]:[Test code]],[1]!Table1[HFR 10 mM KOH/ mOhm cm2],"",0)</f>
        <v>#REF!</v>
      </c>
      <c r="AF269" s="69" t="e" cm="1">
        <f t="array" ref="AF269">_xlfn.XLOOKUP(Table1[[#This Row],[5 cm2 cell test code]:[5 cm2 cell test code]],[1]!Table1[[Test code]:[Test code]],[1]!Table1[Ionic resistance DIW/Ohm cm2],"",0)</f>
        <v>#REF!</v>
      </c>
      <c r="AG269" s="69" t="e" cm="1">
        <f t="array" ref="AG269">_xlfn.XLOOKUP(Table1[[#This Row],[5 cm2 cell test code]:[5 cm2 cell test code]],[1]!Table1[[Test code]:[Test code]],[1]!Table1[Q_int_frac DIW],"",0)</f>
        <v>#REF!</v>
      </c>
      <c r="AH269" s="69" t="e" cm="1">
        <f t="array" ref="AH269">_xlfn.XLOOKUP(Table1[[#This Row],[5 cm2 cell test code]:[5 cm2 cell test code]],[1]!Table1[[Test code]:[Test code]],[1]!Table1[Ionic resistance 10 mM KOH/Ohm cm2],"",0)</f>
        <v>#REF!</v>
      </c>
      <c r="AI269" s="69" t="e" cm="1">
        <f t="array" ref="AI269">_xlfn.XLOOKUP(Table1[[#This Row],[5 cm2 cell test code]:[5 cm2 cell test code]],[1]!Table1[[Test code]:[Test code]],[1]!Table1[Q_int_frac DIW 10 mM KOH],"",0)</f>
        <v>#REF!</v>
      </c>
      <c r="AJ269" s="69" t="e" cm="1">
        <f t="array" ref="AJ269">_xlfn.XLOOKUP(Table1[[#This Row],[5 cm2 cell test code]:[5 cm2 cell test code]],[1]!Table1[[Test code]:[Test code]],[1]!Table1[DIW conductivity (µS/cm)],"",0)</f>
        <v>#REF!</v>
      </c>
      <c r="AQ269" s="4" t="str">
        <v>VSG01A-23271C1.02 -Location #6</v>
      </c>
    </row>
    <row r="270" spans="1:48" s="124" customFormat="1">
      <c r="A270" s="81" t="s">
        <v>477</v>
      </c>
      <c r="B270" s="123" t="s">
        <v>542</v>
      </c>
      <c r="C270" s="124" t="s">
        <v>543</v>
      </c>
      <c r="I270" s="123"/>
      <c r="J270" s="123"/>
      <c r="K270" s="43" t="s">
        <v>59</v>
      </c>
      <c r="L270" s="123"/>
      <c r="M270" s="125"/>
      <c r="N270" s="125"/>
      <c r="O270" s="123"/>
      <c r="P270" s="138">
        <v>0.55000000000000004</v>
      </c>
      <c r="U270" s="131" t="s">
        <v>544</v>
      </c>
      <c r="V270" t="s">
        <v>545</v>
      </c>
      <c r="W270" s="69" t="e" cm="1">
        <f t="array" ref="W270">_xlfn.XLOOKUP(Table1[[#This Row],[5 cm2 cell test code]:[5 cm2 cell test code]],[1]!Table1[[Test code]:[Test code]],[1]!Table1[i @ 1.8 V DIW (A/cm2)],"",0)</f>
        <v>#REF!</v>
      </c>
      <c r="X270" s="69" t="e" cm="1">
        <f t="array" ref="X270">_xlfn.XLOOKUP(Table1[[#This Row],[5 cm2 cell test code]:[5 cm2 cell test code]],[1]!Table1[[Test code]:[Test code]],[1]!Table1[i @ 1.8 V 10 mM KOH (A/cm2)],"",0)</f>
        <v>#REF!</v>
      </c>
      <c r="Y270" s="69" t="e" cm="1">
        <f t="array" ref="Y270">_xlfn.XLOOKUP(Table1[[#This Row],[5 cm2 cell test code]:[5 cm2 cell test code]],[1]!Table1[[Test code]:[Test code]],[1]!Table1[3-E ƞ at 20mAcm-2 (mV)],"",0)</f>
        <v>#REF!</v>
      </c>
      <c r="Z270" s="69" t="e" cm="1">
        <f t="array" ref="Z270">_xlfn.XLOOKUP(Table1[[#This Row],[5 cm2 cell test code]:[5 cm2 cell test code]],[1]!Table1[[Test code]:[Test code]],[1]!Table1[3-E Tafel slope (mV/dec)],"",0)</f>
        <v>#REF!</v>
      </c>
      <c r="AA270" s="69" t="e" cm="1">
        <f t="array" ref="AA270">_xlfn.XLOOKUP(Table1[[#This Row],[5 cm2 cell test code]:[5 cm2 cell test code]],[1]!Table1[[Test code]:[Test code]],[1]!Table1[E @ 100 mA/cm2 DIW/V],"",0)</f>
        <v>#REF!</v>
      </c>
      <c r="AB270" s="69" t="e" cm="1">
        <f t="array" ref="AB270">_xlfn.XLOOKUP(Table1[[#This Row],[5 cm2 cell test code]:[5 cm2 cell test code]],[1]!Table1[[Test code]:[Test code]],[1]!Table1[E @ 100 mA/cm2 10 mM KOH/V],"",0)</f>
        <v>#REF!</v>
      </c>
      <c r="AC270" s="69" t="e" cm="1">
        <f t="array" ref="AC270">_xlfn.XLOOKUP(Table1[[#This Row],[5 cm2 cell test code]:[5 cm2 cell test code]],[1]!Table1[[Test code]:[Test code]],[1]!Table1[Anode ICR/mOhm],"",0)</f>
        <v>#REF!</v>
      </c>
      <c r="AD270" s="69" t="e" cm="1">
        <f t="array" ref="AD270">_xlfn.XLOOKUP(Table1[[#This Row],[5 cm2 cell test code]:[5 cm2 cell test code]],[1]!Table1[[Test code]:[Test code]],[1]!Table1[HFR DIW/ mOhm cm2],"",0)</f>
        <v>#REF!</v>
      </c>
      <c r="AE270" s="69" t="e" cm="1">
        <f t="array" ref="AE270">_xlfn.XLOOKUP(Table1[[#This Row],[5 cm2 cell test code]:[5 cm2 cell test code]],[1]!Table1[[Test code]:[Test code]],[1]!Table1[HFR 10 mM KOH/ mOhm cm2],"",0)</f>
        <v>#REF!</v>
      </c>
      <c r="AF270" s="69" t="e" cm="1">
        <f t="array" ref="AF270">_xlfn.XLOOKUP(Table1[[#This Row],[5 cm2 cell test code]:[5 cm2 cell test code]],[1]!Table1[[Test code]:[Test code]],[1]!Table1[Ionic resistance DIW/Ohm cm2],"",0)</f>
        <v>#REF!</v>
      </c>
      <c r="AG270" s="69" t="e" cm="1">
        <f t="array" ref="AG270">_xlfn.XLOOKUP(Table1[[#This Row],[5 cm2 cell test code]:[5 cm2 cell test code]],[1]!Table1[[Test code]:[Test code]],[1]!Table1[Q_int_frac DIW],"",0)</f>
        <v>#REF!</v>
      </c>
      <c r="AH270" s="69" t="e" cm="1">
        <f t="array" ref="AH270">_xlfn.XLOOKUP(Table1[[#This Row],[5 cm2 cell test code]:[5 cm2 cell test code]],[1]!Table1[[Test code]:[Test code]],[1]!Table1[Ionic resistance 10 mM KOH/Ohm cm2],"",0)</f>
        <v>#REF!</v>
      </c>
      <c r="AI270" s="69" t="e" cm="1">
        <f t="array" ref="AI270">_xlfn.XLOOKUP(Table1[[#This Row],[5 cm2 cell test code]:[5 cm2 cell test code]],[1]!Table1[[Test code]:[Test code]],[1]!Table1[Q_int_frac DIW 10 mM KOH],"",0)</f>
        <v>#REF!</v>
      </c>
      <c r="AJ270" s="69" t="e" cm="1">
        <f t="array" ref="AJ270">_xlfn.XLOOKUP(Table1[[#This Row],[5 cm2 cell test code]:[5 cm2 cell test code]],[1]!Table1[[Test code]:[Test code]],[1]!Table1[DIW conductivity (µS/cm)],"",0)</f>
        <v>#REF!</v>
      </c>
      <c r="AQ270" s="124" t="str">
        <v>VSG01A-23271C1.02 -Location #8</v>
      </c>
      <c r="AR270" s="128"/>
      <c r="AS270" s="128"/>
      <c r="AT270" s="128"/>
      <c r="AU270" s="128"/>
      <c r="AV270" s="128"/>
    </row>
    <row r="271" spans="1:48" s="124" customFormat="1">
      <c r="A271" s="81" t="s">
        <v>477</v>
      </c>
      <c r="B271" s="123" t="s">
        <v>546</v>
      </c>
      <c r="C271" s="124" t="s">
        <v>547</v>
      </c>
      <c r="I271" s="123"/>
      <c r="J271" s="123"/>
      <c r="K271" s="43" t="s">
        <v>59</v>
      </c>
      <c r="L271" s="123"/>
      <c r="M271" s="125"/>
      <c r="N271" s="125"/>
      <c r="O271" s="123"/>
      <c r="P271" s="138">
        <v>1.36</v>
      </c>
      <c r="U271" s="131" t="s">
        <v>548</v>
      </c>
      <c r="V271" t="s">
        <v>549</v>
      </c>
      <c r="W271" s="69" t="e" cm="1">
        <f t="array" ref="W271">_xlfn.XLOOKUP(Table1[[#This Row],[5 cm2 cell test code]:[5 cm2 cell test code]],[1]!Table1[[Test code]:[Test code]],[1]!Table1[i @ 1.8 V DIW (A/cm2)],"",0)</f>
        <v>#REF!</v>
      </c>
      <c r="X271" s="69" t="e" cm="1">
        <f t="array" ref="X271">_xlfn.XLOOKUP(Table1[[#This Row],[5 cm2 cell test code]:[5 cm2 cell test code]],[1]!Table1[[Test code]:[Test code]],[1]!Table1[i @ 1.8 V 10 mM KOH (A/cm2)],"",0)</f>
        <v>#REF!</v>
      </c>
      <c r="Y271" s="69" t="e" cm="1">
        <f t="array" ref="Y271">_xlfn.XLOOKUP(Table1[[#This Row],[5 cm2 cell test code]:[5 cm2 cell test code]],[1]!Table1[[Test code]:[Test code]],[1]!Table1[3-E ƞ at 20mAcm-2 (mV)],"",0)</f>
        <v>#REF!</v>
      </c>
      <c r="Z271" s="69" t="e" cm="1">
        <f t="array" ref="Z271">_xlfn.XLOOKUP(Table1[[#This Row],[5 cm2 cell test code]:[5 cm2 cell test code]],[1]!Table1[[Test code]:[Test code]],[1]!Table1[3-E Tafel slope (mV/dec)],"",0)</f>
        <v>#REF!</v>
      </c>
      <c r="AA271" s="69" t="e" cm="1">
        <f t="array" ref="AA271">_xlfn.XLOOKUP(Table1[[#This Row],[5 cm2 cell test code]:[5 cm2 cell test code]],[1]!Table1[[Test code]:[Test code]],[1]!Table1[E @ 100 mA/cm2 DIW/V],"",0)</f>
        <v>#REF!</v>
      </c>
      <c r="AB271" s="69" t="e" cm="1">
        <f t="array" ref="AB271">_xlfn.XLOOKUP(Table1[[#This Row],[5 cm2 cell test code]:[5 cm2 cell test code]],[1]!Table1[[Test code]:[Test code]],[1]!Table1[E @ 100 mA/cm2 10 mM KOH/V],"",0)</f>
        <v>#REF!</v>
      </c>
      <c r="AC271" s="69" t="e" cm="1">
        <f t="array" ref="AC271">_xlfn.XLOOKUP(Table1[[#This Row],[5 cm2 cell test code]:[5 cm2 cell test code]],[1]!Table1[[Test code]:[Test code]],[1]!Table1[Anode ICR/mOhm],"",0)</f>
        <v>#REF!</v>
      </c>
      <c r="AD271" s="69" t="e" cm="1">
        <f t="array" ref="AD271">_xlfn.XLOOKUP(Table1[[#This Row],[5 cm2 cell test code]:[5 cm2 cell test code]],[1]!Table1[[Test code]:[Test code]],[1]!Table1[HFR DIW/ mOhm cm2],"",0)</f>
        <v>#REF!</v>
      </c>
      <c r="AE271" s="69" t="e" cm="1">
        <f t="array" ref="AE271">_xlfn.XLOOKUP(Table1[[#This Row],[5 cm2 cell test code]:[5 cm2 cell test code]],[1]!Table1[[Test code]:[Test code]],[1]!Table1[HFR 10 mM KOH/ mOhm cm2],"",0)</f>
        <v>#REF!</v>
      </c>
      <c r="AF271" s="69" t="e" cm="1">
        <f t="array" ref="AF271">_xlfn.XLOOKUP(Table1[[#This Row],[5 cm2 cell test code]:[5 cm2 cell test code]],[1]!Table1[[Test code]:[Test code]],[1]!Table1[Ionic resistance DIW/Ohm cm2],"",0)</f>
        <v>#REF!</v>
      </c>
      <c r="AG271" s="69" t="e" cm="1">
        <f t="array" ref="AG271">_xlfn.XLOOKUP(Table1[[#This Row],[5 cm2 cell test code]:[5 cm2 cell test code]],[1]!Table1[[Test code]:[Test code]],[1]!Table1[Q_int_frac DIW],"",0)</f>
        <v>#REF!</v>
      </c>
      <c r="AH271" s="69" t="e" cm="1">
        <f t="array" ref="AH271">_xlfn.XLOOKUP(Table1[[#This Row],[5 cm2 cell test code]:[5 cm2 cell test code]],[1]!Table1[[Test code]:[Test code]],[1]!Table1[Ionic resistance 10 mM KOH/Ohm cm2],"",0)</f>
        <v>#REF!</v>
      </c>
      <c r="AI271" s="69" t="e" cm="1">
        <f t="array" ref="AI271">_xlfn.XLOOKUP(Table1[[#This Row],[5 cm2 cell test code]:[5 cm2 cell test code]],[1]!Table1[[Test code]:[Test code]],[1]!Table1[Q_int_frac DIW 10 mM KOH],"",0)</f>
        <v>#REF!</v>
      </c>
      <c r="AJ271" s="69" t="e" cm="1">
        <f t="array" ref="AJ271">_xlfn.XLOOKUP(Table1[[#This Row],[5 cm2 cell test code]:[5 cm2 cell test code]],[1]!Table1[[Test code]:[Test code]],[1]!Table1[DIW conductivity (µS/cm)],"",0)</f>
        <v>#REF!</v>
      </c>
      <c r="AQ271" s="124" t="str">
        <v>VSG01A-23271C1.02 -Location #9</v>
      </c>
      <c r="AR271" s="128"/>
      <c r="AS271" s="128"/>
      <c r="AT271" s="128"/>
      <c r="AU271" s="128"/>
      <c r="AV271" s="128"/>
    </row>
    <row r="272" spans="1:48">
      <c r="A272" s="81" t="s">
        <v>550</v>
      </c>
      <c r="B272" s="11" t="s">
        <v>551</v>
      </c>
      <c r="C272" s="4" t="s">
        <v>552</v>
      </c>
      <c r="I272" s="11" t="s">
        <v>114</v>
      </c>
      <c r="J272" s="11" t="s">
        <v>402</v>
      </c>
      <c r="K272" s="43" t="s">
        <v>59</v>
      </c>
      <c r="M272" s="13">
        <v>2.76</v>
      </c>
      <c r="N272" s="13">
        <v>2.2833333333333297</v>
      </c>
      <c r="O272" s="11" t="s">
        <v>403</v>
      </c>
      <c r="P272" s="28">
        <v>1.93</v>
      </c>
      <c r="Q272" s="148"/>
      <c r="R272" s="4">
        <v>1.0880000000000001</v>
      </c>
      <c r="S272" s="4">
        <v>229.6</v>
      </c>
      <c r="T272" s="4">
        <v>32.5</v>
      </c>
      <c r="U272" s="101" t="s">
        <v>553</v>
      </c>
      <c r="V272" t="s">
        <v>554</v>
      </c>
      <c r="W272" s="69" t="e" cm="1">
        <f t="array" ref="W272">_xlfn.XLOOKUP(Table1[[#This Row],[5 cm2 cell test code]:[5 cm2 cell test code]],[1]!Table1[[Test code]:[Test code]],[1]!Table1[i @ 1.8 V DIW (A/cm2)],"",0)</f>
        <v>#REF!</v>
      </c>
      <c r="X272" s="69" t="e" cm="1">
        <f t="array" ref="X272">_xlfn.XLOOKUP(Table1[[#This Row],[5 cm2 cell test code]:[5 cm2 cell test code]],[1]!Table1[[Test code]:[Test code]],[1]!Table1[i @ 1.8 V 10 mM KOH (A/cm2)],"",0)</f>
        <v>#REF!</v>
      </c>
      <c r="Y272" s="69" t="e" cm="1">
        <f t="array" ref="Y272">_xlfn.XLOOKUP(Table1[[#This Row],[5 cm2 cell test code]:[5 cm2 cell test code]],[1]!Table1[[Test code]:[Test code]],[1]!Table1[3-E ƞ at 20mAcm-2 (mV)],"",0)</f>
        <v>#REF!</v>
      </c>
      <c r="Z272" s="69" t="e" cm="1">
        <f t="array" ref="Z272">_xlfn.XLOOKUP(Table1[[#This Row],[5 cm2 cell test code]:[5 cm2 cell test code]],[1]!Table1[[Test code]:[Test code]],[1]!Table1[3-E Tafel slope (mV/dec)],"",0)</f>
        <v>#REF!</v>
      </c>
      <c r="AA272" s="69" t="e" cm="1">
        <f t="array" ref="AA272">_xlfn.XLOOKUP(Table1[[#This Row],[5 cm2 cell test code]:[5 cm2 cell test code]],[1]!Table1[[Test code]:[Test code]],[1]!Table1[E @ 100 mA/cm2 DIW/V],"",0)</f>
        <v>#REF!</v>
      </c>
      <c r="AB272" s="69" t="e" cm="1">
        <f t="array" ref="AB272">_xlfn.XLOOKUP(Table1[[#This Row],[5 cm2 cell test code]:[5 cm2 cell test code]],[1]!Table1[[Test code]:[Test code]],[1]!Table1[E @ 100 mA/cm2 10 mM KOH/V],"",0)</f>
        <v>#REF!</v>
      </c>
      <c r="AC272" s="69" t="e" cm="1">
        <f t="array" ref="AC272">_xlfn.XLOOKUP(Table1[[#This Row],[5 cm2 cell test code]:[5 cm2 cell test code]],[1]!Table1[[Test code]:[Test code]],[1]!Table1[Anode ICR/mOhm],"",0)</f>
        <v>#REF!</v>
      </c>
      <c r="AD272" s="69" t="e" cm="1">
        <f t="array" ref="AD272">_xlfn.XLOOKUP(Table1[[#This Row],[5 cm2 cell test code]:[5 cm2 cell test code]],[1]!Table1[[Test code]:[Test code]],[1]!Table1[HFR DIW/ mOhm cm2],"",0)</f>
        <v>#REF!</v>
      </c>
      <c r="AE272" s="69" t="e" cm="1">
        <f t="array" ref="AE272">_xlfn.XLOOKUP(Table1[[#This Row],[5 cm2 cell test code]:[5 cm2 cell test code]],[1]!Table1[[Test code]:[Test code]],[1]!Table1[HFR 10 mM KOH/ mOhm cm2],"",0)</f>
        <v>#REF!</v>
      </c>
      <c r="AF272" s="69" t="e" cm="1">
        <f t="array" ref="AF272">_xlfn.XLOOKUP(Table1[[#This Row],[5 cm2 cell test code]:[5 cm2 cell test code]],[1]!Table1[[Test code]:[Test code]],[1]!Table1[Ionic resistance DIW/Ohm cm2],"",0)</f>
        <v>#REF!</v>
      </c>
      <c r="AG272" s="69" t="e" cm="1">
        <f t="array" ref="AG272">_xlfn.XLOOKUP(Table1[[#This Row],[5 cm2 cell test code]:[5 cm2 cell test code]],[1]!Table1[[Test code]:[Test code]],[1]!Table1[Q_int_frac DIW],"",0)</f>
        <v>#REF!</v>
      </c>
      <c r="AH272" s="69" t="e" cm="1">
        <f t="array" ref="AH272">_xlfn.XLOOKUP(Table1[[#This Row],[5 cm2 cell test code]:[5 cm2 cell test code]],[1]!Table1[[Test code]:[Test code]],[1]!Table1[Ionic resistance 10 mM KOH/Ohm cm2],"",0)</f>
        <v>#REF!</v>
      </c>
      <c r="AI272" s="69" t="e" cm="1">
        <f t="array" ref="AI272">_xlfn.XLOOKUP(Table1[[#This Row],[5 cm2 cell test code]:[5 cm2 cell test code]],[1]!Table1[[Test code]:[Test code]],[1]!Table1[Q_int_frac DIW 10 mM KOH],"",0)</f>
        <v>#REF!</v>
      </c>
      <c r="AJ272" s="69" t="e" cm="1">
        <f t="array" ref="AJ272">_xlfn.XLOOKUP(Table1[[#This Row],[5 cm2 cell test code]:[5 cm2 cell test code]],[1]!Table1[[Test code]:[Test code]],[1]!Table1[DIW conductivity (µS/cm)],"",0)</f>
        <v>#REF!</v>
      </c>
      <c r="AQ272" s="4" t="str">
        <v>VSG01A-23272C1.01</v>
      </c>
    </row>
    <row r="273" spans="1:43">
      <c r="A273" s="81" t="s">
        <v>555</v>
      </c>
      <c r="B273" s="11" t="s">
        <v>556</v>
      </c>
      <c r="C273" s="4" t="s">
        <v>557</v>
      </c>
      <c r="I273" s="11" t="s">
        <v>114</v>
      </c>
      <c r="J273" s="11" t="s">
        <v>402</v>
      </c>
      <c r="K273" s="43" t="s">
        <v>59</v>
      </c>
      <c r="M273" s="28">
        <f>(31.73-31.72)*1000/(24.89*13.77)</f>
        <v>2.9177035455646278E-2</v>
      </c>
      <c r="N273" s="13">
        <v>3.72</v>
      </c>
      <c r="O273" s="11" t="s">
        <v>558</v>
      </c>
      <c r="P273" s="28">
        <v>1.07</v>
      </c>
      <c r="U273" s="101"/>
      <c r="V273" s="101"/>
      <c r="W273" s="69" t="e" cm="1">
        <f t="array" ref="W273">_xlfn.XLOOKUP(Table1[[#This Row],[5 cm2 cell test code]:[5 cm2 cell test code]],[1]!Table1[[Test code]:[Test code]],[1]!Table1[i @ 1.8 V DIW (A/cm2)],"",0)</f>
        <v>#REF!</v>
      </c>
      <c r="X273" s="69" t="e" cm="1">
        <f t="array" ref="X273">_xlfn.XLOOKUP(Table1[[#This Row],[5 cm2 cell test code]:[5 cm2 cell test code]],[1]!Table1[[Test code]:[Test code]],[1]!Table1[i @ 1.8 V 10 mM KOH (A/cm2)],"",0)</f>
        <v>#REF!</v>
      </c>
      <c r="Y273" s="69" t="e" cm="1">
        <f t="array" ref="Y273">_xlfn.XLOOKUP(Table1[[#This Row],[5 cm2 cell test code]:[5 cm2 cell test code]],[1]!Table1[[Test code]:[Test code]],[1]!Table1[3-E ƞ at 20mAcm-2 (mV)],"",0)</f>
        <v>#REF!</v>
      </c>
      <c r="Z273" s="69" t="e" cm="1">
        <f t="array" ref="Z273">_xlfn.XLOOKUP(Table1[[#This Row],[5 cm2 cell test code]:[5 cm2 cell test code]],[1]!Table1[[Test code]:[Test code]],[1]!Table1[3-E Tafel slope (mV/dec)],"",0)</f>
        <v>#REF!</v>
      </c>
      <c r="AA273" s="69" t="e" cm="1">
        <f t="array" ref="AA273">_xlfn.XLOOKUP(Table1[[#This Row],[5 cm2 cell test code]:[5 cm2 cell test code]],[1]!Table1[[Test code]:[Test code]],[1]!Table1[E @ 100 mA/cm2 DIW/V],"",0)</f>
        <v>#REF!</v>
      </c>
      <c r="AB273" s="69" t="e" cm="1">
        <f t="array" ref="AB273">_xlfn.XLOOKUP(Table1[[#This Row],[5 cm2 cell test code]:[5 cm2 cell test code]],[1]!Table1[[Test code]:[Test code]],[1]!Table1[E @ 100 mA/cm2 10 mM KOH/V],"",0)</f>
        <v>#REF!</v>
      </c>
      <c r="AC273" s="69" t="e" cm="1">
        <f t="array" ref="AC273">_xlfn.XLOOKUP(Table1[[#This Row],[5 cm2 cell test code]:[5 cm2 cell test code]],[1]!Table1[[Test code]:[Test code]],[1]!Table1[Anode ICR/mOhm],"",0)</f>
        <v>#REF!</v>
      </c>
      <c r="AD273" s="69" t="e" cm="1">
        <f t="array" ref="AD273">_xlfn.XLOOKUP(Table1[[#This Row],[5 cm2 cell test code]:[5 cm2 cell test code]],[1]!Table1[[Test code]:[Test code]],[1]!Table1[HFR DIW/ mOhm cm2],"",0)</f>
        <v>#REF!</v>
      </c>
      <c r="AE273" s="69" t="e" cm="1">
        <f t="array" ref="AE273">_xlfn.XLOOKUP(Table1[[#This Row],[5 cm2 cell test code]:[5 cm2 cell test code]],[1]!Table1[[Test code]:[Test code]],[1]!Table1[HFR 10 mM KOH/ mOhm cm2],"",0)</f>
        <v>#REF!</v>
      </c>
      <c r="AF273" s="69" t="e" cm="1">
        <f t="array" ref="AF273">_xlfn.XLOOKUP(Table1[[#This Row],[5 cm2 cell test code]:[5 cm2 cell test code]],[1]!Table1[[Test code]:[Test code]],[1]!Table1[Ionic resistance DIW/Ohm cm2],"",0)</f>
        <v>#REF!</v>
      </c>
      <c r="AG273" s="69" t="e" cm="1">
        <f t="array" ref="AG273">_xlfn.XLOOKUP(Table1[[#This Row],[5 cm2 cell test code]:[5 cm2 cell test code]],[1]!Table1[[Test code]:[Test code]],[1]!Table1[Q_int_frac DIW],"",0)</f>
        <v>#REF!</v>
      </c>
      <c r="AH273" s="69" t="e" cm="1">
        <f t="array" ref="AH273">_xlfn.XLOOKUP(Table1[[#This Row],[5 cm2 cell test code]:[5 cm2 cell test code]],[1]!Table1[[Test code]:[Test code]],[1]!Table1[Ionic resistance 10 mM KOH/Ohm cm2],"",0)</f>
        <v>#REF!</v>
      </c>
      <c r="AI273" s="69" t="e" cm="1">
        <f t="array" ref="AI273">_xlfn.XLOOKUP(Table1[[#This Row],[5 cm2 cell test code]:[5 cm2 cell test code]],[1]!Table1[[Test code]:[Test code]],[1]!Table1[Q_int_frac DIW 10 mM KOH],"",0)</f>
        <v>#REF!</v>
      </c>
      <c r="AJ273" s="69" t="e" cm="1">
        <f t="array" ref="AJ273">_xlfn.XLOOKUP(Table1[[#This Row],[5 cm2 cell test code]:[5 cm2 cell test code]],[1]!Table1[[Test code]:[Test code]],[1]!Table1[DIW conductivity (µS/cm)],"",0)</f>
        <v>#REF!</v>
      </c>
      <c r="AQ273" s="4" t="str">
        <v>VSG01A-23272C1.02 -Location #1</v>
      </c>
    </row>
    <row r="274" spans="1:43">
      <c r="A274" s="81" t="s">
        <v>559</v>
      </c>
      <c r="B274" s="11" t="s">
        <v>560</v>
      </c>
      <c r="C274" s="4" t="s">
        <v>557</v>
      </c>
      <c r="I274" s="11" t="s">
        <v>114</v>
      </c>
      <c r="J274" s="11" t="s">
        <v>402</v>
      </c>
      <c r="K274" s="43" t="s">
        <v>59</v>
      </c>
      <c r="M274" s="28">
        <f>(31.73-31.72)*1000/(24.89*13.77)</f>
        <v>2.9177035455646278E-2</v>
      </c>
      <c r="N274" s="13">
        <v>3.98</v>
      </c>
      <c r="O274" s="11" t="s">
        <v>558</v>
      </c>
      <c r="P274" s="28">
        <v>1.07</v>
      </c>
      <c r="Q274" s="148">
        <v>0.53825534517996043</v>
      </c>
      <c r="U274" s="101"/>
      <c r="V274" s="101"/>
      <c r="W274" s="69" t="e" cm="1">
        <f t="array" ref="W274">_xlfn.XLOOKUP(Table1[[#This Row],[5 cm2 cell test code]:[5 cm2 cell test code]],[1]!Table1[[Test code]:[Test code]],[1]!Table1[i @ 1.8 V DIW (A/cm2)],"",0)</f>
        <v>#REF!</v>
      </c>
      <c r="X274" s="69" t="e" cm="1">
        <f t="array" ref="X274">_xlfn.XLOOKUP(Table1[[#This Row],[5 cm2 cell test code]:[5 cm2 cell test code]],[1]!Table1[[Test code]:[Test code]],[1]!Table1[i @ 1.8 V 10 mM KOH (A/cm2)],"",0)</f>
        <v>#REF!</v>
      </c>
      <c r="Y274" s="69" t="e" cm="1">
        <f t="array" ref="Y274">_xlfn.XLOOKUP(Table1[[#This Row],[5 cm2 cell test code]:[5 cm2 cell test code]],[1]!Table1[[Test code]:[Test code]],[1]!Table1[3-E ƞ at 20mAcm-2 (mV)],"",0)</f>
        <v>#REF!</v>
      </c>
      <c r="Z274" s="69" t="e" cm="1">
        <f t="array" ref="Z274">_xlfn.XLOOKUP(Table1[[#This Row],[5 cm2 cell test code]:[5 cm2 cell test code]],[1]!Table1[[Test code]:[Test code]],[1]!Table1[3-E Tafel slope (mV/dec)],"",0)</f>
        <v>#REF!</v>
      </c>
      <c r="AA274" s="69" t="e" cm="1">
        <f t="array" ref="AA274">_xlfn.XLOOKUP(Table1[[#This Row],[5 cm2 cell test code]:[5 cm2 cell test code]],[1]!Table1[[Test code]:[Test code]],[1]!Table1[E @ 100 mA/cm2 DIW/V],"",0)</f>
        <v>#REF!</v>
      </c>
      <c r="AB274" s="69" t="e" cm="1">
        <f t="array" ref="AB274">_xlfn.XLOOKUP(Table1[[#This Row],[5 cm2 cell test code]:[5 cm2 cell test code]],[1]!Table1[[Test code]:[Test code]],[1]!Table1[E @ 100 mA/cm2 10 mM KOH/V],"",0)</f>
        <v>#REF!</v>
      </c>
      <c r="AC274" s="69" t="e" cm="1">
        <f t="array" ref="AC274">_xlfn.XLOOKUP(Table1[[#This Row],[5 cm2 cell test code]:[5 cm2 cell test code]],[1]!Table1[[Test code]:[Test code]],[1]!Table1[Anode ICR/mOhm],"",0)</f>
        <v>#REF!</v>
      </c>
      <c r="AD274" s="69" t="e" cm="1">
        <f t="array" ref="AD274">_xlfn.XLOOKUP(Table1[[#This Row],[5 cm2 cell test code]:[5 cm2 cell test code]],[1]!Table1[[Test code]:[Test code]],[1]!Table1[HFR DIW/ mOhm cm2],"",0)</f>
        <v>#REF!</v>
      </c>
      <c r="AE274" s="69" t="e" cm="1">
        <f t="array" ref="AE274">_xlfn.XLOOKUP(Table1[[#This Row],[5 cm2 cell test code]:[5 cm2 cell test code]],[1]!Table1[[Test code]:[Test code]],[1]!Table1[HFR 10 mM KOH/ mOhm cm2],"",0)</f>
        <v>#REF!</v>
      </c>
      <c r="AF274" s="69" t="e" cm="1">
        <f t="array" ref="AF274">_xlfn.XLOOKUP(Table1[[#This Row],[5 cm2 cell test code]:[5 cm2 cell test code]],[1]!Table1[[Test code]:[Test code]],[1]!Table1[Ionic resistance DIW/Ohm cm2],"",0)</f>
        <v>#REF!</v>
      </c>
      <c r="AG274" s="69" t="e" cm="1">
        <f t="array" ref="AG274">_xlfn.XLOOKUP(Table1[[#This Row],[5 cm2 cell test code]:[5 cm2 cell test code]],[1]!Table1[[Test code]:[Test code]],[1]!Table1[Q_int_frac DIW],"",0)</f>
        <v>#REF!</v>
      </c>
      <c r="AH274" s="69" t="e" cm="1">
        <f t="array" ref="AH274">_xlfn.XLOOKUP(Table1[[#This Row],[5 cm2 cell test code]:[5 cm2 cell test code]],[1]!Table1[[Test code]:[Test code]],[1]!Table1[Ionic resistance 10 mM KOH/Ohm cm2],"",0)</f>
        <v>#REF!</v>
      </c>
      <c r="AI274" s="69" t="e" cm="1">
        <f t="array" ref="AI274">_xlfn.XLOOKUP(Table1[[#This Row],[5 cm2 cell test code]:[5 cm2 cell test code]],[1]!Table1[[Test code]:[Test code]],[1]!Table1[Q_int_frac DIW 10 mM KOH],"",0)</f>
        <v>#REF!</v>
      </c>
      <c r="AJ274" s="69" t="e" cm="1">
        <f t="array" ref="AJ274">_xlfn.XLOOKUP(Table1[[#This Row],[5 cm2 cell test code]:[5 cm2 cell test code]],[1]!Table1[[Test code]:[Test code]],[1]!Table1[DIW conductivity (µS/cm)],"",0)</f>
        <v>#REF!</v>
      </c>
      <c r="AQ274" s="4" t="str">
        <v>VSG01A-23272C1.02 -Location #3</v>
      </c>
    </row>
    <row r="275" spans="1:43">
      <c r="A275" s="81"/>
      <c r="B275" s="11" t="s">
        <v>561</v>
      </c>
      <c r="C275" s="4" t="s">
        <v>562</v>
      </c>
      <c r="I275" s="11" t="s">
        <v>114</v>
      </c>
      <c r="J275" s="11" t="s">
        <v>402</v>
      </c>
      <c r="K275" s="43" t="s">
        <v>59</v>
      </c>
      <c r="M275" s="13">
        <f>(37.2-37.06)*1000/(26.02*13.4)</f>
        <v>0.40152810123097205</v>
      </c>
      <c r="P275" s="28">
        <v>1.048</v>
      </c>
      <c r="U275" s="101"/>
      <c r="V275" s="101"/>
      <c r="W275" s="69" t="e" cm="1">
        <f t="array" ref="W275">_xlfn.XLOOKUP(Table1[[#This Row],[5 cm2 cell test code]:[5 cm2 cell test code]],[1]!Table1[[Test code]:[Test code]],[1]!Table1[i @ 1.8 V DIW (A/cm2)],"",0)</f>
        <v>#REF!</v>
      </c>
      <c r="X275" s="69" t="e" cm="1">
        <f t="array" ref="X275">_xlfn.XLOOKUP(Table1[[#This Row],[5 cm2 cell test code]:[5 cm2 cell test code]],[1]!Table1[[Test code]:[Test code]],[1]!Table1[i @ 1.8 V 10 mM KOH (A/cm2)],"",0)</f>
        <v>#REF!</v>
      </c>
      <c r="Y275" s="69" t="e" cm="1">
        <f t="array" ref="Y275">_xlfn.XLOOKUP(Table1[[#This Row],[5 cm2 cell test code]:[5 cm2 cell test code]],[1]!Table1[[Test code]:[Test code]],[1]!Table1[3-E ƞ at 20mAcm-2 (mV)],"",0)</f>
        <v>#REF!</v>
      </c>
      <c r="Z275" s="69" t="e" cm="1">
        <f t="array" ref="Z275">_xlfn.XLOOKUP(Table1[[#This Row],[5 cm2 cell test code]:[5 cm2 cell test code]],[1]!Table1[[Test code]:[Test code]],[1]!Table1[3-E Tafel slope (mV/dec)],"",0)</f>
        <v>#REF!</v>
      </c>
      <c r="AA275" s="69" t="e" cm="1">
        <f t="array" ref="AA275">_xlfn.XLOOKUP(Table1[[#This Row],[5 cm2 cell test code]:[5 cm2 cell test code]],[1]!Table1[[Test code]:[Test code]],[1]!Table1[E @ 100 mA/cm2 DIW/V],"",0)</f>
        <v>#REF!</v>
      </c>
      <c r="AB275" s="69" t="e" cm="1">
        <f t="array" ref="AB275">_xlfn.XLOOKUP(Table1[[#This Row],[5 cm2 cell test code]:[5 cm2 cell test code]],[1]!Table1[[Test code]:[Test code]],[1]!Table1[E @ 100 mA/cm2 10 mM KOH/V],"",0)</f>
        <v>#REF!</v>
      </c>
      <c r="AC275" s="69" t="e" cm="1">
        <f t="array" ref="AC275">_xlfn.XLOOKUP(Table1[[#This Row],[5 cm2 cell test code]:[5 cm2 cell test code]],[1]!Table1[[Test code]:[Test code]],[1]!Table1[Anode ICR/mOhm],"",0)</f>
        <v>#REF!</v>
      </c>
      <c r="AD275" s="69" t="e" cm="1">
        <f t="array" ref="AD275">_xlfn.XLOOKUP(Table1[[#This Row],[5 cm2 cell test code]:[5 cm2 cell test code]],[1]!Table1[[Test code]:[Test code]],[1]!Table1[HFR DIW/ mOhm cm2],"",0)</f>
        <v>#REF!</v>
      </c>
      <c r="AE275" s="69" t="e" cm="1">
        <f t="array" ref="AE275">_xlfn.XLOOKUP(Table1[[#This Row],[5 cm2 cell test code]:[5 cm2 cell test code]],[1]!Table1[[Test code]:[Test code]],[1]!Table1[HFR 10 mM KOH/ mOhm cm2],"",0)</f>
        <v>#REF!</v>
      </c>
      <c r="AF275" s="69" t="e" cm="1">
        <f t="array" ref="AF275">_xlfn.XLOOKUP(Table1[[#This Row],[5 cm2 cell test code]:[5 cm2 cell test code]],[1]!Table1[[Test code]:[Test code]],[1]!Table1[Ionic resistance DIW/Ohm cm2],"",0)</f>
        <v>#REF!</v>
      </c>
      <c r="AG275" s="69" t="e" cm="1">
        <f t="array" ref="AG275">_xlfn.XLOOKUP(Table1[[#This Row],[5 cm2 cell test code]:[5 cm2 cell test code]],[1]!Table1[[Test code]:[Test code]],[1]!Table1[Q_int_frac DIW],"",0)</f>
        <v>#REF!</v>
      </c>
      <c r="AH275" s="69" t="e" cm="1">
        <f t="array" ref="AH275">_xlfn.XLOOKUP(Table1[[#This Row],[5 cm2 cell test code]:[5 cm2 cell test code]],[1]!Table1[[Test code]:[Test code]],[1]!Table1[Ionic resistance 10 mM KOH/Ohm cm2],"",0)</f>
        <v>#REF!</v>
      </c>
      <c r="AI275" s="69" t="e" cm="1">
        <f t="array" ref="AI275">_xlfn.XLOOKUP(Table1[[#This Row],[5 cm2 cell test code]:[5 cm2 cell test code]],[1]!Table1[[Test code]:[Test code]],[1]!Table1[Q_int_frac DIW 10 mM KOH],"",0)</f>
        <v>#REF!</v>
      </c>
      <c r="AJ275" s="69" t="e" cm="1">
        <f t="array" ref="AJ275">_xlfn.XLOOKUP(Table1[[#This Row],[5 cm2 cell test code]:[5 cm2 cell test code]],[1]!Table1[[Test code]:[Test code]],[1]!Table1[DIW conductivity (µS/cm)],"",0)</f>
        <v>#REF!</v>
      </c>
      <c r="AQ275" s="4" t="str">
        <v>VSG01A-23272C1.02 -Location #5</v>
      </c>
    </row>
    <row r="276" spans="1:43">
      <c r="A276" s="81"/>
      <c r="B276" s="11" t="s">
        <v>563</v>
      </c>
      <c r="C276" s="4" t="s">
        <v>564</v>
      </c>
      <c r="K276" s="43" t="s">
        <v>59</v>
      </c>
      <c r="U276" s="101"/>
      <c r="V276" s="101"/>
      <c r="W276" s="69" t="e" cm="1">
        <f t="array" ref="W276">_xlfn.XLOOKUP(Table1[[#This Row],[5 cm2 cell test code]:[5 cm2 cell test code]],[1]!Table1[[Test code]:[Test code]],[1]!Table1[i @ 1.8 V DIW (A/cm2)],"",0)</f>
        <v>#REF!</v>
      </c>
      <c r="X276" s="69" t="e" cm="1">
        <f t="array" ref="X276">_xlfn.XLOOKUP(Table1[[#This Row],[5 cm2 cell test code]:[5 cm2 cell test code]],[1]!Table1[[Test code]:[Test code]],[1]!Table1[i @ 1.8 V 10 mM KOH (A/cm2)],"",0)</f>
        <v>#REF!</v>
      </c>
      <c r="Y276" s="69" t="e" cm="1">
        <f t="array" ref="Y276">_xlfn.XLOOKUP(Table1[[#This Row],[5 cm2 cell test code]:[5 cm2 cell test code]],[1]!Table1[[Test code]:[Test code]],[1]!Table1[3-E ƞ at 20mAcm-2 (mV)],"",0)</f>
        <v>#REF!</v>
      </c>
      <c r="Z276" s="69" t="e" cm="1">
        <f t="array" ref="Z276">_xlfn.XLOOKUP(Table1[[#This Row],[5 cm2 cell test code]:[5 cm2 cell test code]],[1]!Table1[[Test code]:[Test code]],[1]!Table1[3-E Tafel slope (mV/dec)],"",0)</f>
        <v>#REF!</v>
      </c>
      <c r="AA276" s="69" t="e" cm="1">
        <f t="array" ref="AA276">_xlfn.XLOOKUP(Table1[[#This Row],[5 cm2 cell test code]:[5 cm2 cell test code]],[1]!Table1[[Test code]:[Test code]],[1]!Table1[E @ 100 mA/cm2 DIW/V],"",0)</f>
        <v>#REF!</v>
      </c>
      <c r="AB276" s="69" t="e" cm="1">
        <f t="array" ref="AB276">_xlfn.XLOOKUP(Table1[[#This Row],[5 cm2 cell test code]:[5 cm2 cell test code]],[1]!Table1[[Test code]:[Test code]],[1]!Table1[E @ 100 mA/cm2 10 mM KOH/V],"",0)</f>
        <v>#REF!</v>
      </c>
      <c r="AC276" s="69" t="e" cm="1">
        <f t="array" ref="AC276">_xlfn.XLOOKUP(Table1[[#This Row],[5 cm2 cell test code]:[5 cm2 cell test code]],[1]!Table1[[Test code]:[Test code]],[1]!Table1[Anode ICR/mOhm],"",0)</f>
        <v>#REF!</v>
      </c>
      <c r="AD276" s="69" t="e" cm="1">
        <f t="array" ref="AD276">_xlfn.XLOOKUP(Table1[[#This Row],[5 cm2 cell test code]:[5 cm2 cell test code]],[1]!Table1[[Test code]:[Test code]],[1]!Table1[HFR DIW/ mOhm cm2],"",0)</f>
        <v>#REF!</v>
      </c>
      <c r="AE276" s="69" t="e" cm="1">
        <f t="array" ref="AE276">_xlfn.XLOOKUP(Table1[[#This Row],[5 cm2 cell test code]:[5 cm2 cell test code]],[1]!Table1[[Test code]:[Test code]],[1]!Table1[HFR 10 mM KOH/ mOhm cm2],"",0)</f>
        <v>#REF!</v>
      </c>
      <c r="AF276" s="69" t="e" cm="1">
        <f t="array" ref="AF276">_xlfn.XLOOKUP(Table1[[#This Row],[5 cm2 cell test code]:[5 cm2 cell test code]],[1]!Table1[[Test code]:[Test code]],[1]!Table1[Ionic resistance DIW/Ohm cm2],"",0)</f>
        <v>#REF!</v>
      </c>
      <c r="AG276" s="69" t="e" cm="1">
        <f t="array" ref="AG276">_xlfn.XLOOKUP(Table1[[#This Row],[5 cm2 cell test code]:[5 cm2 cell test code]],[1]!Table1[[Test code]:[Test code]],[1]!Table1[Q_int_frac DIW],"",0)</f>
        <v>#REF!</v>
      </c>
      <c r="AH276" s="69" t="e" cm="1">
        <f t="array" ref="AH276">_xlfn.XLOOKUP(Table1[[#This Row],[5 cm2 cell test code]:[5 cm2 cell test code]],[1]!Table1[[Test code]:[Test code]],[1]!Table1[Ionic resistance 10 mM KOH/Ohm cm2],"",0)</f>
        <v>#REF!</v>
      </c>
      <c r="AI276" s="69" t="e" cm="1">
        <f t="array" ref="AI276">_xlfn.XLOOKUP(Table1[[#This Row],[5 cm2 cell test code]:[5 cm2 cell test code]],[1]!Table1[[Test code]:[Test code]],[1]!Table1[Q_int_frac DIW 10 mM KOH],"",0)</f>
        <v>#REF!</v>
      </c>
      <c r="AJ276" s="69" t="e" cm="1">
        <f t="array" ref="AJ276">_xlfn.XLOOKUP(Table1[[#This Row],[5 cm2 cell test code]:[5 cm2 cell test code]],[1]!Table1[[Test code]:[Test code]],[1]!Table1[DIW conductivity (µS/cm)],"",0)</f>
        <v>#REF!</v>
      </c>
      <c r="AQ276" s="4" t="str">
        <v>VSG01A-23272C1.02 -Location #6</v>
      </c>
    </row>
    <row r="277" spans="1:43">
      <c r="A277" s="81"/>
      <c r="B277" s="11" t="s">
        <v>565</v>
      </c>
      <c r="C277" s="4" t="s">
        <v>564</v>
      </c>
      <c r="K277" s="43" t="s">
        <v>59</v>
      </c>
      <c r="U277" s="101"/>
      <c r="V277" s="101"/>
      <c r="W277" s="69" t="e" cm="1">
        <f t="array" ref="W277">_xlfn.XLOOKUP(Table1[[#This Row],[5 cm2 cell test code]:[5 cm2 cell test code]],[1]!Table1[[Test code]:[Test code]],[1]!Table1[i @ 1.8 V DIW (A/cm2)],"",0)</f>
        <v>#REF!</v>
      </c>
      <c r="X277" s="69" t="e" cm="1">
        <f t="array" ref="X277">_xlfn.XLOOKUP(Table1[[#This Row],[5 cm2 cell test code]:[5 cm2 cell test code]],[1]!Table1[[Test code]:[Test code]],[1]!Table1[i @ 1.8 V 10 mM KOH (A/cm2)],"",0)</f>
        <v>#REF!</v>
      </c>
      <c r="Y277" s="69" t="e" cm="1">
        <f t="array" ref="Y277">_xlfn.XLOOKUP(Table1[[#This Row],[5 cm2 cell test code]:[5 cm2 cell test code]],[1]!Table1[[Test code]:[Test code]],[1]!Table1[3-E ƞ at 20mAcm-2 (mV)],"",0)</f>
        <v>#REF!</v>
      </c>
      <c r="Z277" s="69" t="e" cm="1">
        <f t="array" ref="Z277">_xlfn.XLOOKUP(Table1[[#This Row],[5 cm2 cell test code]:[5 cm2 cell test code]],[1]!Table1[[Test code]:[Test code]],[1]!Table1[3-E Tafel slope (mV/dec)],"",0)</f>
        <v>#REF!</v>
      </c>
      <c r="AA277" s="69" t="e" cm="1">
        <f t="array" ref="AA277">_xlfn.XLOOKUP(Table1[[#This Row],[5 cm2 cell test code]:[5 cm2 cell test code]],[1]!Table1[[Test code]:[Test code]],[1]!Table1[E @ 100 mA/cm2 DIW/V],"",0)</f>
        <v>#REF!</v>
      </c>
      <c r="AB277" s="69" t="e" cm="1">
        <f t="array" ref="AB277">_xlfn.XLOOKUP(Table1[[#This Row],[5 cm2 cell test code]:[5 cm2 cell test code]],[1]!Table1[[Test code]:[Test code]],[1]!Table1[E @ 100 mA/cm2 10 mM KOH/V],"",0)</f>
        <v>#REF!</v>
      </c>
      <c r="AC277" s="69" t="e" cm="1">
        <f t="array" ref="AC277">_xlfn.XLOOKUP(Table1[[#This Row],[5 cm2 cell test code]:[5 cm2 cell test code]],[1]!Table1[[Test code]:[Test code]],[1]!Table1[Anode ICR/mOhm],"",0)</f>
        <v>#REF!</v>
      </c>
      <c r="AD277" s="69" t="e" cm="1">
        <f t="array" ref="AD277">_xlfn.XLOOKUP(Table1[[#This Row],[5 cm2 cell test code]:[5 cm2 cell test code]],[1]!Table1[[Test code]:[Test code]],[1]!Table1[HFR DIW/ mOhm cm2],"",0)</f>
        <v>#REF!</v>
      </c>
      <c r="AE277" s="69" t="e" cm="1">
        <f t="array" ref="AE277">_xlfn.XLOOKUP(Table1[[#This Row],[5 cm2 cell test code]:[5 cm2 cell test code]],[1]!Table1[[Test code]:[Test code]],[1]!Table1[HFR 10 mM KOH/ mOhm cm2],"",0)</f>
        <v>#REF!</v>
      </c>
      <c r="AF277" s="69" t="e" cm="1">
        <f t="array" ref="AF277">_xlfn.XLOOKUP(Table1[[#This Row],[5 cm2 cell test code]:[5 cm2 cell test code]],[1]!Table1[[Test code]:[Test code]],[1]!Table1[Ionic resistance DIW/Ohm cm2],"",0)</f>
        <v>#REF!</v>
      </c>
      <c r="AG277" s="69" t="e" cm="1">
        <f t="array" ref="AG277">_xlfn.XLOOKUP(Table1[[#This Row],[5 cm2 cell test code]:[5 cm2 cell test code]],[1]!Table1[[Test code]:[Test code]],[1]!Table1[Q_int_frac DIW],"",0)</f>
        <v>#REF!</v>
      </c>
      <c r="AH277" s="69" t="e" cm="1">
        <f t="array" ref="AH277">_xlfn.XLOOKUP(Table1[[#This Row],[5 cm2 cell test code]:[5 cm2 cell test code]],[1]!Table1[[Test code]:[Test code]],[1]!Table1[Ionic resistance 10 mM KOH/Ohm cm2],"",0)</f>
        <v>#REF!</v>
      </c>
      <c r="AI277" s="69" t="e" cm="1">
        <f t="array" ref="AI277">_xlfn.XLOOKUP(Table1[[#This Row],[5 cm2 cell test code]:[5 cm2 cell test code]],[1]!Table1[[Test code]:[Test code]],[1]!Table1[Q_int_frac DIW 10 mM KOH],"",0)</f>
        <v>#REF!</v>
      </c>
      <c r="AJ277" s="69" t="e" cm="1">
        <f t="array" ref="AJ277">_xlfn.XLOOKUP(Table1[[#This Row],[5 cm2 cell test code]:[5 cm2 cell test code]],[1]!Table1[[Test code]:[Test code]],[1]!Table1[DIW conductivity (µS/cm)],"",0)</f>
        <v>#REF!</v>
      </c>
      <c r="AQ277" s="4" t="str">
        <v>VSG01A-23272C1.02 -Location #7</v>
      </c>
    </row>
    <row r="278" spans="1:43">
      <c r="A278" s="81" t="s">
        <v>566</v>
      </c>
      <c r="B278" s="11" t="s">
        <v>567</v>
      </c>
      <c r="C278" s="4" t="s">
        <v>568</v>
      </c>
      <c r="I278" s="11" t="s">
        <v>114</v>
      </c>
      <c r="J278" s="11" t="s">
        <v>402</v>
      </c>
      <c r="K278" s="43" t="s">
        <v>59</v>
      </c>
      <c r="M278" s="13">
        <f>(36.58-36.35)*1000/(29.1*15.3)</f>
        <v>0.51658693259662836</v>
      </c>
      <c r="N278" s="13">
        <v>3.0667248572683308</v>
      </c>
      <c r="O278" s="11" t="s">
        <v>569</v>
      </c>
      <c r="P278" s="28">
        <v>1.0209999999999999</v>
      </c>
      <c r="Q278" s="144">
        <v>5.4506518789451945E-2</v>
      </c>
      <c r="U278" s="101"/>
      <c r="V278" s="101"/>
      <c r="W278" s="69" t="e" cm="1">
        <f t="array" ref="W278">_xlfn.XLOOKUP(Table1[[#This Row],[5 cm2 cell test code]:[5 cm2 cell test code]],[1]!Table1[[Test code]:[Test code]],[1]!Table1[i @ 1.8 V DIW (A/cm2)],"",0)</f>
        <v>#REF!</v>
      </c>
      <c r="X278" s="69" t="e" cm="1">
        <f t="array" ref="X278">_xlfn.XLOOKUP(Table1[[#This Row],[5 cm2 cell test code]:[5 cm2 cell test code]],[1]!Table1[[Test code]:[Test code]],[1]!Table1[i @ 1.8 V 10 mM KOH (A/cm2)],"",0)</f>
        <v>#REF!</v>
      </c>
      <c r="Y278" s="69" t="e" cm="1">
        <f t="array" ref="Y278">_xlfn.XLOOKUP(Table1[[#This Row],[5 cm2 cell test code]:[5 cm2 cell test code]],[1]!Table1[[Test code]:[Test code]],[1]!Table1[3-E ƞ at 20mAcm-2 (mV)],"",0)</f>
        <v>#REF!</v>
      </c>
      <c r="Z278" s="69" t="e" cm="1">
        <f t="array" ref="Z278">_xlfn.XLOOKUP(Table1[[#This Row],[5 cm2 cell test code]:[5 cm2 cell test code]],[1]!Table1[[Test code]:[Test code]],[1]!Table1[3-E Tafel slope (mV/dec)],"",0)</f>
        <v>#REF!</v>
      </c>
      <c r="AA278" s="69" t="e" cm="1">
        <f t="array" ref="AA278">_xlfn.XLOOKUP(Table1[[#This Row],[5 cm2 cell test code]:[5 cm2 cell test code]],[1]!Table1[[Test code]:[Test code]],[1]!Table1[E @ 100 mA/cm2 DIW/V],"",0)</f>
        <v>#REF!</v>
      </c>
      <c r="AB278" s="69" t="e" cm="1">
        <f t="array" ref="AB278">_xlfn.XLOOKUP(Table1[[#This Row],[5 cm2 cell test code]:[5 cm2 cell test code]],[1]!Table1[[Test code]:[Test code]],[1]!Table1[E @ 100 mA/cm2 10 mM KOH/V],"",0)</f>
        <v>#REF!</v>
      </c>
      <c r="AC278" s="69" t="e" cm="1">
        <f t="array" ref="AC278">_xlfn.XLOOKUP(Table1[[#This Row],[5 cm2 cell test code]:[5 cm2 cell test code]],[1]!Table1[[Test code]:[Test code]],[1]!Table1[Anode ICR/mOhm],"",0)</f>
        <v>#REF!</v>
      </c>
      <c r="AD278" s="69" t="e" cm="1">
        <f t="array" ref="AD278">_xlfn.XLOOKUP(Table1[[#This Row],[5 cm2 cell test code]:[5 cm2 cell test code]],[1]!Table1[[Test code]:[Test code]],[1]!Table1[HFR DIW/ mOhm cm2],"",0)</f>
        <v>#REF!</v>
      </c>
      <c r="AE278" s="69" t="e" cm="1">
        <f t="array" ref="AE278">_xlfn.XLOOKUP(Table1[[#This Row],[5 cm2 cell test code]:[5 cm2 cell test code]],[1]!Table1[[Test code]:[Test code]],[1]!Table1[HFR 10 mM KOH/ mOhm cm2],"",0)</f>
        <v>#REF!</v>
      </c>
      <c r="AF278" s="69" t="e" cm="1">
        <f t="array" ref="AF278">_xlfn.XLOOKUP(Table1[[#This Row],[5 cm2 cell test code]:[5 cm2 cell test code]],[1]!Table1[[Test code]:[Test code]],[1]!Table1[Ionic resistance DIW/Ohm cm2],"",0)</f>
        <v>#REF!</v>
      </c>
      <c r="AG278" s="69" t="e" cm="1">
        <f t="array" ref="AG278">_xlfn.XLOOKUP(Table1[[#This Row],[5 cm2 cell test code]:[5 cm2 cell test code]],[1]!Table1[[Test code]:[Test code]],[1]!Table1[Q_int_frac DIW],"",0)</f>
        <v>#REF!</v>
      </c>
      <c r="AH278" s="69" t="e" cm="1">
        <f t="array" ref="AH278">_xlfn.XLOOKUP(Table1[[#This Row],[5 cm2 cell test code]:[5 cm2 cell test code]],[1]!Table1[[Test code]:[Test code]],[1]!Table1[Ionic resistance 10 mM KOH/Ohm cm2],"",0)</f>
        <v>#REF!</v>
      </c>
      <c r="AI278" s="69" t="e" cm="1">
        <f t="array" ref="AI278">_xlfn.XLOOKUP(Table1[[#This Row],[5 cm2 cell test code]:[5 cm2 cell test code]],[1]!Table1[[Test code]:[Test code]],[1]!Table1[Q_int_frac DIW 10 mM KOH],"",0)</f>
        <v>#REF!</v>
      </c>
      <c r="AJ278" s="69" t="e" cm="1">
        <f t="array" ref="AJ278">_xlfn.XLOOKUP(Table1[[#This Row],[5 cm2 cell test code]:[5 cm2 cell test code]],[1]!Table1[[Test code]:[Test code]],[1]!Table1[DIW conductivity (µS/cm)],"",0)</f>
        <v>#REF!</v>
      </c>
      <c r="AQ278" s="4" t="str">
        <v>VSG01A-23272C1.02 -Location #8</v>
      </c>
    </row>
    <row r="279" spans="1:43">
      <c r="A279" s="81"/>
      <c r="B279" s="11" t="s">
        <v>570</v>
      </c>
      <c r="C279" s="4" t="s">
        <v>564</v>
      </c>
      <c r="K279" s="43" t="s">
        <v>59</v>
      </c>
      <c r="U279" s="101"/>
      <c r="V279" s="101"/>
      <c r="W279" s="69" t="e" cm="1">
        <f t="array" ref="W279">_xlfn.XLOOKUP(Table1[[#This Row],[5 cm2 cell test code]:[5 cm2 cell test code]],[1]!Table1[[Test code]:[Test code]],[1]!Table1[i @ 1.8 V DIW (A/cm2)],"",0)</f>
        <v>#REF!</v>
      </c>
      <c r="X279" s="69" t="e" cm="1">
        <f t="array" ref="X279">_xlfn.XLOOKUP(Table1[[#This Row],[5 cm2 cell test code]:[5 cm2 cell test code]],[1]!Table1[[Test code]:[Test code]],[1]!Table1[i @ 1.8 V 10 mM KOH (A/cm2)],"",0)</f>
        <v>#REF!</v>
      </c>
      <c r="Y279" s="69" t="e" cm="1">
        <f t="array" ref="Y279">_xlfn.XLOOKUP(Table1[[#This Row],[5 cm2 cell test code]:[5 cm2 cell test code]],[1]!Table1[[Test code]:[Test code]],[1]!Table1[3-E ƞ at 20mAcm-2 (mV)],"",0)</f>
        <v>#REF!</v>
      </c>
      <c r="Z279" s="69" t="e" cm="1">
        <f t="array" ref="Z279">_xlfn.XLOOKUP(Table1[[#This Row],[5 cm2 cell test code]:[5 cm2 cell test code]],[1]!Table1[[Test code]:[Test code]],[1]!Table1[3-E Tafel slope (mV/dec)],"",0)</f>
        <v>#REF!</v>
      </c>
      <c r="AA279" s="69" t="e" cm="1">
        <f t="array" ref="AA279">_xlfn.XLOOKUP(Table1[[#This Row],[5 cm2 cell test code]:[5 cm2 cell test code]],[1]!Table1[[Test code]:[Test code]],[1]!Table1[E @ 100 mA/cm2 DIW/V],"",0)</f>
        <v>#REF!</v>
      </c>
      <c r="AB279" s="69" t="e" cm="1">
        <f t="array" ref="AB279">_xlfn.XLOOKUP(Table1[[#This Row],[5 cm2 cell test code]:[5 cm2 cell test code]],[1]!Table1[[Test code]:[Test code]],[1]!Table1[E @ 100 mA/cm2 10 mM KOH/V],"",0)</f>
        <v>#REF!</v>
      </c>
      <c r="AC279" s="69" t="e" cm="1">
        <f t="array" ref="AC279">_xlfn.XLOOKUP(Table1[[#This Row],[5 cm2 cell test code]:[5 cm2 cell test code]],[1]!Table1[[Test code]:[Test code]],[1]!Table1[Anode ICR/mOhm],"",0)</f>
        <v>#REF!</v>
      </c>
      <c r="AD279" s="69" t="e" cm="1">
        <f t="array" ref="AD279">_xlfn.XLOOKUP(Table1[[#This Row],[5 cm2 cell test code]:[5 cm2 cell test code]],[1]!Table1[[Test code]:[Test code]],[1]!Table1[HFR DIW/ mOhm cm2],"",0)</f>
        <v>#REF!</v>
      </c>
      <c r="AE279" s="69" t="e" cm="1">
        <f t="array" ref="AE279">_xlfn.XLOOKUP(Table1[[#This Row],[5 cm2 cell test code]:[5 cm2 cell test code]],[1]!Table1[[Test code]:[Test code]],[1]!Table1[HFR 10 mM KOH/ mOhm cm2],"",0)</f>
        <v>#REF!</v>
      </c>
      <c r="AF279" s="69" t="e" cm="1">
        <f t="array" ref="AF279">_xlfn.XLOOKUP(Table1[[#This Row],[5 cm2 cell test code]:[5 cm2 cell test code]],[1]!Table1[[Test code]:[Test code]],[1]!Table1[Ionic resistance DIW/Ohm cm2],"",0)</f>
        <v>#REF!</v>
      </c>
      <c r="AG279" s="69" t="e" cm="1">
        <f t="array" ref="AG279">_xlfn.XLOOKUP(Table1[[#This Row],[5 cm2 cell test code]:[5 cm2 cell test code]],[1]!Table1[[Test code]:[Test code]],[1]!Table1[Q_int_frac DIW],"",0)</f>
        <v>#REF!</v>
      </c>
      <c r="AH279" s="69" t="e" cm="1">
        <f t="array" ref="AH279">_xlfn.XLOOKUP(Table1[[#This Row],[5 cm2 cell test code]:[5 cm2 cell test code]],[1]!Table1[[Test code]:[Test code]],[1]!Table1[Ionic resistance 10 mM KOH/Ohm cm2],"",0)</f>
        <v>#REF!</v>
      </c>
      <c r="AI279" s="69" t="e" cm="1">
        <f t="array" ref="AI279">_xlfn.XLOOKUP(Table1[[#This Row],[5 cm2 cell test code]:[5 cm2 cell test code]],[1]!Table1[[Test code]:[Test code]],[1]!Table1[Q_int_frac DIW 10 mM KOH],"",0)</f>
        <v>#REF!</v>
      </c>
      <c r="AJ279" s="69" t="e" cm="1">
        <f t="array" ref="AJ279">_xlfn.XLOOKUP(Table1[[#This Row],[5 cm2 cell test code]:[5 cm2 cell test code]],[1]!Table1[[Test code]:[Test code]],[1]!Table1[DIW conductivity (µS/cm)],"",0)</f>
        <v>#REF!</v>
      </c>
      <c r="AQ279" s="4" t="str">
        <v>VSG01A-23276E1.01</v>
      </c>
    </row>
    <row r="280" spans="1:43">
      <c r="A280" s="81"/>
      <c r="B280" s="11" t="s">
        <v>571</v>
      </c>
      <c r="C280" s="4" t="s">
        <v>564</v>
      </c>
      <c r="K280" s="43" t="s">
        <v>59</v>
      </c>
      <c r="U280" s="101"/>
      <c r="V280" s="101"/>
      <c r="W280" s="69" t="e" cm="1">
        <f t="array" ref="W280">_xlfn.XLOOKUP(Table1[[#This Row],[5 cm2 cell test code]:[5 cm2 cell test code]],[1]!Table1[[Test code]:[Test code]],[1]!Table1[i @ 1.8 V DIW (A/cm2)],"",0)</f>
        <v>#REF!</v>
      </c>
      <c r="X280" s="69" t="e" cm="1">
        <f t="array" ref="X280">_xlfn.XLOOKUP(Table1[[#This Row],[5 cm2 cell test code]:[5 cm2 cell test code]],[1]!Table1[[Test code]:[Test code]],[1]!Table1[i @ 1.8 V 10 mM KOH (A/cm2)],"",0)</f>
        <v>#REF!</v>
      </c>
      <c r="Y280" s="69" t="e" cm="1">
        <f t="array" ref="Y280">_xlfn.XLOOKUP(Table1[[#This Row],[5 cm2 cell test code]:[5 cm2 cell test code]],[1]!Table1[[Test code]:[Test code]],[1]!Table1[3-E ƞ at 20mAcm-2 (mV)],"",0)</f>
        <v>#REF!</v>
      </c>
      <c r="Z280" s="69" t="e" cm="1">
        <f t="array" ref="Z280">_xlfn.XLOOKUP(Table1[[#This Row],[5 cm2 cell test code]:[5 cm2 cell test code]],[1]!Table1[[Test code]:[Test code]],[1]!Table1[3-E Tafel slope (mV/dec)],"",0)</f>
        <v>#REF!</v>
      </c>
      <c r="AA280" s="69" t="e" cm="1">
        <f t="array" ref="AA280">_xlfn.XLOOKUP(Table1[[#This Row],[5 cm2 cell test code]:[5 cm2 cell test code]],[1]!Table1[[Test code]:[Test code]],[1]!Table1[E @ 100 mA/cm2 DIW/V],"",0)</f>
        <v>#REF!</v>
      </c>
      <c r="AB280" s="69" t="e" cm="1">
        <f t="array" ref="AB280">_xlfn.XLOOKUP(Table1[[#This Row],[5 cm2 cell test code]:[5 cm2 cell test code]],[1]!Table1[[Test code]:[Test code]],[1]!Table1[E @ 100 mA/cm2 10 mM KOH/V],"",0)</f>
        <v>#REF!</v>
      </c>
      <c r="AC280" s="69" t="e" cm="1">
        <f t="array" ref="AC280">_xlfn.XLOOKUP(Table1[[#This Row],[5 cm2 cell test code]:[5 cm2 cell test code]],[1]!Table1[[Test code]:[Test code]],[1]!Table1[Anode ICR/mOhm],"",0)</f>
        <v>#REF!</v>
      </c>
      <c r="AD280" s="69" t="e" cm="1">
        <f t="array" ref="AD280">_xlfn.XLOOKUP(Table1[[#This Row],[5 cm2 cell test code]:[5 cm2 cell test code]],[1]!Table1[[Test code]:[Test code]],[1]!Table1[HFR DIW/ mOhm cm2],"",0)</f>
        <v>#REF!</v>
      </c>
      <c r="AE280" s="69" t="e" cm="1">
        <f t="array" ref="AE280">_xlfn.XLOOKUP(Table1[[#This Row],[5 cm2 cell test code]:[5 cm2 cell test code]],[1]!Table1[[Test code]:[Test code]],[1]!Table1[HFR 10 mM KOH/ mOhm cm2],"",0)</f>
        <v>#REF!</v>
      </c>
      <c r="AF280" s="69" t="e" cm="1">
        <f t="array" ref="AF280">_xlfn.XLOOKUP(Table1[[#This Row],[5 cm2 cell test code]:[5 cm2 cell test code]],[1]!Table1[[Test code]:[Test code]],[1]!Table1[Ionic resistance DIW/Ohm cm2],"",0)</f>
        <v>#REF!</v>
      </c>
      <c r="AG280" s="69" t="e" cm="1">
        <f t="array" ref="AG280">_xlfn.XLOOKUP(Table1[[#This Row],[5 cm2 cell test code]:[5 cm2 cell test code]],[1]!Table1[[Test code]:[Test code]],[1]!Table1[Q_int_frac DIW],"",0)</f>
        <v>#REF!</v>
      </c>
      <c r="AH280" s="69" t="e" cm="1">
        <f t="array" ref="AH280">_xlfn.XLOOKUP(Table1[[#This Row],[5 cm2 cell test code]:[5 cm2 cell test code]],[1]!Table1[[Test code]:[Test code]],[1]!Table1[Ionic resistance 10 mM KOH/Ohm cm2],"",0)</f>
        <v>#REF!</v>
      </c>
      <c r="AI280" s="69" t="e" cm="1">
        <f t="array" ref="AI280">_xlfn.XLOOKUP(Table1[[#This Row],[5 cm2 cell test code]:[5 cm2 cell test code]],[1]!Table1[[Test code]:[Test code]],[1]!Table1[Q_int_frac DIW 10 mM KOH],"",0)</f>
        <v>#REF!</v>
      </c>
      <c r="AJ280" s="69" t="e" cm="1">
        <f t="array" ref="AJ280">_xlfn.XLOOKUP(Table1[[#This Row],[5 cm2 cell test code]:[5 cm2 cell test code]],[1]!Table1[[Test code]:[Test code]],[1]!Table1[DIW conductivity (µS/cm)],"",0)</f>
        <v>#REF!</v>
      </c>
      <c r="AQ280" s="4" t="str">
        <v>VSG01A-23276E1.02</v>
      </c>
    </row>
    <row r="281" spans="1:43">
      <c r="A281" s="81"/>
      <c r="B281" s="11" t="s">
        <v>572</v>
      </c>
      <c r="C281" s="4" t="s">
        <v>562</v>
      </c>
      <c r="I281" s="11" t="s">
        <v>114</v>
      </c>
      <c r="J281" s="11" t="s">
        <v>402</v>
      </c>
      <c r="K281" s="43" t="s">
        <v>59</v>
      </c>
      <c r="M281" s="13">
        <f>(23.71-23.67)*1000/(17.1*13.8)</f>
        <v>0.16950589032968533</v>
      </c>
      <c r="N281" s="13">
        <v>3.55</v>
      </c>
      <c r="O281" s="11" t="s">
        <v>573</v>
      </c>
      <c r="P281" s="28">
        <v>1.26</v>
      </c>
      <c r="U281" s="101"/>
      <c r="V281" s="101"/>
      <c r="W281" s="69" t="e" cm="1">
        <f t="array" ref="W281">_xlfn.XLOOKUP(Table1[[#This Row],[5 cm2 cell test code]:[5 cm2 cell test code]],[1]!Table1[[Test code]:[Test code]],[1]!Table1[i @ 1.8 V DIW (A/cm2)],"",0)</f>
        <v>#REF!</v>
      </c>
      <c r="X281" s="69" t="e" cm="1">
        <f t="array" ref="X281">_xlfn.XLOOKUP(Table1[[#This Row],[5 cm2 cell test code]:[5 cm2 cell test code]],[1]!Table1[[Test code]:[Test code]],[1]!Table1[i @ 1.8 V 10 mM KOH (A/cm2)],"",0)</f>
        <v>#REF!</v>
      </c>
      <c r="Y281" s="69" t="e" cm="1">
        <f t="array" ref="Y281">_xlfn.XLOOKUP(Table1[[#This Row],[5 cm2 cell test code]:[5 cm2 cell test code]],[1]!Table1[[Test code]:[Test code]],[1]!Table1[3-E ƞ at 20mAcm-2 (mV)],"",0)</f>
        <v>#REF!</v>
      </c>
      <c r="Z281" s="69" t="e" cm="1">
        <f t="array" ref="Z281">_xlfn.XLOOKUP(Table1[[#This Row],[5 cm2 cell test code]:[5 cm2 cell test code]],[1]!Table1[[Test code]:[Test code]],[1]!Table1[3-E Tafel slope (mV/dec)],"",0)</f>
        <v>#REF!</v>
      </c>
      <c r="AA281" s="69" t="e" cm="1">
        <f t="array" ref="AA281">_xlfn.XLOOKUP(Table1[[#This Row],[5 cm2 cell test code]:[5 cm2 cell test code]],[1]!Table1[[Test code]:[Test code]],[1]!Table1[E @ 100 mA/cm2 DIW/V],"",0)</f>
        <v>#REF!</v>
      </c>
      <c r="AB281" s="69" t="e" cm="1">
        <f t="array" ref="AB281">_xlfn.XLOOKUP(Table1[[#This Row],[5 cm2 cell test code]:[5 cm2 cell test code]],[1]!Table1[[Test code]:[Test code]],[1]!Table1[E @ 100 mA/cm2 10 mM KOH/V],"",0)</f>
        <v>#REF!</v>
      </c>
      <c r="AC281" s="69" t="e" cm="1">
        <f t="array" ref="AC281">_xlfn.XLOOKUP(Table1[[#This Row],[5 cm2 cell test code]:[5 cm2 cell test code]],[1]!Table1[[Test code]:[Test code]],[1]!Table1[Anode ICR/mOhm],"",0)</f>
        <v>#REF!</v>
      </c>
      <c r="AD281" s="69" t="e" cm="1">
        <f t="array" ref="AD281">_xlfn.XLOOKUP(Table1[[#This Row],[5 cm2 cell test code]:[5 cm2 cell test code]],[1]!Table1[[Test code]:[Test code]],[1]!Table1[HFR DIW/ mOhm cm2],"",0)</f>
        <v>#REF!</v>
      </c>
      <c r="AE281" s="69" t="e" cm="1">
        <f t="array" ref="AE281">_xlfn.XLOOKUP(Table1[[#This Row],[5 cm2 cell test code]:[5 cm2 cell test code]],[1]!Table1[[Test code]:[Test code]],[1]!Table1[HFR 10 mM KOH/ mOhm cm2],"",0)</f>
        <v>#REF!</v>
      </c>
      <c r="AF281" s="69" t="e" cm="1">
        <f t="array" ref="AF281">_xlfn.XLOOKUP(Table1[[#This Row],[5 cm2 cell test code]:[5 cm2 cell test code]],[1]!Table1[[Test code]:[Test code]],[1]!Table1[Ionic resistance DIW/Ohm cm2],"",0)</f>
        <v>#REF!</v>
      </c>
      <c r="AG281" s="69" t="e" cm="1">
        <f t="array" ref="AG281">_xlfn.XLOOKUP(Table1[[#This Row],[5 cm2 cell test code]:[5 cm2 cell test code]],[1]!Table1[[Test code]:[Test code]],[1]!Table1[Q_int_frac DIW],"",0)</f>
        <v>#REF!</v>
      </c>
      <c r="AH281" s="69" t="e" cm="1">
        <f t="array" ref="AH281">_xlfn.XLOOKUP(Table1[[#This Row],[5 cm2 cell test code]:[5 cm2 cell test code]],[1]!Table1[[Test code]:[Test code]],[1]!Table1[Ionic resistance 10 mM KOH/Ohm cm2],"",0)</f>
        <v>#REF!</v>
      </c>
      <c r="AI281" s="69" t="e" cm="1">
        <f t="array" ref="AI281">_xlfn.XLOOKUP(Table1[[#This Row],[5 cm2 cell test code]:[5 cm2 cell test code]],[1]!Table1[[Test code]:[Test code]],[1]!Table1[Q_int_frac DIW 10 mM KOH],"",0)</f>
        <v>#REF!</v>
      </c>
      <c r="AJ281" s="69" t="e" cm="1">
        <f t="array" ref="AJ281">_xlfn.XLOOKUP(Table1[[#This Row],[5 cm2 cell test code]:[5 cm2 cell test code]],[1]!Table1[[Test code]:[Test code]],[1]!Table1[DIW conductivity (µS/cm)],"",0)</f>
        <v>#REF!</v>
      </c>
      <c r="AQ281" s="4" t="str">
        <v>VSG01A-23276E1.02-#3</v>
      </c>
    </row>
    <row r="282" spans="1:43">
      <c r="A282" s="81"/>
      <c r="B282" s="11" t="s">
        <v>574</v>
      </c>
      <c r="K282" s="43" t="s">
        <v>59</v>
      </c>
      <c r="U282" s="101"/>
      <c r="V282" s="101"/>
      <c r="W282" s="69" t="e" cm="1">
        <f t="array" ref="W282">_xlfn.XLOOKUP(Table1[[#This Row],[5 cm2 cell test code]:[5 cm2 cell test code]],[1]!Table1[[Test code]:[Test code]],[1]!Table1[i @ 1.8 V DIW (A/cm2)],"",0)</f>
        <v>#REF!</v>
      </c>
      <c r="X282" s="69" t="e" cm="1">
        <f t="array" ref="X282">_xlfn.XLOOKUP(Table1[[#This Row],[5 cm2 cell test code]:[5 cm2 cell test code]],[1]!Table1[[Test code]:[Test code]],[1]!Table1[i @ 1.8 V 10 mM KOH (A/cm2)],"",0)</f>
        <v>#REF!</v>
      </c>
      <c r="Y282" s="69" t="e" cm="1">
        <f t="array" ref="Y282">_xlfn.XLOOKUP(Table1[[#This Row],[5 cm2 cell test code]:[5 cm2 cell test code]],[1]!Table1[[Test code]:[Test code]],[1]!Table1[3-E ƞ at 20mAcm-2 (mV)],"",0)</f>
        <v>#REF!</v>
      </c>
      <c r="Z282" s="69" t="e" cm="1">
        <f t="array" ref="Z282">_xlfn.XLOOKUP(Table1[[#This Row],[5 cm2 cell test code]:[5 cm2 cell test code]],[1]!Table1[[Test code]:[Test code]],[1]!Table1[3-E Tafel slope (mV/dec)],"",0)</f>
        <v>#REF!</v>
      </c>
      <c r="AA282" s="69" t="e" cm="1">
        <f t="array" ref="AA282">_xlfn.XLOOKUP(Table1[[#This Row],[5 cm2 cell test code]:[5 cm2 cell test code]],[1]!Table1[[Test code]:[Test code]],[1]!Table1[E @ 100 mA/cm2 DIW/V],"",0)</f>
        <v>#REF!</v>
      </c>
      <c r="AB282" s="69" t="e" cm="1">
        <f t="array" ref="AB282">_xlfn.XLOOKUP(Table1[[#This Row],[5 cm2 cell test code]:[5 cm2 cell test code]],[1]!Table1[[Test code]:[Test code]],[1]!Table1[E @ 100 mA/cm2 10 mM KOH/V],"",0)</f>
        <v>#REF!</v>
      </c>
      <c r="AC282" s="69" t="e" cm="1">
        <f t="array" ref="AC282">_xlfn.XLOOKUP(Table1[[#This Row],[5 cm2 cell test code]:[5 cm2 cell test code]],[1]!Table1[[Test code]:[Test code]],[1]!Table1[Anode ICR/mOhm],"",0)</f>
        <v>#REF!</v>
      </c>
      <c r="AD282" s="69" t="e" cm="1">
        <f t="array" ref="AD282">_xlfn.XLOOKUP(Table1[[#This Row],[5 cm2 cell test code]:[5 cm2 cell test code]],[1]!Table1[[Test code]:[Test code]],[1]!Table1[HFR DIW/ mOhm cm2],"",0)</f>
        <v>#REF!</v>
      </c>
      <c r="AE282" s="69" t="e" cm="1">
        <f t="array" ref="AE282">_xlfn.XLOOKUP(Table1[[#This Row],[5 cm2 cell test code]:[5 cm2 cell test code]],[1]!Table1[[Test code]:[Test code]],[1]!Table1[HFR 10 mM KOH/ mOhm cm2],"",0)</f>
        <v>#REF!</v>
      </c>
      <c r="AF282" s="69" t="e" cm="1">
        <f t="array" ref="AF282">_xlfn.XLOOKUP(Table1[[#This Row],[5 cm2 cell test code]:[5 cm2 cell test code]],[1]!Table1[[Test code]:[Test code]],[1]!Table1[Ionic resistance DIW/Ohm cm2],"",0)</f>
        <v>#REF!</v>
      </c>
      <c r="AG282" s="69" t="e" cm="1">
        <f t="array" ref="AG282">_xlfn.XLOOKUP(Table1[[#This Row],[5 cm2 cell test code]:[5 cm2 cell test code]],[1]!Table1[[Test code]:[Test code]],[1]!Table1[Q_int_frac DIW],"",0)</f>
        <v>#REF!</v>
      </c>
      <c r="AH282" s="69" t="e" cm="1">
        <f t="array" ref="AH282">_xlfn.XLOOKUP(Table1[[#This Row],[5 cm2 cell test code]:[5 cm2 cell test code]],[1]!Table1[[Test code]:[Test code]],[1]!Table1[Ionic resistance 10 mM KOH/Ohm cm2],"",0)</f>
        <v>#REF!</v>
      </c>
      <c r="AI282" s="69" t="e" cm="1">
        <f t="array" ref="AI282">_xlfn.XLOOKUP(Table1[[#This Row],[5 cm2 cell test code]:[5 cm2 cell test code]],[1]!Table1[[Test code]:[Test code]],[1]!Table1[Q_int_frac DIW 10 mM KOH],"",0)</f>
        <v>#REF!</v>
      </c>
      <c r="AJ282" s="69" t="e" cm="1">
        <f t="array" ref="AJ282">_xlfn.XLOOKUP(Table1[[#This Row],[5 cm2 cell test code]:[5 cm2 cell test code]],[1]!Table1[[Test code]:[Test code]],[1]!Table1[DIW conductivity (µS/cm)],"",0)</f>
        <v>#REF!</v>
      </c>
      <c r="AQ282" s="4" t="str">
        <v>VSG01A-23276E1.02-#21</v>
      </c>
    </row>
    <row r="283" spans="1:43">
      <c r="A283" s="81"/>
      <c r="B283" s="11" t="s">
        <v>575</v>
      </c>
      <c r="K283" s="43" t="s">
        <v>59</v>
      </c>
      <c r="U283" s="101"/>
      <c r="V283" s="101"/>
      <c r="W283" s="69" t="e" cm="1">
        <f t="array" ref="W283">_xlfn.XLOOKUP(Table1[[#This Row],[5 cm2 cell test code]:[5 cm2 cell test code]],[1]!Table1[[Test code]:[Test code]],[1]!Table1[i @ 1.8 V DIW (A/cm2)],"",0)</f>
        <v>#REF!</v>
      </c>
      <c r="X283" s="69" t="e" cm="1">
        <f t="array" ref="X283">_xlfn.XLOOKUP(Table1[[#This Row],[5 cm2 cell test code]:[5 cm2 cell test code]],[1]!Table1[[Test code]:[Test code]],[1]!Table1[i @ 1.8 V 10 mM KOH (A/cm2)],"",0)</f>
        <v>#REF!</v>
      </c>
      <c r="Y283" s="69" t="e" cm="1">
        <f t="array" ref="Y283">_xlfn.XLOOKUP(Table1[[#This Row],[5 cm2 cell test code]:[5 cm2 cell test code]],[1]!Table1[[Test code]:[Test code]],[1]!Table1[3-E ƞ at 20mAcm-2 (mV)],"",0)</f>
        <v>#REF!</v>
      </c>
      <c r="Z283" s="69" t="e" cm="1">
        <f t="array" ref="Z283">_xlfn.XLOOKUP(Table1[[#This Row],[5 cm2 cell test code]:[5 cm2 cell test code]],[1]!Table1[[Test code]:[Test code]],[1]!Table1[3-E Tafel slope (mV/dec)],"",0)</f>
        <v>#REF!</v>
      </c>
      <c r="AA283" s="69" t="e" cm="1">
        <f t="array" ref="AA283">_xlfn.XLOOKUP(Table1[[#This Row],[5 cm2 cell test code]:[5 cm2 cell test code]],[1]!Table1[[Test code]:[Test code]],[1]!Table1[E @ 100 mA/cm2 DIW/V],"",0)</f>
        <v>#REF!</v>
      </c>
      <c r="AB283" s="69" t="e" cm="1">
        <f t="array" ref="AB283">_xlfn.XLOOKUP(Table1[[#This Row],[5 cm2 cell test code]:[5 cm2 cell test code]],[1]!Table1[[Test code]:[Test code]],[1]!Table1[E @ 100 mA/cm2 10 mM KOH/V],"",0)</f>
        <v>#REF!</v>
      </c>
      <c r="AC283" s="69" t="e" cm="1">
        <f t="array" ref="AC283">_xlfn.XLOOKUP(Table1[[#This Row],[5 cm2 cell test code]:[5 cm2 cell test code]],[1]!Table1[[Test code]:[Test code]],[1]!Table1[Anode ICR/mOhm],"",0)</f>
        <v>#REF!</v>
      </c>
      <c r="AD283" s="69" t="e" cm="1">
        <f t="array" ref="AD283">_xlfn.XLOOKUP(Table1[[#This Row],[5 cm2 cell test code]:[5 cm2 cell test code]],[1]!Table1[[Test code]:[Test code]],[1]!Table1[HFR DIW/ mOhm cm2],"",0)</f>
        <v>#REF!</v>
      </c>
      <c r="AE283" s="69" t="e" cm="1">
        <f t="array" ref="AE283">_xlfn.XLOOKUP(Table1[[#This Row],[5 cm2 cell test code]:[5 cm2 cell test code]],[1]!Table1[[Test code]:[Test code]],[1]!Table1[HFR 10 mM KOH/ mOhm cm2],"",0)</f>
        <v>#REF!</v>
      </c>
      <c r="AF283" s="69" t="e" cm="1">
        <f t="array" ref="AF283">_xlfn.XLOOKUP(Table1[[#This Row],[5 cm2 cell test code]:[5 cm2 cell test code]],[1]!Table1[[Test code]:[Test code]],[1]!Table1[Ionic resistance DIW/Ohm cm2],"",0)</f>
        <v>#REF!</v>
      </c>
      <c r="AG283" s="69" t="e" cm="1">
        <f t="array" ref="AG283">_xlfn.XLOOKUP(Table1[[#This Row],[5 cm2 cell test code]:[5 cm2 cell test code]],[1]!Table1[[Test code]:[Test code]],[1]!Table1[Q_int_frac DIW],"",0)</f>
        <v>#REF!</v>
      </c>
      <c r="AH283" s="69" t="e" cm="1">
        <f t="array" ref="AH283">_xlfn.XLOOKUP(Table1[[#This Row],[5 cm2 cell test code]:[5 cm2 cell test code]],[1]!Table1[[Test code]:[Test code]],[1]!Table1[Ionic resistance 10 mM KOH/Ohm cm2],"",0)</f>
        <v>#REF!</v>
      </c>
      <c r="AI283" s="69" t="e" cm="1">
        <f t="array" ref="AI283">_xlfn.XLOOKUP(Table1[[#This Row],[5 cm2 cell test code]:[5 cm2 cell test code]],[1]!Table1[[Test code]:[Test code]],[1]!Table1[Q_int_frac DIW 10 mM KOH],"",0)</f>
        <v>#REF!</v>
      </c>
      <c r="AJ283" s="69" t="e" cm="1">
        <f t="array" ref="AJ283">_xlfn.XLOOKUP(Table1[[#This Row],[5 cm2 cell test code]:[5 cm2 cell test code]],[1]!Table1[[Test code]:[Test code]],[1]!Table1[DIW conductivity (µS/cm)],"",0)</f>
        <v>#REF!</v>
      </c>
      <c r="AQ283" s="4" t="str">
        <v>VSG01A-23276E1.02-#27</v>
      </c>
    </row>
    <row r="284" spans="1:43">
      <c r="A284" s="81"/>
      <c r="B284" s="11" t="s">
        <v>576</v>
      </c>
      <c r="C284" s="4" t="s">
        <v>562</v>
      </c>
      <c r="I284" s="11" t="s">
        <v>114</v>
      </c>
      <c r="J284" s="11" t="s">
        <v>402</v>
      </c>
      <c r="K284" s="43" t="s">
        <v>59</v>
      </c>
      <c r="M284" s="13">
        <f>(32.43-32.42)*1000/(13.02*26.44)</f>
        <v>2.9048757758917416E-2</v>
      </c>
      <c r="N284" s="13">
        <v>0</v>
      </c>
      <c r="O284" s="11" t="s">
        <v>577</v>
      </c>
      <c r="P284" s="28">
        <v>1.046</v>
      </c>
      <c r="Q284" s="145">
        <f>'[2]255.01-BA'!C13/'[2]255.01-BA'!B13</f>
        <v>6.0745457995351269E-2</v>
      </c>
      <c r="U284" s="101"/>
      <c r="V284" s="101"/>
      <c r="W284" s="69" t="e" cm="1">
        <f t="array" ref="W284">_xlfn.XLOOKUP(Table1[[#This Row],[5 cm2 cell test code]:[5 cm2 cell test code]],[1]!Table1[[Test code]:[Test code]],[1]!Table1[i @ 1.8 V DIW (A/cm2)],"",0)</f>
        <v>#REF!</v>
      </c>
      <c r="X284" s="69" t="e" cm="1">
        <f t="array" ref="X284">_xlfn.XLOOKUP(Table1[[#This Row],[5 cm2 cell test code]:[5 cm2 cell test code]],[1]!Table1[[Test code]:[Test code]],[1]!Table1[i @ 1.8 V 10 mM KOH (A/cm2)],"",0)</f>
        <v>#REF!</v>
      </c>
      <c r="Y284" s="69" t="e" cm="1">
        <f t="array" ref="Y284">_xlfn.XLOOKUP(Table1[[#This Row],[5 cm2 cell test code]:[5 cm2 cell test code]],[1]!Table1[[Test code]:[Test code]],[1]!Table1[3-E ƞ at 20mAcm-2 (mV)],"",0)</f>
        <v>#REF!</v>
      </c>
      <c r="Z284" s="69" t="e" cm="1">
        <f t="array" ref="Z284">_xlfn.XLOOKUP(Table1[[#This Row],[5 cm2 cell test code]:[5 cm2 cell test code]],[1]!Table1[[Test code]:[Test code]],[1]!Table1[3-E Tafel slope (mV/dec)],"",0)</f>
        <v>#REF!</v>
      </c>
      <c r="AA284" s="69" t="e" cm="1">
        <f t="array" ref="AA284">_xlfn.XLOOKUP(Table1[[#This Row],[5 cm2 cell test code]:[5 cm2 cell test code]],[1]!Table1[[Test code]:[Test code]],[1]!Table1[E @ 100 mA/cm2 DIW/V],"",0)</f>
        <v>#REF!</v>
      </c>
      <c r="AB284" s="69" t="e" cm="1">
        <f t="array" ref="AB284">_xlfn.XLOOKUP(Table1[[#This Row],[5 cm2 cell test code]:[5 cm2 cell test code]],[1]!Table1[[Test code]:[Test code]],[1]!Table1[E @ 100 mA/cm2 10 mM KOH/V],"",0)</f>
        <v>#REF!</v>
      </c>
      <c r="AC284" s="69" t="e" cm="1">
        <f t="array" ref="AC284">_xlfn.XLOOKUP(Table1[[#This Row],[5 cm2 cell test code]:[5 cm2 cell test code]],[1]!Table1[[Test code]:[Test code]],[1]!Table1[Anode ICR/mOhm],"",0)</f>
        <v>#REF!</v>
      </c>
      <c r="AD284" s="69" t="e" cm="1">
        <f t="array" ref="AD284">_xlfn.XLOOKUP(Table1[[#This Row],[5 cm2 cell test code]:[5 cm2 cell test code]],[1]!Table1[[Test code]:[Test code]],[1]!Table1[HFR DIW/ mOhm cm2],"",0)</f>
        <v>#REF!</v>
      </c>
      <c r="AE284" s="69" t="e" cm="1">
        <f t="array" ref="AE284">_xlfn.XLOOKUP(Table1[[#This Row],[5 cm2 cell test code]:[5 cm2 cell test code]],[1]!Table1[[Test code]:[Test code]],[1]!Table1[HFR 10 mM KOH/ mOhm cm2],"",0)</f>
        <v>#REF!</v>
      </c>
      <c r="AF284" s="69" t="e" cm="1">
        <f t="array" ref="AF284">_xlfn.XLOOKUP(Table1[[#This Row],[5 cm2 cell test code]:[5 cm2 cell test code]],[1]!Table1[[Test code]:[Test code]],[1]!Table1[Ionic resistance DIW/Ohm cm2],"",0)</f>
        <v>#REF!</v>
      </c>
      <c r="AG284" s="69" t="e" cm="1">
        <f t="array" ref="AG284">_xlfn.XLOOKUP(Table1[[#This Row],[5 cm2 cell test code]:[5 cm2 cell test code]],[1]!Table1[[Test code]:[Test code]],[1]!Table1[Q_int_frac DIW],"",0)</f>
        <v>#REF!</v>
      </c>
      <c r="AH284" s="69" t="e" cm="1">
        <f t="array" ref="AH284">_xlfn.XLOOKUP(Table1[[#This Row],[5 cm2 cell test code]:[5 cm2 cell test code]],[1]!Table1[[Test code]:[Test code]],[1]!Table1[Ionic resistance 10 mM KOH/Ohm cm2],"",0)</f>
        <v>#REF!</v>
      </c>
      <c r="AI284" s="69" t="e" cm="1">
        <f t="array" ref="AI284">_xlfn.XLOOKUP(Table1[[#This Row],[5 cm2 cell test code]:[5 cm2 cell test code]],[1]!Table1[[Test code]:[Test code]],[1]!Table1[Q_int_frac DIW 10 mM KOH],"",0)</f>
        <v>#REF!</v>
      </c>
      <c r="AJ284" s="69" t="e" cm="1">
        <f t="array" ref="AJ284">_xlfn.XLOOKUP(Table1[[#This Row],[5 cm2 cell test code]:[5 cm2 cell test code]],[1]!Table1[[Test code]:[Test code]],[1]!Table1[DIW conductivity (µS/cm)],"",0)</f>
        <v>#REF!</v>
      </c>
      <c r="AQ284" s="4" t="str">
        <v>VSG01A-23276E1.02-#44</v>
      </c>
    </row>
    <row r="285" spans="1:43">
      <c r="A285" s="81"/>
      <c r="B285" s="11" t="s">
        <v>578</v>
      </c>
      <c r="K285" s="43" t="s">
        <v>59</v>
      </c>
      <c r="U285" s="101"/>
      <c r="V285" s="101"/>
      <c r="W285" s="69" t="e" cm="1">
        <f t="array" ref="W285">_xlfn.XLOOKUP(Table1[[#This Row],[5 cm2 cell test code]:[5 cm2 cell test code]],[1]!Table1[[Test code]:[Test code]],[1]!Table1[i @ 1.8 V DIW (A/cm2)],"",0)</f>
        <v>#REF!</v>
      </c>
      <c r="X285" s="69" t="e" cm="1">
        <f t="array" ref="X285">_xlfn.XLOOKUP(Table1[[#This Row],[5 cm2 cell test code]:[5 cm2 cell test code]],[1]!Table1[[Test code]:[Test code]],[1]!Table1[i @ 1.8 V 10 mM KOH (A/cm2)],"",0)</f>
        <v>#REF!</v>
      </c>
      <c r="Y285" s="69" t="e" cm="1">
        <f t="array" ref="Y285">_xlfn.XLOOKUP(Table1[[#This Row],[5 cm2 cell test code]:[5 cm2 cell test code]],[1]!Table1[[Test code]:[Test code]],[1]!Table1[3-E ƞ at 20mAcm-2 (mV)],"",0)</f>
        <v>#REF!</v>
      </c>
      <c r="Z285" s="69" t="e" cm="1">
        <f t="array" ref="Z285">_xlfn.XLOOKUP(Table1[[#This Row],[5 cm2 cell test code]:[5 cm2 cell test code]],[1]!Table1[[Test code]:[Test code]],[1]!Table1[3-E Tafel slope (mV/dec)],"",0)</f>
        <v>#REF!</v>
      </c>
      <c r="AA285" s="69" t="e" cm="1">
        <f t="array" ref="AA285">_xlfn.XLOOKUP(Table1[[#This Row],[5 cm2 cell test code]:[5 cm2 cell test code]],[1]!Table1[[Test code]:[Test code]],[1]!Table1[E @ 100 mA/cm2 DIW/V],"",0)</f>
        <v>#REF!</v>
      </c>
      <c r="AB285" s="69" t="e" cm="1">
        <f t="array" ref="AB285">_xlfn.XLOOKUP(Table1[[#This Row],[5 cm2 cell test code]:[5 cm2 cell test code]],[1]!Table1[[Test code]:[Test code]],[1]!Table1[E @ 100 mA/cm2 10 mM KOH/V],"",0)</f>
        <v>#REF!</v>
      </c>
      <c r="AC285" s="69" t="e" cm="1">
        <f t="array" ref="AC285">_xlfn.XLOOKUP(Table1[[#This Row],[5 cm2 cell test code]:[5 cm2 cell test code]],[1]!Table1[[Test code]:[Test code]],[1]!Table1[Anode ICR/mOhm],"",0)</f>
        <v>#REF!</v>
      </c>
      <c r="AD285" s="69" t="e" cm="1">
        <f t="array" ref="AD285">_xlfn.XLOOKUP(Table1[[#This Row],[5 cm2 cell test code]:[5 cm2 cell test code]],[1]!Table1[[Test code]:[Test code]],[1]!Table1[HFR DIW/ mOhm cm2],"",0)</f>
        <v>#REF!</v>
      </c>
      <c r="AE285" s="69" t="e" cm="1">
        <f t="array" ref="AE285">_xlfn.XLOOKUP(Table1[[#This Row],[5 cm2 cell test code]:[5 cm2 cell test code]],[1]!Table1[[Test code]:[Test code]],[1]!Table1[HFR 10 mM KOH/ mOhm cm2],"",0)</f>
        <v>#REF!</v>
      </c>
      <c r="AF285" s="69" t="e" cm="1">
        <f t="array" ref="AF285">_xlfn.XLOOKUP(Table1[[#This Row],[5 cm2 cell test code]:[5 cm2 cell test code]],[1]!Table1[[Test code]:[Test code]],[1]!Table1[Ionic resistance DIW/Ohm cm2],"",0)</f>
        <v>#REF!</v>
      </c>
      <c r="AG285" s="69" t="e" cm="1">
        <f t="array" ref="AG285">_xlfn.XLOOKUP(Table1[[#This Row],[5 cm2 cell test code]:[5 cm2 cell test code]],[1]!Table1[[Test code]:[Test code]],[1]!Table1[Q_int_frac DIW],"",0)</f>
        <v>#REF!</v>
      </c>
      <c r="AH285" s="69" t="e" cm="1">
        <f t="array" ref="AH285">_xlfn.XLOOKUP(Table1[[#This Row],[5 cm2 cell test code]:[5 cm2 cell test code]],[1]!Table1[[Test code]:[Test code]],[1]!Table1[Ionic resistance 10 mM KOH/Ohm cm2],"",0)</f>
        <v>#REF!</v>
      </c>
      <c r="AI285" s="69" t="e" cm="1">
        <f t="array" ref="AI285">_xlfn.XLOOKUP(Table1[[#This Row],[5 cm2 cell test code]:[5 cm2 cell test code]],[1]!Table1[[Test code]:[Test code]],[1]!Table1[Q_int_frac DIW 10 mM KOH],"",0)</f>
        <v>#REF!</v>
      </c>
      <c r="AJ285" s="69" t="e" cm="1">
        <f t="array" ref="AJ285">_xlfn.XLOOKUP(Table1[[#This Row],[5 cm2 cell test code]:[5 cm2 cell test code]],[1]!Table1[[Test code]:[Test code]],[1]!Table1[DIW conductivity (µS/cm)],"",0)</f>
        <v>#REF!</v>
      </c>
      <c r="AQ285" s="4" t="str">
        <v>VSG01A-23276E1.02 #1</v>
      </c>
    </row>
    <row r="286" spans="1:43">
      <c r="A286" s="81"/>
      <c r="B286" s="11" t="s">
        <v>579</v>
      </c>
      <c r="K286" s="43" t="s">
        <v>59</v>
      </c>
      <c r="U286" s="101"/>
      <c r="V286" s="101"/>
      <c r="W286" s="69" t="e" cm="1">
        <f t="array" ref="W286">_xlfn.XLOOKUP(Table1[[#This Row],[5 cm2 cell test code]:[5 cm2 cell test code]],[1]!Table1[[Test code]:[Test code]],[1]!Table1[i @ 1.8 V DIW (A/cm2)],"",0)</f>
        <v>#REF!</v>
      </c>
      <c r="X286" s="69" t="e" cm="1">
        <f t="array" ref="X286">_xlfn.XLOOKUP(Table1[[#This Row],[5 cm2 cell test code]:[5 cm2 cell test code]],[1]!Table1[[Test code]:[Test code]],[1]!Table1[i @ 1.8 V 10 mM KOH (A/cm2)],"",0)</f>
        <v>#REF!</v>
      </c>
      <c r="Y286" s="69" t="e" cm="1">
        <f t="array" ref="Y286">_xlfn.XLOOKUP(Table1[[#This Row],[5 cm2 cell test code]:[5 cm2 cell test code]],[1]!Table1[[Test code]:[Test code]],[1]!Table1[3-E ƞ at 20mAcm-2 (mV)],"",0)</f>
        <v>#REF!</v>
      </c>
      <c r="Z286" s="69" t="e" cm="1">
        <f t="array" ref="Z286">_xlfn.XLOOKUP(Table1[[#This Row],[5 cm2 cell test code]:[5 cm2 cell test code]],[1]!Table1[[Test code]:[Test code]],[1]!Table1[3-E Tafel slope (mV/dec)],"",0)</f>
        <v>#REF!</v>
      </c>
      <c r="AA286" s="69" t="e" cm="1">
        <f t="array" ref="AA286">_xlfn.XLOOKUP(Table1[[#This Row],[5 cm2 cell test code]:[5 cm2 cell test code]],[1]!Table1[[Test code]:[Test code]],[1]!Table1[E @ 100 mA/cm2 DIW/V],"",0)</f>
        <v>#REF!</v>
      </c>
      <c r="AB286" s="69" t="e" cm="1">
        <f t="array" ref="AB286">_xlfn.XLOOKUP(Table1[[#This Row],[5 cm2 cell test code]:[5 cm2 cell test code]],[1]!Table1[[Test code]:[Test code]],[1]!Table1[E @ 100 mA/cm2 10 mM KOH/V],"",0)</f>
        <v>#REF!</v>
      </c>
      <c r="AC286" s="69" t="e" cm="1">
        <f t="array" ref="AC286">_xlfn.XLOOKUP(Table1[[#This Row],[5 cm2 cell test code]:[5 cm2 cell test code]],[1]!Table1[[Test code]:[Test code]],[1]!Table1[Anode ICR/mOhm],"",0)</f>
        <v>#REF!</v>
      </c>
      <c r="AD286" s="69" t="e" cm="1">
        <f t="array" ref="AD286">_xlfn.XLOOKUP(Table1[[#This Row],[5 cm2 cell test code]:[5 cm2 cell test code]],[1]!Table1[[Test code]:[Test code]],[1]!Table1[HFR DIW/ mOhm cm2],"",0)</f>
        <v>#REF!</v>
      </c>
      <c r="AE286" s="69" t="e" cm="1">
        <f t="array" ref="AE286">_xlfn.XLOOKUP(Table1[[#This Row],[5 cm2 cell test code]:[5 cm2 cell test code]],[1]!Table1[[Test code]:[Test code]],[1]!Table1[HFR 10 mM KOH/ mOhm cm2],"",0)</f>
        <v>#REF!</v>
      </c>
      <c r="AF286" s="69" t="e" cm="1">
        <f t="array" ref="AF286">_xlfn.XLOOKUP(Table1[[#This Row],[5 cm2 cell test code]:[5 cm2 cell test code]],[1]!Table1[[Test code]:[Test code]],[1]!Table1[Ionic resistance DIW/Ohm cm2],"",0)</f>
        <v>#REF!</v>
      </c>
      <c r="AG286" s="69" t="e" cm="1">
        <f t="array" ref="AG286">_xlfn.XLOOKUP(Table1[[#This Row],[5 cm2 cell test code]:[5 cm2 cell test code]],[1]!Table1[[Test code]:[Test code]],[1]!Table1[Q_int_frac DIW],"",0)</f>
        <v>#REF!</v>
      </c>
      <c r="AH286" s="69" t="e" cm="1">
        <f t="array" ref="AH286">_xlfn.XLOOKUP(Table1[[#This Row],[5 cm2 cell test code]:[5 cm2 cell test code]],[1]!Table1[[Test code]:[Test code]],[1]!Table1[Ionic resistance 10 mM KOH/Ohm cm2],"",0)</f>
        <v>#REF!</v>
      </c>
      <c r="AI286" s="69" t="e" cm="1">
        <f t="array" ref="AI286">_xlfn.XLOOKUP(Table1[[#This Row],[5 cm2 cell test code]:[5 cm2 cell test code]],[1]!Table1[[Test code]:[Test code]],[1]!Table1[Q_int_frac DIW 10 mM KOH],"",0)</f>
        <v>#REF!</v>
      </c>
      <c r="AJ286" s="69" t="e" cm="1">
        <f t="array" ref="AJ286">_xlfn.XLOOKUP(Table1[[#This Row],[5 cm2 cell test code]:[5 cm2 cell test code]],[1]!Table1[[Test code]:[Test code]],[1]!Table1[DIW conductivity (µS/cm)],"",0)</f>
        <v>#REF!</v>
      </c>
      <c r="AQ286" s="4" t="str">
        <v>VSG01A-23276E1.02 #2</v>
      </c>
    </row>
    <row r="287" spans="1:43">
      <c r="A287" s="88"/>
      <c r="B287" s="89" t="s">
        <v>580</v>
      </c>
      <c r="C287" s="90" t="s">
        <v>562</v>
      </c>
      <c r="D287" s="90"/>
      <c r="E287" s="90"/>
      <c r="F287" s="90"/>
      <c r="G287" s="90"/>
      <c r="H287" s="90"/>
      <c r="I287" s="89" t="s">
        <v>114</v>
      </c>
      <c r="J287" s="89" t="s">
        <v>402</v>
      </c>
      <c r="K287" s="43" t="s">
        <v>59</v>
      </c>
      <c r="L287" s="89"/>
      <c r="M287" s="91">
        <f>(32.01-31.88)*1000/(13.02*26.44)</f>
        <v>0.37763385086599865</v>
      </c>
      <c r="N287" s="13">
        <v>3.1638888888888888</v>
      </c>
      <c r="O287" s="89" t="s">
        <v>581</v>
      </c>
      <c r="P287" s="139">
        <v>1.6180000000000001</v>
      </c>
      <c r="Q287" s="146">
        <v>6.6641226835841547E-2</v>
      </c>
      <c r="R287" s="90"/>
      <c r="S287" s="90"/>
      <c r="T287" s="90"/>
      <c r="U287" s="102"/>
      <c r="V287" s="102"/>
      <c r="W287" s="69" t="e" cm="1">
        <f t="array" ref="W287">_xlfn.XLOOKUP(Table1[[#This Row],[5 cm2 cell test code]:[5 cm2 cell test code]],[1]!Table1[[Test code]:[Test code]],[1]!Table1[i @ 1.8 V DIW (A/cm2)],"",0)</f>
        <v>#REF!</v>
      </c>
      <c r="X287" s="69" t="e" cm="1">
        <f t="array" ref="X287">_xlfn.XLOOKUP(Table1[[#This Row],[5 cm2 cell test code]:[5 cm2 cell test code]],[1]!Table1[[Test code]:[Test code]],[1]!Table1[i @ 1.8 V 10 mM KOH (A/cm2)],"",0)</f>
        <v>#REF!</v>
      </c>
      <c r="Y287" s="69" t="e" cm="1">
        <f t="array" ref="Y287">_xlfn.XLOOKUP(Table1[[#This Row],[5 cm2 cell test code]:[5 cm2 cell test code]],[1]!Table1[[Test code]:[Test code]],[1]!Table1[3-E ƞ at 20mAcm-2 (mV)],"",0)</f>
        <v>#REF!</v>
      </c>
      <c r="Z287" s="69" t="e" cm="1">
        <f t="array" ref="Z287">_xlfn.XLOOKUP(Table1[[#This Row],[5 cm2 cell test code]:[5 cm2 cell test code]],[1]!Table1[[Test code]:[Test code]],[1]!Table1[3-E Tafel slope (mV/dec)],"",0)</f>
        <v>#REF!</v>
      </c>
      <c r="AA287" s="69" t="e" cm="1">
        <f t="array" ref="AA287">_xlfn.XLOOKUP(Table1[[#This Row],[5 cm2 cell test code]:[5 cm2 cell test code]],[1]!Table1[[Test code]:[Test code]],[1]!Table1[E @ 100 mA/cm2 DIW/V],"",0)</f>
        <v>#REF!</v>
      </c>
      <c r="AB287" s="69" t="e" cm="1">
        <f t="array" ref="AB287">_xlfn.XLOOKUP(Table1[[#This Row],[5 cm2 cell test code]:[5 cm2 cell test code]],[1]!Table1[[Test code]:[Test code]],[1]!Table1[E @ 100 mA/cm2 10 mM KOH/V],"",0)</f>
        <v>#REF!</v>
      </c>
      <c r="AC287" s="69" t="e" cm="1">
        <f t="array" ref="AC287">_xlfn.XLOOKUP(Table1[[#This Row],[5 cm2 cell test code]:[5 cm2 cell test code]],[1]!Table1[[Test code]:[Test code]],[1]!Table1[Anode ICR/mOhm],"",0)</f>
        <v>#REF!</v>
      </c>
      <c r="AD287" s="69" t="e" cm="1">
        <f t="array" ref="AD287">_xlfn.XLOOKUP(Table1[[#This Row],[5 cm2 cell test code]:[5 cm2 cell test code]],[1]!Table1[[Test code]:[Test code]],[1]!Table1[HFR DIW/ mOhm cm2],"",0)</f>
        <v>#REF!</v>
      </c>
      <c r="AE287" s="69" t="e" cm="1">
        <f t="array" ref="AE287">_xlfn.XLOOKUP(Table1[[#This Row],[5 cm2 cell test code]:[5 cm2 cell test code]],[1]!Table1[[Test code]:[Test code]],[1]!Table1[HFR 10 mM KOH/ mOhm cm2],"",0)</f>
        <v>#REF!</v>
      </c>
      <c r="AF287" s="69" t="e" cm="1">
        <f t="array" ref="AF287">_xlfn.XLOOKUP(Table1[[#This Row],[5 cm2 cell test code]:[5 cm2 cell test code]],[1]!Table1[[Test code]:[Test code]],[1]!Table1[Ionic resistance DIW/Ohm cm2],"",0)</f>
        <v>#REF!</v>
      </c>
      <c r="AG287" s="69" t="e" cm="1">
        <f t="array" ref="AG287">_xlfn.XLOOKUP(Table1[[#This Row],[5 cm2 cell test code]:[5 cm2 cell test code]],[1]!Table1[[Test code]:[Test code]],[1]!Table1[Q_int_frac DIW],"",0)</f>
        <v>#REF!</v>
      </c>
      <c r="AH287" s="69" t="e" cm="1">
        <f t="array" ref="AH287">_xlfn.XLOOKUP(Table1[[#This Row],[5 cm2 cell test code]:[5 cm2 cell test code]],[1]!Table1[[Test code]:[Test code]],[1]!Table1[Ionic resistance 10 mM KOH/Ohm cm2],"",0)</f>
        <v>#REF!</v>
      </c>
      <c r="AI287" s="69" t="e" cm="1">
        <f t="array" ref="AI287">_xlfn.XLOOKUP(Table1[[#This Row],[5 cm2 cell test code]:[5 cm2 cell test code]],[1]!Table1[[Test code]:[Test code]],[1]!Table1[Q_int_frac DIW 10 mM KOH],"",0)</f>
        <v>#REF!</v>
      </c>
      <c r="AJ287" s="69" t="e" cm="1">
        <f t="array" ref="AJ287">_xlfn.XLOOKUP(Table1[[#This Row],[5 cm2 cell test code]:[5 cm2 cell test code]],[1]!Table1[[Test code]:[Test code]],[1]!Table1[DIW conductivity (µS/cm)],"",0)</f>
        <v>#REF!</v>
      </c>
      <c r="AQ287" s="4" t="str">
        <v>VSG01A-23276E1.02 #10</v>
      </c>
    </row>
    <row r="288" spans="1:43">
      <c r="A288" s="81"/>
      <c r="B288" s="89" t="s">
        <v>582</v>
      </c>
      <c r="K288" s="43" t="s">
        <v>59</v>
      </c>
      <c r="U288" s="101"/>
      <c r="V288" s="101"/>
      <c r="W288" s="69" t="e" cm="1">
        <f t="array" ref="W288">_xlfn.XLOOKUP(Table1[[#This Row],[5 cm2 cell test code]:[5 cm2 cell test code]],[1]!Table1[[Test code]:[Test code]],[1]!Table1[i @ 1.8 V DIW (A/cm2)],"",0)</f>
        <v>#REF!</v>
      </c>
      <c r="X288" s="69" t="e" cm="1">
        <f t="array" ref="X288">_xlfn.XLOOKUP(Table1[[#This Row],[5 cm2 cell test code]:[5 cm2 cell test code]],[1]!Table1[[Test code]:[Test code]],[1]!Table1[i @ 1.8 V 10 mM KOH (A/cm2)],"",0)</f>
        <v>#REF!</v>
      </c>
      <c r="Y288" s="69" t="e" cm="1">
        <f t="array" ref="Y288">_xlfn.XLOOKUP(Table1[[#This Row],[5 cm2 cell test code]:[5 cm2 cell test code]],[1]!Table1[[Test code]:[Test code]],[1]!Table1[3-E ƞ at 20mAcm-2 (mV)],"",0)</f>
        <v>#REF!</v>
      </c>
      <c r="Z288" s="69" t="e" cm="1">
        <f t="array" ref="Z288">_xlfn.XLOOKUP(Table1[[#This Row],[5 cm2 cell test code]:[5 cm2 cell test code]],[1]!Table1[[Test code]:[Test code]],[1]!Table1[3-E Tafel slope (mV/dec)],"",0)</f>
        <v>#REF!</v>
      </c>
      <c r="AA288" s="69" t="e" cm="1">
        <f t="array" ref="AA288">_xlfn.XLOOKUP(Table1[[#This Row],[5 cm2 cell test code]:[5 cm2 cell test code]],[1]!Table1[[Test code]:[Test code]],[1]!Table1[E @ 100 mA/cm2 DIW/V],"",0)</f>
        <v>#REF!</v>
      </c>
      <c r="AB288" s="69" t="e" cm="1">
        <f t="array" ref="AB288">_xlfn.XLOOKUP(Table1[[#This Row],[5 cm2 cell test code]:[5 cm2 cell test code]],[1]!Table1[[Test code]:[Test code]],[1]!Table1[E @ 100 mA/cm2 10 mM KOH/V],"",0)</f>
        <v>#REF!</v>
      </c>
      <c r="AC288" s="69" t="e" cm="1">
        <f t="array" ref="AC288">_xlfn.XLOOKUP(Table1[[#This Row],[5 cm2 cell test code]:[5 cm2 cell test code]],[1]!Table1[[Test code]:[Test code]],[1]!Table1[Anode ICR/mOhm],"",0)</f>
        <v>#REF!</v>
      </c>
      <c r="AD288" s="69" t="e" cm="1">
        <f t="array" ref="AD288">_xlfn.XLOOKUP(Table1[[#This Row],[5 cm2 cell test code]:[5 cm2 cell test code]],[1]!Table1[[Test code]:[Test code]],[1]!Table1[HFR DIW/ mOhm cm2],"",0)</f>
        <v>#REF!</v>
      </c>
      <c r="AE288" s="69" t="e" cm="1">
        <f t="array" ref="AE288">_xlfn.XLOOKUP(Table1[[#This Row],[5 cm2 cell test code]:[5 cm2 cell test code]],[1]!Table1[[Test code]:[Test code]],[1]!Table1[HFR 10 mM KOH/ mOhm cm2],"",0)</f>
        <v>#REF!</v>
      </c>
      <c r="AF288" s="69" t="e" cm="1">
        <f t="array" ref="AF288">_xlfn.XLOOKUP(Table1[[#This Row],[5 cm2 cell test code]:[5 cm2 cell test code]],[1]!Table1[[Test code]:[Test code]],[1]!Table1[Ionic resistance DIW/Ohm cm2],"",0)</f>
        <v>#REF!</v>
      </c>
      <c r="AG288" s="69" t="e" cm="1">
        <f t="array" ref="AG288">_xlfn.XLOOKUP(Table1[[#This Row],[5 cm2 cell test code]:[5 cm2 cell test code]],[1]!Table1[[Test code]:[Test code]],[1]!Table1[Q_int_frac DIW],"",0)</f>
        <v>#REF!</v>
      </c>
      <c r="AH288" s="69" t="e" cm="1">
        <f t="array" ref="AH288">_xlfn.XLOOKUP(Table1[[#This Row],[5 cm2 cell test code]:[5 cm2 cell test code]],[1]!Table1[[Test code]:[Test code]],[1]!Table1[Ionic resistance 10 mM KOH/Ohm cm2],"",0)</f>
        <v>#REF!</v>
      </c>
      <c r="AI288" s="69" t="e" cm="1">
        <f t="array" ref="AI288">_xlfn.XLOOKUP(Table1[[#This Row],[5 cm2 cell test code]:[5 cm2 cell test code]],[1]!Table1[[Test code]:[Test code]],[1]!Table1[Q_int_frac DIW 10 mM KOH],"",0)</f>
        <v>#REF!</v>
      </c>
      <c r="AJ288" s="69" t="e" cm="1">
        <f t="array" ref="AJ288">_xlfn.XLOOKUP(Table1[[#This Row],[5 cm2 cell test code]:[5 cm2 cell test code]],[1]!Table1[[Test code]:[Test code]],[1]!Table1[DIW conductivity (µS/cm)],"",0)</f>
        <v>#REF!</v>
      </c>
      <c r="AQ288" s="4" t="str">
        <v>VSG01A-23276E1.02 #11</v>
      </c>
    </row>
    <row r="289" spans="1:48">
      <c r="A289" s="81"/>
      <c r="B289" s="89" t="s">
        <v>583</v>
      </c>
      <c r="K289" s="43" t="s">
        <v>59</v>
      </c>
      <c r="U289" s="101"/>
      <c r="V289" s="101"/>
      <c r="W289" s="69" t="e" cm="1">
        <f t="array" ref="W289">_xlfn.XLOOKUP(Table1[[#This Row],[5 cm2 cell test code]:[5 cm2 cell test code]],[1]!Table1[[Test code]:[Test code]],[1]!Table1[i @ 1.8 V DIW (A/cm2)],"",0)</f>
        <v>#REF!</v>
      </c>
      <c r="X289" s="69" t="e" cm="1">
        <f t="array" ref="X289">_xlfn.XLOOKUP(Table1[[#This Row],[5 cm2 cell test code]:[5 cm2 cell test code]],[1]!Table1[[Test code]:[Test code]],[1]!Table1[i @ 1.8 V 10 mM KOH (A/cm2)],"",0)</f>
        <v>#REF!</v>
      </c>
      <c r="Y289" s="69" t="e" cm="1">
        <f t="array" ref="Y289">_xlfn.XLOOKUP(Table1[[#This Row],[5 cm2 cell test code]:[5 cm2 cell test code]],[1]!Table1[[Test code]:[Test code]],[1]!Table1[3-E ƞ at 20mAcm-2 (mV)],"",0)</f>
        <v>#REF!</v>
      </c>
      <c r="Z289" s="69" t="e" cm="1">
        <f t="array" ref="Z289">_xlfn.XLOOKUP(Table1[[#This Row],[5 cm2 cell test code]:[5 cm2 cell test code]],[1]!Table1[[Test code]:[Test code]],[1]!Table1[3-E Tafel slope (mV/dec)],"",0)</f>
        <v>#REF!</v>
      </c>
      <c r="AA289" s="69" t="e" cm="1">
        <f t="array" ref="AA289">_xlfn.XLOOKUP(Table1[[#This Row],[5 cm2 cell test code]:[5 cm2 cell test code]],[1]!Table1[[Test code]:[Test code]],[1]!Table1[E @ 100 mA/cm2 DIW/V],"",0)</f>
        <v>#REF!</v>
      </c>
      <c r="AB289" s="69" t="e" cm="1">
        <f t="array" ref="AB289">_xlfn.XLOOKUP(Table1[[#This Row],[5 cm2 cell test code]:[5 cm2 cell test code]],[1]!Table1[[Test code]:[Test code]],[1]!Table1[E @ 100 mA/cm2 10 mM KOH/V],"",0)</f>
        <v>#REF!</v>
      </c>
      <c r="AC289" s="69" t="e" cm="1">
        <f t="array" ref="AC289">_xlfn.XLOOKUP(Table1[[#This Row],[5 cm2 cell test code]:[5 cm2 cell test code]],[1]!Table1[[Test code]:[Test code]],[1]!Table1[Anode ICR/mOhm],"",0)</f>
        <v>#REF!</v>
      </c>
      <c r="AD289" s="69" t="e" cm="1">
        <f t="array" ref="AD289">_xlfn.XLOOKUP(Table1[[#This Row],[5 cm2 cell test code]:[5 cm2 cell test code]],[1]!Table1[[Test code]:[Test code]],[1]!Table1[HFR DIW/ mOhm cm2],"",0)</f>
        <v>#REF!</v>
      </c>
      <c r="AE289" s="69" t="e" cm="1">
        <f t="array" ref="AE289">_xlfn.XLOOKUP(Table1[[#This Row],[5 cm2 cell test code]:[5 cm2 cell test code]],[1]!Table1[[Test code]:[Test code]],[1]!Table1[HFR 10 mM KOH/ mOhm cm2],"",0)</f>
        <v>#REF!</v>
      </c>
      <c r="AF289" s="69" t="e" cm="1">
        <f t="array" ref="AF289">_xlfn.XLOOKUP(Table1[[#This Row],[5 cm2 cell test code]:[5 cm2 cell test code]],[1]!Table1[[Test code]:[Test code]],[1]!Table1[Ionic resistance DIW/Ohm cm2],"",0)</f>
        <v>#REF!</v>
      </c>
      <c r="AG289" s="69" t="e" cm="1">
        <f t="array" ref="AG289">_xlfn.XLOOKUP(Table1[[#This Row],[5 cm2 cell test code]:[5 cm2 cell test code]],[1]!Table1[[Test code]:[Test code]],[1]!Table1[Q_int_frac DIW],"",0)</f>
        <v>#REF!</v>
      </c>
      <c r="AH289" s="69" t="e" cm="1">
        <f t="array" ref="AH289">_xlfn.XLOOKUP(Table1[[#This Row],[5 cm2 cell test code]:[5 cm2 cell test code]],[1]!Table1[[Test code]:[Test code]],[1]!Table1[Ionic resistance 10 mM KOH/Ohm cm2],"",0)</f>
        <v>#REF!</v>
      </c>
      <c r="AI289" s="69" t="e" cm="1">
        <f t="array" ref="AI289">_xlfn.XLOOKUP(Table1[[#This Row],[5 cm2 cell test code]:[5 cm2 cell test code]],[1]!Table1[[Test code]:[Test code]],[1]!Table1[Q_int_frac DIW 10 mM KOH],"",0)</f>
        <v>#REF!</v>
      </c>
      <c r="AJ289" s="69" t="e" cm="1">
        <f t="array" ref="AJ289">_xlfn.XLOOKUP(Table1[[#This Row],[5 cm2 cell test code]:[5 cm2 cell test code]],[1]!Table1[[Test code]:[Test code]],[1]!Table1[DIW conductivity (µS/cm)],"",0)</f>
        <v>#REF!</v>
      </c>
      <c r="AQ289" s="4" t="str">
        <v>VSG01A-23277E1.01</v>
      </c>
    </row>
    <row r="290" spans="1:48" s="120" customFormat="1">
      <c r="A290" s="116"/>
      <c r="B290" s="117" t="s">
        <v>584</v>
      </c>
      <c r="C290" s="118" t="s">
        <v>585</v>
      </c>
      <c r="D290" s="118"/>
      <c r="E290" s="118"/>
      <c r="F290" s="118"/>
      <c r="G290" s="118"/>
      <c r="H290" s="118"/>
      <c r="I290" s="117" t="s">
        <v>114</v>
      </c>
      <c r="J290" s="117" t="s">
        <v>402</v>
      </c>
      <c r="K290" s="43" t="s">
        <v>59</v>
      </c>
      <c r="L290" s="117"/>
      <c r="M290" s="119"/>
      <c r="N290" s="119"/>
      <c r="O290" s="117"/>
      <c r="P290" s="140">
        <f>(0.602-0.593)*1000/(2.5*2.5)</f>
        <v>1.4400000000000011</v>
      </c>
      <c r="Q290" s="118"/>
      <c r="R290" s="120">
        <v>1.119</v>
      </c>
      <c r="S290" s="120">
        <v>227.95</v>
      </c>
      <c r="T290" s="120">
        <v>31.57</v>
      </c>
      <c r="U290" s="101" t="s">
        <v>586</v>
      </c>
      <c r="V290" t="s">
        <v>587</v>
      </c>
      <c r="W290" s="69" t="e" cm="1">
        <f t="array" ref="W290">_xlfn.XLOOKUP(Table1[[#This Row],[5 cm2 cell test code]:[5 cm2 cell test code]],[1]!Table1[[Test code]:[Test code]],[1]!Table1[i @ 1.8 V DIW (A/cm2)],"",0)</f>
        <v>#REF!</v>
      </c>
      <c r="X290" s="69" t="e" cm="1">
        <f t="array" ref="X290">_xlfn.XLOOKUP(Table1[[#This Row],[5 cm2 cell test code]:[5 cm2 cell test code]],[1]!Table1[[Test code]:[Test code]],[1]!Table1[i @ 1.8 V 10 mM KOH (A/cm2)],"",0)</f>
        <v>#REF!</v>
      </c>
      <c r="Y290" s="69" t="e" cm="1">
        <f t="array" ref="Y290">_xlfn.XLOOKUP(Table1[[#This Row],[5 cm2 cell test code]:[5 cm2 cell test code]],[1]!Table1[[Test code]:[Test code]],[1]!Table1[3-E ƞ at 20mAcm-2 (mV)],"",0)</f>
        <v>#REF!</v>
      </c>
      <c r="Z290" s="69" t="e" cm="1">
        <f t="array" ref="Z290">_xlfn.XLOOKUP(Table1[[#This Row],[5 cm2 cell test code]:[5 cm2 cell test code]],[1]!Table1[[Test code]:[Test code]],[1]!Table1[3-E Tafel slope (mV/dec)],"",0)</f>
        <v>#REF!</v>
      </c>
      <c r="AA290" s="69" t="e" cm="1">
        <f t="array" ref="AA290">_xlfn.XLOOKUP(Table1[[#This Row],[5 cm2 cell test code]:[5 cm2 cell test code]],[1]!Table1[[Test code]:[Test code]],[1]!Table1[E @ 100 mA/cm2 DIW/V],"",0)</f>
        <v>#REF!</v>
      </c>
      <c r="AB290" s="69" t="e" cm="1">
        <f t="array" ref="AB290">_xlfn.XLOOKUP(Table1[[#This Row],[5 cm2 cell test code]:[5 cm2 cell test code]],[1]!Table1[[Test code]:[Test code]],[1]!Table1[E @ 100 mA/cm2 10 mM KOH/V],"",0)</f>
        <v>#REF!</v>
      </c>
      <c r="AC290" s="69" t="e" cm="1">
        <f t="array" ref="AC290">_xlfn.XLOOKUP(Table1[[#This Row],[5 cm2 cell test code]:[5 cm2 cell test code]],[1]!Table1[[Test code]:[Test code]],[1]!Table1[Anode ICR/mOhm],"",0)</f>
        <v>#REF!</v>
      </c>
      <c r="AD290" s="69" t="e" cm="1">
        <f t="array" ref="AD290">_xlfn.XLOOKUP(Table1[[#This Row],[5 cm2 cell test code]:[5 cm2 cell test code]],[1]!Table1[[Test code]:[Test code]],[1]!Table1[HFR DIW/ mOhm cm2],"",0)</f>
        <v>#REF!</v>
      </c>
      <c r="AE290" s="69" t="e" cm="1">
        <f t="array" ref="AE290">_xlfn.XLOOKUP(Table1[[#This Row],[5 cm2 cell test code]:[5 cm2 cell test code]],[1]!Table1[[Test code]:[Test code]],[1]!Table1[HFR 10 mM KOH/ mOhm cm2],"",0)</f>
        <v>#REF!</v>
      </c>
      <c r="AF290" s="69" t="e" cm="1">
        <f t="array" ref="AF290">_xlfn.XLOOKUP(Table1[[#This Row],[5 cm2 cell test code]:[5 cm2 cell test code]],[1]!Table1[[Test code]:[Test code]],[1]!Table1[Ionic resistance DIW/Ohm cm2],"",0)</f>
        <v>#REF!</v>
      </c>
      <c r="AG290" s="69" t="e" cm="1">
        <f t="array" ref="AG290">_xlfn.XLOOKUP(Table1[[#This Row],[5 cm2 cell test code]:[5 cm2 cell test code]],[1]!Table1[[Test code]:[Test code]],[1]!Table1[Q_int_frac DIW],"",0)</f>
        <v>#REF!</v>
      </c>
      <c r="AH290" s="69" t="e" cm="1">
        <f t="array" ref="AH290">_xlfn.XLOOKUP(Table1[[#This Row],[5 cm2 cell test code]:[5 cm2 cell test code]],[1]!Table1[[Test code]:[Test code]],[1]!Table1[Ionic resistance 10 mM KOH/Ohm cm2],"",0)</f>
        <v>#REF!</v>
      </c>
      <c r="AI290" s="69" t="e" cm="1">
        <f t="array" ref="AI290">_xlfn.XLOOKUP(Table1[[#This Row],[5 cm2 cell test code]:[5 cm2 cell test code]],[1]!Table1[[Test code]:[Test code]],[1]!Table1[Q_int_frac DIW 10 mM KOH],"",0)</f>
        <v>#REF!</v>
      </c>
      <c r="AJ290" s="69" t="e" cm="1">
        <f t="array" ref="AJ290">_xlfn.XLOOKUP(Table1[[#This Row],[5 cm2 cell test code]:[5 cm2 cell test code]],[1]!Table1[[Test code]:[Test code]],[1]!Table1[DIW conductivity (µS/cm)],"",0)</f>
        <v>#REF!</v>
      </c>
      <c r="AQ290" s="120" t="str">
        <v>VSG01A-23277E1.02</v>
      </c>
      <c r="AR290" s="121"/>
      <c r="AS290" s="121"/>
      <c r="AT290" s="121"/>
      <c r="AU290" s="121"/>
      <c r="AV290" s="121"/>
    </row>
    <row r="291" spans="1:48">
      <c r="A291" s="81"/>
      <c r="B291" s="89" t="s">
        <v>588</v>
      </c>
      <c r="C291" s="90" t="s">
        <v>589</v>
      </c>
      <c r="I291" s="89" t="s">
        <v>114</v>
      </c>
      <c r="J291" s="89" t="s">
        <v>402</v>
      </c>
      <c r="K291" s="43" t="s">
        <v>59</v>
      </c>
      <c r="L291" s="89"/>
      <c r="M291" s="13">
        <f>(1.3857-1.5335)*1000/(4.04*4.12)</f>
        <v>-8.879650100932432</v>
      </c>
      <c r="U291" s="101"/>
      <c r="V291" s="154"/>
      <c r="W291" s="69" t="e" cm="1">
        <f t="array" ref="W291">_xlfn.XLOOKUP(Table1[[#This Row],[5 cm2 cell test code]:[5 cm2 cell test code]],[1]!Table1[[Test code]:[Test code]],[1]!Table1[i @ 1.8 V DIW (A/cm2)],"",0)</f>
        <v>#REF!</v>
      </c>
      <c r="X291" s="69" t="e" cm="1">
        <f t="array" ref="X291">_xlfn.XLOOKUP(Table1[[#This Row],[5 cm2 cell test code]:[5 cm2 cell test code]],[1]!Table1[[Test code]:[Test code]],[1]!Table1[i @ 1.8 V 10 mM KOH (A/cm2)],"",0)</f>
        <v>#REF!</v>
      </c>
      <c r="Y291" s="69" t="e" cm="1">
        <f t="array" ref="Y291">_xlfn.XLOOKUP(Table1[[#This Row],[5 cm2 cell test code]:[5 cm2 cell test code]],[1]!Table1[[Test code]:[Test code]],[1]!Table1[3-E ƞ at 20mAcm-2 (mV)],"",0)</f>
        <v>#REF!</v>
      </c>
      <c r="Z291" s="69" t="e" cm="1">
        <f t="array" ref="Z291">_xlfn.XLOOKUP(Table1[[#This Row],[5 cm2 cell test code]:[5 cm2 cell test code]],[1]!Table1[[Test code]:[Test code]],[1]!Table1[3-E Tafel slope (mV/dec)],"",0)</f>
        <v>#REF!</v>
      </c>
      <c r="AA291" s="69" t="e" cm="1">
        <f t="array" ref="AA291">_xlfn.XLOOKUP(Table1[[#This Row],[5 cm2 cell test code]:[5 cm2 cell test code]],[1]!Table1[[Test code]:[Test code]],[1]!Table1[E @ 100 mA/cm2 DIW/V],"",0)</f>
        <v>#REF!</v>
      </c>
      <c r="AB291" s="69" t="e" cm="1">
        <f t="array" ref="AB291">_xlfn.XLOOKUP(Table1[[#This Row],[5 cm2 cell test code]:[5 cm2 cell test code]],[1]!Table1[[Test code]:[Test code]],[1]!Table1[E @ 100 mA/cm2 10 mM KOH/V],"",0)</f>
        <v>#REF!</v>
      </c>
      <c r="AC291" s="69" t="e" cm="1">
        <f t="array" ref="AC291">_xlfn.XLOOKUP(Table1[[#This Row],[5 cm2 cell test code]:[5 cm2 cell test code]],[1]!Table1[[Test code]:[Test code]],[1]!Table1[Anode ICR/mOhm],"",0)</f>
        <v>#REF!</v>
      </c>
      <c r="AD291" s="69" t="e" cm="1">
        <f t="array" ref="AD291">_xlfn.XLOOKUP(Table1[[#This Row],[5 cm2 cell test code]:[5 cm2 cell test code]],[1]!Table1[[Test code]:[Test code]],[1]!Table1[HFR DIW/ mOhm cm2],"",0)</f>
        <v>#REF!</v>
      </c>
      <c r="AE291" s="69" t="e" cm="1">
        <f t="array" ref="AE291">_xlfn.XLOOKUP(Table1[[#This Row],[5 cm2 cell test code]:[5 cm2 cell test code]],[1]!Table1[[Test code]:[Test code]],[1]!Table1[HFR 10 mM KOH/ mOhm cm2],"",0)</f>
        <v>#REF!</v>
      </c>
      <c r="AF291" s="69" t="e" cm="1">
        <f t="array" ref="AF291">_xlfn.XLOOKUP(Table1[[#This Row],[5 cm2 cell test code]:[5 cm2 cell test code]],[1]!Table1[[Test code]:[Test code]],[1]!Table1[Ionic resistance DIW/Ohm cm2],"",0)</f>
        <v>#REF!</v>
      </c>
      <c r="AG291" s="69" t="e" cm="1">
        <f t="array" ref="AG291">_xlfn.XLOOKUP(Table1[[#This Row],[5 cm2 cell test code]:[5 cm2 cell test code]],[1]!Table1[[Test code]:[Test code]],[1]!Table1[Q_int_frac DIW],"",0)</f>
        <v>#REF!</v>
      </c>
      <c r="AH291" s="69" t="e" cm="1">
        <f t="array" ref="AH291">_xlfn.XLOOKUP(Table1[[#This Row],[5 cm2 cell test code]:[5 cm2 cell test code]],[1]!Table1[[Test code]:[Test code]],[1]!Table1[Ionic resistance 10 mM KOH/Ohm cm2],"",0)</f>
        <v>#REF!</v>
      </c>
      <c r="AI291" s="69" t="e" cm="1">
        <f t="array" ref="AI291">_xlfn.XLOOKUP(Table1[[#This Row],[5 cm2 cell test code]:[5 cm2 cell test code]],[1]!Table1[[Test code]:[Test code]],[1]!Table1[Q_int_frac DIW 10 mM KOH],"",0)</f>
        <v>#REF!</v>
      </c>
      <c r="AJ291" s="69" t="e" cm="1">
        <f t="array" ref="AJ291">_xlfn.XLOOKUP(Table1[[#This Row],[5 cm2 cell test code]:[5 cm2 cell test code]],[1]!Table1[[Test code]:[Test code]],[1]!Table1[DIW conductivity (µS/cm)],"",0)</f>
        <v>#REF!</v>
      </c>
      <c r="AQ291" s="4" t="str">
        <v>VSG01A-23277E1.03</v>
      </c>
    </row>
    <row r="292" spans="1:48">
      <c r="A292" s="81"/>
      <c r="B292" s="89" t="s">
        <v>590</v>
      </c>
      <c r="C292" s="90" t="s">
        <v>591</v>
      </c>
      <c r="I292" s="89" t="s">
        <v>114</v>
      </c>
      <c r="J292" s="89" t="s">
        <v>402</v>
      </c>
      <c r="K292" s="43" t="s">
        <v>59</v>
      </c>
      <c r="L292" s="89"/>
      <c r="M292" s="13">
        <f>(1.4495-1.4628)*1000/(4.02*3.97)</f>
        <v>-0.83336466283194166</v>
      </c>
      <c r="U292" s="101"/>
      <c r="V292" s="101"/>
      <c r="W292" s="69" t="e" cm="1">
        <f t="array" ref="W292">_xlfn.XLOOKUP(Table1[[#This Row],[5 cm2 cell test code]:[5 cm2 cell test code]],[1]!Table1[[Test code]:[Test code]],[1]!Table1[i @ 1.8 V DIW (A/cm2)],"",0)</f>
        <v>#REF!</v>
      </c>
      <c r="X292" s="69" t="e" cm="1">
        <f t="array" ref="X292">_xlfn.XLOOKUP(Table1[[#This Row],[5 cm2 cell test code]:[5 cm2 cell test code]],[1]!Table1[[Test code]:[Test code]],[1]!Table1[i @ 1.8 V 10 mM KOH (A/cm2)],"",0)</f>
        <v>#REF!</v>
      </c>
      <c r="Y292" s="69" t="e" cm="1">
        <f t="array" ref="Y292">_xlfn.XLOOKUP(Table1[[#This Row],[5 cm2 cell test code]:[5 cm2 cell test code]],[1]!Table1[[Test code]:[Test code]],[1]!Table1[3-E ƞ at 20mAcm-2 (mV)],"",0)</f>
        <v>#REF!</v>
      </c>
      <c r="Z292" s="69" t="e" cm="1">
        <f t="array" ref="Z292">_xlfn.XLOOKUP(Table1[[#This Row],[5 cm2 cell test code]:[5 cm2 cell test code]],[1]!Table1[[Test code]:[Test code]],[1]!Table1[3-E Tafel slope (mV/dec)],"",0)</f>
        <v>#REF!</v>
      </c>
      <c r="AA292" s="69" t="e" cm="1">
        <f t="array" ref="AA292">_xlfn.XLOOKUP(Table1[[#This Row],[5 cm2 cell test code]:[5 cm2 cell test code]],[1]!Table1[[Test code]:[Test code]],[1]!Table1[E @ 100 mA/cm2 DIW/V],"",0)</f>
        <v>#REF!</v>
      </c>
      <c r="AB292" s="69" t="e" cm="1">
        <f t="array" ref="AB292">_xlfn.XLOOKUP(Table1[[#This Row],[5 cm2 cell test code]:[5 cm2 cell test code]],[1]!Table1[[Test code]:[Test code]],[1]!Table1[E @ 100 mA/cm2 10 mM KOH/V],"",0)</f>
        <v>#REF!</v>
      </c>
      <c r="AC292" s="69" t="e" cm="1">
        <f t="array" ref="AC292">_xlfn.XLOOKUP(Table1[[#This Row],[5 cm2 cell test code]:[5 cm2 cell test code]],[1]!Table1[[Test code]:[Test code]],[1]!Table1[Anode ICR/mOhm],"",0)</f>
        <v>#REF!</v>
      </c>
      <c r="AD292" s="69" t="e" cm="1">
        <f t="array" ref="AD292">_xlfn.XLOOKUP(Table1[[#This Row],[5 cm2 cell test code]:[5 cm2 cell test code]],[1]!Table1[[Test code]:[Test code]],[1]!Table1[HFR DIW/ mOhm cm2],"",0)</f>
        <v>#REF!</v>
      </c>
      <c r="AE292" s="69" t="e" cm="1">
        <f t="array" ref="AE292">_xlfn.XLOOKUP(Table1[[#This Row],[5 cm2 cell test code]:[5 cm2 cell test code]],[1]!Table1[[Test code]:[Test code]],[1]!Table1[HFR 10 mM KOH/ mOhm cm2],"",0)</f>
        <v>#REF!</v>
      </c>
      <c r="AF292" s="69" t="e" cm="1">
        <f t="array" ref="AF292">_xlfn.XLOOKUP(Table1[[#This Row],[5 cm2 cell test code]:[5 cm2 cell test code]],[1]!Table1[[Test code]:[Test code]],[1]!Table1[Ionic resistance DIW/Ohm cm2],"",0)</f>
        <v>#REF!</v>
      </c>
      <c r="AG292" s="69" t="e" cm="1">
        <f t="array" ref="AG292">_xlfn.XLOOKUP(Table1[[#This Row],[5 cm2 cell test code]:[5 cm2 cell test code]],[1]!Table1[[Test code]:[Test code]],[1]!Table1[Q_int_frac DIW],"",0)</f>
        <v>#REF!</v>
      </c>
      <c r="AH292" s="69" t="e" cm="1">
        <f t="array" ref="AH292">_xlfn.XLOOKUP(Table1[[#This Row],[5 cm2 cell test code]:[5 cm2 cell test code]],[1]!Table1[[Test code]:[Test code]],[1]!Table1[Ionic resistance 10 mM KOH/Ohm cm2],"",0)</f>
        <v>#REF!</v>
      </c>
      <c r="AI292" s="69" t="e" cm="1">
        <f t="array" ref="AI292">_xlfn.XLOOKUP(Table1[[#This Row],[5 cm2 cell test code]:[5 cm2 cell test code]],[1]!Table1[[Test code]:[Test code]],[1]!Table1[Q_int_frac DIW 10 mM KOH],"",0)</f>
        <v>#REF!</v>
      </c>
      <c r="AJ292" s="69" t="e" cm="1">
        <f t="array" ref="AJ292">_xlfn.XLOOKUP(Table1[[#This Row],[5 cm2 cell test code]:[5 cm2 cell test code]],[1]!Table1[[Test code]:[Test code]],[1]!Table1[DIW conductivity (µS/cm)],"",0)</f>
        <v>#REF!</v>
      </c>
      <c r="AQ292" s="4" t="str">
        <v>VSG01A-23279E1.01</v>
      </c>
    </row>
    <row r="293" spans="1:48" s="112" customFormat="1">
      <c r="A293" s="109"/>
      <c r="B293" s="110" t="s">
        <v>592</v>
      </c>
      <c r="C293" s="111" t="s">
        <v>593</v>
      </c>
      <c r="I293" s="110" t="s">
        <v>114</v>
      </c>
      <c r="J293" s="110" t="s">
        <v>402</v>
      </c>
      <c r="K293" s="43" t="s">
        <v>59</v>
      </c>
      <c r="L293" s="110"/>
      <c r="M293" s="113">
        <f>(1.4183-1.4226)*1000/(4.02*3.92)</f>
        <v>-0.27287034216672967</v>
      </c>
      <c r="N293" s="113"/>
      <c r="O293" s="114"/>
      <c r="P293" s="141">
        <f>(0.5415-0.5338)*1000/(2.5*2.5)</f>
        <v>1.2319999999999887</v>
      </c>
      <c r="R293" s="112">
        <v>1.1499999999999999</v>
      </c>
      <c r="S293" s="112">
        <v>232.82</v>
      </c>
      <c r="T293" s="112">
        <v>33.72</v>
      </c>
      <c r="U293" s="101" t="s">
        <v>594</v>
      </c>
      <c r="V293" t="s">
        <v>595</v>
      </c>
      <c r="W293" s="69" t="e" cm="1">
        <f t="array" ref="W293">_xlfn.XLOOKUP(Table1[[#This Row],[5 cm2 cell test code]:[5 cm2 cell test code]],[1]!Table1[[Test code]:[Test code]],[1]!Table1[i @ 1.8 V DIW (A/cm2)],"",0)</f>
        <v>#REF!</v>
      </c>
      <c r="X293" s="69" t="e" cm="1">
        <f t="array" ref="X293">_xlfn.XLOOKUP(Table1[[#This Row],[5 cm2 cell test code]:[5 cm2 cell test code]],[1]!Table1[[Test code]:[Test code]],[1]!Table1[i @ 1.8 V 10 mM KOH (A/cm2)],"",0)</f>
        <v>#REF!</v>
      </c>
      <c r="Y293" s="69" t="e" cm="1">
        <f t="array" ref="Y293">_xlfn.XLOOKUP(Table1[[#This Row],[5 cm2 cell test code]:[5 cm2 cell test code]],[1]!Table1[[Test code]:[Test code]],[1]!Table1[3-E ƞ at 20mAcm-2 (mV)],"",0)</f>
        <v>#REF!</v>
      </c>
      <c r="Z293" s="69" t="e" cm="1">
        <f t="array" ref="Z293">_xlfn.XLOOKUP(Table1[[#This Row],[5 cm2 cell test code]:[5 cm2 cell test code]],[1]!Table1[[Test code]:[Test code]],[1]!Table1[3-E Tafel slope (mV/dec)],"",0)</f>
        <v>#REF!</v>
      </c>
      <c r="AA293" s="69" t="e" cm="1">
        <f t="array" ref="AA293">_xlfn.XLOOKUP(Table1[[#This Row],[5 cm2 cell test code]:[5 cm2 cell test code]],[1]!Table1[[Test code]:[Test code]],[1]!Table1[E @ 100 mA/cm2 DIW/V],"",0)</f>
        <v>#REF!</v>
      </c>
      <c r="AB293" s="69" t="e" cm="1">
        <f t="array" ref="AB293">_xlfn.XLOOKUP(Table1[[#This Row],[5 cm2 cell test code]:[5 cm2 cell test code]],[1]!Table1[[Test code]:[Test code]],[1]!Table1[E @ 100 mA/cm2 10 mM KOH/V],"",0)</f>
        <v>#REF!</v>
      </c>
      <c r="AC293" s="69" t="e" cm="1">
        <f t="array" ref="AC293">_xlfn.XLOOKUP(Table1[[#This Row],[5 cm2 cell test code]:[5 cm2 cell test code]],[1]!Table1[[Test code]:[Test code]],[1]!Table1[Anode ICR/mOhm],"",0)</f>
        <v>#REF!</v>
      </c>
      <c r="AD293" s="69" t="e" cm="1">
        <f t="array" ref="AD293">_xlfn.XLOOKUP(Table1[[#This Row],[5 cm2 cell test code]:[5 cm2 cell test code]],[1]!Table1[[Test code]:[Test code]],[1]!Table1[HFR DIW/ mOhm cm2],"",0)</f>
        <v>#REF!</v>
      </c>
      <c r="AE293" s="69" t="e" cm="1">
        <f t="array" ref="AE293">_xlfn.XLOOKUP(Table1[[#This Row],[5 cm2 cell test code]:[5 cm2 cell test code]],[1]!Table1[[Test code]:[Test code]],[1]!Table1[HFR 10 mM KOH/ mOhm cm2],"",0)</f>
        <v>#REF!</v>
      </c>
      <c r="AF293" s="69" t="e" cm="1">
        <f t="array" ref="AF293">_xlfn.XLOOKUP(Table1[[#This Row],[5 cm2 cell test code]:[5 cm2 cell test code]],[1]!Table1[[Test code]:[Test code]],[1]!Table1[Ionic resistance DIW/Ohm cm2],"",0)</f>
        <v>#REF!</v>
      </c>
      <c r="AG293" s="69" t="e" cm="1">
        <f t="array" ref="AG293">_xlfn.XLOOKUP(Table1[[#This Row],[5 cm2 cell test code]:[5 cm2 cell test code]],[1]!Table1[[Test code]:[Test code]],[1]!Table1[Q_int_frac DIW],"",0)</f>
        <v>#REF!</v>
      </c>
      <c r="AH293" s="69" t="e" cm="1">
        <f t="array" ref="AH293">_xlfn.XLOOKUP(Table1[[#This Row],[5 cm2 cell test code]:[5 cm2 cell test code]],[1]!Table1[[Test code]:[Test code]],[1]!Table1[Ionic resistance 10 mM KOH/Ohm cm2],"",0)</f>
        <v>#REF!</v>
      </c>
      <c r="AI293" s="69" t="e" cm="1">
        <f t="array" ref="AI293">_xlfn.XLOOKUP(Table1[[#This Row],[5 cm2 cell test code]:[5 cm2 cell test code]],[1]!Table1[[Test code]:[Test code]],[1]!Table1[Q_int_frac DIW 10 mM KOH],"",0)</f>
        <v>#REF!</v>
      </c>
      <c r="AJ293" s="69" t="e" cm="1">
        <f t="array" ref="AJ293">_xlfn.XLOOKUP(Table1[[#This Row],[5 cm2 cell test code]:[5 cm2 cell test code]],[1]!Table1[[Test code]:[Test code]],[1]!Table1[DIW conductivity (µS/cm)],"",0)</f>
        <v>#REF!</v>
      </c>
      <c r="AQ293" s="112" t="str">
        <v>VSG01A-23282E1.01</v>
      </c>
      <c r="AR293" s="115"/>
      <c r="AS293" s="115"/>
      <c r="AT293" s="115"/>
      <c r="AU293" s="115"/>
      <c r="AV293" s="115"/>
    </row>
    <row r="294" spans="1:48">
      <c r="A294" s="88"/>
      <c r="B294" s="89" t="s">
        <v>596</v>
      </c>
      <c r="C294" s="90" t="s">
        <v>597</v>
      </c>
      <c r="D294" s="90"/>
      <c r="E294" s="90"/>
      <c r="F294" s="90"/>
      <c r="G294" s="90"/>
      <c r="H294" s="90"/>
      <c r="I294" s="89" t="s">
        <v>114</v>
      </c>
      <c r="J294" s="89" t="s">
        <v>402</v>
      </c>
      <c r="K294" s="43" t="s">
        <v>59</v>
      </c>
      <c r="L294" s="89"/>
      <c r="M294" s="91">
        <f>(1.3622-1.4338)*1000/(4.01*3.99)</f>
        <v>-4.475027968924798</v>
      </c>
      <c r="N294" s="91"/>
      <c r="O294" s="89"/>
      <c r="P294" s="139"/>
      <c r="Q294" s="90"/>
      <c r="R294" s="90">
        <v>1.268</v>
      </c>
      <c r="S294" s="90">
        <v>231.57</v>
      </c>
      <c r="T294" s="90">
        <v>33.61</v>
      </c>
      <c r="U294" s="102"/>
      <c r="V294" s="102"/>
      <c r="W294" s="69" t="e" cm="1">
        <f t="array" ref="W294">_xlfn.XLOOKUP(Table1[[#This Row],[5 cm2 cell test code]:[5 cm2 cell test code]],[1]!Table1[[Test code]:[Test code]],[1]!Table1[i @ 1.8 V DIW (A/cm2)],"",0)</f>
        <v>#REF!</v>
      </c>
      <c r="X294" s="69" t="e" cm="1">
        <f t="array" ref="X294">_xlfn.XLOOKUP(Table1[[#This Row],[5 cm2 cell test code]:[5 cm2 cell test code]],[1]!Table1[[Test code]:[Test code]],[1]!Table1[i @ 1.8 V 10 mM KOH (A/cm2)],"",0)</f>
        <v>#REF!</v>
      </c>
      <c r="Y294" s="69" t="e" cm="1">
        <f t="array" ref="Y294">_xlfn.XLOOKUP(Table1[[#This Row],[5 cm2 cell test code]:[5 cm2 cell test code]],[1]!Table1[[Test code]:[Test code]],[1]!Table1[3-E ƞ at 20mAcm-2 (mV)],"",0)</f>
        <v>#REF!</v>
      </c>
      <c r="Z294" s="69" t="e" cm="1">
        <f t="array" ref="Z294">_xlfn.XLOOKUP(Table1[[#This Row],[5 cm2 cell test code]:[5 cm2 cell test code]],[1]!Table1[[Test code]:[Test code]],[1]!Table1[3-E Tafel slope (mV/dec)],"",0)</f>
        <v>#REF!</v>
      </c>
      <c r="AA294" s="69" t="e" cm="1">
        <f t="array" ref="AA294">_xlfn.XLOOKUP(Table1[[#This Row],[5 cm2 cell test code]:[5 cm2 cell test code]],[1]!Table1[[Test code]:[Test code]],[1]!Table1[E @ 100 mA/cm2 DIW/V],"",0)</f>
        <v>#REF!</v>
      </c>
      <c r="AB294" s="69" t="e" cm="1">
        <f t="array" ref="AB294">_xlfn.XLOOKUP(Table1[[#This Row],[5 cm2 cell test code]:[5 cm2 cell test code]],[1]!Table1[[Test code]:[Test code]],[1]!Table1[E @ 100 mA/cm2 10 mM KOH/V],"",0)</f>
        <v>#REF!</v>
      </c>
      <c r="AC294" s="69" t="e" cm="1">
        <f t="array" ref="AC294">_xlfn.XLOOKUP(Table1[[#This Row],[5 cm2 cell test code]:[5 cm2 cell test code]],[1]!Table1[[Test code]:[Test code]],[1]!Table1[Anode ICR/mOhm],"",0)</f>
        <v>#REF!</v>
      </c>
      <c r="AD294" s="69" t="e" cm="1">
        <f t="array" ref="AD294">_xlfn.XLOOKUP(Table1[[#This Row],[5 cm2 cell test code]:[5 cm2 cell test code]],[1]!Table1[[Test code]:[Test code]],[1]!Table1[HFR DIW/ mOhm cm2],"",0)</f>
        <v>#REF!</v>
      </c>
      <c r="AE294" s="69" t="e" cm="1">
        <f t="array" ref="AE294">_xlfn.XLOOKUP(Table1[[#This Row],[5 cm2 cell test code]:[5 cm2 cell test code]],[1]!Table1[[Test code]:[Test code]],[1]!Table1[HFR 10 mM KOH/ mOhm cm2],"",0)</f>
        <v>#REF!</v>
      </c>
      <c r="AF294" s="69" t="e" cm="1">
        <f t="array" ref="AF294">_xlfn.XLOOKUP(Table1[[#This Row],[5 cm2 cell test code]:[5 cm2 cell test code]],[1]!Table1[[Test code]:[Test code]],[1]!Table1[Ionic resistance DIW/Ohm cm2],"",0)</f>
        <v>#REF!</v>
      </c>
      <c r="AG294" s="69" t="e" cm="1">
        <f t="array" ref="AG294">_xlfn.XLOOKUP(Table1[[#This Row],[5 cm2 cell test code]:[5 cm2 cell test code]],[1]!Table1[[Test code]:[Test code]],[1]!Table1[Q_int_frac DIW],"",0)</f>
        <v>#REF!</v>
      </c>
      <c r="AH294" s="69" t="e" cm="1">
        <f t="array" ref="AH294">_xlfn.XLOOKUP(Table1[[#This Row],[5 cm2 cell test code]:[5 cm2 cell test code]],[1]!Table1[[Test code]:[Test code]],[1]!Table1[Ionic resistance 10 mM KOH/Ohm cm2],"",0)</f>
        <v>#REF!</v>
      </c>
      <c r="AI294" s="69" t="e" cm="1">
        <f t="array" ref="AI294">_xlfn.XLOOKUP(Table1[[#This Row],[5 cm2 cell test code]:[5 cm2 cell test code]],[1]!Table1[[Test code]:[Test code]],[1]!Table1[Q_int_frac DIW 10 mM KOH],"",0)</f>
        <v>#REF!</v>
      </c>
      <c r="AJ294" s="69" t="e" cm="1">
        <f t="array" ref="AJ294">_xlfn.XLOOKUP(Table1[[#This Row],[5 cm2 cell test code]:[5 cm2 cell test code]],[1]!Table1[[Test code]:[Test code]],[1]!Table1[DIW conductivity (µS/cm)],"",0)</f>
        <v>#REF!</v>
      </c>
      <c r="AQ294" s="4" t="str">
        <v>VSG01A-23282E1.02</v>
      </c>
    </row>
    <row r="295" spans="1:48">
      <c r="A295" s="81"/>
      <c r="B295" s="107" t="s">
        <v>598</v>
      </c>
      <c r="C295" s="108" t="s">
        <v>599</v>
      </c>
      <c r="I295" s="11" t="s">
        <v>114</v>
      </c>
      <c r="J295" s="11" t="s">
        <v>402</v>
      </c>
      <c r="M295" s="13">
        <v>-0.28699999999999998</v>
      </c>
      <c r="P295" s="28">
        <v>1.306</v>
      </c>
      <c r="Q295" s="135">
        <v>9.3559165555949578E-2</v>
      </c>
      <c r="U295" s="101"/>
      <c r="V295" s="101"/>
      <c r="W295" s="69" t="e" cm="1">
        <f t="array" ref="W295">_xlfn.XLOOKUP(Table1[[#This Row],[5 cm2 cell test code]:[5 cm2 cell test code]],[1]!Table1[[Test code]:[Test code]],[1]!Table1[i @ 1.8 V DIW (A/cm2)],"",0)</f>
        <v>#REF!</v>
      </c>
      <c r="X295" s="69" t="e" cm="1">
        <f t="array" ref="X295">_xlfn.XLOOKUP(Table1[[#This Row],[5 cm2 cell test code]:[5 cm2 cell test code]],[1]!Table1[[Test code]:[Test code]],[1]!Table1[i @ 1.8 V 10 mM KOH (A/cm2)],"",0)</f>
        <v>#REF!</v>
      </c>
      <c r="Y295" s="69" t="e" cm="1">
        <f t="array" ref="Y295">_xlfn.XLOOKUP(Table1[[#This Row],[5 cm2 cell test code]:[5 cm2 cell test code]],[1]!Table1[[Test code]:[Test code]],[1]!Table1[3-E ƞ at 20mAcm-2 (mV)],"",0)</f>
        <v>#REF!</v>
      </c>
      <c r="Z295" s="69" t="e" cm="1">
        <f t="array" ref="Z295">_xlfn.XLOOKUP(Table1[[#This Row],[5 cm2 cell test code]:[5 cm2 cell test code]],[1]!Table1[[Test code]:[Test code]],[1]!Table1[3-E Tafel slope (mV/dec)],"",0)</f>
        <v>#REF!</v>
      </c>
      <c r="AA295" s="69" t="e" cm="1">
        <f t="array" ref="AA295">_xlfn.XLOOKUP(Table1[[#This Row],[5 cm2 cell test code]:[5 cm2 cell test code]],[1]!Table1[[Test code]:[Test code]],[1]!Table1[E @ 100 mA/cm2 DIW/V],"",0)</f>
        <v>#REF!</v>
      </c>
      <c r="AB295" s="69" t="e" cm="1">
        <f t="array" ref="AB295">_xlfn.XLOOKUP(Table1[[#This Row],[5 cm2 cell test code]:[5 cm2 cell test code]],[1]!Table1[[Test code]:[Test code]],[1]!Table1[E @ 100 mA/cm2 10 mM KOH/V],"",0)</f>
        <v>#REF!</v>
      </c>
      <c r="AC295" s="69" t="e" cm="1">
        <f t="array" ref="AC295">_xlfn.XLOOKUP(Table1[[#This Row],[5 cm2 cell test code]:[5 cm2 cell test code]],[1]!Table1[[Test code]:[Test code]],[1]!Table1[Anode ICR/mOhm],"",0)</f>
        <v>#REF!</v>
      </c>
      <c r="AD295" s="69" t="e" cm="1">
        <f t="array" ref="AD295">_xlfn.XLOOKUP(Table1[[#This Row],[5 cm2 cell test code]:[5 cm2 cell test code]],[1]!Table1[[Test code]:[Test code]],[1]!Table1[HFR DIW/ mOhm cm2],"",0)</f>
        <v>#REF!</v>
      </c>
      <c r="AE295" s="69" t="e" cm="1">
        <f t="array" ref="AE295">_xlfn.XLOOKUP(Table1[[#This Row],[5 cm2 cell test code]:[5 cm2 cell test code]],[1]!Table1[[Test code]:[Test code]],[1]!Table1[HFR 10 mM KOH/ mOhm cm2],"",0)</f>
        <v>#REF!</v>
      </c>
      <c r="AF295" s="69" t="e" cm="1">
        <f t="array" ref="AF295">_xlfn.XLOOKUP(Table1[[#This Row],[5 cm2 cell test code]:[5 cm2 cell test code]],[1]!Table1[[Test code]:[Test code]],[1]!Table1[Ionic resistance DIW/Ohm cm2],"",0)</f>
        <v>#REF!</v>
      </c>
      <c r="AG295" s="69" t="e" cm="1">
        <f t="array" ref="AG295">_xlfn.XLOOKUP(Table1[[#This Row],[5 cm2 cell test code]:[5 cm2 cell test code]],[1]!Table1[[Test code]:[Test code]],[1]!Table1[Q_int_frac DIW],"",0)</f>
        <v>#REF!</v>
      </c>
      <c r="AH295" s="69" t="e" cm="1">
        <f t="array" ref="AH295">_xlfn.XLOOKUP(Table1[[#This Row],[5 cm2 cell test code]:[5 cm2 cell test code]],[1]!Table1[[Test code]:[Test code]],[1]!Table1[Ionic resistance 10 mM KOH/Ohm cm2],"",0)</f>
        <v>#REF!</v>
      </c>
      <c r="AI295" s="69" t="e" cm="1">
        <f t="array" ref="AI295">_xlfn.XLOOKUP(Table1[[#This Row],[5 cm2 cell test code]:[5 cm2 cell test code]],[1]!Table1[[Test code]:[Test code]],[1]!Table1[Q_int_frac DIW 10 mM KOH],"",0)</f>
        <v>#REF!</v>
      </c>
      <c r="AJ295" s="69" t="e" cm="1">
        <f t="array" ref="AJ295">_xlfn.XLOOKUP(Table1[[#This Row],[5 cm2 cell test code]:[5 cm2 cell test code]],[1]!Table1[[Test code]:[Test code]],[1]!Table1[DIW conductivity (µS/cm)],"",0)</f>
        <v>#REF!</v>
      </c>
      <c r="AQ295" s="4" t="str">
        <v>VSG01A-23282E1.03</v>
      </c>
    </row>
    <row r="296" spans="1:48">
      <c r="A296" s="81"/>
      <c r="B296" s="107" t="s">
        <v>600</v>
      </c>
      <c r="C296" s="4" t="s">
        <v>536</v>
      </c>
      <c r="K296" s="43" t="s">
        <v>59</v>
      </c>
      <c r="Q296" s="135">
        <v>0.13671204667658163</v>
      </c>
      <c r="R296" s="4">
        <v>1.2410000000000001</v>
      </c>
      <c r="S296" s="4">
        <v>233.21</v>
      </c>
      <c r="T296" s="4">
        <v>36.450000000000003</v>
      </c>
      <c r="U296" s="101"/>
      <c r="V296" s="101"/>
      <c r="W296" s="69" t="e" cm="1">
        <f t="array" ref="W296">_xlfn.XLOOKUP(Table1[[#This Row],[5 cm2 cell test code]:[5 cm2 cell test code]],[1]!Table1[[Test code]:[Test code]],[1]!Table1[i @ 1.8 V DIW (A/cm2)],"",0)</f>
        <v>#REF!</v>
      </c>
      <c r="X296" s="69" t="e" cm="1">
        <f t="array" ref="X296">_xlfn.XLOOKUP(Table1[[#This Row],[5 cm2 cell test code]:[5 cm2 cell test code]],[1]!Table1[[Test code]:[Test code]],[1]!Table1[i @ 1.8 V 10 mM KOH (A/cm2)],"",0)</f>
        <v>#REF!</v>
      </c>
      <c r="Y296" s="69" t="e" cm="1">
        <f t="array" ref="Y296">_xlfn.XLOOKUP(Table1[[#This Row],[5 cm2 cell test code]:[5 cm2 cell test code]],[1]!Table1[[Test code]:[Test code]],[1]!Table1[3-E ƞ at 20mAcm-2 (mV)],"",0)</f>
        <v>#REF!</v>
      </c>
      <c r="Z296" s="69" t="e" cm="1">
        <f t="array" ref="Z296">_xlfn.XLOOKUP(Table1[[#This Row],[5 cm2 cell test code]:[5 cm2 cell test code]],[1]!Table1[[Test code]:[Test code]],[1]!Table1[3-E Tafel slope (mV/dec)],"",0)</f>
        <v>#REF!</v>
      </c>
      <c r="AA296" s="69" t="e" cm="1">
        <f t="array" ref="AA296">_xlfn.XLOOKUP(Table1[[#This Row],[5 cm2 cell test code]:[5 cm2 cell test code]],[1]!Table1[[Test code]:[Test code]],[1]!Table1[E @ 100 mA/cm2 DIW/V],"",0)</f>
        <v>#REF!</v>
      </c>
      <c r="AB296" s="69" t="e" cm="1">
        <f t="array" ref="AB296">_xlfn.XLOOKUP(Table1[[#This Row],[5 cm2 cell test code]:[5 cm2 cell test code]],[1]!Table1[[Test code]:[Test code]],[1]!Table1[E @ 100 mA/cm2 10 mM KOH/V],"",0)</f>
        <v>#REF!</v>
      </c>
      <c r="AC296" s="69" t="e" cm="1">
        <f t="array" ref="AC296">_xlfn.XLOOKUP(Table1[[#This Row],[5 cm2 cell test code]:[5 cm2 cell test code]],[1]!Table1[[Test code]:[Test code]],[1]!Table1[Anode ICR/mOhm],"",0)</f>
        <v>#REF!</v>
      </c>
      <c r="AD296" s="69" t="e" cm="1">
        <f t="array" ref="AD296">_xlfn.XLOOKUP(Table1[[#This Row],[5 cm2 cell test code]:[5 cm2 cell test code]],[1]!Table1[[Test code]:[Test code]],[1]!Table1[HFR DIW/ mOhm cm2],"",0)</f>
        <v>#REF!</v>
      </c>
      <c r="AE296" s="69" t="e" cm="1">
        <f t="array" ref="AE296">_xlfn.XLOOKUP(Table1[[#This Row],[5 cm2 cell test code]:[5 cm2 cell test code]],[1]!Table1[[Test code]:[Test code]],[1]!Table1[HFR 10 mM KOH/ mOhm cm2],"",0)</f>
        <v>#REF!</v>
      </c>
      <c r="AF296" s="69" t="e" cm="1">
        <f t="array" ref="AF296">_xlfn.XLOOKUP(Table1[[#This Row],[5 cm2 cell test code]:[5 cm2 cell test code]],[1]!Table1[[Test code]:[Test code]],[1]!Table1[Ionic resistance DIW/Ohm cm2],"",0)</f>
        <v>#REF!</v>
      </c>
      <c r="AG296" s="69" t="e" cm="1">
        <f t="array" ref="AG296">_xlfn.XLOOKUP(Table1[[#This Row],[5 cm2 cell test code]:[5 cm2 cell test code]],[1]!Table1[[Test code]:[Test code]],[1]!Table1[Q_int_frac DIW],"",0)</f>
        <v>#REF!</v>
      </c>
      <c r="AH296" s="69" t="e" cm="1">
        <f t="array" ref="AH296">_xlfn.XLOOKUP(Table1[[#This Row],[5 cm2 cell test code]:[5 cm2 cell test code]],[1]!Table1[[Test code]:[Test code]],[1]!Table1[Ionic resistance 10 mM KOH/Ohm cm2],"",0)</f>
        <v>#REF!</v>
      </c>
      <c r="AI296" s="69" t="e" cm="1">
        <f t="array" ref="AI296">_xlfn.XLOOKUP(Table1[[#This Row],[5 cm2 cell test code]:[5 cm2 cell test code]],[1]!Table1[[Test code]:[Test code]],[1]!Table1[Q_int_frac DIW 10 mM KOH],"",0)</f>
        <v>#REF!</v>
      </c>
      <c r="AJ296" s="69" t="e" cm="1">
        <f t="array" ref="AJ296">_xlfn.XLOOKUP(Table1[[#This Row],[5 cm2 cell test code]:[5 cm2 cell test code]],[1]!Table1[[Test code]:[Test code]],[1]!Table1[DIW conductivity (µS/cm)],"",0)</f>
        <v>#REF!</v>
      </c>
      <c r="AQ296" s="4" t="str">
        <v>VSG01A-23282E1.03-01</v>
      </c>
    </row>
    <row r="297" spans="1:48">
      <c r="A297" s="81"/>
      <c r="B297" s="107" t="s">
        <v>601</v>
      </c>
      <c r="C297" s="4" t="s">
        <v>536</v>
      </c>
      <c r="K297" s="43" t="s">
        <v>59</v>
      </c>
      <c r="Q297" s="135">
        <v>8.7784837861524981E-2</v>
      </c>
      <c r="R297" s="4">
        <v>1.1120000000000001</v>
      </c>
      <c r="S297" s="4">
        <v>226.29</v>
      </c>
      <c r="T297" s="4">
        <v>33.29</v>
      </c>
      <c r="U297" s="101"/>
      <c r="V297" s="101"/>
      <c r="W297" s="69" t="e" cm="1">
        <f t="array" ref="W297">_xlfn.XLOOKUP(Table1[[#This Row],[5 cm2 cell test code]:[5 cm2 cell test code]],[1]!Table1[[Test code]:[Test code]],[1]!Table1[i @ 1.8 V DIW (A/cm2)],"",0)</f>
        <v>#REF!</v>
      </c>
      <c r="X297" s="69" t="e" cm="1">
        <f t="array" ref="X297">_xlfn.XLOOKUP(Table1[[#This Row],[5 cm2 cell test code]:[5 cm2 cell test code]],[1]!Table1[[Test code]:[Test code]],[1]!Table1[i @ 1.8 V 10 mM KOH (A/cm2)],"",0)</f>
        <v>#REF!</v>
      </c>
      <c r="Y297" s="69" t="e" cm="1">
        <f t="array" ref="Y297">_xlfn.XLOOKUP(Table1[[#This Row],[5 cm2 cell test code]:[5 cm2 cell test code]],[1]!Table1[[Test code]:[Test code]],[1]!Table1[3-E ƞ at 20mAcm-2 (mV)],"",0)</f>
        <v>#REF!</v>
      </c>
      <c r="Z297" s="69" t="e" cm="1">
        <f t="array" ref="Z297">_xlfn.XLOOKUP(Table1[[#This Row],[5 cm2 cell test code]:[5 cm2 cell test code]],[1]!Table1[[Test code]:[Test code]],[1]!Table1[3-E Tafel slope (mV/dec)],"",0)</f>
        <v>#REF!</v>
      </c>
      <c r="AA297" s="69" t="e" cm="1">
        <f t="array" ref="AA297">_xlfn.XLOOKUP(Table1[[#This Row],[5 cm2 cell test code]:[5 cm2 cell test code]],[1]!Table1[[Test code]:[Test code]],[1]!Table1[E @ 100 mA/cm2 DIW/V],"",0)</f>
        <v>#REF!</v>
      </c>
      <c r="AB297" s="69" t="e" cm="1">
        <f t="array" ref="AB297">_xlfn.XLOOKUP(Table1[[#This Row],[5 cm2 cell test code]:[5 cm2 cell test code]],[1]!Table1[[Test code]:[Test code]],[1]!Table1[E @ 100 mA/cm2 10 mM KOH/V],"",0)</f>
        <v>#REF!</v>
      </c>
      <c r="AC297" s="69" t="e" cm="1">
        <f t="array" ref="AC297">_xlfn.XLOOKUP(Table1[[#This Row],[5 cm2 cell test code]:[5 cm2 cell test code]],[1]!Table1[[Test code]:[Test code]],[1]!Table1[Anode ICR/mOhm],"",0)</f>
        <v>#REF!</v>
      </c>
      <c r="AD297" s="69" t="e" cm="1">
        <f t="array" ref="AD297">_xlfn.XLOOKUP(Table1[[#This Row],[5 cm2 cell test code]:[5 cm2 cell test code]],[1]!Table1[[Test code]:[Test code]],[1]!Table1[HFR DIW/ mOhm cm2],"",0)</f>
        <v>#REF!</v>
      </c>
      <c r="AE297" s="69" t="e" cm="1">
        <f t="array" ref="AE297">_xlfn.XLOOKUP(Table1[[#This Row],[5 cm2 cell test code]:[5 cm2 cell test code]],[1]!Table1[[Test code]:[Test code]],[1]!Table1[HFR 10 mM KOH/ mOhm cm2],"",0)</f>
        <v>#REF!</v>
      </c>
      <c r="AF297" s="69" t="e" cm="1">
        <f t="array" ref="AF297">_xlfn.XLOOKUP(Table1[[#This Row],[5 cm2 cell test code]:[5 cm2 cell test code]],[1]!Table1[[Test code]:[Test code]],[1]!Table1[Ionic resistance DIW/Ohm cm2],"",0)</f>
        <v>#REF!</v>
      </c>
      <c r="AG297" s="69" t="e" cm="1">
        <f t="array" ref="AG297">_xlfn.XLOOKUP(Table1[[#This Row],[5 cm2 cell test code]:[5 cm2 cell test code]],[1]!Table1[[Test code]:[Test code]],[1]!Table1[Q_int_frac DIW],"",0)</f>
        <v>#REF!</v>
      </c>
      <c r="AH297" s="69" t="e" cm="1">
        <f t="array" ref="AH297">_xlfn.XLOOKUP(Table1[[#This Row],[5 cm2 cell test code]:[5 cm2 cell test code]],[1]!Table1[[Test code]:[Test code]],[1]!Table1[Ionic resistance 10 mM KOH/Ohm cm2],"",0)</f>
        <v>#REF!</v>
      </c>
      <c r="AI297" s="69" t="e" cm="1">
        <f t="array" ref="AI297">_xlfn.XLOOKUP(Table1[[#This Row],[5 cm2 cell test code]:[5 cm2 cell test code]],[1]!Table1[[Test code]:[Test code]],[1]!Table1[Q_int_frac DIW 10 mM KOH],"",0)</f>
        <v>#REF!</v>
      </c>
      <c r="AJ297" s="69" t="e" cm="1">
        <f t="array" ref="AJ297">_xlfn.XLOOKUP(Table1[[#This Row],[5 cm2 cell test code]:[5 cm2 cell test code]],[1]!Table1[[Test code]:[Test code]],[1]!Table1[DIW conductivity (µS/cm)],"",0)</f>
        <v>#REF!</v>
      </c>
      <c r="AQ297" s="4" t="str">
        <v>VSG01A-23282E1.03-02</v>
      </c>
    </row>
    <row r="298" spans="1:48">
      <c r="A298" s="81"/>
      <c r="B298" s="11" t="s">
        <v>602</v>
      </c>
      <c r="C298" s="4" t="s">
        <v>603</v>
      </c>
      <c r="I298" s="11" t="s">
        <v>114</v>
      </c>
      <c r="J298" s="11" t="s">
        <v>402</v>
      </c>
      <c r="K298" s="43" t="s">
        <v>59</v>
      </c>
      <c r="M298" s="13">
        <f>(9.09-8.99)*1000/(10*10)</f>
        <v>0.99999999999999645</v>
      </c>
      <c r="N298" s="13">
        <v>2.8393939393939398</v>
      </c>
      <c r="Q298" s="135">
        <v>7.4434280599294494E-2</v>
      </c>
      <c r="U298" s="101"/>
      <c r="V298" s="101"/>
      <c r="W298" s="69" t="e" cm="1">
        <f t="array" ref="W298">_xlfn.XLOOKUP(Table1[[#This Row],[5 cm2 cell test code]:[5 cm2 cell test code]],[1]!Table1[[Test code]:[Test code]],[1]!Table1[i @ 1.8 V DIW (A/cm2)],"",0)</f>
        <v>#REF!</v>
      </c>
      <c r="X298" s="69" t="e" cm="1">
        <f t="array" ref="X298">_xlfn.XLOOKUP(Table1[[#This Row],[5 cm2 cell test code]:[5 cm2 cell test code]],[1]!Table1[[Test code]:[Test code]],[1]!Table1[i @ 1.8 V 10 mM KOH (A/cm2)],"",0)</f>
        <v>#REF!</v>
      </c>
      <c r="Y298" s="69" t="e" cm="1">
        <f t="array" ref="Y298">_xlfn.XLOOKUP(Table1[[#This Row],[5 cm2 cell test code]:[5 cm2 cell test code]],[1]!Table1[[Test code]:[Test code]],[1]!Table1[3-E ƞ at 20mAcm-2 (mV)],"",0)</f>
        <v>#REF!</v>
      </c>
      <c r="Z298" s="69" t="e" cm="1">
        <f t="array" ref="Z298">_xlfn.XLOOKUP(Table1[[#This Row],[5 cm2 cell test code]:[5 cm2 cell test code]],[1]!Table1[[Test code]:[Test code]],[1]!Table1[3-E Tafel slope (mV/dec)],"",0)</f>
        <v>#REF!</v>
      </c>
      <c r="AA298" s="69" t="e" cm="1">
        <f t="array" ref="AA298">_xlfn.XLOOKUP(Table1[[#This Row],[5 cm2 cell test code]:[5 cm2 cell test code]],[1]!Table1[[Test code]:[Test code]],[1]!Table1[E @ 100 mA/cm2 DIW/V],"",0)</f>
        <v>#REF!</v>
      </c>
      <c r="AB298" s="69" t="e" cm="1">
        <f t="array" ref="AB298">_xlfn.XLOOKUP(Table1[[#This Row],[5 cm2 cell test code]:[5 cm2 cell test code]],[1]!Table1[[Test code]:[Test code]],[1]!Table1[E @ 100 mA/cm2 10 mM KOH/V],"",0)</f>
        <v>#REF!</v>
      </c>
      <c r="AC298" s="69" t="e" cm="1">
        <f t="array" ref="AC298">_xlfn.XLOOKUP(Table1[[#This Row],[5 cm2 cell test code]:[5 cm2 cell test code]],[1]!Table1[[Test code]:[Test code]],[1]!Table1[Anode ICR/mOhm],"",0)</f>
        <v>#REF!</v>
      </c>
      <c r="AD298" s="69" t="e" cm="1">
        <f t="array" ref="AD298">_xlfn.XLOOKUP(Table1[[#This Row],[5 cm2 cell test code]:[5 cm2 cell test code]],[1]!Table1[[Test code]:[Test code]],[1]!Table1[HFR DIW/ mOhm cm2],"",0)</f>
        <v>#REF!</v>
      </c>
      <c r="AE298" s="69" t="e" cm="1">
        <f t="array" ref="AE298">_xlfn.XLOOKUP(Table1[[#This Row],[5 cm2 cell test code]:[5 cm2 cell test code]],[1]!Table1[[Test code]:[Test code]],[1]!Table1[HFR 10 mM KOH/ mOhm cm2],"",0)</f>
        <v>#REF!</v>
      </c>
      <c r="AF298" s="69" t="e" cm="1">
        <f t="array" ref="AF298">_xlfn.XLOOKUP(Table1[[#This Row],[5 cm2 cell test code]:[5 cm2 cell test code]],[1]!Table1[[Test code]:[Test code]],[1]!Table1[Ionic resistance DIW/Ohm cm2],"",0)</f>
        <v>#REF!</v>
      </c>
      <c r="AG298" s="69" t="e" cm="1">
        <f t="array" ref="AG298">_xlfn.XLOOKUP(Table1[[#This Row],[5 cm2 cell test code]:[5 cm2 cell test code]],[1]!Table1[[Test code]:[Test code]],[1]!Table1[Q_int_frac DIW],"",0)</f>
        <v>#REF!</v>
      </c>
      <c r="AH298" s="69" t="e" cm="1">
        <f t="array" ref="AH298">_xlfn.XLOOKUP(Table1[[#This Row],[5 cm2 cell test code]:[5 cm2 cell test code]],[1]!Table1[[Test code]:[Test code]],[1]!Table1[Ionic resistance 10 mM KOH/Ohm cm2],"",0)</f>
        <v>#REF!</v>
      </c>
      <c r="AI298" s="69" t="e" cm="1">
        <f t="array" ref="AI298">_xlfn.XLOOKUP(Table1[[#This Row],[5 cm2 cell test code]:[5 cm2 cell test code]],[1]!Table1[[Test code]:[Test code]],[1]!Table1[Q_int_frac DIW 10 mM KOH],"",0)</f>
        <v>#REF!</v>
      </c>
      <c r="AJ298" s="69" t="e" cm="1">
        <f t="array" ref="AJ298">_xlfn.XLOOKUP(Table1[[#This Row],[5 cm2 cell test code]:[5 cm2 cell test code]],[1]!Table1[[Test code]:[Test code]],[1]!Table1[DIW conductivity (µS/cm)],"",0)</f>
        <v>#REF!</v>
      </c>
      <c r="AQ298" s="4" t="str">
        <v>VSG01A-23282E1.03-03</v>
      </c>
    </row>
    <row r="299" spans="1:48">
      <c r="A299" s="81"/>
      <c r="B299" s="12" t="s">
        <v>604</v>
      </c>
      <c r="C299" s="4" t="s">
        <v>605</v>
      </c>
      <c r="K299" s="43" t="s">
        <v>59</v>
      </c>
      <c r="P299" s="28">
        <v>1.28</v>
      </c>
      <c r="Q299" s="135">
        <v>6.0265894714270407E-2</v>
      </c>
      <c r="U299" s="101" t="s">
        <v>606</v>
      </c>
      <c r="V299" t="s">
        <v>607</v>
      </c>
      <c r="W299" s="69" t="e" cm="1">
        <f t="array" ref="W299">_xlfn.XLOOKUP(Table1[[#This Row],[5 cm2 cell test code]:[5 cm2 cell test code]],[1]!Table1[[Test code]:[Test code]],[1]!Table1[i @ 1.8 V DIW (A/cm2)],"",0)</f>
        <v>#REF!</v>
      </c>
      <c r="X299" s="69" t="e" cm="1">
        <f t="array" ref="X299">_xlfn.XLOOKUP(Table1[[#This Row],[5 cm2 cell test code]:[5 cm2 cell test code]],[1]!Table1[[Test code]:[Test code]],[1]!Table1[i @ 1.8 V 10 mM KOH (A/cm2)],"",0)</f>
        <v>#REF!</v>
      </c>
      <c r="Y299" s="69" t="e" cm="1">
        <f t="array" ref="Y299">_xlfn.XLOOKUP(Table1[[#This Row],[5 cm2 cell test code]:[5 cm2 cell test code]],[1]!Table1[[Test code]:[Test code]],[1]!Table1[3-E ƞ at 20mAcm-2 (mV)],"",0)</f>
        <v>#REF!</v>
      </c>
      <c r="Z299" s="69" t="e" cm="1">
        <f t="array" ref="Z299">_xlfn.XLOOKUP(Table1[[#This Row],[5 cm2 cell test code]:[5 cm2 cell test code]],[1]!Table1[[Test code]:[Test code]],[1]!Table1[3-E Tafel slope (mV/dec)],"",0)</f>
        <v>#REF!</v>
      </c>
      <c r="AA299" s="69" t="e" cm="1">
        <f t="array" ref="AA299">_xlfn.XLOOKUP(Table1[[#This Row],[5 cm2 cell test code]:[5 cm2 cell test code]],[1]!Table1[[Test code]:[Test code]],[1]!Table1[E @ 100 mA/cm2 DIW/V],"",0)</f>
        <v>#REF!</v>
      </c>
      <c r="AB299" s="69" t="e" cm="1">
        <f t="array" ref="AB299">_xlfn.XLOOKUP(Table1[[#This Row],[5 cm2 cell test code]:[5 cm2 cell test code]],[1]!Table1[[Test code]:[Test code]],[1]!Table1[E @ 100 mA/cm2 10 mM KOH/V],"",0)</f>
        <v>#REF!</v>
      </c>
      <c r="AC299" s="69" t="e" cm="1">
        <f t="array" ref="AC299">_xlfn.XLOOKUP(Table1[[#This Row],[5 cm2 cell test code]:[5 cm2 cell test code]],[1]!Table1[[Test code]:[Test code]],[1]!Table1[Anode ICR/mOhm],"",0)</f>
        <v>#REF!</v>
      </c>
      <c r="AD299" s="69" t="e" cm="1">
        <f t="array" ref="AD299">_xlfn.XLOOKUP(Table1[[#This Row],[5 cm2 cell test code]:[5 cm2 cell test code]],[1]!Table1[[Test code]:[Test code]],[1]!Table1[HFR DIW/ mOhm cm2],"",0)</f>
        <v>#REF!</v>
      </c>
      <c r="AE299" s="69" t="e" cm="1">
        <f t="array" ref="AE299">_xlfn.XLOOKUP(Table1[[#This Row],[5 cm2 cell test code]:[5 cm2 cell test code]],[1]!Table1[[Test code]:[Test code]],[1]!Table1[HFR 10 mM KOH/ mOhm cm2],"",0)</f>
        <v>#REF!</v>
      </c>
      <c r="AF299" s="69" t="e" cm="1">
        <f t="array" ref="AF299">_xlfn.XLOOKUP(Table1[[#This Row],[5 cm2 cell test code]:[5 cm2 cell test code]],[1]!Table1[[Test code]:[Test code]],[1]!Table1[Ionic resistance DIW/Ohm cm2],"",0)</f>
        <v>#REF!</v>
      </c>
      <c r="AG299" s="69" t="e" cm="1">
        <f t="array" ref="AG299">_xlfn.XLOOKUP(Table1[[#This Row],[5 cm2 cell test code]:[5 cm2 cell test code]],[1]!Table1[[Test code]:[Test code]],[1]!Table1[Q_int_frac DIW],"",0)</f>
        <v>#REF!</v>
      </c>
      <c r="AH299" s="69" t="e" cm="1">
        <f t="array" ref="AH299">_xlfn.XLOOKUP(Table1[[#This Row],[5 cm2 cell test code]:[5 cm2 cell test code]],[1]!Table1[[Test code]:[Test code]],[1]!Table1[Ionic resistance 10 mM KOH/Ohm cm2],"",0)</f>
        <v>#REF!</v>
      </c>
      <c r="AI299" s="69" t="e" cm="1">
        <f t="array" ref="AI299">_xlfn.XLOOKUP(Table1[[#This Row],[5 cm2 cell test code]:[5 cm2 cell test code]],[1]!Table1[[Test code]:[Test code]],[1]!Table1[Q_int_frac DIW 10 mM KOH],"",0)</f>
        <v>#REF!</v>
      </c>
      <c r="AJ299" s="69" t="e" cm="1">
        <f t="array" ref="AJ299">_xlfn.XLOOKUP(Table1[[#This Row],[5 cm2 cell test code]:[5 cm2 cell test code]],[1]!Table1[[Test code]:[Test code]],[1]!Table1[DIW conductivity (µS/cm)],"",0)</f>
        <v>#REF!</v>
      </c>
      <c r="AQ299" s="4" t="str">
        <v>VSG01A-23282E1.03-04</v>
      </c>
    </row>
    <row r="300" spans="1:48">
      <c r="A300" s="81"/>
      <c r="B300" s="11" t="s">
        <v>608</v>
      </c>
      <c r="C300" s="4" t="s">
        <v>609</v>
      </c>
      <c r="K300" s="43" t="s">
        <v>59</v>
      </c>
      <c r="P300" s="28">
        <v>2.528</v>
      </c>
      <c r="Q300" s="135">
        <v>6.2043795620437964E-2</v>
      </c>
      <c r="U300" s="101"/>
      <c r="V300" s="101"/>
      <c r="W300" s="69" t="e" cm="1">
        <f t="array" ref="W300">_xlfn.XLOOKUP(Table1[[#This Row],[5 cm2 cell test code]:[5 cm2 cell test code]],[1]!Table1[[Test code]:[Test code]],[1]!Table1[i @ 1.8 V DIW (A/cm2)],"",0)</f>
        <v>#REF!</v>
      </c>
      <c r="X300" s="69" t="e" cm="1">
        <f t="array" ref="X300">_xlfn.XLOOKUP(Table1[[#This Row],[5 cm2 cell test code]:[5 cm2 cell test code]],[1]!Table1[[Test code]:[Test code]],[1]!Table1[i @ 1.8 V 10 mM KOH (A/cm2)],"",0)</f>
        <v>#REF!</v>
      </c>
      <c r="Y300" s="69" t="e" cm="1">
        <f t="array" ref="Y300">_xlfn.XLOOKUP(Table1[[#This Row],[5 cm2 cell test code]:[5 cm2 cell test code]],[1]!Table1[[Test code]:[Test code]],[1]!Table1[3-E ƞ at 20mAcm-2 (mV)],"",0)</f>
        <v>#REF!</v>
      </c>
      <c r="Z300" s="69" t="e" cm="1">
        <f t="array" ref="Z300">_xlfn.XLOOKUP(Table1[[#This Row],[5 cm2 cell test code]:[5 cm2 cell test code]],[1]!Table1[[Test code]:[Test code]],[1]!Table1[3-E Tafel slope (mV/dec)],"",0)</f>
        <v>#REF!</v>
      </c>
      <c r="AA300" s="69" t="e" cm="1">
        <f t="array" ref="AA300">_xlfn.XLOOKUP(Table1[[#This Row],[5 cm2 cell test code]:[5 cm2 cell test code]],[1]!Table1[[Test code]:[Test code]],[1]!Table1[E @ 100 mA/cm2 DIW/V],"",0)</f>
        <v>#REF!</v>
      </c>
      <c r="AB300" s="69" t="e" cm="1">
        <f t="array" ref="AB300">_xlfn.XLOOKUP(Table1[[#This Row],[5 cm2 cell test code]:[5 cm2 cell test code]],[1]!Table1[[Test code]:[Test code]],[1]!Table1[E @ 100 mA/cm2 10 mM KOH/V],"",0)</f>
        <v>#REF!</v>
      </c>
      <c r="AC300" s="69" t="e" cm="1">
        <f t="array" ref="AC300">_xlfn.XLOOKUP(Table1[[#This Row],[5 cm2 cell test code]:[5 cm2 cell test code]],[1]!Table1[[Test code]:[Test code]],[1]!Table1[Anode ICR/mOhm],"",0)</f>
        <v>#REF!</v>
      </c>
      <c r="AD300" s="69" t="e" cm="1">
        <f t="array" ref="AD300">_xlfn.XLOOKUP(Table1[[#This Row],[5 cm2 cell test code]:[5 cm2 cell test code]],[1]!Table1[[Test code]:[Test code]],[1]!Table1[HFR DIW/ mOhm cm2],"",0)</f>
        <v>#REF!</v>
      </c>
      <c r="AE300" s="69" t="e" cm="1">
        <f t="array" ref="AE300">_xlfn.XLOOKUP(Table1[[#This Row],[5 cm2 cell test code]:[5 cm2 cell test code]],[1]!Table1[[Test code]:[Test code]],[1]!Table1[HFR 10 mM KOH/ mOhm cm2],"",0)</f>
        <v>#REF!</v>
      </c>
      <c r="AF300" s="69" t="e" cm="1">
        <f t="array" ref="AF300">_xlfn.XLOOKUP(Table1[[#This Row],[5 cm2 cell test code]:[5 cm2 cell test code]],[1]!Table1[[Test code]:[Test code]],[1]!Table1[Ionic resistance DIW/Ohm cm2],"",0)</f>
        <v>#REF!</v>
      </c>
      <c r="AG300" s="69" t="e" cm="1">
        <f t="array" ref="AG300">_xlfn.XLOOKUP(Table1[[#This Row],[5 cm2 cell test code]:[5 cm2 cell test code]],[1]!Table1[[Test code]:[Test code]],[1]!Table1[Q_int_frac DIW],"",0)</f>
        <v>#REF!</v>
      </c>
      <c r="AH300" s="69" t="e" cm="1">
        <f t="array" ref="AH300">_xlfn.XLOOKUP(Table1[[#This Row],[5 cm2 cell test code]:[5 cm2 cell test code]],[1]!Table1[[Test code]:[Test code]],[1]!Table1[Ionic resistance 10 mM KOH/Ohm cm2],"",0)</f>
        <v>#REF!</v>
      </c>
      <c r="AI300" s="69" t="e" cm="1">
        <f t="array" ref="AI300">_xlfn.XLOOKUP(Table1[[#This Row],[5 cm2 cell test code]:[5 cm2 cell test code]],[1]!Table1[[Test code]:[Test code]],[1]!Table1[Q_int_frac DIW 10 mM KOH],"",0)</f>
        <v>#REF!</v>
      </c>
      <c r="AJ300" s="69" t="e" cm="1">
        <f t="array" ref="AJ300">_xlfn.XLOOKUP(Table1[[#This Row],[5 cm2 cell test code]:[5 cm2 cell test code]],[1]!Table1[[Test code]:[Test code]],[1]!Table1[DIW conductivity (µS/cm)],"",0)</f>
        <v>#REF!</v>
      </c>
      <c r="AQ300" s="4" t="str">
        <v>VSG01A-23282E1.03-05</v>
      </c>
    </row>
    <row r="301" spans="1:48">
      <c r="A301" s="81"/>
      <c r="B301" s="12" t="s">
        <v>610</v>
      </c>
      <c r="C301" s="4" t="s">
        <v>605</v>
      </c>
      <c r="K301" s="43" t="s">
        <v>59</v>
      </c>
      <c r="P301" s="28">
        <v>1.8720000000000001</v>
      </c>
      <c r="Q301" s="135">
        <v>7.6716808371484632E-2</v>
      </c>
      <c r="U301" s="101" t="s">
        <v>611</v>
      </c>
      <c r="V301" t="s">
        <v>612</v>
      </c>
      <c r="W301" s="69" t="e" cm="1">
        <f t="array" ref="W301">_xlfn.XLOOKUP(Table1[[#This Row],[5 cm2 cell test code]:[5 cm2 cell test code]],[1]!Table1[[Test code]:[Test code]],[1]!Table1[i @ 1.8 V DIW (A/cm2)],"",0)</f>
        <v>#REF!</v>
      </c>
      <c r="X301" s="69" t="e" cm="1">
        <f t="array" ref="X301">_xlfn.XLOOKUP(Table1[[#This Row],[5 cm2 cell test code]:[5 cm2 cell test code]],[1]!Table1[[Test code]:[Test code]],[1]!Table1[i @ 1.8 V 10 mM KOH (A/cm2)],"",0)</f>
        <v>#REF!</v>
      </c>
      <c r="Y301" s="69" t="e" cm="1">
        <f t="array" ref="Y301">_xlfn.XLOOKUP(Table1[[#This Row],[5 cm2 cell test code]:[5 cm2 cell test code]],[1]!Table1[[Test code]:[Test code]],[1]!Table1[3-E ƞ at 20mAcm-2 (mV)],"",0)</f>
        <v>#REF!</v>
      </c>
      <c r="Z301" s="69" t="e" cm="1">
        <f t="array" ref="Z301">_xlfn.XLOOKUP(Table1[[#This Row],[5 cm2 cell test code]:[5 cm2 cell test code]],[1]!Table1[[Test code]:[Test code]],[1]!Table1[3-E Tafel slope (mV/dec)],"",0)</f>
        <v>#REF!</v>
      </c>
      <c r="AA301" s="69" t="e" cm="1">
        <f t="array" ref="AA301">_xlfn.XLOOKUP(Table1[[#This Row],[5 cm2 cell test code]:[5 cm2 cell test code]],[1]!Table1[[Test code]:[Test code]],[1]!Table1[E @ 100 mA/cm2 DIW/V],"",0)</f>
        <v>#REF!</v>
      </c>
      <c r="AB301" s="69" t="e" cm="1">
        <f t="array" ref="AB301">_xlfn.XLOOKUP(Table1[[#This Row],[5 cm2 cell test code]:[5 cm2 cell test code]],[1]!Table1[[Test code]:[Test code]],[1]!Table1[E @ 100 mA/cm2 10 mM KOH/V],"",0)</f>
        <v>#REF!</v>
      </c>
      <c r="AC301" s="69" t="e" cm="1">
        <f t="array" ref="AC301">_xlfn.XLOOKUP(Table1[[#This Row],[5 cm2 cell test code]:[5 cm2 cell test code]],[1]!Table1[[Test code]:[Test code]],[1]!Table1[Anode ICR/mOhm],"",0)</f>
        <v>#REF!</v>
      </c>
      <c r="AD301" s="69" t="e" cm="1">
        <f t="array" ref="AD301">_xlfn.XLOOKUP(Table1[[#This Row],[5 cm2 cell test code]:[5 cm2 cell test code]],[1]!Table1[[Test code]:[Test code]],[1]!Table1[HFR DIW/ mOhm cm2],"",0)</f>
        <v>#REF!</v>
      </c>
      <c r="AE301" s="69" t="e" cm="1">
        <f t="array" ref="AE301">_xlfn.XLOOKUP(Table1[[#This Row],[5 cm2 cell test code]:[5 cm2 cell test code]],[1]!Table1[[Test code]:[Test code]],[1]!Table1[HFR 10 mM KOH/ mOhm cm2],"",0)</f>
        <v>#REF!</v>
      </c>
      <c r="AF301" s="69" t="e" cm="1">
        <f t="array" ref="AF301">_xlfn.XLOOKUP(Table1[[#This Row],[5 cm2 cell test code]:[5 cm2 cell test code]],[1]!Table1[[Test code]:[Test code]],[1]!Table1[Ionic resistance DIW/Ohm cm2],"",0)</f>
        <v>#REF!</v>
      </c>
      <c r="AG301" s="69" t="e" cm="1">
        <f t="array" ref="AG301">_xlfn.XLOOKUP(Table1[[#This Row],[5 cm2 cell test code]:[5 cm2 cell test code]],[1]!Table1[[Test code]:[Test code]],[1]!Table1[Q_int_frac DIW],"",0)</f>
        <v>#REF!</v>
      </c>
      <c r="AH301" s="69" t="e" cm="1">
        <f t="array" ref="AH301">_xlfn.XLOOKUP(Table1[[#This Row],[5 cm2 cell test code]:[5 cm2 cell test code]],[1]!Table1[[Test code]:[Test code]],[1]!Table1[Ionic resistance 10 mM KOH/Ohm cm2],"",0)</f>
        <v>#REF!</v>
      </c>
      <c r="AI301" s="69" t="e" cm="1">
        <f t="array" ref="AI301">_xlfn.XLOOKUP(Table1[[#This Row],[5 cm2 cell test code]:[5 cm2 cell test code]],[1]!Table1[[Test code]:[Test code]],[1]!Table1[Q_int_frac DIW 10 mM KOH],"",0)</f>
        <v>#REF!</v>
      </c>
      <c r="AJ301" s="69" t="e" cm="1">
        <f t="array" ref="AJ301">_xlfn.XLOOKUP(Table1[[#This Row],[5 cm2 cell test code]:[5 cm2 cell test code]],[1]!Table1[[Test code]:[Test code]],[1]!Table1[DIW conductivity (µS/cm)],"",0)</f>
        <v>#REF!</v>
      </c>
      <c r="AQ301" s="4" t="str">
        <v>VSG01A-23282E1.03-06</v>
      </c>
    </row>
    <row r="302" spans="1:48">
      <c r="A302" s="81"/>
      <c r="B302" s="11" t="s">
        <v>613</v>
      </c>
      <c r="C302" s="4" t="s">
        <v>614</v>
      </c>
      <c r="K302" s="43" t="s">
        <v>59</v>
      </c>
      <c r="P302" s="28">
        <v>1.405</v>
      </c>
      <c r="Q302" s="135">
        <v>5.8399400042854079E-2</v>
      </c>
      <c r="U302" s="101" t="s">
        <v>615</v>
      </c>
      <c r="V302" t="s">
        <v>616</v>
      </c>
      <c r="W302" s="69" t="e" cm="1">
        <f t="array" ref="W302">_xlfn.XLOOKUP(Table1[[#This Row],[5 cm2 cell test code]:[5 cm2 cell test code]],[1]!Table1[[Test code]:[Test code]],[1]!Table1[i @ 1.8 V DIW (A/cm2)],"",0)</f>
        <v>#REF!</v>
      </c>
      <c r="X302" s="69" t="e" cm="1">
        <f t="array" ref="X302">_xlfn.XLOOKUP(Table1[[#This Row],[5 cm2 cell test code]:[5 cm2 cell test code]],[1]!Table1[[Test code]:[Test code]],[1]!Table1[i @ 1.8 V 10 mM KOH (A/cm2)],"",0)</f>
        <v>#REF!</v>
      </c>
      <c r="Y302" s="69" t="e" cm="1">
        <f t="array" ref="Y302">_xlfn.XLOOKUP(Table1[[#This Row],[5 cm2 cell test code]:[5 cm2 cell test code]],[1]!Table1[[Test code]:[Test code]],[1]!Table1[3-E ƞ at 20mAcm-2 (mV)],"",0)</f>
        <v>#REF!</v>
      </c>
      <c r="Z302" s="69" t="e" cm="1">
        <f t="array" ref="Z302">_xlfn.XLOOKUP(Table1[[#This Row],[5 cm2 cell test code]:[5 cm2 cell test code]],[1]!Table1[[Test code]:[Test code]],[1]!Table1[3-E Tafel slope (mV/dec)],"",0)</f>
        <v>#REF!</v>
      </c>
      <c r="AA302" s="69" t="e" cm="1">
        <f t="array" ref="AA302">_xlfn.XLOOKUP(Table1[[#This Row],[5 cm2 cell test code]:[5 cm2 cell test code]],[1]!Table1[[Test code]:[Test code]],[1]!Table1[E @ 100 mA/cm2 DIW/V],"",0)</f>
        <v>#REF!</v>
      </c>
      <c r="AB302" s="69" t="e" cm="1">
        <f t="array" ref="AB302">_xlfn.XLOOKUP(Table1[[#This Row],[5 cm2 cell test code]:[5 cm2 cell test code]],[1]!Table1[[Test code]:[Test code]],[1]!Table1[E @ 100 mA/cm2 10 mM KOH/V],"",0)</f>
        <v>#REF!</v>
      </c>
      <c r="AC302" s="69" t="e" cm="1">
        <f t="array" ref="AC302">_xlfn.XLOOKUP(Table1[[#This Row],[5 cm2 cell test code]:[5 cm2 cell test code]],[1]!Table1[[Test code]:[Test code]],[1]!Table1[Anode ICR/mOhm],"",0)</f>
        <v>#REF!</v>
      </c>
      <c r="AD302" s="69" t="e" cm="1">
        <f t="array" ref="AD302">_xlfn.XLOOKUP(Table1[[#This Row],[5 cm2 cell test code]:[5 cm2 cell test code]],[1]!Table1[[Test code]:[Test code]],[1]!Table1[HFR DIW/ mOhm cm2],"",0)</f>
        <v>#REF!</v>
      </c>
      <c r="AE302" s="69" t="e" cm="1">
        <f t="array" ref="AE302">_xlfn.XLOOKUP(Table1[[#This Row],[5 cm2 cell test code]:[5 cm2 cell test code]],[1]!Table1[[Test code]:[Test code]],[1]!Table1[HFR 10 mM KOH/ mOhm cm2],"",0)</f>
        <v>#REF!</v>
      </c>
      <c r="AF302" s="69" t="e" cm="1">
        <f t="array" ref="AF302">_xlfn.XLOOKUP(Table1[[#This Row],[5 cm2 cell test code]:[5 cm2 cell test code]],[1]!Table1[[Test code]:[Test code]],[1]!Table1[Ionic resistance DIW/Ohm cm2],"",0)</f>
        <v>#REF!</v>
      </c>
      <c r="AG302" s="69" t="e" cm="1">
        <f t="array" ref="AG302">_xlfn.XLOOKUP(Table1[[#This Row],[5 cm2 cell test code]:[5 cm2 cell test code]],[1]!Table1[[Test code]:[Test code]],[1]!Table1[Q_int_frac DIW],"",0)</f>
        <v>#REF!</v>
      </c>
      <c r="AH302" s="69" t="e" cm="1">
        <f t="array" ref="AH302">_xlfn.XLOOKUP(Table1[[#This Row],[5 cm2 cell test code]:[5 cm2 cell test code]],[1]!Table1[[Test code]:[Test code]],[1]!Table1[Ionic resistance 10 mM KOH/Ohm cm2],"",0)</f>
        <v>#REF!</v>
      </c>
      <c r="AI302" s="69" t="e" cm="1">
        <f t="array" ref="AI302">_xlfn.XLOOKUP(Table1[[#This Row],[5 cm2 cell test code]:[5 cm2 cell test code]],[1]!Table1[[Test code]:[Test code]],[1]!Table1[Q_int_frac DIW 10 mM KOH],"",0)</f>
        <v>#REF!</v>
      </c>
      <c r="AJ302" s="69" t="e" cm="1">
        <f t="array" ref="AJ302">_xlfn.XLOOKUP(Table1[[#This Row],[5 cm2 cell test code]:[5 cm2 cell test code]],[1]!Table1[[Test code]:[Test code]],[1]!Table1[DIW conductivity (µS/cm)],"",0)</f>
        <v>#REF!</v>
      </c>
      <c r="AQ302" s="4" t="str">
        <v>VSG01A-23282E1.03-07</v>
      </c>
    </row>
    <row r="303" spans="1:48">
      <c r="A303" s="81"/>
      <c r="B303" s="11" t="s">
        <v>617</v>
      </c>
      <c r="C303" s="4" t="s">
        <v>614</v>
      </c>
      <c r="K303" s="43" t="s">
        <v>59</v>
      </c>
      <c r="P303" s="28">
        <v>1.9790000000000001</v>
      </c>
      <c r="Q303" s="135">
        <v>6.2559190701678855E-2</v>
      </c>
      <c r="U303" s="101" t="s">
        <v>618</v>
      </c>
      <c r="V303" t="s">
        <v>619</v>
      </c>
      <c r="W303" s="69" t="e" cm="1">
        <f t="array" ref="W303">_xlfn.XLOOKUP(Table1[[#This Row],[5 cm2 cell test code]:[5 cm2 cell test code]],[1]!Table1[[Test code]:[Test code]],[1]!Table1[i @ 1.8 V DIW (A/cm2)],"",0)</f>
        <v>#REF!</v>
      </c>
      <c r="X303" s="69" t="e" cm="1">
        <f t="array" ref="X303">_xlfn.XLOOKUP(Table1[[#This Row],[5 cm2 cell test code]:[5 cm2 cell test code]],[1]!Table1[[Test code]:[Test code]],[1]!Table1[i @ 1.8 V 10 mM KOH (A/cm2)],"",0)</f>
        <v>#REF!</v>
      </c>
      <c r="Y303" s="69" t="e" cm="1">
        <f t="array" ref="Y303">_xlfn.XLOOKUP(Table1[[#This Row],[5 cm2 cell test code]:[5 cm2 cell test code]],[1]!Table1[[Test code]:[Test code]],[1]!Table1[3-E ƞ at 20mAcm-2 (mV)],"",0)</f>
        <v>#REF!</v>
      </c>
      <c r="Z303" s="69" t="e" cm="1">
        <f t="array" ref="Z303">_xlfn.XLOOKUP(Table1[[#This Row],[5 cm2 cell test code]:[5 cm2 cell test code]],[1]!Table1[[Test code]:[Test code]],[1]!Table1[3-E Tafel slope (mV/dec)],"",0)</f>
        <v>#REF!</v>
      </c>
      <c r="AA303" s="69" t="e" cm="1">
        <f t="array" ref="AA303">_xlfn.XLOOKUP(Table1[[#This Row],[5 cm2 cell test code]:[5 cm2 cell test code]],[1]!Table1[[Test code]:[Test code]],[1]!Table1[E @ 100 mA/cm2 DIW/V],"",0)</f>
        <v>#REF!</v>
      </c>
      <c r="AB303" s="69" t="e" cm="1">
        <f t="array" ref="AB303">_xlfn.XLOOKUP(Table1[[#This Row],[5 cm2 cell test code]:[5 cm2 cell test code]],[1]!Table1[[Test code]:[Test code]],[1]!Table1[E @ 100 mA/cm2 10 mM KOH/V],"",0)</f>
        <v>#REF!</v>
      </c>
      <c r="AC303" s="69" t="e" cm="1">
        <f t="array" ref="AC303">_xlfn.XLOOKUP(Table1[[#This Row],[5 cm2 cell test code]:[5 cm2 cell test code]],[1]!Table1[[Test code]:[Test code]],[1]!Table1[Anode ICR/mOhm],"",0)</f>
        <v>#REF!</v>
      </c>
      <c r="AD303" s="69" t="e" cm="1">
        <f t="array" ref="AD303">_xlfn.XLOOKUP(Table1[[#This Row],[5 cm2 cell test code]:[5 cm2 cell test code]],[1]!Table1[[Test code]:[Test code]],[1]!Table1[HFR DIW/ mOhm cm2],"",0)</f>
        <v>#REF!</v>
      </c>
      <c r="AE303" s="69" t="e" cm="1">
        <f t="array" ref="AE303">_xlfn.XLOOKUP(Table1[[#This Row],[5 cm2 cell test code]:[5 cm2 cell test code]],[1]!Table1[[Test code]:[Test code]],[1]!Table1[HFR 10 mM KOH/ mOhm cm2],"",0)</f>
        <v>#REF!</v>
      </c>
      <c r="AF303" s="69" t="e" cm="1">
        <f t="array" ref="AF303">_xlfn.XLOOKUP(Table1[[#This Row],[5 cm2 cell test code]:[5 cm2 cell test code]],[1]!Table1[[Test code]:[Test code]],[1]!Table1[Ionic resistance DIW/Ohm cm2],"",0)</f>
        <v>#REF!</v>
      </c>
      <c r="AG303" s="69" t="e" cm="1">
        <f t="array" ref="AG303">_xlfn.XLOOKUP(Table1[[#This Row],[5 cm2 cell test code]:[5 cm2 cell test code]],[1]!Table1[[Test code]:[Test code]],[1]!Table1[Q_int_frac DIW],"",0)</f>
        <v>#REF!</v>
      </c>
      <c r="AH303" s="69" t="e" cm="1">
        <f t="array" ref="AH303">_xlfn.XLOOKUP(Table1[[#This Row],[5 cm2 cell test code]:[5 cm2 cell test code]],[1]!Table1[[Test code]:[Test code]],[1]!Table1[Ionic resistance 10 mM KOH/Ohm cm2],"",0)</f>
        <v>#REF!</v>
      </c>
      <c r="AI303" s="69" t="e" cm="1">
        <f t="array" ref="AI303">_xlfn.XLOOKUP(Table1[[#This Row],[5 cm2 cell test code]:[5 cm2 cell test code]],[1]!Table1[[Test code]:[Test code]],[1]!Table1[Q_int_frac DIW 10 mM KOH],"",0)</f>
        <v>#REF!</v>
      </c>
      <c r="AJ303" s="69" t="e" cm="1">
        <f t="array" ref="AJ303">_xlfn.XLOOKUP(Table1[[#This Row],[5 cm2 cell test code]:[5 cm2 cell test code]],[1]!Table1[[Test code]:[Test code]],[1]!Table1[DIW conductivity (µS/cm)],"",0)</f>
        <v>#REF!</v>
      </c>
      <c r="AQ303" s="4" t="str">
        <v>VSG01A-23282E1.03-08</v>
      </c>
    </row>
    <row r="304" spans="1:48">
      <c r="A304" s="81"/>
      <c r="B304" s="11" t="s">
        <v>620</v>
      </c>
      <c r="C304" s="4" t="s">
        <v>609</v>
      </c>
      <c r="K304" s="43" t="s">
        <v>59</v>
      </c>
      <c r="Q304" s="135">
        <v>6.5280620489066035E-2</v>
      </c>
      <c r="U304" s="101"/>
      <c r="V304" s="101"/>
      <c r="W304" s="69" t="e" cm="1">
        <f t="array" ref="W304">_xlfn.XLOOKUP(Table1[[#This Row],[5 cm2 cell test code]:[5 cm2 cell test code]],[1]!Table1[[Test code]:[Test code]],[1]!Table1[i @ 1.8 V DIW (A/cm2)],"",0)</f>
        <v>#REF!</v>
      </c>
      <c r="X304" s="69" t="e" cm="1">
        <f t="array" ref="X304">_xlfn.XLOOKUP(Table1[[#This Row],[5 cm2 cell test code]:[5 cm2 cell test code]],[1]!Table1[[Test code]:[Test code]],[1]!Table1[i @ 1.8 V 10 mM KOH (A/cm2)],"",0)</f>
        <v>#REF!</v>
      </c>
      <c r="Y304" s="69" t="e" cm="1">
        <f t="array" ref="Y304">_xlfn.XLOOKUP(Table1[[#This Row],[5 cm2 cell test code]:[5 cm2 cell test code]],[1]!Table1[[Test code]:[Test code]],[1]!Table1[3-E ƞ at 20mAcm-2 (mV)],"",0)</f>
        <v>#REF!</v>
      </c>
      <c r="Z304" s="69" t="e" cm="1">
        <f t="array" ref="Z304">_xlfn.XLOOKUP(Table1[[#This Row],[5 cm2 cell test code]:[5 cm2 cell test code]],[1]!Table1[[Test code]:[Test code]],[1]!Table1[3-E Tafel slope (mV/dec)],"",0)</f>
        <v>#REF!</v>
      </c>
      <c r="AA304" s="69" t="e" cm="1">
        <f t="array" ref="AA304">_xlfn.XLOOKUP(Table1[[#This Row],[5 cm2 cell test code]:[5 cm2 cell test code]],[1]!Table1[[Test code]:[Test code]],[1]!Table1[E @ 100 mA/cm2 DIW/V],"",0)</f>
        <v>#REF!</v>
      </c>
      <c r="AB304" s="69" t="e" cm="1">
        <f t="array" ref="AB304">_xlfn.XLOOKUP(Table1[[#This Row],[5 cm2 cell test code]:[5 cm2 cell test code]],[1]!Table1[[Test code]:[Test code]],[1]!Table1[E @ 100 mA/cm2 10 mM KOH/V],"",0)</f>
        <v>#REF!</v>
      </c>
      <c r="AC304" s="69" t="e" cm="1">
        <f t="array" ref="AC304">_xlfn.XLOOKUP(Table1[[#This Row],[5 cm2 cell test code]:[5 cm2 cell test code]],[1]!Table1[[Test code]:[Test code]],[1]!Table1[Anode ICR/mOhm],"",0)</f>
        <v>#REF!</v>
      </c>
      <c r="AD304" s="69" t="e" cm="1">
        <f t="array" ref="AD304">_xlfn.XLOOKUP(Table1[[#This Row],[5 cm2 cell test code]:[5 cm2 cell test code]],[1]!Table1[[Test code]:[Test code]],[1]!Table1[HFR DIW/ mOhm cm2],"",0)</f>
        <v>#REF!</v>
      </c>
      <c r="AE304" s="69" t="e" cm="1">
        <f t="array" ref="AE304">_xlfn.XLOOKUP(Table1[[#This Row],[5 cm2 cell test code]:[5 cm2 cell test code]],[1]!Table1[[Test code]:[Test code]],[1]!Table1[HFR 10 mM KOH/ mOhm cm2],"",0)</f>
        <v>#REF!</v>
      </c>
      <c r="AF304" s="69" t="e" cm="1">
        <f t="array" ref="AF304">_xlfn.XLOOKUP(Table1[[#This Row],[5 cm2 cell test code]:[5 cm2 cell test code]],[1]!Table1[[Test code]:[Test code]],[1]!Table1[Ionic resistance DIW/Ohm cm2],"",0)</f>
        <v>#REF!</v>
      </c>
      <c r="AG304" s="69" t="e" cm="1">
        <f t="array" ref="AG304">_xlfn.XLOOKUP(Table1[[#This Row],[5 cm2 cell test code]:[5 cm2 cell test code]],[1]!Table1[[Test code]:[Test code]],[1]!Table1[Q_int_frac DIW],"",0)</f>
        <v>#REF!</v>
      </c>
      <c r="AH304" s="69" t="e" cm="1">
        <f t="array" ref="AH304">_xlfn.XLOOKUP(Table1[[#This Row],[5 cm2 cell test code]:[5 cm2 cell test code]],[1]!Table1[[Test code]:[Test code]],[1]!Table1[Ionic resistance 10 mM KOH/Ohm cm2],"",0)</f>
        <v>#REF!</v>
      </c>
      <c r="AI304" s="69" t="e" cm="1">
        <f t="array" ref="AI304">_xlfn.XLOOKUP(Table1[[#This Row],[5 cm2 cell test code]:[5 cm2 cell test code]],[1]!Table1[[Test code]:[Test code]],[1]!Table1[Q_int_frac DIW 10 mM KOH],"",0)</f>
        <v>#REF!</v>
      </c>
      <c r="AJ304" s="69" t="e" cm="1">
        <f t="array" ref="AJ304">_xlfn.XLOOKUP(Table1[[#This Row],[5 cm2 cell test code]:[5 cm2 cell test code]],[1]!Table1[[Test code]:[Test code]],[1]!Table1[DIW conductivity (µS/cm)],"",0)</f>
        <v>#REF!</v>
      </c>
      <c r="AQ304" s="4" t="str">
        <v>VSG01A-23284E1</v>
      </c>
    </row>
    <row r="305" spans="1:43">
      <c r="A305" s="81"/>
      <c r="B305" s="11" t="s">
        <v>621</v>
      </c>
      <c r="C305" s="4" t="s">
        <v>603</v>
      </c>
      <c r="K305" s="43" t="s">
        <v>59</v>
      </c>
      <c r="M305" s="13">
        <f>(9.01-8.99)*1000/(10.05*10)</f>
        <v>0.19900497512437387</v>
      </c>
      <c r="N305" s="13">
        <v>3.3646464646464573</v>
      </c>
      <c r="U305" s="101"/>
      <c r="V305" s="101"/>
      <c r="W305" s="69" t="e" cm="1">
        <f t="array" ref="W305">_xlfn.XLOOKUP(Table1[[#This Row],[5 cm2 cell test code]:[5 cm2 cell test code]],[1]!Table1[[Test code]:[Test code]],[1]!Table1[i @ 1.8 V DIW (A/cm2)],"",0)</f>
        <v>#REF!</v>
      </c>
      <c r="X305" s="69" t="e" cm="1">
        <f t="array" ref="X305">_xlfn.XLOOKUP(Table1[[#This Row],[5 cm2 cell test code]:[5 cm2 cell test code]],[1]!Table1[[Test code]:[Test code]],[1]!Table1[i @ 1.8 V 10 mM KOH (A/cm2)],"",0)</f>
        <v>#REF!</v>
      </c>
      <c r="Y305" s="69" t="e" cm="1">
        <f t="array" ref="Y305">_xlfn.XLOOKUP(Table1[[#This Row],[5 cm2 cell test code]:[5 cm2 cell test code]],[1]!Table1[[Test code]:[Test code]],[1]!Table1[3-E ƞ at 20mAcm-2 (mV)],"",0)</f>
        <v>#REF!</v>
      </c>
      <c r="Z305" s="69" t="e" cm="1">
        <f t="array" ref="Z305">_xlfn.XLOOKUP(Table1[[#This Row],[5 cm2 cell test code]:[5 cm2 cell test code]],[1]!Table1[[Test code]:[Test code]],[1]!Table1[3-E Tafel slope (mV/dec)],"",0)</f>
        <v>#REF!</v>
      </c>
      <c r="AA305" s="69" t="e" cm="1">
        <f t="array" ref="AA305">_xlfn.XLOOKUP(Table1[[#This Row],[5 cm2 cell test code]:[5 cm2 cell test code]],[1]!Table1[[Test code]:[Test code]],[1]!Table1[E @ 100 mA/cm2 DIW/V],"",0)</f>
        <v>#REF!</v>
      </c>
      <c r="AB305" s="69" t="e" cm="1">
        <f t="array" ref="AB305">_xlfn.XLOOKUP(Table1[[#This Row],[5 cm2 cell test code]:[5 cm2 cell test code]],[1]!Table1[[Test code]:[Test code]],[1]!Table1[E @ 100 mA/cm2 10 mM KOH/V],"",0)</f>
        <v>#REF!</v>
      </c>
      <c r="AC305" s="69" t="e" cm="1">
        <f t="array" ref="AC305">_xlfn.XLOOKUP(Table1[[#This Row],[5 cm2 cell test code]:[5 cm2 cell test code]],[1]!Table1[[Test code]:[Test code]],[1]!Table1[Anode ICR/mOhm],"",0)</f>
        <v>#REF!</v>
      </c>
      <c r="AD305" s="69" t="e" cm="1">
        <f t="array" ref="AD305">_xlfn.XLOOKUP(Table1[[#This Row],[5 cm2 cell test code]:[5 cm2 cell test code]],[1]!Table1[[Test code]:[Test code]],[1]!Table1[HFR DIW/ mOhm cm2],"",0)</f>
        <v>#REF!</v>
      </c>
      <c r="AE305" s="69" t="e" cm="1">
        <f t="array" ref="AE305">_xlfn.XLOOKUP(Table1[[#This Row],[5 cm2 cell test code]:[5 cm2 cell test code]],[1]!Table1[[Test code]:[Test code]],[1]!Table1[HFR 10 mM KOH/ mOhm cm2],"",0)</f>
        <v>#REF!</v>
      </c>
      <c r="AF305" s="69" t="e" cm="1">
        <f t="array" ref="AF305">_xlfn.XLOOKUP(Table1[[#This Row],[5 cm2 cell test code]:[5 cm2 cell test code]],[1]!Table1[[Test code]:[Test code]],[1]!Table1[Ionic resistance DIW/Ohm cm2],"",0)</f>
        <v>#REF!</v>
      </c>
      <c r="AG305" s="69" t="e" cm="1">
        <f t="array" ref="AG305">_xlfn.XLOOKUP(Table1[[#This Row],[5 cm2 cell test code]:[5 cm2 cell test code]],[1]!Table1[[Test code]:[Test code]],[1]!Table1[Q_int_frac DIW],"",0)</f>
        <v>#REF!</v>
      </c>
      <c r="AH305" s="69" t="e" cm="1">
        <f t="array" ref="AH305">_xlfn.XLOOKUP(Table1[[#This Row],[5 cm2 cell test code]:[5 cm2 cell test code]],[1]!Table1[[Test code]:[Test code]],[1]!Table1[Ionic resistance 10 mM KOH/Ohm cm2],"",0)</f>
        <v>#REF!</v>
      </c>
      <c r="AI305" s="69" t="e" cm="1">
        <f t="array" ref="AI305">_xlfn.XLOOKUP(Table1[[#This Row],[5 cm2 cell test code]:[5 cm2 cell test code]],[1]!Table1[[Test code]:[Test code]],[1]!Table1[Q_int_frac DIW 10 mM KOH],"",0)</f>
        <v>#REF!</v>
      </c>
      <c r="AJ305" s="69" t="e" cm="1">
        <f t="array" ref="AJ305">_xlfn.XLOOKUP(Table1[[#This Row],[5 cm2 cell test code]:[5 cm2 cell test code]],[1]!Table1[[Test code]:[Test code]],[1]!Table1[DIW conductivity (µS/cm)],"",0)</f>
        <v>#REF!</v>
      </c>
      <c r="AQ305" s="4" t="str">
        <v>VSG01A-23284E1-01</v>
      </c>
    </row>
    <row r="306" spans="1:43">
      <c r="A306" s="81"/>
      <c r="B306" s="11" t="s">
        <v>622</v>
      </c>
      <c r="C306" s="4" t="s">
        <v>605</v>
      </c>
      <c r="K306" s="43" t="s">
        <v>59</v>
      </c>
      <c r="P306" s="28">
        <v>0.92010000000000003</v>
      </c>
      <c r="Q306" s="135">
        <v>9.8379578246392915E-2</v>
      </c>
      <c r="U306" s="101" t="s">
        <v>623</v>
      </c>
      <c r="V306" t="s">
        <v>624</v>
      </c>
      <c r="W306" s="69" t="e" cm="1">
        <f t="array" ref="W306">_xlfn.XLOOKUP(Table1[[#This Row],[5 cm2 cell test code]:[5 cm2 cell test code]],[1]!Table1[[Test code]:[Test code]],[1]!Table1[i @ 1.8 V DIW (A/cm2)],"",0)</f>
        <v>#REF!</v>
      </c>
      <c r="X306" s="69" t="e" cm="1">
        <f t="array" ref="X306">_xlfn.XLOOKUP(Table1[[#This Row],[5 cm2 cell test code]:[5 cm2 cell test code]],[1]!Table1[[Test code]:[Test code]],[1]!Table1[i @ 1.8 V 10 mM KOH (A/cm2)],"",0)</f>
        <v>#REF!</v>
      </c>
      <c r="Y306" s="69" t="e" cm="1">
        <f t="array" ref="Y306">_xlfn.XLOOKUP(Table1[[#This Row],[5 cm2 cell test code]:[5 cm2 cell test code]],[1]!Table1[[Test code]:[Test code]],[1]!Table1[3-E ƞ at 20mAcm-2 (mV)],"",0)</f>
        <v>#REF!</v>
      </c>
      <c r="Z306" s="69" t="e" cm="1">
        <f t="array" ref="Z306">_xlfn.XLOOKUP(Table1[[#This Row],[5 cm2 cell test code]:[5 cm2 cell test code]],[1]!Table1[[Test code]:[Test code]],[1]!Table1[3-E Tafel slope (mV/dec)],"",0)</f>
        <v>#REF!</v>
      </c>
      <c r="AA306" s="69" t="e" cm="1">
        <f t="array" ref="AA306">_xlfn.XLOOKUP(Table1[[#This Row],[5 cm2 cell test code]:[5 cm2 cell test code]],[1]!Table1[[Test code]:[Test code]],[1]!Table1[E @ 100 mA/cm2 DIW/V],"",0)</f>
        <v>#REF!</v>
      </c>
      <c r="AB306" s="69" t="e" cm="1">
        <f t="array" ref="AB306">_xlfn.XLOOKUP(Table1[[#This Row],[5 cm2 cell test code]:[5 cm2 cell test code]],[1]!Table1[[Test code]:[Test code]],[1]!Table1[E @ 100 mA/cm2 10 mM KOH/V],"",0)</f>
        <v>#REF!</v>
      </c>
      <c r="AC306" s="69" t="e" cm="1">
        <f t="array" ref="AC306">_xlfn.XLOOKUP(Table1[[#This Row],[5 cm2 cell test code]:[5 cm2 cell test code]],[1]!Table1[[Test code]:[Test code]],[1]!Table1[Anode ICR/mOhm],"",0)</f>
        <v>#REF!</v>
      </c>
      <c r="AD306" s="69" t="e" cm="1">
        <f t="array" ref="AD306">_xlfn.XLOOKUP(Table1[[#This Row],[5 cm2 cell test code]:[5 cm2 cell test code]],[1]!Table1[[Test code]:[Test code]],[1]!Table1[HFR DIW/ mOhm cm2],"",0)</f>
        <v>#REF!</v>
      </c>
      <c r="AE306" s="69" t="e" cm="1">
        <f t="array" ref="AE306">_xlfn.XLOOKUP(Table1[[#This Row],[5 cm2 cell test code]:[5 cm2 cell test code]],[1]!Table1[[Test code]:[Test code]],[1]!Table1[HFR 10 mM KOH/ mOhm cm2],"",0)</f>
        <v>#REF!</v>
      </c>
      <c r="AF306" s="69" t="e" cm="1">
        <f t="array" ref="AF306">_xlfn.XLOOKUP(Table1[[#This Row],[5 cm2 cell test code]:[5 cm2 cell test code]],[1]!Table1[[Test code]:[Test code]],[1]!Table1[Ionic resistance DIW/Ohm cm2],"",0)</f>
        <v>#REF!</v>
      </c>
      <c r="AG306" s="69" t="e" cm="1">
        <f t="array" ref="AG306">_xlfn.XLOOKUP(Table1[[#This Row],[5 cm2 cell test code]:[5 cm2 cell test code]],[1]!Table1[[Test code]:[Test code]],[1]!Table1[Q_int_frac DIW],"",0)</f>
        <v>#REF!</v>
      </c>
      <c r="AH306" s="69" t="e" cm="1">
        <f t="array" ref="AH306">_xlfn.XLOOKUP(Table1[[#This Row],[5 cm2 cell test code]:[5 cm2 cell test code]],[1]!Table1[[Test code]:[Test code]],[1]!Table1[Ionic resistance 10 mM KOH/Ohm cm2],"",0)</f>
        <v>#REF!</v>
      </c>
      <c r="AI306" s="69" t="e" cm="1">
        <f t="array" ref="AI306">_xlfn.XLOOKUP(Table1[[#This Row],[5 cm2 cell test code]:[5 cm2 cell test code]],[1]!Table1[[Test code]:[Test code]],[1]!Table1[Q_int_frac DIW 10 mM KOH],"",0)</f>
        <v>#REF!</v>
      </c>
      <c r="AJ306" s="69" t="e" cm="1">
        <f t="array" ref="AJ306">_xlfn.XLOOKUP(Table1[[#This Row],[5 cm2 cell test code]:[5 cm2 cell test code]],[1]!Table1[[Test code]:[Test code]],[1]!Table1[DIW conductivity (µS/cm)],"",0)</f>
        <v>#REF!</v>
      </c>
      <c r="AQ306" s="4" t="str">
        <v>VSG01A-23284E1-02</v>
      </c>
    </row>
    <row r="307" spans="1:43">
      <c r="A307" s="81"/>
      <c r="B307" s="11" t="s">
        <v>625</v>
      </c>
      <c r="C307" s="4" t="s">
        <v>614</v>
      </c>
      <c r="K307" s="43" t="s">
        <v>59</v>
      </c>
      <c r="P307" s="28">
        <v>1.0417000000000001</v>
      </c>
      <c r="Q307" s="135">
        <v>0.11491681654676261</v>
      </c>
      <c r="U307" s="101" t="s">
        <v>626</v>
      </c>
      <c r="V307" t="s">
        <v>627</v>
      </c>
      <c r="W307" s="69" t="e" cm="1">
        <f t="array" ref="W307">_xlfn.XLOOKUP(Table1[[#This Row],[5 cm2 cell test code]:[5 cm2 cell test code]],[1]!Table1[[Test code]:[Test code]],[1]!Table1[i @ 1.8 V DIW (A/cm2)],"",0)</f>
        <v>#REF!</v>
      </c>
      <c r="X307" s="69" t="e" cm="1">
        <f t="array" ref="X307">_xlfn.XLOOKUP(Table1[[#This Row],[5 cm2 cell test code]:[5 cm2 cell test code]],[1]!Table1[[Test code]:[Test code]],[1]!Table1[i @ 1.8 V 10 mM KOH (A/cm2)],"",0)</f>
        <v>#REF!</v>
      </c>
      <c r="Y307" s="69" t="e" cm="1">
        <f t="array" ref="Y307">_xlfn.XLOOKUP(Table1[[#This Row],[5 cm2 cell test code]:[5 cm2 cell test code]],[1]!Table1[[Test code]:[Test code]],[1]!Table1[3-E ƞ at 20mAcm-2 (mV)],"",0)</f>
        <v>#REF!</v>
      </c>
      <c r="Z307" s="69" t="e" cm="1">
        <f t="array" ref="Z307">_xlfn.XLOOKUP(Table1[[#This Row],[5 cm2 cell test code]:[5 cm2 cell test code]],[1]!Table1[[Test code]:[Test code]],[1]!Table1[3-E Tafel slope (mV/dec)],"",0)</f>
        <v>#REF!</v>
      </c>
      <c r="AA307" s="69" t="e" cm="1">
        <f t="array" ref="AA307">_xlfn.XLOOKUP(Table1[[#This Row],[5 cm2 cell test code]:[5 cm2 cell test code]],[1]!Table1[[Test code]:[Test code]],[1]!Table1[E @ 100 mA/cm2 DIW/V],"",0)</f>
        <v>#REF!</v>
      </c>
      <c r="AB307" s="69" t="e" cm="1">
        <f t="array" ref="AB307">_xlfn.XLOOKUP(Table1[[#This Row],[5 cm2 cell test code]:[5 cm2 cell test code]],[1]!Table1[[Test code]:[Test code]],[1]!Table1[E @ 100 mA/cm2 10 mM KOH/V],"",0)</f>
        <v>#REF!</v>
      </c>
      <c r="AC307" s="69" t="e" cm="1">
        <f t="array" ref="AC307">_xlfn.XLOOKUP(Table1[[#This Row],[5 cm2 cell test code]:[5 cm2 cell test code]],[1]!Table1[[Test code]:[Test code]],[1]!Table1[Anode ICR/mOhm],"",0)</f>
        <v>#REF!</v>
      </c>
      <c r="AD307" s="69" t="e" cm="1">
        <f t="array" ref="AD307">_xlfn.XLOOKUP(Table1[[#This Row],[5 cm2 cell test code]:[5 cm2 cell test code]],[1]!Table1[[Test code]:[Test code]],[1]!Table1[HFR DIW/ mOhm cm2],"",0)</f>
        <v>#REF!</v>
      </c>
      <c r="AE307" s="69" t="e" cm="1">
        <f t="array" ref="AE307">_xlfn.XLOOKUP(Table1[[#This Row],[5 cm2 cell test code]:[5 cm2 cell test code]],[1]!Table1[[Test code]:[Test code]],[1]!Table1[HFR 10 mM KOH/ mOhm cm2],"",0)</f>
        <v>#REF!</v>
      </c>
      <c r="AF307" s="69" t="e" cm="1">
        <f t="array" ref="AF307">_xlfn.XLOOKUP(Table1[[#This Row],[5 cm2 cell test code]:[5 cm2 cell test code]],[1]!Table1[[Test code]:[Test code]],[1]!Table1[Ionic resistance DIW/Ohm cm2],"",0)</f>
        <v>#REF!</v>
      </c>
      <c r="AG307" s="69" t="e" cm="1">
        <f t="array" ref="AG307">_xlfn.XLOOKUP(Table1[[#This Row],[5 cm2 cell test code]:[5 cm2 cell test code]],[1]!Table1[[Test code]:[Test code]],[1]!Table1[Q_int_frac DIW],"",0)</f>
        <v>#REF!</v>
      </c>
      <c r="AH307" s="69" t="e" cm="1">
        <f t="array" ref="AH307">_xlfn.XLOOKUP(Table1[[#This Row],[5 cm2 cell test code]:[5 cm2 cell test code]],[1]!Table1[[Test code]:[Test code]],[1]!Table1[Ionic resistance 10 mM KOH/Ohm cm2],"",0)</f>
        <v>#REF!</v>
      </c>
      <c r="AI307" s="69" t="e" cm="1">
        <f t="array" ref="AI307">_xlfn.XLOOKUP(Table1[[#This Row],[5 cm2 cell test code]:[5 cm2 cell test code]],[1]!Table1[[Test code]:[Test code]],[1]!Table1[Q_int_frac DIW 10 mM KOH],"",0)</f>
        <v>#REF!</v>
      </c>
      <c r="AJ307" s="69" t="e" cm="1">
        <f t="array" ref="AJ307">_xlfn.XLOOKUP(Table1[[#This Row],[5 cm2 cell test code]:[5 cm2 cell test code]],[1]!Table1[[Test code]:[Test code]],[1]!Table1[DIW conductivity (µS/cm)],"",0)</f>
        <v>#REF!</v>
      </c>
      <c r="AQ307" s="4" t="str">
        <v>VSG01A-23290E1</v>
      </c>
    </row>
    <row r="308" spans="1:43">
      <c r="A308" s="81"/>
      <c r="B308" s="11" t="s">
        <v>628</v>
      </c>
      <c r="C308" s="4" t="s">
        <v>605</v>
      </c>
      <c r="K308" s="43" t="s">
        <v>59</v>
      </c>
      <c r="P308" s="28">
        <v>0.90280000000000005</v>
      </c>
      <c r="Q308" s="135">
        <v>0.12694978936582035</v>
      </c>
      <c r="U308" s="101" t="s">
        <v>629</v>
      </c>
      <c r="V308" t="s">
        <v>630</v>
      </c>
      <c r="W308" s="69" t="e" cm="1">
        <f t="array" ref="W308">_xlfn.XLOOKUP(Table1[[#This Row],[5 cm2 cell test code]:[5 cm2 cell test code]],[1]!Table1[[Test code]:[Test code]],[1]!Table1[i @ 1.8 V DIW (A/cm2)],"",0)</f>
        <v>#REF!</v>
      </c>
      <c r="X308" s="69" t="e" cm="1">
        <f t="array" ref="X308">_xlfn.XLOOKUP(Table1[[#This Row],[5 cm2 cell test code]:[5 cm2 cell test code]],[1]!Table1[[Test code]:[Test code]],[1]!Table1[i @ 1.8 V 10 mM KOH (A/cm2)],"",0)</f>
        <v>#REF!</v>
      </c>
      <c r="Y308" s="69" t="e" cm="1">
        <f t="array" ref="Y308">_xlfn.XLOOKUP(Table1[[#This Row],[5 cm2 cell test code]:[5 cm2 cell test code]],[1]!Table1[[Test code]:[Test code]],[1]!Table1[3-E ƞ at 20mAcm-2 (mV)],"",0)</f>
        <v>#REF!</v>
      </c>
      <c r="Z308" s="69" t="e" cm="1">
        <f t="array" ref="Z308">_xlfn.XLOOKUP(Table1[[#This Row],[5 cm2 cell test code]:[5 cm2 cell test code]],[1]!Table1[[Test code]:[Test code]],[1]!Table1[3-E Tafel slope (mV/dec)],"",0)</f>
        <v>#REF!</v>
      </c>
      <c r="AA308" s="69" t="e" cm="1">
        <f t="array" ref="AA308">_xlfn.XLOOKUP(Table1[[#This Row],[5 cm2 cell test code]:[5 cm2 cell test code]],[1]!Table1[[Test code]:[Test code]],[1]!Table1[E @ 100 mA/cm2 DIW/V],"",0)</f>
        <v>#REF!</v>
      </c>
      <c r="AB308" s="69" t="e" cm="1">
        <f t="array" ref="AB308">_xlfn.XLOOKUP(Table1[[#This Row],[5 cm2 cell test code]:[5 cm2 cell test code]],[1]!Table1[[Test code]:[Test code]],[1]!Table1[E @ 100 mA/cm2 10 mM KOH/V],"",0)</f>
        <v>#REF!</v>
      </c>
      <c r="AC308" s="69" t="e" cm="1">
        <f t="array" ref="AC308">_xlfn.XLOOKUP(Table1[[#This Row],[5 cm2 cell test code]:[5 cm2 cell test code]],[1]!Table1[[Test code]:[Test code]],[1]!Table1[Anode ICR/mOhm],"",0)</f>
        <v>#REF!</v>
      </c>
      <c r="AD308" s="69" t="e" cm="1">
        <f t="array" ref="AD308">_xlfn.XLOOKUP(Table1[[#This Row],[5 cm2 cell test code]:[5 cm2 cell test code]],[1]!Table1[[Test code]:[Test code]],[1]!Table1[HFR DIW/ mOhm cm2],"",0)</f>
        <v>#REF!</v>
      </c>
      <c r="AE308" s="69" t="e" cm="1">
        <f t="array" ref="AE308">_xlfn.XLOOKUP(Table1[[#This Row],[5 cm2 cell test code]:[5 cm2 cell test code]],[1]!Table1[[Test code]:[Test code]],[1]!Table1[HFR 10 mM KOH/ mOhm cm2],"",0)</f>
        <v>#REF!</v>
      </c>
      <c r="AF308" s="69" t="e" cm="1">
        <f t="array" ref="AF308">_xlfn.XLOOKUP(Table1[[#This Row],[5 cm2 cell test code]:[5 cm2 cell test code]],[1]!Table1[[Test code]:[Test code]],[1]!Table1[Ionic resistance DIW/Ohm cm2],"",0)</f>
        <v>#REF!</v>
      </c>
      <c r="AG308" s="69" t="e" cm="1">
        <f t="array" ref="AG308">_xlfn.XLOOKUP(Table1[[#This Row],[5 cm2 cell test code]:[5 cm2 cell test code]],[1]!Table1[[Test code]:[Test code]],[1]!Table1[Q_int_frac DIW],"",0)</f>
        <v>#REF!</v>
      </c>
      <c r="AH308" s="69" t="e" cm="1">
        <f t="array" ref="AH308">_xlfn.XLOOKUP(Table1[[#This Row],[5 cm2 cell test code]:[5 cm2 cell test code]],[1]!Table1[[Test code]:[Test code]],[1]!Table1[Ionic resistance 10 mM KOH/Ohm cm2],"",0)</f>
        <v>#REF!</v>
      </c>
      <c r="AI308" s="69" t="e" cm="1">
        <f t="array" ref="AI308">_xlfn.XLOOKUP(Table1[[#This Row],[5 cm2 cell test code]:[5 cm2 cell test code]],[1]!Table1[[Test code]:[Test code]],[1]!Table1[Q_int_frac DIW 10 mM KOH],"",0)</f>
        <v>#REF!</v>
      </c>
      <c r="AJ308" s="69" t="e" cm="1">
        <f t="array" ref="AJ308">_xlfn.XLOOKUP(Table1[[#This Row],[5 cm2 cell test code]:[5 cm2 cell test code]],[1]!Table1[[Test code]:[Test code]],[1]!Table1[DIW conductivity (µS/cm)],"",0)</f>
        <v>#REF!</v>
      </c>
      <c r="AQ308" s="4" t="str">
        <v>PTL 1</v>
      </c>
    </row>
    <row r="309" spans="1:43">
      <c r="A309" s="81"/>
      <c r="B309" s="11" t="s">
        <v>631</v>
      </c>
      <c r="C309" s="4" t="s">
        <v>614</v>
      </c>
      <c r="K309" s="43" t="s">
        <v>59</v>
      </c>
      <c r="P309" s="28">
        <v>1.0764</v>
      </c>
      <c r="Q309" s="135">
        <v>0.1281613123718387</v>
      </c>
      <c r="U309" s="101" t="s">
        <v>632</v>
      </c>
      <c r="V309" t="s">
        <v>633</v>
      </c>
      <c r="W309" s="69" t="e" cm="1">
        <f t="array" ref="W309">_xlfn.XLOOKUP(Table1[[#This Row],[5 cm2 cell test code]:[5 cm2 cell test code]],[1]!Table1[[Test code]:[Test code]],[1]!Table1[i @ 1.8 V DIW (A/cm2)],"",0)</f>
        <v>#REF!</v>
      </c>
      <c r="X309" s="69" t="e" cm="1">
        <f t="array" ref="X309">_xlfn.XLOOKUP(Table1[[#This Row],[5 cm2 cell test code]:[5 cm2 cell test code]],[1]!Table1[[Test code]:[Test code]],[1]!Table1[i @ 1.8 V 10 mM KOH (A/cm2)],"",0)</f>
        <v>#REF!</v>
      </c>
      <c r="Y309" s="69" t="e" cm="1">
        <f t="array" ref="Y309">_xlfn.XLOOKUP(Table1[[#This Row],[5 cm2 cell test code]:[5 cm2 cell test code]],[1]!Table1[[Test code]:[Test code]],[1]!Table1[3-E ƞ at 20mAcm-2 (mV)],"",0)</f>
        <v>#REF!</v>
      </c>
      <c r="Z309" s="69" t="e" cm="1">
        <f t="array" ref="Z309">_xlfn.XLOOKUP(Table1[[#This Row],[5 cm2 cell test code]:[5 cm2 cell test code]],[1]!Table1[[Test code]:[Test code]],[1]!Table1[3-E Tafel slope (mV/dec)],"",0)</f>
        <v>#REF!</v>
      </c>
      <c r="AA309" s="69" t="e" cm="1">
        <f t="array" ref="AA309">_xlfn.XLOOKUP(Table1[[#This Row],[5 cm2 cell test code]:[5 cm2 cell test code]],[1]!Table1[[Test code]:[Test code]],[1]!Table1[E @ 100 mA/cm2 DIW/V],"",0)</f>
        <v>#REF!</v>
      </c>
      <c r="AB309" s="69" t="e" cm="1">
        <f t="array" ref="AB309">_xlfn.XLOOKUP(Table1[[#This Row],[5 cm2 cell test code]:[5 cm2 cell test code]],[1]!Table1[[Test code]:[Test code]],[1]!Table1[E @ 100 mA/cm2 10 mM KOH/V],"",0)</f>
        <v>#REF!</v>
      </c>
      <c r="AC309" s="69" t="e" cm="1">
        <f t="array" ref="AC309">_xlfn.XLOOKUP(Table1[[#This Row],[5 cm2 cell test code]:[5 cm2 cell test code]],[1]!Table1[[Test code]:[Test code]],[1]!Table1[Anode ICR/mOhm],"",0)</f>
        <v>#REF!</v>
      </c>
      <c r="AD309" s="69" t="e" cm="1">
        <f t="array" ref="AD309">_xlfn.XLOOKUP(Table1[[#This Row],[5 cm2 cell test code]:[5 cm2 cell test code]],[1]!Table1[[Test code]:[Test code]],[1]!Table1[HFR DIW/ mOhm cm2],"",0)</f>
        <v>#REF!</v>
      </c>
      <c r="AE309" s="69" t="e" cm="1">
        <f t="array" ref="AE309">_xlfn.XLOOKUP(Table1[[#This Row],[5 cm2 cell test code]:[5 cm2 cell test code]],[1]!Table1[[Test code]:[Test code]],[1]!Table1[HFR 10 mM KOH/ mOhm cm2],"",0)</f>
        <v>#REF!</v>
      </c>
      <c r="AF309" s="69" t="e" cm="1">
        <f t="array" ref="AF309">_xlfn.XLOOKUP(Table1[[#This Row],[5 cm2 cell test code]:[5 cm2 cell test code]],[1]!Table1[[Test code]:[Test code]],[1]!Table1[Ionic resistance DIW/Ohm cm2],"",0)</f>
        <v>#REF!</v>
      </c>
      <c r="AG309" s="69" t="e" cm="1">
        <f t="array" ref="AG309">_xlfn.XLOOKUP(Table1[[#This Row],[5 cm2 cell test code]:[5 cm2 cell test code]],[1]!Table1[[Test code]:[Test code]],[1]!Table1[Q_int_frac DIW],"",0)</f>
        <v>#REF!</v>
      </c>
      <c r="AH309" s="69" t="e" cm="1">
        <f t="array" ref="AH309">_xlfn.XLOOKUP(Table1[[#This Row],[5 cm2 cell test code]:[5 cm2 cell test code]],[1]!Table1[[Test code]:[Test code]],[1]!Table1[Ionic resistance 10 mM KOH/Ohm cm2],"",0)</f>
        <v>#REF!</v>
      </c>
      <c r="AI309" s="69" t="e" cm="1">
        <f t="array" ref="AI309">_xlfn.XLOOKUP(Table1[[#This Row],[5 cm2 cell test code]:[5 cm2 cell test code]],[1]!Table1[[Test code]:[Test code]],[1]!Table1[Q_int_frac DIW 10 mM KOH],"",0)</f>
        <v>#REF!</v>
      </c>
      <c r="AJ309" s="69" t="e" cm="1">
        <f t="array" ref="AJ309">_xlfn.XLOOKUP(Table1[[#This Row],[5 cm2 cell test code]:[5 cm2 cell test code]],[1]!Table1[[Test code]:[Test code]],[1]!Table1[DIW conductivity (µS/cm)],"",0)</f>
        <v>#REF!</v>
      </c>
      <c r="AQ309" s="4" t="str">
        <v>PTL 2</v>
      </c>
    </row>
    <row r="310" spans="1:43">
      <c r="A310" s="81"/>
      <c r="B310" s="11" t="s">
        <v>634</v>
      </c>
      <c r="C310" s="4" t="s">
        <v>609</v>
      </c>
      <c r="K310" s="43" t="s">
        <v>59</v>
      </c>
      <c r="P310" s="136">
        <v>1.2847</v>
      </c>
      <c r="Q310" s="135">
        <v>8.7312369891530628E-2</v>
      </c>
      <c r="U310" s="101"/>
      <c r="V310" s="101"/>
      <c r="W310" s="69" t="e" cm="1">
        <f t="array" ref="W310">_xlfn.XLOOKUP(Table1[[#This Row],[5 cm2 cell test code]:[5 cm2 cell test code]],[1]!Table1[[Test code]:[Test code]],[1]!Table1[i @ 1.8 V DIW (A/cm2)],"",0)</f>
        <v>#REF!</v>
      </c>
      <c r="X310" s="69" t="e" cm="1">
        <f t="array" ref="X310">_xlfn.XLOOKUP(Table1[[#This Row],[5 cm2 cell test code]:[5 cm2 cell test code]],[1]!Table1[[Test code]:[Test code]],[1]!Table1[i @ 1.8 V 10 mM KOH (A/cm2)],"",0)</f>
        <v>#REF!</v>
      </c>
      <c r="Y310" s="69" t="e" cm="1">
        <f t="array" ref="Y310">_xlfn.XLOOKUP(Table1[[#This Row],[5 cm2 cell test code]:[5 cm2 cell test code]],[1]!Table1[[Test code]:[Test code]],[1]!Table1[3-E ƞ at 20mAcm-2 (mV)],"",0)</f>
        <v>#REF!</v>
      </c>
      <c r="Z310" s="69" t="e" cm="1">
        <f t="array" ref="Z310">_xlfn.XLOOKUP(Table1[[#This Row],[5 cm2 cell test code]:[5 cm2 cell test code]],[1]!Table1[[Test code]:[Test code]],[1]!Table1[3-E Tafel slope (mV/dec)],"",0)</f>
        <v>#REF!</v>
      </c>
      <c r="AA310" s="69" t="e" cm="1">
        <f t="array" ref="AA310">_xlfn.XLOOKUP(Table1[[#This Row],[5 cm2 cell test code]:[5 cm2 cell test code]],[1]!Table1[[Test code]:[Test code]],[1]!Table1[E @ 100 mA/cm2 DIW/V],"",0)</f>
        <v>#REF!</v>
      </c>
      <c r="AB310" s="69" t="e" cm="1">
        <f t="array" ref="AB310">_xlfn.XLOOKUP(Table1[[#This Row],[5 cm2 cell test code]:[5 cm2 cell test code]],[1]!Table1[[Test code]:[Test code]],[1]!Table1[E @ 100 mA/cm2 10 mM KOH/V],"",0)</f>
        <v>#REF!</v>
      </c>
      <c r="AC310" s="69" t="e" cm="1">
        <f t="array" ref="AC310">_xlfn.XLOOKUP(Table1[[#This Row],[5 cm2 cell test code]:[5 cm2 cell test code]],[1]!Table1[[Test code]:[Test code]],[1]!Table1[Anode ICR/mOhm],"",0)</f>
        <v>#REF!</v>
      </c>
      <c r="AD310" s="69" t="e" cm="1">
        <f t="array" ref="AD310">_xlfn.XLOOKUP(Table1[[#This Row],[5 cm2 cell test code]:[5 cm2 cell test code]],[1]!Table1[[Test code]:[Test code]],[1]!Table1[HFR DIW/ mOhm cm2],"",0)</f>
        <v>#REF!</v>
      </c>
      <c r="AE310" s="69" t="e" cm="1">
        <f t="array" ref="AE310">_xlfn.XLOOKUP(Table1[[#This Row],[5 cm2 cell test code]:[5 cm2 cell test code]],[1]!Table1[[Test code]:[Test code]],[1]!Table1[HFR 10 mM KOH/ mOhm cm2],"",0)</f>
        <v>#REF!</v>
      </c>
      <c r="AF310" s="69" t="e" cm="1">
        <f t="array" ref="AF310">_xlfn.XLOOKUP(Table1[[#This Row],[5 cm2 cell test code]:[5 cm2 cell test code]],[1]!Table1[[Test code]:[Test code]],[1]!Table1[Ionic resistance DIW/Ohm cm2],"",0)</f>
        <v>#REF!</v>
      </c>
      <c r="AG310" s="69" t="e" cm="1">
        <f t="array" ref="AG310">_xlfn.XLOOKUP(Table1[[#This Row],[5 cm2 cell test code]:[5 cm2 cell test code]],[1]!Table1[[Test code]:[Test code]],[1]!Table1[Q_int_frac DIW],"",0)</f>
        <v>#REF!</v>
      </c>
      <c r="AH310" s="69" t="e" cm="1">
        <f t="array" ref="AH310">_xlfn.XLOOKUP(Table1[[#This Row],[5 cm2 cell test code]:[5 cm2 cell test code]],[1]!Table1[[Test code]:[Test code]],[1]!Table1[Ionic resistance 10 mM KOH/Ohm cm2],"",0)</f>
        <v>#REF!</v>
      </c>
      <c r="AI310" s="69" t="e" cm="1">
        <f t="array" ref="AI310">_xlfn.XLOOKUP(Table1[[#This Row],[5 cm2 cell test code]:[5 cm2 cell test code]],[1]!Table1[[Test code]:[Test code]],[1]!Table1[Q_int_frac DIW 10 mM KOH],"",0)</f>
        <v>#REF!</v>
      </c>
      <c r="AJ310" s="69" t="e" cm="1">
        <f t="array" ref="AJ310">_xlfn.XLOOKUP(Table1[[#This Row],[5 cm2 cell test code]:[5 cm2 cell test code]],[1]!Table1[[Test code]:[Test code]],[1]!Table1[DIW conductivity (µS/cm)],"",0)</f>
        <v>#REF!</v>
      </c>
      <c r="AQ310" s="4" t="str">
        <v>VSG01A-23220E1</v>
      </c>
    </row>
    <row r="311" spans="1:43">
      <c r="A311" s="81"/>
      <c r="B311" s="11" t="s">
        <v>635</v>
      </c>
      <c r="C311" s="4" t="s">
        <v>609</v>
      </c>
      <c r="K311" s="43" t="s">
        <v>59</v>
      </c>
      <c r="P311" s="136">
        <v>1.6146</v>
      </c>
      <c r="Q311" s="135">
        <v>0.10776362823949956</v>
      </c>
      <c r="U311" s="101"/>
      <c r="V311" s="101"/>
      <c r="W311" s="69" t="e" cm="1">
        <f t="array" ref="W311">_xlfn.XLOOKUP(Table1[[#This Row],[5 cm2 cell test code]:[5 cm2 cell test code]],[1]!Table1[[Test code]:[Test code]],[1]!Table1[i @ 1.8 V DIW (A/cm2)],"",0)</f>
        <v>#REF!</v>
      </c>
      <c r="X311" s="69" t="e" cm="1">
        <f t="array" ref="X311">_xlfn.XLOOKUP(Table1[[#This Row],[5 cm2 cell test code]:[5 cm2 cell test code]],[1]!Table1[[Test code]:[Test code]],[1]!Table1[i @ 1.8 V 10 mM KOH (A/cm2)],"",0)</f>
        <v>#REF!</v>
      </c>
      <c r="Y311" s="69" t="e" cm="1">
        <f t="array" ref="Y311">_xlfn.XLOOKUP(Table1[[#This Row],[5 cm2 cell test code]:[5 cm2 cell test code]],[1]!Table1[[Test code]:[Test code]],[1]!Table1[3-E ƞ at 20mAcm-2 (mV)],"",0)</f>
        <v>#REF!</v>
      </c>
      <c r="Z311" s="69" t="e" cm="1">
        <f t="array" ref="Z311">_xlfn.XLOOKUP(Table1[[#This Row],[5 cm2 cell test code]:[5 cm2 cell test code]],[1]!Table1[[Test code]:[Test code]],[1]!Table1[3-E Tafel slope (mV/dec)],"",0)</f>
        <v>#REF!</v>
      </c>
      <c r="AA311" s="69" t="e" cm="1">
        <f t="array" ref="AA311">_xlfn.XLOOKUP(Table1[[#This Row],[5 cm2 cell test code]:[5 cm2 cell test code]],[1]!Table1[[Test code]:[Test code]],[1]!Table1[E @ 100 mA/cm2 DIW/V],"",0)</f>
        <v>#REF!</v>
      </c>
      <c r="AB311" s="69" t="e" cm="1">
        <f t="array" ref="AB311">_xlfn.XLOOKUP(Table1[[#This Row],[5 cm2 cell test code]:[5 cm2 cell test code]],[1]!Table1[[Test code]:[Test code]],[1]!Table1[E @ 100 mA/cm2 10 mM KOH/V],"",0)</f>
        <v>#REF!</v>
      </c>
      <c r="AC311" s="69" t="e" cm="1">
        <f t="array" ref="AC311">_xlfn.XLOOKUP(Table1[[#This Row],[5 cm2 cell test code]:[5 cm2 cell test code]],[1]!Table1[[Test code]:[Test code]],[1]!Table1[Anode ICR/mOhm],"",0)</f>
        <v>#REF!</v>
      </c>
      <c r="AD311" s="69" t="e" cm="1">
        <f t="array" ref="AD311">_xlfn.XLOOKUP(Table1[[#This Row],[5 cm2 cell test code]:[5 cm2 cell test code]],[1]!Table1[[Test code]:[Test code]],[1]!Table1[HFR DIW/ mOhm cm2],"",0)</f>
        <v>#REF!</v>
      </c>
      <c r="AE311" s="69" t="e" cm="1">
        <f t="array" ref="AE311">_xlfn.XLOOKUP(Table1[[#This Row],[5 cm2 cell test code]:[5 cm2 cell test code]],[1]!Table1[[Test code]:[Test code]],[1]!Table1[HFR 10 mM KOH/ mOhm cm2],"",0)</f>
        <v>#REF!</v>
      </c>
      <c r="AF311" s="69" t="e" cm="1">
        <f t="array" ref="AF311">_xlfn.XLOOKUP(Table1[[#This Row],[5 cm2 cell test code]:[5 cm2 cell test code]],[1]!Table1[[Test code]:[Test code]],[1]!Table1[Ionic resistance DIW/Ohm cm2],"",0)</f>
        <v>#REF!</v>
      </c>
      <c r="AG311" s="69" t="e" cm="1">
        <f t="array" ref="AG311">_xlfn.XLOOKUP(Table1[[#This Row],[5 cm2 cell test code]:[5 cm2 cell test code]],[1]!Table1[[Test code]:[Test code]],[1]!Table1[Q_int_frac DIW],"",0)</f>
        <v>#REF!</v>
      </c>
      <c r="AH311" s="69" t="e" cm="1">
        <f t="array" ref="AH311">_xlfn.XLOOKUP(Table1[[#This Row],[5 cm2 cell test code]:[5 cm2 cell test code]],[1]!Table1[[Test code]:[Test code]],[1]!Table1[Ionic resistance 10 mM KOH/Ohm cm2],"",0)</f>
        <v>#REF!</v>
      </c>
      <c r="AI311" s="69" t="e" cm="1">
        <f t="array" ref="AI311">_xlfn.XLOOKUP(Table1[[#This Row],[5 cm2 cell test code]:[5 cm2 cell test code]],[1]!Table1[[Test code]:[Test code]],[1]!Table1[Q_int_frac DIW 10 mM KOH],"",0)</f>
        <v>#REF!</v>
      </c>
      <c r="AJ311" s="69" t="e" cm="1">
        <f t="array" ref="AJ311">_xlfn.XLOOKUP(Table1[[#This Row],[5 cm2 cell test code]:[5 cm2 cell test code]],[1]!Table1[[Test code]:[Test code]],[1]!Table1[DIW conductivity (µS/cm)],"",0)</f>
        <v>#REF!</v>
      </c>
      <c r="AQ311" s="4" t="str">
        <v>VSG01A-23220E1.01</v>
      </c>
    </row>
    <row r="312" spans="1:43">
      <c r="A312" s="81"/>
      <c r="B312" s="11" t="s">
        <v>636</v>
      </c>
      <c r="C312" s="4" t="s">
        <v>603</v>
      </c>
      <c r="K312" s="43" t="s">
        <v>59</v>
      </c>
      <c r="M312" s="13">
        <f>(9.22-9.17)*1000/(10*10.02)</f>
        <v>0.49900199600799117</v>
      </c>
      <c r="N312" s="13">
        <v>3.2999999999999976</v>
      </c>
      <c r="U312" s="101"/>
      <c r="V312" s="101"/>
      <c r="W312" s="69" t="e" cm="1">
        <f t="array" ref="W312">_xlfn.XLOOKUP(Table1[[#This Row],[5 cm2 cell test code]:[5 cm2 cell test code]],[1]!Table1[[Test code]:[Test code]],[1]!Table1[i @ 1.8 V DIW (A/cm2)],"",0)</f>
        <v>#REF!</v>
      </c>
      <c r="X312" s="69" t="e" cm="1">
        <f t="array" ref="X312">_xlfn.XLOOKUP(Table1[[#This Row],[5 cm2 cell test code]:[5 cm2 cell test code]],[1]!Table1[[Test code]:[Test code]],[1]!Table1[i @ 1.8 V 10 mM KOH (A/cm2)],"",0)</f>
        <v>#REF!</v>
      </c>
      <c r="Y312" s="69" t="e" cm="1">
        <f t="array" ref="Y312">_xlfn.XLOOKUP(Table1[[#This Row],[5 cm2 cell test code]:[5 cm2 cell test code]],[1]!Table1[[Test code]:[Test code]],[1]!Table1[3-E ƞ at 20mAcm-2 (mV)],"",0)</f>
        <v>#REF!</v>
      </c>
      <c r="Z312" s="69" t="e" cm="1">
        <f t="array" ref="Z312">_xlfn.XLOOKUP(Table1[[#This Row],[5 cm2 cell test code]:[5 cm2 cell test code]],[1]!Table1[[Test code]:[Test code]],[1]!Table1[3-E Tafel slope (mV/dec)],"",0)</f>
        <v>#REF!</v>
      </c>
      <c r="AA312" s="69" t="e" cm="1">
        <f t="array" ref="AA312">_xlfn.XLOOKUP(Table1[[#This Row],[5 cm2 cell test code]:[5 cm2 cell test code]],[1]!Table1[[Test code]:[Test code]],[1]!Table1[E @ 100 mA/cm2 DIW/V],"",0)</f>
        <v>#REF!</v>
      </c>
      <c r="AB312" s="69" t="e" cm="1">
        <f t="array" ref="AB312">_xlfn.XLOOKUP(Table1[[#This Row],[5 cm2 cell test code]:[5 cm2 cell test code]],[1]!Table1[[Test code]:[Test code]],[1]!Table1[E @ 100 mA/cm2 10 mM KOH/V],"",0)</f>
        <v>#REF!</v>
      </c>
      <c r="AC312" s="69" t="e" cm="1">
        <f t="array" ref="AC312">_xlfn.XLOOKUP(Table1[[#This Row],[5 cm2 cell test code]:[5 cm2 cell test code]],[1]!Table1[[Test code]:[Test code]],[1]!Table1[Anode ICR/mOhm],"",0)</f>
        <v>#REF!</v>
      </c>
      <c r="AD312" s="69" t="e" cm="1">
        <f t="array" ref="AD312">_xlfn.XLOOKUP(Table1[[#This Row],[5 cm2 cell test code]:[5 cm2 cell test code]],[1]!Table1[[Test code]:[Test code]],[1]!Table1[HFR DIW/ mOhm cm2],"",0)</f>
        <v>#REF!</v>
      </c>
      <c r="AE312" s="69" t="e" cm="1">
        <f t="array" ref="AE312">_xlfn.XLOOKUP(Table1[[#This Row],[5 cm2 cell test code]:[5 cm2 cell test code]],[1]!Table1[[Test code]:[Test code]],[1]!Table1[HFR 10 mM KOH/ mOhm cm2],"",0)</f>
        <v>#REF!</v>
      </c>
      <c r="AF312" s="69" t="e" cm="1">
        <f t="array" ref="AF312">_xlfn.XLOOKUP(Table1[[#This Row],[5 cm2 cell test code]:[5 cm2 cell test code]],[1]!Table1[[Test code]:[Test code]],[1]!Table1[Ionic resistance DIW/Ohm cm2],"",0)</f>
        <v>#REF!</v>
      </c>
      <c r="AG312" s="69" t="e" cm="1">
        <f t="array" ref="AG312">_xlfn.XLOOKUP(Table1[[#This Row],[5 cm2 cell test code]:[5 cm2 cell test code]],[1]!Table1[[Test code]:[Test code]],[1]!Table1[Q_int_frac DIW],"",0)</f>
        <v>#REF!</v>
      </c>
      <c r="AH312" s="69" t="e" cm="1">
        <f t="array" ref="AH312">_xlfn.XLOOKUP(Table1[[#This Row],[5 cm2 cell test code]:[5 cm2 cell test code]],[1]!Table1[[Test code]:[Test code]],[1]!Table1[Ionic resistance 10 mM KOH/Ohm cm2],"",0)</f>
        <v>#REF!</v>
      </c>
      <c r="AI312" s="69" t="e" cm="1">
        <f t="array" ref="AI312">_xlfn.XLOOKUP(Table1[[#This Row],[5 cm2 cell test code]:[5 cm2 cell test code]],[1]!Table1[[Test code]:[Test code]],[1]!Table1[Q_int_frac DIW 10 mM KOH],"",0)</f>
        <v>#REF!</v>
      </c>
      <c r="AJ312" s="69" t="e" cm="1">
        <f t="array" ref="AJ312">_xlfn.XLOOKUP(Table1[[#This Row],[5 cm2 cell test code]:[5 cm2 cell test code]],[1]!Table1[[Test code]:[Test code]],[1]!Table1[DIW conductivity (µS/cm)],"",0)</f>
        <v>#REF!</v>
      </c>
      <c r="AQ312" s="4" t="str">
        <v>VSG01A-23293E1</v>
      </c>
    </row>
    <row r="313" spans="1:43">
      <c r="A313" s="81"/>
      <c r="B313" s="11" t="s">
        <v>637</v>
      </c>
      <c r="C313" s="4" t="s">
        <v>605</v>
      </c>
      <c r="K313" s="43" t="s">
        <v>59</v>
      </c>
      <c r="P313" s="28">
        <v>0.85070000000000001</v>
      </c>
      <c r="Q313" s="135">
        <v>8.5971459934138308E-2</v>
      </c>
      <c r="U313" s="101" t="s">
        <v>638</v>
      </c>
      <c r="V313" t="s">
        <v>639</v>
      </c>
      <c r="W313" s="69" t="e" cm="1">
        <f t="array" ref="W313">_xlfn.XLOOKUP(Table1[[#This Row],[5 cm2 cell test code]:[5 cm2 cell test code]],[1]!Table1[[Test code]:[Test code]],[1]!Table1[i @ 1.8 V DIW (A/cm2)],"",0)</f>
        <v>#REF!</v>
      </c>
      <c r="X313" s="69" t="e" cm="1">
        <f t="array" ref="X313">_xlfn.XLOOKUP(Table1[[#This Row],[5 cm2 cell test code]:[5 cm2 cell test code]],[1]!Table1[[Test code]:[Test code]],[1]!Table1[i @ 1.8 V 10 mM KOH (A/cm2)],"",0)</f>
        <v>#REF!</v>
      </c>
      <c r="Y313" s="69" t="e" cm="1">
        <f t="array" ref="Y313">_xlfn.XLOOKUP(Table1[[#This Row],[5 cm2 cell test code]:[5 cm2 cell test code]],[1]!Table1[[Test code]:[Test code]],[1]!Table1[3-E ƞ at 20mAcm-2 (mV)],"",0)</f>
        <v>#REF!</v>
      </c>
      <c r="Z313" s="69" t="e" cm="1">
        <f t="array" ref="Z313">_xlfn.XLOOKUP(Table1[[#This Row],[5 cm2 cell test code]:[5 cm2 cell test code]],[1]!Table1[[Test code]:[Test code]],[1]!Table1[3-E Tafel slope (mV/dec)],"",0)</f>
        <v>#REF!</v>
      </c>
      <c r="AA313" s="69" t="e" cm="1">
        <f t="array" ref="AA313">_xlfn.XLOOKUP(Table1[[#This Row],[5 cm2 cell test code]:[5 cm2 cell test code]],[1]!Table1[[Test code]:[Test code]],[1]!Table1[E @ 100 mA/cm2 DIW/V],"",0)</f>
        <v>#REF!</v>
      </c>
      <c r="AB313" s="69" t="e" cm="1">
        <f t="array" ref="AB313">_xlfn.XLOOKUP(Table1[[#This Row],[5 cm2 cell test code]:[5 cm2 cell test code]],[1]!Table1[[Test code]:[Test code]],[1]!Table1[E @ 100 mA/cm2 10 mM KOH/V],"",0)</f>
        <v>#REF!</v>
      </c>
      <c r="AC313" s="69" t="e" cm="1">
        <f t="array" ref="AC313">_xlfn.XLOOKUP(Table1[[#This Row],[5 cm2 cell test code]:[5 cm2 cell test code]],[1]!Table1[[Test code]:[Test code]],[1]!Table1[Anode ICR/mOhm],"",0)</f>
        <v>#REF!</v>
      </c>
      <c r="AD313" s="69" t="e" cm="1">
        <f t="array" ref="AD313">_xlfn.XLOOKUP(Table1[[#This Row],[5 cm2 cell test code]:[5 cm2 cell test code]],[1]!Table1[[Test code]:[Test code]],[1]!Table1[HFR DIW/ mOhm cm2],"",0)</f>
        <v>#REF!</v>
      </c>
      <c r="AE313" s="69" t="e" cm="1">
        <f t="array" ref="AE313">_xlfn.XLOOKUP(Table1[[#This Row],[5 cm2 cell test code]:[5 cm2 cell test code]],[1]!Table1[[Test code]:[Test code]],[1]!Table1[HFR 10 mM KOH/ mOhm cm2],"",0)</f>
        <v>#REF!</v>
      </c>
      <c r="AF313" s="69" t="e" cm="1">
        <f t="array" ref="AF313">_xlfn.XLOOKUP(Table1[[#This Row],[5 cm2 cell test code]:[5 cm2 cell test code]],[1]!Table1[[Test code]:[Test code]],[1]!Table1[Ionic resistance DIW/Ohm cm2],"",0)</f>
        <v>#REF!</v>
      </c>
      <c r="AG313" s="69" t="e" cm="1">
        <f t="array" ref="AG313">_xlfn.XLOOKUP(Table1[[#This Row],[5 cm2 cell test code]:[5 cm2 cell test code]],[1]!Table1[[Test code]:[Test code]],[1]!Table1[Q_int_frac DIW],"",0)</f>
        <v>#REF!</v>
      </c>
      <c r="AH313" s="69" t="e" cm="1">
        <f t="array" ref="AH313">_xlfn.XLOOKUP(Table1[[#This Row],[5 cm2 cell test code]:[5 cm2 cell test code]],[1]!Table1[[Test code]:[Test code]],[1]!Table1[Ionic resistance 10 mM KOH/Ohm cm2],"",0)</f>
        <v>#REF!</v>
      </c>
      <c r="AI313" s="69" t="e" cm="1">
        <f t="array" ref="AI313">_xlfn.XLOOKUP(Table1[[#This Row],[5 cm2 cell test code]:[5 cm2 cell test code]],[1]!Table1[[Test code]:[Test code]],[1]!Table1[Q_int_frac DIW 10 mM KOH],"",0)</f>
        <v>#REF!</v>
      </c>
      <c r="AJ313" s="69" t="e" cm="1">
        <f t="array" ref="AJ313">_xlfn.XLOOKUP(Table1[[#This Row],[5 cm2 cell test code]:[5 cm2 cell test code]],[1]!Table1[[Test code]:[Test code]],[1]!Table1[DIW conductivity (µS/cm)],"",0)</f>
        <v>#REF!</v>
      </c>
      <c r="AQ313" s="4" t="str">
        <v>VSG01A-23293E1.01</v>
      </c>
    </row>
    <row r="314" spans="1:43">
      <c r="A314" s="81"/>
      <c r="B314" s="11" t="s">
        <v>640</v>
      </c>
      <c r="C314" s="4" t="s">
        <v>609</v>
      </c>
      <c r="K314" s="43" t="s">
        <v>59</v>
      </c>
      <c r="P314" s="28">
        <v>1.712</v>
      </c>
      <c r="Q314" s="135">
        <v>7.6799999999999993E-2</v>
      </c>
      <c r="U314" s="101"/>
      <c r="V314" s="101"/>
      <c r="W314" s="69" t="e" cm="1">
        <f t="array" ref="W314">_xlfn.XLOOKUP(Table1[[#This Row],[5 cm2 cell test code]:[5 cm2 cell test code]],[1]!Table1[[Test code]:[Test code]],[1]!Table1[i @ 1.8 V DIW (A/cm2)],"",0)</f>
        <v>#REF!</v>
      </c>
      <c r="X314" s="69" t="e" cm="1">
        <f t="array" ref="X314">_xlfn.XLOOKUP(Table1[[#This Row],[5 cm2 cell test code]:[5 cm2 cell test code]],[1]!Table1[[Test code]:[Test code]],[1]!Table1[i @ 1.8 V 10 mM KOH (A/cm2)],"",0)</f>
        <v>#REF!</v>
      </c>
      <c r="Y314" s="69" t="e" cm="1">
        <f t="array" ref="Y314">_xlfn.XLOOKUP(Table1[[#This Row],[5 cm2 cell test code]:[5 cm2 cell test code]],[1]!Table1[[Test code]:[Test code]],[1]!Table1[3-E ƞ at 20mAcm-2 (mV)],"",0)</f>
        <v>#REF!</v>
      </c>
      <c r="Z314" s="69" t="e" cm="1">
        <f t="array" ref="Z314">_xlfn.XLOOKUP(Table1[[#This Row],[5 cm2 cell test code]:[5 cm2 cell test code]],[1]!Table1[[Test code]:[Test code]],[1]!Table1[3-E Tafel slope (mV/dec)],"",0)</f>
        <v>#REF!</v>
      </c>
      <c r="AA314" s="69" t="e" cm="1">
        <f t="array" ref="AA314">_xlfn.XLOOKUP(Table1[[#This Row],[5 cm2 cell test code]:[5 cm2 cell test code]],[1]!Table1[[Test code]:[Test code]],[1]!Table1[E @ 100 mA/cm2 DIW/V],"",0)</f>
        <v>#REF!</v>
      </c>
      <c r="AB314" s="69" t="e" cm="1">
        <f t="array" ref="AB314">_xlfn.XLOOKUP(Table1[[#This Row],[5 cm2 cell test code]:[5 cm2 cell test code]],[1]!Table1[[Test code]:[Test code]],[1]!Table1[E @ 100 mA/cm2 10 mM KOH/V],"",0)</f>
        <v>#REF!</v>
      </c>
      <c r="AC314" s="69" t="e" cm="1">
        <f t="array" ref="AC314">_xlfn.XLOOKUP(Table1[[#This Row],[5 cm2 cell test code]:[5 cm2 cell test code]],[1]!Table1[[Test code]:[Test code]],[1]!Table1[Anode ICR/mOhm],"",0)</f>
        <v>#REF!</v>
      </c>
      <c r="AD314" s="69" t="e" cm="1">
        <f t="array" ref="AD314">_xlfn.XLOOKUP(Table1[[#This Row],[5 cm2 cell test code]:[5 cm2 cell test code]],[1]!Table1[[Test code]:[Test code]],[1]!Table1[HFR DIW/ mOhm cm2],"",0)</f>
        <v>#REF!</v>
      </c>
      <c r="AE314" s="69" t="e" cm="1">
        <f t="array" ref="AE314">_xlfn.XLOOKUP(Table1[[#This Row],[5 cm2 cell test code]:[5 cm2 cell test code]],[1]!Table1[[Test code]:[Test code]],[1]!Table1[HFR 10 mM KOH/ mOhm cm2],"",0)</f>
        <v>#REF!</v>
      </c>
      <c r="AF314" s="69" t="e" cm="1">
        <f t="array" ref="AF314">_xlfn.XLOOKUP(Table1[[#This Row],[5 cm2 cell test code]:[5 cm2 cell test code]],[1]!Table1[[Test code]:[Test code]],[1]!Table1[Ionic resistance DIW/Ohm cm2],"",0)</f>
        <v>#REF!</v>
      </c>
      <c r="AG314" s="69" t="e" cm="1">
        <f t="array" ref="AG314">_xlfn.XLOOKUP(Table1[[#This Row],[5 cm2 cell test code]:[5 cm2 cell test code]],[1]!Table1[[Test code]:[Test code]],[1]!Table1[Q_int_frac DIW],"",0)</f>
        <v>#REF!</v>
      </c>
      <c r="AH314" s="69" t="e" cm="1">
        <f t="array" ref="AH314">_xlfn.XLOOKUP(Table1[[#This Row],[5 cm2 cell test code]:[5 cm2 cell test code]],[1]!Table1[[Test code]:[Test code]],[1]!Table1[Ionic resistance 10 mM KOH/Ohm cm2],"",0)</f>
        <v>#REF!</v>
      </c>
      <c r="AI314" s="69" t="e" cm="1">
        <f t="array" ref="AI314">_xlfn.XLOOKUP(Table1[[#This Row],[5 cm2 cell test code]:[5 cm2 cell test code]],[1]!Table1[[Test code]:[Test code]],[1]!Table1[Q_int_frac DIW 10 mM KOH],"",0)</f>
        <v>#REF!</v>
      </c>
      <c r="AJ314" s="69" t="e" cm="1">
        <f t="array" ref="AJ314">_xlfn.XLOOKUP(Table1[[#This Row],[5 cm2 cell test code]:[5 cm2 cell test code]],[1]!Table1[[Test code]:[Test code]],[1]!Table1[DIW conductivity (µS/cm)],"",0)</f>
        <v>#REF!</v>
      </c>
      <c r="AQ314" s="4" t="str">
        <v>VSG01A-23296E1</v>
      </c>
    </row>
    <row r="315" spans="1:43">
      <c r="A315" s="81"/>
      <c r="B315" s="11" t="s">
        <v>641</v>
      </c>
      <c r="C315" s="4" t="s">
        <v>614</v>
      </c>
      <c r="K315" s="43" t="s">
        <v>59</v>
      </c>
      <c r="P315" s="28">
        <v>1.367</v>
      </c>
      <c r="Q315" s="135">
        <v>7.4300000000000005E-2</v>
      </c>
      <c r="U315" s="101" t="s">
        <v>642</v>
      </c>
      <c r="V315" t="s">
        <v>643</v>
      </c>
      <c r="W315" s="69" t="e" cm="1">
        <f t="array" ref="W315">_xlfn.XLOOKUP(Table1[[#This Row],[5 cm2 cell test code]:[5 cm2 cell test code]],[1]!Table1[[Test code]:[Test code]],[1]!Table1[i @ 1.8 V DIW (A/cm2)],"",0)</f>
        <v>#REF!</v>
      </c>
      <c r="X315" s="69" t="e" cm="1">
        <f t="array" ref="X315">_xlfn.XLOOKUP(Table1[[#This Row],[5 cm2 cell test code]:[5 cm2 cell test code]],[1]!Table1[[Test code]:[Test code]],[1]!Table1[i @ 1.8 V 10 mM KOH (A/cm2)],"",0)</f>
        <v>#REF!</v>
      </c>
      <c r="Y315" s="69" t="e" cm="1">
        <f t="array" ref="Y315">_xlfn.XLOOKUP(Table1[[#This Row],[5 cm2 cell test code]:[5 cm2 cell test code]],[1]!Table1[[Test code]:[Test code]],[1]!Table1[3-E ƞ at 20mAcm-2 (mV)],"",0)</f>
        <v>#REF!</v>
      </c>
      <c r="Z315" s="69" t="e" cm="1">
        <f t="array" ref="Z315">_xlfn.XLOOKUP(Table1[[#This Row],[5 cm2 cell test code]:[5 cm2 cell test code]],[1]!Table1[[Test code]:[Test code]],[1]!Table1[3-E Tafel slope (mV/dec)],"",0)</f>
        <v>#REF!</v>
      </c>
      <c r="AA315" s="69" t="e" cm="1">
        <f t="array" ref="AA315">_xlfn.XLOOKUP(Table1[[#This Row],[5 cm2 cell test code]:[5 cm2 cell test code]],[1]!Table1[[Test code]:[Test code]],[1]!Table1[E @ 100 mA/cm2 DIW/V],"",0)</f>
        <v>#REF!</v>
      </c>
      <c r="AB315" s="69" t="e" cm="1">
        <f t="array" ref="AB315">_xlfn.XLOOKUP(Table1[[#This Row],[5 cm2 cell test code]:[5 cm2 cell test code]],[1]!Table1[[Test code]:[Test code]],[1]!Table1[E @ 100 mA/cm2 10 mM KOH/V],"",0)</f>
        <v>#REF!</v>
      </c>
      <c r="AC315" s="69" t="e" cm="1">
        <f t="array" ref="AC315">_xlfn.XLOOKUP(Table1[[#This Row],[5 cm2 cell test code]:[5 cm2 cell test code]],[1]!Table1[[Test code]:[Test code]],[1]!Table1[Anode ICR/mOhm],"",0)</f>
        <v>#REF!</v>
      </c>
      <c r="AD315" s="69" t="e" cm="1">
        <f t="array" ref="AD315">_xlfn.XLOOKUP(Table1[[#This Row],[5 cm2 cell test code]:[5 cm2 cell test code]],[1]!Table1[[Test code]:[Test code]],[1]!Table1[HFR DIW/ mOhm cm2],"",0)</f>
        <v>#REF!</v>
      </c>
      <c r="AE315" s="69" t="e" cm="1">
        <f t="array" ref="AE315">_xlfn.XLOOKUP(Table1[[#This Row],[5 cm2 cell test code]:[5 cm2 cell test code]],[1]!Table1[[Test code]:[Test code]],[1]!Table1[HFR 10 mM KOH/ mOhm cm2],"",0)</f>
        <v>#REF!</v>
      </c>
      <c r="AF315" s="69" t="e" cm="1">
        <f t="array" ref="AF315">_xlfn.XLOOKUP(Table1[[#This Row],[5 cm2 cell test code]:[5 cm2 cell test code]],[1]!Table1[[Test code]:[Test code]],[1]!Table1[Ionic resistance DIW/Ohm cm2],"",0)</f>
        <v>#REF!</v>
      </c>
      <c r="AG315" s="69" t="e" cm="1">
        <f t="array" ref="AG315">_xlfn.XLOOKUP(Table1[[#This Row],[5 cm2 cell test code]:[5 cm2 cell test code]],[1]!Table1[[Test code]:[Test code]],[1]!Table1[Q_int_frac DIW],"",0)</f>
        <v>#REF!</v>
      </c>
      <c r="AH315" s="69" t="e" cm="1">
        <f t="array" ref="AH315">_xlfn.XLOOKUP(Table1[[#This Row],[5 cm2 cell test code]:[5 cm2 cell test code]],[1]!Table1[[Test code]:[Test code]],[1]!Table1[Ionic resistance 10 mM KOH/Ohm cm2],"",0)</f>
        <v>#REF!</v>
      </c>
      <c r="AI315" s="69" t="e" cm="1">
        <f t="array" ref="AI315">_xlfn.XLOOKUP(Table1[[#This Row],[5 cm2 cell test code]:[5 cm2 cell test code]],[1]!Table1[[Test code]:[Test code]],[1]!Table1[Q_int_frac DIW 10 mM KOH],"",0)</f>
        <v>#REF!</v>
      </c>
      <c r="AJ315" s="69" t="e" cm="1">
        <f t="array" ref="AJ315">_xlfn.XLOOKUP(Table1[[#This Row],[5 cm2 cell test code]:[5 cm2 cell test code]],[1]!Table1[[Test code]:[Test code]],[1]!Table1[DIW conductivity (µS/cm)],"",0)</f>
        <v>#REF!</v>
      </c>
      <c r="AQ315" s="4" t="str">
        <v>VSG01A-23296E1.01</v>
      </c>
    </row>
    <row r="316" spans="1:43">
      <c r="A316" s="81"/>
      <c r="B316" s="11" t="s">
        <v>644</v>
      </c>
      <c r="C316" s="4" t="s">
        <v>609</v>
      </c>
      <c r="K316" s="43" t="s">
        <v>59</v>
      </c>
      <c r="P316" s="28">
        <v>1.4810000000000001</v>
      </c>
      <c r="Q316" s="135">
        <v>7.0699999999999999E-2</v>
      </c>
      <c r="U316" s="101"/>
      <c r="V316" s="101"/>
      <c r="W316" s="69" t="e" cm="1">
        <f t="array" ref="W316">_xlfn.XLOOKUP(Table1[[#This Row],[5 cm2 cell test code]:[5 cm2 cell test code]],[1]!Table1[[Test code]:[Test code]],[1]!Table1[i @ 1.8 V DIW (A/cm2)],"",0)</f>
        <v>#REF!</v>
      </c>
      <c r="X316" s="69" t="e" cm="1">
        <f t="array" ref="X316">_xlfn.XLOOKUP(Table1[[#This Row],[5 cm2 cell test code]:[5 cm2 cell test code]],[1]!Table1[[Test code]:[Test code]],[1]!Table1[i @ 1.8 V 10 mM KOH (A/cm2)],"",0)</f>
        <v>#REF!</v>
      </c>
      <c r="Y316" s="69" t="e" cm="1">
        <f t="array" ref="Y316">_xlfn.XLOOKUP(Table1[[#This Row],[5 cm2 cell test code]:[5 cm2 cell test code]],[1]!Table1[[Test code]:[Test code]],[1]!Table1[3-E ƞ at 20mAcm-2 (mV)],"",0)</f>
        <v>#REF!</v>
      </c>
      <c r="Z316" s="69" t="e" cm="1">
        <f t="array" ref="Z316">_xlfn.XLOOKUP(Table1[[#This Row],[5 cm2 cell test code]:[5 cm2 cell test code]],[1]!Table1[[Test code]:[Test code]],[1]!Table1[3-E Tafel slope (mV/dec)],"",0)</f>
        <v>#REF!</v>
      </c>
      <c r="AA316" s="69" t="e" cm="1">
        <f t="array" ref="AA316">_xlfn.XLOOKUP(Table1[[#This Row],[5 cm2 cell test code]:[5 cm2 cell test code]],[1]!Table1[[Test code]:[Test code]],[1]!Table1[E @ 100 mA/cm2 DIW/V],"",0)</f>
        <v>#REF!</v>
      </c>
      <c r="AB316" s="69" t="e" cm="1">
        <f t="array" ref="AB316">_xlfn.XLOOKUP(Table1[[#This Row],[5 cm2 cell test code]:[5 cm2 cell test code]],[1]!Table1[[Test code]:[Test code]],[1]!Table1[E @ 100 mA/cm2 10 mM KOH/V],"",0)</f>
        <v>#REF!</v>
      </c>
      <c r="AC316" s="69" t="e" cm="1">
        <f t="array" ref="AC316">_xlfn.XLOOKUP(Table1[[#This Row],[5 cm2 cell test code]:[5 cm2 cell test code]],[1]!Table1[[Test code]:[Test code]],[1]!Table1[Anode ICR/mOhm],"",0)</f>
        <v>#REF!</v>
      </c>
      <c r="AD316" s="69" t="e" cm="1">
        <f t="array" ref="AD316">_xlfn.XLOOKUP(Table1[[#This Row],[5 cm2 cell test code]:[5 cm2 cell test code]],[1]!Table1[[Test code]:[Test code]],[1]!Table1[HFR DIW/ mOhm cm2],"",0)</f>
        <v>#REF!</v>
      </c>
      <c r="AE316" s="69" t="e" cm="1">
        <f t="array" ref="AE316">_xlfn.XLOOKUP(Table1[[#This Row],[5 cm2 cell test code]:[5 cm2 cell test code]],[1]!Table1[[Test code]:[Test code]],[1]!Table1[HFR 10 mM KOH/ mOhm cm2],"",0)</f>
        <v>#REF!</v>
      </c>
      <c r="AF316" s="69" t="e" cm="1">
        <f t="array" ref="AF316">_xlfn.XLOOKUP(Table1[[#This Row],[5 cm2 cell test code]:[5 cm2 cell test code]],[1]!Table1[[Test code]:[Test code]],[1]!Table1[Ionic resistance DIW/Ohm cm2],"",0)</f>
        <v>#REF!</v>
      </c>
      <c r="AG316" s="69" t="e" cm="1">
        <f t="array" ref="AG316">_xlfn.XLOOKUP(Table1[[#This Row],[5 cm2 cell test code]:[5 cm2 cell test code]],[1]!Table1[[Test code]:[Test code]],[1]!Table1[Q_int_frac DIW],"",0)</f>
        <v>#REF!</v>
      </c>
      <c r="AH316" s="69" t="e" cm="1">
        <f t="array" ref="AH316">_xlfn.XLOOKUP(Table1[[#This Row],[5 cm2 cell test code]:[5 cm2 cell test code]],[1]!Table1[[Test code]:[Test code]],[1]!Table1[Ionic resistance 10 mM KOH/Ohm cm2],"",0)</f>
        <v>#REF!</v>
      </c>
      <c r="AI316" s="69" t="e" cm="1">
        <f t="array" ref="AI316">_xlfn.XLOOKUP(Table1[[#This Row],[5 cm2 cell test code]:[5 cm2 cell test code]],[1]!Table1[[Test code]:[Test code]],[1]!Table1[Q_int_frac DIW 10 mM KOH],"",0)</f>
        <v>#REF!</v>
      </c>
      <c r="AJ316" s="69" t="e" cm="1">
        <f t="array" ref="AJ316">_xlfn.XLOOKUP(Table1[[#This Row],[5 cm2 cell test code]:[5 cm2 cell test code]],[1]!Table1[[Test code]:[Test code]],[1]!Table1[DIW conductivity (µS/cm)],"",0)</f>
        <v>#REF!</v>
      </c>
      <c r="AQ316" s="4" t="str">
        <v>VSG01A-23296E1.02</v>
      </c>
    </row>
    <row r="317" spans="1:43">
      <c r="A317" s="81"/>
      <c r="B317" s="11" t="s">
        <v>645</v>
      </c>
      <c r="C317" s="4" t="s">
        <v>605</v>
      </c>
      <c r="K317" s="43" t="s">
        <v>59</v>
      </c>
      <c r="P317" s="28">
        <v>0.92010000000000003</v>
      </c>
      <c r="Q317" s="135">
        <v>6.6027780768816616E-2</v>
      </c>
      <c r="U317" s="101" t="s">
        <v>646</v>
      </c>
      <c r="V317" t="s">
        <v>647</v>
      </c>
      <c r="W317" s="69" t="e" cm="1">
        <f t="array" ref="W317">_xlfn.XLOOKUP(Table1[[#This Row],[5 cm2 cell test code]:[5 cm2 cell test code]],[1]!Table1[[Test code]:[Test code]],[1]!Table1[i @ 1.8 V DIW (A/cm2)],"",0)</f>
        <v>#REF!</v>
      </c>
      <c r="X317" s="69" t="e" cm="1">
        <f t="array" ref="X317">_xlfn.XLOOKUP(Table1[[#This Row],[5 cm2 cell test code]:[5 cm2 cell test code]],[1]!Table1[[Test code]:[Test code]],[1]!Table1[i @ 1.8 V 10 mM KOH (A/cm2)],"",0)</f>
        <v>#REF!</v>
      </c>
      <c r="Y317" s="69" t="e" cm="1">
        <f t="array" ref="Y317">_xlfn.XLOOKUP(Table1[[#This Row],[5 cm2 cell test code]:[5 cm2 cell test code]],[1]!Table1[[Test code]:[Test code]],[1]!Table1[3-E ƞ at 20mAcm-2 (mV)],"",0)</f>
        <v>#REF!</v>
      </c>
      <c r="Z317" s="69" t="e" cm="1">
        <f t="array" ref="Z317">_xlfn.XLOOKUP(Table1[[#This Row],[5 cm2 cell test code]:[5 cm2 cell test code]],[1]!Table1[[Test code]:[Test code]],[1]!Table1[3-E Tafel slope (mV/dec)],"",0)</f>
        <v>#REF!</v>
      </c>
      <c r="AA317" s="69" t="e" cm="1">
        <f t="array" ref="AA317">_xlfn.XLOOKUP(Table1[[#This Row],[5 cm2 cell test code]:[5 cm2 cell test code]],[1]!Table1[[Test code]:[Test code]],[1]!Table1[E @ 100 mA/cm2 DIW/V],"",0)</f>
        <v>#REF!</v>
      </c>
      <c r="AB317" s="69" t="e" cm="1">
        <f t="array" ref="AB317">_xlfn.XLOOKUP(Table1[[#This Row],[5 cm2 cell test code]:[5 cm2 cell test code]],[1]!Table1[[Test code]:[Test code]],[1]!Table1[E @ 100 mA/cm2 10 mM KOH/V],"",0)</f>
        <v>#REF!</v>
      </c>
      <c r="AC317" s="69" t="e" cm="1">
        <f t="array" ref="AC317">_xlfn.XLOOKUP(Table1[[#This Row],[5 cm2 cell test code]:[5 cm2 cell test code]],[1]!Table1[[Test code]:[Test code]],[1]!Table1[Anode ICR/mOhm],"",0)</f>
        <v>#REF!</v>
      </c>
      <c r="AD317" s="69" t="e" cm="1">
        <f t="array" ref="AD317">_xlfn.XLOOKUP(Table1[[#This Row],[5 cm2 cell test code]:[5 cm2 cell test code]],[1]!Table1[[Test code]:[Test code]],[1]!Table1[HFR DIW/ mOhm cm2],"",0)</f>
        <v>#REF!</v>
      </c>
      <c r="AE317" s="69" t="e" cm="1">
        <f t="array" ref="AE317">_xlfn.XLOOKUP(Table1[[#This Row],[5 cm2 cell test code]:[5 cm2 cell test code]],[1]!Table1[[Test code]:[Test code]],[1]!Table1[HFR 10 mM KOH/ mOhm cm2],"",0)</f>
        <v>#REF!</v>
      </c>
      <c r="AF317" s="69" t="e" cm="1">
        <f t="array" ref="AF317">_xlfn.XLOOKUP(Table1[[#This Row],[5 cm2 cell test code]:[5 cm2 cell test code]],[1]!Table1[[Test code]:[Test code]],[1]!Table1[Ionic resistance DIW/Ohm cm2],"",0)</f>
        <v>#REF!</v>
      </c>
      <c r="AG317" s="69" t="e" cm="1">
        <f t="array" ref="AG317">_xlfn.XLOOKUP(Table1[[#This Row],[5 cm2 cell test code]:[5 cm2 cell test code]],[1]!Table1[[Test code]:[Test code]],[1]!Table1[Q_int_frac DIW],"",0)</f>
        <v>#REF!</v>
      </c>
      <c r="AH317" s="69" t="e" cm="1">
        <f t="array" ref="AH317">_xlfn.XLOOKUP(Table1[[#This Row],[5 cm2 cell test code]:[5 cm2 cell test code]],[1]!Table1[[Test code]:[Test code]],[1]!Table1[Ionic resistance 10 mM KOH/Ohm cm2],"",0)</f>
        <v>#REF!</v>
      </c>
      <c r="AI317" s="69" t="e" cm="1">
        <f t="array" ref="AI317">_xlfn.XLOOKUP(Table1[[#This Row],[5 cm2 cell test code]:[5 cm2 cell test code]],[1]!Table1[[Test code]:[Test code]],[1]!Table1[Q_int_frac DIW 10 mM KOH],"",0)</f>
        <v>#REF!</v>
      </c>
      <c r="AJ317" s="69" t="e" cm="1">
        <f t="array" ref="AJ317">_xlfn.XLOOKUP(Table1[[#This Row],[5 cm2 cell test code]:[5 cm2 cell test code]],[1]!Table1[[Test code]:[Test code]],[1]!Table1[DIW conductivity (µS/cm)],"",0)</f>
        <v>#REF!</v>
      </c>
      <c r="AQ317" s="4" t="str">
        <v>VSG01A-23297E1</v>
      </c>
    </row>
    <row r="318" spans="1:43">
      <c r="A318" s="81"/>
      <c r="B318" s="11" t="s">
        <v>648</v>
      </c>
      <c r="C318" s="4" t="s">
        <v>614</v>
      </c>
      <c r="K318" s="43" t="s">
        <v>59</v>
      </c>
      <c r="P318" s="28">
        <v>1.216</v>
      </c>
      <c r="Q318" s="135">
        <v>6.1440000000000002E-2</v>
      </c>
      <c r="U318" s="101" t="s">
        <v>649</v>
      </c>
      <c r="V318" s="17" t="s">
        <v>650</v>
      </c>
      <c r="W318" s="69" t="e" cm="1">
        <f t="array" ref="W318">_xlfn.XLOOKUP(Table1[[#This Row],[5 cm2 cell test code]:[5 cm2 cell test code]],[1]!Table1[[Test code]:[Test code]],[1]!Table1[i @ 1.8 V DIW (A/cm2)],"",0)</f>
        <v>#REF!</v>
      </c>
      <c r="X318" s="69" t="e" cm="1">
        <f t="array" ref="X318">_xlfn.XLOOKUP(Table1[[#This Row],[5 cm2 cell test code]:[5 cm2 cell test code]],[1]!Table1[[Test code]:[Test code]],[1]!Table1[i @ 1.8 V 10 mM KOH (A/cm2)],"",0)</f>
        <v>#REF!</v>
      </c>
      <c r="Y318" s="69" t="e" cm="1">
        <f t="array" ref="Y318">_xlfn.XLOOKUP(Table1[[#This Row],[5 cm2 cell test code]:[5 cm2 cell test code]],[1]!Table1[[Test code]:[Test code]],[1]!Table1[3-E ƞ at 20mAcm-2 (mV)],"",0)</f>
        <v>#REF!</v>
      </c>
      <c r="Z318" s="69" t="e" cm="1">
        <f t="array" ref="Z318">_xlfn.XLOOKUP(Table1[[#This Row],[5 cm2 cell test code]:[5 cm2 cell test code]],[1]!Table1[[Test code]:[Test code]],[1]!Table1[3-E Tafel slope (mV/dec)],"",0)</f>
        <v>#REF!</v>
      </c>
      <c r="AA318" s="69" t="e" cm="1">
        <f t="array" ref="AA318">_xlfn.XLOOKUP(Table1[[#This Row],[5 cm2 cell test code]:[5 cm2 cell test code]],[1]!Table1[[Test code]:[Test code]],[1]!Table1[E @ 100 mA/cm2 DIW/V],"",0)</f>
        <v>#REF!</v>
      </c>
      <c r="AB318" s="69" t="e" cm="1">
        <f t="array" ref="AB318">_xlfn.XLOOKUP(Table1[[#This Row],[5 cm2 cell test code]:[5 cm2 cell test code]],[1]!Table1[[Test code]:[Test code]],[1]!Table1[E @ 100 mA/cm2 10 mM KOH/V],"",0)</f>
        <v>#REF!</v>
      </c>
      <c r="AC318" s="69" t="e" cm="1">
        <f t="array" ref="AC318">_xlfn.XLOOKUP(Table1[[#This Row],[5 cm2 cell test code]:[5 cm2 cell test code]],[1]!Table1[[Test code]:[Test code]],[1]!Table1[Anode ICR/mOhm],"",0)</f>
        <v>#REF!</v>
      </c>
      <c r="AD318" s="69" t="e" cm="1">
        <f t="array" ref="AD318">_xlfn.XLOOKUP(Table1[[#This Row],[5 cm2 cell test code]:[5 cm2 cell test code]],[1]!Table1[[Test code]:[Test code]],[1]!Table1[HFR DIW/ mOhm cm2],"",0)</f>
        <v>#REF!</v>
      </c>
      <c r="AE318" s="69" t="e" cm="1">
        <f t="array" ref="AE318">_xlfn.XLOOKUP(Table1[[#This Row],[5 cm2 cell test code]:[5 cm2 cell test code]],[1]!Table1[[Test code]:[Test code]],[1]!Table1[HFR 10 mM KOH/ mOhm cm2],"",0)</f>
        <v>#REF!</v>
      </c>
      <c r="AF318" s="69" t="e" cm="1">
        <f t="array" ref="AF318">_xlfn.XLOOKUP(Table1[[#This Row],[5 cm2 cell test code]:[5 cm2 cell test code]],[1]!Table1[[Test code]:[Test code]],[1]!Table1[Ionic resistance DIW/Ohm cm2],"",0)</f>
        <v>#REF!</v>
      </c>
      <c r="AG318" s="69" t="e" cm="1">
        <f t="array" ref="AG318">_xlfn.XLOOKUP(Table1[[#This Row],[5 cm2 cell test code]:[5 cm2 cell test code]],[1]!Table1[[Test code]:[Test code]],[1]!Table1[Q_int_frac DIW],"",0)</f>
        <v>#REF!</v>
      </c>
      <c r="AH318" s="69" t="e" cm="1">
        <f t="array" ref="AH318">_xlfn.XLOOKUP(Table1[[#This Row],[5 cm2 cell test code]:[5 cm2 cell test code]],[1]!Table1[[Test code]:[Test code]],[1]!Table1[Ionic resistance 10 mM KOH/Ohm cm2],"",0)</f>
        <v>#REF!</v>
      </c>
      <c r="AI318" s="69" t="e" cm="1">
        <f t="array" ref="AI318">_xlfn.XLOOKUP(Table1[[#This Row],[5 cm2 cell test code]:[5 cm2 cell test code]],[1]!Table1[[Test code]:[Test code]],[1]!Table1[Q_int_frac DIW 10 mM KOH],"",0)</f>
        <v>#REF!</v>
      </c>
      <c r="AJ318" s="69" t="e" cm="1">
        <f t="array" ref="AJ318">_xlfn.XLOOKUP(Table1[[#This Row],[5 cm2 cell test code]:[5 cm2 cell test code]],[1]!Table1[[Test code]:[Test code]],[1]!Table1[DIW conductivity (µS/cm)],"",0)</f>
        <v>#REF!</v>
      </c>
      <c r="AQ318" s="4" t="str">
        <v>VSG01A-23298E1</v>
      </c>
    </row>
    <row r="319" spans="1:43">
      <c r="A319" s="81"/>
      <c r="B319" s="11" t="s">
        <v>651</v>
      </c>
      <c r="C319" s="4" t="s">
        <v>652</v>
      </c>
      <c r="K319" s="43" t="s">
        <v>59</v>
      </c>
      <c r="M319" s="13">
        <f>(9.23-9.22)*1000/(10.05*10.06)</f>
        <v>9.8909033362014842E-2</v>
      </c>
      <c r="N319" s="13">
        <v>3.4999999999999964</v>
      </c>
      <c r="U319" s="101"/>
      <c r="V319" s="101"/>
      <c r="W319" s="69" t="e" cm="1">
        <f t="array" ref="W319">_xlfn.XLOOKUP(Table1[[#This Row],[5 cm2 cell test code]:[5 cm2 cell test code]],[1]!Table1[[Test code]:[Test code]],[1]!Table1[i @ 1.8 V DIW (A/cm2)],"",0)</f>
        <v>#REF!</v>
      </c>
      <c r="X319" s="69" t="e" cm="1">
        <f t="array" ref="X319">_xlfn.XLOOKUP(Table1[[#This Row],[5 cm2 cell test code]:[5 cm2 cell test code]],[1]!Table1[[Test code]:[Test code]],[1]!Table1[i @ 1.8 V 10 mM KOH (A/cm2)],"",0)</f>
        <v>#REF!</v>
      </c>
      <c r="Y319" s="69" t="e" cm="1">
        <f t="array" ref="Y319">_xlfn.XLOOKUP(Table1[[#This Row],[5 cm2 cell test code]:[5 cm2 cell test code]],[1]!Table1[[Test code]:[Test code]],[1]!Table1[3-E ƞ at 20mAcm-2 (mV)],"",0)</f>
        <v>#REF!</v>
      </c>
      <c r="Z319" s="69" t="e" cm="1">
        <f t="array" ref="Z319">_xlfn.XLOOKUP(Table1[[#This Row],[5 cm2 cell test code]:[5 cm2 cell test code]],[1]!Table1[[Test code]:[Test code]],[1]!Table1[3-E Tafel slope (mV/dec)],"",0)</f>
        <v>#REF!</v>
      </c>
      <c r="AA319" s="69" t="e" cm="1">
        <f t="array" ref="AA319">_xlfn.XLOOKUP(Table1[[#This Row],[5 cm2 cell test code]:[5 cm2 cell test code]],[1]!Table1[[Test code]:[Test code]],[1]!Table1[E @ 100 mA/cm2 DIW/V],"",0)</f>
        <v>#REF!</v>
      </c>
      <c r="AB319" s="69" t="e" cm="1">
        <f t="array" ref="AB319">_xlfn.XLOOKUP(Table1[[#This Row],[5 cm2 cell test code]:[5 cm2 cell test code]],[1]!Table1[[Test code]:[Test code]],[1]!Table1[E @ 100 mA/cm2 10 mM KOH/V],"",0)</f>
        <v>#REF!</v>
      </c>
      <c r="AC319" s="69" t="e" cm="1">
        <f t="array" ref="AC319">_xlfn.XLOOKUP(Table1[[#This Row],[5 cm2 cell test code]:[5 cm2 cell test code]],[1]!Table1[[Test code]:[Test code]],[1]!Table1[Anode ICR/mOhm],"",0)</f>
        <v>#REF!</v>
      </c>
      <c r="AD319" s="69" t="e" cm="1">
        <f t="array" ref="AD319">_xlfn.XLOOKUP(Table1[[#This Row],[5 cm2 cell test code]:[5 cm2 cell test code]],[1]!Table1[[Test code]:[Test code]],[1]!Table1[HFR DIW/ mOhm cm2],"",0)</f>
        <v>#REF!</v>
      </c>
      <c r="AE319" s="69" t="e" cm="1">
        <f t="array" ref="AE319">_xlfn.XLOOKUP(Table1[[#This Row],[5 cm2 cell test code]:[5 cm2 cell test code]],[1]!Table1[[Test code]:[Test code]],[1]!Table1[HFR 10 mM KOH/ mOhm cm2],"",0)</f>
        <v>#REF!</v>
      </c>
      <c r="AF319" s="69" t="e" cm="1">
        <f t="array" ref="AF319">_xlfn.XLOOKUP(Table1[[#This Row],[5 cm2 cell test code]:[5 cm2 cell test code]],[1]!Table1[[Test code]:[Test code]],[1]!Table1[Ionic resistance DIW/Ohm cm2],"",0)</f>
        <v>#REF!</v>
      </c>
      <c r="AG319" s="69" t="e" cm="1">
        <f t="array" ref="AG319">_xlfn.XLOOKUP(Table1[[#This Row],[5 cm2 cell test code]:[5 cm2 cell test code]],[1]!Table1[[Test code]:[Test code]],[1]!Table1[Q_int_frac DIW],"",0)</f>
        <v>#REF!</v>
      </c>
      <c r="AH319" s="69" t="e" cm="1">
        <f t="array" ref="AH319">_xlfn.XLOOKUP(Table1[[#This Row],[5 cm2 cell test code]:[5 cm2 cell test code]],[1]!Table1[[Test code]:[Test code]],[1]!Table1[Ionic resistance 10 mM KOH/Ohm cm2],"",0)</f>
        <v>#REF!</v>
      </c>
      <c r="AI319" s="69" t="e" cm="1">
        <f t="array" ref="AI319">_xlfn.XLOOKUP(Table1[[#This Row],[5 cm2 cell test code]:[5 cm2 cell test code]],[1]!Table1[[Test code]:[Test code]],[1]!Table1[Q_int_frac DIW 10 mM KOH],"",0)</f>
        <v>#REF!</v>
      </c>
      <c r="AJ319" s="69" t="e" cm="1">
        <f t="array" ref="AJ319">_xlfn.XLOOKUP(Table1[[#This Row],[5 cm2 cell test code]:[5 cm2 cell test code]],[1]!Table1[[Test code]:[Test code]],[1]!Table1[DIW conductivity (µS/cm)],"",0)</f>
        <v>#REF!</v>
      </c>
      <c r="AQ319" s="4" t="str">
        <v>VSG01A-23303C1</v>
      </c>
    </row>
    <row r="320" spans="1:43">
      <c r="A320" s="81"/>
      <c r="B320" s="11" t="s">
        <v>653</v>
      </c>
      <c r="C320" s="4" t="s">
        <v>605</v>
      </c>
      <c r="K320" s="43" t="s">
        <v>59</v>
      </c>
      <c r="P320" s="28">
        <v>1.2</v>
      </c>
      <c r="Q320" s="135">
        <v>0.11458</v>
      </c>
      <c r="U320" s="101" t="s">
        <v>654</v>
      </c>
      <c r="V320" t="s">
        <v>655</v>
      </c>
      <c r="W320" s="69" t="e" cm="1">
        <f t="array" ref="W320">_xlfn.XLOOKUP(Table1[[#This Row],[5 cm2 cell test code]:[5 cm2 cell test code]],[1]!Table1[[Test code]:[Test code]],[1]!Table1[i @ 1.8 V DIW (A/cm2)],"",0)</f>
        <v>#REF!</v>
      </c>
      <c r="X320" s="69" t="e" cm="1">
        <f t="array" ref="X320">_xlfn.XLOOKUP(Table1[[#This Row],[5 cm2 cell test code]:[5 cm2 cell test code]],[1]!Table1[[Test code]:[Test code]],[1]!Table1[i @ 1.8 V 10 mM KOH (A/cm2)],"",0)</f>
        <v>#REF!</v>
      </c>
      <c r="Y320" s="69" t="e" cm="1">
        <f t="array" ref="Y320">_xlfn.XLOOKUP(Table1[[#This Row],[5 cm2 cell test code]:[5 cm2 cell test code]],[1]!Table1[[Test code]:[Test code]],[1]!Table1[3-E ƞ at 20mAcm-2 (mV)],"",0)</f>
        <v>#REF!</v>
      </c>
      <c r="Z320" s="69" t="e" cm="1">
        <f t="array" ref="Z320">_xlfn.XLOOKUP(Table1[[#This Row],[5 cm2 cell test code]:[5 cm2 cell test code]],[1]!Table1[[Test code]:[Test code]],[1]!Table1[3-E Tafel slope (mV/dec)],"",0)</f>
        <v>#REF!</v>
      </c>
      <c r="AA320" s="69" t="e" cm="1">
        <f t="array" ref="AA320">_xlfn.XLOOKUP(Table1[[#This Row],[5 cm2 cell test code]:[5 cm2 cell test code]],[1]!Table1[[Test code]:[Test code]],[1]!Table1[E @ 100 mA/cm2 DIW/V],"",0)</f>
        <v>#REF!</v>
      </c>
      <c r="AB320" s="69" t="e" cm="1">
        <f t="array" ref="AB320">_xlfn.XLOOKUP(Table1[[#This Row],[5 cm2 cell test code]:[5 cm2 cell test code]],[1]!Table1[[Test code]:[Test code]],[1]!Table1[E @ 100 mA/cm2 10 mM KOH/V],"",0)</f>
        <v>#REF!</v>
      </c>
      <c r="AC320" s="69" t="e" cm="1">
        <f t="array" ref="AC320">_xlfn.XLOOKUP(Table1[[#This Row],[5 cm2 cell test code]:[5 cm2 cell test code]],[1]!Table1[[Test code]:[Test code]],[1]!Table1[Anode ICR/mOhm],"",0)</f>
        <v>#REF!</v>
      </c>
      <c r="AD320" s="69" t="e" cm="1">
        <f t="array" ref="AD320">_xlfn.XLOOKUP(Table1[[#This Row],[5 cm2 cell test code]:[5 cm2 cell test code]],[1]!Table1[[Test code]:[Test code]],[1]!Table1[HFR DIW/ mOhm cm2],"",0)</f>
        <v>#REF!</v>
      </c>
      <c r="AE320" s="69" t="e" cm="1">
        <f t="array" ref="AE320">_xlfn.XLOOKUP(Table1[[#This Row],[5 cm2 cell test code]:[5 cm2 cell test code]],[1]!Table1[[Test code]:[Test code]],[1]!Table1[HFR 10 mM KOH/ mOhm cm2],"",0)</f>
        <v>#REF!</v>
      </c>
      <c r="AF320" s="69" t="e" cm="1">
        <f t="array" ref="AF320">_xlfn.XLOOKUP(Table1[[#This Row],[5 cm2 cell test code]:[5 cm2 cell test code]],[1]!Table1[[Test code]:[Test code]],[1]!Table1[Ionic resistance DIW/Ohm cm2],"",0)</f>
        <v>#REF!</v>
      </c>
      <c r="AG320" s="69" t="e" cm="1">
        <f t="array" ref="AG320">_xlfn.XLOOKUP(Table1[[#This Row],[5 cm2 cell test code]:[5 cm2 cell test code]],[1]!Table1[[Test code]:[Test code]],[1]!Table1[Q_int_frac DIW],"",0)</f>
        <v>#REF!</v>
      </c>
      <c r="AH320" s="69" t="e" cm="1">
        <f t="array" ref="AH320">_xlfn.XLOOKUP(Table1[[#This Row],[5 cm2 cell test code]:[5 cm2 cell test code]],[1]!Table1[[Test code]:[Test code]],[1]!Table1[Ionic resistance 10 mM KOH/Ohm cm2],"",0)</f>
        <v>#REF!</v>
      </c>
      <c r="AI320" s="69" t="e" cm="1">
        <f t="array" ref="AI320">_xlfn.XLOOKUP(Table1[[#This Row],[5 cm2 cell test code]:[5 cm2 cell test code]],[1]!Table1[[Test code]:[Test code]],[1]!Table1[Q_int_frac DIW 10 mM KOH],"",0)</f>
        <v>#REF!</v>
      </c>
      <c r="AJ320" s="69" t="e" cm="1">
        <f t="array" ref="AJ320">_xlfn.XLOOKUP(Table1[[#This Row],[5 cm2 cell test code]:[5 cm2 cell test code]],[1]!Table1[[Test code]:[Test code]],[1]!Table1[DIW conductivity (µS/cm)],"",0)</f>
        <v>#REF!</v>
      </c>
      <c r="AQ320" s="4" t="str">
        <v>VSG01A-23304E1.01</v>
      </c>
    </row>
    <row r="321" spans="1:45">
      <c r="A321" s="81"/>
      <c r="B321" s="11" t="s">
        <v>656</v>
      </c>
      <c r="C321" s="4" t="s">
        <v>605</v>
      </c>
      <c r="K321" s="43" t="s">
        <v>59</v>
      </c>
      <c r="P321" s="28">
        <v>1.264</v>
      </c>
      <c r="Q321" s="135">
        <v>9.6681833314837415E-2</v>
      </c>
      <c r="U321" s="101" t="s">
        <v>657</v>
      </c>
      <c r="V321" t="s">
        <v>658</v>
      </c>
      <c r="W321" s="69" t="e" cm="1">
        <f t="array" ref="W321">_xlfn.XLOOKUP(Table1[[#This Row],[5 cm2 cell test code]:[5 cm2 cell test code]],[1]!Table1[[Test code]:[Test code]],[1]!Table1[i @ 1.8 V DIW (A/cm2)],"",0)</f>
        <v>#REF!</v>
      </c>
      <c r="X321" s="69" t="e" cm="1">
        <f t="array" ref="X321">_xlfn.XLOOKUP(Table1[[#This Row],[5 cm2 cell test code]:[5 cm2 cell test code]],[1]!Table1[[Test code]:[Test code]],[1]!Table1[i @ 1.8 V 10 mM KOH (A/cm2)],"",0)</f>
        <v>#REF!</v>
      </c>
      <c r="Y321" s="69" t="e" cm="1">
        <f t="array" ref="Y321">_xlfn.XLOOKUP(Table1[[#This Row],[5 cm2 cell test code]:[5 cm2 cell test code]],[1]!Table1[[Test code]:[Test code]],[1]!Table1[3-E ƞ at 20mAcm-2 (mV)],"",0)</f>
        <v>#REF!</v>
      </c>
      <c r="Z321" s="69" t="e" cm="1">
        <f t="array" ref="Z321">_xlfn.XLOOKUP(Table1[[#This Row],[5 cm2 cell test code]:[5 cm2 cell test code]],[1]!Table1[[Test code]:[Test code]],[1]!Table1[3-E Tafel slope (mV/dec)],"",0)</f>
        <v>#REF!</v>
      </c>
      <c r="AA321" s="69" t="e" cm="1">
        <f t="array" ref="AA321">_xlfn.XLOOKUP(Table1[[#This Row],[5 cm2 cell test code]:[5 cm2 cell test code]],[1]!Table1[[Test code]:[Test code]],[1]!Table1[E @ 100 mA/cm2 DIW/V],"",0)</f>
        <v>#REF!</v>
      </c>
      <c r="AB321" s="69" t="e" cm="1">
        <f t="array" ref="AB321">_xlfn.XLOOKUP(Table1[[#This Row],[5 cm2 cell test code]:[5 cm2 cell test code]],[1]!Table1[[Test code]:[Test code]],[1]!Table1[E @ 100 mA/cm2 10 mM KOH/V],"",0)</f>
        <v>#REF!</v>
      </c>
      <c r="AC321" s="69" t="e" cm="1">
        <f t="array" ref="AC321">_xlfn.XLOOKUP(Table1[[#This Row],[5 cm2 cell test code]:[5 cm2 cell test code]],[1]!Table1[[Test code]:[Test code]],[1]!Table1[Anode ICR/mOhm],"",0)</f>
        <v>#REF!</v>
      </c>
      <c r="AD321" s="69" t="e" cm="1">
        <f t="array" ref="AD321">_xlfn.XLOOKUP(Table1[[#This Row],[5 cm2 cell test code]:[5 cm2 cell test code]],[1]!Table1[[Test code]:[Test code]],[1]!Table1[HFR DIW/ mOhm cm2],"",0)</f>
        <v>#REF!</v>
      </c>
      <c r="AE321" s="69" t="e" cm="1">
        <f t="array" ref="AE321">_xlfn.XLOOKUP(Table1[[#This Row],[5 cm2 cell test code]:[5 cm2 cell test code]],[1]!Table1[[Test code]:[Test code]],[1]!Table1[HFR 10 mM KOH/ mOhm cm2],"",0)</f>
        <v>#REF!</v>
      </c>
      <c r="AF321" s="69" t="e" cm="1">
        <f t="array" ref="AF321">_xlfn.XLOOKUP(Table1[[#This Row],[5 cm2 cell test code]:[5 cm2 cell test code]],[1]!Table1[[Test code]:[Test code]],[1]!Table1[Ionic resistance DIW/Ohm cm2],"",0)</f>
        <v>#REF!</v>
      </c>
      <c r="AG321" s="69" t="e" cm="1">
        <f t="array" ref="AG321">_xlfn.XLOOKUP(Table1[[#This Row],[5 cm2 cell test code]:[5 cm2 cell test code]],[1]!Table1[[Test code]:[Test code]],[1]!Table1[Q_int_frac DIW],"",0)</f>
        <v>#REF!</v>
      </c>
      <c r="AH321" s="69" t="e" cm="1">
        <f t="array" ref="AH321">_xlfn.XLOOKUP(Table1[[#This Row],[5 cm2 cell test code]:[5 cm2 cell test code]],[1]!Table1[[Test code]:[Test code]],[1]!Table1[Ionic resistance 10 mM KOH/Ohm cm2],"",0)</f>
        <v>#REF!</v>
      </c>
      <c r="AI321" s="69" t="e" cm="1">
        <f t="array" ref="AI321">_xlfn.XLOOKUP(Table1[[#This Row],[5 cm2 cell test code]:[5 cm2 cell test code]],[1]!Table1[[Test code]:[Test code]],[1]!Table1[Q_int_frac DIW 10 mM KOH],"",0)</f>
        <v>#REF!</v>
      </c>
      <c r="AJ321" s="69" t="e" cm="1">
        <f t="array" ref="AJ321">_xlfn.XLOOKUP(Table1[[#This Row],[5 cm2 cell test code]:[5 cm2 cell test code]],[1]!Table1[[Test code]:[Test code]],[1]!Table1[DIW conductivity (µS/cm)],"",0)</f>
        <v>#REF!</v>
      </c>
      <c r="AQ321" s="4" t="str">
        <v>VSG01A-23304E1.02</v>
      </c>
    </row>
    <row r="322" spans="1:45">
      <c r="A322" s="81"/>
      <c r="B322" s="11" t="s">
        <v>659</v>
      </c>
      <c r="C322" s="4" t="s">
        <v>614</v>
      </c>
      <c r="K322" s="43" t="s">
        <v>59</v>
      </c>
      <c r="P322" s="28">
        <v>1.4236</v>
      </c>
      <c r="Q322" s="135">
        <v>8.0436919716002184E-2</v>
      </c>
      <c r="U322" s="101"/>
      <c r="V322" s="101"/>
      <c r="W322" s="69" t="e" cm="1">
        <f t="array" ref="W322">_xlfn.XLOOKUP(Table1[[#This Row],[5 cm2 cell test code]:[5 cm2 cell test code]],[1]!Table1[[Test code]:[Test code]],[1]!Table1[i @ 1.8 V DIW (A/cm2)],"",0)</f>
        <v>#REF!</v>
      </c>
      <c r="X322" s="69" t="e" cm="1">
        <f t="array" ref="X322">_xlfn.XLOOKUP(Table1[[#This Row],[5 cm2 cell test code]:[5 cm2 cell test code]],[1]!Table1[[Test code]:[Test code]],[1]!Table1[i @ 1.8 V 10 mM KOH (A/cm2)],"",0)</f>
        <v>#REF!</v>
      </c>
      <c r="Y322" s="69" t="e" cm="1">
        <f t="array" ref="Y322">_xlfn.XLOOKUP(Table1[[#This Row],[5 cm2 cell test code]:[5 cm2 cell test code]],[1]!Table1[[Test code]:[Test code]],[1]!Table1[3-E ƞ at 20mAcm-2 (mV)],"",0)</f>
        <v>#REF!</v>
      </c>
      <c r="Z322" s="69" t="e" cm="1">
        <f t="array" ref="Z322">_xlfn.XLOOKUP(Table1[[#This Row],[5 cm2 cell test code]:[5 cm2 cell test code]],[1]!Table1[[Test code]:[Test code]],[1]!Table1[3-E Tafel slope (mV/dec)],"",0)</f>
        <v>#REF!</v>
      </c>
      <c r="AA322" s="69" t="e" cm="1">
        <f t="array" ref="AA322">_xlfn.XLOOKUP(Table1[[#This Row],[5 cm2 cell test code]:[5 cm2 cell test code]],[1]!Table1[[Test code]:[Test code]],[1]!Table1[E @ 100 mA/cm2 DIW/V],"",0)</f>
        <v>#REF!</v>
      </c>
      <c r="AB322" s="69" t="e" cm="1">
        <f t="array" ref="AB322">_xlfn.XLOOKUP(Table1[[#This Row],[5 cm2 cell test code]:[5 cm2 cell test code]],[1]!Table1[[Test code]:[Test code]],[1]!Table1[E @ 100 mA/cm2 10 mM KOH/V],"",0)</f>
        <v>#REF!</v>
      </c>
      <c r="AC322" s="69" t="e" cm="1">
        <f t="array" ref="AC322">_xlfn.XLOOKUP(Table1[[#This Row],[5 cm2 cell test code]:[5 cm2 cell test code]],[1]!Table1[[Test code]:[Test code]],[1]!Table1[Anode ICR/mOhm],"",0)</f>
        <v>#REF!</v>
      </c>
      <c r="AD322" s="69" t="e" cm="1">
        <f t="array" ref="AD322">_xlfn.XLOOKUP(Table1[[#This Row],[5 cm2 cell test code]:[5 cm2 cell test code]],[1]!Table1[[Test code]:[Test code]],[1]!Table1[HFR DIW/ mOhm cm2],"",0)</f>
        <v>#REF!</v>
      </c>
      <c r="AE322" s="69" t="e" cm="1">
        <f t="array" ref="AE322">_xlfn.XLOOKUP(Table1[[#This Row],[5 cm2 cell test code]:[5 cm2 cell test code]],[1]!Table1[[Test code]:[Test code]],[1]!Table1[HFR 10 mM KOH/ mOhm cm2],"",0)</f>
        <v>#REF!</v>
      </c>
      <c r="AF322" s="69" t="e" cm="1">
        <f t="array" ref="AF322">_xlfn.XLOOKUP(Table1[[#This Row],[5 cm2 cell test code]:[5 cm2 cell test code]],[1]!Table1[[Test code]:[Test code]],[1]!Table1[Ionic resistance DIW/Ohm cm2],"",0)</f>
        <v>#REF!</v>
      </c>
      <c r="AG322" s="69" t="e" cm="1">
        <f t="array" ref="AG322">_xlfn.XLOOKUP(Table1[[#This Row],[5 cm2 cell test code]:[5 cm2 cell test code]],[1]!Table1[[Test code]:[Test code]],[1]!Table1[Q_int_frac DIW],"",0)</f>
        <v>#REF!</v>
      </c>
      <c r="AH322" s="69" t="e" cm="1">
        <f t="array" ref="AH322">_xlfn.XLOOKUP(Table1[[#This Row],[5 cm2 cell test code]:[5 cm2 cell test code]],[1]!Table1[[Test code]:[Test code]],[1]!Table1[Ionic resistance 10 mM KOH/Ohm cm2],"",0)</f>
        <v>#REF!</v>
      </c>
      <c r="AI322" s="69" t="e" cm="1">
        <f t="array" ref="AI322">_xlfn.XLOOKUP(Table1[[#This Row],[5 cm2 cell test code]:[5 cm2 cell test code]],[1]!Table1[[Test code]:[Test code]],[1]!Table1[Q_int_frac DIW 10 mM KOH],"",0)</f>
        <v>#REF!</v>
      </c>
      <c r="AJ322" s="69" t="e" cm="1">
        <f t="array" ref="AJ322">_xlfn.XLOOKUP(Table1[[#This Row],[5 cm2 cell test code]:[5 cm2 cell test code]],[1]!Table1[[Test code]:[Test code]],[1]!Table1[DIW conductivity (µS/cm)],"",0)</f>
        <v>#REF!</v>
      </c>
      <c r="AQ322" s="4" t="str">
        <v>VSG02A-23305E1.01</v>
      </c>
    </row>
    <row r="323" spans="1:45">
      <c r="A323" s="81"/>
      <c r="B323" s="11" t="s">
        <v>660</v>
      </c>
      <c r="C323" s="4" t="s">
        <v>614</v>
      </c>
      <c r="K323" s="43" t="s">
        <v>59</v>
      </c>
      <c r="P323" s="28">
        <v>1.1979</v>
      </c>
      <c r="Q323" s="135">
        <v>9.267646084170994E-2</v>
      </c>
      <c r="U323" s="101"/>
      <c r="V323" s="101"/>
      <c r="W323" s="69" t="e" cm="1">
        <f t="array" ref="W323">_xlfn.XLOOKUP(Table1[[#This Row],[5 cm2 cell test code]:[5 cm2 cell test code]],[1]!Table1[[Test code]:[Test code]],[1]!Table1[i @ 1.8 V DIW (A/cm2)],"",0)</f>
        <v>#REF!</v>
      </c>
      <c r="X323" s="69" t="e" cm="1">
        <f t="array" ref="X323">_xlfn.XLOOKUP(Table1[[#This Row],[5 cm2 cell test code]:[5 cm2 cell test code]],[1]!Table1[[Test code]:[Test code]],[1]!Table1[i @ 1.8 V 10 mM KOH (A/cm2)],"",0)</f>
        <v>#REF!</v>
      </c>
      <c r="Y323" s="69" t="e" cm="1">
        <f t="array" ref="Y323">_xlfn.XLOOKUP(Table1[[#This Row],[5 cm2 cell test code]:[5 cm2 cell test code]],[1]!Table1[[Test code]:[Test code]],[1]!Table1[3-E ƞ at 20mAcm-2 (mV)],"",0)</f>
        <v>#REF!</v>
      </c>
      <c r="Z323" s="69" t="e" cm="1">
        <f t="array" ref="Z323">_xlfn.XLOOKUP(Table1[[#This Row],[5 cm2 cell test code]:[5 cm2 cell test code]],[1]!Table1[[Test code]:[Test code]],[1]!Table1[3-E Tafel slope (mV/dec)],"",0)</f>
        <v>#REF!</v>
      </c>
      <c r="AA323" s="69" t="e" cm="1">
        <f t="array" ref="AA323">_xlfn.XLOOKUP(Table1[[#This Row],[5 cm2 cell test code]:[5 cm2 cell test code]],[1]!Table1[[Test code]:[Test code]],[1]!Table1[E @ 100 mA/cm2 DIW/V],"",0)</f>
        <v>#REF!</v>
      </c>
      <c r="AB323" s="69" t="e" cm="1">
        <f t="array" ref="AB323">_xlfn.XLOOKUP(Table1[[#This Row],[5 cm2 cell test code]:[5 cm2 cell test code]],[1]!Table1[[Test code]:[Test code]],[1]!Table1[E @ 100 mA/cm2 10 mM KOH/V],"",0)</f>
        <v>#REF!</v>
      </c>
      <c r="AC323" s="69" t="e" cm="1">
        <f t="array" ref="AC323">_xlfn.XLOOKUP(Table1[[#This Row],[5 cm2 cell test code]:[5 cm2 cell test code]],[1]!Table1[[Test code]:[Test code]],[1]!Table1[Anode ICR/mOhm],"",0)</f>
        <v>#REF!</v>
      </c>
      <c r="AD323" s="69" t="e" cm="1">
        <f t="array" ref="AD323">_xlfn.XLOOKUP(Table1[[#This Row],[5 cm2 cell test code]:[5 cm2 cell test code]],[1]!Table1[[Test code]:[Test code]],[1]!Table1[HFR DIW/ mOhm cm2],"",0)</f>
        <v>#REF!</v>
      </c>
      <c r="AE323" s="69" t="e" cm="1">
        <f t="array" ref="AE323">_xlfn.XLOOKUP(Table1[[#This Row],[5 cm2 cell test code]:[5 cm2 cell test code]],[1]!Table1[[Test code]:[Test code]],[1]!Table1[HFR 10 mM KOH/ mOhm cm2],"",0)</f>
        <v>#REF!</v>
      </c>
      <c r="AF323" s="69" t="e" cm="1">
        <f t="array" ref="AF323">_xlfn.XLOOKUP(Table1[[#This Row],[5 cm2 cell test code]:[5 cm2 cell test code]],[1]!Table1[[Test code]:[Test code]],[1]!Table1[Ionic resistance DIW/Ohm cm2],"",0)</f>
        <v>#REF!</v>
      </c>
      <c r="AG323" s="69" t="e" cm="1">
        <f t="array" ref="AG323">_xlfn.XLOOKUP(Table1[[#This Row],[5 cm2 cell test code]:[5 cm2 cell test code]],[1]!Table1[[Test code]:[Test code]],[1]!Table1[Q_int_frac DIW],"",0)</f>
        <v>#REF!</v>
      </c>
      <c r="AH323" s="69" t="e" cm="1">
        <f t="array" ref="AH323">_xlfn.XLOOKUP(Table1[[#This Row],[5 cm2 cell test code]:[5 cm2 cell test code]],[1]!Table1[[Test code]:[Test code]],[1]!Table1[Ionic resistance 10 mM KOH/Ohm cm2],"",0)</f>
        <v>#REF!</v>
      </c>
      <c r="AI323" s="69" t="e" cm="1">
        <f t="array" ref="AI323">_xlfn.XLOOKUP(Table1[[#This Row],[5 cm2 cell test code]:[5 cm2 cell test code]],[1]!Table1[[Test code]:[Test code]],[1]!Table1[Q_int_frac DIW 10 mM KOH],"",0)</f>
        <v>#REF!</v>
      </c>
      <c r="AJ323" s="69" t="e" cm="1">
        <f t="array" ref="AJ323">_xlfn.XLOOKUP(Table1[[#This Row],[5 cm2 cell test code]:[5 cm2 cell test code]],[1]!Table1[[Test code]:[Test code]],[1]!Table1[DIW conductivity (µS/cm)],"",0)</f>
        <v>#REF!</v>
      </c>
      <c r="AQ323" s="4" t="str">
        <v>VSG02A-23305E1.02</v>
      </c>
    </row>
    <row r="324" spans="1:45">
      <c r="A324" s="81"/>
      <c r="B324" s="11" t="s">
        <v>661</v>
      </c>
      <c r="C324" s="4" t="s">
        <v>609</v>
      </c>
      <c r="K324" s="43" t="s">
        <v>59</v>
      </c>
      <c r="P324" s="28">
        <v>1.2669999999999999</v>
      </c>
      <c r="Q324" s="135">
        <v>0.10897680152415107</v>
      </c>
      <c r="U324" s="101"/>
      <c r="V324" s="101"/>
      <c r="W324" s="69" t="e" cm="1">
        <f t="array" ref="W324">_xlfn.XLOOKUP(Table1[[#This Row],[5 cm2 cell test code]:[5 cm2 cell test code]],[1]!Table1[[Test code]:[Test code]],[1]!Table1[i @ 1.8 V DIW (A/cm2)],"",0)</f>
        <v>#REF!</v>
      </c>
      <c r="X324" s="69" t="e" cm="1">
        <f t="array" ref="X324">_xlfn.XLOOKUP(Table1[[#This Row],[5 cm2 cell test code]:[5 cm2 cell test code]],[1]!Table1[[Test code]:[Test code]],[1]!Table1[i @ 1.8 V 10 mM KOH (A/cm2)],"",0)</f>
        <v>#REF!</v>
      </c>
      <c r="Y324" s="69" t="e" cm="1">
        <f t="array" ref="Y324">_xlfn.XLOOKUP(Table1[[#This Row],[5 cm2 cell test code]:[5 cm2 cell test code]],[1]!Table1[[Test code]:[Test code]],[1]!Table1[3-E ƞ at 20mAcm-2 (mV)],"",0)</f>
        <v>#REF!</v>
      </c>
      <c r="Z324" s="69" t="e" cm="1">
        <f t="array" ref="Z324">_xlfn.XLOOKUP(Table1[[#This Row],[5 cm2 cell test code]:[5 cm2 cell test code]],[1]!Table1[[Test code]:[Test code]],[1]!Table1[3-E Tafel slope (mV/dec)],"",0)</f>
        <v>#REF!</v>
      </c>
      <c r="AA324" s="69" t="e" cm="1">
        <f t="array" ref="AA324">_xlfn.XLOOKUP(Table1[[#This Row],[5 cm2 cell test code]:[5 cm2 cell test code]],[1]!Table1[[Test code]:[Test code]],[1]!Table1[E @ 100 mA/cm2 DIW/V],"",0)</f>
        <v>#REF!</v>
      </c>
      <c r="AB324" s="69" t="e" cm="1">
        <f t="array" ref="AB324">_xlfn.XLOOKUP(Table1[[#This Row],[5 cm2 cell test code]:[5 cm2 cell test code]],[1]!Table1[[Test code]:[Test code]],[1]!Table1[E @ 100 mA/cm2 10 mM KOH/V],"",0)</f>
        <v>#REF!</v>
      </c>
      <c r="AC324" s="69" t="e" cm="1">
        <f t="array" ref="AC324">_xlfn.XLOOKUP(Table1[[#This Row],[5 cm2 cell test code]:[5 cm2 cell test code]],[1]!Table1[[Test code]:[Test code]],[1]!Table1[Anode ICR/mOhm],"",0)</f>
        <v>#REF!</v>
      </c>
      <c r="AD324" s="69" t="e" cm="1">
        <f t="array" ref="AD324">_xlfn.XLOOKUP(Table1[[#This Row],[5 cm2 cell test code]:[5 cm2 cell test code]],[1]!Table1[[Test code]:[Test code]],[1]!Table1[HFR DIW/ mOhm cm2],"",0)</f>
        <v>#REF!</v>
      </c>
      <c r="AE324" s="69" t="e" cm="1">
        <f t="array" ref="AE324">_xlfn.XLOOKUP(Table1[[#This Row],[5 cm2 cell test code]:[5 cm2 cell test code]],[1]!Table1[[Test code]:[Test code]],[1]!Table1[HFR 10 mM KOH/ mOhm cm2],"",0)</f>
        <v>#REF!</v>
      </c>
      <c r="AF324" s="69" t="e" cm="1">
        <f t="array" ref="AF324">_xlfn.XLOOKUP(Table1[[#This Row],[5 cm2 cell test code]:[5 cm2 cell test code]],[1]!Table1[[Test code]:[Test code]],[1]!Table1[Ionic resistance DIW/Ohm cm2],"",0)</f>
        <v>#REF!</v>
      </c>
      <c r="AG324" s="69" t="e" cm="1">
        <f t="array" ref="AG324">_xlfn.XLOOKUP(Table1[[#This Row],[5 cm2 cell test code]:[5 cm2 cell test code]],[1]!Table1[[Test code]:[Test code]],[1]!Table1[Q_int_frac DIW],"",0)</f>
        <v>#REF!</v>
      </c>
      <c r="AH324" s="69" t="e" cm="1">
        <f t="array" ref="AH324">_xlfn.XLOOKUP(Table1[[#This Row],[5 cm2 cell test code]:[5 cm2 cell test code]],[1]!Table1[[Test code]:[Test code]],[1]!Table1[Ionic resistance 10 mM KOH/Ohm cm2],"",0)</f>
        <v>#REF!</v>
      </c>
      <c r="AI324" s="69" t="e" cm="1">
        <f t="array" ref="AI324">_xlfn.XLOOKUP(Table1[[#This Row],[5 cm2 cell test code]:[5 cm2 cell test code]],[1]!Table1[[Test code]:[Test code]],[1]!Table1[Q_int_frac DIW 10 mM KOH],"",0)</f>
        <v>#REF!</v>
      </c>
      <c r="AJ324" s="69" t="e" cm="1">
        <f t="array" ref="AJ324">_xlfn.XLOOKUP(Table1[[#This Row],[5 cm2 cell test code]:[5 cm2 cell test code]],[1]!Table1[[Test code]:[Test code]],[1]!Table1[DIW conductivity (µS/cm)],"",0)</f>
        <v>#REF!</v>
      </c>
      <c r="AQ324" s="4" t="str">
        <v>VSG02A-23305E1.02-01</v>
      </c>
    </row>
    <row r="325" spans="1:45">
      <c r="A325" s="81"/>
      <c r="B325" s="11" t="s">
        <v>662</v>
      </c>
      <c r="C325" s="4" t="s">
        <v>609</v>
      </c>
      <c r="K325" s="43" t="s">
        <v>59</v>
      </c>
      <c r="P325" s="28">
        <v>1.2669999999999999</v>
      </c>
      <c r="Q325" s="135">
        <v>8.5054824561403508E-2</v>
      </c>
      <c r="U325" s="101"/>
      <c r="V325" s="101"/>
      <c r="W325" s="69" t="e" cm="1">
        <f t="array" ref="W325">_xlfn.XLOOKUP(Table1[[#This Row],[5 cm2 cell test code]:[5 cm2 cell test code]],[1]!Table1[[Test code]:[Test code]],[1]!Table1[i @ 1.8 V DIW (A/cm2)],"",0)</f>
        <v>#REF!</v>
      </c>
      <c r="X325" s="69" t="e" cm="1">
        <f t="array" ref="X325">_xlfn.XLOOKUP(Table1[[#This Row],[5 cm2 cell test code]:[5 cm2 cell test code]],[1]!Table1[[Test code]:[Test code]],[1]!Table1[i @ 1.8 V 10 mM KOH (A/cm2)],"",0)</f>
        <v>#REF!</v>
      </c>
      <c r="Y325" s="69" t="e" cm="1">
        <f t="array" ref="Y325">_xlfn.XLOOKUP(Table1[[#This Row],[5 cm2 cell test code]:[5 cm2 cell test code]],[1]!Table1[[Test code]:[Test code]],[1]!Table1[3-E ƞ at 20mAcm-2 (mV)],"",0)</f>
        <v>#REF!</v>
      </c>
      <c r="Z325" s="69" t="e" cm="1">
        <f t="array" ref="Z325">_xlfn.XLOOKUP(Table1[[#This Row],[5 cm2 cell test code]:[5 cm2 cell test code]],[1]!Table1[[Test code]:[Test code]],[1]!Table1[3-E Tafel slope (mV/dec)],"",0)</f>
        <v>#REF!</v>
      </c>
      <c r="AA325" s="69" t="e" cm="1">
        <f t="array" ref="AA325">_xlfn.XLOOKUP(Table1[[#This Row],[5 cm2 cell test code]:[5 cm2 cell test code]],[1]!Table1[[Test code]:[Test code]],[1]!Table1[E @ 100 mA/cm2 DIW/V],"",0)</f>
        <v>#REF!</v>
      </c>
      <c r="AB325" s="69" t="e" cm="1">
        <f t="array" ref="AB325">_xlfn.XLOOKUP(Table1[[#This Row],[5 cm2 cell test code]:[5 cm2 cell test code]],[1]!Table1[[Test code]:[Test code]],[1]!Table1[E @ 100 mA/cm2 10 mM KOH/V],"",0)</f>
        <v>#REF!</v>
      </c>
      <c r="AC325" s="69" t="e" cm="1">
        <f t="array" ref="AC325">_xlfn.XLOOKUP(Table1[[#This Row],[5 cm2 cell test code]:[5 cm2 cell test code]],[1]!Table1[[Test code]:[Test code]],[1]!Table1[Anode ICR/mOhm],"",0)</f>
        <v>#REF!</v>
      </c>
      <c r="AD325" s="69" t="e" cm="1">
        <f t="array" ref="AD325">_xlfn.XLOOKUP(Table1[[#This Row],[5 cm2 cell test code]:[5 cm2 cell test code]],[1]!Table1[[Test code]:[Test code]],[1]!Table1[HFR DIW/ mOhm cm2],"",0)</f>
        <v>#REF!</v>
      </c>
      <c r="AE325" s="69" t="e" cm="1">
        <f t="array" ref="AE325">_xlfn.XLOOKUP(Table1[[#This Row],[5 cm2 cell test code]:[5 cm2 cell test code]],[1]!Table1[[Test code]:[Test code]],[1]!Table1[HFR 10 mM KOH/ mOhm cm2],"",0)</f>
        <v>#REF!</v>
      </c>
      <c r="AF325" s="69" t="e" cm="1">
        <f t="array" ref="AF325">_xlfn.XLOOKUP(Table1[[#This Row],[5 cm2 cell test code]:[5 cm2 cell test code]],[1]!Table1[[Test code]:[Test code]],[1]!Table1[Ionic resistance DIW/Ohm cm2],"",0)</f>
        <v>#REF!</v>
      </c>
      <c r="AG325" s="69" t="e" cm="1">
        <f t="array" ref="AG325">_xlfn.XLOOKUP(Table1[[#This Row],[5 cm2 cell test code]:[5 cm2 cell test code]],[1]!Table1[[Test code]:[Test code]],[1]!Table1[Q_int_frac DIW],"",0)</f>
        <v>#REF!</v>
      </c>
      <c r="AH325" s="69" t="e" cm="1">
        <f t="array" ref="AH325">_xlfn.XLOOKUP(Table1[[#This Row],[5 cm2 cell test code]:[5 cm2 cell test code]],[1]!Table1[[Test code]:[Test code]],[1]!Table1[Ionic resistance 10 mM KOH/Ohm cm2],"",0)</f>
        <v>#REF!</v>
      </c>
      <c r="AI325" s="69" t="e" cm="1">
        <f t="array" ref="AI325">_xlfn.XLOOKUP(Table1[[#This Row],[5 cm2 cell test code]:[5 cm2 cell test code]],[1]!Table1[[Test code]:[Test code]],[1]!Table1[Q_int_frac DIW 10 mM KOH],"",0)</f>
        <v>#REF!</v>
      </c>
      <c r="AJ325" s="69" t="e" cm="1">
        <f t="array" ref="AJ325">_xlfn.XLOOKUP(Table1[[#This Row],[5 cm2 cell test code]:[5 cm2 cell test code]],[1]!Table1[[Test code]:[Test code]],[1]!Table1[DIW conductivity (µS/cm)],"",0)</f>
        <v>#REF!</v>
      </c>
      <c r="AQ325" s="4" t="str">
        <v>VSG02A-23306E1.01</v>
      </c>
    </row>
    <row r="326" spans="1:45">
      <c r="A326" s="81"/>
      <c r="B326" s="11" t="s">
        <v>663</v>
      </c>
      <c r="C326" s="4" t="s">
        <v>652</v>
      </c>
      <c r="K326" s="43" t="s">
        <v>59</v>
      </c>
      <c r="M326" s="13">
        <f>(9.14-9.13)*1000/(10.01*10.02)</f>
        <v>9.97006985030916E-2</v>
      </c>
      <c r="N326" s="13">
        <v>3.6303030303030255</v>
      </c>
      <c r="U326" s="101"/>
      <c r="V326" s="101"/>
      <c r="W326" s="69" t="e" cm="1">
        <f t="array" ref="W326">_xlfn.XLOOKUP(Table1[[#This Row],[5 cm2 cell test code]:[5 cm2 cell test code]],[1]!Table1[[Test code]:[Test code]],[1]!Table1[i @ 1.8 V DIW (A/cm2)],"",0)</f>
        <v>#REF!</v>
      </c>
      <c r="X326" s="69" t="e" cm="1">
        <f t="array" ref="X326">_xlfn.XLOOKUP(Table1[[#This Row],[5 cm2 cell test code]:[5 cm2 cell test code]],[1]!Table1[[Test code]:[Test code]],[1]!Table1[i @ 1.8 V 10 mM KOH (A/cm2)],"",0)</f>
        <v>#REF!</v>
      </c>
      <c r="Y326" s="69" t="e" cm="1">
        <f t="array" ref="Y326">_xlfn.XLOOKUP(Table1[[#This Row],[5 cm2 cell test code]:[5 cm2 cell test code]],[1]!Table1[[Test code]:[Test code]],[1]!Table1[3-E ƞ at 20mAcm-2 (mV)],"",0)</f>
        <v>#REF!</v>
      </c>
      <c r="Z326" s="69" t="e" cm="1">
        <f t="array" ref="Z326">_xlfn.XLOOKUP(Table1[[#This Row],[5 cm2 cell test code]:[5 cm2 cell test code]],[1]!Table1[[Test code]:[Test code]],[1]!Table1[3-E Tafel slope (mV/dec)],"",0)</f>
        <v>#REF!</v>
      </c>
      <c r="AA326" s="69" t="e" cm="1">
        <f t="array" ref="AA326">_xlfn.XLOOKUP(Table1[[#This Row],[5 cm2 cell test code]:[5 cm2 cell test code]],[1]!Table1[[Test code]:[Test code]],[1]!Table1[E @ 100 mA/cm2 DIW/V],"",0)</f>
        <v>#REF!</v>
      </c>
      <c r="AB326" s="69" t="e" cm="1">
        <f t="array" ref="AB326">_xlfn.XLOOKUP(Table1[[#This Row],[5 cm2 cell test code]:[5 cm2 cell test code]],[1]!Table1[[Test code]:[Test code]],[1]!Table1[E @ 100 mA/cm2 10 mM KOH/V],"",0)</f>
        <v>#REF!</v>
      </c>
      <c r="AC326" s="69" t="e" cm="1">
        <f t="array" ref="AC326">_xlfn.XLOOKUP(Table1[[#This Row],[5 cm2 cell test code]:[5 cm2 cell test code]],[1]!Table1[[Test code]:[Test code]],[1]!Table1[Anode ICR/mOhm],"",0)</f>
        <v>#REF!</v>
      </c>
      <c r="AD326" s="69" t="e" cm="1">
        <f t="array" ref="AD326">_xlfn.XLOOKUP(Table1[[#This Row],[5 cm2 cell test code]:[5 cm2 cell test code]],[1]!Table1[[Test code]:[Test code]],[1]!Table1[HFR DIW/ mOhm cm2],"",0)</f>
        <v>#REF!</v>
      </c>
      <c r="AE326" s="69" t="e" cm="1">
        <f t="array" ref="AE326">_xlfn.XLOOKUP(Table1[[#This Row],[5 cm2 cell test code]:[5 cm2 cell test code]],[1]!Table1[[Test code]:[Test code]],[1]!Table1[HFR 10 mM KOH/ mOhm cm2],"",0)</f>
        <v>#REF!</v>
      </c>
      <c r="AF326" s="69" t="e" cm="1">
        <f t="array" ref="AF326">_xlfn.XLOOKUP(Table1[[#This Row],[5 cm2 cell test code]:[5 cm2 cell test code]],[1]!Table1[[Test code]:[Test code]],[1]!Table1[Ionic resistance DIW/Ohm cm2],"",0)</f>
        <v>#REF!</v>
      </c>
      <c r="AG326" s="69" t="e" cm="1">
        <f t="array" ref="AG326">_xlfn.XLOOKUP(Table1[[#This Row],[5 cm2 cell test code]:[5 cm2 cell test code]],[1]!Table1[[Test code]:[Test code]],[1]!Table1[Q_int_frac DIW],"",0)</f>
        <v>#REF!</v>
      </c>
      <c r="AH326" s="69" t="e" cm="1">
        <f t="array" ref="AH326">_xlfn.XLOOKUP(Table1[[#This Row],[5 cm2 cell test code]:[5 cm2 cell test code]],[1]!Table1[[Test code]:[Test code]],[1]!Table1[Ionic resistance 10 mM KOH/Ohm cm2],"",0)</f>
        <v>#REF!</v>
      </c>
      <c r="AI326" s="69" t="e" cm="1">
        <f t="array" ref="AI326">_xlfn.XLOOKUP(Table1[[#This Row],[5 cm2 cell test code]:[5 cm2 cell test code]],[1]!Table1[[Test code]:[Test code]],[1]!Table1[Q_int_frac DIW 10 mM KOH],"",0)</f>
        <v>#REF!</v>
      </c>
      <c r="AJ326" s="69" t="e" cm="1">
        <f t="array" ref="AJ326">_xlfn.XLOOKUP(Table1[[#This Row],[5 cm2 cell test code]:[5 cm2 cell test code]],[1]!Table1[[Test code]:[Test code]],[1]!Table1[DIW conductivity (µS/cm)],"",0)</f>
        <v>#REF!</v>
      </c>
      <c r="AQ326" s="4" t="str">
        <v>VSG02A-23306E1.01-01</v>
      </c>
    </row>
    <row r="327" spans="1:45">
      <c r="A327" s="81"/>
      <c r="B327" s="11" t="s">
        <v>664</v>
      </c>
      <c r="C327" s="4" t="s">
        <v>605</v>
      </c>
      <c r="K327" s="43" t="s">
        <v>59</v>
      </c>
      <c r="P327" s="28">
        <v>1.0417000000000001</v>
      </c>
      <c r="Q327" s="135">
        <v>0.11874222373034725</v>
      </c>
      <c r="U327" s="101" t="s">
        <v>665</v>
      </c>
      <c r="V327" t="s">
        <v>666</v>
      </c>
      <c r="W327" s="69" t="e" cm="1">
        <f t="array" ref="W327">_xlfn.XLOOKUP(Table1[[#This Row],[5 cm2 cell test code]:[5 cm2 cell test code]],[1]!Table1[[Test code]:[Test code]],[1]!Table1[i @ 1.8 V DIW (A/cm2)],"",0)</f>
        <v>#REF!</v>
      </c>
      <c r="X327" s="69" t="e" cm="1">
        <f t="array" ref="X327">_xlfn.XLOOKUP(Table1[[#This Row],[5 cm2 cell test code]:[5 cm2 cell test code]],[1]!Table1[[Test code]:[Test code]],[1]!Table1[i @ 1.8 V 10 mM KOH (A/cm2)],"",0)</f>
        <v>#REF!</v>
      </c>
      <c r="Y327" s="69" t="e" cm="1">
        <f t="array" ref="Y327">_xlfn.XLOOKUP(Table1[[#This Row],[5 cm2 cell test code]:[5 cm2 cell test code]],[1]!Table1[[Test code]:[Test code]],[1]!Table1[3-E ƞ at 20mAcm-2 (mV)],"",0)</f>
        <v>#REF!</v>
      </c>
      <c r="Z327" s="69" t="e" cm="1">
        <f t="array" ref="Z327">_xlfn.XLOOKUP(Table1[[#This Row],[5 cm2 cell test code]:[5 cm2 cell test code]],[1]!Table1[[Test code]:[Test code]],[1]!Table1[3-E Tafel slope (mV/dec)],"",0)</f>
        <v>#REF!</v>
      </c>
      <c r="AA327" s="69" t="e" cm="1">
        <f t="array" ref="AA327">_xlfn.XLOOKUP(Table1[[#This Row],[5 cm2 cell test code]:[5 cm2 cell test code]],[1]!Table1[[Test code]:[Test code]],[1]!Table1[E @ 100 mA/cm2 DIW/V],"",0)</f>
        <v>#REF!</v>
      </c>
      <c r="AB327" s="69" t="e" cm="1">
        <f t="array" ref="AB327">_xlfn.XLOOKUP(Table1[[#This Row],[5 cm2 cell test code]:[5 cm2 cell test code]],[1]!Table1[[Test code]:[Test code]],[1]!Table1[E @ 100 mA/cm2 10 mM KOH/V],"",0)</f>
        <v>#REF!</v>
      </c>
      <c r="AC327" s="69" t="e" cm="1">
        <f t="array" ref="AC327">_xlfn.XLOOKUP(Table1[[#This Row],[5 cm2 cell test code]:[5 cm2 cell test code]],[1]!Table1[[Test code]:[Test code]],[1]!Table1[Anode ICR/mOhm],"",0)</f>
        <v>#REF!</v>
      </c>
      <c r="AD327" s="69" t="e" cm="1">
        <f t="array" ref="AD327">_xlfn.XLOOKUP(Table1[[#This Row],[5 cm2 cell test code]:[5 cm2 cell test code]],[1]!Table1[[Test code]:[Test code]],[1]!Table1[HFR DIW/ mOhm cm2],"",0)</f>
        <v>#REF!</v>
      </c>
      <c r="AE327" s="69" t="e" cm="1">
        <f t="array" ref="AE327">_xlfn.XLOOKUP(Table1[[#This Row],[5 cm2 cell test code]:[5 cm2 cell test code]],[1]!Table1[[Test code]:[Test code]],[1]!Table1[HFR 10 mM KOH/ mOhm cm2],"",0)</f>
        <v>#REF!</v>
      </c>
      <c r="AF327" s="69" t="e" cm="1">
        <f t="array" ref="AF327">_xlfn.XLOOKUP(Table1[[#This Row],[5 cm2 cell test code]:[5 cm2 cell test code]],[1]!Table1[[Test code]:[Test code]],[1]!Table1[Ionic resistance DIW/Ohm cm2],"",0)</f>
        <v>#REF!</v>
      </c>
      <c r="AG327" s="69" t="e" cm="1">
        <f t="array" ref="AG327">_xlfn.XLOOKUP(Table1[[#This Row],[5 cm2 cell test code]:[5 cm2 cell test code]],[1]!Table1[[Test code]:[Test code]],[1]!Table1[Q_int_frac DIW],"",0)</f>
        <v>#REF!</v>
      </c>
      <c r="AH327" s="69" t="e" cm="1">
        <f t="array" ref="AH327">_xlfn.XLOOKUP(Table1[[#This Row],[5 cm2 cell test code]:[5 cm2 cell test code]],[1]!Table1[[Test code]:[Test code]],[1]!Table1[Ionic resistance 10 mM KOH/Ohm cm2],"",0)</f>
        <v>#REF!</v>
      </c>
      <c r="AI327" s="69" t="e" cm="1">
        <f t="array" ref="AI327">_xlfn.XLOOKUP(Table1[[#This Row],[5 cm2 cell test code]:[5 cm2 cell test code]],[1]!Table1[[Test code]:[Test code]],[1]!Table1[Q_int_frac DIW 10 mM KOH],"",0)</f>
        <v>#REF!</v>
      </c>
      <c r="AJ327" s="69" t="e" cm="1">
        <f t="array" ref="AJ327">_xlfn.XLOOKUP(Table1[[#This Row],[5 cm2 cell test code]:[5 cm2 cell test code]],[1]!Table1[[Test code]:[Test code]],[1]!Table1[DIW conductivity (µS/cm)],"",0)</f>
        <v>#REF!</v>
      </c>
      <c r="AQ327" s="4" t="str">
        <v>VSG02A-23306E1.01-02</v>
      </c>
    </row>
    <row r="328" spans="1:45">
      <c r="A328" s="81"/>
      <c r="B328" s="11" t="s">
        <v>667</v>
      </c>
      <c r="C328" s="4" t="s">
        <v>614</v>
      </c>
      <c r="K328" s="43" t="s">
        <v>59</v>
      </c>
      <c r="P328" s="28">
        <v>1.1167</v>
      </c>
      <c r="Q328" s="135">
        <v>0.10402632165960295</v>
      </c>
      <c r="U328" s="101"/>
      <c r="V328" s="101"/>
      <c r="W328" s="69" t="e" cm="1">
        <f t="array" ref="W328">_xlfn.XLOOKUP(Table1[[#This Row],[5 cm2 cell test code]:[5 cm2 cell test code]],[1]!Table1[[Test code]:[Test code]],[1]!Table1[i @ 1.8 V DIW (A/cm2)],"",0)</f>
        <v>#REF!</v>
      </c>
      <c r="X328" s="69" t="e" cm="1">
        <f t="array" ref="X328">_xlfn.XLOOKUP(Table1[[#This Row],[5 cm2 cell test code]:[5 cm2 cell test code]],[1]!Table1[[Test code]:[Test code]],[1]!Table1[i @ 1.8 V 10 mM KOH (A/cm2)],"",0)</f>
        <v>#REF!</v>
      </c>
      <c r="Y328" s="69" t="e" cm="1">
        <f t="array" ref="Y328">_xlfn.XLOOKUP(Table1[[#This Row],[5 cm2 cell test code]:[5 cm2 cell test code]],[1]!Table1[[Test code]:[Test code]],[1]!Table1[3-E ƞ at 20mAcm-2 (mV)],"",0)</f>
        <v>#REF!</v>
      </c>
      <c r="Z328" s="69" t="e" cm="1">
        <f t="array" ref="Z328">_xlfn.XLOOKUP(Table1[[#This Row],[5 cm2 cell test code]:[5 cm2 cell test code]],[1]!Table1[[Test code]:[Test code]],[1]!Table1[3-E Tafel slope (mV/dec)],"",0)</f>
        <v>#REF!</v>
      </c>
      <c r="AA328" s="69" t="e" cm="1">
        <f t="array" ref="AA328">_xlfn.XLOOKUP(Table1[[#This Row],[5 cm2 cell test code]:[5 cm2 cell test code]],[1]!Table1[[Test code]:[Test code]],[1]!Table1[E @ 100 mA/cm2 DIW/V],"",0)</f>
        <v>#REF!</v>
      </c>
      <c r="AB328" s="69" t="e" cm="1">
        <f t="array" ref="AB328">_xlfn.XLOOKUP(Table1[[#This Row],[5 cm2 cell test code]:[5 cm2 cell test code]],[1]!Table1[[Test code]:[Test code]],[1]!Table1[E @ 100 mA/cm2 10 mM KOH/V],"",0)</f>
        <v>#REF!</v>
      </c>
      <c r="AC328" s="69" t="e" cm="1">
        <f t="array" ref="AC328">_xlfn.XLOOKUP(Table1[[#This Row],[5 cm2 cell test code]:[5 cm2 cell test code]],[1]!Table1[[Test code]:[Test code]],[1]!Table1[Anode ICR/mOhm],"",0)</f>
        <v>#REF!</v>
      </c>
      <c r="AD328" s="69" t="e" cm="1">
        <f t="array" ref="AD328">_xlfn.XLOOKUP(Table1[[#This Row],[5 cm2 cell test code]:[5 cm2 cell test code]],[1]!Table1[[Test code]:[Test code]],[1]!Table1[HFR DIW/ mOhm cm2],"",0)</f>
        <v>#REF!</v>
      </c>
      <c r="AE328" s="69" t="e" cm="1">
        <f t="array" ref="AE328">_xlfn.XLOOKUP(Table1[[#This Row],[5 cm2 cell test code]:[5 cm2 cell test code]],[1]!Table1[[Test code]:[Test code]],[1]!Table1[HFR 10 mM KOH/ mOhm cm2],"",0)</f>
        <v>#REF!</v>
      </c>
      <c r="AF328" s="69" t="e" cm="1">
        <f t="array" ref="AF328">_xlfn.XLOOKUP(Table1[[#This Row],[5 cm2 cell test code]:[5 cm2 cell test code]],[1]!Table1[[Test code]:[Test code]],[1]!Table1[Ionic resistance DIW/Ohm cm2],"",0)</f>
        <v>#REF!</v>
      </c>
      <c r="AG328" s="69" t="e" cm="1">
        <f t="array" ref="AG328">_xlfn.XLOOKUP(Table1[[#This Row],[5 cm2 cell test code]:[5 cm2 cell test code]],[1]!Table1[[Test code]:[Test code]],[1]!Table1[Q_int_frac DIW],"",0)</f>
        <v>#REF!</v>
      </c>
      <c r="AH328" s="69" t="e" cm="1">
        <f t="array" ref="AH328">_xlfn.XLOOKUP(Table1[[#This Row],[5 cm2 cell test code]:[5 cm2 cell test code]],[1]!Table1[[Test code]:[Test code]],[1]!Table1[Ionic resistance 10 mM KOH/Ohm cm2],"",0)</f>
        <v>#REF!</v>
      </c>
      <c r="AI328" s="69" t="e" cm="1">
        <f t="array" ref="AI328">_xlfn.XLOOKUP(Table1[[#This Row],[5 cm2 cell test code]:[5 cm2 cell test code]],[1]!Table1[[Test code]:[Test code]],[1]!Table1[Q_int_frac DIW 10 mM KOH],"",0)</f>
        <v>#REF!</v>
      </c>
      <c r="AJ328" s="69" t="e" cm="1">
        <f t="array" ref="AJ328">_xlfn.XLOOKUP(Table1[[#This Row],[5 cm2 cell test code]:[5 cm2 cell test code]],[1]!Table1[[Test code]:[Test code]],[1]!Table1[DIW conductivity (µS/cm)],"",0)</f>
        <v>#REF!</v>
      </c>
      <c r="AQ328" s="4" t="str">
        <v>VSG02A-23306E1.01-03</v>
      </c>
    </row>
    <row r="329" spans="1:45">
      <c r="A329" s="81"/>
      <c r="B329" s="11" t="s">
        <v>668</v>
      </c>
      <c r="C329" s="4" t="s">
        <v>605</v>
      </c>
      <c r="K329" s="43" t="s">
        <v>59</v>
      </c>
      <c r="P329" s="28">
        <v>1.0243</v>
      </c>
      <c r="Q329" s="135">
        <v>8.2662877131613466E-2</v>
      </c>
      <c r="U329" s="101" t="s">
        <v>669</v>
      </c>
      <c r="V329" t="s">
        <v>670</v>
      </c>
      <c r="W329" s="69" t="e" cm="1">
        <f t="array" ref="W329">_xlfn.XLOOKUP(Table1[[#This Row],[5 cm2 cell test code]:[5 cm2 cell test code]],[1]!Table1[[Test code]:[Test code]],[1]!Table1[i @ 1.8 V DIW (A/cm2)],"",0)</f>
        <v>#REF!</v>
      </c>
      <c r="X329" s="69" t="e" cm="1">
        <f t="array" ref="X329">_xlfn.XLOOKUP(Table1[[#This Row],[5 cm2 cell test code]:[5 cm2 cell test code]],[1]!Table1[[Test code]:[Test code]],[1]!Table1[i @ 1.8 V 10 mM KOH (A/cm2)],"",0)</f>
        <v>#REF!</v>
      </c>
      <c r="Y329" s="69" t="e" cm="1">
        <f t="array" ref="Y329">_xlfn.XLOOKUP(Table1[[#This Row],[5 cm2 cell test code]:[5 cm2 cell test code]],[1]!Table1[[Test code]:[Test code]],[1]!Table1[3-E ƞ at 20mAcm-2 (mV)],"",0)</f>
        <v>#REF!</v>
      </c>
      <c r="Z329" s="69" t="e" cm="1">
        <f t="array" ref="Z329">_xlfn.XLOOKUP(Table1[[#This Row],[5 cm2 cell test code]:[5 cm2 cell test code]],[1]!Table1[[Test code]:[Test code]],[1]!Table1[3-E Tafel slope (mV/dec)],"",0)</f>
        <v>#REF!</v>
      </c>
      <c r="AA329" s="69" t="e" cm="1">
        <f t="array" ref="AA329">_xlfn.XLOOKUP(Table1[[#This Row],[5 cm2 cell test code]:[5 cm2 cell test code]],[1]!Table1[[Test code]:[Test code]],[1]!Table1[E @ 100 mA/cm2 DIW/V],"",0)</f>
        <v>#REF!</v>
      </c>
      <c r="AB329" s="69" t="e" cm="1">
        <f t="array" ref="AB329">_xlfn.XLOOKUP(Table1[[#This Row],[5 cm2 cell test code]:[5 cm2 cell test code]],[1]!Table1[[Test code]:[Test code]],[1]!Table1[E @ 100 mA/cm2 10 mM KOH/V],"",0)</f>
        <v>#REF!</v>
      </c>
      <c r="AC329" s="69" t="e" cm="1">
        <f t="array" ref="AC329">_xlfn.XLOOKUP(Table1[[#This Row],[5 cm2 cell test code]:[5 cm2 cell test code]],[1]!Table1[[Test code]:[Test code]],[1]!Table1[Anode ICR/mOhm],"",0)</f>
        <v>#REF!</v>
      </c>
      <c r="AD329" s="69" t="e" cm="1">
        <f t="array" ref="AD329">_xlfn.XLOOKUP(Table1[[#This Row],[5 cm2 cell test code]:[5 cm2 cell test code]],[1]!Table1[[Test code]:[Test code]],[1]!Table1[HFR DIW/ mOhm cm2],"",0)</f>
        <v>#REF!</v>
      </c>
      <c r="AE329" s="69" t="e" cm="1">
        <f t="array" ref="AE329">_xlfn.XLOOKUP(Table1[[#This Row],[5 cm2 cell test code]:[5 cm2 cell test code]],[1]!Table1[[Test code]:[Test code]],[1]!Table1[HFR 10 mM KOH/ mOhm cm2],"",0)</f>
        <v>#REF!</v>
      </c>
      <c r="AF329" s="69" t="e" cm="1">
        <f t="array" ref="AF329">_xlfn.XLOOKUP(Table1[[#This Row],[5 cm2 cell test code]:[5 cm2 cell test code]],[1]!Table1[[Test code]:[Test code]],[1]!Table1[Ionic resistance DIW/Ohm cm2],"",0)</f>
        <v>#REF!</v>
      </c>
      <c r="AG329" s="69" t="e" cm="1">
        <f t="array" ref="AG329">_xlfn.XLOOKUP(Table1[[#This Row],[5 cm2 cell test code]:[5 cm2 cell test code]],[1]!Table1[[Test code]:[Test code]],[1]!Table1[Q_int_frac DIW],"",0)</f>
        <v>#REF!</v>
      </c>
      <c r="AH329" s="69" t="e" cm="1">
        <f t="array" ref="AH329">_xlfn.XLOOKUP(Table1[[#This Row],[5 cm2 cell test code]:[5 cm2 cell test code]],[1]!Table1[[Test code]:[Test code]],[1]!Table1[Ionic resistance 10 mM KOH/Ohm cm2],"",0)</f>
        <v>#REF!</v>
      </c>
      <c r="AI329" s="69" t="e" cm="1">
        <f t="array" ref="AI329">_xlfn.XLOOKUP(Table1[[#This Row],[5 cm2 cell test code]:[5 cm2 cell test code]],[1]!Table1[[Test code]:[Test code]],[1]!Table1[Q_int_frac DIW 10 mM KOH],"",0)</f>
        <v>#REF!</v>
      </c>
      <c r="AJ329" s="69" t="e" cm="1">
        <f t="array" ref="AJ329">_xlfn.XLOOKUP(Table1[[#This Row],[5 cm2 cell test code]:[5 cm2 cell test code]],[1]!Table1[[Test code]:[Test code]],[1]!Table1[DIW conductivity (µS/cm)],"",0)</f>
        <v>#REF!</v>
      </c>
      <c r="AQ329" s="4" t="str">
        <v>VSG02A-23306E1.01-04</v>
      </c>
    </row>
    <row r="330" spans="1:45">
      <c r="A330" s="81"/>
      <c r="B330" s="11" t="s">
        <v>671</v>
      </c>
      <c r="C330" s="4" t="s">
        <v>614</v>
      </c>
      <c r="K330" s="43" t="s">
        <v>59</v>
      </c>
      <c r="P330" s="28">
        <v>1.2153</v>
      </c>
      <c r="Q330" s="135">
        <v>9.4635335845710489E-2</v>
      </c>
      <c r="U330" s="101"/>
      <c r="V330" s="101"/>
      <c r="W330" s="69" t="e" cm="1">
        <f t="array" ref="W330">_xlfn.XLOOKUP(Table1[[#This Row],[5 cm2 cell test code]:[5 cm2 cell test code]],[1]!Table1[[Test code]:[Test code]],[1]!Table1[i @ 1.8 V DIW (A/cm2)],"",0)</f>
        <v>#REF!</v>
      </c>
      <c r="X330" s="69" t="e" cm="1">
        <f t="array" ref="X330">_xlfn.XLOOKUP(Table1[[#This Row],[5 cm2 cell test code]:[5 cm2 cell test code]],[1]!Table1[[Test code]:[Test code]],[1]!Table1[i @ 1.8 V 10 mM KOH (A/cm2)],"",0)</f>
        <v>#REF!</v>
      </c>
      <c r="Y330" s="69" t="e" cm="1">
        <f t="array" ref="Y330">_xlfn.XLOOKUP(Table1[[#This Row],[5 cm2 cell test code]:[5 cm2 cell test code]],[1]!Table1[[Test code]:[Test code]],[1]!Table1[3-E ƞ at 20mAcm-2 (mV)],"",0)</f>
        <v>#REF!</v>
      </c>
      <c r="Z330" s="69" t="e" cm="1">
        <f t="array" ref="Z330">_xlfn.XLOOKUP(Table1[[#This Row],[5 cm2 cell test code]:[5 cm2 cell test code]],[1]!Table1[[Test code]:[Test code]],[1]!Table1[3-E Tafel slope (mV/dec)],"",0)</f>
        <v>#REF!</v>
      </c>
      <c r="AA330" s="69" t="e" cm="1">
        <f t="array" ref="AA330">_xlfn.XLOOKUP(Table1[[#This Row],[5 cm2 cell test code]:[5 cm2 cell test code]],[1]!Table1[[Test code]:[Test code]],[1]!Table1[E @ 100 mA/cm2 DIW/V],"",0)</f>
        <v>#REF!</v>
      </c>
      <c r="AB330" s="69" t="e" cm="1">
        <f t="array" ref="AB330">_xlfn.XLOOKUP(Table1[[#This Row],[5 cm2 cell test code]:[5 cm2 cell test code]],[1]!Table1[[Test code]:[Test code]],[1]!Table1[E @ 100 mA/cm2 10 mM KOH/V],"",0)</f>
        <v>#REF!</v>
      </c>
      <c r="AC330" s="69" t="e" cm="1">
        <f t="array" ref="AC330">_xlfn.XLOOKUP(Table1[[#This Row],[5 cm2 cell test code]:[5 cm2 cell test code]],[1]!Table1[[Test code]:[Test code]],[1]!Table1[Anode ICR/mOhm],"",0)</f>
        <v>#REF!</v>
      </c>
      <c r="AD330" s="69" t="e" cm="1">
        <f t="array" ref="AD330">_xlfn.XLOOKUP(Table1[[#This Row],[5 cm2 cell test code]:[5 cm2 cell test code]],[1]!Table1[[Test code]:[Test code]],[1]!Table1[HFR DIW/ mOhm cm2],"",0)</f>
        <v>#REF!</v>
      </c>
      <c r="AE330" s="69" t="e" cm="1">
        <f t="array" ref="AE330">_xlfn.XLOOKUP(Table1[[#This Row],[5 cm2 cell test code]:[5 cm2 cell test code]],[1]!Table1[[Test code]:[Test code]],[1]!Table1[HFR 10 mM KOH/ mOhm cm2],"",0)</f>
        <v>#REF!</v>
      </c>
      <c r="AF330" s="69" t="e" cm="1">
        <f t="array" ref="AF330">_xlfn.XLOOKUP(Table1[[#This Row],[5 cm2 cell test code]:[5 cm2 cell test code]],[1]!Table1[[Test code]:[Test code]],[1]!Table1[Ionic resistance DIW/Ohm cm2],"",0)</f>
        <v>#REF!</v>
      </c>
      <c r="AG330" s="69" t="e" cm="1">
        <f t="array" ref="AG330">_xlfn.XLOOKUP(Table1[[#This Row],[5 cm2 cell test code]:[5 cm2 cell test code]],[1]!Table1[[Test code]:[Test code]],[1]!Table1[Q_int_frac DIW],"",0)</f>
        <v>#REF!</v>
      </c>
      <c r="AH330" s="69" t="e" cm="1">
        <f t="array" ref="AH330">_xlfn.XLOOKUP(Table1[[#This Row],[5 cm2 cell test code]:[5 cm2 cell test code]],[1]!Table1[[Test code]:[Test code]],[1]!Table1[Ionic resistance 10 mM KOH/Ohm cm2],"",0)</f>
        <v>#REF!</v>
      </c>
      <c r="AI330" s="69" t="e" cm="1">
        <f t="array" ref="AI330">_xlfn.XLOOKUP(Table1[[#This Row],[5 cm2 cell test code]:[5 cm2 cell test code]],[1]!Table1[[Test code]:[Test code]],[1]!Table1[Q_int_frac DIW 10 mM KOH],"",0)</f>
        <v>#REF!</v>
      </c>
      <c r="AJ330" s="69" t="e" cm="1">
        <f t="array" ref="AJ330">_xlfn.XLOOKUP(Table1[[#This Row],[5 cm2 cell test code]:[5 cm2 cell test code]],[1]!Table1[[Test code]:[Test code]],[1]!Table1[DIW conductivity (µS/cm)],"",0)</f>
        <v>#REF!</v>
      </c>
      <c r="AQ330" s="4" t="str">
        <v>VSG02A-23306E1.01-05</v>
      </c>
    </row>
    <row r="331" spans="1:45">
      <c r="A331" s="81"/>
      <c r="B331" s="11" t="s">
        <v>672</v>
      </c>
      <c r="C331" s="4" t="s">
        <v>609</v>
      </c>
      <c r="K331" s="43" t="s">
        <v>59</v>
      </c>
      <c r="P331" s="28">
        <v>1.3542000000000001</v>
      </c>
      <c r="Q331" s="135">
        <v>8.8560722944677095E-2</v>
      </c>
      <c r="U331" s="101"/>
      <c r="V331" s="101"/>
      <c r="W331" s="69" t="e" cm="1">
        <f t="array" ref="W331">_xlfn.XLOOKUP(Table1[[#This Row],[5 cm2 cell test code]:[5 cm2 cell test code]],[1]!Table1[[Test code]:[Test code]],[1]!Table1[i @ 1.8 V DIW (A/cm2)],"",0)</f>
        <v>#REF!</v>
      </c>
      <c r="X331" s="69" t="e" cm="1">
        <f t="array" ref="X331">_xlfn.XLOOKUP(Table1[[#This Row],[5 cm2 cell test code]:[5 cm2 cell test code]],[1]!Table1[[Test code]:[Test code]],[1]!Table1[i @ 1.8 V 10 mM KOH (A/cm2)],"",0)</f>
        <v>#REF!</v>
      </c>
      <c r="Y331" s="69" t="e" cm="1">
        <f t="array" ref="Y331">_xlfn.XLOOKUP(Table1[[#This Row],[5 cm2 cell test code]:[5 cm2 cell test code]],[1]!Table1[[Test code]:[Test code]],[1]!Table1[3-E ƞ at 20mAcm-2 (mV)],"",0)</f>
        <v>#REF!</v>
      </c>
      <c r="Z331" s="69" t="e" cm="1">
        <f t="array" ref="Z331">_xlfn.XLOOKUP(Table1[[#This Row],[5 cm2 cell test code]:[5 cm2 cell test code]],[1]!Table1[[Test code]:[Test code]],[1]!Table1[3-E Tafel slope (mV/dec)],"",0)</f>
        <v>#REF!</v>
      </c>
      <c r="AA331" s="69" t="e" cm="1">
        <f t="array" ref="AA331">_xlfn.XLOOKUP(Table1[[#This Row],[5 cm2 cell test code]:[5 cm2 cell test code]],[1]!Table1[[Test code]:[Test code]],[1]!Table1[E @ 100 mA/cm2 DIW/V],"",0)</f>
        <v>#REF!</v>
      </c>
      <c r="AB331" s="69" t="e" cm="1">
        <f t="array" ref="AB331">_xlfn.XLOOKUP(Table1[[#This Row],[5 cm2 cell test code]:[5 cm2 cell test code]],[1]!Table1[[Test code]:[Test code]],[1]!Table1[E @ 100 mA/cm2 10 mM KOH/V],"",0)</f>
        <v>#REF!</v>
      </c>
      <c r="AC331" s="69" t="e" cm="1">
        <f t="array" ref="AC331">_xlfn.XLOOKUP(Table1[[#This Row],[5 cm2 cell test code]:[5 cm2 cell test code]],[1]!Table1[[Test code]:[Test code]],[1]!Table1[Anode ICR/mOhm],"",0)</f>
        <v>#REF!</v>
      </c>
      <c r="AD331" s="69" t="e" cm="1">
        <f t="array" ref="AD331">_xlfn.XLOOKUP(Table1[[#This Row],[5 cm2 cell test code]:[5 cm2 cell test code]],[1]!Table1[[Test code]:[Test code]],[1]!Table1[HFR DIW/ mOhm cm2],"",0)</f>
        <v>#REF!</v>
      </c>
      <c r="AE331" s="69" t="e" cm="1">
        <f t="array" ref="AE331">_xlfn.XLOOKUP(Table1[[#This Row],[5 cm2 cell test code]:[5 cm2 cell test code]],[1]!Table1[[Test code]:[Test code]],[1]!Table1[HFR 10 mM KOH/ mOhm cm2],"",0)</f>
        <v>#REF!</v>
      </c>
      <c r="AF331" s="69" t="e" cm="1">
        <f t="array" ref="AF331">_xlfn.XLOOKUP(Table1[[#This Row],[5 cm2 cell test code]:[5 cm2 cell test code]],[1]!Table1[[Test code]:[Test code]],[1]!Table1[Ionic resistance DIW/Ohm cm2],"",0)</f>
        <v>#REF!</v>
      </c>
      <c r="AG331" s="69" t="e" cm="1">
        <f t="array" ref="AG331">_xlfn.XLOOKUP(Table1[[#This Row],[5 cm2 cell test code]:[5 cm2 cell test code]],[1]!Table1[[Test code]:[Test code]],[1]!Table1[Q_int_frac DIW],"",0)</f>
        <v>#REF!</v>
      </c>
      <c r="AH331" s="69" t="e" cm="1">
        <f t="array" ref="AH331">_xlfn.XLOOKUP(Table1[[#This Row],[5 cm2 cell test code]:[5 cm2 cell test code]],[1]!Table1[[Test code]:[Test code]],[1]!Table1[Ionic resistance 10 mM KOH/Ohm cm2],"",0)</f>
        <v>#REF!</v>
      </c>
      <c r="AI331" s="69" t="e" cm="1">
        <f t="array" ref="AI331">_xlfn.XLOOKUP(Table1[[#This Row],[5 cm2 cell test code]:[5 cm2 cell test code]],[1]!Table1[[Test code]:[Test code]],[1]!Table1[Q_int_frac DIW 10 mM KOH],"",0)</f>
        <v>#REF!</v>
      </c>
      <c r="AJ331" s="69" t="e" cm="1">
        <f t="array" ref="AJ331">_xlfn.XLOOKUP(Table1[[#This Row],[5 cm2 cell test code]:[5 cm2 cell test code]],[1]!Table1[[Test code]:[Test code]],[1]!Table1[DIW conductivity (µS/cm)],"",0)</f>
        <v>#REF!</v>
      </c>
      <c r="AQ331" s="4" t="str">
        <v>VSG02A-23306E1.01-06</v>
      </c>
      <c r="AR331" s="96" t="s">
        <v>673</v>
      </c>
      <c r="AS331" s="96">
        <f>COUNT(W268:W271,W273:W336)</f>
        <v>0</v>
      </c>
    </row>
    <row r="332" spans="1:45">
      <c r="A332" s="81"/>
      <c r="B332" s="11" t="s">
        <v>674</v>
      </c>
      <c r="C332" s="4" t="s">
        <v>609</v>
      </c>
      <c r="K332" s="43" t="s">
        <v>59</v>
      </c>
      <c r="P332" s="28">
        <v>2.3784999999999998</v>
      </c>
      <c r="Q332" s="135">
        <v>0.11123709025594972</v>
      </c>
      <c r="U332" s="101"/>
      <c r="V332" s="101"/>
      <c r="W332" s="69" t="e" cm="1">
        <f t="array" ref="W332">_xlfn.XLOOKUP(Table1[[#This Row],[5 cm2 cell test code]:[5 cm2 cell test code]],[1]!Table1[[Test code]:[Test code]],[1]!Table1[i @ 1.8 V DIW (A/cm2)],"",0)</f>
        <v>#REF!</v>
      </c>
      <c r="X332" s="69" t="e" cm="1">
        <f t="array" ref="X332">_xlfn.XLOOKUP(Table1[[#This Row],[5 cm2 cell test code]:[5 cm2 cell test code]],[1]!Table1[[Test code]:[Test code]],[1]!Table1[i @ 1.8 V 10 mM KOH (A/cm2)],"",0)</f>
        <v>#REF!</v>
      </c>
      <c r="Y332" s="69" t="e" cm="1">
        <f t="array" ref="Y332">_xlfn.XLOOKUP(Table1[[#This Row],[5 cm2 cell test code]:[5 cm2 cell test code]],[1]!Table1[[Test code]:[Test code]],[1]!Table1[3-E ƞ at 20mAcm-2 (mV)],"",0)</f>
        <v>#REF!</v>
      </c>
      <c r="Z332" s="69" t="e" cm="1">
        <f t="array" ref="Z332">_xlfn.XLOOKUP(Table1[[#This Row],[5 cm2 cell test code]:[5 cm2 cell test code]],[1]!Table1[[Test code]:[Test code]],[1]!Table1[3-E Tafel slope (mV/dec)],"",0)</f>
        <v>#REF!</v>
      </c>
      <c r="AA332" s="69" t="e" cm="1">
        <f t="array" ref="AA332">_xlfn.XLOOKUP(Table1[[#This Row],[5 cm2 cell test code]:[5 cm2 cell test code]],[1]!Table1[[Test code]:[Test code]],[1]!Table1[E @ 100 mA/cm2 DIW/V],"",0)</f>
        <v>#REF!</v>
      </c>
      <c r="AB332" s="69" t="e" cm="1">
        <f t="array" ref="AB332">_xlfn.XLOOKUP(Table1[[#This Row],[5 cm2 cell test code]:[5 cm2 cell test code]],[1]!Table1[[Test code]:[Test code]],[1]!Table1[E @ 100 mA/cm2 10 mM KOH/V],"",0)</f>
        <v>#REF!</v>
      </c>
      <c r="AC332" s="69" t="e" cm="1">
        <f t="array" ref="AC332">_xlfn.XLOOKUP(Table1[[#This Row],[5 cm2 cell test code]:[5 cm2 cell test code]],[1]!Table1[[Test code]:[Test code]],[1]!Table1[Anode ICR/mOhm],"",0)</f>
        <v>#REF!</v>
      </c>
      <c r="AD332" s="69" t="e" cm="1">
        <f t="array" ref="AD332">_xlfn.XLOOKUP(Table1[[#This Row],[5 cm2 cell test code]:[5 cm2 cell test code]],[1]!Table1[[Test code]:[Test code]],[1]!Table1[HFR DIW/ mOhm cm2],"",0)</f>
        <v>#REF!</v>
      </c>
      <c r="AE332" s="69" t="e" cm="1">
        <f t="array" ref="AE332">_xlfn.XLOOKUP(Table1[[#This Row],[5 cm2 cell test code]:[5 cm2 cell test code]],[1]!Table1[[Test code]:[Test code]],[1]!Table1[HFR 10 mM KOH/ mOhm cm2],"",0)</f>
        <v>#REF!</v>
      </c>
      <c r="AF332" s="69" t="e" cm="1">
        <f t="array" ref="AF332">_xlfn.XLOOKUP(Table1[[#This Row],[5 cm2 cell test code]:[5 cm2 cell test code]],[1]!Table1[[Test code]:[Test code]],[1]!Table1[Ionic resistance DIW/Ohm cm2],"",0)</f>
        <v>#REF!</v>
      </c>
      <c r="AG332" s="69" t="e" cm="1">
        <f t="array" ref="AG332">_xlfn.XLOOKUP(Table1[[#This Row],[5 cm2 cell test code]:[5 cm2 cell test code]],[1]!Table1[[Test code]:[Test code]],[1]!Table1[Q_int_frac DIW],"",0)</f>
        <v>#REF!</v>
      </c>
      <c r="AH332" s="69" t="e" cm="1">
        <f t="array" ref="AH332">_xlfn.XLOOKUP(Table1[[#This Row],[5 cm2 cell test code]:[5 cm2 cell test code]],[1]!Table1[[Test code]:[Test code]],[1]!Table1[Ionic resistance 10 mM KOH/Ohm cm2],"",0)</f>
        <v>#REF!</v>
      </c>
      <c r="AI332" s="69" t="e" cm="1">
        <f t="array" ref="AI332">_xlfn.XLOOKUP(Table1[[#This Row],[5 cm2 cell test code]:[5 cm2 cell test code]],[1]!Table1[[Test code]:[Test code]],[1]!Table1[Q_int_frac DIW 10 mM KOH],"",0)</f>
        <v>#REF!</v>
      </c>
      <c r="AJ332" s="69" t="e" cm="1">
        <f t="array" ref="AJ332">_xlfn.XLOOKUP(Table1[[#This Row],[5 cm2 cell test code]:[5 cm2 cell test code]],[1]!Table1[[Test code]:[Test code]],[1]!Table1[DIW conductivity (µS/cm)],"",0)</f>
        <v>#REF!</v>
      </c>
      <c r="AQ332" s="4" t="str">
        <v>VSG02A-23306E1.01-07</v>
      </c>
      <c r="AR332" s="96" t="s">
        <v>675</v>
      </c>
    </row>
    <row r="333" spans="1:45">
      <c r="A333" s="81"/>
      <c r="B333" s="11" t="s">
        <v>676</v>
      </c>
      <c r="C333" s="4" t="s">
        <v>652</v>
      </c>
      <c r="K333" s="43" t="s">
        <v>59</v>
      </c>
      <c r="M333" s="13">
        <f>(9.15-9.16)*1000/(10.1*10)</f>
        <v>-9.9009900990096905E-2</v>
      </c>
      <c r="N333" s="13">
        <v>3.0857142857142859</v>
      </c>
      <c r="Q333" s="135">
        <v>1.726958187504943E-4</v>
      </c>
      <c r="U333" s="101"/>
      <c r="V333" s="101"/>
      <c r="W333" s="69" t="e" cm="1">
        <f t="array" ref="W333">_xlfn.XLOOKUP(Table1[[#This Row],[5 cm2 cell test code]:[5 cm2 cell test code]],[1]!Table1[[Test code]:[Test code]],[1]!Table1[i @ 1.8 V DIW (A/cm2)],"",0)</f>
        <v>#REF!</v>
      </c>
      <c r="X333" s="69" t="e" cm="1">
        <f t="array" ref="X333">_xlfn.XLOOKUP(Table1[[#This Row],[5 cm2 cell test code]:[5 cm2 cell test code]],[1]!Table1[[Test code]:[Test code]],[1]!Table1[i @ 1.8 V 10 mM KOH (A/cm2)],"",0)</f>
        <v>#REF!</v>
      </c>
      <c r="Y333" s="69" t="e" cm="1">
        <f t="array" ref="Y333">_xlfn.XLOOKUP(Table1[[#This Row],[5 cm2 cell test code]:[5 cm2 cell test code]],[1]!Table1[[Test code]:[Test code]],[1]!Table1[3-E ƞ at 20mAcm-2 (mV)],"",0)</f>
        <v>#REF!</v>
      </c>
      <c r="Z333" s="69" t="e" cm="1">
        <f t="array" ref="Z333">_xlfn.XLOOKUP(Table1[[#This Row],[5 cm2 cell test code]:[5 cm2 cell test code]],[1]!Table1[[Test code]:[Test code]],[1]!Table1[3-E Tafel slope (mV/dec)],"",0)</f>
        <v>#REF!</v>
      </c>
      <c r="AA333" s="69" t="e" cm="1">
        <f t="array" ref="AA333">_xlfn.XLOOKUP(Table1[[#This Row],[5 cm2 cell test code]:[5 cm2 cell test code]],[1]!Table1[[Test code]:[Test code]],[1]!Table1[E @ 100 mA/cm2 DIW/V],"",0)</f>
        <v>#REF!</v>
      </c>
      <c r="AB333" s="69" t="e" cm="1">
        <f t="array" ref="AB333">_xlfn.XLOOKUP(Table1[[#This Row],[5 cm2 cell test code]:[5 cm2 cell test code]],[1]!Table1[[Test code]:[Test code]],[1]!Table1[E @ 100 mA/cm2 10 mM KOH/V],"",0)</f>
        <v>#REF!</v>
      </c>
      <c r="AC333" s="69" t="e" cm="1">
        <f t="array" ref="AC333">_xlfn.XLOOKUP(Table1[[#This Row],[5 cm2 cell test code]:[5 cm2 cell test code]],[1]!Table1[[Test code]:[Test code]],[1]!Table1[Anode ICR/mOhm],"",0)</f>
        <v>#REF!</v>
      </c>
      <c r="AD333" s="69" t="e" cm="1">
        <f t="array" ref="AD333">_xlfn.XLOOKUP(Table1[[#This Row],[5 cm2 cell test code]:[5 cm2 cell test code]],[1]!Table1[[Test code]:[Test code]],[1]!Table1[HFR DIW/ mOhm cm2],"",0)</f>
        <v>#REF!</v>
      </c>
      <c r="AE333" s="69" t="e" cm="1">
        <f t="array" ref="AE333">_xlfn.XLOOKUP(Table1[[#This Row],[5 cm2 cell test code]:[5 cm2 cell test code]],[1]!Table1[[Test code]:[Test code]],[1]!Table1[HFR 10 mM KOH/ mOhm cm2],"",0)</f>
        <v>#REF!</v>
      </c>
      <c r="AF333" s="69" t="e" cm="1">
        <f t="array" ref="AF333">_xlfn.XLOOKUP(Table1[[#This Row],[5 cm2 cell test code]:[5 cm2 cell test code]],[1]!Table1[[Test code]:[Test code]],[1]!Table1[Ionic resistance DIW/Ohm cm2],"",0)</f>
        <v>#REF!</v>
      </c>
      <c r="AG333" s="69" t="e" cm="1">
        <f t="array" ref="AG333">_xlfn.XLOOKUP(Table1[[#This Row],[5 cm2 cell test code]:[5 cm2 cell test code]],[1]!Table1[[Test code]:[Test code]],[1]!Table1[Q_int_frac DIW],"",0)</f>
        <v>#REF!</v>
      </c>
      <c r="AH333" s="69" t="e" cm="1">
        <f t="array" ref="AH333">_xlfn.XLOOKUP(Table1[[#This Row],[5 cm2 cell test code]:[5 cm2 cell test code]],[1]!Table1[[Test code]:[Test code]],[1]!Table1[Ionic resistance 10 mM KOH/Ohm cm2],"",0)</f>
        <v>#REF!</v>
      </c>
      <c r="AI333" s="69" t="e" cm="1">
        <f t="array" ref="AI333">_xlfn.XLOOKUP(Table1[[#This Row],[5 cm2 cell test code]:[5 cm2 cell test code]],[1]!Table1[[Test code]:[Test code]],[1]!Table1[Q_int_frac DIW 10 mM KOH],"",0)</f>
        <v>#REF!</v>
      </c>
      <c r="AJ333" s="69" t="e" cm="1">
        <f t="array" ref="AJ333">_xlfn.XLOOKUP(Table1[[#This Row],[5 cm2 cell test code]:[5 cm2 cell test code]],[1]!Table1[[Test code]:[Test code]],[1]!Table1[DIW conductivity (µS/cm)],"",0)</f>
        <v>#REF!</v>
      </c>
      <c r="AQ333" s="4" t="str">
        <v>VSG02A-23306E1.01-08</v>
      </c>
      <c r="AR333" s="96" t="s">
        <v>677</v>
      </c>
    </row>
    <row r="334" spans="1:45">
      <c r="A334" s="81"/>
      <c r="B334" s="11" t="s">
        <v>678</v>
      </c>
      <c r="C334" s="4" t="s">
        <v>605</v>
      </c>
      <c r="K334" s="43" t="s">
        <v>59</v>
      </c>
      <c r="P334" s="28">
        <v>2.1875</v>
      </c>
      <c r="Q334" s="135">
        <v>7.5313078514646636E-2</v>
      </c>
      <c r="U334" s="101" t="s">
        <v>679</v>
      </c>
      <c r="V334" t="s">
        <v>680</v>
      </c>
      <c r="W334" s="69" t="e" cm="1">
        <f t="array" ref="W334">_xlfn.XLOOKUP(Table1[[#This Row],[5 cm2 cell test code]:[5 cm2 cell test code]],[1]!Table1[[Test code]:[Test code]],[1]!Table1[i @ 1.8 V DIW (A/cm2)],"",0)</f>
        <v>#REF!</v>
      </c>
      <c r="X334" s="69" t="e" cm="1">
        <f t="array" ref="X334">_xlfn.XLOOKUP(Table1[[#This Row],[5 cm2 cell test code]:[5 cm2 cell test code]],[1]!Table1[[Test code]:[Test code]],[1]!Table1[i @ 1.8 V 10 mM KOH (A/cm2)],"",0)</f>
        <v>#REF!</v>
      </c>
      <c r="Y334" s="69" t="e" cm="1">
        <f t="array" ref="Y334">_xlfn.XLOOKUP(Table1[[#This Row],[5 cm2 cell test code]:[5 cm2 cell test code]],[1]!Table1[[Test code]:[Test code]],[1]!Table1[3-E ƞ at 20mAcm-2 (mV)],"",0)</f>
        <v>#REF!</v>
      </c>
      <c r="Z334" s="69" t="e" cm="1">
        <f t="array" ref="Z334">_xlfn.XLOOKUP(Table1[[#This Row],[5 cm2 cell test code]:[5 cm2 cell test code]],[1]!Table1[[Test code]:[Test code]],[1]!Table1[3-E Tafel slope (mV/dec)],"",0)</f>
        <v>#REF!</v>
      </c>
      <c r="AA334" s="69" t="e" cm="1">
        <f t="array" ref="AA334">_xlfn.XLOOKUP(Table1[[#This Row],[5 cm2 cell test code]:[5 cm2 cell test code]],[1]!Table1[[Test code]:[Test code]],[1]!Table1[E @ 100 mA/cm2 DIW/V],"",0)</f>
        <v>#REF!</v>
      </c>
      <c r="AB334" s="69" t="e" cm="1">
        <f t="array" ref="AB334">_xlfn.XLOOKUP(Table1[[#This Row],[5 cm2 cell test code]:[5 cm2 cell test code]],[1]!Table1[[Test code]:[Test code]],[1]!Table1[E @ 100 mA/cm2 10 mM KOH/V],"",0)</f>
        <v>#REF!</v>
      </c>
      <c r="AC334" s="69" t="e" cm="1">
        <f t="array" ref="AC334">_xlfn.XLOOKUP(Table1[[#This Row],[5 cm2 cell test code]:[5 cm2 cell test code]],[1]!Table1[[Test code]:[Test code]],[1]!Table1[Anode ICR/mOhm],"",0)</f>
        <v>#REF!</v>
      </c>
      <c r="AD334" s="69" t="e" cm="1">
        <f t="array" ref="AD334">_xlfn.XLOOKUP(Table1[[#This Row],[5 cm2 cell test code]:[5 cm2 cell test code]],[1]!Table1[[Test code]:[Test code]],[1]!Table1[HFR DIW/ mOhm cm2],"",0)</f>
        <v>#REF!</v>
      </c>
      <c r="AE334" s="69" t="e" cm="1">
        <f t="array" ref="AE334">_xlfn.XLOOKUP(Table1[[#This Row],[5 cm2 cell test code]:[5 cm2 cell test code]],[1]!Table1[[Test code]:[Test code]],[1]!Table1[HFR 10 mM KOH/ mOhm cm2],"",0)</f>
        <v>#REF!</v>
      </c>
      <c r="AF334" s="69" t="e" cm="1">
        <f t="array" ref="AF334">_xlfn.XLOOKUP(Table1[[#This Row],[5 cm2 cell test code]:[5 cm2 cell test code]],[1]!Table1[[Test code]:[Test code]],[1]!Table1[Ionic resistance DIW/Ohm cm2],"",0)</f>
        <v>#REF!</v>
      </c>
      <c r="AG334" s="69" t="e" cm="1">
        <f t="array" ref="AG334">_xlfn.XLOOKUP(Table1[[#This Row],[5 cm2 cell test code]:[5 cm2 cell test code]],[1]!Table1[[Test code]:[Test code]],[1]!Table1[Q_int_frac DIW],"",0)</f>
        <v>#REF!</v>
      </c>
      <c r="AH334" s="69" t="e" cm="1">
        <f t="array" ref="AH334">_xlfn.XLOOKUP(Table1[[#This Row],[5 cm2 cell test code]:[5 cm2 cell test code]],[1]!Table1[[Test code]:[Test code]],[1]!Table1[Ionic resistance 10 mM KOH/Ohm cm2],"",0)</f>
        <v>#REF!</v>
      </c>
      <c r="AI334" s="69" t="e" cm="1">
        <f t="array" ref="AI334">_xlfn.XLOOKUP(Table1[[#This Row],[5 cm2 cell test code]:[5 cm2 cell test code]],[1]!Table1[[Test code]:[Test code]],[1]!Table1[Q_int_frac DIW 10 mM KOH],"",0)</f>
        <v>#REF!</v>
      </c>
      <c r="AJ334" s="69" t="e" cm="1">
        <f t="array" ref="AJ334">_xlfn.XLOOKUP(Table1[[#This Row],[5 cm2 cell test code]:[5 cm2 cell test code]],[1]!Table1[[Test code]:[Test code]],[1]!Table1[DIW conductivity (µS/cm)],"",0)</f>
        <v>#REF!</v>
      </c>
      <c r="AQ334" s="4" t="str">
        <v>VSG02A-23306E1.01-09</v>
      </c>
    </row>
    <row r="335" spans="1:45">
      <c r="A335" s="81"/>
      <c r="B335" s="11" t="s">
        <v>681</v>
      </c>
      <c r="C335" s="4" t="s">
        <v>614</v>
      </c>
      <c r="K335" s="43" t="s">
        <v>59</v>
      </c>
      <c r="P335" s="28">
        <v>1.7882</v>
      </c>
      <c r="Q335" s="135">
        <v>4.9430431244914565E-3</v>
      </c>
      <c r="U335" s="101"/>
      <c r="V335" s="101"/>
      <c r="W335" s="69" t="e" cm="1">
        <f t="array" ref="W335">_xlfn.XLOOKUP(Table1[[#This Row],[5 cm2 cell test code]:[5 cm2 cell test code]],[1]!Table1[[Test code]:[Test code]],[1]!Table1[i @ 1.8 V DIW (A/cm2)],"",0)</f>
        <v>#REF!</v>
      </c>
      <c r="X335" s="69" t="e" cm="1">
        <f t="array" ref="X335">_xlfn.XLOOKUP(Table1[[#This Row],[5 cm2 cell test code]:[5 cm2 cell test code]],[1]!Table1[[Test code]:[Test code]],[1]!Table1[i @ 1.8 V 10 mM KOH (A/cm2)],"",0)</f>
        <v>#REF!</v>
      </c>
      <c r="Y335" s="69" t="e" cm="1">
        <f t="array" ref="Y335">_xlfn.XLOOKUP(Table1[[#This Row],[5 cm2 cell test code]:[5 cm2 cell test code]],[1]!Table1[[Test code]:[Test code]],[1]!Table1[3-E ƞ at 20mAcm-2 (mV)],"",0)</f>
        <v>#REF!</v>
      </c>
      <c r="Z335" s="69" t="e" cm="1">
        <f t="array" ref="Z335">_xlfn.XLOOKUP(Table1[[#This Row],[5 cm2 cell test code]:[5 cm2 cell test code]],[1]!Table1[[Test code]:[Test code]],[1]!Table1[3-E Tafel slope (mV/dec)],"",0)</f>
        <v>#REF!</v>
      </c>
      <c r="AA335" s="69" t="e" cm="1">
        <f t="array" ref="AA335">_xlfn.XLOOKUP(Table1[[#This Row],[5 cm2 cell test code]:[5 cm2 cell test code]],[1]!Table1[[Test code]:[Test code]],[1]!Table1[E @ 100 mA/cm2 DIW/V],"",0)</f>
        <v>#REF!</v>
      </c>
      <c r="AB335" s="69" t="e" cm="1">
        <f t="array" ref="AB335">_xlfn.XLOOKUP(Table1[[#This Row],[5 cm2 cell test code]:[5 cm2 cell test code]],[1]!Table1[[Test code]:[Test code]],[1]!Table1[E @ 100 mA/cm2 10 mM KOH/V],"",0)</f>
        <v>#REF!</v>
      </c>
      <c r="AC335" s="69" t="e" cm="1">
        <f t="array" ref="AC335">_xlfn.XLOOKUP(Table1[[#This Row],[5 cm2 cell test code]:[5 cm2 cell test code]],[1]!Table1[[Test code]:[Test code]],[1]!Table1[Anode ICR/mOhm],"",0)</f>
        <v>#REF!</v>
      </c>
      <c r="AD335" s="69" t="e" cm="1">
        <f t="array" ref="AD335">_xlfn.XLOOKUP(Table1[[#This Row],[5 cm2 cell test code]:[5 cm2 cell test code]],[1]!Table1[[Test code]:[Test code]],[1]!Table1[HFR DIW/ mOhm cm2],"",0)</f>
        <v>#REF!</v>
      </c>
      <c r="AE335" s="69" t="e" cm="1">
        <f t="array" ref="AE335">_xlfn.XLOOKUP(Table1[[#This Row],[5 cm2 cell test code]:[5 cm2 cell test code]],[1]!Table1[[Test code]:[Test code]],[1]!Table1[HFR 10 mM KOH/ mOhm cm2],"",0)</f>
        <v>#REF!</v>
      </c>
      <c r="AF335" s="69" t="e" cm="1">
        <f t="array" ref="AF335">_xlfn.XLOOKUP(Table1[[#This Row],[5 cm2 cell test code]:[5 cm2 cell test code]],[1]!Table1[[Test code]:[Test code]],[1]!Table1[Ionic resistance DIW/Ohm cm2],"",0)</f>
        <v>#REF!</v>
      </c>
      <c r="AG335" s="69" t="e" cm="1">
        <f t="array" ref="AG335">_xlfn.XLOOKUP(Table1[[#This Row],[5 cm2 cell test code]:[5 cm2 cell test code]],[1]!Table1[[Test code]:[Test code]],[1]!Table1[Q_int_frac DIW],"",0)</f>
        <v>#REF!</v>
      </c>
      <c r="AH335" s="69" t="e" cm="1">
        <f t="array" ref="AH335">_xlfn.XLOOKUP(Table1[[#This Row],[5 cm2 cell test code]:[5 cm2 cell test code]],[1]!Table1[[Test code]:[Test code]],[1]!Table1[Ionic resistance 10 mM KOH/Ohm cm2],"",0)</f>
        <v>#REF!</v>
      </c>
      <c r="AI335" s="69" t="e" cm="1">
        <f t="array" ref="AI335">_xlfn.XLOOKUP(Table1[[#This Row],[5 cm2 cell test code]:[5 cm2 cell test code]],[1]!Table1[[Test code]:[Test code]],[1]!Table1[Q_int_frac DIW 10 mM KOH],"",0)</f>
        <v>#REF!</v>
      </c>
      <c r="AJ335" s="69" t="e" cm="1">
        <f t="array" ref="AJ335">_xlfn.XLOOKUP(Table1[[#This Row],[5 cm2 cell test code]:[5 cm2 cell test code]],[1]!Table1[[Test code]:[Test code]],[1]!Table1[DIW conductivity (µS/cm)],"",0)</f>
        <v>#REF!</v>
      </c>
      <c r="AQ335" s="4" t="str">
        <v>VSG02A-23306E1.01-10</v>
      </c>
      <c r="AR335" s="96" t="s">
        <v>682</v>
      </c>
    </row>
    <row r="336" spans="1:45">
      <c r="A336" s="81"/>
      <c r="B336" s="11" t="s">
        <v>683</v>
      </c>
      <c r="C336" s="4" t="s">
        <v>605</v>
      </c>
      <c r="K336" s="43" t="s">
        <v>59</v>
      </c>
      <c r="P336" s="28">
        <v>2.03125</v>
      </c>
      <c r="Q336" s="135">
        <v>6.5397886564589183E-2</v>
      </c>
      <c r="U336" s="101" t="s">
        <v>684</v>
      </c>
      <c r="V336" t="s">
        <v>685</v>
      </c>
      <c r="W336" s="69" t="e" cm="1">
        <f t="array" ref="W336">_xlfn.XLOOKUP(Table1[[#This Row],[5 cm2 cell test code]:[5 cm2 cell test code]],[1]!Table1[[Test code]:[Test code]],[1]!Table1[i @ 1.8 V DIW (A/cm2)],"",0)</f>
        <v>#REF!</v>
      </c>
      <c r="X336" s="69" t="e" cm="1">
        <f t="array" ref="X336">_xlfn.XLOOKUP(Table1[[#This Row],[5 cm2 cell test code]:[5 cm2 cell test code]],[1]!Table1[[Test code]:[Test code]],[1]!Table1[i @ 1.8 V 10 mM KOH (A/cm2)],"",0)</f>
        <v>#REF!</v>
      </c>
      <c r="Y336" s="69" t="e" cm="1">
        <f t="array" ref="Y336">_xlfn.XLOOKUP(Table1[[#This Row],[5 cm2 cell test code]:[5 cm2 cell test code]],[1]!Table1[[Test code]:[Test code]],[1]!Table1[3-E ƞ at 20mAcm-2 (mV)],"",0)</f>
        <v>#REF!</v>
      </c>
      <c r="Z336" s="69" t="e" cm="1">
        <f t="array" ref="Z336">_xlfn.XLOOKUP(Table1[[#This Row],[5 cm2 cell test code]:[5 cm2 cell test code]],[1]!Table1[[Test code]:[Test code]],[1]!Table1[3-E Tafel slope (mV/dec)],"",0)</f>
        <v>#REF!</v>
      </c>
      <c r="AA336" s="69" t="e" cm="1">
        <f t="array" ref="AA336">_xlfn.XLOOKUP(Table1[[#This Row],[5 cm2 cell test code]:[5 cm2 cell test code]],[1]!Table1[[Test code]:[Test code]],[1]!Table1[E @ 100 mA/cm2 DIW/V],"",0)</f>
        <v>#REF!</v>
      </c>
      <c r="AB336" s="69" t="e" cm="1">
        <f t="array" ref="AB336">_xlfn.XLOOKUP(Table1[[#This Row],[5 cm2 cell test code]:[5 cm2 cell test code]],[1]!Table1[[Test code]:[Test code]],[1]!Table1[E @ 100 mA/cm2 10 mM KOH/V],"",0)</f>
        <v>#REF!</v>
      </c>
      <c r="AC336" s="69" t="e" cm="1">
        <f t="array" ref="AC336">_xlfn.XLOOKUP(Table1[[#This Row],[5 cm2 cell test code]:[5 cm2 cell test code]],[1]!Table1[[Test code]:[Test code]],[1]!Table1[Anode ICR/mOhm],"",0)</f>
        <v>#REF!</v>
      </c>
      <c r="AD336" s="69" t="e" cm="1">
        <f t="array" ref="AD336">_xlfn.XLOOKUP(Table1[[#This Row],[5 cm2 cell test code]:[5 cm2 cell test code]],[1]!Table1[[Test code]:[Test code]],[1]!Table1[HFR DIW/ mOhm cm2],"",0)</f>
        <v>#REF!</v>
      </c>
      <c r="AE336" s="69" t="e" cm="1">
        <f t="array" ref="AE336">_xlfn.XLOOKUP(Table1[[#This Row],[5 cm2 cell test code]:[5 cm2 cell test code]],[1]!Table1[[Test code]:[Test code]],[1]!Table1[HFR 10 mM KOH/ mOhm cm2],"",0)</f>
        <v>#REF!</v>
      </c>
      <c r="AF336" s="69" t="e" cm="1">
        <f t="array" ref="AF336">_xlfn.XLOOKUP(Table1[[#This Row],[5 cm2 cell test code]:[5 cm2 cell test code]],[1]!Table1[[Test code]:[Test code]],[1]!Table1[Ionic resistance DIW/Ohm cm2],"",0)</f>
        <v>#REF!</v>
      </c>
      <c r="AG336" s="69" t="e" cm="1">
        <f t="array" ref="AG336">_xlfn.XLOOKUP(Table1[[#This Row],[5 cm2 cell test code]:[5 cm2 cell test code]],[1]!Table1[[Test code]:[Test code]],[1]!Table1[Q_int_frac DIW],"",0)</f>
        <v>#REF!</v>
      </c>
      <c r="AH336" s="69" t="e" cm="1">
        <f t="array" ref="AH336">_xlfn.XLOOKUP(Table1[[#This Row],[5 cm2 cell test code]:[5 cm2 cell test code]],[1]!Table1[[Test code]:[Test code]],[1]!Table1[Ionic resistance 10 mM KOH/Ohm cm2],"",0)</f>
        <v>#REF!</v>
      </c>
      <c r="AI336" s="69" t="e" cm="1">
        <f t="array" ref="AI336">_xlfn.XLOOKUP(Table1[[#This Row],[5 cm2 cell test code]:[5 cm2 cell test code]],[1]!Table1[[Test code]:[Test code]],[1]!Table1[Q_int_frac DIW 10 mM KOH],"",0)</f>
        <v>#REF!</v>
      </c>
      <c r="AJ336" s="69" t="e" cm="1">
        <f t="array" ref="AJ336">_xlfn.XLOOKUP(Table1[[#This Row],[5 cm2 cell test code]:[5 cm2 cell test code]],[1]!Table1[[Test code]:[Test code]],[1]!Table1[DIW conductivity (µS/cm)],"",0)</f>
        <v>#REF!</v>
      </c>
      <c r="AQ336" s="4" t="str">
        <v>VSG02A-23306E1.01-11</v>
      </c>
      <c r="AR336" s="96" t="s">
        <v>673</v>
      </c>
    </row>
    <row r="337" spans="1:44">
      <c r="A337" s="81"/>
      <c r="B337" s="11" t="s">
        <v>686</v>
      </c>
      <c r="C337" s="4" t="s">
        <v>609</v>
      </c>
      <c r="K337" s="43" t="s">
        <v>59</v>
      </c>
      <c r="P337" s="28">
        <v>1.51</v>
      </c>
      <c r="Q337" s="135">
        <v>9.8933333333333331E-2</v>
      </c>
      <c r="U337" s="101"/>
      <c r="V337" s="101"/>
      <c r="W337" s="69" t="e" cm="1">
        <f t="array" ref="W337">_xlfn.XLOOKUP(Table1[[#This Row],[5 cm2 cell test code]:[5 cm2 cell test code]],[1]!Table1[[Test code]:[Test code]],[1]!Table1[i @ 1.8 V DIW (A/cm2)],"",0)</f>
        <v>#REF!</v>
      </c>
      <c r="X337" s="69" t="e" cm="1">
        <f t="array" ref="X337">_xlfn.XLOOKUP(Table1[[#This Row],[5 cm2 cell test code]:[5 cm2 cell test code]],[1]!Table1[[Test code]:[Test code]],[1]!Table1[i @ 1.8 V 10 mM KOH (A/cm2)],"",0)</f>
        <v>#REF!</v>
      </c>
      <c r="Y337" s="69" t="e" cm="1">
        <f t="array" ref="Y337">_xlfn.XLOOKUP(Table1[[#This Row],[5 cm2 cell test code]:[5 cm2 cell test code]],[1]!Table1[[Test code]:[Test code]],[1]!Table1[3-E ƞ at 20mAcm-2 (mV)],"",0)</f>
        <v>#REF!</v>
      </c>
      <c r="Z337" s="69" t="e" cm="1">
        <f t="array" ref="Z337">_xlfn.XLOOKUP(Table1[[#This Row],[5 cm2 cell test code]:[5 cm2 cell test code]],[1]!Table1[[Test code]:[Test code]],[1]!Table1[3-E Tafel slope (mV/dec)],"",0)</f>
        <v>#REF!</v>
      </c>
      <c r="AA337" s="69" t="e" cm="1">
        <f t="array" ref="AA337">_xlfn.XLOOKUP(Table1[[#This Row],[5 cm2 cell test code]:[5 cm2 cell test code]],[1]!Table1[[Test code]:[Test code]],[1]!Table1[E @ 100 mA/cm2 DIW/V],"",0)</f>
        <v>#REF!</v>
      </c>
      <c r="AB337" s="69" t="e" cm="1">
        <f t="array" ref="AB337">_xlfn.XLOOKUP(Table1[[#This Row],[5 cm2 cell test code]:[5 cm2 cell test code]],[1]!Table1[[Test code]:[Test code]],[1]!Table1[E @ 100 mA/cm2 10 mM KOH/V],"",0)</f>
        <v>#REF!</v>
      </c>
      <c r="AC337" s="69" t="e" cm="1">
        <f t="array" ref="AC337">_xlfn.XLOOKUP(Table1[[#This Row],[5 cm2 cell test code]:[5 cm2 cell test code]],[1]!Table1[[Test code]:[Test code]],[1]!Table1[Anode ICR/mOhm],"",0)</f>
        <v>#REF!</v>
      </c>
      <c r="AD337" s="69" t="e" cm="1">
        <f t="array" ref="AD337">_xlfn.XLOOKUP(Table1[[#This Row],[5 cm2 cell test code]:[5 cm2 cell test code]],[1]!Table1[[Test code]:[Test code]],[1]!Table1[HFR DIW/ mOhm cm2],"",0)</f>
        <v>#REF!</v>
      </c>
      <c r="AE337" s="69" t="e" cm="1">
        <f t="array" ref="AE337">_xlfn.XLOOKUP(Table1[[#This Row],[5 cm2 cell test code]:[5 cm2 cell test code]],[1]!Table1[[Test code]:[Test code]],[1]!Table1[HFR 10 mM KOH/ mOhm cm2],"",0)</f>
        <v>#REF!</v>
      </c>
      <c r="AF337" s="69" t="e" cm="1">
        <f t="array" ref="AF337">_xlfn.XLOOKUP(Table1[[#This Row],[5 cm2 cell test code]:[5 cm2 cell test code]],[1]!Table1[[Test code]:[Test code]],[1]!Table1[Ionic resistance DIW/Ohm cm2],"",0)</f>
        <v>#REF!</v>
      </c>
      <c r="AG337" s="69" t="e" cm="1">
        <f t="array" ref="AG337">_xlfn.XLOOKUP(Table1[[#This Row],[5 cm2 cell test code]:[5 cm2 cell test code]],[1]!Table1[[Test code]:[Test code]],[1]!Table1[Q_int_frac DIW],"",0)</f>
        <v>#REF!</v>
      </c>
      <c r="AH337" s="69" t="e" cm="1">
        <f t="array" ref="AH337">_xlfn.XLOOKUP(Table1[[#This Row],[5 cm2 cell test code]:[5 cm2 cell test code]],[1]!Table1[[Test code]:[Test code]],[1]!Table1[Ionic resistance 10 mM KOH/Ohm cm2],"",0)</f>
        <v>#REF!</v>
      </c>
      <c r="AI337" s="69" t="e" cm="1">
        <f t="array" ref="AI337">_xlfn.XLOOKUP(Table1[[#This Row],[5 cm2 cell test code]:[5 cm2 cell test code]],[1]!Table1[[Test code]:[Test code]],[1]!Table1[Q_int_frac DIW 10 mM KOH],"",0)</f>
        <v>#REF!</v>
      </c>
      <c r="AJ337" s="69" t="e" cm="1">
        <f t="array" ref="AJ337">_xlfn.XLOOKUP(Table1[[#This Row],[5 cm2 cell test code]:[5 cm2 cell test code]],[1]!Table1[[Test code]:[Test code]],[1]!Table1[DIW conductivity (µS/cm)],"",0)</f>
        <v>#REF!</v>
      </c>
      <c r="AQ337" s="4" t="str">
        <v>VSG02A-23306E1.01-12</v>
      </c>
      <c r="AR337" s="96" t="s">
        <v>675</v>
      </c>
    </row>
    <row r="338" spans="1:44">
      <c r="A338" s="81"/>
      <c r="B338" s="11" t="s">
        <v>687</v>
      </c>
      <c r="C338" s="4" t="s">
        <v>614</v>
      </c>
      <c r="K338" s="43" t="s">
        <v>59</v>
      </c>
      <c r="P338" s="28">
        <v>2.2568999999999999</v>
      </c>
      <c r="Q338" s="135">
        <v>0.12734935641872649</v>
      </c>
      <c r="U338" s="101"/>
      <c r="V338" s="101"/>
      <c r="W338" s="69" t="e" cm="1">
        <f t="array" ref="W338">_xlfn.XLOOKUP(Table1[[#This Row],[5 cm2 cell test code]:[5 cm2 cell test code]],[1]!Table1[[Test code]:[Test code]],[1]!Table1[i @ 1.8 V DIW (A/cm2)],"",0)</f>
        <v>#REF!</v>
      </c>
      <c r="X338" s="69" t="e" cm="1">
        <f t="array" ref="X338">_xlfn.XLOOKUP(Table1[[#This Row],[5 cm2 cell test code]:[5 cm2 cell test code]],[1]!Table1[[Test code]:[Test code]],[1]!Table1[i @ 1.8 V 10 mM KOH (A/cm2)],"",0)</f>
        <v>#REF!</v>
      </c>
      <c r="Y338" s="69" t="e" cm="1">
        <f t="array" ref="Y338">_xlfn.XLOOKUP(Table1[[#This Row],[5 cm2 cell test code]:[5 cm2 cell test code]],[1]!Table1[[Test code]:[Test code]],[1]!Table1[3-E ƞ at 20mAcm-2 (mV)],"",0)</f>
        <v>#REF!</v>
      </c>
      <c r="Z338" s="69" t="e" cm="1">
        <f t="array" ref="Z338">_xlfn.XLOOKUP(Table1[[#This Row],[5 cm2 cell test code]:[5 cm2 cell test code]],[1]!Table1[[Test code]:[Test code]],[1]!Table1[3-E Tafel slope (mV/dec)],"",0)</f>
        <v>#REF!</v>
      </c>
      <c r="AA338" s="69" t="e" cm="1">
        <f t="array" ref="AA338">_xlfn.XLOOKUP(Table1[[#This Row],[5 cm2 cell test code]:[5 cm2 cell test code]],[1]!Table1[[Test code]:[Test code]],[1]!Table1[E @ 100 mA/cm2 DIW/V],"",0)</f>
        <v>#REF!</v>
      </c>
      <c r="AB338" s="69" t="e" cm="1">
        <f t="array" ref="AB338">_xlfn.XLOOKUP(Table1[[#This Row],[5 cm2 cell test code]:[5 cm2 cell test code]],[1]!Table1[[Test code]:[Test code]],[1]!Table1[E @ 100 mA/cm2 10 mM KOH/V],"",0)</f>
        <v>#REF!</v>
      </c>
      <c r="AC338" s="69" t="e" cm="1">
        <f t="array" ref="AC338">_xlfn.XLOOKUP(Table1[[#This Row],[5 cm2 cell test code]:[5 cm2 cell test code]],[1]!Table1[[Test code]:[Test code]],[1]!Table1[Anode ICR/mOhm],"",0)</f>
        <v>#REF!</v>
      </c>
      <c r="AD338" s="69" t="e" cm="1">
        <f t="array" ref="AD338">_xlfn.XLOOKUP(Table1[[#This Row],[5 cm2 cell test code]:[5 cm2 cell test code]],[1]!Table1[[Test code]:[Test code]],[1]!Table1[HFR DIW/ mOhm cm2],"",0)</f>
        <v>#REF!</v>
      </c>
      <c r="AE338" s="69" t="e" cm="1">
        <f t="array" ref="AE338">_xlfn.XLOOKUP(Table1[[#This Row],[5 cm2 cell test code]:[5 cm2 cell test code]],[1]!Table1[[Test code]:[Test code]],[1]!Table1[HFR 10 mM KOH/ mOhm cm2],"",0)</f>
        <v>#REF!</v>
      </c>
      <c r="AF338" s="69" t="e" cm="1">
        <f t="array" ref="AF338">_xlfn.XLOOKUP(Table1[[#This Row],[5 cm2 cell test code]:[5 cm2 cell test code]],[1]!Table1[[Test code]:[Test code]],[1]!Table1[Ionic resistance DIW/Ohm cm2],"",0)</f>
        <v>#REF!</v>
      </c>
      <c r="AG338" s="69" t="e" cm="1">
        <f t="array" ref="AG338">_xlfn.XLOOKUP(Table1[[#This Row],[5 cm2 cell test code]:[5 cm2 cell test code]],[1]!Table1[[Test code]:[Test code]],[1]!Table1[Q_int_frac DIW],"",0)</f>
        <v>#REF!</v>
      </c>
      <c r="AH338" s="69" t="e" cm="1">
        <f t="array" ref="AH338">_xlfn.XLOOKUP(Table1[[#This Row],[5 cm2 cell test code]:[5 cm2 cell test code]],[1]!Table1[[Test code]:[Test code]],[1]!Table1[Ionic resistance 10 mM KOH/Ohm cm2],"",0)</f>
        <v>#REF!</v>
      </c>
      <c r="AI338" s="69" t="e" cm="1">
        <f t="array" ref="AI338">_xlfn.XLOOKUP(Table1[[#This Row],[5 cm2 cell test code]:[5 cm2 cell test code]],[1]!Table1[[Test code]:[Test code]],[1]!Table1[Q_int_frac DIW 10 mM KOH],"",0)</f>
        <v>#REF!</v>
      </c>
      <c r="AJ338" s="69" t="e" cm="1">
        <f t="array" ref="AJ338">_xlfn.XLOOKUP(Table1[[#This Row],[5 cm2 cell test code]:[5 cm2 cell test code]],[1]!Table1[[Test code]:[Test code]],[1]!Table1[DIW conductivity (µS/cm)],"",0)</f>
        <v>#REF!</v>
      </c>
      <c r="AQ338" s="4" t="str">
        <v>VSG02A-23306E1.01-13</v>
      </c>
      <c r="AR338" s="96" t="s">
        <v>677</v>
      </c>
    </row>
    <row r="339" spans="1:44">
      <c r="A339" s="81"/>
      <c r="B339" s="11" t="s">
        <v>688</v>
      </c>
      <c r="C339" s="4" t="s">
        <v>609</v>
      </c>
      <c r="K339" s="43" t="s">
        <v>59</v>
      </c>
      <c r="P339" s="28">
        <v>1.615</v>
      </c>
      <c r="Q339" s="135">
        <v>0.11894343045006237</v>
      </c>
      <c r="U339" s="101"/>
      <c r="V339" s="101"/>
      <c r="W339" s="69" t="e" cm="1">
        <f t="array" ref="W339">_xlfn.XLOOKUP(Table1[[#This Row],[5 cm2 cell test code]:[5 cm2 cell test code]],[1]!Table1[[Test code]:[Test code]],[1]!Table1[i @ 1.8 V DIW (A/cm2)],"",0)</f>
        <v>#REF!</v>
      </c>
      <c r="X339" s="69" t="e" cm="1">
        <f t="array" ref="X339">_xlfn.XLOOKUP(Table1[[#This Row],[5 cm2 cell test code]:[5 cm2 cell test code]],[1]!Table1[[Test code]:[Test code]],[1]!Table1[i @ 1.8 V 10 mM KOH (A/cm2)],"",0)</f>
        <v>#REF!</v>
      </c>
      <c r="Y339" s="69" t="e" cm="1">
        <f t="array" ref="Y339">_xlfn.XLOOKUP(Table1[[#This Row],[5 cm2 cell test code]:[5 cm2 cell test code]],[1]!Table1[[Test code]:[Test code]],[1]!Table1[3-E ƞ at 20mAcm-2 (mV)],"",0)</f>
        <v>#REF!</v>
      </c>
      <c r="Z339" s="69" t="e" cm="1">
        <f t="array" ref="Z339">_xlfn.XLOOKUP(Table1[[#This Row],[5 cm2 cell test code]:[5 cm2 cell test code]],[1]!Table1[[Test code]:[Test code]],[1]!Table1[3-E Tafel slope (mV/dec)],"",0)</f>
        <v>#REF!</v>
      </c>
      <c r="AA339" s="69" t="e" cm="1">
        <f t="array" ref="AA339">_xlfn.XLOOKUP(Table1[[#This Row],[5 cm2 cell test code]:[5 cm2 cell test code]],[1]!Table1[[Test code]:[Test code]],[1]!Table1[E @ 100 mA/cm2 DIW/V],"",0)</f>
        <v>#REF!</v>
      </c>
      <c r="AB339" s="69" t="e" cm="1">
        <f t="array" ref="AB339">_xlfn.XLOOKUP(Table1[[#This Row],[5 cm2 cell test code]:[5 cm2 cell test code]],[1]!Table1[[Test code]:[Test code]],[1]!Table1[E @ 100 mA/cm2 10 mM KOH/V],"",0)</f>
        <v>#REF!</v>
      </c>
      <c r="AC339" s="69" t="e" cm="1">
        <f t="array" ref="AC339">_xlfn.XLOOKUP(Table1[[#This Row],[5 cm2 cell test code]:[5 cm2 cell test code]],[1]!Table1[[Test code]:[Test code]],[1]!Table1[Anode ICR/mOhm],"",0)</f>
        <v>#REF!</v>
      </c>
      <c r="AD339" s="69" t="e" cm="1">
        <f t="array" ref="AD339">_xlfn.XLOOKUP(Table1[[#This Row],[5 cm2 cell test code]:[5 cm2 cell test code]],[1]!Table1[[Test code]:[Test code]],[1]!Table1[HFR DIW/ mOhm cm2],"",0)</f>
        <v>#REF!</v>
      </c>
      <c r="AE339" s="69" t="e" cm="1">
        <f t="array" ref="AE339">_xlfn.XLOOKUP(Table1[[#This Row],[5 cm2 cell test code]:[5 cm2 cell test code]],[1]!Table1[[Test code]:[Test code]],[1]!Table1[HFR 10 mM KOH/ mOhm cm2],"",0)</f>
        <v>#REF!</v>
      </c>
      <c r="AF339" s="69" t="e" cm="1">
        <f t="array" ref="AF339">_xlfn.XLOOKUP(Table1[[#This Row],[5 cm2 cell test code]:[5 cm2 cell test code]],[1]!Table1[[Test code]:[Test code]],[1]!Table1[Ionic resistance DIW/Ohm cm2],"",0)</f>
        <v>#REF!</v>
      </c>
      <c r="AG339" s="69" t="e" cm="1">
        <f t="array" ref="AG339">_xlfn.XLOOKUP(Table1[[#This Row],[5 cm2 cell test code]:[5 cm2 cell test code]],[1]!Table1[[Test code]:[Test code]],[1]!Table1[Q_int_frac DIW],"",0)</f>
        <v>#REF!</v>
      </c>
      <c r="AH339" s="69" t="e" cm="1">
        <f t="array" ref="AH339">_xlfn.XLOOKUP(Table1[[#This Row],[5 cm2 cell test code]:[5 cm2 cell test code]],[1]!Table1[[Test code]:[Test code]],[1]!Table1[Ionic resistance 10 mM KOH/Ohm cm2],"",0)</f>
        <v>#REF!</v>
      </c>
      <c r="AI339" s="69" t="e" cm="1">
        <f t="array" ref="AI339">_xlfn.XLOOKUP(Table1[[#This Row],[5 cm2 cell test code]:[5 cm2 cell test code]],[1]!Table1[[Test code]:[Test code]],[1]!Table1[Q_int_frac DIW 10 mM KOH],"",0)</f>
        <v>#REF!</v>
      </c>
      <c r="AJ339" s="69" t="e" cm="1">
        <f t="array" ref="AJ339">_xlfn.XLOOKUP(Table1[[#This Row],[5 cm2 cell test code]:[5 cm2 cell test code]],[1]!Table1[[Test code]:[Test code]],[1]!Table1[DIW conductivity (µS/cm)],"",0)</f>
        <v>#REF!</v>
      </c>
      <c r="AQ339" s="4" t="str">
        <v>VSG02A-23306E1.01-14</v>
      </c>
    </row>
    <row r="340" spans="1:44">
      <c r="A340" s="81"/>
      <c r="U340" s="101"/>
      <c r="V340" s="101"/>
      <c r="W340" s="69" t="e" cm="1">
        <f t="array" ref="W340">_xlfn.XLOOKUP(Table1[[#This Row],[5 cm2 cell test code]:[5 cm2 cell test code]],[1]!Table1[[Test code]:[Test code]],[1]!Table1[i @ 1.8 V DIW (A/cm2)],"",0)</f>
        <v>#REF!</v>
      </c>
      <c r="X340" s="69" t="e" cm="1">
        <f t="array" ref="X340">_xlfn.XLOOKUP(Table1[[#This Row],[5 cm2 cell test code]:[5 cm2 cell test code]],[1]!Table1[[Test code]:[Test code]],[1]!Table1[i @ 1.8 V 10 mM KOH (A/cm2)],"",0)</f>
        <v>#REF!</v>
      </c>
      <c r="Y340" s="69" t="e" cm="1">
        <f t="array" ref="Y340">_xlfn.XLOOKUP(Table1[[#This Row],[5 cm2 cell test code]:[5 cm2 cell test code]],[1]!Table1[[Test code]:[Test code]],[1]!Table1[3-E ƞ at 20mAcm-2 (mV)],"",0)</f>
        <v>#REF!</v>
      </c>
      <c r="Z340" s="69" t="e" cm="1">
        <f t="array" ref="Z340">_xlfn.XLOOKUP(Table1[[#This Row],[5 cm2 cell test code]:[5 cm2 cell test code]],[1]!Table1[[Test code]:[Test code]],[1]!Table1[3-E Tafel slope (mV/dec)],"",0)</f>
        <v>#REF!</v>
      </c>
      <c r="AA340" s="69" t="e" cm="1">
        <f t="array" ref="AA340">_xlfn.XLOOKUP(Table1[[#This Row],[5 cm2 cell test code]:[5 cm2 cell test code]],[1]!Table1[[Test code]:[Test code]],[1]!Table1[E @ 100 mA/cm2 DIW/V],"",0)</f>
        <v>#REF!</v>
      </c>
      <c r="AB340" s="69" t="e" cm="1">
        <f t="array" ref="AB340">_xlfn.XLOOKUP(Table1[[#This Row],[5 cm2 cell test code]:[5 cm2 cell test code]],[1]!Table1[[Test code]:[Test code]],[1]!Table1[E @ 100 mA/cm2 10 mM KOH/V],"",0)</f>
        <v>#REF!</v>
      </c>
      <c r="AC340" s="69" t="e" cm="1">
        <f t="array" ref="AC340">_xlfn.XLOOKUP(Table1[[#This Row],[5 cm2 cell test code]:[5 cm2 cell test code]],[1]!Table1[[Test code]:[Test code]],[1]!Table1[Anode ICR/mOhm],"",0)</f>
        <v>#REF!</v>
      </c>
      <c r="AD340" s="69" t="e" cm="1">
        <f t="array" ref="AD340">_xlfn.XLOOKUP(Table1[[#This Row],[5 cm2 cell test code]:[5 cm2 cell test code]],[1]!Table1[[Test code]:[Test code]],[1]!Table1[HFR DIW/ mOhm cm2],"",0)</f>
        <v>#REF!</v>
      </c>
      <c r="AE340" s="69" t="e" cm="1">
        <f t="array" ref="AE340">_xlfn.XLOOKUP(Table1[[#This Row],[5 cm2 cell test code]:[5 cm2 cell test code]],[1]!Table1[[Test code]:[Test code]],[1]!Table1[HFR 10 mM KOH/ mOhm cm2],"",0)</f>
        <v>#REF!</v>
      </c>
      <c r="AF340" s="69" t="e" cm="1">
        <f t="array" ref="AF340">_xlfn.XLOOKUP(Table1[[#This Row],[5 cm2 cell test code]:[5 cm2 cell test code]],[1]!Table1[[Test code]:[Test code]],[1]!Table1[Ionic resistance DIW/Ohm cm2],"",0)</f>
        <v>#REF!</v>
      </c>
      <c r="AG340" s="69" t="e" cm="1">
        <f t="array" ref="AG340">_xlfn.XLOOKUP(Table1[[#This Row],[5 cm2 cell test code]:[5 cm2 cell test code]],[1]!Table1[[Test code]:[Test code]],[1]!Table1[Q_int_frac DIW],"",0)</f>
        <v>#REF!</v>
      </c>
      <c r="AH340" s="69" t="e" cm="1">
        <f t="array" ref="AH340">_xlfn.XLOOKUP(Table1[[#This Row],[5 cm2 cell test code]:[5 cm2 cell test code]],[1]!Table1[[Test code]:[Test code]],[1]!Table1[Ionic resistance 10 mM KOH/Ohm cm2],"",0)</f>
        <v>#REF!</v>
      </c>
      <c r="AI340" s="69" t="e" cm="1">
        <f t="array" ref="AI340">_xlfn.XLOOKUP(Table1[[#This Row],[5 cm2 cell test code]:[5 cm2 cell test code]],[1]!Table1[[Test code]:[Test code]],[1]!Table1[Q_int_frac DIW 10 mM KOH],"",0)</f>
        <v>#REF!</v>
      </c>
      <c r="AJ340" s="69" t="e" cm="1">
        <f t="array" ref="AJ340">_xlfn.XLOOKUP(Table1[[#This Row],[5 cm2 cell test code]:[5 cm2 cell test code]],[1]!Table1[[Test code]:[Test code]],[1]!Table1[DIW conductivity (µS/cm)],"",0)</f>
        <v>#REF!</v>
      </c>
      <c r="AQ340" s="4" t="str">
        <v>VSG02A-23306E1.01-15</v>
      </c>
    </row>
    <row r="341" spans="1:44">
      <c r="A341" s="81"/>
      <c r="B341" s="11" t="s">
        <v>689</v>
      </c>
      <c r="C341" s="4" t="s">
        <v>690</v>
      </c>
      <c r="I341" s="11" t="s">
        <v>114</v>
      </c>
      <c r="J341" s="11" t="s">
        <v>402</v>
      </c>
      <c r="K341" s="43" t="s">
        <v>59</v>
      </c>
      <c r="L341" s="198">
        <v>45183</v>
      </c>
      <c r="M341" s="13">
        <v>0.17299999999999999</v>
      </c>
      <c r="N341" s="13">
        <v>2.9633333333333343</v>
      </c>
      <c r="O341" s="11" t="s">
        <v>691</v>
      </c>
      <c r="P341" s="28">
        <v>1.0189999999999999</v>
      </c>
      <c r="Q341" s="135">
        <v>5.2762929661226934E-2</v>
      </c>
      <c r="U341" s="101"/>
      <c r="V341" s="101"/>
      <c r="W341" s="69" t="e" cm="1">
        <f t="array" ref="W341">_xlfn.XLOOKUP(Table1[[#This Row],[5 cm2 cell test code]:[5 cm2 cell test code]],[1]!Table1[[Test code]:[Test code]],[1]!Table1[i @ 1.8 V DIW (A/cm2)],"",0)</f>
        <v>#REF!</v>
      </c>
      <c r="X341" s="69" t="e" cm="1">
        <f t="array" ref="X341">_xlfn.XLOOKUP(Table1[[#This Row],[5 cm2 cell test code]:[5 cm2 cell test code]],[1]!Table1[[Test code]:[Test code]],[1]!Table1[i @ 1.8 V 10 mM KOH (A/cm2)],"",0)</f>
        <v>#REF!</v>
      </c>
      <c r="Y341" s="69" t="e" cm="1">
        <f t="array" ref="Y341">_xlfn.XLOOKUP(Table1[[#This Row],[5 cm2 cell test code]:[5 cm2 cell test code]],[1]!Table1[[Test code]:[Test code]],[1]!Table1[3-E ƞ at 20mAcm-2 (mV)],"",0)</f>
        <v>#REF!</v>
      </c>
      <c r="Z341" s="69" t="e" cm="1">
        <f t="array" ref="Z341">_xlfn.XLOOKUP(Table1[[#This Row],[5 cm2 cell test code]:[5 cm2 cell test code]],[1]!Table1[[Test code]:[Test code]],[1]!Table1[3-E Tafel slope (mV/dec)],"",0)</f>
        <v>#REF!</v>
      </c>
      <c r="AA341" s="69" t="e" cm="1">
        <f t="array" ref="AA341">_xlfn.XLOOKUP(Table1[[#This Row],[5 cm2 cell test code]:[5 cm2 cell test code]],[1]!Table1[[Test code]:[Test code]],[1]!Table1[E @ 100 mA/cm2 DIW/V],"",0)</f>
        <v>#REF!</v>
      </c>
      <c r="AB341" s="69" t="e" cm="1">
        <f t="array" ref="AB341">_xlfn.XLOOKUP(Table1[[#This Row],[5 cm2 cell test code]:[5 cm2 cell test code]],[1]!Table1[[Test code]:[Test code]],[1]!Table1[E @ 100 mA/cm2 10 mM KOH/V],"",0)</f>
        <v>#REF!</v>
      </c>
      <c r="AC341" s="69" t="e" cm="1">
        <f t="array" ref="AC341">_xlfn.XLOOKUP(Table1[[#This Row],[5 cm2 cell test code]:[5 cm2 cell test code]],[1]!Table1[[Test code]:[Test code]],[1]!Table1[Anode ICR/mOhm],"",0)</f>
        <v>#REF!</v>
      </c>
      <c r="AD341" s="69" t="e" cm="1">
        <f t="array" ref="AD341">_xlfn.XLOOKUP(Table1[[#This Row],[5 cm2 cell test code]:[5 cm2 cell test code]],[1]!Table1[[Test code]:[Test code]],[1]!Table1[HFR DIW/ mOhm cm2],"",0)</f>
        <v>#REF!</v>
      </c>
      <c r="AE341" s="69" t="e" cm="1">
        <f t="array" ref="AE341">_xlfn.XLOOKUP(Table1[[#This Row],[5 cm2 cell test code]:[5 cm2 cell test code]],[1]!Table1[[Test code]:[Test code]],[1]!Table1[HFR 10 mM KOH/ mOhm cm2],"",0)</f>
        <v>#REF!</v>
      </c>
      <c r="AF341" s="69" t="e" cm="1">
        <f t="array" ref="AF341">_xlfn.XLOOKUP(Table1[[#This Row],[5 cm2 cell test code]:[5 cm2 cell test code]],[1]!Table1[[Test code]:[Test code]],[1]!Table1[Ionic resistance DIW/Ohm cm2],"",0)</f>
        <v>#REF!</v>
      </c>
      <c r="AG341" s="69" t="e" cm="1">
        <f t="array" ref="AG341">_xlfn.XLOOKUP(Table1[[#This Row],[5 cm2 cell test code]:[5 cm2 cell test code]],[1]!Table1[[Test code]:[Test code]],[1]!Table1[Q_int_frac DIW],"",0)</f>
        <v>#REF!</v>
      </c>
      <c r="AH341" s="69" t="e" cm="1">
        <f t="array" ref="AH341">_xlfn.XLOOKUP(Table1[[#This Row],[5 cm2 cell test code]:[5 cm2 cell test code]],[1]!Table1[[Test code]:[Test code]],[1]!Table1[Ionic resistance 10 mM KOH/Ohm cm2],"",0)</f>
        <v>#REF!</v>
      </c>
      <c r="AI341" s="69" t="e" cm="1">
        <f t="array" ref="AI341">_xlfn.XLOOKUP(Table1[[#This Row],[5 cm2 cell test code]:[5 cm2 cell test code]],[1]!Table1[[Test code]:[Test code]],[1]!Table1[Q_int_frac DIW 10 mM KOH],"",0)</f>
        <v>#REF!</v>
      </c>
      <c r="AJ341" s="69" t="e" cm="1">
        <f t="array" ref="AJ341">_xlfn.XLOOKUP(Table1[[#This Row],[5 cm2 cell test code]:[5 cm2 cell test code]],[1]!Table1[[Test code]:[Test code]],[1]!Table1[DIW conductivity (µS/cm)],"",0)</f>
        <v>#REF!</v>
      </c>
      <c r="AQ341" s="4" t="str">
        <v>VSG02A-23306E1.01-16</v>
      </c>
    </row>
    <row r="342" spans="1:44">
      <c r="A342" s="81"/>
      <c r="B342" s="11" t="s">
        <v>692</v>
      </c>
      <c r="K342" s="194"/>
      <c r="L342" s="198"/>
      <c r="Q342" s="135"/>
      <c r="U342" s="101"/>
      <c r="V342" s="101"/>
      <c r="W342" s="69" t="e" cm="1">
        <f t="array" ref="W342">_xlfn.XLOOKUP(Table1[[#This Row],[5 cm2 cell test code]:[5 cm2 cell test code]],[1]!Table1[[Test code]:[Test code]],[1]!Table1[i @ 1.8 V DIW (A/cm2)],"",0)</f>
        <v>#REF!</v>
      </c>
      <c r="X342" s="69" t="e" cm="1">
        <f t="array" ref="X342">_xlfn.XLOOKUP(Table1[[#This Row],[5 cm2 cell test code]:[5 cm2 cell test code]],[1]!Table1[[Test code]:[Test code]],[1]!Table1[i @ 1.8 V 10 mM KOH (A/cm2)],"",0)</f>
        <v>#REF!</v>
      </c>
      <c r="Y342" s="69" t="e" cm="1">
        <f t="array" ref="Y342">_xlfn.XLOOKUP(Table1[[#This Row],[5 cm2 cell test code]:[5 cm2 cell test code]],[1]!Table1[[Test code]:[Test code]],[1]!Table1[3-E ƞ at 20mAcm-2 (mV)],"",0)</f>
        <v>#REF!</v>
      </c>
      <c r="Z342" s="69" t="e" cm="1">
        <f t="array" ref="Z342">_xlfn.XLOOKUP(Table1[[#This Row],[5 cm2 cell test code]:[5 cm2 cell test code]],[1]!Table1[[Test code]:[Test code]],[1]!Table1[3-E Tafel slope (mV/dec)],"",0)</f>
        <v>#REF!</v>
      </c>
      <c r="AA342" s="69" t="e" cm="1">
        <f t="array" ref="AA342">_xlfn.XLOOKUP(Table1[[#This Row],[5 cm2 cell test code]:[5 cm2 cell test code]],[1]!Table1[[Test code]:[Test code]],[1]!Table1[E @ 100 mA/cm2 DIW/V],"",0)</f>
        <v>#REF!</v>
      </c>
      <c r="AB342" s="69" t="e" cm="1">
        <f t="array" ref="AB342">_xlfn.XLOOKUP(Table1[[#This Row],[5 cm2 cell test code]:[5 cm2 cell test code]],[1]!Table1[[Test code]:[Test code]],[1]!Table1[E @ 100 mA/cm2 10 mM KOH/V],"",0)</f>
        <v>#REF!</v>
      </c>
      <c r="AC342" s="69" t="e" cm="1">
        <f t="array" ref="AC342">_xlfn.XLOOKUP(Table1[[#This Row],[5 cm2 cell test code]:[5 cm2 cell test code]],[1]!Table1[[Test code]:[Test code]],[1]!Table1[Anode ICR/mOhm],"",0)</f>
        <v>#REF!</v>
      </c>
      <c r="AD342" s="69" t="e" cm="1">
        <f t="array" ref="AD342">_xlfn.XLOOKUP(Table1[[#This Row],[5 cm2 cell test code]:[5 cm2 cell test code]],[1]!Table1[[Test code]:[Test code]],[1]!Table1[HFR DIW/ mOhm cm2],"",0)</f>
        <v>#REF!</v>
      </c>
      <c r="AE342" s="69" t="e" cm="1">
        <f t="array" ref="AE342">_xlfn.XLOOKUP(Table1[[#This Row],[5 cm2 cell test code]:[5 cm2 cell test code]],[1]!Table1[[Test code]:[Test code]],[1]!Table1[HFR 10 mM KOH/ mOhm cm2],"",0)</f>
        <v>#REF!</v>
      </c>
      <c r="AF342" s="69" t="e" cm="1">
        <f t="array" ref="AF342">_xlfn.XLOOKUP(Table1[[#This Row],[5 cm2 cell test code]:[5 cm2 cell test code]],[1]!Table1[[Test code]:[Test code]],[1]!Table1[Ionic resistance DIW/Ohm cm2],"",0)</f>
        <v>#REF!</v>
      </c>
      <c r="AG342" s="195" t="e" cm="1">
        <f t="array" ref="AG342">_xlfn.XLOOKUP(Table1[[#This Row],[5 cm2 cell test code]:[5 cm2 cell test code]],[1]!Table1[[Test code]:[Test code]],[1]!Table1[Q_int_frac DIW],"",0)</f>
        <v>#REF!</v>
      </c>
      <c r="AH342" s="195" t="e" cm="1">
        <f t="array" ref="AH342">_xlfn.XLOOKUP(Table1[[#This Row],[5 cm2 cell test code]:[5 cm2 cell test code]],[1]!Table1[[Test code]:[Test code]],[1]!Table1[Ionic resistance 10 mM KOH/Ohm cm2],"",0)</f>
        <v>#REF!</v>
      </c>
      <c r="AI342" s="195" t="e" cm="1">
        <f t="array" ref="AI342">_xlfn.XLOOKUP(Table1[[#This Row],[5 cm2 cell test code]:[5 cm2 cell test code]],[1]!Table1[[Test code]:[Test code]],[1]!Table1[Q_int_frac DIW 10 mM KOH],"",0)</f>
        <v>#REF!</v>
      </c>
      <c r="AJ342" s="69" t="e" cm="1">
        <f t="array" ref="AJ342">_xlfn.XLOOKUP(Table1[[#This Row],[5 cm2 cell test code]:[5 cm2 cell test code]],[1]!Table1[[Test code]:[Test code]],[1]!Table1[DIW conductivity (µS/cm)],"",0)</f>
        <v>#REF!</v>
      </c>
      <c r="AQ342" s="4" t="str">
        <v>VSG02A-23306E1.01-17</v>
      </c>
    </row>
    <row r="343" spans="1:44">
      <c r="A343" s="81"/>
      <c r="B343" s="11" t="s">
        <v>693</v>
      </c>
      <c r="C343" s="4" t="s">
        <v>694</v>
      </c>
      <c r="E343" s="4" t="s">
        <v>8</v>
      </c>
      <c r="K343" s="43" t="s">
        <v>59</v>
      </c>
      <c r="L343" s="198">
        <v>45183</v>
      </c>
      <c r="P343" s="197">
        <v>1.2153</v>
      </c>
      <c r="Q343" s="135">
        <v>5.0999999999999997E-2</v>
      </c>
      <c r="U343" s="101"/>
      <c r="V343" s="101"/>
      <c r="W343" s="69" t="e" cm="1">
        <f t="array" ref="W343">_xlfn.XLOOKUP(Table1[[#This Row],[5 cm2 cell test code]:[5 cm2 cell test code]],[1]!Table1[[Test code]:[Test code]],[1]!Table1[i @ 1.8 V DIW (A/cm2)],"",0)</f>
        <v>#REF!</v>
      </c>
      <c r="X343" s="69" t="e" cm="1">
        <f t="array" ref="X343">_xlfn.XLOOKUP(Table1[[#This Row],[5 cm2 cell test code]:[5 cm2 cell test code]],[1]!Table1[[Test code]:[Test code]],[1]!Table1[i @ 1.8 V 10 mM KOH (A/cm2)],"",0)</f>
        <v>#REF!</v>
      </c>
      <c r="Y343" s="69" t="e" cm="1">
        <f t="array" ref="Y343">_xlfn.XLOOKUP(Table1[[#This Row],[5 cm2 cell test code]:[5 cm2 cell test code]],[1]!Table1[[Test code]:[Test code]],[1]!Table1[3-E ƞ at 20mAcm-2 (mV)],"",0)</f>
        <v>#REF!</v>
      </c>
      <c r="Z343" s="69" t="e" cm="1">
        <f t="array" ref="Z343">_xlfn.XLOOKUP(Table1[[#This Row],[5 cm2 cell test code]:[5 cm2 cell test code]],[1]!Table1[[Test code]:[Test code]],[1]!Table1[3-E Tafel slope (mV/dec)],"",0)</f>
        <v>#REF!</v>
      </c>
      <c r="AA343" s="69" t="e" cm="1">
        <f t="array" ref="AA343">_xlfn.XLOOKUP(Table1[[#This Row],[5 cm2 cell test code]:[5 cm2 cell test code]],[1]!Table1[[Test code]:[Test code]],[1]!Table1[E @ 100 mA/cm2 DIW/V],"",0)</f>
        <v>#REF!</v>
      </c>
      <c r="AB343" s="69" t="e" cm="1">
        <f t="array" ref="AB343">_xlfn.XLOOKUP(Table1[[#This Row],[5 cm2 cell test code]:[5 cm2 cell test code]],[1]!Table1[[Test code]:[Test code]],[1]!Table1[E @ 100 mA/cm2 10 mM KOH/V],"",0)</f>
        <v>#REF!</v>
      </c>
      <c r="AC343" s="69" t="e" cm="1">
        <f t="array" ref="AC343">_xlfn.XLOOKUP(Table1[[#This Row],[5 cm2 cell test code]:[5 cm2 cell test code]],[1]!Table1[[Test code]:[Test code]],[1]!Table1[Anode ICR/mOhm],"",0)</f>
        <v>#REF!</v>
      </c>
      <c r="AD343" s="69" t="e" cm="1">
        <f t="array" ref="AD343">_xlfn.XLOOKUP(Table1[[#This Row],[5 cm2 cell test code]:[5 cm2 cell test code]],[1]!Table1[[Test code]:[Test code]],[1]!Table1[HFR DIW/ mOhm cm2],"",0)</f>
        <v>#REF!</v>
      </c>
      <c r="AE343" s="69" t="e" cm="1">
        <f t="array" ref="AE343">_xlfn.XLOOKUP(Table1[[#This Row],[5 cm2 cell test code]:[5 cm2 cell test code]],[1]!Table1[[Test code]:[Test code]],[1]!Table1[HFR 10 mM KOH/ mOhm cm2],"",0)</f>
        <v>#REF!</v>
      </c>
      <c r="AF343" s="69" t="e" cm="1">
        <f t="array" ref="AF343">_xlfn.XLOOKUP(Table1[[#This Row],[5 cm2 cell test code]:[5 cm2 cell test code]],[1]!Table1[[Test code]:[Test code]],[1]!Table1[Ionic resistance DIW/Ohm cm2],"",0)</f>
        <v>#REF!</v>
      </c>
      <c r="AG343" s="195" t="e" cm="1">
        <f t="array" ref="AG343">_xlfn.XLOOKUP(Table1[[#This Row],[5 cm2 cell test code]:[5 cm2 cell test code]],[1]!Table1[[Test code]:[Test code]],[1]!Table1[Q_int_frac DIW],"",0)</f>
        <v>#REF!</v>
      </c>
      <c r="AH343" s="195" t="e" cm="1">
        <f t="array" ref="AH343">_xlfn.XLOOKUP(Table1[[#This Row],[5 cm2 cell test code]:[5 cm2 cell test code]],[1]!Table1[[Test code]:[Test code]],[1]!Table1[Ionic resistance 10 mM KOH/Ohm cm2],"",0)</f>
        <v>#REF!</v>
      </c>
      <c r="AI343" s="195" t="e" cm="1">
        <f t="array" ref="AI343">_xlfn.XLOOKUP(Table1[[#This Row],[5 cm2 cell test code]:[5 cm2 cell test code]],[1]!Table1[[Test code]:[Test code]],[1]!Table1[Q_int_frac DIW 10 mM KOH],"",0)</f>
        <v>#REF!</v>
      </c>
      <c r="AJ343" s="69" t="e" cm="1">
        <f t="array" ref="AJ343">_xlfn.XLOOKUP(Table1[[#This Row],[5 cm2 cell test code]:[5 cm2 cell test code]],[1]!Table1[[Test code]:[Test code]],[1]!Table1[DIW conductivity (µS/cm)],"",0)</f>
        <v>#REF!</v>
      </c>
      <c r="AQ343" s="4" t="str">
        <v>VSG02A-23306E1.01-18</v>
      </c>
    </row>
    <row r="344" spans="1:44">
      <c r="A344" s="81"/>
      <c r="B344" s="11" t="s">
        <v>695</v>
      </c>
      <c r="C344" s="4" t="s">
        <v>696</v>
      </c>
      <c r="E344" s="4" t="s">
        <v>8</v>
      </c>
      <c r="K344" s="43" t="s">
        <v>59</v>
      </c>
      <c r="L344" s="198">
        <v>45183</v>
      </c>
      <c r="P344" s="197">
        <v>1.4757</v>
      </c>
      <c r="Q344" s="135">
        <v>3.6999999999999998E-2</v>
      </c>
      <c r="U344" s="101"/>
      <c r="V344" s="101"/>
      <c r="W344" s="69" t="e" cm="1">
        <f t="array" ref="W344">_xlfn.XLOOKUP(Table1[[#This Row],[5 cm2 cell test code]:[5 cm2 cell test code]],[1]!Table1[[Test code]:[Test code]],[1]!Table1[i @ 1.8 V DIW (A/cm2)],"",0)</f>
        <v>#REF!</v>
      </c>
      <c r="X344" s="69" t="e" cm="1">
        <f t="array" ref="X344">_xlfn.XLOOKUP(Table1[[#This Row],[5 cm2 cell test code]:[5 cm2 cell test code]],[1]!Table1[[Test code]:[Test code]],[1]!Table1[i @ 1.8 V 10 mM KOH (A/cm2)],"",0)</f>
        <v>#REF!</v>
      </c>
      <c r="Y344" s="69" t="e" cm="1">
        <f t="array" ref="Y344">_xlfn.XLOOKUP(Table1[[#This Row],[5 cm2 cell test code]:[5 cm2 cell test code]],[1]!Table1[[Test code]:[Test code]],[1]!Table1[3-E ƞ at 20mAcm-2 (mV)],"",0)</f>
        <v>#REF!</v>
      </c>
      <c r="Z344" s="69" t="e" cm="1">
        <f t="array" ref="Z344">_xlfn.XLOOKUP(Table1[[#This Row],[5 cm2 cell test code]:[5 cm2 cell test code]],[1]!Table1[[Test code]:[Test code]],[1]!Table1[3-E Tafel slope (mV/dec)],"",0)</f>
        <v>#REF!</v>
      </c>
      <c r="AA344" s="69" t="e" cm="1">
        <f t="array" ref="AA344">_xlfn.XLOOKUP(Table1[[#This Row],[5 cm2 cell test code]:[5 cm2 cell test code]],[1]!Table1[[Test code]:[Test code]],[1]!Table1[E @ 100 mA/cm2 DIW/V],"",0)</f>
        <v>#REF!</v>
      </c>
      <c r="AB344" s="69" t="e" cm="1">
        <f t="array" ref="AB344">_xlfn.XLOOKUP(Table1[[#This Row],[5 cm2 cell test code]:[5 cm2 cell test code]],[1]!Table1[[Test code]:[Test code]],[1]!Table1[E @ 100 mA/cm2 10 mM KOH/V],"",0)</f>
        <v>#REF!</v>
      </c>
      <c r="AC344" s="69" t="e" cm="1">
        <f t="array" ref="AC344">_xlfn.XLOOKUP(Table1[[#This Row],[5 cm2 cell test code]:[5 cm2 cell test code]],[1]!Table1[[Test code]:[Test code]],[1]!Table1[Anode ICR/mOhm],"",0)</f>
        <v>#REF!</v>
      </c>
      <c r="AD344" s="69" t="e" cm="1">
        <f t="array" ref="AD344">_xlfn.XLOOKUP(Table1[[#This Row],[5 cm2 cell test code]:[5 cm2 cell test code]],[1]!Table1[[Test code]:[Test code]],[1]!Table1[HFR DIW/ mOhm cm2],"",0)</f>
        <v>#REF!</v>
      </c>
      <c r="AE344" s="69" t="e" cm="1">
        <f t="array" ref="AE344">_xlfn.XLOOKUP(Table1[[#This Row],[5 cm2 cell test code]:[5 cm2 cell test code]],[1]!Table1[[Test code]:[Test code]],[1]!Table1[HFR 10 mM KOH/ mOhm cm2],"",0)</f>
        <v>#REF!</v>
      </c>
      <c r="AF344" s="69" t="e" cm="1">
        <f t="array" ref="AF344">_xlfn.XLOOKUP(Table1[[#This Row],[5 cm2 cell test code]:[5 cm2 cell test code]],[1]!Table1[[Test code]:[Test code]],[1]!Table1[Ionic resistance DIW/Ohm cm2],"",0)</f>
        <v>#REF!</v>
      </c>
      <c r="AG344" s="195" t="e" cm="1">
        <f t="array" ref="AG344">_xlfn.XLOOKUP(Table1[[#This Row],[5 cm2 cell test code]:[5 cm2 cell test code]],[1]!Table1[[Test code]:[Test code]],[1]!Table1[Q_int_frac DIW],"",0)</f>
        <v>#REF!</v>
      </c>
      <c r="AH344" s="195" t="e" cm="1">
        <f t="array" ref="AH344">_xlfn.XLOOKUP(Table1[[#This Row],[5 cm2 cell test code]:[5 cm2 cell test code]],[1]!Table1[[Test code]:[Test code]],[1]!Table1[Ionic resistance 10 mM KOH/Ohm cm2],"",0)</f>
        <v>#REF!</v>
      </c>
      <c r="AI344" s="195" t="e" cm="1">
        <f t="array" ref="AI344">_xlfn.XLOOKUP(Table1[[#This Row],[5 cm2 cell test code]:[5 cm2 cell test code]],[1]!Table1[[Test code]:[Test code]],[1]!Table1[Q_int_frac DIW 10 mM KOH],"",0)</f>
        <v>#REF!</v>
      </c>
      <c r="AJ344" s="69" t="e" cm="1">
        <f t="array" ref="AJ344">_xlfn.XLOOKUP(Table1[[#This Row],[5 cm2 cell test code]:[5 cm2 cell test code]],[1]!Table1[[Test code]:[Test code]],[1]!Table1[DIW conductivity (µS/cm)],"",0)</f>
        <v>#REF!</v>
      </c>
      <c r="AQ344" s="4" t="str">
        <v>VSG02A-23306E1.01-19</v>
      </c>
    </row>
    <row r="345" spans="1:44">
      <c r="A345" s="81"/>
      <c r="B345" s="11" t="s">
        <v>697</v>
      </c>
      <c r="C345" s="4" t="s">
        <v>696</v>
      </c>
      <c r="E345" s="4" t="s">
        <v>8</v>
      </c>
      <c r="K345" s="43" t="s">
        <v>59</v>
      </c>
      <c r="L345" s="198">
        <v>45183</v>
      </c>
      <c r="P345" s="197">
        <v>1.1632</v>
      </c>
      <c r="Q345" s="135">
        <v>3.099E-2</v>
      </c>
      <c r="U345" s="101"/>
      <c r="V345" s="101"/>
      <c r="W345" s="69" t="e" cm="1">
        <f t="array" ref="W345">_xlfn.XLOOKUP(Table1[[#This Row],[5 cm2 cell test code]:[5 cm2 cell test code]],[1]!Table1[[Test code]:[Test code]],[1]!Table1[i @ 1.8 V DIW (A/cm2)],"",0)</f>
        <v>#REF!</v>
      </c>
      <c r="X345" s="69" t="e" cm="1">
        <f t="array" ref="X345">_xlfn.XLOOKUP(Table1[[#This Row],[5 cm2 cell test code]:[5 cm2 cell test code]],[1]!Table1[[Test code]:[Test code]],[1]!Table1[i @ 1.8 V 10 mM KOH (A/cm2)],"",0)</f>
        <v>#REF!</v>
      </c>
      <c r="Y345" s="69" t="e" cm="1">
        <f t="array" ref="Y345">_xlfn.XLOOKUP(Table1[[#This Row],[5 cm2 cell test code]:[5 cm2 cell test code]],[1]!Table1[[Test code]:[Test code]],[1]!Table1[3-E ƞ at 20mAcm-2 (mV)],"",0)</f>
        <v>#REF!</v>
      </c>
      <c r="Z345" s="69" t="e" cm="1">
        <f t="array" ref="Z345">_xlfn.XLOOKUP(Table1[[#This Row],[5 cm2 cell test code]:[5 cm2 cell test code]],[1]!Table1[[Test code]:[Test code]],[1]!Table1[3-E Tafel slope (mV/dec)],"",0)</f>
        <v>#REF!</v>
      </c>
      <c r="AA345" s="69" t="e" cm="1">
        <f t="array" ref="AA345">_xlfn.XLOOKUP(Table1[[#This Row],[5 cm2 cell test code]:[5 cm2 cell test code]],[1]!Table1[[Test code]:[Test code]],[1]!Table1[E @ 100 mA/cm2 DIW/V],"",0)</f>
        <v>#REF!</v>
      </c>
      <c r="AB345" s="69" t="e" cm="1">
        <f t="array" ref="AB345">_xlfn.XLOOKUP(Table1[[#This Row],[5 cm2 cell test code]:[5 cm2 cell test code]],[1]!Table1[[Test code]:[Test code]],[1]!Table1[E @ 100 mA/cm2 10 mM KOH/V],"",0)</f>
        <v>#REF!</v>
      </c>
      <c r="AC345" s="69" t="e" cm="1">
        <f t="array" ref="AC345">_xlfn.XLOOKUP(Table1[[#This Row],[5 cm2 cell test code]:[5 cm2 cell test code]],[1]!Table1[[Test code]:[Test code]],[1]!Table1[Anode ICR/mOhm],"",0)</f>
        <v>#REF!</v>
      </c>
      <c r="AD345" s="69" t="e" cm="1">
        <f t="array" ref="AD345">_xlfn.XLOOKUP(Table1[[#This Row],[5 cm2 cell test code]:[5 cm2 cell test code]],[1]!Table1[[Test code]:[Test code]],[1]!Table1[HFR DIW/ mOhm cm2],"",0)</f>
        <v>#REF!</v>
      </c>
      <c r="AE345" s="69" t="e" cm="1">
        <f t="array" ref="AE345">_xlfn.XLOOKUP(Table1[[#This Row],[5 cm2 cell test code]:[5 cm2 cell test code]],[1]!Table1[[Test code]:[Test code]],[1]!Table1[HFR 10 mM KOH/ mOhm cm2],"",0)</f>
        <v>#REF!</v>
      </c>
      <c r="AF345" s="69" t="e" cm="1">
        <f t="array" ref="AF345">_xlfn.XLOOKUP(Table1[[#This Row],[5 cm2 cell test code]:[5 cm2 cell test code]],[1]!Table1[[Test code]:[Test code]],[1]!Table1[Ionic resistance DIW/Ohm cm2],"",0)</f>
        <v>#REF!</v>
      </c>
      <c r="AG345" s="195" t="e" cm="1">
        <f t="array" ref="AG345">_xlfn.XLOOKUP(Table1[[#This Row],[5 cm2 cell test code]:[5 cm2 cell test code]],[1]!Table1[[Test code]:[Test code]],[1]!Table1[Q_int_frac DIW],"",0)</f>
        <v>#REF!</v>
      </c>
      <c r="AH345" s="195" t="e" cm="1">
        <f t="array" ref="AH345">_xlfn.XLOOKUP(Table1[[#This Row],[5 cm2 cell test code]:[5 cm2 cell test code]],[1]!Table1[[Test code]:[Test code]],[1]!Table1[Ionic resistance 10 mM KOH/Ohm cm2],"",0)</f>
        <v>#REF!</v>
      </c>
      <c r="AI345" s="195" t="e" cm="1">
        <f t="array" ref="AI345">_xlfn.XLOOKUP(Table1[[#This Row],[5 cm2 cell test code]:[5 cm2 cell test code]],[1]!Table1[[Test code]:[Test code]],[1]!Table1[Q_int_frac DIW 10 mM KOH],"",0)</f>
        <v>#REF!</v>
      </c>
      <c r="AJ345" s="69" t="e" cm="1">
        <f t="array" ref="AJ345">_xlfn.XLOOKUP(Table1[[#This Row],[5 cm2 cell test code]:[5 cm2 cell test code]],[1]!Table1[[Test code]:[Test code]],[1]!Table1[DIW conductivity (µS/cm)],"",0)</f>
        <v>#REF!</v>
      </c>
      <c r="AQ345" s="4" t="str">
        <v>VSG02A-23306E1.01-20</v>
      </c>
    </row>
    <row r="346" spans="1:44">
      <c r="A346" s="81"/>
      <c r="B346" s="11" t="s">
        <v>698</v>
      </c>
      <c r="C346" s="4" t="s">
        <v>696</v>
      </c>
      <c r="E346" s="4" t="s">
        <v>8</v>
      </c>
      <c r="K346" s="43" t="s">
        <v>59</v>
      </c>
      <c r="L346" s="198">
        <v>45183</v>
      </c>
      <c r="P346" s="197">
        <v>1.3889</v>
      </c>
      <c r="Q346" s="135">
        <v>2.6859999999999998E-2</v>
      </c>
      <c r="U346" s="101"/>
      <c r="V346" s="101"/>
      <c r="W346" s="69" t="e" cm="1">
        <f t="array" ref="W346">_xlfn.XLOOKUP(Table1[[#This Row],[5 cm2 cell test code]:[5 cm2 cell test code]],[1]!Table1[[Test code]:[Test code]],[1]!Table1[i @ 1.8 V DIW (A/cm2)],"",0)</f>
        <v>#REF!</v>
      </c>
      <c r="X346" s="69" t="e" cm="1">
        <f t="array" ref="X346">_xlfn.XLOOKUP(Table1[[#This Row],[5 cm2 cell test code]:[5 cm2 cell test code]],[1]!Table1[[Test code]:[Test code]],[1]!Table1[i @ 1.8 V 10 mM KOH (A/cm2)],"",0)</f>
        <v>#REF!</v>
      </c>
      <c r="Y346" s="69" t="e" cm="1">
        <f t="array" ref="Y346">_xlfn.XLOOKUP(Table1[[#This Row],[5 cm2 cell test code]:[5 cm2 cell test code]],[1]!Table1[[Test code]:[Test code]],[1]!Table1[3-E ƞ at 20mAcm-2 (mV)],"",0)</f>
        <v>#REF!</v>
      </c>
      <c r="Z346" s="69" t="e" cm="1">
        <f t="array" ref="Z346">_xlfn.XLOOKUP(Table1[[#This Row],[5 cm2 cell test code]:[5 cm2 cell test code]],[1]!Table1[[Test code]:[Test code]],[1]!Table1[3-E Tafel slope (mV/dec)],"",0)</f>
        <v>#REF!</v>
      </c>
      <c r="AA346" s="69" t="e" cm="1">
        <f t="array" ref="AA346">_xlfn.XLOOKUP(Table1[[#This Row],[5 cm2 cell test code]:[5 cm2 cell test code]],[1]!Table1[[Test code]:[Test code]],[1]!Table1[E @ 100 mA/cm2 DIW/V],"",0)</f>
        <v>#REF!</v>
      </c>
      <c r="AB346" s="69" t="e" cm="1">
        <f t="array" ref="AB346">_xlfn.XLOOKUP(Table1[[#This Row],[5 cm2 cell test code]:[5 cm2 cell test code]],[1]!Table1[[Test code]:[Test code]],[1]!Table1[E @ 100 mA/cm2 10 mM KOH/V],"",0)</f>
        <v>#REF!</v>
      </c>
      <c r="AC346" s="69" t="e" cm="1">
        <f t="array" ref="AC346">_xlfn.XLOOKUP(Table1[[#This Row],[5 cm2 cell test code]:[5 cm2 cell test code]],[1]!Table1[[Test code]:[Test code]],[1]!Table1[Anode ICR/mOhm],"",0)</f>
        <v>#REF!</v>
      </c>
      <c r="AD346" s="69" t="e" cm="1">
        <f t="array" ref="AD346">_xlfn.XLOOKUP(Table1[[#This Row],[5 cm2 cell test code]:[5 cm2 cell test code]],[1]!Table1[[Test code]:[Test code]],[1]!Table1[HFR DIW/ mOhm cm2],"",0)</f>
        <v>#REF!</v>
      </c>
      <c r="AE346" s="69" t="e" cm="1">
        <f t="array" ref="AE346">_xlfn.XLOOKUP(Table1[[#This Row],[5 cm2 cell test code]:[5 cm2 cell test code]],[1]!Table1[[Test code]:[Test code]],[1]!Table1[HFR 10 mM KOH/ mOhm cm2],"",0)</f>
        <v>#REF!</v>
      </c>
      <c r="AF346" s="69" t="e" cm="1">
        <f t="array" ref="AF346">_xlfn.XLOOKUP(Table1[[#This Row],[5 cm2 cell test code]:[5 cm2 cell test code]],[1]!Table1[[Test code]:[Test code]],[1]!Table1[Ionic resistance DIW/Ohm cm2],"",0)</f>
        <v>#REF!</v>
      </c>
      <c r="AG346" s="195" t="e" cm="1">
        <f t="array" ref="AG346">_xlfn.XLOOKUP(Table1[[#This Row],[5 cm2 cell test code]:[5 cm2 cell test code]],[1]!Table1[[Test code]:[Test code]],[1]!Table1[Q_int_frac DIW],"",0)</f>
        <v>#REF!</v>
      </c>
      <c r="AH346" s="195" t="e" cm="1">
        <f t="array" ref="AH346">_xlfn.XLOOKUP(Table1[[#This Row],[5 cm2 cell test code]:[5 cm2 cell test code]],[1]!Table1[[Test code]:[Test code]],[1]!Table1[Ionic resistance 10 mM KOH/Ohm cm2],"",0)</f>
        <v>#REF!</v>
      </c>
      <c r="AI346" s="195" t="e" cm="1">
        <f t="array" ref="AI346">_xlfn.XLOOKUP(Table1[[#This Row],[5 cm2 cell test code]:[5 cm2 cell test code]],[1]!Table1[[Test code]:[Test code]],[1]!Table1[Q_int_frac DIW 10 mM KOH],"",0)</f>
        <v>#REF!</v>
      </c>
      <c r="AJ346" s="69" t="e" cm="1">
        <f t="array" ref="AJ346">_xlfn.XLOOKUP(Table1[[#This Row],[5 cm2 cell test code]:[5 cm2 cell test code]],[1]!Table1[[Test code]:[Test code]],[1]!Table1[DIW conductivity (µS/cm)],"",0)</f>
        <v>#REF!</v>
      </c>
      <c r="AQ346" s="4" t="str">
        <v>VSG02A-23306E1.01-21</v>
      </c>
    </row>
    <row r="347" spans="1:44">
      <c r="A347" s="81"/>
      <c r="B347" s="11" t="s">
        <v>699</v>
      </c>
      <c r="C347" s="4" t="s">
        <v>700</v>
      </c>
      <c r="E347" s="4" t="s">
        <v>8</v>
      </c>
      <c r="K347" s="43" t="s">
        <v>59</v>
      </c>
      <c r="L347" s="198">
        <v>45183</v>
      </c>
      <c r="P347" s="28">
        <v>1.04</v>
      </c>
      <c r="Q347" s="135">
        <v>0.34010000000000001</v>
      </c>
      <c r="U347" s="101"/>
      <c r="V347" s="101"/>
      <c r="W347" s="69" t="e" cm="1">
        <f t="array" ref="W347">_xlfn.XLOOKUP(Table1[[#This Row],[5 cm2 cell test code]:[5 cm2 cell test code]],[1]!Table1[[Test code]:[Test code]],[1]!Table1[i @ 1.8 V DIW (A/cm2)],"",0)</f>
        <v>#REF!</v>
      </c>
      <c r="X347" s="69" t="e" cm="1">
        <f t="array" ref="X347">_xlfn.XLOOKUP(Table1[[#This Row],[5 cm2 cell test code]:[5 cm2 cell test code]],[1]!Table1[[Test code]:[Test code]],[1]!Table1[i @ 1.8 V 10 mM KOH (A/cm2)],"",0)</f>
        <v>#REF!</v>
      </c>
      <c r="Y347" s="69" t="e" cm="1">
        <f t="array" ref="Y347">_xlfn.XLOOKUP(Table1[[#This Row],[5 cm2 cell test code]:[5 cm2 cell test code]],[1]!Table1[[Test code]:[Test code]],[1]!Table1[3-E ƞ at 20mAcm-2 (mV)],"",0)</f>
        <v>#REF!</v>
      </c>
      <c r="Z347" s="69" t="e" cm="1">
        <f t="array" ref="Z347">_xlfn.XLOOKUP(Table1[[#This Row],[5 cm2 cell test code]:[5 cm2 cell test code]],[1]!Table1[[Test code]:[Test code]],[1]!Table1[3-E Tafel slope (mV/dec)],"",0)</f>
        <v>#REF!</v>
      </c>
      <c r="AA347" s="69" t="e" cm="1">
        <f t="array" ref="AA347">_xlfn.XLOOKUP(Table1[[#This Row],[5 cm2 cell test code]:[5 cm2 cell test code]],[1]!Table1[[Test code]:[Test code]],[1]!Table1[E @ 100 mA/cm2 DIW/V],"",0)</f>
        <v>#REF!</v>
      </c>
      <c r="AB347" s="69" t="e" cm="1">
        <f t="array" ref="AB347">_xlfn.XLOOKUP(Table1[[#This Row],[5 cm2 cell test code]:[5 cm2 cell test code]],[1]!Table1[[Test code]:[Test code]],[1]!Table1[E @ 100 mA/cm2 10 mM KOH/V],"",0)</f>
        <v>#REF!</v>
      </c>
      <c r="AC347" s="69" t="e" cm="1">
        <f t="array" ref="AC347">_xlfn.XLOOKUP(Table1[[#This Row],[5 cm2 cell test code]:[5 cm2 cell test code]],[1]!Table1[[Test code]:[Test code]],[1]!Table1[Anode ICR/mOhm],"",0)</f>
        <v>#REF!</v>
      </c>
      <c r="AD347" s="69" t="e" cm="1">
        <f t="array" ref="AD347">_xlfn.XLOOKUP(Table1[[#This Row],[5 cm2 cell test code]:[5 cm2 cell test code]],[1]!Table1[[Test code]:[Test code]],[1]!Table1[HFR DIW/ mOhm cm2],"",0)</f>
        <v>#REF!</v>
      </c>
      <c r="AE347" s="69" t="e" cm="1">
        <f t="array" ref="AE347">_xlfn.XLOOKUP(Table1[[#This Row],[5 cm2 cell test code]:[5 cm2 cell test code]],[1]!Table1[[Test code]:[Test code]],[1]!Table1[HFR 10 mM KOH/ mOhm cm2],"",0)</f>
        <v>#REF!</v>
      </c>
      <c r="AF347" s="69" t="e" cm="1">
        <f t="array" ref="AF347">_xlfn.XLOOKUP(Table1[[#This Row],[5 cm2 cell test code]:[5 cm2 cell test code]],[1]!Table1[[Test code]:[Test code]],[1]!Table1[Ionic resistance DIW/Ohm cm2],"",0)</f>
        <v>#REF!</v>
      </c>
      <c r="AG347" s="195" t="e" cm="1">
        <f t="array" ref="AG347">_xlfn.XLOOKUP(Table1[[#This Row],[5 cm2 cell test code]:[5 cm2 cell test code]],[1]!Table1[[Test code]:[Test code]],[1]!Table1[Q_int_frac DIW],"",0)</f>
        <v>#REF!</v>
      </c>
      <c r="AH347" s="195" t="e" cm="1">
        <f t="array" ref="AH347">_xlfn.XLOOKUP(Table1[[#This Row],[5 cm2 cell test code]:[5 cm2 cell test code]],[1]!Table1[[Test code]:[Test code]],[1]!Table1[Ionic resistance 10 mM KOH/Ohm cm2],"",0)</f>
        <v>#REF!</v>
      </c>
      <c r="AI347" s="195" t="e" cm="1">
        <f t="array" ref="AI347">_xlfn.XLOOKUP(Table1[[#This Row],[5 cm2 cell test code]:[5 cm2 cell test code]],[1]!Table1[[Test code]:[Test code]],[1]!Table1[Q_int_frac DIW 10 mM KOH],"",0)</f>
        <v>#REF!</v>
      </c>
      <c r="AJ347" s="69" t="e" cm="1">
        <f t="array" ref="AJ347">_xlfn.XLOOKUP(Table1[[#This Row],[5 cm2 cell test code]:[5 cm2 cell test code]],[1]!Table1[[Test code]:[Test code]],[1]!Table1[DIW conductivity (µS/cm)],"",0)</f>
        <v>#REF!</v>
      </c>
      <c r="AQ347" s="4" t="str">
        <v>VSG02A-23306E1.01-22</v>
      </c>
    </row>
    <row r="348" spans="1:44">
      <c r="A348" s="81"/>
      <c r="B348" s="11" t="s">
        <v>701</v>
      </c>
      <c r="C348" s="4" t="s">
        <v>700</v>
      </c>
      <c r="E348" s="4" t="s">
        <v>8</v>
      </c>
      <c r="K348" s="43" t="s">
        <v>59</v>
      </c>
      <c r="L348" s="198">
        <v>45183</v>
      </c>
      <c r="P348" s="28">
        <v>1.04</v>
      </c>
      <c r="Q348" s="135">
        <v>0.34010000000000001</v>
      </c>
      <c r="U348" s="101"/>
      <c r="V348" s="101"/>
      <c r="W348" s="69" t="e" cm="1">
        <f t="array" ref="W348">_xlfn.XLOOKUP(Table1[[#This Row],[5 cm2 cell test code]:[5 cm2 cell test code]],[1]!Table1[[Test code]:[Test code]],[1]!Table1[i @ 1.8 V DIW (A/cm2)],"",0)</f>
        <v>#REF!</v>
      </c>
      <c r="X348" s="69" t="e" cm="1">
        <f t="array" ref="X348">_xlfn.XLOOKUP(Table1[[#This Row],[5 cm2 cell test code]:[5 cm2 cell test code]],[1]!Table1[[Test code]:[Test code]],[1]!Table1[i @ 1.8 V 10 mM KOH (A/cm2)],"",0)</f>
        <v>#REF!</v>
      </c>
      <c r="Y348" s="69" t="e" cm="1">
        <f t="array" ref="Y348">_xlfn.XLOOKUP(Table1[[#This Row],[5 cm2 cell test code]:[5 cm2 cell test code]],[1]!Table1[[Test code]:[Test code]],[1]!Table1[3-E ƞ at 20mAcm-2 (mV)],"",0)</f>
        <v>#REF!</v>
      </c>
      <c r="Z348" s="69" t="e" cm="1">
        <f t="array" ref="Z348">_xlfn.XLOOKUP(Table1[[#This Row],[5 cm2 cell test code]:[5 cm2 cell test code]],[1]!Table1[[Test code]:[Test code]],[1]!Table1[3-E Tafel slope (mV/dec)],"",0)</f>
        <v>#REF!</v>
      </c>
      <c r="AA348" s="69" t="e" cm="1">
        <f t="array" ref="AA348">_xlfn.XLOOKUP(Table1[[#This Row],[5 cm2 cell test code]:[5 cm2 cell test code]],[1]!Table1[[Test code]:[Test code]],[1]!Table1[E @ 100 mA/cm2 DIW/V],"",0)</f>
        <v>#REF!</v>
      </c>
      <c r="AB348" s="69" t="e" cm="1">
        <f t="array" ref="AB348">_xlfn.XLOOKUP(Table1[[#This Row],[5 cm2 cell test code]:[5 cm2 cell test code]],[1]!Table1[[Test code]:[Test code]],[1]!Table1[E @ 100 mA/cm2 10 mM KOH/V],"",0)</f>
        <v>#REF!</v>
      </c>
      <c r="AC348" s="69" t="e" cm="1">
        <f t="array" ref="AC348">_xlfn.XLOOKUP(Table1[[#This Row],[5 cm2 cell test code]:[5 cm2 cell test code]],[1]!Table1[[Test code]:[Test code]],[1]!Table1[Anode ICR/mOhm],"",0)</f>
        <v>#REF!</v>
      </c>
      <c r="AD348" s="69" t="e" cm="1">
        <f t="array" ref="AD348">_xlfn.XLOOKUP(Table1[[#This Row],[5 cm2 cell test code]:[5 cm2 cell test code]],[1]!Table1[[Test code]:[Test code]],[1]!Table1[HFR DIW/ mOhm cm2],"",0)</f>
        <v>#REF!</v>
      </c>
      <c r="AE348" s="69" t="e" cm="1">
        <f t="array" ref="AE348">_xlfn.XLOOKUP(Table1[[#This Row],[5 cm2 cell test code]:[5 cm2 cell test code]],[1]!Table1[[Test code]:[Test code]],[1]!Table1[HFR 10 mM KOH/ mOhm cm2],"",0)</f>
        <v>#REF!</v>
      </c>
      <c r="AF348" s="69" t="e" cm="1">
        <f t="array" ref="AF348">_xlfn.XLOOKUP(Table1[[#This Row],[5 cm2 cell test code]:[5 cm2 cell test code]],[1]!Table1[[Test code]:[Test code]],[1]!Table1[Ionic resistance DIW/Ohm cm2],"",0)</f>
        <v>#REF!</v>
      </c>
      <c r="AG348" s="195" t="e" cm="1">
        <f t="array" ref="AG348">_xlfn.XLOOKUP(Table1[[#This Row],[5 cm2 cell test code]:[5 cm2 cell test code]],[1]!Table1[[Test code]:[Test code]],[1]!Table1[Q_int_frac DIW],"",0)</f>
        <v>#REF!</v>
      </c>
      <c r="AH348" s="195" t="e" cm="1">
        <f t="array" ref="AH348">_xlfn.XLOOKUP(Table1[[#This Row],[5 cm2 cell test code]:[5 cm2 cell test code]],[1]!Table1[[Test code]:[Test code]],[1]!Table1[Ionic resistance 10 mM KOH/Ohm cm2],"",0)</f>
        <v>#REF!</v>
      </c>
      <c r="AI348" s="195" t="e" cm="1">
        <f t="array" ref="AI348">_xlfn.XLOOKUP(Table1[[#This Row],[5 cm2 cell test code]:[5 cm2 cell test code]],[1]!Table1[[Test code]:[Test code]],[1]!Table1[Q_int_frac DIW 10 mM KOH],"",0)</f>
        <v>#REF!</v>
      </c>
      <c r="AJ348" s="69" t="e" cm="1">
        <f t="array" ref="AJ348">_xlfn.XLOOKUP(Table1[[#This Row],[5 cm2 cell test code]:[5 cm2 cell test code]],[1]!Table1[[Test code]:[Test code]],[1]!Table1[DIW conductivity (µS/cm)],"",0)</f>
        <v>#REF!</v>
      </c>
      <c r="AQ348" s="4" t="str">
        <v>VSG02A-23306E1.01-23</v>
      </c>
    </row>
    <row r="349" spans="1:44">
      <c r="A349" s="81"/>
      <c r="B349" s="11" t="s">
        <v>702</v>
      </c>
      <c r="C349" s="4" t="s">
        <v>700</v>
      </c>
      <c r="E349" s="4" t="s">
        <v>8</v>
      </c>
      <c r="K349" s="43" t="s">
        <v>59</v>
      </c>
      <c r="L349" s="198">
        <v>45183</v>
      </c>
      <c r="P349" s="28">
        <v>1.04</v>
      </c>
      <c r="Q349" s="135">
        <v>0.34010000000000001</v>
      </c>
      <c r="U349" s="101"/>
      <c r="V349" s="101"/>
      <c r="W349" s="69" t="e" cm="1">
        <f t="array" ref="W349">_xlfn.XLOOKUP(Table1[[#This Row],[5 cm2 cell test code]:[5 cm2 cell test code]],[1]!Table1[[Test code]:[Test code]],[1]!Table1[i @ 1.8 V DIW (A/cm2)],"",0)</f>
        <v>#REF!</v>
      </c>
      <c r="X349" s="69" t="e" cm="1">
        <f t="array" ref="X349">_xlfn.XLOOKUP(Table1[[#This Row],[5 cm2 cell test code]:[5 cm2 cell test code]],[1]!Table1[[Test code]:[Test code]],[1]!Table1[i @ 1.8 V 10 mM KOH (A/cm2)],"",0)</f>
        <v>#REF!</v>
      </c>
      <c r="Y349" s="69" t="e" cm="1">
        <f t="array" ref="Y349">_xlfn.XLOOKUP(Table1[[#This Row],[5 cm2 cell test code]:[5 cm2 cell test code]],[1]!Table1[[Test code]:[Test code]],[1]!Table1[3-E ƞ at 20mAcm-2 (mV)],"",0)</f>
        <v>#REF!</v>
      </c>
      <c r="Z349" s="69" t="e" cm="1">
        <f t="array" ref="Z349">_xlfn.XLOOKUP(Table1[[#This Row],[5 cm2 cell test code]:[5 cm2 cell test code]],[1]!Table1[[Test code]:[Test code]],[1]!Table1[3-E Tafel slope (mV/dec)],"",0)</f>
        <v>#REF!</v>
      </c>
      <c r="AA349" s="69" t="e" cm="1">
        <f t="array" ref="AA349">_xlfn.XLOOKUP(Table1[[#This Row],[5 cm2 cell test code]:[5 cm2 cell test code]],[1]!Table1[[Test code]:[Test code]],[1]!Table1[E @ 100 mA/cm2 DIW/V],"",0)</f>
        <v>#REF!</v>
      </c>
      <c r="AB349" s="69" t="e" cm="1">
        <f t="array" ref="AB349">_xlfn.XLOOKUP(Table1[[#This Row],[5 cm2 cell test code]:[5 cm2 cell test code]],[1]!Table1[[Test code]:[Test code]],[1]!Table1[E @ 100 mA/cm2 10 mM KOH/V],"",0)</f>
        <v>#REF!</v>
      </c>
      <c r="AC349" s="69" t="e" cm="1">
        <f t="array" ref="AC349">_xlfn.XLOOKUP(Table1[[#This Row],[5 cm2 cell test code]:[5 cm2 cell test code]],[1]!Table1[[Test code]:[Test code]],[1]!Table1[Anode ICR/mOhm],"",0)</f>
        <v>#REF!</v>
      </c>
      <c r="AD349" s="69" t="e" cm="1">
        <f t="array" ref="AD349">_xlfn.XLOOKUP(Table1[[#This Row],[5 cm2 cell test code]:[5 cm2 cell test code]],[1]!Table1[[Test code]:[Test code]],[1]!Table1[HFR DIW/ mOhm cm2],"",0)</f>
        <v>#REF!</v>
      </c>
      <c r="AE349" s="69" t="e" cm="1">
        <f t="array" ref="AE349">_xlfn.XLOOKUP(Table1[[#This Row],[5 cm2 cell test code]:[5 cm2 cell test code]],[1]!Table1[[Test code]:[Test code]],[1]!Table1[HFR 10 mM KOH/ mOhm cm2],"",0)</f>
        <v>#REF!</v>
      </c>
      <c r="AF349" s="69" t="e" cm="1">
        <f t="array" ref="AF349">_xlfn.XLOOKUP(Table1[[#This Row],[5 cm2 cell test code]:[5 cm2 cell test code]],[1]!Table1[[Test code]:[Test code]],[1]!Table1[Ionic resistance DIW/Ohm cm2],"",0)</f>
        <v>#REF!</v>
      </c>
      <c r="AG349" s="195" t="e" cm="1">
        <f t="array" ref="AG349">_xlfn.XLOOKUP(Table1[[#This Row],[5 cm2 cell test code]:[5 cm2 cell test code]],[1]!Table1[[Test code]:[Test code]],[1]!Table1[Q_int_frac DIW],"",0)</f>
        <v>#REF!</v>
      </c>
      <c r="AH349" s="195" t="e" cm="1">
        <f t="array" ref="AH349">_xlfn.XLOOKUP(Table1[[#This Row],[5 cm2 cell test code]:[5 cm2 cell test code]],[1]!Table1[[Test code]:[Test code]],[1]!Table1[Ionic resistance 10 mM KOH/Ohm cm2],"",0)</f>
        <v>#REF!</v>
      </c>
      <c r="AI349" s="195" t="e" cm="1">
        <f t="array" ref="AI349">_xlfn.XLOOKUP(Table1[[#This Row],[5 cm2 cell test code]:[5 cm2 cell test code]],[1]!Table1[[Test code]:[Test code]],[1]!Table1[Q_int_frac DIW 10 mM KOH],"",0)</f>
        <v>#REF!</v>
      </c>
      <c r="AJ349" s="69" t="e" cm="1">
        <f t="array" ref="AJ349">_xlfn.XLOOKUP(Table1[[#This Row],[5 cm2 cell test code]:[5 cm2 cell test code]],[1]!Table1[[Test code]:[Test code]],[1]!Table1[DIW conductivity (µS/cm)],"",0)</f>
        <v>#REF!</v>
      </c>
      <c r="AQ349" s="4" t="str">
        <v>VSG02A-23306E1.01-24</v>
      </c>
    </row>
    <row r="350" spans="1:44">
      <c r="A350" s="81"/>
      <c r="B350" s="11" t="s">
        <v>703</v>
      </c>
      <c r="C350" s="4" t="s">
        <v>700</v>
      </c>
      <c r="E350" s="4" t="s">
        <v>8</v>
      </c>
      <c r="K350" s="43" t="s">
        <v>59</v>
      </c>
      <c r="L350" s="198">
        <v>45183</v>
      </c>
      <c r="P350" s="28">
        <v>1.04</v>
      </c>
      <c r="Q350" s="135">
        <v>0.34010000000000001</v>
      </c>
      <c r="U350" s="101"/>
      <c r="V350" s="101"/>
      <c r="W350" s="69" t="e" cm="1">
        <f t="array" ref="W350">_xlfn.XLOOKUP(Table1[[#This Row],[5 cm2 cell test code]:[5 cm2 cell test code]],[1]!Table1[[Test code]:[Test code]],[1]!Table1[i @ 1.8 V DIW (A/cm2)],"",0)</f>
        <v>#REF!</v>
      </c>
      <c r="X350" s="69" t="e" cm="1">
        <f t="array" ref="X350">_xlfn.XLOOKUP(Table1[[#This Row],[5 cm2 cell test code]:[5 cm2 cell test code]],[1]!Table1[[Test code]:[Test code]],[1]!Table1[i @ 1.8 V 10 mM KOH (A/cm2)],"",0)</f>
        <v>#REF!</v>
      </c>
      <c r="Y350" s="69" t="e" cm="1">
        <f t="array" ref="Y350">_xlfn.XLOOKUP(Table1[[#This Row],[5 cm2 cell test code]:[5 cm2 cell test code]],[1]!Table1[[Test code]:[Test code]],[1]!Table1[3-E ƞ at 20mAcm-2 (mV)],"",0)</f>
        <v>#REF!</v>
      </c>
      <c r="Z350" s="69" t="e" cm="1">
        <f t="array" ref="Z350">_xlfn.XLOOKUP(Table1[[#This Row],[5 cm2 cell test code]:[5 cm2 cell test code]],[1]!Table1[[Test code]:[Test code]],[1]!Table1[3-E Tafel slope (mV/dec)],"",0)</f>
        <v>#REF!</v>
      </c>
      <c r="AA350" s="69" t="e" cm="1">
        <f t="array" ref="AA350">_xlfn.XLOOKUP(Table1[[#This Row],[5 cm2 cell test code]:[5 cm2 cell test code]],[1]!Table1[[Test code]:[Test code]],[1]!Table1[E @ 100 mA/cm2 DIW/V],"",0)</f>
        <v>#REF!</v>
      </c>
      <c r="AB350" s="69" t="e" cm="1">
        <f t="array" ref="AB350">_xlfn.XLOOKUP(Table1[[#This Row],[5 cm2 cell test code]:[5 cm2 cell test code]],[1]!Table1[[Test code]:[Test code]],[1]!Table1[E @ 100 mA/cm2 10 mM KOH/V],"",0)</f>
        <v>#REF!</v>
      </c>
      <c r="AC350" s="69" t="e" cm="1">
        <f t="array" ref="AC350">_xlfn.XLOOKUP(Table1[[#This Row],[5 cm2 cell test code]:[5 cm2 cell test code]],[1]!Table1[[Test code]:[Test code]],[1]!Table1[Anode ICR/mOhm],"",0)</f>
        <v>#REF!</v>
      </c>
      <c r="AD350" s="69" t="e" cm="1">
        <f t="array" ref="AD350">_xlfn.XLOOKUP(Table1[[#This Row],[5 cm2 cell test code]:[5 cm2 cell test code]],[1]!Table1[[Test code]:[Test code]],[1]!Table1[HFR DIW/ mOhm cm2],"",0)</f>
        <v>#REF!</v>
      </c>
      <c r="AE350" s="69" t="e" cm="1">
        <f t="array" ref="AE350">_xlfn.XLOOKUP(Table1[[#This Row],[5 cm2 cell test code]:[5 cm2 cell test code]],[1]!Table1[[Test code]:[Test code]],[1]!Table1[HFR 10 mM KOH/ mOhm cm2],"",0)</f>
        <v>#REF!</v>
      </c>
      <c r="AF350" s="69" t="e" cm="1">
        <f t="array" ref="AF350">_xlfn.XLOOKUP(Table1[[#This Row],[5 cm2 cell test code]:[5 cm2 cell test code]],[1]!Table1[[Test code]:[Test code]],[1]!Table1[Ionic resistance DIW/Ohm cm2],"",0)</f>
        <v>#REF!</v>
      </c>
      <c r="AG350" s="195" t="e" cm="1">
        <f t="array" ref="AG350">_xlfn.XLOOKUP(Table1[[#This Row],[5 cm2 cell test code]:[5 cm2 cell test code]],[1]!Table1[[Test code]:[Test code]],[1]!Table1[Q_int_frac DIW],"",0)</f>
        <v>#REF!</v>
      </c>
      <c r="AH350" s="195" t="e" cm="1">
        <f t="array" ref="AH350">_xlfn.XLOOKUP(Table1[[#This Row],[5 cm2 cell test code]:[5 cm2 cell test code]],[1]!Table1[[Test code]:[Test code]],[1]!Table1[Ionic resistance 10 mM KOH/Ohm cm2],"",0)</f>
        <v>#REF!</v>
      </c>
      <c r="AI350" s="195" t="e" cm="1">
        <f t="array" ref="AI350">_xlfn.XLOOKUP(Table1[[#This Row],[5 cm2 cell test code]:[5 cm2 cell test code]],[1]!Table1[[Test code]:[Test code]],[1]!Table1[Q_int_frac DIW 10 mM KOH],"",0)</f>
        <v>#REF!</v>
      </c>
      <c r="AJ350" s="69" t="e" cm="1">
        <f t="array" ref="AJ350">_xlfn.XLOOKUP(Table1[[#This Row],[5 cm2 cell test code]:[5 cm2 cell test code]],[1]!Table1[[Test code]:[Test code]],[1]!Table1[DIW conductivity (µS/cm)],"",0)</f>
        <v>#REF!</v>
      </c>
      <c r="AQ350" s="4" t="str">
        <v>VSG02A-23306E1.01-25</v>
      </c>
    </row>
    <row r="351" spans="1:44">
      <c r="A351" s="81"/>
      <c r="B351" s="11" t="s">
        <v>692</v>
      </c>
      <c r="K351" s="194"/>
      <c r="L351" s="89"/>
      <c r="Q351" s="135"/>
      <c r="U351" s="101"/>
      <c r="V351" s="101"/>
      <c r="W351" s="69" t="e" cm="1">
        <f t="array" ref="W351">_xlfn.XLOOKUP(Table1[[#This Row],[5 cm2 cell test code]:[5 cm2 cell test code]],[1]!Table1[[Test code]:[Test code]],[1]!Table1[i @ 1.8 V DIW (A/cm2)],"",0)</f>
        <v>#REF!</v>
      </c>
      <c r="X351" s="69" t="e" cm="1">
        <f t="array" ref="X351">_xlfn.XLOOKUP(Table1[[#This Row],[5 cm2 cell test code]:[5 cm2 cell test code]],[1]!Table1[[Test code]:[Test code]],[1]!Table1[i @ 1.8 V 10 mM KOH (A/cm2)],"",0)</f>
        <v>#REF!</v>
      </c>
      <c r="Y351" s="69" t="e" cm="1">
        <f t="array" ref="Y351">_xlfn.XLOOKUP(Table1[[#This Row],[5 cm2 cell test code]:[5 cm2 cell test code]],[1]!Table1[[Test code]:[Test code]],[1]!Table1[3-E ƞ at 20mAcm-2 (mV)],"",0)</f>
        <v>#REF!</v>
      </c>
      <c r="Z351" s="69" t="e" cm="1">
        <f t="array" ref="Z351">_xlfn.XLOOKUP(Table1[[#This Row],[5 cm2 cell test code]:[5 cm2 cell test code]],[1]!Table1[[Test code]:[Test code]],[1]!Table1[3-E Tafel slope (mV/dec)],"",0)</f>
        <v>#REF!</v>
      </c>
      <c r="AA351" s="69" t="e" cm="1">
        <f t="array" ref="AA351">_xlfn.XLOOKUP(Table1[[#This Row],[5 cm2 cell test code]:[5 cm2 cell test code]],[1]!Table1[[Test code]:[Test code]],[1]!Table1[E @ 100 mA/cm2 DIW/V],"",0)</f>
        <v>#REF!</v>
      </c>
      <c r="AB351" s="69" t="e" cm="1">
        <f t="array" ref="AB351">_xlfn.XLOOKUP(Table1[[#This Row],[5 cm2 cell test code]:[5 cm2 cell test code]],[1]!Table1[[Test code]:[Test code]],[1]!Table1[E @ 100 mA/cm2 10 mM KOH/V],"",0)</f>
        <v>#REF!</v>
      </c>
      <c r="AC351" s="69" t="e" cm="1">
        <f t="array" ref="AC351">_xlfn.XLOOKUP(Table1[[#This Row],[5 cm2 cell test code]:[5 cm2 cell test code]],[1]!Table1[[Test code]:[Test code]],[1]!Table1[Anode ICR/mOhm],"",0)</f>
        <v>#REF!</v>
      </c>
      <c r="AD351" s="69" t="e" cm="1">
        <f t="array" ref="AD351">_xlfn.XLOOKUP(Table1[[#This Row],[5 cm2 cell test code]:[5 cm2 cell test code]],[1]!Table1[[Test code]:[Test code]],[1]!Table1[HFR DIW/ mOhm cm2],"",0)</f>
        <v>#REF!</v>
      </c>
      <c r="AE351" s="69" t="e" cm="1">
        <f t="array" ref="AE351">_xlfn.XLOOKUP(Table1[[#This Row],[5 cm2 cell test code]:[5 cm2 cell test code]],[1]!Table1[[Test code]:[Test code]],[1]!Table1[HFR 10 mM KOH/ mOhm cm2],"",0)</f>
        <v>#REF!</v>
      </c>
      <c r="AF351" s="69" t="e" cm="1">
        <f t="array" ref="AF351">_xlfn.XLOOKUP(Table1[[#This Row],[5 cm2 cell test code]:[5 cm2 cell test code]],[1]!Table1[[Test code]:[Test code]],[1]!Table1[Ionic resistance DIW/Ohm cm2],"",0)</f>
        <v>#REF!</v>
      </c>
      <c r="AG351" s="195" t="e" cm="1">
        <f t="array" ref="AG351">_xlfn.XLOOKUP(Table1[[#This Row],[5 cm2 cell test code]:[5 cm2 cell test code]],[1]!Table1[[Test code]:[Test code]],[1]!Table1[Q_int_frac DIW],"",0)</f>
        <v>#REF!</v>
      </c>
      <c r="AH351" s="195" t="e" cm="1">
        <f t="array" ref="AH351">_xlfn.XLOOKUP(Table1[[#This Row],[5 cm2 cell test code]:[5 cm2 cell test code]],[1]!Table1[[Test code]:[Test code]],[1]!Table1[Ionic resistance 10 mM KOH/Ohm cm2],"",0)</f>
        <v>#REF!</v>
      </c>
      <c r="AI351" s="195" t="e" cm="1">
        <f t="array" ref="AI351">_xlfn.XLOOKUP(Table1[[#This Row],[5 cm2 cell test code]:[5 cm2 cell test code]],[1]!Table1[[Test code]:[Test code]],[1]!Table1[Q_int_frac DIW 10 mM KOH],"",0)</f>
        <v>#REF!</v>
      </c>
      <c r="AJ351" s="69" t="e" cm="1">
        <f t="array" ref="AJ351">_xlfn.XLOOKUP(Table1[[#This Row],[5 cm2 cell test code]:[5 cm2 cell test code]],[1]!Table1[[Test code]:[Test code]],[1]!Table1[DIW conductivity (µS/cm)],"",0)</f>
        <v>#REF!</v>
      </c>
      <c r="AQ351" s="4" t="str">
        <v>VSG02A-23306E1.01-26</v>
      </c>
    </row>
    <row r="352" spans="1:44">
      <c r="A352" s="81"/>
      <c r="B352" s="11" t="s">
        <v>692</v>
      </c>
      <c r="K352" s="194"/>
      <c r="L352" s="89"/>
      <c r="Q352" s="135"/>
      <c r="U352" s="101"/>
      <c r="V352" s="101"/>
      <c r="W352" s="69" t="e" cm="1">
        <f t="array" ref="W352">_xlfn.XLOOKUP(Table1[[#This Row],[5 cm2 cell test code]:[5 cm2 cell test code]],[1]!Table1[[Test code]:[Test code]],[1]!Table1[i @ 1.8 V DIW (A/cm2)],"",0)</f>
        <v>#REF!</v>
      </c>
      <c r="X352" s="69" t="e" cm="1">
        <f t="array" ref="X352">_xlfn.XLOOKUP(Table1[[#This Row],[5 cm2 cell test code]:[5 cm2 cell test code]],[1]!Table1[[Test code]:[Test code]],[1]!Table1[i @ 1.8 V 10 mM KOH (A/cm2)],"",0)</f>
        <v>#REF!</v>
      </c>
      <c r="Y352" s="69" t="e" cm="1">
        <f t="array" ref="Y352">_xlfn.XLOOKUP(Table1[[#This Row],[5 cm2 cell test code]:[5 cm2 cell test code]],[1]!Table1[[Test code]:[Test code]],[1]!Table1[3-E ƞ at 20mAcm-2 (mV)],"",0)</f>
        <v>#REF!</v>
      </c>
      <c r="Z352" s="69" t="e" cm="1">
        <f t="array" ref="Z352">_xlfn.XLOOKUP(Table1[[#This Row],[5 cm2 cell test code]:[5 cm2 cell test code]],[1]!Table1[[Test code]:[Test code]],[1]!Table1[3-E Tafel slope (mV/dec)],"",0)</f>
        <v>#REF!</v>
      </c>
      <c r="AA352" s="69" t="e" cm="1">
        <f t="array" ref="AA352">_xlfn.XLOOKUP(Table1[[#This Row],[5 cm2 cell test code]:[5 cm2 cell test code]],[1]!Table1[[Test code]:[Test code]],[1]!Table1[E @ 100 mA/cm2 DIW/V],"",0)</f>
        <v>#REF!</v>
      </c>
      <c r="AB352" s="69" t="e" cm="1">
        <f t="array" ref="AB352">_xlfn.XLOOKUP(Table1[[#This Row],[5 cm2 cell test code]:[5 cm2 cell test code]],[1]!Table1[[Test code]:[Test code]],[1]!Table1[E @ 100 mA/cm2 10 mM KOH/V],"",0)</f>
        <v>#REF!</v>
      </c>
      <c r="AC352" s="69" t="e" cm="1">
        <f t="array" ref="AC352">_xlfn.XLOOKUP(Table1[[#This Row],[5 cm2 cell test code]:[5 cm2 cell test code]],[1]!Table1[[Test code]:[Test code]],[1]!Table1[Anode ICR/mOhm],"",0)</f>
        <v>#REF!</v>
      </c>
      <c r="AD352" s="69" t="e" cm="1">
        <f t="array" ref="AD352">_xlfn.XLOOKUP(Table1[[#This Row],[5 cm2 cell test code]:[5 cm2 cell test code]],[1]!Table1[[Test code]:[Test code]],[1]!Table1[HFR DIW/ mOhm cm2],"",0)</f>
        <v>#REF!</v>
      </c>
      <c r="AE352" s="69" t="e" cm="1">
        <f t="array" ref="AE352">_xlfn.XLOOKUP(Table1[[#This Row],[5 cm2 cell test code]:[5 cm2 cell test code]],[1]!Table1[[Test code]:[Test code]],[1]!Table1[HFR 10 mM KOH/ mOhm cm2],"",0)</f>
        <v>#REF!</v>
      </c>
      <c r="AF352" s="69" t="e" cm="1">
        <f t="array" ref="AF352">_xlfn.XLOOKUP(Table1[[#This Row],[5 cm2 cell test code]:[5 cm2 cell test code]],[1]!Table1[[Test code]:[Test code]],[1]!Table1[Ionic resistance DIW/Ohm cm2],"",0)</f>
        <v>#REF!</v>
      </c>
      <c r="AG352" s="195" t="e" cm="1">
        <f t="array" ref="AG352">_xlfn.XLOOKUP(Table1[[#This Row],[5 cm2 cell test code]:[5 cm2 cell test code]],[1]!Table1[[Test code]:[Test code]],[1]!Table1[Q_int_frac DIW],"",0)</f>
        <v>#REF!</v>
      </c>
      <c r="AH352" s="195" t="e" cm="1">
        <f t="array" ref="AH352">_xlfn.XLOOKUP(Table1[[#This Row],[5 cm2 cell test code]:[5 cm2 cell test code]],[1]!Table1[[Test code]:[Test code]],[1]!Table1[Ionic resistance 10 mM KOH/Ohm cm2],"",0)</f>
        <v>#REF!</v>
      </c>
      <c r="AI352" s="195" t="e" cm="1">
        <f t="array" ref="AI352">_xlfn.XLOOKUP(Table1[[#This Row],[5 cm2 cell test code]:[5 cm2 cell test code]],[1]!Table1[[Test code]:[Test code]],[1]!Table1[Q_int_frac DIW 10 mM KOH],"",0)</f>
        <v>#REF!</v>
      </c>
      <c r="AJ352" s="69" t="e" cm="1">
        <f t="array" ref="AJ352">_xlfn.XLOOKUP(Table1[[#This Row],[5 cm2 cell test code]:[5 cm2 cell test code]],[1]!Table1[[Test code]:[Test code]],[1]!Table1[DIW conductivity (µS/cm)],"",0)</f>
        <v>#REF!</v>
      </c>
      <c r="AQ352" s="4" t="str">
        <v>VSG02A-23306E1.01-27</v>
      </c>
    </row>
    <row r="353" spans="1:43">
      <c r="A353" s="81"/>
      <c r="B353" s="11" t="s">
        <v>692</v>
      </c>
      <c r="K353" s="194"/>
      <c r="L353" s="89"/>
      <c r="Q353" s="135"/>
      <c r="U353" s="101"/>
      <c r="V353" s="101"/>
      <c r="W353" s="69" t="e" cm="1">
        <f t="array" ref="W353">_xlfn.XLOOKUP(Table1[[#This Row],[5 cm2 cell test code]:[5 cm2 cell test code]],[1]!Table1[[Test code]:[Test code]],[1]!Table1[i @ 1.8 V DIW (A/cm2)],"",0)</f>
        <v>#REF!</v>
      </c>
      <c r="X353" s="69" t="e" cm="1">
        <f t="array" ref="X353">_xlfn.XLOOKUP(Table1[[#This Row],[5 cm2 cell test code]:[5 cm2 cell test code]],[1]!Table1[[Test code]:[Test code]],[1]!Table1[i @ 1.8 V 10 mM KOH (A/cm2)],"",0)</f>
        <v>#REF!</v>
      </c>
      <c r="Y353" s="69" t="e" cm="1">
        <f t="array" ref="Y353">_xlfn.XLOOKUP(Table1[[#This Row],[5 cm2 cell test code]:[5 cm2 cell test code]],[1]!Table1[[Test code]:[Test code]],[1]!Table1[3-E ƞ at 20mAcm-2 (mV)],"",0)</f>
        <v>#REF!</v>
      </c>
      <c r="Z353" s="69" t="e" cm="1">
        <f t="array" ref="Z353">_xlfn.XLOOKUP(Table1[[#This Row],[5 cm2 cell test code]:[5 cm2 cell test code]],[1]!Table1[[Test code]:[Test code]],[1]!Table1[3-E Tafel slope (mV/dec)],"",0)</f>
        <v>#REF!</v>
      </c>
      <c r="AA353" s="69" t="e" cm="1">
        <f t="array" ref="AA353">_xlfn.XLOOKUP(Table1[[#This Row],[5 cm2 cell test code]:[5 cm2 cell test code]],[1]!Table1[[Test code]:[Test code]],[1]!Table1[E @ 100 mA/cm2 DIW/V],"",0)</f>
        <v>#REF!</v>
      </c>
      <c r="AB353" s="69" t="e" cm="1">
        <f t="array" ref="AB353">_xlfn.XLOOKUP(Table1[[#This Row],[5 cm2 cell test code]:[5 cm2 cell test code]],[1]!Table1[[Test code]:[Test code]],[1]!Table1[E @ 100 mA/cm2 10 mM KOH/V],"",0)</f>
        <v>#REF!</v>
      </c>
      <c r="AC353" s="69" t="e" cm="1">
        <f t="array" ref="AC353">_xlfn.XLOOKUP(Table1[[#This Row],[5 cm2 cell test code]:[5 cm2 cell test code]],[1]!Table1[[Test code]:[Test code]],[1]!Table1[Anode ICR/mOhm],"",0)</f>
        <v>#REF!</v>
      </c>
      <c r="AD353" s="69" t="e" cm="1">
        <f t="array" ref="AD353">_xlfn.XLOOKUP(Table1[[#This Row],[5 cm2 cell test code]:[5 cm2 cell test code]],[1]!Table1[[Test code]:[Test code]],[1]!Table1[HFR DIW/ mOhm cm2],"",0)</f>
        <v>#REF!</v>
      </c>
      <c r="AE353" s="69" t="e" cm="1">
        <f t="array" ref="AE353">_xlfn.XLOOKUP(Table1[[#This Row],[5 cm2 cell test code]:[5 cm2 cell test code]],[1]!Table1[[Test code]:[Test code]],[1]!Table1[HFR 10 mM KOH/ mOhm cm2],"",0)</f>
        <v>#REF!</v>
      </c>
      <c r="AF353" s="69" t="e" cm="1">
        <f t="array" ref="AF353">_xlfn.XLOOKUP(Table1[[#This Row],[5 cm2 cell test code]:[5 cm2 cell test code]],[1]!Table1[[Test code]:[Test code]],[1]!Table1[Ionic resistance DIW/Ohm cm2],"",0)</f>
        <v>#REF!</v>
      </c>
      <c r="AG353" s="195" t="e" cm="1">
        <f t="array" ref="AG353">_xlfn.XLOOKUP(Table1[[#This Row],[5 cm2 cell test code]:[5 cm2 cell test code]],[1]!Table1[[Test code]:[Test code]],[1]!Table1[Q_int_frac DIW],"",0)</f>
        <v>#REF!</v>
      </c>
      <c r="AH353" s="195" t="e" cm="1">
        <f t="array" ref="AH353">_xlfn.XLOOKUP(Table1[[#This Row],[5 cm2 cell test code]:[5 cm2 cell test code]],[1]!Table1[[Test code]:[Test code]],[1]!Table1[Ionic resistance 10 mM KOH/Ohm cm2],"",0)</f>
        <v>#REF!</v>
      </c>
      <c r="AI353" s="195" t="e" cm="1">
        <f t="array" ref="AI353">_xlfn.XLOOKUP(Table1[[#This Row],[5 cm2 cell test code]:[5 cm2 cell test code]],[1]!Table1[[Test code]:[Test code]],[1]!Table1[Q_int_frac DIW 10 mM KOH],"",0)</f>
        <v>#REF!</v>
      </c>
      <c r="AJ353" s="69" t="e" cm="1">
        <f t="array" ref="AJ353">_xlfn.XLOOKUP(Table1[[#This Row],[5 cm2 cell test code]:[5 cm2 cell test code]],[1]!Table1[[Test code]:[Test code]],[1]!Table1[DIW conductivity (µS/cm)],"",0)</f>
        <v>#REF!</v>
      </c>
      <c r="AQ353" s="4" t="str">
        <v>VSG02A-23306E1.01-28</v>
      </c>
    </row>
    <row r="354" spans="1:43">
      <c r="A354" s="81"/>
      <c r="B354" s="11" t="s">
        <v>692</v>
      </c>
      <c r="K354" s="194"/>
      <c r="L354" s="89"/>
      <c r="Q354" s="135"/>
      <c r="U354" s="101"/>
      <c r="V354" s="101"/>
      <c r="W354" s="69" t="e" cm="1">
        <f t="array" ref="W354">_xlfn.XLOOKUP(Table1[[#This Row],[5 cm2 cell test code]:[5 cm2 cell test code]],[1]!Table1[[Test code]:[Test code]],[1]!Table1[i @ 1.8 V DIW (A/cm2)],"",0)</f>
        <v>#REF!</v>
      </c>
      <c r="X354" s="69" t="e" cm="1">
        <f t="array" ref="X354">_xlfn.XLOOKUP(Table1[[#This Row],[5 cm2 cell test code]:[5 cm2 cell test code]],[1]!Table1[[Test code]:[Test code]],[1]!Table1[i @ 1.8 V 10 mM KOH (A/cm2)],"",0)</f>
        <v>#REF!</v>
      </c>
      <c r="Y354" s="69" t="e" cm="1">
        <f t="array" ref="Y354">_xlfn.XLOOKUP(Table1[[#This Row],[5 cm2 cell test code]:[5 cm2 cell test code]],[1]!Table1[[Test code]:[Test code]],[1]!Table1[3-E ƞ at 20mAcm-2 (mV)],"",0)</f>
        <v>#REF!</v>
      </c>
      <c r="Z354" s="69" t="e" cm="1">
        <f t="array" ref="Z354">_xlfn.XLOOKUP(Table1[[#This Row],[5 cm2 cell test code]:[5 cm2 cell test code]],[1]!Table1[[Test code]:[Test code]],[1]!Table1[3-E Tafel slope (mV/dec)],"",0)</f>
        <v>#REF!</v>
      </c>
      <c r="AA354" s="69" t="e" cm="1">
        <f t="array" ref="AA354">_xlfn.XLOOKUP(Table1[[#This Row],[5 cm2 cell test code]:[5 cm2 cell test code]],[1]!Table1[[Test code]:[Test code]],[1]!Table1[E @ 100 mA/cm2 DIW/V],"",0)</f>
        <v>#REF!</v>
      </c>
      <c r="AB354" s="69" t="e" cm="1">
        <f t="array" ref="AB354">_xlfn.XLOOKUP(Table1[[#This Row],[5 cm2 cell test code]:[5 cm2 cell test code]],[1]!Table1[[Test code]:[Test code]],[1]!Table1[E @ 100 mA/cm2 10 mM KOH/V],"",0)</f>
        <v>#REF!</v>
      </c>
      <c r="AC354" s="69" t="e" cm="1">
        <f t="array" ref="AC354">_xlfn.XLOOKUP(Table1[[#This Row],[5 cm2 cell test code]:[5 cm2 cell test code]],[1]!Table1[[Test code]:[Test code]],[1]!Table1[Anode ICR/mOhm],"",0)</f>
        <v>#REF!</v>
      </c>
      <c r="AD354" s="69" t="e" cm="1">
        <f t="array" ref="AD354">_xlfn.XLOOKUP(Table1[[#This Row],[5 cm2 cell test code]:[5 cm2 cell test code]],[1]!Table1[[Test code]:[Test code]],[1]!Table1[HFR DIW/ mOhm cm2],"",0)</f>
        <v>#REF!</v>
      </c>
      <c r="AE354" s="69" t="e" cm="1">
        <f t="array" ref="AE354">_xlfn.XLOOKUP(Table1[[#This Row],[5 cm2 cell test code]:[5 cm2 cell test code]],[1]!Table1[[Test code]:[Test code]],[1]!Table1[HFR 10 mM KOH/ mOhm cm2],"",0)</f>
        <v>#REF!</v>
      </c>
      <c r="AF354" s="69" t="e" cm="1">
        <f t="array" ref="AF354">_xlfn.XLOOKUP(Table1[[#This Row],[5 cm2 cell test code]:[5 cm2 cell test code]],[1]!Table1[[Test code]:[Test code]],[1]!Table1[Ionic resistance DIW/Ohm cm2],"",0)</f>
        <v>#REF!</v>
      </c>
      <c r="AG354" s="195" t="e" cm="1">
        <f t="array" ref="AG354">_xlfn.XLOOKUP(Table1[[#This Row],[5 cm2 cell test code]:[5 cm2 cell test code]],[1]!Table1[[Test code]:[Test code]],[1]!Table1[Q_int_frac DIW],"",0)</f>
        <v>#REF!</v>
      </c>
      <c r="AH354" s="195" t="e" cm="1">
        <f t="array" ref="AH354">_xlfn.XLOOKUP(Table1[[#This Row],[5 cm2 cell test code]:[5 cm2 cell test code]],[1]!Table1[[Test code]:[Test code]],[1]!Table1[Ionic resistance 10 mM KOH/Ohm cm2],"",0)</f>
        <v>#REF!</v>
      </c>
      <c r="AI354" s="195" t="e" cm="1">
        <f t="array" ref="AI354">_xlfn.XLOOKUP(Table1[[#This Row],[5 cm2 cell test code]:[5 cm2 cell test code]],[1]!Table1[[Test code]:[Test code]],[1]!Table1[Q_int_frac DIW 10 mM KOH],"",0)</f>
        <v>#REF!</v>
      </c>
      <c r="AJ354" s="69" t="e" cm="1">
        <f t="array" ref="AJ354">_xlfn.XLOOKUP(Table1[[#This Row],[5 cm2 cell test code]:[5 cm2 cell test code]],[1]!Table1[[Test code]:[Test code]],[1]!Table1[DIW conductivity (µS/cm)],"",0)</f>
        <v>#REF!</v>
      </c>
      <c r="AQ354" s="4" t="str">
        <v>VSG02A-23306E1.01-29</v>
      </c>
    </row>
    <row r="355" spans="1:43">
      <c r="A355" s="81"/>
      <c r="B355" s="11" t="s">
        <v>692</v>
      </c>
      <c r="K355" s="194"/>
      <c r="L355" s="89"/>
      <c r="Q355" s="135"/>
      <c r="U355" s="101"/>
      <c r="V355" s="101"/>
      <c r="W355" s="69" t="e" cm="1">
        <f t="array" ref="W355">_xlfn.XLOOKUP(Table1[[#This Row],[5 cm2 cell test code]:[5 cm2 cell test code]],[1]!Table1[[Test code]:[Test code]],[1]!Table1[i @ 1.8 V DIW (A/cm2)],"",0)</f>
        <v>#REF!</v>
      </c>
      <c r="X355" s="69" t="e" cm="1">
        <f t="array" ref="X355">_xlfn.XLOOKUP(Table1[[#This Row],[5 cm2 cell test code]:[5 cm2 cell test code]],[1]!Table1[[Test code]:[Test code]],[1]!Table1[i @ 1.8 V 10 mM KOH (A/cm2)],"",0)</f>
        <v>#REF!</v>
      </c>
      <c r="Y355" s="69" t="e" cm="1">
        <f t="array" ref="Y355">_xlfn.XLOOKUP(Table1[[#This Row],[5 cm2 cell test code]:[5 cm2 cell test code]],[1]!Table1[[Test code]:[Test code]],[1]!Table1[3-E ƞ at 20mAcm-2 (mV)],"",0)</f>
        <v>#REF!</v>
      </c>
      <c r="Z355" s="69" t="e" cm="1">
        <f t="array" ref="Z355">_xlfn.XLOOKUP(Table1[[#This Row],[5 cm2 cell test code]:[5 cm2 cell test code]],[1]!Table1[[Test code]:[Test code]],[1]!Table1[3-E Tafel slope (mV/dec)],"",0)</f>
        <v>#REF!</v>
      </c>
      <c r="AA355" s="69" t="e" cm="1">
        <f t="array" ref="AA355">_xlfn.XLOOKUP(Table1[[#This Row],[5 cm2 cell test code]:[5 cm2 cell test code]],[1]!Table1[[Test code]:[Test code]],[1]!Table1[E @ 100 mA/cm2 DIW/V],"",0)</f>
        <v>#REF!</v>
      </c>
      <c r="AB355" s="69" t="e" cm="1">
        <f t="array" ref="AB355">_xlfn.XLOOKUP(Table1[[#This Row],[5 cm2 cell test code]:[5 cm2 cell test code]],[1]!Table1[[Test code]:[Test code]],[1]!Table1[E @ 100 mA/cm2 10 mM KOH/V],"",0)</f>
        <v>#REF!</v>
      </c>
      <c r="AC355" s="69" t="e" cm="1">
        <f t="array" ref="AC355">_xlfn.XLOOKUP(Table1[[#This Row],[5 cm2 cell test code]:[5 cm2 cell test code]],[1]!Table1[[Test code]:[Test code]],[1]!Table1[Anode ICR/mOhm],"",0)</f>
        <v>#REF!</v>
      </c>
      <c r="AD355" s="69" t="e" cm="1">
        <f t="array" ref="AD355">_xlfn.XLOOKUP(Table1[[#This Row],[5 cm2 cell test code]:[5 cm2 cell test code]],[1]!Table1[[Test code]:[Test code]],[1]!Table1[HFR DIW/ mOhm cm2],"",0)</f>
        <v>#REF!</v>
      </c>
      <c r="AE355" s="69" t="e" cm="1">
        <f t="array" ref="AE355">_xlfn.XLOOKUP(Table1[[#This Row],[5 cm2 cell test code]:[5 cm2 cell test code]],[1]!Table1[[Test code]:[Test code]],[1]!Table1[HFR 10 mM KOH/ mOhm cm2],"",0)</f>
        <v>#REF!</v>
      </c>
      <c r="AF355" s="69" t="e" cm="1">
        <f t="array" ref="AF355">_xlfn.XLOOKUP(Table1[[#This Row],[5 cm2 cell test code]:[5 cm2 cell test code]],[1]!Table1[[Test code]:[Test code]],[1]!Table1[Ionic resistance DIW/Ohm cm2],"",0)</f>
        <v>#REF!</v>
      </c>
      <c r="AG355" s="195" t="e" cm="1">
        <f t="array" ref="AG355">_xlfn.XLOOKUP(Table1[[#This Row],[5 cm2 cell test code]:[5 cm2 cell test code]],[1]!Table1[[Test code]:[Test code]],[1]!Table1[Q_int_frac DIW],"",0)</f>
        <v>#REF!</v>
      </c>
      <c r="AH355" s="195" t="e" cm="1">
        <f t="array" ref="AH355">_xlfn.XLOOKUP(Table1[[#This Row],[5 cm2 cell test code]:[5 cm2 cell test code]],[1]!Table1[[Test code]:[Test code]],[1]!Table1[Ionic resistance 10 mM KOH/Ohm cm2],"",0)</f>
        <v>#REF!</v>
      </c>
      <c r="AI355" s="195" t="e" cm="1">
        <f t="array" ref="AI355">_xlfn.XLOOKUP(Table1[[#This Row],[5 cm2 cell test code]:[5 cm2 cell test code]],[1]!Table1[[Test code]:[Test code]],[1]!Table1[Q_int_frac DIW 10 mM KOH],"",0)</f>
        <v>#REF!</v>
      </c>
      <c r="AJ355" s="69" t="e" cm="1">
        <f t="array" ref="AJ355">_xlfn.XLOOKUP(Table1[[#This Row],[5 cm2 cell test code]:[5 cm2 cell test code]],[1]!Table1[[Test code]:[Test code]],[1]!Table1[DIW conductivity (µS/cm)],"",0)</f>
        <v>#REF!</v>
      </c>
      <c r="AQ355" s="4" t="str">
        <v>VSG02A-23306E1.01-30</v>
      </c>
    </row>
    <row r="356" spans="1:43">
      <c r="A356" s="81"/>
      <c r="B356" s="11" t="s">
        <v>692</v>
      </c>
      <c r="K356" s="194"/>
      <c r="L356" s="89"/>
      <c r="Q356" s="135"/>
      <c r="U356" s="101"/>
      <c r="V356" s="101"/>
      <c r="W356" s="69" t="e" cm="1">
        <f t="array" ref="W356">_xlfn.XLOOKUP(Table1[[#This Row],[5 cm2 cell test code]:[5 cm2 cell test code]],[1]!Table1[[Test code]:[Test code]],[1]!Table1[i @ 1.8 V DIW (A/cm2)],"",0)</f>
        <v>#REF!</v>
      </c>
      <c r="X356" s="69" t="e" cm="1">
        <f t="array" ref="X356">_xlfn.XLOOKUP(Table1[[#This Row],[5 cm2 cell test code]:[5 cm2 cell test code]],[1]!Table1[[Test code]:[Test code]],[1]!Table1[i @ 1.8 V 10 mM KOH (A/cm2)],"",0)</f>
        <v>#REF!</v>
      </c>
      <c r="Y356" s="69" t="e" cm="1">
        <f t="array" ref="Y356">_xlfn.XLOOKUP(Table1[[#This Row],[5 cm2 cell test code]:[5 cm2 cell test code]],[1]!Table1[[Test code]:[Test code]],[1]!Table1[3-E ƞ at 20mAcm-2 (mV)],"",0)</f>
        <v>#REF!</v>
      </c>
      <c r="Z356" s="69" t="e" cm="1">
        <f t="array" ref="Z356">_xlfn.XLOOKUP(Table1[[#This Row],[5 cm2 cell test code]:[5 cm2 cell test code]],[1]!Table1[[Test code]:[Test code]],[1]!Table1[3-E Tafel slope (mV/dec)],"",0)</f>
        <v>#REF!</v>
      </c>
      <c r="AA356" s="69" t="e" cm="1">
        <f t="array" ref="AA356">_xlfn.XLOOKUP(Table1[[#This Row],[5 cm2 cell test code]:[5 cm2 cell test code]],[1]!Table1[[Test code]:[Test code]],[1]!Table1[E @ 100 mA/cm2 DIW/V],"",0)</f>
        <v>#REF!</v>
      </c>
      <c r="AB356" s="69" t="e" cm="1">
        <f t="array" ref="AB356">_xlfn.XLOOKUP(Table1[[#This Row],[5 cm2 cell test code]:[5 cm2 cell test code]],[1]!Table1[[Test code]:[Test code]],[1]!Table1[E @ 100 mA/cm2 10 mM KOH/V],"",0)</f>
        <v>#REF!</v>
      </c>
      <c r="AC356" s="69" t="e" cm="1">
        <f t="array" ref="AC356">_xlfn.XLOOKUP(Table1[[#This Row],[5 cm2 cell test code]:[5 cm2 cell test code]],[1]!Table1[[Test code]:[Test code]],[1]!Table1[Anode ICR/mOhm],"",0)</f>
        <v>#REF!</v>
      </c>
      <c r="AD356" s="69" t="e" cm="1">
        <f t="array" ref="AD356">_xlfn.XLOOKUP(Table1[[#This Row],[5 cm2 cell test code]:[5 cm2 cell test code]],[1]!Table1[[Test code]:[Test code]],[1]!Table1[HFR DIW/ mOhm cm2],"",0)</f>
        <v>#REF!</v>
      </c>
      <c r="AE356" s="69" t="e" cm="1">
        <f t="array" ref="AE356">_xlfn.XLOOKUP(Table1[[#This Row],[5 cm2 cell test code]:[5 cm2 cell test code]],[1]!Table1[[Test code]:[Test code]],[1]!Table1[HFR 10 mM KOH/ mOhm cm2],"",0)</f>
        <v>#REF!</v>
      </c>
      <c r="AF356" s="69" t="e" cm="1">
        <f t="array" ref="AF356">_xlfn.XLOOKUP(Table1[[#This Row],[5 cm2 cell test code]:[5 cm2 cell test code]],[1]!Table1[[Test code]:[Test code]],[1]!Table1[Ionic resistance DIW/Ohm cm2],"",0)</f>
        <v>#REF!</v>
      </c>
      <c r="AG356" s="195" t="e" cm="1">
        <f t="array" ref="AG356">_xlfn.XLOOKUP(Table1[[#This Row],[5 cm2 cell test code]:[5 cm2 cell test code]],[1]!Table1[[Test code]:[Test code]],[1]!Table1[Q_int_frac DIW],"",0)</f>
        <v>#REF!</v>
      </c>
      <c r="AH356" s="195" t="e" cm="1">
        <f t="array" ref="AH356">_xlfn.XLOOKUP(Table1[[#This Row],[5 cm2 cell test code]:[5 cm2 cell test code]],[1]!Table1[[Test code]:[Test code]],[1]!Table1[Ionic resistance 10 mM KOH/Ohm cm2],"",0)</f>
        <v>#REF!</v>
      </c>
      <c r="AI356" s="195" t="e" cm="1">
        <f t="array" ref="AI356">_xlfn.XLOOKUP(Table1[[#This Row],[5 cm2 cell test code]:[5 cm2 cell test code]],[1]!Table1[[Test code]:[Test code]],[1]!Table1[Q_int_frac DIW 10 mM KOH],"",0)</f>
        <v>#REF!</v>
      </c>
      <c r="AJ356" s="69" t="e" cm="1">
        <f t="array" ref="AJ356">_xlfn.XLOOKUP(Table1[[#This Row],[5 cm2 cell test code]:[5 cm2 cell test code]],[1]!Table1[[Test code]:[Test code]],[1]!Table1[DIW conductivity (µS/cm)],"",0)</f>
        <v>#REF!</v>
      </c>
      <c r="AQ356" s="4" t="str">
        <v>VSG02A-23306E1.01-31</v>
      </c>
    </row>
    <row r="357" spans="1:43">
      <c r="A357" s="81"/>
      <c r="B357" s="11" t="s">
        <v>692</v>
      </c>
      <c r="K357" s="194"/>
      <c r="L357" s="89"/>
      <c r="Q357" s="135"/>
      <c r="U357" s="101"/>
      <c r="V357" s="101"/>
      <c r="W357" s="69" t="e" cm="1">
        <f t="array" ref="W357">_xlfn.XLOOKUP(Table1[[#This Row],[5 cm2 cell test code]:[5 cm2 cell test code]],[1]!Table1[[Test code]:[Test code]],[1]!Table1[i @ 1.8 V DIW (A/cm2)],"",0)</f>
        <v>#REF!</v>
      </c>
      <c r="X357" s="69" t="e" cm="1">
        <f t="array" ref="X357">_xlfn.XLOOKUP(Table1[[#This Row],[5 cm2 cell test code]:[5 cm2 cell test code]],[1]!Table1[[Test code]:[Test code]],[1]!Table1[i @ 1.8 V 10 mM KOH (A/cm2)],"",0)</f>
        <v>#REF!</v>
      </c>
      <c r="Y357" s="69" t="e" cm="1">
        <f t="array" ref="Y357">_xlfn.XLOOKUP(Table1[[#This Row],[5 cm2 cell test code]:[5 cm2 cell test code]],[1]!Table1[[Test code]:[Test code]],[1]!Table1[3-E ƞ at 20mAcm-2 (mV)],"",0)</f>
        <v>#REF!</v>
      </c>
      <c r="Z357" s="69" t="e" cm="1">
        <f t="array" ref="Z357">_xlfn.XLOOKUP(Table1[[#This Row],[5 cm2 cell test code]:[5 cm2 cell test code]],[1]!Table1[[Test code]:[Test code]],[1]!Table1[3-E Tafel slope (mV/dec)],"",0)</f>
        <v>#REF!</v>
      </c>
      <c r="AA357" s="69" t="e" cm="1">
        <f t="array" ref="AA357">_xlfn.XLOOKUP(Table1[[#This Row],[5 cm2 cell test code]:[5 cm2 cell test code]],[1]!Table1[[Test code]:[Test code]],[1]!Table1[E @ 100 mA/cm2 DIW/V],"",0)</f>
        <v>#REF!</v>
      </c>
      <c r="AB357" s="69" t="e" cm="1">
        <f t="array" ref="AB357">_xlfn.XLOOKUP(Table1[[#This Row],[5 cm2 cell test code]:[5 cm2 cell test code]],[1]!Table1[[Test code]:[Test code]],[1]!Table1[E @ 100 mA/cm2 10 mM KOH/V],"",0)</f>
        <v>#REF!</v>
      </c>
      <c r="AC357" s="69" t="e" cm="1">
        <f t="array" ref="AC357">_xlfn.XLOOKUP(Table1[[#This Row],[5 cm2 cell test code]:[5 cm2 cell test code]],[1]!Table1[[Test code]:[Test code]],[1]!Table1[Anode ICR/mOhm],"",0)</f>
        <v>#REF!</v>
      </c>
      <c r="AD357" s="69" t="e" cm="1">
        <f t="array" ref="AD357">_xlfn.XLOOKUP(Table1[[#This Row],[5 cm2 cell test code]:[5 cm2 cell test code]],[1]!Table1[[Test code]:[Test code]],[1]!Table1[HFR DIW/ mOhm cm2],"",0)</f>
        <v>#REF!</v>
      </c>
      <c r="AE357" s="69" t="e" cm="1">
        <f t="array" ref="AE357">_xlfn.XLOOKUP(Table1[[#This Row],[5 cm2 cell test code]:[5 cm2 cell test code]],[1]!Table1[[Test code]:[Test code]],[1]!Table1[HFR 10 mM KOH/ mOhm cm2],"",0)</f>
        <v>#REF!</v>
      </c>
      <c r="AF357" s="69" t="e" cm="1">
        <f t="array" ref="AF357">_xlfn.XLOOKUP(Table1[[#This Row],[5 cm2 cell test code]:[5 cm2 cell test code]],[1]!Table1[[Test code]:[Test code]],[1]!Table1[Ionic resistance DIW/Ohm cm2],"",0)</f>
        <v>#REF!</v>
      </c>
      <c r="AG357" s="195" t="e" cm="1">
        <f t="array" ref="AG357">_xlfn.XLOOKUP(Table1[[#This Row],[5 cm2 cell test code]:[5 cm2 cell test code]],[1]!Table1[[Test code]:[Test code]],[1]!Table1[Q_int_frac DIW],"",0)</f>
        <v>#REF!</v>
      </c>
      <c r="AH357" s="195" t="e" cm="1">
        <f t="array" ref="AH357">_xlfn.XLOOKUP(Table1[[#This Row],[5 cm2 cell test code]:[5 cm2 cell test code]],[1]!Table1[[Test code]:[Test code]],[1]!Table1[Ionic resistance 10 mM KOH/Ohm cm2],"",0)</f>
        <v>#REF!</v>
      </c>
      <c r="AI357" s="195" t="e" cm="1">
        <f t="array" ref="AI357">_xlfn.XLOOKUP(Table1[[#This Row],[5 cm2 cell test code]:[5 cm2 cell test code]],[1]!Table1[[Test code]:[Test code]],[1]!Table1[Q_int_frac DIW 10 mM KOH],"",0)</f>
        <v>#REF!</v>
      </c>
      <c r="AJ357" s="69" t="e" cm="1">
        <f t="array" ref="AJ357">_xlfn.XLOOKUP(Table1[[#This Row],[5 cm2 cell test code]:[5 cm2 cell test code]],[1]!Table1[[Test code]:[Test code]],[1]!Table1[DIW conductivity (µS/cm)],"",0)</f>
        <v>#REF!</v>
      </c>
      <c r="AQ357" s="4" t="str">
        <v>VSG02A-23306E1.01-32</v>
      </c>
    </row>
    <row r="358" spans="1:43">
      <c r="A358" s="81"/>
      <c r="K358" s="194"/>
      <c r="L358" s="89"/>
      <c r="Q358" s="135"/>
      <c r="U358" s="101"/>
      <c r="V358" s="101"/>
      <c r="W358" s="69" t="e" cm="1">
        <f t="array" ref="W358">_xlfn.XLOOKUP(Table1[[#This Row],[5 cm2 cell test code]:[5 cm2 cell test code]],[1]!Table1[[Test code]:[Test code]],[1]!Table1[i @ 1.8 V DIW (A/cm2)],"",0)</f>
        <v>#REF!</v>
      </c>
      <c r="X358" s="69" t="e" cm="1">
        <f t="array" ref="X358">_xlfn.XLOOKUP(Table1[[#This Row],[5 cm2 cell test code]:[5 cm2 cell test code]],[1]!Table1[[Test code]:[Test code]],[1]!Table1[i @ 1.8 V 10 mM KOH (A/cm2)],"",0)</f>
        <v>#REF!</v>
      </c>
      <c r="Y358" s="69" t="e" cm="1">
        <f t="array" ref="Y358">_xlfn.XLOOKUP(Table1[[#This Row],[5 cm2 cell test code]:[5 cm2 cell test code]],[1]!Table1[[Test code]:[Test code]],[1]!Table1[3-E ƞ at 20mAcm-2 (mV)],"",0)</f>
        <v>#REF!</v>
      </c>
      <c r="Z358" s="69" t="e" cm="1">
        <f t="array" ref="Z358">_xlfn.XLOOKUP(Table1[[#This Row],[5 cm2 cell test code]:[5 cm2 cell test code]],[1]!Table1[[Test code]:[Test code]],[1]!Table1[3-E Tafel slope (mV/dec)],"",0)</f>
        <v>#REF!</v>
      </c>
      <c r="AA358" s="69" t="e" cm="1">
        <f t="array" ref="AA358">_xlfn.XLOOKUP(Table1[[#This Row],[5 cm2 cell test code]:[5 cm2 cell test code]],[1]!Table1[[Test code]:[Test code]],[1]!Table1[E @ 100 mA/cm2 DIW/V],"",0)</f>
        <v>#REF!</v>
      </c>
      <c r="AB358" s="69" t="e" cm="1">
        <f t="array" ref="AB358">_xlfn.XLOOKUP(Table1[[#This Row],[5 cm2 cell test code]:[5 cm2 cell test code]],[1]!Table1[[Test code]:[Test code]],[1]!Table1[E @ 100 mA/cm2 10 mM KOH/V],"",0)</f>
        <v>#REF!</v>
      </c>
      <c r="AC358" s="69" t="e" cm="1">
        <f t="array" ref="AC358">_xlfn.XLOOKUP(Table1[[#This Row],[5 cm2 cell test code]:[5 cm2 cell test code]],[1]!Table1[[Test code]:[Test code]],[1]!Table1[Anode ICR/mOhm],"",0)</f>
        <v>#REF!</v>
      </c>
      <c r="AD358" s="69" t="e" cm="1">
        <f t="array" ref="AD358">_xlfn.XLOOKUP(Table1[[#This Row],[5 cm2 cell test code]:[5 cm2 cell test code]],[1]!Table1[[Test code]:[Test code]],[1]!Table1[HFR DIW/ mOhm cm2],"",0)</f>
        <v>#REF!</v>
      </c>
      <c r="AE358" s="69" t="e" cm="1">
        <f t="array" ref="AE358">_xlfn.XLOOKUP(Table1[[#This Row],[5 cm2 cell test code]:[5 cm2 cell test code]],[1]!Table1[[Test code]:[Test code]],[1]!Table1[HFR 10 mM KOH/ mOhm cm2],"",0)</f>
        <v>#REF!</v>
      </c>
      <c r="AF358" s="69" t="e" cm="1">
        <f t="array" ref="AF358">_xlfn.XLOOKUP(Table1[[#This Row],[5 cm2 cell test code]:[5 cm2 cell test code]],[1]!Table1[[Test code]:[Test code]],[1]!Table1[Ionic resistance DIW/Ohm cm2],"",0)</f>
        <v>#REF!</v>
      </c>
      <c r="AG358" s="195" t="e" cm="1">
        <f t="array" ref="AG358">_xlfn.XLOOKUP(Table1[[#This Row],[5 cm2 cell test code]:[5 cm2 cell test code]],[1]!Table1[[Test code]:[Test code]],[1]!Table1[Q_int_frac DIW],"",0)</f>
        <v>#REF!</v>
      </c>
      <c r="AH358" s="195" t="e" cm="1">
        <f t="array" ref="AH358">_xlfn.XLOOKUP(Table1[[#This Row],[5 cm2 cell test code]:[5 cm2 cell test code]],[1]!Table1[[Test code]:[Test code]],[1]!Table1[Ionic resistance 10 mM KOH/Ohm cm2],"",0)</f>
        <v>#REF!</v>
      </c>
      <c r="AI358" s="195" t="e" cm="1">
        <f t="array" ref="AI358">_xlfn.XLOOKUP(Table1[[#This Row],[5 cm2 cell test code]:[5 cm2 cell test code]],[1]!Table1[[Test code]:[Test code]],[1]!Table1[Q_int_frac DIW 10 mM KOH],"",0)</f>
        <v>#REF!</v>
      </c>
      <c r="AJ358" s="69" t="e" cm="1">
        <f t="array" ref="AJ358">_xlfn.XLOOKUP(Table1[[#This Row],[5 cm2 cell test code]:[5 cm2 cell test code]],[1]!Table1[[Test code]:[Test code]],[1]!Table1[DIW conductivity (µS/cm)],"",0)</f>
        <v>#REF!</v>
      </c>
      <c r="AQ358" s="4" t="str">
        <v>VSG02A-23306E1.01-33</v>
      </c>
    </row>
    <row r="359" spans="1:43">
      <c r="A359" s="81"/>
      <c r="B359" s="11" t="s">
        <v>704</v>
      </c>
      <c r="C359" s="4" t="s">
        <v>705</v>
      </c>
      <c r="I359" s="11" t="s">
        <v>114</v>
      </c>
      <c r="J359" s="11" t="s">
        <v>402</v>
      </c>
      <c r="K359" s="43" t="s">
        <v>59</v>
      </c>
      <c r="M359" s="13">
        <v>0.20499999999999999</v>
      </c>
      <c r="N359" s="13">
        <v>2.083333333333333</v>
      </c>
      <c r="O359" s="11" t="s">
        <v>706</v>
      </c>
      <c r="P359" s="28">
        <v>1.0980000000000001</v>
      </c>
      <c r="Q359" s="135">
        <v>2.7064400468249698E-2</v>
      </c>
      <c r="U359" s="101"/>
      <c r="V359" s="101"/>
      <c r="W359" s="69" t="e" cm="1">
        <f t="array" ref="W359">_xlfn.XLOOKUP(Table1[[#This Row],[5 cm2 cell test code]:[5 cm2 cell test code]],[1]!Table1[[Test code]:[Test code]],[1]!Table1[i @ 1.8 V DIW (A/cm2)],"",0)</f>
        <v>#REF!</v>
      </c>
      <c r="X359" s="69" t="e" cm="1">
        <f t="array" ref="X359">_xlfn.XLOOKUP(Table1[[#This Row],[5 cm2 cell test code]:[5 cm2 cell test code]],[1]!Table1[[Test code]:[Test code]],[1]!Table1[i @ 1.8 V 10 mM KOH (A/cm2)],"",0)</f>
        <v>#REF!</v>
      </c>
      <c r="Y359" s="69" t="e" cm="1">
        <f t="array" ref="Y359">_xlfn.XLOOKUP(Table1[[#This Row],[5 cm2 cell test code]:[5 cm2 cell test code]],[1]!Table1[[Test code]:[Test code]],[1]!Table1[3-E ƞ at 20mAcm-2 (mV)],"",0)</f>
        <v>#REF!</v>
      </c>
      <c r="Z359" s="69" t="e" cm="1">
        <f t="array" ref="Z359">_xlfn.XLOOKUP(Table1[[#This Row],[5 cm2 cell test code]:[5 cm2 cell test code]],[1]!Table1[[Test code]:[Test code]],[1]!Table1[3-E Tafel slope (mV/dec)],"",0)</f>
        <v>#REF!</v>
      </c>
      <c r="AA359" s="69" t="e" cm="1">
        <f t="array" ref="AA359">_xlfn.XLOOKUP(Table1[[#This Row],[5 cm2 cell test code]:[5 cm2 cell test code]],[1]!Table1[[Test code]:[Test code]],[1]!Table1[E @ 100 mA/cm2 DIW/V],"",0)</f>
        <v>#REF!</v>
      </c>
      <c r="AB359" s="69" t="e" cm="1">
        <f t="array" ref="AB359">_xlfn.XLOOKUP(Table1[[#This Row],[5 cm2 cell test code]:[5 cm2 cell test code]],[1]!Table1[[Test code]:[Test code]],[1]!Table1[E @ 100 mA/cm2 10 mM KOH/V],"",0)</f>
        <v>#REF!</v>
      </c>
      <c r="AC359" s="69" t="e" cm="1">
        <f t="array" ref="AC359">_xlfn.XLOOKUP(Table1[[#This Row],[5 cm2 cell test code]:[5 cm2 cell test code]],[1]!Table1[[Test code]:[Test code]],[1]!Table1[Anode ICR/mOhm],"",0)</f>
        <v>#REF!</v>
      </c>
      <c r="AD359" s="69" t="e" cm="1">
        <f t="array" ref="AD359">_xlfn.XLOOKUP(Table1[[#This Row],[5 cm2 cell test code]:[5 cm2 cell test code]],[1]!Table1[[Test code]:[Test code]],[1]!Table1[HFR DIW/ mOhm cm2],"",0)</f>
        <v>#REF!</v>
      </c>
      <c r="AE359" s="69" t="e" cm="1">
        <f t="array" ref="AE359">_xlfn.XLOOKUP(Table1[[#This Row],[5 cm2 cell test code]:[5 cm2 cell test code]],[1]!Table1[[Test code]:[Test code]],[1]!Table1[HFR 10 mM KOH/ mOhm cm2],"",0)</f>
        <v>#REF!</v>
      </c>
      <c r="AF359" s="69" t="e" cm="1">
        <f t="array" ref="AF359">_xlfn.XLOOKUP(Table1[[#This Row],[5 cm2 cell test code]:[5 cm2 cell test code]],[1]!Table1[[Test code]:[Test code]],[1]!Table1[Ionic resistance DIW/Ohm cm2],"",0)</f>
        <v>#REF!</v>
      </c>
      <c r="AG359" s="69" t="e" cm="1">
        <f t="array" ref="AG359">_xlfn.XLOOKUP(Table1[[#This Row],[5 cm2 cell test code]:[5 cm2 cell test code]],[1]!Table1[[Test code]:[Test code]],[1]!Table1[Q_int_frac DIW],"",0)</f>
        <v>#REF!</v>
      </c>
      <c r="AH359" s="69" t="e" cm="1">
        <f t="array" ref="AH359">_xlfn.XLOOKUP(Table1[[#This Row],[5 cm2 cell test code]:[5 cm2 cell test code]],[1]!Table1[[Test code]:[Test code]],[1]!Table1[Ionic resistance 10 mM KOH/Ohm cm2],"",0)</f>
        <v>#REF!</v>
      </c>
      <c r="AI359" s="69" t="e" cm="1">
        <f t="array" ref="AI359">_xlfn.XLOOKUP(Table1[[#This Row],[5 cm2 cell test code]:[5 cm2 cell test code]],[1]!Table1[[Test code]:[Test code]],[1]!Table1[Q_int_frac DIW 10 mM KOH],"",0)</f>
        <v>#REF!</v>
      </c>
      <c r="AJ359" s="69" t="e" cm="1">
        <f t="array" ref="AJ359">_xlfn.XLOOKUP(Table1[[#This Row],[5 cm2 cell test code]:[5 cm2 cell test code]],[1]!Table1[[Test code]:[Test code]],[1]!Table1[DIW conductivity (µS/cm)],"",0)</f>
        <v>#REF!</v>
      </c>
      <c r="AQ359" s="4" t="str">
        <v>VSG02A-23306E1.01-34</v>
      </c>
    </row>
    <row r="360" spans="1:43">
      <c r="A360" s="81"/>
      <c r="B360" s="11" t="s">
        <v>707</v>
      </c>
      <c r="C360" s="4" t="s">
        <v>708</v>
      </c>
      <c r="I360" s="11" t="s">
        <v>114</v>
      </c>
      <c r="J360" s="11" t="s">
        <v>402</v>
      </c>
      <c r="K360" s="43" t="s">
        <v>59</v>
      </c>
      <c r="L360" s="89"/>
      <c r="M360" s="13">
        <f>(22.55-22.51)*1000/(15.1*16.1)</f>
        <v>0.16453457282711179</v>
      </c>
      <c r="N360" s="13">
        <v>2.6923789173789179</v>
      </c>
      <c r="O360" s="11" t="s">
        <v>709</v>
      </c>
      <c r="P360" s="28">
        <v>1.19</v>
      </c>
      <c r="Q360" s="135">
        <v>3.6387884635754687E-2</v>
      </c>
      <c r="U360" s="101"/>
      <c r="V360" s="101"/>
      <c r="W360" s="69" t="e" cm="1">
        <f t="array" ref="W360">_xlfn.XLOOKUP(Table1[[#This Row],[5 cm2 cell test code]:[5 cm2 cell test code]],[1]!Table1[[Test code]:[Test code]],[1]!Table1[i @ 1.8 V DIW (A/cm2)],"",0)</f>
        <v>#REF!</v>
      </c>
      <c r="X360" s="69" t="e" cm="1">
        <f t="array" ref="X360">_xlfn.XLOOKUP(Table1[[#This Row],[5 cm2 cell test code]:[5 cm2 cell test code]],[1]!Table1[[Test code]:[Test code]],[1]!Table1[i @ 1.8 V 10 mM KOH (A/cm2)],"",0)</f>
        <v>#REF!</v>
      </c>
      <c r="Y360" s="69" t="e" cm="1">
        <f t="array" ref="Y360">_xlfn.XLOOKUP(Table1[[#This Row],[5 cm2 cell test code]:[5 cm2 cell test code]],[1]!Table1[[Test code]:[Test code]],[1]!Table1[3-E ƞ at 20mAcm-2 (mV)],"",0)</f>
        <v>#REF!</v>
      </c>
      <c r="Z360" s="69" t="e" cm="1">
        <f t="array" ref="Z360">_xlfn.XLOOKUP(Table1[[#This Row],[5 cm2 cell test code]:[5 cm2 cell test code]],[1]!Table1[[Test code]:[Test code]],[1]!Table1[3-E Tafel slope (mV/dec)],"",0)</f>
        <v>#REF!</v>
      </c>
      <c r="AA360" s="69" t="e" cm="1">
        <f t="array" ref="AA360">_xlfn.XLOOKUP(Table1[[#This Row],[5 cm2 cell test code]:[5 cm2 cell test code]],[1]!Table1[[Test code]:[Test code]],[1]!Table1[E @ 100 mA/cm2 DIW/V],"",0)</f>
        <v>#REF!</v>
      </c>
      <c r="AB360" s="69" t="e" cm="1">
        <f t="array" ref="AB360">_xlfn.XLOOKUP(Table1[[#This Row],[5 cm2 cell test code]:[5 cm2 cell test code]],[1]!Table1[[Test code]:[Test code]],[1]!Table1[E @ 100 mA/cm2 10 mM KOH/V],"",0)</f>
        <v>#REF!</v>
      </c>
      <c r="AC360" s="69" t="e" cm="1">
        <f t="array" ref="AC360">_xlfn.XLOOKUP(Table1[[#This Row],[5 cm2 cell test code]:[5 cm2 cell test code]],[1]!Table1[[Test code]:[Test code]],[1]!Table1[Anode ICR/mOhm],"",0)</f>
        <v>#REF!</v>
      </c>
      <c r="AD360" s="69" t="e" cm="1">
        <f t="array" ref="AD360">_xlfn.XLOOKUP(Table1[[#This Row],[5 cm2 cell test code]:[5 cm2 cell test code]],[1]!Table1[[Test code]:[Test code]],[1]!Table1[HFR DIW/ mOhm cm2],"",0)</f>
        <v>#REF!</v>
      </c>
      <c r="AE360" s="69" t="e" cm="1">
        <f t="array" ref="AE360">_xlfn.XLOOKUP(Table1[[#This Row],[5 cm2 cell test code]:[5 cm2 cell test code]],[1]!Table1[[Test code]:[Test code]],[1]!Table1[HFR 10 mM KOH/ mOhm cm2],"",0)</f>
        <v>#REF!</v>
      </c>
      <c r="AF360" s="69" t="e" cm="1">
        <f t="array" ref="AF360">_xlfn.XLOOKUP(Table1[[#This Row],[5 cm2 cell test code]:[5 cm2 cell test code]],[1]!Table1[[Test code]:[Test code]],[1]!Table1[Ionic resistance DIW/Ohm cm2],"",0)</f>
        <v>#REF!</v>
      </c>
      <c r="AG360" s="69" t="e" cm="1">
        <f t="array" ref="AG360">_xlfn.XLOOKUP(Table1[[#This Row],[5 cm2 cell test code]:[5 cm2 cell test code]],[1]!Table1[[Test code]:[Test code]],[1]!Table1[Q_int_frac DIW],"",0)</f>
        <v>#REF!</v>
      </c>
      <c r="AH360" s="69" t="e" cm="1">
        <f t="array" ref="AH360">_xlfn.XLOOKUP(Table1[[#This Row],[5 cm2 cell test code]:[5 cm2 cell test code]],[1]!Table1[[Test code]:[Test code]],[1]!Table1[Ionic resistance 10 mM KOH/Ohm cm2],"",0)</f>
        <v>#REF!</v>
      </c>
      <c r="AI360" s="69" t="e" cm="1">
        <f t="array" ref="AI360">_xlfn.XLOOKUP(Table1[[#This Row],[5 cm2 cell test code]:[5 cm2 cell test code]],[1]!Table1[[Test code]:[Test code]],[1]!Table1[Q_int_frac DIW 10 mM KOH],"",0)</f>
        <v>#REF!</v>
      </c>
      <c r="AJ360" s="69" t="e" cm="1">
        <f t="array" ref="AJ360">_xlfn.XLOOKUP(Table1[[#This Row],[5 cm2 cell test code]:[5 cm2 cell test code]],[1]!Table1[[Test code]:[Test code]],[1]!Table1[DIW conductivity (µS/cm)],"",0)</f>
        <v>#REF!</v>
      </c>
      <c r="AQ360" s="4" t="str">
        <v>VSG02A-23306E1.01-35</v>
      </c>
    </row>
    <row r="361" spans="1:43">
      <c r="A361" s="81"/>
      <c r="B361" s="11" t="s">
        <v>710</v>
      </c>
      <c r="C361" s="4" t="s">
        <v>711</v>
      </c>
      <c r="I361" s="11" t="s">
        <v>114</v>
      </c>
      <c r="J361" s="11" t="s">
        <v>402</v>
      </c>
      <c r="K361" s="43" t="s">
        <v>59</v>
      </c>
      <c r="M361" s="13">
        <f>(21.97-21.87)*1000/(15.1*15.8)</f>
        <v>0.41914661748678794</v>
      </c>
      <c r="N361" s="13">
        <v>2.2864102564102589</v>
      </c>
      <c r="O361" s="11" t="s">
        <v>712</v>
      </c>
      <c r="P361" s="28">
        <v>1.1259999999999999</v>
      </c>
      <c r="Q361" s="135">
        <v>3.5930242289882931E-2</v>
      </c>
      <c r="U361" s="101"/>
      <c r="V361" s="101"/>
      <c r="W361" s="69" t="e" cm="1">
        <f t="array" ref="W361">_xlfn.XLOOKUP(Table1[[#This Row],[5 cm2 cell test code]:[5 cm2 cell test code]],[1]!Table1[[Test code]:[Test code]],[1]!Table1[i @ 1.8 V DIW (A/cm2)],"",0)</f>
        <v>#REF!</v>
      </c>
      <c r="X361" s="69" t="e" cm="1">
        <f t="array" ref="X361">_xlfn.XLOOKUP(Table1[[#This Row],[5 cm2 cell test code]:[5 cm2 cell test code]],[1]!Table1[[Test code]:[Test code]],[1]!Table1[i @ 1.8 V 10 mM KOH (A/cm2)],"",0)</f>
        <v>#REF!</v>
      </c>
      <c r="Y361" s="69" t="e" cm="1">
        <f t="array" ref="Y361">_xlfn.XLOOKUP(Table1[[#This Row],[5 cm2 cell test code]:[5 cm2 cell test code]],[1]!Table1[[Test code]:[Test code]],[1]!Table1[3-E ƞ at 20mAcm-2 (mV)],"",0)</f>
        <v>#REF!</v>
      </c>
      <c r="Z361" s="69" t="e" cm="1">
        <f t="array" ref="Z361">_xlfn.XLOOKUP(Table1[[#This Row],[5 cm2 cell test code]:[5 cm2 cell test code]],[1]!Table1[[Test code]:[Test code]],[1]!Table1[3-E Tafel slope (mV/dec)],"",0)</f>
        <v>#REF!</v>
      </c>
      <c r="AA361" s="69" t="e" cm="1">
        <f t="array" ref="AA361">_xlfn.XLOOKUP(Table1[[#This Row],[5 cm2 cell test code]:[5 cm2 cell test code]],[1]!Table1[[Test code]:[Test code]],[1]!Table1[E @ 100 mA/cm2 DIW/V],"",0)</f>
        <v>#REF!</v>
      </c>
      <c r="AB361" s="69" t="e" cm="1">
        <f t="array" ref="AB361">_xlfn.XLOOKUP(Table1[[#This Row],[5 cm2 cell test code]:[5 cm2 cell test code]],[1]!Table1[[Test code]:[Test code]],[1]!Table1[E @ 100 mA/cm2 10 mM KOH/V],"",0)</f>
        <v>#REF!</v>
      </c>
      <c r="AC361" s="69" t="e" cm="1">
        <f t="array" ref="AC361">_xlfn.XLOOKUP(Table1[[#This Row],[5 cm2 cell test code]:[5 cm2 cell test code]],[1]!Table1[[Test code]:[Test code]],[1]!Table1[Anode ICR/mOhm],"",0)</f>
        <v>#REF!</v>
      </c>
      <c r="AD361" s="69" t="e" cm="1">
        <f t="array" ref="AD361">_xlfn.XLOOKUP(Table1[[#This Row],[5 cm2 cell test code]:[5 cm2 cell test code]],[1]!Table1[[Test code]:[Test code]],[1]!Table1[HFR DIW/ mOhm cm2],"",0)</f>
        <v>#REF!</v>
      </c>
      <c r="AE361" s="69" t="e" cm="1">
        <f t="array" ref="AE361">_xlfn.XLOOKUP(Table1[[#This Row],[5 cm2 cell test code]:[5 cm2 cell test code]],[1]!Table1[[Test code]:[Test code]],[1]!Table1[HFR 10 mM KOH/ mOhm cm2],"",0)</f>
        <v>#REF!</v>
      </c>
      <c r="AF361" s="69" t="e" cm="1">
        <f t="array" ref="AF361">_xlfn.XLOOKUP(Table1[[#This Row],[5 cm2 cell test code]:[5 cm2 cell test code]],[1]!Table1[[Test code]:[Test code]],[1]!Table1[Ionic resistance DIW/Ohm cm2],"",0)</f>
        <v>#REF!</v>
      </c>
      <c r="AG361" s="69" t="e" cm="1">
        <f t="array" ref="AG361">_xlfn.XLOOKUP(Table1[[#This Row],[5 cm2 cell test code]:[5 cm2 cell test code]],[1]!Table1[[Test code]:[Test code]],[1]!Table1[Q_int_frac DIW],"",0)</f>
        <v>#REF!</v>
      </c>
      <c r="AH361" s="69" t="e" cm="1">
        <f t="array" ref="AH361">_xlfn.XLOOKUP(Table1[[#This Row],[5 cm2 cell test code]:[5 cm2 cell test code]],[1]!Table1[[Test code]:[Test code]],[1]!Table1[Ionic resistance 10 mM KOH/Ohm cm2],"",0)</f>
        <v>#REF!</v>
      </c>
      <c r="AI361" s="69" t="e" cm="1">
        <f t="array" ref="AI361">_xlfn.XLOOKUP(Table1[[#This Row],[5 cm2 cell test code]:[5 cm2 cell test code]],[1]!Table1[[Test code]:[Test code]],[1]!Table1[Q_int_frac DIW 10 mM KOH],"",0)</f>
        <v>#REF!</v>
      </c>
      <c r="AJ361" s="69" t="e" cm="1">
        <f t="array" ref="AJ361">_xlfn.XLOOKUP(Table1[[#This Row],[5 cm2 cell test code]:[5 cm2 cell test code]],[1]!Table1[[Test code]:[Test code]],[1]!Table1[DIW conductivity (µS/cm)],"",0)</f>
        <v>#REF!</v>
      </c>
      <c r="AQ361" s="4" t="str">
        <v>VSG02A-23306E1.01-36</v>
      </c>
    </row>
    <row r="362" spans="1:43">
      <c r="A362" s="81"/>
      <c r="U362" s="101"/>
      <c r="V362" s="101"/>
      <c r="W362" s="69" t="e" cm="1">
        <f t="array" ref="W362">_xlfn.XLOOKUP(Table1[[#This Row],[5 cm2 cell test code]:[5 cm2 cell test code]],[1]!Table1[[Test code]:[Test code]],[1]!Table1[i @ 1.8 V DIW (A/cm2)],"",0)</f>
        <v>#REF!</v>
      </c>
      <c r="X362" s="69" t="e" cm="1">
        <f t="array" ref="X362">_xlfn.XLOOKUP(Table1[[#This Row],[5 cm2 cell test code]:[5 cm2 cell test code]],[1]!Table1[[Test code]:[Test code]],[1]!Table1[i @ 1.8 V 10 mM KOH (A/cm2)],"",0)</f>
        <v>#REF!</v>
      </c>
      <c r="Y362" s="69" t="e" cm="1">
        <f t="array" ref="Y362">_xlfn.XLOOKUP(Table1[[#This Row],[5 cm2 cell test code]:[5 cm2 cell test code]],[1]!Table1[[Test code]:[Test code]],[1]!Table1[3-E ƞ at 20mAcm-2 (mV)],"",0)</f>
        <v>#REF!</v>
      </c>
      <c r="Z362" s="69" t="e" cm="1">
        <f t="array" ref="Z362">_xlfn.XLOOKUP(Table1[[#This Row],[5 cm2 cell test code]:[5 cm2 cell test code]],[1]!Table1[[Test code]:[Test code]],[1]!Table1[3-E Tafel slope (mV/dec)],"",0)</f>
        <v>#REF!</v>
      </c>
      <c r="AA362" s="69" t="e" cm="1">
        <f t="array" ref="AA362">_xlfn.XLOOKUP(Table1[[#This Row],[5 cm2 cell test code]:[5 cm2 cell test code]],[1]!Table1[[Test code]:[Test code]],[1]!Table1[E @ 100 mA/cm2 DIW/V],"",0)</f>
        <v>#REF!</v>
      </c>
      <c r="AB362" s="69" t="e" cm="1">
        <f t="array" ref="AB362">_xlfn.XLOOKUP(Table1[[#This Row],[5 cm2 cell test code]:[5 cm2 cell test code]],[1]!Table1[[Test code]:[Test code]],[1]!Table1[E @ 100 mA/cm2 10 mM KOH/V],"",0)</f>
        <v>#REF!</v>
      </c>
      <c r="AC362" s="69" t="e" cm="1">
        <f t="array" ref="AC362">_xlfn.XLOOKUP(Table1[[#This Row],[5 cm2 cell test code]:[5 cm2 cell test code]],[1]!Table1[[Test code]:[Test code]],[1]!Table1[Anode ICR/mOhm],"",0)</f>
        <v>#REF!</v>
      </c>
      <c r="AD362" s="69" t="e" cm="1">
        <f t="array" ref="AD362">_xlfn.XLOOKUP(Table1[[#This Row],[5 cm2 cell test code]:[5 cm2 cell test code]],[1]!Table1[[Test code]:[Test code]],[1]!Table1[HFR DIW/ mOhm cm2],"",0)</f>
        <v>#REF!</v>
      </c>
      <c r="AE362" s="69" t="e" cm="1">
        <f t="array" ref="AE362">_xlfn.XLOOKUP(Table1[[#This Row],[5 cm2 cell test code]:[5 cm2 cell test code]],[1]!Table1[[Test code]:[Test code]],[1]!Table1[HFR 10 mM KOH/ mOhm cm2],"",0)</f>
        <v>#REF!</v>
      </c>
      <c r="AF362" s="69" t="e" cm="1">
        <f t="array" ref="AF362">_xlfn.XLOOKUP(Table1[[#This Row],[5 cm2 cell test code]:[5 cm2 cell test code]],[1]!Table1[[Test code]:[Test code]],[1]!Table1[Ionic resistance DIW/Ohm cm2],"",0)</f>
        <v>#REF!</v>
      </c>
      <c r="AG362" s="69" t="e" cm="1">
        <f t="array" ref="AG362">_xlfn.XLOOKUP(Table1[[#This Row],[5 cm2 cell test code]:[5 cm2 cell test code]],[1]!Table1[[Test code]:[Test code]],[1]!Table1[Q_int_frac DIW],"",0)</f>
        <v>#REF!</v>
      </c>
      <c r="AH362" s="69" t="e" cm="1">
        <f t="array" ref="AH362">_xlfn.XLOOKUP(Table1[[#This Row],[5 cm2 cell test code]:[5 cm2 cell test code]],[1]!Table1[[Test code]:[Test code]],[1]!Table1[Ionic resistance 10 mM KOH/Ohm cm2],"",0)</f>
        <v>#REF!</v>
      </c>
      <c r="AI362" s="69" t="e" cm="1">
        <f t="array" ref="AI362">_xlfn.XLOOKUP(Table1[[#This Row],[5 cm2 cell test code]:[5 cm2 cell test code]],[1]!Table1[[Test code]:[Test code]],[1]!Table1[Q_int_frac DIW 10 mM KOH],"",0)</f>
        <v>#REF!</v>
      </c>
      <c r="AJ362" s="69" t="e" cm="1">
        <f t="array" ref="AJ362">_xlfn.XLOOKUP(Table1[[#This Row],[5 cm2 cell test code]:[5 cm2 cell test code]],[1]!Table1[[Test code]:[Test code]],[1]!Table1[DIW conductivity (µS/cm)],"",0)</f>
        <v>#REF!</v>
      </c>
      <c r="AQ362" s="4" t="str">
        <v>VSG02A-23306E1.01-37</v>
      </c>
    </row>
    <row r="363" spans="1:43">
      <c r="A363" s="81"/>
      <c r="B363" s="11" t="s">
        <v>713</v>
      </c>
      <c r="C363" s="4" t="s">
        <v>714</v>
      </c>
      <c r="I363" s="11" t="s">
        <v>114</v>
      </c>
      <c r="J363" s="11" t="s">
        <v>402</v>
      </c>
      <c r="K363" s="43" t="s">
        <v>59</v>
      </c>
      <c r="M363" s="13">
        <f>(35.26-35.12)*1000/(14.2*27.1)</f>
        <v>0.36380645496595959</v>
      </c>
      <c r="N363" s="13">
        <v>2.7333333333333378</v>
      </c>
      <c r="O363" s="11" t="s">
        <v>715</v>
      </c>
      <c r="P363" s="28">
        <v>1.0649999999999999</v>
      </c>
      <c r="Q363" s="135">
        <v>4.1905212392119008E-2</v>
      </c>
      <c r="U363" s="101"/>
      <c r="V363" s="101"/>
      <c r="W363" s="69" t="e" cm="1">
        <f t="array" ref="W363">_xlfn.XLOOKUP(Table1[[#This Row],[5 cm2 cell test code]:[5 cm2 cell test code]],[1]!Table1[[Test code]:[Test code]],[1]!Table1[i @ 1.8 V DIW (A/cm2)],"",0)</f>
        <v>#REF!</v>
      </c>
      <c r="X363" s="69" t="e" cm="1">
        <f t="array" ref="X363">_xlfn.XLOOKUP(Table1[[#This Row],[5 cm2 cell test code]:[5 cm2 cell test code]],[1]!Table1[[Test code]:[Test code]],[1]!Table1[i @ 1.8 V 10 mM KOH (A/cm2)],"",0)</f>
        <v>#REF!</v>
      </c>
      <c r="Y363" s="69" t="e" cm="1">
        <f t="array" ref="Y363">_xlfn.XLOOKUP(Table1[[#This Row],[5 cm2 cell test code]:[5 cm2 cell test code]],[1]!Table1[[Test code]:[Test code]],[1]!Table1[3-E ƞ at 20mAcm-2 (mV)],"",0)</f>
        <v>#REF!</v>
      </c>
      <c r="Z363" s="69" t="e" cm="1">
        <f t="array" ref="Z363">_xlfn.XLOOKUP(Table1[[#This Row],[5 cm2 cell test code]:[5 cm2 cell test code]],[1]!Table1[[Test code]:[Test code]],[1]!Table1[3-E Tafel slope (mV/dec)],"",0)</f>
        <v>#REF!</v>
      </c>
      <c r="AA363" s="69" t="e" cm="1">
        <f t="array" ref="AA363">_xlfn.XLOOKUP(Table1[[#This Row],[5 cm2 cell test code]:[5 cm2 cell test code]],[1]!Table1[[Test code]:[Test code]],[1]!Table1[E @ 100 mA/cm2 DIW/V],"",0)</f>
        <v>#REF!</v>
      </c>
      <c r="AB363" s="69" t="e" cm="1">
        <f t="array" ref="AB363">_xlfn.XLOOKUP(Table1[[#This Row],[5 cm2 cell test code]:[5 cm2 cell test code]],[1]!Table1[[Test code]:[Test code]],[1]!Table1[E @ 100 mA/cm2 10 mM KOH/V],"",0)</f>
        <v>#REF!</v>
      </c>
      <c r="AC363" s="69" t="e" cm="1">
        <f t="array" ref="AC363">_xlfn.XLOOKUP(Table1[[#This Row],[5 cm2 cell test code]:[5 cm2 cell test code]],[1]!Table1[[Test code]:[Test code]],[1]!Table1[Anode ICR/mOhm],"",0)</f>
        <v>#REF!</v>
      </c>
      <c r="AD363" s="69" t="e" cm="1">
        <f t="array" ref="AD363">_xlfn.XLOOKUP(Table1[[#This Row],[5 cm2 cell test code]:[5 cm2 cell test code]],[1]!Table1[[Test code]:[Test code]],[1]!Table1[HFR DIW/ mOhm cm2],"",0)</f>
        <v>#REF!</v>
      </c>
      <c r="AE363" s="69" t="e" cm="1">
        <f t="array" ref="AE363">_xlfn.XLOOKUP(Table1[[#This Row],[5 cm2 cell test code]:[5 cm2 cell test code]],[1]!Table1[[Test code]:[Test code]],[1]!Table1[HFR 10 mM KOH/ mOhm cm2],"",0)</f>
        <v>#REF!</v>
      </c>
      <c r="AF363" s="69" t="e" cm="1">
        <f t="array" ref="AF363">_xlfn.XLOOKUP(Table1[[#This Row],[5 cm2 cell test code]:[5 cm2 cell test code]],[1]!Table1[[Test code]:[Test code]],[1]!Table1[Ionic resistance DIW/Ohm cm2],"",0)</f>
        <v>#REF!</v>
      </c>
      <c r="AG363" s="69" t="e" cm="1">
        <f t="array" ref="AG363">_xlfn.XLOOKUP(Table1[[#This Row],[5 cm2 cell test code]:[5 cm2 cell test code]],[1]!Table1[[Test code]:[Test code]],[1]!Table1[Q_int_frac DIW],"",0)</f>
        <v>#REF!</v>
      </c>
      <c r="AH363" s="69" t="e" cm="1">
        <f t="array" ref="AH363">_xlfn.XLOOKUP(Table1[[#This Row],[5 cm2 cell test code]:[5 cm2 cell test code]],[1]!Table1[[Test code]:[Test code]],[1]!Table1[Ionic resistance 10 mM KOH/Ohm cm2],"",0)</f>
        <v>#REF!</v>
      </c>
      <c r="AI363" s="69" t="e" cm="1">
        <f t="array" ref="AI363">_xlfn.XLOOKUP(Table1[[#This Row],[5 cm2 cell test code]:[5 cm2 cell test code]],[1]!Table1[[Test code]:[Test code]],[1]!Table1[Q_int_frac DIW 10 mM KOH],"",0)</f>
        <v>#REF!</v>
      </c>
      <c r="AJ363" s="69" t="e" cm="1">
        <f t="array" ref="AJ363">_xlfn.XLOOKUP(Table1[[#This Row],[5 cm2 cell test code]:[5 cm2 cell test code]],[1]!Table1[[Test code]:[Test code]],[1]!Table1[DIW conductivity (µS/cm)],"",0)</f>
        <v>#REF!</v>
      </c>
      <c r="AQ363" s="4" t="str">
        <v>VSG02A-23306E1.01-38</v>
      </c>
    </row>
    <row r="364" spans="1:43">
      <c r="A364" s="81"/>
      <c r="B364" s="11" t="s">
        <v>713</v>
      </c>
      <c r="I364" s="11" t="s">
        <v>114</v>
      </c>
      <c r="J364" s="11" t="s">
        <v>402</v>
      </c>
      <c r="K364" s="43" t="s">
        <v>59</v>
      </c>
      <c r="M364" s="13">
        <f>(35.01-34.9)*1000/(14.1*27.1)</f>
        <v>0.28787521917772219</v>
      </c>
      <c r="N364" s="13">
        <v>3.7869463869463864</v>
      </c>
      <c r="O364" s="11" t="s">
        <v>716</v>
      </c>
      <c r="P364" s="28">
        <v>1.2430000000000001</v>
      </c>
      <c r="Q364" s="135">
        <v>4.7431369120475603E-2</v>
      </c>
      <c r="U364" s="101"/>
      <c r="V364" s="101"/>
      <c r="W364" s="69" t="e" cm="1">
        <f t="array" ref="W364">_xlfn.XLOOKUP(Table1[[#This Row],[5 cm2 cell test code]:[5 cm2 cell test code]],[1]!Table1[[Test code]:[Test code]],[1]!Table1[i @ 1.8 V DIW (A/cm2)],"",0)</f>
        <v>#REF!</v>
      </c>
      <c r="X364" s="69" t="e" cm="1">
        <f t="array" ref="X364">_xlfn.XLOOKUP(Table1[[#This Row],[5 cm2 cell test code]:[5 cm2 cell test code]],[1]!Table1[[Test code]:[Test code]],[1]!Table1[i @ 1.8 V 10 mM KOH (A/cm2)],"",0)</f>
        <v>#REF!</v>
      </c>
      <c r="Y364" s="69" t="e" cm="1">
        <f t="array" ref="Y364">_xlfn.XLOOKUP(Table1[[#This Row],[5 cm2 cell test code]:[5 cm2 cell test code]],[1]!Table1[[Test code]:[Test code]],[1]!Table1[3-E ƞ at 20mAcm-2 (mV)],"",0)</f>
        <v>#REF!</v>
      </c>
      <c r="Z364" s="69" t="e" cm="1">
        <f t="array" ref="Z364">_xlfn.XLOOKUP(Table1[[#This Row],[5 cm2 cell test code]:[5 cm2 cell test code]],[1]!Table1[[Test code]:[Test code]],[1]!Table1[3-E Tafel slope (mV/dec)],"",0)</f>
        <v>#REF!</v>
      </c>
      <c r="AA364" s="69" t="e" cm="1">
        <f t="array" ref="AA364">_xlfn.XLOOKUP(Table1[[#This Row],[5 cm2 cell test code]:[5 cm2 cell test code]],[1]!Table1[[Test code]:[Test code]],[1]!Table1[E @ 100 mA/cm2 DIW/V],"",0)</f>
        <v>#REF!</v>
      </c>
      <c r="AB364" s="69" t="e" cm="1">
        <f t="array" ref="AB364">_xlfn.XLOOKUP(Table1[[#This Row],[5 cm2 cell test code]:[5 cm2 cell test code]],[1]!Table1[[Test code]:[Test code]],[1]!Table1[E @ 100 mA/cm2 10 mM KOH/V],"",0)</f>
        <v>#REF!</v>
      </c>
      <c r="AC364" s="69" t="e" cm="1">
        <f t="array" ref="AC364">_xlfn.XLOOKUP(Table1[[#This Row],[5 cm2 cell test code]:[5 cm2 cell test code]],[1]!Table1[[Test code]:[Test code]],[1]!Table1[Anode ICR/mOhm],"",0)</f>
        <v>#REF!</v>
      </c>
      <c r="AD364" s="69" t="e" cm="1">
        <f t="array" ref="AD364">_xlfn.XLOOKUP(Table1[[#This Row],[5 cm2 cell test code]:[5 cm2 cell test code]],[1]!Table1[[Test code]:[Test code]],[1]!Table1[HFR DIW/ mOhm cm2],"",0)</f>
        <v>#REF!</v>
      </c>
      <c r="AE364" s="69" t="e" cm="1">
        <f t="array" ref="AE364">_xlfn.XLOOKUP(Table1[[#This Row],[5 cm2 cell test code]:[5 cm2 cell test code]],[1]!Table1[[Test code]:[Test code]],[1]!Table1[HFR 10 mM KOH/ mOhm cm2],"",0)</f>
        <v>#REF!</v>
      </c>
      <c r="AF364" s="69" t="e" cm="1">
        <f t="array" ref="AF364">_xlfn.XLOOKUP(Table1[[#This Row],[5 cm2 cell test code]:[5 cm2 cell test code]],[1]!Table1[[Test code]:[Test code]],[1]!Table1[Ionic resistance DIW/Ohm cm2],"",0)</f>
        <v>#REF!</v>
      </c>
      <c r="AG364" s="69" t="e" cm="1">
        <f t="array" ref="AG364">_xlfn.XLOOKUP(Table1[[#This Row],[5 cm2 cell test code]:[5 cm2 cell test code]],[1]!Table1[[Test code]:[Test code]],[1]!Table1[Q_int_frac DIW],"",0)</f>
        <v>#REF!</v>
      </c>
      <c r="AH364" s="69" t="e" cm="1">
        <f t="array" ref="AH364">_xlfn.XLOOKUP(Table1[[#This Row],[5 cm2 cell test code]:[5 cm2 cell test code]],[1]!Table1[[Test code]:[Test code]],[1]!Table1[Ionic resistance 10 mM KOH/Ohm cm2],"",0)</f>
        <v>#REF!</v>
      </c>
      <c r="AI364" s="69" t="e" cm="1">
        <f t="array" ref="AI364">_xlfn.XLOOKUP(Table1[[#This Row],[5 cm2 cell test code]:[5 cm2 cell test code]],[1]!Table1[[Test code]:[Test code]],[1]!Table1[Q_int_frac DIW 10 mM KOH],"",0)</f>
        <v>#REF!</v>
      </c>
      <c r="AJ364" s="69" t="e" cm="1">
        <f t="array" ref="AJ364">_xlfn.XLOOKUP(Table1[[#This Row],[5 cm2 cell test code]:[5 cm2 cell test code]],[1]!Table1[[Test code]:[Test code]],[1]!Table1[DIW conductivity (µS/cm)],"",0)</f>
        <v>#REF!</v>
      </c>
      <c r="AQ364" s="4" t="str">
        <v>VSG02A-23306E1.01-39</v>
      </c>
    </row>
    <row r="365" spans="1:43">
      <c r="A365" s="81"/>
      <c r="U365" s="101"/>
      <c r="V365" s="101"/>
      <c r="W365" s="69" t="e" cm="1">
        <f t="array" ref="W365">_xlfn.XLOOKUP(Table1[[#This Row],[5 cm2 cell test code]:[5 cm2 cell test code]],[1]!Table1[[Test code]:[Test code]],[1]!Table1[i @ 1.8 V DIW (A/cm2)],"",0)</f>
        <v>#REF!</v>
      </c>
      <c r="X365" s="69" t="e" cm="1">
        <f t="array" ref="X365">_xlfn.XLOOKUP(Table1[[#This Row],[5 cm2 cell test code]:[5 cm2 cell test code]],[1]!Table1[[Test code]:[Test code]],[1]!Table1[i @ 1.8 V 10 mM KOH (A/cm2)],"",0)</f>
        <v>#REF!</v>
      </c>
      <c r="Y365" s="69" t="e" cm="1">
        <f t="array" ref="Y365">_xlfn.XLOOKUP(Table1[[#This Row],[5 cm2 cell test code]:[5 cm2 cell test code]],[1]!Table1[[Test code]:[Test code]],[1]!Table1[3-E ƞ at 20mAcm-2 (mV)],"",0)</f>
        <v>#REF!</v>
      </c>
      <c r="Z365" s="69" t="e" cm="1">
        <f t="array" ref="Z365">_xlfn.XLOOKUP(Table1[[#This Row],[5 cm2 cell test code]:[5 cm2 cell test code]],[1]!Table1[[Test code]:[Test code]],[1]!Table1[3-E Tafel slope (mV/dec)],"",0)</f>
        <v>#REF!</v>
      </c>
      <c r="AA365" s="69" t="e" cm="1">
        <f t="array" ref="AA365">_xlfn.XLOOKUP(Table1[[#This Row],[5 cm2 cell test code]:[5 cm2 cell test code]],[1]!Table1[[Test code]:[Test code]],[1]!Table1[E @ 100 mA/cm2 DIW/V],"",0)</f>
        <v>#REF!</v>
      </c>
      <c r="AB365" s="69" t="e" cm="1">
        <f t="array" ref="AB365">_xlfn.XLOOKUP(Table1[[#This Row],[5 cm2 cell test code]:[5 cm2 cell test code]],[1]!Table1[[Test code]:[Test code]],[1]!Table1[E @ 100 mA/cm2 10 mM KOH/V],"",0)</f>
        <v>#REF!</v>
      </c>
      <c r="AC365" s="69" t="e" cm="1">
        <f t="array" ref="AC365">_xlfn.XLOOKUP(Table1[[#This Row],[5 cm2 cell test code]:[5 cm2 cell test code]],[1]!Table1[[Test code]:[Test code]],[1]!Table1[Anode ICR/mOhm],"",0)</f>
        <v>#REF!</v>
      </c>
      <c r="AD365" s="69" t="e" cm="1">
        <f t="array" ref="AD365">_xlfn.XLOOKUP(Table1[[#This Row],[5 cm2 cell test code]:[5 cm2 cell test code]],[1]!Table1[[Test code]:[Test code]],[1]!Table1[HFR DIW/ mOhm cm2],"",0)</f>
        <v>#REF!</v>
      </c>
      <c r="AE365" s="69" t="e" cm="1">
        <f t="array" ref="AE365">_xlfn.XLOOKUP(Table1[[#This Row],[5 cm2 cell test code]:[5 cm2 cell test code]],[1]!Table1[[Test code]:[Test code]],[1]!Table1[HFR 10 mM KOH/ mOhm cm2],"",0)</f>
        <v>#REF!</v>
      </c>
      <c r="AF365" s="69" t="e" cm="1">
        <f t="array" ref="AF365">_xlfn.XLOOKUP(Table1[[#This Row],[5 cm2 cell test code]:[5 cm2 cell test code]],[1]!Table1[[Test code]:[Test code]],[1]!Table1[Ionic resistance DIW/Ohm cm2],"",0)</f>
        <v>#REF!</v>
      </c>
      <c r="AG365" s="69" t="e" cm="1">
        <f t="array" ref="AG365">_xlfn.XLOOKUP(Table1[[#This Row],[5 cm2 cell test code]:[5 cm2 cell test code]],[1]!Table1[[Test code]:[Test code]],[1]!Table1[Q_int_frac DIW],"",0)</f>
        <v>#REF!</v>
      </c>
      <c r="AH365" s="69" t="e" cm="1">
        <f t="array" ref="AH365">_xlfn.XLOOKUP(Table1[[#This Row],[5 cm2 cell test code]:[5 cm2 cell test code]],[1]!Table1[[Test code]:[Test code]],[1]!Table1[Ionic resistance 10 mM KOH/Ohm cm2],"",0)</f>
        <v>#REF!</v>
      </c>
      <c r="AI365" s="69" t="e" cm="1">
        <f t="array" ref="AI365">_xlfn.XLOOKUP(Table1[[#This Row],[5 cm2 cell test code]:[5 cm2 cell test code]],[1]!Table1[[Test code]:[Test code]],[1]!Table1[Q_int_frac DIW 10 mM KOH],"",0)</f>
        <v>#REF!</v>
      </c>
      <c r="AJ365" s="69" t="e" cm="1">
        <f t="array" ref="AJ365">_xlfn.XLOOKUP(Table1[[#This Row],[5 cm2 cell test code]:[5 cm2 cell test code]],[1]!Table1[[Test code]:[Test code]],[1]!Table1[DIW conductivity (µS/cm)],"",0)</f>
        <v>#REF!</v>
      </c>
      <c r="AQ365" s="4" t="str">
        <v>VSG02A-23306E1.01-40</v>
      </c>
    </row>
    <row r="366" spans="1:43">
      <c r="A366" s="81"/>
      <c r="B366" s="11" t="s">
        <v>717</v>
      </c>
      <c r="C366" s="4" t="s">
        <v>718</v>
      </c>
      <c r="I366" s="11" t="s">
        <v>114</v>
      </c>
      <c r="J366" s="11" t="s">
        <v>402</v>
      </c>
      <c r="K366" s="43" t="s">
        <v>59</v>
      </c>
      <c r="L366" s="149">
        <v>45183</v>
      </c>
      <c r="M366" s="13">
        <f>(33.42-33.53)*1000/(26.7*14)</f>
        <v>-0.29427501337613543</v>
      </c>
      <c r="Q366" s="135">
        <v>4.251767434232695E-2</v>
      </c>
      <c r="U366" s="101"/>
      <c r="V366" s="101"/>
      <c r="W366" s="69" t="e" cm="1">
        <f t="array" ref="W366">_xlfn.XLOOKUP(Table1[[#This Row],[5 cm2 cell test code]:[5 cm2 cell test code]],[1]!Table1[[Test code]:[Test code]],[1]!Table1[i @ 1.8 V DIW (A/cm2)],"",0)</f>
        <v>#REF!</v>
      </c>
      <c r="X366" s="69" t="e" cm="1">
        <f t="array" ref="X366">_xlfn.XLOOKUP(Table1[[#This Row],[5 cm2 cell test code]:[5 cm2 cell test code]],[1]!Table1[[Test code]:[Test code]],[1]!Table1[i @ 1.8 V 10 mM KOH (A/cm2)],"",0)</f>
        <v>#REF!</v>
      </c>
      <c r="Y366" s="69" t="e" cm="1">
        <f t="array" ref="Y366">_xlfn.XLOOKUP(Table1[[#This Row],[5 cm2 cell test code]:[5 cm2 cell test code]],[1]!Table1[[Test code]:[Test code]],[1]!Table1[3-E ƞ at 20mAcm-2 (mV)],"",0)</f>
        <v>#REF!</v>
      </c>
      <c r="Z366" s="69" t="e" cm="1">
        <f t="array" ref="Z366">_xlfn.XLOOKUP(Table1[[#This Row],[5 cm2 cell test code]:[5 cm2 cell test code]],[1]!Table1[[Test code]:[Test code]],[1]!Table1[3-E Tafel slope (mV/dec)],"",0)</f>
        <v>#REF!</v>
      </c>
      <c r="AA366" s="69" t="e" cm="1">
        <f t="array" ref="AA366">_xlfn.XLOOKUP(Table1[[#This Row],[5 cm2 cell test code]:[5 cm2 cell test code]],[1]!Table1[[Test code]:[Test code]],[1]!Table1[E @ 100 mA/cm2 DIW/V],"",0)</f>
        <v>#REF!</v>
      </c>
      <c r="AB366" s="69" t="e" cm="1">
        <f t="array" ref="AB366">_xlfn.XLOOKUP(Table1[[#This Row],[5 cm2 cell test code]:[5 cm2 cell test code]],[1]!Table1[[Test code]:[Test code]],[1]!Table1[E @ 100 mA/cm2 10 mM KOH/V],"",0)</f>
        <v>#REF!</v>
      </c>
      <c r="AC366" s="69" t="e" cm="1">
        <f t="array" ref="AC366">_xlfn.XLOOKUP(Table1[[#This Row],[5 cm2 cell test code]:[5 cm2 cell test code]],[1]!Table1[[Test code]:[Test code]],[1]!Table1[Anode ICR/mOhm],"",0)</f>
        <v>#REF!</v>
      </c>
      <c r="AD366" s="69" t="e" cm="1">
        <f t="array" ref="AD366">_xlfn.XLOOKUP(Table1[[#This Row],[5 cm2 cell test code]:[5 cm2 cell test code]],[1]!Table1[[Test code]:[Test code]],[1]!Table1[HFR DIW/ mOhm cm2],"",0)</f>
        <v>#REF!</v>
      </c>
      <c r="AE366" s="69" t="e" cm="1">
        <f t="array" ref="AE366">_xlfn.XLOOKUP(Table1[[#This Row],[5 cm2 cell test code]:[5 cm2 cell test code]],[1]!Table1[[Test code]:[Test code]],[1]!Table1[HFR 10 mM KOH/ mOhm cm2],"",0)</f>
        <v>#REF!</v>
      </c>
      <c r="AF366" s="69" t="e" cm="1">
        <f t="array" ref="AF366">_xlfn.XLOOKUP(Table1[[#This Row],[5 cm2 cell test code]:[5 cm2 cell test code]],[1]!Table1[[Test code]:[Test code]],[1]!Table1[Ionic resistance DIW/Ohm cm2],"",0)</f>
        <v>#REF!</v>
      </c>
      <c r="AG366" s="69" t="e" cm="1">
        <f t="array" ref="AG366">_xlfn.XLOOKUP(Table1[[#This Row],[5 cm2 cell test code]:[5 cm2 cell test code]],[1]!Table1[[Test code]:[Test code]],[1]!Table1[Q_int_frac DIW],"",0)</f>
        <v>#REF!</v>
      </c>
      <c r="AH366" s="69" t="e" cm="1">
        <f t="array" ref="AH366">_xlfn.XLOOKUP(Table1[[#This Row],[5 cm2 cell test code]:[5 cm2 cell test code]],[1]!Table1[[Test code]:[Test code]],[1]!Table1[Ionic resistance 10 mM KOH/Ohm cm2],"",0)</f>
        <v>#REF!</v>
      </c>
      <c r="AI366" s="69" t="e" cm="1">
        <f t="array" ref="AI366">_xlfn.XLOOKUP(Table1[[#This Row],[5 cm2 cell test code]:[5 cm2 cell test code]],[1]!Table1[[Test code]:[Test code]],[1]!Table1[Q_int_frac DIW 10 mM KOH],"",0)</f>
        <v>#REF!</v>
      </c>
      <c r="AJ366" s="69" t="e" cm="1">
        <f t="array" ref="AJ366">_xlfn.XLOOKUP(Table1[[#This Row],[5 cm2 cell test code]:[5 cm2 cell test code]],[1]!Table1[[Test code]:[Test code]],[1]!Table1[DIW conductivity (µS/cm)],"",0)</f>
        <v>#REF!</v>
      </c>
      <c r="AQ366" s="4" t="str">
        <v>VSG02A-23306E1.01-41</v>
      </c>
    </row>
    <row r="367" spans="1:43">
      <c r="A367" s="81"/>
      <c r="B367" s="11" t="s">
        <v>719</v>
      </c>
      <c r="C367" s="4" t="s">
        <v>720</v>
      </c>
      <c r="I367" s="11" t="s">
        <v>114</v>
      </c>
      <c r="J367" s="11" t="s">
        <v>402</v>
      </c>
      <c r="K367" s="43" t="s">
        <v>59</v>
      </c>
      <c r="L367" s="149">
        <v>45183</v>
      </c>
      <c r="M367" s="13">
        <f>(24.54-24.52)*1000/(17.4*15.2)</f>
        <v>7.5620084694493259E-2</v>
      </c>
      <c r="Q367" s="135">
        <v>5.0458627130877065E-2</v>
      </c>
      <c r="U367" s="101"/>
      <c r="V367" s="101"/>
      <c r="W367" s="69" t="e" cm="1">
        <f t="array" ref="W367">_xlfn.XLOOKUP(Table1[[#This Row],[5 cm2 cell test code]:[5 cm2 cell test code]],[1]!Table1[[Test code]:[Test code]],[1]!Table1[i @ 1.8 V DIW (A/cm2)],"",0)</f>
        <v>#REF!</v>
      </c>
      <c r="X367" s="69" t="e" cm="1">
        <f t="array" ref="X367">_xlfn.XLOOKUP(Table1[[#This Row],[5 cm2 cell test code]:[5 cm2 cell test code]],[1]!Table1[[Test code]:[Test code]],[1]!Table1[i @ 1.8 V 10 mM KOH (A/cm2)],"",0)</f>
        <v>#REF!</v>
      </c>
      <c r="Y367" s="69" t="e" cm="1">
        <f t="array" ref="Y367">_xlfn.XLOOKUP(Table1[[#This Row],[5 cm2 cell test code]:[5 cm2 cell test code]],[1]!Table1[[Test code]:[Test code]],[1]!Table1[3-E ƞ at 20mAcm-2 (mV)],"",0)</f>
        <v>#REF!</v>
      </c>
      <c r="Z367" s="69" t="e" cm="1">
        <f t="array" ref="Z367">_xlfn.XLOOKUP(Table1[[#This Row],[5 cm2 cell test code]:[5 cm2 cell test code]],[1]!Table1[[Test code]:[Test code]],[1]!Table1[3-E Tafel slope (mV/dec)],"",0)</f>
        <v>#REF!</v>
      </c>
      <c r="AA367" s="69" t="e" cm="1">
        <f t="array" ref="AA367">_xlfn.XLOOKUP(Table1[[#This Row],[5 cm2 cell test code]:[5 cm2 cell test code]],[1]!Table1[[Test code]:[Test code]],[1]!Table1[E @ 100 mA/cm2 DIW/V],"",0)</f>
        <v>#REF!</v>
      </c>
      <c r="AB367" s="69" t="e" cm="1">
        <f t="array" ref="AB367">_xlfn.XLOOKUP(Table1[[#This Row],[5 cm2 cell test code]:[5 cm2 cell test code]],[1]!Table1[[Test code]:[Test code]],[1]!Table1[E @ 100 mA/cm2 10 mM KOH/V],"",0)</f>
        <v>#REF!</v>
      </c>
      <c r="AC367" s="69" t="e" cm="1">
        <f t="array" ref="AC367">_xlfn.XLOOKUP(Table1[[#This Row],[5 cm2 cell test code]:[5 cm2 cell test code]],[1]!Table1[[Test code]:[Test code]],[1]!Table1[Anode ICR/mOhm],"",0)</f>
        <v>#REF!</v>
      </c>
      <c r="AD367" s="69" t="e" cm="1">
        <f t="array" ref="AD367">_xlfn.XLOOKUP(Table1[[#This Row],[5 cm2 cell test code]:[5 cm2 cell test code]],[1]!Table1[[Test code]:[Test code]],[1]!Table1[HFR DIW/ mOhm cm2],"",0)</f>
        <v>#REF!</v>
      </c>
      <c r="AE367" s="69" t="e" cm="1">
        <f t="array" ref="AE367">_xlfn.XLOOKUP(Table1[[#This Row],[5 cm2 cell test code]:[5 cm2 cell test code]],[1]!Table1[[Test code]:[Test code]],[1]!Table1[HFR 10 mM KOH/ mOhm cm2],"",0)</f>
        <v>#REF!</v>
      </c>
      <c r="AF367" s="69" t="e" cm="1">
        <f t="array" ref="AF367">_xlfn.XLOOKUP(Table1[[#This Row],[5 cm2 cell test code]:[5 cm2 cell test code]],[1]!Table1[[Test code]:[Test code]],[1]!Table1[Ionic resistance DIW/Ohm cm2],"",0)</f>
        <v>#REF!</v>
      </c>
      <c r="AG367" s="69" t="e" cm="1">
        <f t="array" ref="AG367">_xlfn.XLOOKUP(Table1[[#This Row],[5 cm2 cell test code]:[5 cm2 cell test code]],[1]!Table1[[Test code]:[Test code]],[1]!Table1[Q_int_frac DIW],"",0)</f>
        <v>#REF!</v>
      </c>
      <c r="AH367" s="69" t="e" cm="1">
        <f t="array" ref="AH367">_xlfn.XLOOKUP(Table1[[#This Row],[5 cm2 cell test code]:[5 cm2 cell test code]],[1]!Table1[[Test code]:[Test code]],[1]!Table1[Ionic resistance 10 mM KOH/Ohm cm2],"",0)</f>
        <v>#REF!</v>
      </c>
      <c r="AI367" s="69" t="e" cm="1">
        <f t="array" ref="AI367">_xlfn.XLOOKUP(Table1[[#This Row],[5 cm2 cell test code]:[5 cm2 cell test code]],[1]!Table1[[Test code]:[Test code]],[1]!Table1[Q_int_frac DIW 10 mM KOH],"",0)</f>
        <v>#REF!</v>
      </c>
      <c r="AJ367" s="69" t="e" cm="1">
        <f t="array" ref="AJ367">_xlfn.XLOOKUP(Table1[[#This Row],[5 cm2 cell test code]:[5 cm2 cell test code]],[1]!Table1[[Test code]:[Test code]],[1]!Table1[DIW conductivity (µS/cm)],"",0)</f>
        <v>#REF!</v>
      </c>
      <c r="AQ367" s="4" t="str">
        <v>VSG02A-23306E1.01-42</v>
      </c>
    </row>
    <row r="368" spans="1:43">
      <c r="A368" s="81"/>
      <c r="B368" s="11" t="s">
        <v>721</v>
      </c>
      <c r="C368" s="4" t="s">
        <v>722</v>
      </c>
      <c r="I368" s="11" t="s">
        <v>114</v>
      </c>
      <c r="J368" s="11" t="s">
        <v>402</v>
      </c>
      <c r="K368" s="43" t="s">
        <v>59</v>
      </c>
      <c r="L368" s="149">
        <v>45183</v>
      </c>
      <c r="M368" s="13">
        <f>(19.02-18.95)*1000/(14.8*14)</f>
        <v>0.33783783783783916</v>
      </c>
      <c r="Q368" s="135">
        <v>4.9201395362751095E-2</v>
      </c>
      <c r="U368" s="101"/>
      <c r="V368" s="101"/>
      <c r="W368" s="69" t="e" cm="1">
        <f t="array" ref="W368">_xlfn.XLOOKUP(Table1[[#This Row],[5 cm2 cell test code]:[5 cm2 cell test code]],[1]!Table1[[Test code]:[Test code]],[1]!Table1[i @ 1.8 V DIW (A/cm2)],"",0)</f>
        <v>#REF!</v>
      </c>
      <c r="X368" s="69" t="e" cm="1">
        <f t="array" ref="X368">_xlfn.XLOOKUP(Table1[[#This Row],[5 cm2 cell test code]:[5 cm2 cell test code]],[1]!Table1[[Test code]:[Test code]],[1]!Table1[i @ 1.8 V 10 mM KOH (A/cm2)],"",0)</f>
        <v>#REF!</v>
      </c>
      <c r="Y368" s="69" t="e" cm="1">
        <f t="array" ref="Y368">_xlfn.XLOOKUP(Table1[[#This Row],[5 cm2 cell test code]:[5 cm2 cell test code]],[1]!Table1[[Test code]:[Test code]],[1]!Table1[3-E ƞ at 20mAcm-2 (mV)],"",0)</f>
        <v>#REF!</v>
      </c>
      <c r="Z368" s="69" t="e" cm="1">
        <f t="array" ref="Z368">_xlfn.XLOOKUP(Table1[[#This Row],[5 cm2 cell test code]:[5 cm2 cell test code]],[1]!Table1[[Test code]:[Test code]],[1]!Table1[3-E Tafel slope (mV/dec)],"",0)</f>
        <v>#REF!</v>
      </c>
      <c r="AA368" s="69" t="e" cm="1">
        <f t="array" ref="AA368">_xlfn.XLOOKUP(Table1[[#This Row],[5 cm2 cell test code]:[5 cm2 cell test code]],[1]!Table1[[Test code]:[Test code]],[1]!Table1[E @ 100 mA/cm2 DIW/V],"",0)</f>
        <v>#REF!</v>
      </c>
      <c r="AB368" s="69" t="e" cm="1">
        <f t="array" ref="AB368">_xlfn.XLOOKUP(Table1[[#This Row],[5 cm2 cell test code]:[5 cm2 cell test code]],[1]!Table1[[Test code]:[Test code]],[1]!Table1[E @ 100 mA/cm2 10 mM KOH/V],"",0)</f>
        <v>#REF!</v>
      </c>
      <c r="AC368" s="69" t="e" cm="1">
        <f t="array" ref="AC368">_xlfn.XLOOKUP(Table1[[#This Row],[5 cm2 cell test code]:[5 cm2 cell test code]],[1]!Table1[[Test code]:[Test code]],[1]!Table1[Anode ICR/mOhm],"",0)</f>
        <v>#REF!</v>
      </c>
      <c r="AD368" s="69" t="e" cm="1">
        <f t="array" ref="AD368">_xlfn.XLOOKUP(Table1[[#This Row],[5 cm2 cell test code]:[5 cm2 cell test code]],[1]!Table1[[Test code]:[Test code]],[1]!Table1[HFR DIW/ mOhm cm2],"",0)</f>
        <v>#REF!</v>
      </c>
      <c r="AE368" s="69" t="e" cm="1">
        <f t="array" ref="AE368">_xlfn.XLOOKUP(Table1[[#This Row],[5 cm2 cell test code]:[5 cm2 cell test code]],[1]!Table1[[Test code]:[Test code]],[1]!Table1[HFR 10 mM KOH/ mOhm cm2],"",0)</f>
        <v>#REF!</v>
      </c>
      <c r="AF368" s="69" t="e" cm="1">
        <f t="array" ref="AF368">_xlfn.XLOOKUP(Table1[[#This Row],[5 cm2 cell test code]:[5 cm2 cell test code]],[1]!Table1[[Test code]:[Test code]],[1]!Table1[Ionic resistance DIW/Ohm cm2],"",0)</f>
        <v>#REF!</v>
      </c>
      <c r="AG368" s="69" t="e" cm="1">
        <f t="array" ref="AG368">_xlfn.XLOOKUP(Table1[[#This Row],[5 cm2 cell test code]:[5 cm2 cell test code]],[1]!Table1[[Test code]:[Test code]],[1]!Table1[Q_int_frac DIW],"",0)</f>
        <v>#REF!</v>
      </c>
      <c r="AH368" s="69" t="e" cm="1">
        <f t="array" ref="AH368">_xlfn.XLOOKUP(Table1[[#This Row],[5 cm2 cell test code]:[5 cm2 cell test code]],[1]!Table1[[Test code]:[Test code]],[1]!Table1[Ionic resistance 10 mM KOH/Ohm cm2],"",0)</f>
        <v>#REF!</v>
      </c>
      <c r="AI368" s="69" t="e" cm="1">
        <f t="array" ref="AI368">_xlfn.XLOOKUP(Table1[[#This Row],[5 cm2 cell test code]:[5 cm2 cell test code]],[1]!Table1[[Test code]:[Test code]],[1]!Table1[Q_int_frac DIW 10 mM KOH],"",0)</f>
        <v>#REF!</v>
      </c>
      <c r="AJ368" s="69" t="e" cm="1">
        <f t="array" ref="AJ368">_xlfn.XLOOKUP(Table1[[#This Row],[5 cm2 cell test code]:[5 cm2 cell test code]],[1]!Table1[[Test code]:[Test code]],[1]!Table1[DIW conductivity (µS/cm)],"",0)</f>
        <v>#REF!</v>
      </c>
      <c r="AQ368" s="4" t="str">
        <v>VSG02A-23306E1.01-43</v>
      </c>
    </row>
    <row r="369" spans="1:43">
      <c r="A369" s="81" t="s">
        <v>723</v>
      </c>
      <c r="B369" s="199" t="s">
        <v>724</v>
      </c>
      <c r="C369" s="4" t="s">
        <v>725</v>
      </c>
      <c r="K369" s="43" t="s">
        <v>59</v>
      </c>
      <c r="L369" s="149">
        <v>45183</v>
      </c>
      <c r="P369" s="28">
        <v>0.97</v>
      </c>
      <c r="Q369" s="135">
        <f>4.122/95.647</f>
        <v>4.3095967463694623E-2</v>
      </c>
      <c r="U369" s="101"/>
      <c r="V369" s="101"/>
      <c r="W369" s="69" t="e" cm="1">
        <f t="array" ref="W369">_xlfn.XLOOKUP(Table1[[#This Row],[5 cm2 cell test code]:[5 cm2 cell test code]],[1]!Table1[[Test code]:[Test code]],[1]!Table1[i @ 1.8 V DIW (A/cm2)],"",0)</f>
        <v>#REF!</v>
      </c>
      <c r="X369" s="69" t="e" cm="1">
        <f t="array" ref="X369">_xlfn.XLOOKUP(Table1[[#This Row],[5 cm2 cell test code]:[5 cm2 cell test code]],[1]!Table1[[Test code]:[Test code]],[1]!Table1[i @ 1.8 V 10 mM KOH (A/cm2)],"",0)</f>
        <v>#REF!</v>
      </c>
      <c r="Y369" s="69" t="e" cm="1">
        <f t="array" ref="Y369">_xlfn.XLOOKUP(Table1[[#This Row],[5 cm2 cell test code]:[5 cm2 cell test code]],[1]!Table1[[Test code]:[Test code]],[1]!Table1[3-E ƞ at 20mAcm-2 (mV)],"",0)</f>
        <v>#REF!</v>
      </c>
      <c r="Z369" s="69" t="e" cm="1">
        <f t="array" ref="Z369">_xlfn.XLOOKUP(Table1[[#This Row],[5 cm2 cell test code]:[5 cm2 cell test code]],[1]!Table1[[Test code]:[Test code]],[1]!Table1[3-E Tafel slope (mV/dec)],"",0)</f>
        <v>#REF!</v>
      </c>
      <c r="AA369" s="69" t="e" cm="1">
        <f t="array" ref="AA369">_xlfn.XLOOKUP(Table1[[#This Row],[5 cm2 cell test code]:[5 cm2 cell test code]],[1]!Table1[[Test code]:[Test code]],[1]!Table1[E @ 100 mA/cm2 DIW/V],"",0)</f>
        <v>#REF!</v>
      </c>
      <c r="AB369" s="69" t="e" cm="1">
        <f t="array" ref="AB369">_xlfn.XLOOKUP(Table1[[#This Row],[5 cm2 cell test code]:[5 cm2 cell test code]],[1]!Table1[[Test code]:[Test code]],[1]!Table1[E @ 100 mA/cm2 10 mM KOH/V],"",0)</f>
        <v>#REF!</v>
      </c>
      <c r="AC369" s="69" t="e" cm="1">
        <f t="array" ref="AC369">_xlfn.XLOOKUP(Table1[[#This Row],[5 cm2 cell test code]:[5 cm2 cell test code]],[1]!Table1[[Test code]:[Test code]],[1]!Table1[Anode ICR/mOhm],"",0)</f>
        <v>#REF!</v>
      </c>
      <c r="AD369" s="69" t="e" cm="1">
        <f t="array" ref="AD369">_xlfn.XLOOKUP(Table1[[#This Row],[5 cm2 cell test code]:[5 cm2 cell test code]],[1]!Table1[[Test code]:[Test code]],[1]!Table1[HFR DIW/ mOhm cm2],"",0)</f>
        <v>#REF!</v>
      </c>
      <c r="AE369" s="69" t="e" cm="1">
        <f t="array" ref="AE369">_xlfn.XLOOKUP(Table1[[#This Row],[5 cm2 cell test code]:[5 cm2 cell test code]],[1]!Table1[[Test code]:[Test code]],[1]!Table1[HFR 10 mM KOH/ mOhm cm2],"",0)</f>
        <v>#REF!</v>
      </c>
      <c r="AF369" s="69" t="e" cm="1">
        <f t="array" ref="AF369">_xlfn.XLOOKUP(Table1[[#This Row],[5 cm2 cell test code]:[5 cm2 cell test code]],[1]!Table1[[Test code]:[Test code]],[1]!Table1[Ionic resistance DIW/Ohm cm2],"",0)</f>
        <v>#REF!</v>
      </c>
      <c r="AG369" s="195" t="e" cm="1">
        <f t="array" ref="AG369">_xlfn.XLOOKUP(Table1[[#This Row],[5 cm2 cell test code]:[5 cm2 cell test code]],[1]!Table1[[Test code]:[Test code]],[1]!Table1[Q_int_frac DIW],"",0)</f>
        <v>#REF!</v>
      </c>
      <c r="AH369" s="195" t="e" cm="1">
        <f t="array" ref="AH369">_xlfn.XLOOKUP(Table1[[#This Row],[5 cm2 cell test code]:[5 cm2 cell test code]],[1]!Table1[[Test code]:[Test code]],[1]!Table1[Ionic resistance 10 mM KOH/Ohm cm2],"",0)</f>
        <v>#REF!</v>
      </c>
      <c r="AI369" s="195" t="e" cm="1">
        <f t="array" ref="AI369">_xlfn.XLOOKUP(Table1[[#This Row],[5 cm2 cell test code]:[5 cm2 cell test code]],[1]!Table1[[Test code]:[Test code]],[1]!Table1[Q_int_frac DIW 10 mM KOH],"",0)</f>
        <v>#REF!</v>
      </c>
      <c r="AJ369" s="69" t="e" cm="1">
        <f t="array" ref="AJ369">_xlfn.XLOOKUP(Table1[[#This Row],[5 cm2 cell test code]:[5 cm2 cell test code]],[1]!Table1[[Test code]:[Test code]],[1]!Table1[DIW conductivity (µS/cm)],"",0)</f>
        <v>#REF!</v>
      </c>
      <c r="AQ369" s="4" t="str">
        <v>VSG02A-23306E1.01-44</v>
      </c>
    </row>
    <row r="370" spans="1:43">
      <c r="A370" s="81"/>
      <c r="B370" s="199" t="s">
        <v>726</v>
      </c>
      <c r="C370" s="4" t="s">
        <v>727</v>
      </c>
      <c r="K370" s="43" t="s">
        <v>59</v>
      </c>
      <c r="L370" s="149">
        <v>45183</v>
      </c>
      <c r="P370" s="28">
        <v>0.97</v>
      </c>
      <c r="Q370" s="135">
        <f>4.318/95.401</f>
        <v>4.5261580067294888E-2</v>
      </c>
      <c r="U370" s="101"/>
      <c r="V370" s="101"/>
      <c r="W370" s="69" t="e" cm="1">
        <f t="array" ref="W370">_xlfn.XLOOKUP(Table1[[#This Row],[5 cm2 cell test code]:[5 cm2 cell test code]],[1]!Table1[[Test code]:[Test code]],[1]!Table1[i @ 1.8 V DIW (A/cm2)],"",0)</f>
        <v>#REF!</v>
      </c>
      <c r="X370" s="69" t="e" cm="1">
        <f t="array" ref="X370">_xlfn.XLOOKUP(Table1[[#This Row],[5 cm2 cell test code]:[5 cm2 cell test code]],[1]!Table1[[Test code]:[Test code]],[1]!Table1[i @ 1.8 V 10 mM KOH (A/cm2)],"",0)</f>
        <v>#REF!</v>
      </c>
      <c r="Y370" s="69" t="e" cm="1">
        <f t="array" ref="Y370">_xlfn.XLOOKUP(Table1[[#This Row],[5 cm2 cell test code]:[5 cm2 cell test code]],[1]!Table1[[Test code]:[Test code]],[1]!Table1[3-E ƞ at 20mAcm-2 (mV)],"",0)</f>
        <v>#REF!</v>
      </c>
      <c r="Z370" s="69" t="e" cm="1">
        <f t="array" ref="Z370">_xlfn.XLOOKUP(Table1[[#This Row],[5 cm2 cell test code]:[5 cm2 cell test code]],[1]!Table1[[Test code]:[Test code]],[1]!Table1[3-E Tafel slope (mV/dec)],"",0)</f>
        <v>#REF!</v>
      </c>
      <c r="AA370" s="69" t="e" cm="1">
        <f t="array" ref="AA370">_xlfn.XLOOKUP(Table1[[#This Row],[5 cm2 cell test code]:[5 cm2 cell test code]],[1]!Table1[[Test code]:[Test code]],[1]!Table1[E @ 100 mA/cm2 DIW/V],"",0)</f>
        <v>#REF!</v>
      </c>
      <c r="AB370" s="69" t="e" cm="1">
        <f t="array" ref="AB370">_xlfn.XLOOKUP(Table1[[#This Row],[5 cm2 cell test code]:[5 cm2 cell test code]],[1]!Table1[[Test code]:[Test code]],[1]!Table1[E @ 100 mA/cm2 10 mM KOH/V],"",0)</f>
        <v>#REF!</v>
      </c>
      <c r="AC370" s="69" t="e" cm="1">
        <f t="array" ref="AC370">_xlfn.XLOOKUP(Table1[[#This Row],[5 cm2 cell test code]:[5 cm2 cell test code]],[1]!Table1[[Test code]:[Test code]],[1]!Table1[Anode ICR/mOhm],"",0)</f>
        <v>#REF!</v>
      </c>
      <c r="AD370" s="69" t="e" cm="1">
        <f t="array" ref="AD370">_xlfn.XLOOKUP(Table1[[#This Row],[5 cm2 cell test code]:[5 cm2 cell test code]],[1]!Table1[[Test code]:[Test code]],[1]!Table1[HFR DIW/ mOhm cm2],"",0)</f>
        <v>#REF!</v>
      </c>
      <c r="AE370" s="69" t="e" cm="1">
        <f t="array" ref="AE370">_xlfn.XLOOKUP(Table1[[#This Row],[5 cm2 cell test code]:[5 cm2 cell test code]],[1]!Table1[[Test code]:[Test code]],[1]!Table1[HFR 10 mM KOH/ mOhm cm2],"",0)</f>
        <v>#REF!</v>
      </c>
      <c r="AF370" s="69" t="e" cm="1">
        <f t="array" ref="AF370">_xlfn.XLOOKUP(Table1[[#This Row],[5 cm2 cell test code]:[5 cm2 cell test code]],[1]!Table1[[Test code]:[Test code]],[1]!Table1[Ionic resistance DIW/Ohm cm2],"",0)</f>
        <v>#REF!</v>
      </c>
      <c r="AG370" s="195" t="e" cm="1">
        <f t="array" ref="AG370">_xlfn.XLOOKUP(Table1[[#This Row],[5 cm2 cell test code]:[5 cm2 cell test code]],[1]!Table1[[Test code]:[Test code]],[1]!Table1[Q_int_frac DIW],"",0)</f>
        <v>#REF!</v>
      </c>
      <c r="AH370" s="195" t="e" cm="1">
        <f t="array" ref="AH370">_xlfn.XLOOKUP(Table1[[#This Row],[5 cm2 cell test code]:[5 cm2 cell test code]],[1]!Table1[[Test code]:[Test code]],[1]!Table1[Ionic resistance 10 mM KOH/Ohm cm2],"",0)</f>
        <v>#REF!</v>
      </c>
      <c r="AI370" s="195" t="e" cm="1">
        <f t="array" ref="AI370">_xlfn.XLOOKUP(Table1[[#This Row],[5 cm2 cell test code]:[5 cm2 cell test code]],[1]!Table1[[Test code]:[Test code]],[1]!Table1[Q_int_frac DIW 10 mM KOH],"",0)</f>
        <v>#REF!</v>
      </c>
      <c r="AJ370" s="69" t="e" cm="1">
        <f t="array" ref="AJ370">_xlfn.XLOOKUP(Table1[[#This Row],[5 cm2 cell test code]:[5 cm2 cell test code]],[1]!Table1[[Test code]:[Test code]],[1]!Table1[DIW conductivity (µS/cm)],"",0)</f>
        <v>#REF!</v>
      </c>
      <c r="AQ370" s="4" t="str">
        <v>VSG02A-23306E1.01-45</v>
      </c>
    </row>
    <row r="371" spans="1:43">
      <c r="A371" s="81"/>
      <c r="B371" s="199" t="s">
        <v>728</v>
      </c>
      <c r="C371" s="4" t="s">
        <v>727</v>
      </c>
      <c r="K371" s="43" t="s">
        <v>59</v>
      </c>
      <c r="L371" s="149">
        <v>45183</v>
      </c>
      <c r="P371" s="28">
        <v>0.97</v>
      </c>
      <c r="Q371" s="135">
        <f>4.409/95.259</f>
        <v>4.6284340587241096E-2</v>
      </c>
      <c r="U371" s="101"/>
      <c r="V371" s="101"/>
      <c r="W371" s="69" t="e" cm="1">
        <f t="array" ref="W371">_xlfn.XLOOKUP(Table1[[#This Row],[5 cm2 cell test code]:[5 cm2 cell test code]],[1]!Table1[[Test code]:[Test code]],[1]!Table1[i @ 1.8 V DIW (A/cm2)],"",0)</f>
        <v>#REF!</v>
      </c>
      <c r="X371" s="69" t="e" cm="1">
        <f t="array" ref="X371">_xlfn.XLOOKUP(Table1[[#This Row],[5 cm2 cell test code]:[5 cm2 cell test code]],[1]!Table1[[Test code]:[Test code]],[1]!Table1[i @ 1.8 V 10 mM KOH (A/cm2)],"",0)</f>
        <v>#REF!</v>
      </c>
      <c r="Y371" s="69" t="e" cm="1">
        <f t="array" ref="Y371">_xlfn.XLOOKUP(Table1[[#This Row],[5 cm2 cell test code]:[5 cm2 cell test code]],[1]!Table1[[Test code]:[Test code]],[1]!Table1[3-E ƞ at 20mAcm-2 (mV)],"",0)</f>
        <v>#REF!</v>
      </c>
      <c r="Z371" s="69" t="e" cm="1">
        <f t="array" ref="Z371">_xlfn.XLOOKUP(Table1[[#This Row],[5 cm2 cell test code]:[5 cm2 cell test code]],[1]!Table1[[Test code]:[Test code]],[1]!Table1[3-E Tafel slope (mV/dec)],"",0)</f>
        <v>#REF!</v>
      </c>
      <c r="AA371" s="69" t="e" cm="1">
        <f t="array" ref="AA371">_xlfn.XLOOKUP(Table1[[#This Row],[5 cm2 cell test code]:[5 cm2 cell test code]],[1]!Table1[[Test code]:[Test code]],[1]!Table1[E @ 100 mA/cm2 DIW/V],"",0)</f>
        <v>#REF!</v>
      </c>
      <c r="AB371" s="69" t="e" cm="1">
        <f t="array" ref="AB371">_xlfn.XLOOKUP(Table1[[#This Row],[5 cm2 cell test code]:[5 cm2 cell test code]],[1]!Table1[[Test code]:[Test code]],[1]!Table1[E @ 100 mA/cm2 10 mM KOH/V],"",0)</f>
        <v>#REF!</v>
      </c>
      <c r="AC371" s="69" t="e" cm="1">
        <f t="array" ref="AC371">_xlfn.XLOOKUP(Table1[[#This Row],[5 cm2 cell test code]:[5 cm2 cell test code]],[1]!Table1[[Test code]:[Test code]],[1]!Table1[Anode ICR/mOhm],"",0)</f>
        <v>#REF!</v>
      </c>
      <c r="AD371" s="69" t="e" cm="1">
        <f t="array" ref="AD371">_xlfn.XLOOKUP(Table1[[#This Row],[5 cm2 cell test code]:[5 cm2 cell test code]],[1]!Table1[[Test code]:[Test code]],[1]!Table1[HFR DIW/ mOhm cm2],"",0)</f>
        <v>#REF!</v>
      </c>
      <c r="AE371" s="69" t="e" cm="1">
        <f t="array" ref="AE371">_xlfn.XLOOKUP(Table1[[#This Row],[5 cm2 cell test code]:[5 cm2 cell test code]],[1]!Table1[[Test code]:[Test code]],[1]!Table1[HFR 10 mM KOH/ mOhm cm2],"",0)</f>
        <v>#REF!</v>
      </c>
      <c r="AF371" s="69" t="e" cm="1">
        <f t="array" ref="AF371">_xlfn.XLOOKUP(Table1[[#This Row],[5 cm2 cell test code]:[5 cm2 cell test code]],[1]!Table1[[Test code]:[Test code]],[1]!Table1[Ionic resistance DIW/Ohm cm2],"",0)</f>
        <v>#REF!</v>
      </c>
      <c r="AG371" s="195" t="e" cm="1">
        <f t="array" ref="AG371">_xlfn.XLOOKUP(Table1[[#This Row],[5 cm2 cell test code]:[5 cm2 cell test code]],[1]!Table1[[Test code]:[Test code]],[1]!Table1[Q_int_frac DIW],"",0)</f>
        <v>#REF!</v>
      </c>
      <c r="AH371" s="195" t="e" cm="1">
        <f t="array" ref="AH371">_xlfn.XLOOKUP(Table1[[#This Row],[5 cm2 cell test code]:[5 cm2 cell test code]],[1]!Table1[[Test code]:[Test code]],[1]!Table1[Ionic resistance 10 mM KOH/Ohm cm2],"",0)</f>
        <v>#REF!</v>
      </c>
      <c r="AI371" s="195" t="e" cm="1">
        <f t="array" ref="AI371">_xlfn.XLOOKUP(Table1[[#This Row],[5 cm2 cell test code]:[5 cm2 cell test code]],[1]!Table1[[Test code]:[Test code]],[1]!Table1[Q_int_frac DIW 10 mM KOH],"",0)</f>
        <v>#REF!</v>
      </c>
      <c r="AJ371" s="69" t="e" cm="1">
        <f t="array" ref="AJ371">_xlfn.XLOOKUP(Table1[[#This Row],[5 cm2 cell test code]:[5 cm2 cell test code]],[1]!Table1[[Test code]:[Test code]],[1]!Table1[DIW conductivity (µS/cm)],"",0)</f>
        <v>#REF!</v>
      </c>
      <c r="AQ371" s="4" t="str">
        <v>VSG02A-23306E1.01-46</v>
      </c>
    </row>
    <row r="372" spans="1:43">
      <c r="A372" s="81"/>
      <c r="B372" s="199" t="s">
        <v>729</v>
      </c>
      <c r="C372" s="4" t="s">
        <v>727</v>
      </c>
      <c r="K372" s="43" t="s">
        <v>59</v>
      </c>
      <c r="L372" s="149">
        <v>45183</v>
      </c>
      <c r="P372" s="28">
        <v>0.97</v>
      </c>
      <c r="Q372" s="135">
        <f>4.774/95.976</f>
        <v>4.9741602067183463E-2</v>
      </c>
      <c r="U372" s="101"/>
      <c r="V372" s="101"/>
      <c r="W372" s="69" t="e" cm="1">
        <f t="array" ref="W372">_xlfn.XLOOKUP(Table1[[#This Row],[5 cm2 cell test code]:[5 cm2 cell test code]],[1]!Table1[[Test code]:[Test code]],[1]!Table1[i @ 1.8 V DIW (A/cm2)],"",0)</f>
        <v>#REF!</v>
      </c>
      <c r="X372" s="69" t="e" cm="1">
        <f t="array" ref="X372">_xlfn.XLOOKUP(Table1[[#This Row],[5 cm2 cell test code]:[5 cm2 cell test code]],[1]!Table1[[Test code]:[Test code]],[1]!Table1[i @ 1.8 V 10 mM KOH (A/cm2)],"",0)</f>
        <v>#REF!</v>
      </c>
      <c r="Y372" s="69" t="e" cm="1">
        <f t="array" ref="Y372">_xlfn.XLOOKUP(Table1[[#This Row],[5 cm2 cell test code]:[5 cm2 cell test code]],[1]!Table1[[Test code]:[Test code]],[1]!Table1[3-E ƞ at 20mAcm-2 (mV)],"",0)</f>
        <v>#REF!</v>
      </c>
      <c r="Z372" s="69" t="e" cm="1">
        <f t="array" ref="Z372">_xlfn.XLOOKUP(Table1[[#This Row],[5 cm2 cell test code]:[5 cm2 cell test code]],[1]!Table1[[Test code]:[Test code]],[1]!Table1[3-E Tafel slope (mV/dec)],"",0)</f>
        <v>#REF!</v>
      </c>
      <c r="AA372" s="69" t="e" cm="1">
        <f t="array" ref="AA372">_xlfn.XLOOKUP(Table1[[#This Row],[5 cm2 cell test code]:[5 cm2 cell test code]],[1]!Table1[[Test code]:[Test code]],[1]!Table1[E @ 100 mA/cm2 DIW/V],"",0)</f>
        <v>#REF!</v>
      </c>
      <c r="AB372" s="69" t="e" cm="1">
        <f t="array" ref="AB372">_xlfn.XLOOKUP(Table1[[#This Row],[5 cm2 cell test code]:[5 cm2 cell test code]],[1]!Table1[[Test code]:[Test code]],[1]!Table1[E @ 100 mA/cm2 10 mM KOH/V],"",0)</f>
        <v>#REF!</v>
      </c>
      <c r="AC372" s="69" t="e" cm="1">
        <f t="array" ref="AC372">_xlfn.XLOOKUP(Table1[[#This Row],[5 cm2 cell test code]:[5 cm2 cell test code]],[1]!Table1[[Test code]:[Test code]],[1]!Table1[Anode ICR/mOhm],"",0)</f>
        <v>#REF!</v>
      </c>
      <c r="AD372" s="69" t="e" cm="1">
        <f t="array" ref="AD372">_xlfn.XLOOKUP(Table1[[#This Row],[5 cm2 cell test code]:[5 cm2 cell test code]],[1]!Table1[[Test code]:[Test code]],[1]!Table1[HFR DIW/ mOhm cm2],"",0)</f>
        <v>#REF!</v>
      </c>
      <c r="AE372" s="69" t="e" cm="1">
        <f t="array" ref="AE372">_xlfn.XLOOKUP(Table1[[#This Row],[5 cm2 cell test code]:[5 cm2 cell test code]],[1]!Table1[[Test code]:[Test code]],[1]!Table1[HFR 10 mM KOH/ mOhm cm2],"",0)</f>
        <v>#REF!</v>
      </c>
      <c r="AF372" s="69" t="e" cm="1">
        <f t="array" ref="AF372">_xlfn.XLOOKUP(Table1[[#This Row],[5 cm2 cell test code]:[5 cm2 cell test code]],[1]!Table1[[Test code]:[Test code]],[1]!Table1[Ionic resistance DIW/Ohm cm2],"",0)</f>
        <v>#REF!</v>
      </c>
      <c r="AG372" s="195" t="e" cm="1">
        <f t="array" ref="AG372">_xlfn.XLOOKUP(Table1[[#This Row],[5 cm2 cell test code]:[5 cm2 cell test code]],[1]!Table1[[Test code]:[Test code]],[1]!Table1[Q_int_frac DIW],"",0)</f>
        <v>#REF!</v>
      </c>
      <c r="AH372" s="195" t="e" cm="1">
        <f t="array" ref="AH372">_xlfn.XLOOKUP(Table1[[#This Row],[5 cm2 cell test code]:[5 cm2 cell test code]],[1]!Table1[[Test code]:[Test code]],[1]!Table1[Ionic resistance 10 mM KOH/Ohm cm2],"",0)</f>
        <v>#REF!</v>
      </c>
      <c r="AI372" s="195" t="e" cm="1">
        <f t="array" ref="AI372">_xlfn.XLOOKUP(Table1[[#This Row],[5 cm2 cell test code]:[5 cm2 cell test code]],[1]!Table1[[Test code]:[Test code]],[1]!Table1[Q_int_frac DIW 10 mM KOH],"",0)</f>
        <v>#REF!</v>
      </c>
      <c r="AJ372" s="69" t="e" cm="1">
        <f t="array" ref="AJ372">_xlfn.XLOOKUP(Table1[[#This Row],[5 cm2 cell test code]:[5 cm2 cell test code]],[1]!Table1[[Test code]:[Test code]],[1]!Table1[DIW conductivity (µS/cm)],"",0)</f>
        <v>#REF!</v>
      </c>
      <c r="AQ372" s="4" t="str">
        <v>VSG02A-23306E1.01-47</v>
      </c>
    </row>
    <row r="373" spans="1:43">
      <c r="A373" s="81"/>
      <c r="B373" s="199" t="s">
        <v>730</v>
      </c>
      <c r="C373" s="4" t="s">
        <v>731</v>
      </c>
      <c r="K373" s="43" t="s">
        <v>59</v>
      </c>
      <c r="L373" s="149">
        <v>45183</v>
      </c>
      <c r="P373" s="28">
        <v>2.1139999999999999</v>
      </c>
      <c r="Q373" s="135">
        <f>5.154/94.575</f>
        <v>5.4496431403647898E-2</v>
      </c>
      <c r="U373" s="101"/>
      <c r="V373" s="101"/>
      <c r="W373" s="69" t="e" cm="1">
        <f t="array" ref="W373">_xlfn.XLOOKUP(Table1[[#This Row],[5 cm2 cell test code]:[5 cm2 cell test code]],[1]!Table1[[Test code]:[Test code]],[1]!Table1[i @ 1.8 V DIW (A/cm2)],"",0)</f>
        <v>#REF!</v>
      </c>
      <c r="X373" s="69" t="e" cm="1">
        <f t="array" ref="X373">_xlfn.XLOOKUP(Table1[[#This Row],[5 cm2 cell test code]:[5 cm2 cell test code]],[1]!Table1[[Test code]:[Test code]],[1]!Table1[i @ 1.8 V 10 mM KOH (A/cm2)],"",0)</f>
        <v>#REF!</v>
      </c>
      <c r="Y373" s="69" t="e" cm="1">
        <f t="array" ref="Y373">_xlfn.XLOOKUP(Table1[[#This Row],[5 cm2 cell test code]:[5 cm2 cell test code]],[1]!Table1[[Test code]:[Test code]],[1]!Table1[3-E ƞ at 20mAcm-2 (mV)],"",0)</f>
        <v>#REF!</v>
      </c>
      <c r="Z373" s="69" t="e" cm="1">
        <f t="array" ref="Z373">_xlfn.XLOOKUP(Table1[[#This Row],[5 cm2 cell test code]:[5 cm2 cell test code]],[1]!Table1[[Test code]:[Test code]],[1]!Table1[3-E Tafel slope (mV/dec)],"",0)</f>
        <v>#REF!</v>
      </c>
      <c r="AA373" s="69" t="e" cm="1">
        <f t="array" ref="AA373">_xlfn.XLOOKUP(Table1[[#This Row],[5 cm2 cell test code]:[5 cm2 cell test code]],[1]!Table1[[Test code]:[Test code]],[1]!Table1[E @ 100 mA/cm2 DIW/V],"",0)</f>
        <v>#REF!</v>
      </c>
      <c r="AB373" s="69" t="e" cm="1">
        <f t="array" ref="AB373">_xlfn.XLOOKUP(Table1[[#This Row],[5 cm2 cell test code]:[5 cm2 cell test code]],[1]!Table1[[Test code]:[Test code]],[1]!Table1[E @ 100 mA/cm2 10 mM KOH/V],"",0)</f>
        <v>#REF!</v>
      </c>
      <c r="AC373" s="69" t="e" cm="1">
        <f t="array" ref="AC373">_xlfn.XLOOKUP(Table1[[#This Row],[5 cm2 cell test code]:[5 cm2 cell test code]],[1]!Table1[[Test code]:[Test code]],[1]!Table1[Anode ICR/mOhm],"",0)</f>
        <v>#REF!</v>
      </c>
      <c r="AD373" s="69" t="e" cm="1">
        <f t="array" ref="AD373">_xlfn.XLOOKUP(Table1[[#This Row],[5 cm2 cell test code]:[5 cm2 cell test code]],[1]!Table1[[Test code]:[Test code]],[1]!Table1[HFR DIW/ mOhm cm2],"",0)</f>
        <v>#REF!</v>
      </c>
      <c r="AE373" s="69" t="e" cm="1">
        <f t="array" ref="AE373">_xlfn.XLOOKUP(Table1[[#This Row],[5 cm2 cell test code]:[5 cm2 cell test code]],[1]!Table1[[Test code]:[Test code]],[1]!Table1[HFR 10 mM KOH/ mOhm cm2],"",0)</f>
        <v>#REF!</v>
      </c>
      <c r="AF373" s="69" t="e" cm="1">
        <f t="array" ref="AF373">_xlfn.XLOOKUP(Table1[[#This Row],[5 cm2 cell test code]:[5 cm2 cell test code]],[1]!Table1[[Test code]:[Test code]],[1]!Table1[Ionic resistance DIW/Ohm cm2],"",0)</f>
        <v>#REF!</v>
      </c>
      <c r="AG373" s="195" t="e" cm="1">
        <f t="array" ref="AG373">_xlfn.XLOOKUP(Table1[[#This Row],[5 cm2 cell test code]:[5 cm2 cell test code]],[1]!Table1[[Test code]:[Test code]],[1]!Table1[Q_int_frac DIW],"",0)</f>
        <v>#REF!</v>
      </c>
      <c r="AH373" s="195" t="e" cm="1">
        <f t="array" ref="AH373">_xlfn.XLOOKUP(Table1[[#This Row],[5 cm2 cell test code]:[5 cm2 cell test code]],[1]!Table1[[Test code]:[Test code]],[1]!Table1[Ionic resistance 10 mM KOH/Ohm cm2],"",0)</f>
        <v>#REF!</v>
      </c>
      <c r="AI373" s="195" t="e" cm="1">
        <f t="array" ref="AI373">_xlfn.XLOOKUP(Table1[[#This Row],[5 cm2 cell test code]:[5 cm2 cell test code]],[1]!Table1[[Test code]:[Test code]],[1]!Table1[Q_int_frac DIW 10 mM KOH],"",0)</f>
        <v>#REF!</v>
      </c>
      <c r="AJ373" s="69" t="e" cm="1">
        <f t="array" ref="AJ373">_xlfn.XLOOKUP(Table1[[#This Row],[5 cm2 cell test code]:[5 cm2 cell test code]],[1]!Table1[[Test code]:[Test code]],[1]!Table1[DIW conductivity (µS/cm)],"",0)</f>
        <v>#REF!</v>
      </c>
      <c r="AQ373" s="4" t="str">
        <v>VSG02A-23306E1.01-48</v>
      </c>
    </row>
    <row r="374" spans="1:43">
      <c r="A374" s="81"/>
      <c r="B374" s="199" t="s">
        <v>732</v>
      </c>
      <c r="C374" s="4" t="s">
        <v>731</v>
      </c>
      <c r="K374" s="43" t="s">
        <v>59</v>
      </c>
      <c r="L374" s="89"/>
      <c r="P374" s="28">
        <v>2.1139999999999999</v>
      </c>
      <c r="Q374" s="135">
        <f>5.923/93.739</f>
        <v>6.3186080500112013E-2</v>
      </c>
      <c r="U374" s="101"/>
      <c r="V374" s="101"/>
      <c r="W374" s="69" t="e" cm="1">
        <f t="array" ref="W374">_xlfn.XLOOKUP(Table1[[#This Row],[5 cm2 cell test code]:[5 cm2 cell test code]],[1]!Table1[[Test code]:[Test code]],[1]!Table1[i @ 1.8 V DIW (A/cm2)],"",0)</f>
        <v>#REF!</v>
      </c>
      <c r="X374" s="69" t="e" cm="1">
        <f t="array" ref="X374">_xlfn.XLOOKUP(Table1[[#This Row],[5 cm2 cell test code]:[5 cm2 cell test code]],[1]!Table1[[Test code]:[Test code]],[1]!Table1[i @ 1.8 V 10 mM KOH (A/cm2)],"",0)</f>
        <v>#REF!</v>
      </c>
      <c r="Y374" s="69" t="e" cm="1">
        <f t="array" ref="Y374">_xlfn.XLOOKUP(Table1[[#This Row],[5 cm2 cell test code]:[5 cm2 cell test code]],[1]!Table1[[Test code]:[Test code]],[1]!Table1[3-E ƞ at 20mAcm-2 (mV)],"",0)</f>
        <v>#REF!</v>
      </c>
      <c r="Z374" s="69" t="e" cm="1">
        <f t="array" ref="Z374">_xlfn.XLOOKUP(Table1[[#This Row],[5 cm2 cell test code]:[5 cm2 cell test code]],[1]!Table1[[Test code]:[Test code]],[1]!Table1[3-E Tafel slope (mV/dec)],"",0)</f>
        <v>#REF!</v>
      </c>
      <c r="AA374" s="69" t="e" cm="1">
        <f t="array" ref="AA374">_xlfn.XLOOKUP(Table1[[#This Row],[5 cm2 cell test code]:[5 cm2 cell test code]],[1]!Table1[[Test code]:[Test code]],[1]!Table1[E @ 100 mA/cm2 DIW/V],"",0)</f>
        <v>#REF!</v>
      </c>
      <c r="AB374" s="69" t="e" cm="1">
        <f t="array" ref="AB374">_xlfn.XLOOKUP(Table1[[#This Row],[5 cm2 cell test code]:[5 cm2 cell test code]],[1]!Table1[[Test code]:[Test code]],[1]!Table1[E @ 100 mA/cm2 10 mM KOH/V],"",0)</f>
        <v>#REF!</v>
      </c>
      <c r="AC374" s="69" t="e" cm="1">
        <f t="array" ref="AC374">_xlfn.XLOOKUP(Table1[[#This Row],[5 cm2 cell test code]:[5 cm2 cell test code]],[1]!Table1[[Test code]:[Test code]],[1]!Table1[Anode ICR/mOhm],"",0)</f>
        <v>#REF!</v>
      </c>
      <c r="AD374" s="69" t="e" cm="1">
        <f t="array" ref="AD374">_xlfn.XLOOKUP(Table1[[#This Row],[5 cm2 cell test code]:[5 cm2 cell test code]],[1]!Table1[[Test code]:[Test code]],[1]!Table1[HFR DIW/ mOhm cm2],"",0)</f>
        <v>#REF!</v>
      </c>
      <c r="AE374" s="69" t="e" cm="1">
        <f t="array" ref="AE374">_xlfn.XLOOKUP(Table1[[#This Row],[5 cm2 cell test code]:[5 cm2 cell test code]],[1]!Table1[[Test code]:[Test code]],[1]!Table1[HFR 10 mM KOH/ mOhm cm2],"",0)</f>
        <v>#REF!</v>
      </c>
      <c r="AF374" s="69" t="e" cm="1">
        <f t="array" ref="AF374">_xlfn.XLOOKUP(Table1[[#This Row],[5 cm2 cell test code]:[5 cm2 cell test code]],[1]!Table1[[Test code]:[Test code]],[1]!Table1[Ionic resistance DIW/Ohm cm2],"",0)</f>
        <v>#REF!</v>
      </c>
      <c r="AG374" s="195" t="e" cm="1">
        <f t="array" ref="AG374">_xlfn.XLOOKUP(Table1[[#This Row],[5 cm2 cell test code]:[5 cm2 cell test code]],[1]!Table1[[Test code]:[Test code]],[1]!Table1[Q_int_frac DIW],"",0)</f>
        <v>#REF!</v>
      </c>
      <c r="AH374" s="195" t="e" cm="1">
        <f t="array" ref="AH374">_xlfn.XLOOKUP(Table1[[#This Row],[5 cm2 cell test code]:[5 cm2 cell test code]],[1]!Table1[[Test code]:[Test code]],[1]!Table1[Ionic resistance 10 mM KOH/Ohm cm2],"",0)</f>
        <v>#REF!</v>
      </c>
      <c r="AI374" s="195" t="e" cm="1">
        <f t="array" ref="AI374">_xlfn.XLOOKUP(Table1[[#This Row],[5 cm2 cell test code]:[5 cm2 cell test code]],[1]!Table1[[Test code]:[Test code]],[1]!Table1[Q_int_frac DIW 10 mM KOH],"",0)</f>
        <v>#REF!</v>
      </c>
      <c r="AJ374" s="69" t="e" cm="1">
        <f t="array" ref="AJ374">_xlfn.XLOOKUP(Table1[[#This Row],[5 cm2 cell test code]:[5 cm2 cell test code]],[1]!Table1[[Test code]:[Test code]],[1]!Table1[DIW conductivity (µS/cm)],"",0)</f>
        <v>#REF!</v>
      </c>
      <c r="AQ374" s="4" t="str">
        <v>VSG02A-23306E1.01-49</v>
      </c>
    </row>
    <row r="375" spans="1:43">
      <c r="A375" s="81"/>
      <c r="B375" s="199" t="s">
        <v>733</v>
      </c>
      <c r="C375" s="4" t="s">
        <v>731</v>
      </c>
      <c r="K375" s="43" t="s">
        <v>59</v>
      </c>
      <c r="L375" s="89"/>
      <c r="P375" s="28">
        <v>2.1139999999999999</v>
      </c>
      <c r="Q375" s="135">
        <f>4.738/94.957</f>
        <v>4.9896268837473813E-2</v>
      </c>
      <c r="U375" s="101"/>
      <c r="V375" s="101"/>
      <c r="W375" s="69" t="e" cm="1">
        <f t="array" ref="W375">_xlfn.XLOOKUP(Table1[[#This Row],[5 cm2 cell test code]:[5 cm2 cell test code]],[1]!Table1[[Test code]:[Test code]],[1]!Table1[i @ 1.8 V DIW (A/cm2)],"",0)</f>
        <v>#REF!</v>
      </c>
      <c r="X375" s="69" t="e" cm="1">
        <f t="array" ref="X375">_xlfn.XLOOKUP(Table1[[#This Row],[5 cm2 cell test code]:[5 cm2 cell test code]],[1]!Table1[[Test code]:[Test code]],[1]!Table1[i @ 1.8 V 10 mM KOH (A/cm2)],"",0)</f>
        <v>#REF!</v>
      </c>
      <c r="Y375" s="69" t="e" cm="1">
        <f t="array" ref="Y375">_xlfn.XLOOKUP(Table1[[#This Row],[5 cm2 cell test code]:[5 cm2 cell test code]],[1]!Table1[[Test code]:[Test code]],[1]!Table1[3-E ƞ at 20mAcm-2 (mV)],"",0)</f>
        <v>#REF!</v>
      </c>
      <c r="Z375" s="69" t="e" cm="1">
        <f t="array" ref="Z375">_xlfn.XLOOKUP(Table1[[#This Row],[5 cm2 cell test code]:[5 cm2 cell test code]],[1]!Table1[[Test code]:[Test code]],[1]!Table1[3-E Tafel slope (mV/dec)],"",0)</f>
        <v>#REF!</v>
      </c>
      <c r="AA375" s="69" t="e" cm="1">
        <f t="array" ref="AA375">_xlfn.XLOOKUP(Table1[[#This Row],[5 cm2 cell test code]:[5 cm2 cell test code]],[1]!Table1[[Test code]:[Test code]],[1]!Table1[E @ 100 mA/cm2 DIW/V],"",0)</f>
        <v>#REF!</v>
      </c>
      <c r="AB375" s="69" t="e" cm="1">
        <f t="array" ref="AB375">_xlfn.XLOOKUP(Table1[[#This Row],[5 cm2 cell test code]:[5 cm2 cell test code]],[1]!Table1[[Test code]:[Test code]],[1]!Table1[E @ 100 mA/cm2 10 mM KOH/V],"",0)</f>
        <v>#REF!</v>
      </c>
      <c r="AC375" s="69" t="e" cm="1">
        <f t="array" ref="AC375">_xlfn.XLOOKUP(Table1[[#This Row],[5 cm2 cell test code]:[5 cm2 cell test code]],[1]!Table1[[Test code]:[Test code]],[1]!Table1[Anode ICR/mOhm],"",0)</f>
        <v>#REF!</v>
      </c>
      <c r="AD375" s="69" t="e" cm="1">
        <f t="array" ref="AD375">_xlfn.XLOOKUP(Table1[[#This Row],[5 cm2 cell test code]:[5 cm2 cell test code]],[1]!Table1[[Test code]:[Test code]],[1]!Table1[HFR DIW/ mOhm cm2],"",0)</f>
        <v>#REF!</v>
      </c>
      <c r="AE375" s="69" t="e" cm="1">
        <f t="array" ref="AE375">_xlfn.XLOOKUP(Table1[[#This Row],[5 cm2 cell test code]:[5 cm2 cell test code]],[1]!Table1[[Test code]:[Test code]],[1]!Table1[HFR 10 mM KOH/ mOhm cm2],"",0)</f>
        <v>#REF!</v>
      </c>
      <c r="AF375" s="69" t="e" cm="1">
        <f t="array" ref="AF375">_xlfn.XLOOKUP(Table1[[#This Row],[5 cm2 cell test code]:[5 cm2 cell test code]],[1]!Table1[[Test code]:[Test code]],[1]!Table1[Ionic resistance DIW/Ohm cm2],"",0)</f>
        <v>#REF!</v>
      </c>
      <c r="AG375" s="195" t="e" cm="1">
        <f t="array" ref="AG375">_xlfn.XLOOKUP(Table1[[#This Row],[5 cm2 cell test code]:[5 cm2 cell test code]],[1]!Table1[[Test code]:[Test code]],[1]!Table1[Q_int_frac DIW],"",0)</f>
        <v>#REF!</v>
      </c>
      <c r="AH375" s="195" t="e" cm="1">
        <f t="array" ref="AH375">_xlfn.XLOOKUP(Table1[[#This Row],[5 cm2 cell test code]:[5 cm2 cell test code]],[1]!Table1[[Test code]:[Test code]],[1]!Table1[Ionic resistance 10 mM KOH/Ohm cm2],"",0)</f>
        <v>#REF!</v>
      </c>
      <c r="AI375" s="195" t="e" cm="1">
        <f t="array" ref="AI375">_xlfn.XLOOKUP(Table1[[#This Row],[5 cm2 cell test code]:[5 cm2 cell test code]],[1]!Table1[[Test code]:[Test code]],[1]!Table1[Q_int_frac DIW 10 mM KOH],"",0)</f>
        <v>#REF!</v>
      </c>
      <c r="AJ375" s="69" t="e" cm="1">
        <f t="array" ref="AJ375">_xlfn.XLOOKUP(Table1[[#This Row],[5 cm2 cell test code]:[5 cm2 cell test code]],[1]!Table1[[Test code]:[Test code]],[1]!Table1[DIW conductivity (µS/cm)],"",0)</f>
        <v>#REF!</v>
      </c>
      <c r="AQ375" s="4" t="str">
        <v>VSG02A-23306E1.01-50</v>
      </c>
    </row>
    <row r="376" spans="1:43">
      <c r="A376" s="81"/>
      <c r="B376" s="199" t="s">
        <v>734</v>
      </c>
      <c r="C376" s="4" t="s">
        <v>731</v>
      </c>
      <c r="K376" s="43" t="s">
        <v>59</v>
      </c>
      <c r="L376" s="89"/>
      <c r="P376" s="28">
        <v>2.1139999999999999</v>
      </c>
      <c r="Q376" s="135">
        <f>6.193/93.505</f>
        <v>6.6231752312710543E-2</v>
      </c>
      <c r="U376" s="101"/>
      <c r="V376" s="101"/>
      <c r="W376" s="69" t="e" cm="1">
        <f t="array" ref="W376">_xlfn.XLOOKUP(Table1[[#This Row],[5 cm2 cell test code]:[5 cm2 cell test code]],[1]!Table1[[Test code]:[Test code]],[1]!Table1[i @ 1.8 V DIW (A/cm2)],"",0)</f>
        <v>#REF!</v>
      </c>
      <c r="X376" s="69" t="e" cm="1">
        <f t="array" ref="X376">_xlfn.XLOOKUP(Table1[[#This Row],[5 cm2 cell test code]:[5 cm2 cell test code]],[1]!Table1[[Test code]:[Test code]],[1]!Table1[i @ 1.8 V 10 mM KOH (A/cm2)],"",0)</f>
        <v>#REF!</v>
      </c>
      <c r="Y376" s="69" t="e" cm="1">
        <f t="array" ref="Y376">_xlfn.XLOOKUP(Table1[[#This Row],[5 cm2 cell test code]:[5 cm2 cell test code]],[1]!Table1[[Test code]:[Test code]],[1]!Table1[3-E ƞ at 20mAcm-2 (mV)],"",0)</f>
        <v>#REF!</v>
      </c>
      <c r="Z376" s="69" t="e" cm="1">
        <f t="array" ref="Z376">_xlfn.XLOOKUP(Table1[[#This Row],[5 cm2 cell test code]:[5 cm2 cell test code]],[1]!Table1[[Test code]:[Test code]],[1]!Table1[3-E Tafel slope (mV/dec)],"",0)</f>
        <v>#REF!</v>
      </c>
      <c r="AA376" s="69" t="e" cm="1">
        <f t="array" ref="AA376">_xlfn.XLOOKUP(Table1[[#This Row],[5 cm2 cell test code]:[5 cm2 cell test code]],[1]!Table1[[Test code]:[Test code]],[1]!Table1[E @ 100 mA/cm2 DIW/V],"",0)</f>
        <v>#REF!</v>
      </c>
      <c r="AB376" s="69" t="e" cm="1">
        <f t="array" ref="AB376">_xlfn.XLOOKUP(Table1[[#This Row],[5 cm2 cell test code]:[5 cm2 cell test code]],[1]!Table1[[Test code]:[Test code]],[1]!Table1[E @ 100 mA/cm2 10 mM KOH/V],"",0)</f>
        <v>#REF!</v>
      </c>
      <c r="AC376" s="69" t="e" cm="1">
        <f t="array" ref="AC376">_xlfn.XLOOKUP(Table1[[#This Row],[5 cm2 cell test code]:[5 cm2 cell test code]],[1]!Table1[[Test code]:[Test code]],[1]!Table1[Anode ICR/mOhm],"",0)</f>
        <v>#REF!</v>
      </c>
      <c r="AD376" s="69" t="e" cm="1">
        <f t="array" ref="AD376">_xlfn.XLOOKUP(Table1[[#This Row],[5 cm2 cell test code]:[5 cm2 cell test code]],[1]!Table1[[Test code]:[Test code]],[1]!Table1[HFR DIW/ mOhm cm2],"",0)</f>
        <v>#REF!</v>
      </c>
      <c r="AE376" s="69" t="e" cm="1">
        <f t="array" ref="AE376">_xlfn.XLOOKUP(Table1[[#This Row],[5 cm2 cell test code]:[5 cm2 cell test code]],[1]!Table1[[Test code]:[Test code]],[1]!Table1[HFR 10 mM KOH/ mOhm cm2],"",0)</f>
        <v>#REF!</v>
      </c>
      <c r="AF376" s="69" t="e" cm="1">
        <f t="array" ref="AF376">_xlfn.XLOOKUP(Table1[[#This Row],[5 cm2 cell test code]:[5 cm2 cell test code]],[1]!Table1[[Test code]:[Test code]],[1]!Table1[Ionic resistance DIW/Ohm cm2],"",0)</f>
        <v>#REF!</v>
      </c>
      <c r="AG376" s="195" t="e" cm="1">
        <f t="array" ref="AG376">_xlfn.XLOOKUP(Table1[[#This Row],[5 cm2 cell test code]:[5 cm2 cell test code]],[1]!Table1[[Test code]:[Test code]],[1]!Table1[Q_int_frac DIW],"",0)</f>
        <v>#REF!</v>
      </c>
      <c r="AH376" s="195" t="e" cm="1">
        <f t="array" ref="AH376">_xlfn.XLOOKUP(Table1[[#This Row],[5 cm2 cell test code]:[5 cm2 cell test code]],[1]!Table1[[Test code]:[Test code]],[1]!Table1[Ionic resistance 10 mM KOH/Ohm cm2],"",0)</f>
        <v>#REF!</v>
      </c>
      <c r="AI376" s="195" t="e" cm="1">
        <f t="array" ref="AI376">_xlfn.XLOOKUP(Table1[[#This Row],[5 cm2 cell test code]:[5 cm2 cell test code]],[1]!Table1[[Test code]:[Test code]],[1]!Table1[Q_int_frac DIW 10 mM KOH],"",0)</f>
        <v>#REF!</v>
      </c>
      <c r="AJ376" s="69" t="e" cm="1">
        <f t="array" ref="AJ376">_xlfn.XLOOKUP(Table1[[#This Row],[5 cm2 cell test code]:[5 cm2 cell test code]],[1]!Table1[[Test code]:[Test code]],[1]!Table1[DIW conductivity (µS/cm)],"",0)</f>
        <v>#REF!</v>
      </c>
      <c r="AQ376" s="4" t="str">
        <v>VSG02A-23306E1.02</v>
      </c>
    </row>
    <row r="377" spans="1:43">
      <c r="A377" s="81"/>
      <c r="K377" s="43" t="s">
        <v>59</v>
      </c>
      <c r="U377" s="101"/>
      <c r="V377" s="101"/>
      <c r="W377" s="69" t="e" cm="1">
        <f t="array" ref="W377">_xlfn.XLOOKUP(Table1[[#This Row],[5 cm2 cell test code]:[5 cm2 cell test code]],[1]!Table1[[Test code]:[Test code]],[1]!Table1[i @ 1.8 V DIW (A/cm2)],"",0)</f>
        <v>#REF!</v>
      </c>
      <c r="X377" s="69" t="e" cm="1">
        <f t="array" ref="X377">_xlfn.XLOOKUP(Table1[[#This Row],[5 cm2 cell test code]:[5 cm2 cell test code]],[1]!Table1[[Test code]:[Test code]],[1]!Table1[i @ 1.8 V 10 mM KOH (A/cm2)],"",0)</f>
        <v>#REF!</v>
      </c>
      <c r="Y377" s="69" t="e" cm="1">
        <f t="array" ref="Y377">_xlfn.XLOOKUP(Table1[[#This Row],[5 cm2 cell test code]:[5 cm2 cell test code]],[1]!Table1[[Test code]:[Test code]],[1]!Table1[3-E ƞ at 20mAcm-2 (mV)],"",0)</f>
        <v>#REF!</v>
      </c>
      <c r="Z377" s="69" t="e" cm="1">
        <f t="array" ref="Z377">_xlfn.XLOOKUP(Table1[[#This Row],[5 cm2 cell test code]:[5 cm2 cell test code]],[1]!Table1[[Test code]:[Test code]],[1]!Table1[3-E Tafel slope (mV/dec)],"",0)</f>
        <v>#REF!</v>
      </c>
      <c r="AA377" s="69" t="e" cm="1">
        <f t="array" ref="AA377">_xlfn.XLOOKUP(Table1[[#This Row],[5 cm2 cell test code]:[5 cm2 cell test code]],[1]!Table1[[Test code]:[Test code]],[1]!Table1[E @ 100 mA/cm2 DIW/V],"",0)</f>
        <v>#REF!</v>
      </c>
      <c r="AB377" s="69" t="e" cm="1">
        <f t="array" ref="AB377">_xlfn.XLOOKUP(Table1[[#This Row],[5 cm2 cell test code]:[5 cm2 cell test code]],[1]!Table1[[Test code]:[Test code]],[1]!Table1[E @ 100 mA/cm2 10 mM KOH/V],"",0)</f>
        <v>#REF!</v>
      </c>
      <c r="AC377" s="69" t="e" cm="1">
        <f t="array" ref="AC377">_xlfn.XLOOKUP(Table1[[#This Row],[5 cm2 cell test code]:[5 cm2 cell test code]],[1]!Table1[[Test code]:[Test code]],[1]!Table1[Anode ICR/mOhm],"",0)</f>
        <v>#REF!</v>
      </c>
      <c r="AD377" s="69" t="e" cm="1">
        <f t="array" ref="AD377">_xlfn.XLOOKUP(Table1[[#This Row],[5 cm2 cell test code]:[5 cm2 cell test code]],[1]!Table1[[Test code]:[Test code]],[1]!Table1[HFR DIW/ mOhm cm2],"",0)</f>
        <v>#REF!</v>
      </c>
      <c r="AE377" s="69" t="e" cm="1">
        <f t="array" ref="AE377">_xlfn.XLOOKUP(Table1[[#This Row],[5 cm2 cell test code]:[5 cm2 cell test code]],[1]!Table1[[Test code]:[Test code]],[1]!Table1[HFR 10 mM KOH/ mOhm cm2],"",0)</f>
        <v>#REF!</v>
      </c>
      <c r="AF377" s="69" t="e" cm="1">
        <f t="array" ref="AF377">_xlfn.XLOOKUP(Table1[[#This Row],[5 cm2 cell test code]:[5 cm2 cell test code]],[1]!Table1[[Test code]:[Test code]],[1]!Table1[Ionic resistance DIW/Ohm cm2],"",0)</f>
        <v>#REF!</v>
      </c>
      <c r="AG377" s="69" t="e" cm="1">
        <f t="array" ref="AG377">_xlfn.XLOOKUP(Table1[[#This Row],[5 cm2 cell test code]:[5 cm2 cell test code]],[1]!Table1[[Test code]:[Test code]],[1]!Table1[Q_int_frac DIW],"",0)</f>
        <v>#REF!</v>
      </c>
      <c r="AH377" s="69" t="e" cm="1">
        <f t="array" ref="AH377">_xlfn.XLOOKUP(Table1[[#This Row],[5 cm2 cell test code]:[5 cm2 cell test code]],[1]!Table1[[Test code]:[Test code]],[1]!Table1[Ionic resistance 10 mM KOH/Ohm cm2],"",0)</f>
        <v>#REF!</v>
      </c>
      <c r="AI377" s="69" t="e" cm="1">
        <f t="array" ref="AI377">_xlfn.XLOOKUP(Table1[[#This Row],[5 cm2 cell test code]:[5 cm2 cell test code]],[1]!Table1[[Test code]:[Test code]],[1]!Table1[Q_int_frac DIW 10 mM KOH],"",0)</f>
        <v>#REF!</v>
      </c>
      <c r="AJ377" s="69" t="e" cm="1">
        <f t="array" ref="AJ377">_xlfn.XLOOKUP(Table1[[#This Row],[5 cm2 cell test code]:[5 cm2 cell test code]],[1]!Table1[[Test code]:[Test code]],[1]!Table1[DIW conductivity (µS/cm)],"",0)</f>
        <v>#REF!</v>
      </c>
      <c r="AQ377" s="4" t="str">
        <v>VSG02A-23307E1.01</v>
      </c>
    </row>
    <row r="378" spans="1:43">
      <c r="A378" s="81"/>
      <c r="B378" s="11" t="s">
        <v>735</v>
      </c>
      <c r="C378" s="4" t="s">
        <v>736</v>
      </c>
      <c r="I378" s="107" t="s">
        <v>383</v>
      </c>
      <c r="J378" s="107" t="s">
        <v>402</v>
      </c>
      <c r="K378" s="43" t="s">
        <v>59</v>
      </c>
      <c r="L378" s="107"/>
      <c r="M378" s="13">
        <f>(33.59-33.45)*1000/(14.7*25.1)</f>
        <v>0.37943464238285107</v>
      </c>
      <c r="N378" s="13">
        <v>4.0969038208168653</v>
      </c>
      <c r="O378" s="11" t="s">
        <v>502</v>
      </c>
      <c r="P378" s="28">
        <v>1.0109999999999999</v>
      </c>
      <c r="Q378" s="4">
        <v>0.10048</v>
      </c>
      <c r="U378" s="101"/>
      <c r="V378" s="101"/>
      <c r="W378" s="69" t="e" cm="1">
        <f t="array" ref="W378">_xlfn.XLOOKUP(Table1[[#This Row],[5 cm2 cell test code]:[5 cm2 cell test code]],[1]!Table1[[Test code]:[Test code]],[1]!Table1[i @ 1.8 V DIW (A/cm2)],"",0)</f>
        <v>#REF!</v>
      </c>
      <c r="X378" s="69" t="e" cm="1">
        <f t="array" ref="X378">_xlfn.XLOOKUP(Table1[[#This Row],[5 cm2 cell test code]:[5 cm2 cell test code]],[1]!Table1[[Test code]:[Test code]],[1]!Table1[i @ 1.8 V 10 mM KOH (A/cm2)],"",0)</f>
        <v>#REF!</v>
      </c>
      <c r="Y378" s="69" t="e" cm="1">
        <f t="array" ref="Y378">_xlfn.XLOOKUP(Table1[[#This Row],[5 cm2 cell test code]:[5 cm2 cell test code]],[1]!Table1[[Test code]:[Test code]],[1]!Table1[3-E ƞ at 20mAcm-2 (mV)],"",0)</f>
        <v>#REF!</v>
      </c>
      <c r="Z378" s="69" t="e" cm="1">
        <f t="array" ref="Z378">_xlfn.XLOOKUP(Table1[[#This Row],[5 cm2 cell test code]:[5 cm2 cell test code]],[1]!Table1[[Test code]:[Test code]],[1]!Table1[3-E Tafel slope (mV/dec)],"",0)</f>
        <v>#REF!</v>
      </c>
      <c r="AA378" s="69" t="e" cm="1">
        <f t="array" ref="AA378">_xlfn.XLOOKUP(Table1[[#This Row],[5 cm2 cell test code]:[5 cm2 cell test code]],[1]!Table1[[Test code]:[Test code]],[1]!Table1[E @ 100 mA/cm2 DIW/V],"",0)</f>
        <v>#REF!</v>
      </c>
      <c r="AB378" s="69" t="e" cm="1">
        <f t="array" ref="AB378">_xlfn.XLOOKUP(Table1[[#This Row],[5 cm2 cell test code]:[5 cm2 cell test code]],[1]!Table1[[Test code]:[Test code]],[1]!Table1[E @ 100 mA/cm2 10 mM KOH/V],"",0)</f>
        <v>#REF!</v>
      </c>
      <c r="AC378" s="69" t="e" cm="1">
        <f t="array" ref="AC378">_xlfn.XLOOKUP(Table1[[#This Row],[5 cm2 cell test code]:[5 cm2 cell test code]],[1]!Table1[[Test code]:[Test code]],[1]!Table1[Anode ICR/mOhm],"",0)</f>
        <v>#REF!</v>
      </c>
      <c r="AD378" s="69" t="e" cm="1">
        <f t="array" ref="AD378">_xlfn.XLOOKUP(Table1[[#This Row],[5 cm2 cell test code]:[5 cm2 cell test code]],[1]!Table1[[Test code]:[Test code]],[1]!Table1[HFR DIW/ mOhm cm2],"",0)</f>
        <v>#REF!</v>
      </c>
      <c r="AE378" s="69" t="e" cm="1">
        <f t="array" ref="AE378">_xlfn.XLOOKUP(Table1[[#This Row],[5 cm2 cell test code]:[5 cm2 cell test code]],[1]!Table1[[Test code]:[Test code]],[1]!Table1[HFR 10 mM KOH/ mOhm cm2],"",0)</f>
        <v>#REF!</v>
      </c>
      <c r="AF378" s="69" t="e" cm="1">
        <f t="array" ref="AF378">_xlfn.XLOOKUP(Table1[[#This Row],[5 cm2 cell test code]:[5 cm2 cell test code]],[1]!Table1[[Test code]:[Test code]],[1]!Table1[Ionic resistance DIW/Ohm cm2],"",0)</f>
        <v>#REF!</v>
      </c>
      <c r="AG378" s="69" t="e" cm="1">
        <f t="array" ref="AG378">_xlfn.XLOOKUP(Table1[[#This Row],[5 cm2 cell test code]:[5 cm2 cell test code]],[1]!Table1[[Test code]:[Test code]],[1]!Table1[Q_int_frac DIW],"",0)</f>
        <v>#REF!</v>
      </c>
      <c r="AH378" s="69" t="e" cm="1">
        <f t="array" ref="AH378">_xlfn.XLOOKUP(Table1[[#This Row],[5 cm2 cell test code]:[5 cm2 cell test code]],[1]!Table1[[Test code]:[Test code]],[1]!Table1[Ionic resistance 10 mM KOH/Ohm cm2],"",0)</f>
        <v>#REF!</v>
      </c>
      <c r="AI378" s="69" t="e" cm="1">
        <f t="array" ref="AI378">_xlfn.XLOOKUP(Table1[[#This Row],[5 cm2 cell test code]:[5 cm2 cell test code]],[1]!Table1[[Test code]:[Test code]],[1]!Table1[Q_int_frac DIW 10 mM KOH],"",0)</f>
        <v>#REF!</v>
      </c>
      <c r="AJ378" s="69" t="e" cm="1">
        <f t="array" ref="AJ378">_xlfn.XLOOKUP(Table1[[#This Row],[5 cm2 cell test code]:[5 cm2 cell test code]],[1]!Table1[[Test code]:[Test code]],[1]!Table1[DIW conductivity (µS/cm)],"",0)</f>
        <v>#REF!</v>
      </c>
      <c r="AQ378" s="4" t="str">
        <v>VSG02A-23307E1.01-01</v>
      </c>
    </row>
    <row r="379" spans="1:43">
      <c r="A379" s="81"/>
      <c r="B379" s="11" t="s">
        <v>737</v>
      </c>
      <c r="C379" s="4" t="s">
        <v>738</v>
      </c>
      <c r="K379" s="43" t="s">
        <v>59</v>
      </c>
      <c r="Q379" s="135">
        <v>9.4967298525662353E-2</v>
      </c>
      <c r="U379" s="101"/>
      <c r="V379" s="101"/>
      <c r="W379" s="69" t="e" cm="1">
        <f t="array" ref="W379">_xlfn.XLOOKUP(Table1[[#This Row],[5 cm2 cell test code]:[5 cm2 cell test code]],[1]!Table1[[Test code]:[Test code]],[1]!Table1[i @ 1.8 V DIW (A/cm2)],"",0)</f>
        <v>#REF!</v>
      </c>
      <c r="X379" s="69" t="e" cm="1">
        <f t="array" ref="X379">_xlfn.XLOOKUP(Table1[[#This Row],[5 cm2 cell test code]:[5 cm2 cell test code]],[1]!Table1[[Test code]:[Test code]],[1]!Table1[i @ 1.8 V 10 mM KOH (A/cm2)],"",0)</f>
        <v>#REF!</v>
      </c>
      <c r="Y379" s="69" t="e" cm="1">
        <f t="array" ref="Y379">_xlfn.XLOOKUP(Table1[[#This Row],[5 cm2 cell test code]:[5 cm2 cell test code]],[1]!Table1[[Test code]:[Test code]],[1]!Table1[3-E ƞ at 20mAcm-2 (mV)],"",0)</f>
        <v>#REF!</v>
      </c>
      <c r="Z379" s="69" t="e" cm="1">
        <f t="array" ref="Z379">_xlfn.XLOOKUP(Table1[[#This Row],[5 cm2 cell test code]:[5 cm2 cell test code]],[1]!Table1[[Test code]:[Test code]],[1]!Table1[3-E Tafel slope (mV/dec)],"",0)</f>
        <v>#REF!</v>
      </c>
      <c r="AA379" s="69" t="e" cm="1">
        <f t="array" ref="AA379">_xlfn.XLOOKUP(Table1[[#This Row],[5 cm2 cell test code]:[5 cm2 cell test code]],[1]!Table1[[Test code]:[Test code]],[1]!Table1[E @ 100 mA/cm2 DIW/V],"",0)</f>
        <v>#REF!</v>
      </c>
      <c r="AB379" s="69" t="e" cm="1">
        <f t="array" ref="AB379">_xlfn.XLOOKUP(Table1[[#This Row],[5 cm2 cell test code]:[5 cm2 cell test code]],[1]!Table1[[Test code]:[Test code]],[1]!Table1[E @ 100 mA/cm2 10 mM KOH/V],"",0)</f>
        <v>#REF!</v>
      </c>
      <c r="AC379" s="69" t="e" cm="1">
        <f t="array" ref="AC379">_xlfn.XLOOKUP(Table1[[#This Row],[5 cm2 cell test code]:[5 cm2 cell test code]],[1]!Table1[[Test code]:[Test code]],[1]!Table1[Anode ICR/mOhm],"",0)</f>
        <v>#REF!</v>
      </c>
      <c r="AD379" s="69" t="e" cm="1">
        <f t="array" ref="AD379">_xlfn.XLOOKUP(Table1[[#This Row],[5 cm2 cell test code]:[5 cm2 cell test code]],[1]!Table1[[Test code]:[Test code]],[1]!Table1[HFR DIW/ mOhm cm2],"",0)</f>
        <v>#REF!</v>
      </c>
      <c r="AE379" s="69" t="e" cm="1">
        <f t="array" ref="AE379">_xlfn.XLOOKUP(Table1[[#This Row],[5 cm2 cell test code]:[5 cm2 cell test code]],[1]!Table1[[Test code]:[Test code]],[1]!Table1[HFR 10 mM KOH/ mOhm cm2],"",0)</f>
        <v>#REF!</v>
      </c>
      <c r="AF379" s="69" t="e" cm="1">
        <f t="array" ref="AF379">_xlfn.XLOOKUP(Table1[[#This Row],[5 cm2 cell test code]:[5 cm2 cell test code]],[1]!Table1[[Test code]:[Test code]],[1]!Table1[Ionic resistance DIW/Ohm cm2],"",0)</f>
        <v>#REF!</v>
      </c>
      <c r="AG379" s="69" t="e" cm="1">
        <f t="array" ref="AG379">_xlfn.XLOOKUP(Table1[[#This Row],[5 cm2 cell test code]:[5 cm2 cell test code]],[1]!Table1[[Test code]:[Test code]],[1]!Table1[Q_int_frac DIW],"",0)</f>
        <v>#REF!</v>
      </c>
      <c r="AH379" s="69" t="e" cm="1">
        <f t="array" ref="AH379">_xlfn.XLOOKUP(Table1[[#This Row],[5 cm2 cell test code]:[5 cm2 cell test code]],[1]!Table1[[Test code]:[Test code]],[1]!Table1[Ionic resistance 10 mM KOH/Ohm cm2],"",0)</f>
        <v>#REF!</v>
      </c>
      <c r="AI379" s="69" t="e" cm="1">
        <f t="array" ref="AI379">_xlfn.XLOOKUP(Table1[[#This Row],[5 cm2 cell test code]:[5 cm2 cell test code]],[1]!Table1[[Test code]:[Test code]],[1]!Table1[Q_int_frac DIW 10 mM KOH],"",0)</f>
        <v>#REF!</v>
      </c>
      <c r="AJ379" s="69" t="e" cm="1">
        <f t="array" ref="AJ379">_xlfn.XLOOKUP(Table1[[#This Row],[5 cm2 cell test code]:[5 cm2 cell test code]],[1]!Table1[[Test code]:[Test code]],[1]!Table1[DIW conductivity (µS/cm)],"",0)</f>
        <v>#REF!</v>
      </c>
      <c r="AQ379" s="4" t="str">
        <v>VSG02A-23307E1.01-02</v>
      </c>
    </row>
    <row r="380" spans="1:43">
      <c r="A380" s="81"/>
      <c r="B380" s="11" t="s">
        <v>739</v>
      </c>
      <c r="C380" s="4" t="s">
        <v>738</v>
      </c>
      <c r="K380" s="43" t="s">
        <v>59</v>
      </c>
      <c r="Q380" s="135">
        <v>0.11393304024349002</v>
      </c>
      <c r="U380" s="101"/>
      <c r="V380" s="101"/>
      <c r="W380" s="69" t="e" cm="1">
        <f t="array" ref="W380">_xlfn.XLOOKUP(Table1[[#This Row],[5 cm2 cell test code]:[5 cm2 cell test code]],[1]!Table1[[Test code]:[Test code]],[1]!Table1[i @ 1.8 V DIW (A/cm2)],"",0)</f>
        <v>#REF!</v>
      </c>
      <c r="X380" s="69" t="e" cm="1">
        <f t="array" ref="X380">_xlfn.XLOOKUP(Table1[[#This Row],[5 cm2 cell test code]:[5 cm2 cell test code]],[1]!Table1[[Test code]:[Test code]],[1]!Table1[i @ 1.8 V 10 mM KOH (A/cm2)],"",0)</f>
        <v>#REF!</v>
      </c>
      <c r="Y380" s="69" t="e" cm="1">
        <f t="array" ref="Y380">_xlfn.XLOOKUP(Table1[[#This Row],[5 cm2 cell test code]:[5 cm2 cell test code]],[1]!Table1[[Test code]:[Test code]],[1]!Table1[3-E ƞ at 20mAcm-2 (mV)],"",0)</f>
        <v>#REF!</v>
      </c>
      <c r="Z380" s="69" t="e" cm="1">
        <f t="array" ref="Z380">_xlfn.XLOOKUP(Table1[[#This Row],[5 cm2 cell test code]:[5 cm2 cell test code]],[1]!Table1[[Test code]:[Test code]],[1]!Table1[3-E Tafel slope (mV/dec)],"",0)</f>
        <v>#REF!</v>
      </c>
      <c r="AA380" s="69" t="e" cm="1">
        <f t="array" ref="AA380">_xlfn.XLOOKUP(Table1[[#This Row],[5 cm2 cell test code]:[5 cm2 cell test code]],[1]!Table1[[Test code]:[Test code]],[1]!Table1[E @ 100 mA/cm2 DIW/V],"",0)</f>
        <v>#REF!</v>
      </c>
      <c r="AB380" s="69" t="e" cm="1">
        <f t="array" ref="AB380">_xlfn.XLOOKUP(Table1[[#This Row],[5 cm2 cell test code]:[5 cm2 cell test code]],[1]!Table1[[Test code]:[Test code]],[1]!Table1[E @ 100 mA/cm2 10 mM KOH/V],"",0)</f>
        <v>#REF!</v>
      </c>
      <c r="AC380" s="69" t="e" cm="1">
        <f t="array" ref="AC380">_xlfn.XLOOKUP(Table1[[#This Row],[5 cm2 cell test code]:[5 cm2 cell test code]],[1]!Table1[[Test code]:[Test code]],[1]!Table1[Anode ICR/mOhm],"",0)</f>
        <v>#REF!</v>
      </c>
      <c r="AD380" s="69" t="e" cm="1">
        <f t="array" ref="AD380">_xlfn.XLOOKUP(Table1[[#This Row],[5 cm2 cell test code]:[5 cm2 cell test code]],[1]!Table1[[Test code]:[Test code]],[1]!Table1[HFR DIW/ mOhm cm2],"",0)</f>
        <v>#REF!</v>
      </c>
      <c r="AE380" s="69" t="e" cm="1">
        <f t="array" ref="AE380">_xlfn.XLOOKUP(Table1[[#This Row],[5 cm2 cell test code]:[5 cm2 cell test code]],[1]!Table1[[Test code]:[Test code]],[1]!Table1[HFR 10 mM KOH/ mOhm cm2],"",0)</f>
        <v>#REF!</v>
      </c>
      <c r="AF380" s="69" t="e" cm="1">
        <f t="array" ref="AF380">_xlfn.XLOOKUP(Table1[[#This Row],[5 cm2 cell test code]:[5 cm2 cell test code]],[1]!Table1[[Test code]:[Test code]],[1]!Table1[Ionic resistance DIW/Ohm cm2],"",0)</f>
        <v>#REF!</v>
      </c>
      <c r="AG380" s="69" t="e" cm="1">
        <f t="array" ref="AG380">_xlfn.XLOOKUP(Table1[[#This Row],[5 cm2 cell test code]:[5 cm2 cell test code]],[1]!Table1[[Test code]:[Test code]],[1]!Table1[Q_int_frac DIW],"",0)</f>
        <v>#REF!</v>
      </c>
      <c r="AH380" s="69" t="e" cm="1">
        <f t="array" ref="AH380">_xlfn.XLOOKUP(Table1[[#This Row],[5 cm2 cell test code]:[5 cm2 cell test code]],[1]!Table1[[Test code]:[Test code]],[1]!Table1[Ionic resistance 10 mM KOH/Ohm cm2],"",0)</f>
        <v>#REF!</v>
      </c>
      <c r="AI380" s="69" t="e" cm="1">
        <f t="array" ref="AI380">_xlfn.XLOOKUP(Table1[[#This Row],[5 cm2 cell test code]:[5 cm2 cell test code]],[1]!Table1[[Test code]:[Test code]],[1]!Table1[Q_int_frac DIW 10 mM KOH],"",0)</f>
        <v>#REF!</v>
      </c>
      <c r="AJ380" s="69" t="e" cm="1">
        <f t="array" ref="AJ380">_xlfn.XLOOKUP(Table1[[#This Row],[5 cm2 cell test code]:[5 cm2 cell test code]],[1]!Table1[[Test code]:[Test code]],[1]!Table1[DIW conductivity (µS/cm)],"",0)</f>
        <v>#REF!</v>
      </c>
      <c r="AQ380" s="4" t="str">
        <v>VSG02A-23307E1.01-03</v>
      </c>
    </row>
    <row r="381" spans="1:43">
      <c r="A381" s="81"/>
      <c r="K381" s="43" t="s">
        <v>59</v>
      </c>
      <c r="U381" s="101"/>
      <c r="V381" s="101"/>
      <c r="W381" s="69" t="e" cm="1">
        <f t="array" ref="W381">_xlfn.XLOOKUP(Table1[[#This Row],[5 cm2 cell test code]:[5 cm2 cell test code]],[1]!Table1[[Test code]:[Test code]],[1]!Table1[i @ 1.8 V DIW (A/cm2)],"",0)</f>
        <v>#REF!</v>
      </c>
      <c r="X381" s="69" t="e" cm="1">
        <f t="array" ref="X381">_xlfn.XLOOKUP(Table1[[#This Row],[5 cm2 cell test code]:[5 cm2 cell test code]],[1]!Table1[[Test code]:[Test code]],[1]!Table1[i @ 1.8 V 10 mM KOH (A/cm2)],"",0)</f>
        <v>#REF!</v>
      </c>
      <c r="Y381" s="69" t="e" cm="1">
        <f t="array" ref="Y381">_xlfn.XLOOKUP(Table1[[#This Row],[5 cm2 cell test code]:[5 cm2 cell test code]],[1]!Table1[[Test code]:[Test code]],[1]!Table1[3-E ƞ at 20mAcm-2 (mV)],"",0)</f>
        <v>#REF!</v>
      </c>
      <c r="Z381" s="69" t="e" cm="1">
        <f t="array" ref="Z381">_xlfn.XLOOKUP(Table1[[#This Row],[5 cm2 cell test code]:[5 cm2 cell test code]],[1]!Table1[[Test code]:[Test code]],[1]!Table1[3-E Tafel slope (mV/dec)],"",0)</f>
        <v>#REF!</v>
      </c>
      <c r="AA381" s="69" t="e" cm="1">
        <f t="array" ref="AA381">_xlfn.XLOOKUP(Table1[[#This Row],[5 cm2 cell test code]:[5 cm2 cell test code]],[1]!Table1[[Test code]:[Test code]],[1]!Table1[E @ 100 mA/cm2 DIW/V],"",0)</f>
        <v>#REF!</v>
      </c>
      <c r="AB381" s="69" t="e" cm="1">
        <f t="array" ref="AB381">_xlfn.XLOOKUP(Table1[[#This Row],[5 cm2 cell test code]:[5 cm2 cell test code]],[1]!Table1[[Test code]:[Test code]],[1]!Table1[E @ 100 mA/cm2 10 mM KOH/V],"",0)</f>
        <v>#REF!</v>
      </c>
      <c r="AC381" s="69" t="e" cm="1">
        <f t="array" ref="AC381">_xlfn.XLOOKUP(Table1[[#This Row],[5 cm2 cell test code]:[5 cm2 cell test code]],[1]!Table1[[Test code]:[Test code]],[1]!Table1[Anode ICR/mOhm],"",0)</f>
        <v>#REF!</v>
      </c>
      <c r="AD381" s="69" t="e" cm="1">
        <f t="array" ref="AD381">_xlfn.XLOOKUP(Table1[[#This Row],[5 cm2 cell test code]:[5 cm2 cell test code]],[1]!Table1[[Test code]:[Test code]],[1]!Table1[HFR DIW/ mOhm cm2],"",0)</f>
        <v>#REF!</v>
      </c>
      <c r="AE381" s="69" t="e" cm="1">
        <f t="array" ref="AE381">_xlfn.XLOOKUP(Table1[[#This Row],[5 cm2 cell test code]:[5 cm2 cell test code]],[1]!Table1[[Test code]:[Test code]],[1]!Table1[HFR 10 mM KOH/ mOhm cm2],"",0)</f>
        <v>#REF!</v>
      </c>
      <c r="AF381" s="69" t="e" cm="1">
        <f t="array" ref="AF381">_xlfn.XLOOKUP(Table1[[#This Row],[5 cm2 cell test code]:[5 cm2 cell test code]],[1]!Table1[[Test code]:[Test code]],[1]!Table1[Ionic resistance DIW/Ohm cm2],"",0)</f>
        <v>#REF!</v>
      </c>
      <c r="AG381" s="69" t="e" cm="1">
        <f t="array" ref="AG381">_xlfn.XLOOKUP(Table1[[#This Row],[5 cm2 cell test code]:[5 cm2 cell test code]],[1]!Table1[[Test code]:[Test code]],[1]!Table1[Q_int_frac DIW],"",0)</f>
        <v>#REF!</v>
      </c>
      <c r="AH381" s="69" t="e" cm="1">
        <f t="array" ref="AH381">_xlfn.XLOOKUP(Table1[[#This Row],[5 cm2 cell test code]:[5 cm2 cell test code]],[1]!Table1[[Test code]:[Test code]],[1]!Table1[Ionic resistance 10 mM KOH/Ohm cm2],"",0)</f>
        <v>#REF!</v>
      </c>
      <c r="AI381" s="69" t="e" cm="1">
        <f t="array" ref="AI381">_xlfn.XLOOKUP(Table1[[#This Row],[5 cm2 cell test code]:[5 cm2 cell test code]],[1]!Table1[[Test code]:[Test code]],[1]!Table1[Q_int_frac DIW 10 mM KOH],"",0)</f>
        <v>#REF!</v>
      </c>
      <c r="AJ381" s="69" t="e" cm="1">
        <f t="array" ref="AJ381">_xlfn.XLOOKUP(Table1[[#This Row],[5 cm2 cell test code]:[5 cm2 cell test code]],[1]!Table1[[Test code]:[Test code]],[1]!Table1[DIW conductivity (µS/cm)],"",0)</f>
        <v>#REF!</v>
      </c>
      <c r="AQ381" s="4" t="str">
        <v>VSG02A-23307E1.01-04</v>
      </c>
    </row>
    <row r="382" spans="1:43">
      <c r="A382" s="81"/>
      <c r="B382" s="11" t="s">
        <v>740</v>
      </c>
      <c r="C382" s="4" t="s">
        <v>741</v>
      </c>
      <c r="I382" s="107" t="s">
        <v>383</v>
      </c>
      <c r="J382" s="107" t="s">
        <v>402</v>
      </c>
      <c r="K382" s="43" t="s">
        <v>59</v>
      </c>
      <c r="L382" s="149">
        <v>45183</v>
      </c>
      <c r="M382" s="13">
        <f>(29.67-29.8)*1000/(25.1*12.9)</f>
        <v>-0.40149479600975629</v>
      </c>
      <c r="N382" s="13">
        <v>5.25</v>
      </c>
      <c r="Q382" s="135">
        <v>0.10563310593546545</v>
      </c>
      <c r="U382" s="101"/>
      <c r="V382" s="101"/>
      <c r="W382" s="69" t="e" cm="1">
        <f t="array" ref="W382">_xlfn.XLOOKUP(Table1[[#This Row],[5 cm2 cell test code]:[5 cm2 cell test code]],[1]!Table1[[Test code]:[Test code]],[1]!Table1[i @ 1.8 V DIW (A/cm2)],"",0)</f>
        <v>#REF!</v>
      </c>
      <c r="X382" s="69" t="e" cm="1">
        <f t="array" ref="X382">_xlfn.XLOOKUP(Table1[[#This Row],[5 cm2 cell test code]:[5 cm2 cell test code]],[1]!Table1[[Test code]:[Test code]],[1]!Table1[i @ 1.8 V 10 mM KOH (A/cm2)],"",0)</f>
        <v>#REF!</v>
      </c>
      <c r="Y382" s="69" t="e" cm="1">
        <f t="array" ref="Y382">_xlfn.XLOOKUP(Table1[[#This Row],[5 cm2 cell test code]:[5 cm2 cell test code]],[1]!Table1[[Test code]:[Test code]],[1]!Table1[3-E ƞ at 20mAcm-2 (mV)],"",0)</f>
        <v>#REF!</v>
      </c>
      <c r="Z382" s="69" t="e" cm="1">
        <f t="array" ref="Z382">_xlfn.XLOOKUP(Table1[[#This Row],[5 cm2 cell test code]:[5 cm2 cell test code]],[1]!Table1[[Test code]:[Test code]],[1]!Table1[3-E Tafel slope (mV/dec)],"",0)</f>
        <v>#REF!</v>
      </c>
      <c r="AA382" s="69" t="e" cm="1">
        <f t="array" ref="AA382">_xlfn.XLOOKUP(Table1[[#This Row],[5 cm2 cell test code]:[5 cm2 cell test code]],[1]!Table1[[Test code]:[Test code]],[1]!Table1[E @ 100 mA/cm2 DIW/V],"",0)</f>
        <v>#REF!</v>
      </c>
      <c r="AB382" s="69" t="e" cm="1">
        <f t="array" ref="AB382">_xlfn.XLOOKUP(Table1[[#This Row],[5 cm2 cell test code]:[5 cm2 cell test code]],[1]!Table1[[Test code]:[Test code]],[1]!Table1[E @ 100 mA/cm2 10 mM KOH/V],"",0)</f>
        <v>#REF!</v>
      </c>
      <c r="AC382" s="69" t="e" cm="1">
        <f t="array" ref="AC382">_xlfn.XLOOKUP(Table1[[#This Row],[5 cm2 cell test code]:[5 cm2 cell test code]],[1]!Table1[[Test code]:[Test code]],[1]!Table1[Anode ICR/mOhm],"",0)</f>
        <v>#REF!</v>
      </c>
      <c r="AD382" s="69" t="e" cm="1">
        <f t="array" ref="AD382">_xlfn.XLOOKUP(Table1[[#This Row],[5 cm2 cell test code]:[5 cm2 cell test code]],[1]!Table1[[Test code]:[Test code]],[1]!Table1[HFR DIW/ mOhm cm2],"",0)</f>
        <v>#REF!</v>
      </c>
      <c r="AE382" s="69" t="e" cm="1">
        <f t="array" ref="AE382">_xlfn.XLOOKUP(Table1[[#This Row],[5 cm2 cell test code]:[5 cm2 cell test code]],[1]!Table1[[Test code]:[Test code]],[1]!Table1[HFR 10 mM KOH/ mOhm cm2],"",0)</f>
        <v>#REF!</v>
      </c>
      <c r="AF382" s="69" t="e" cm="1">
        <f t="array" ref="AF382">_xlfn.XLOOKUP(Table1[[#This Row],[5 cm2 cell test code]:[5 cm2 cell test code]],[1]!Table1[[Test code]:[Test code]],[1]!Table1[Ionic resistance DIW/Ohm cm2],"",0)</f>
        <v>#REF!</v>
      </c>
      <c r="AG382" s="69" t="e" cm="1">
        <f t="array" ref="AG382">_xlfn.XLOOKUP(Table1[[#This Row],[5 cm2 cell test code]:[5 cm2 cell test code]],[1]!Table1[[Test code]:[Test code]],[1]!Table1[Q_int_frac DIW],"",0)</f>
        <v>#REF!</v>
      </c>
      <c r="AH382" s="69" t="e" cm="1">
        <f t="array" ref="AH382">_xlfn.XLOOKUP(Table1[[#This Row],[5 cm2 cell test code]:[5 cm2 cell test code]],[1]!Table1[[Test code]:[Test code]],[1]!Table1[Ionic resistance 10 mM KOH/Ohm cm2],"",0)</f>
        <v>#REF!</v>
      </c>
      <c r="AI382" s="69" t="e" cm="1">
        <f t="array" ref="AI382">_xlfn.XLOOKUP(Table1[[#This Row],[5 cm2 cell test code]:[5 cm2 cell test code]],[1]!Table1[[Test code]:[Test code]],[1]!Table1[Q_int_frac DIW 10 mM KOH],"",0)</f>
        <v>#REF!</v>
      </c>
      <c r="AJ382" s="69" t="e" cm="1">
        <f t="array" ref="AJ382">_xlfn.XLOOKUP(Table1[[#This Row],[5 cm2 cell test code]:[5 cm2 cell test code]],[1]!Table1[[Test code]:[Test code]],[1]!Table1[DIW conductivity (µS/cm)],"",0)</f>
        <v>#REF!</v>
      </c>
      <c r="AQ382" s="4" t="str">
        <v>VSG02A-23307E1.01-05</v>
      </c>
    </row>
    <row r="383" spans="1:43">
      <c r="A383" s="81"/>
      <c r="B383" s="11" t="s">
        <v>742</v>
      </c>
      <c r="C383" s="4" t="s">
        <v>743</v>
      </c>
      <c r="P383" s="28">
        <f>(0.6043-0.5966)*1000/(2.4*2.4)</f>
        <v>1.3368055555555434</v>
      </c>
      <c r="U383" s="101"/>
      <c r="V383" s="101"/>
      <c r="W383" s="69" t="e" cm="1">
        <f t="array" ref="W383">_xlfn.XLOOKUP(Table1[[#This Row],[5 cm2 cell test code]:[5 cm2 cell test code]],[1]!Table1[[Test code]:[Test code]],[1]!Table1[i @ 1.8 V DIW (A/cm2)],"",0)</f>
        <v>#REF!</v>
      </c>
      <c r="X383" s="69" t="e" cm="1">
        <f t="array" ref="X383">_xlfn.XLOOKUP(Table1[[#This Row],[5 cm2 cell test code]:[5 cm2 cell test code]],[1]!Table1[[Test code]:[Test code]],[1]!Table1[i @ 1.8 V 10 mM KOH (A/cm2)],"",0)</f>
        <v>#REF!</v>
      </c>
      <c r="Y383" s="69" t="e" cm="1">
        <f t="array" ref="Y383">_xlfn.XLOOKUP(Table1[[#This Row],[5 cm2 cell test code]:[5 cm2 cell test code]],[1]!Table1[[Test code]:[Test code]],[1]!Table1[3-E ƞ at 20mAcm-2 (mV)],"",0)</f>
        <v>#REF!</v>
      </c>
      <c r="Z383" s="69" t="e" cm="1">
        <f t="array" ref="Z383">_xlfn.XLOOKUP(Table1[[#This Row],[5 cm2 cell test code]:[5 cm2 cell test code]],[1]!Table1[[Test code]:[Test code]],[1]!Table1[3-E Tafel slope (mV/dec)],"",0)</f>
        <v>#REF!</v>
      </c>
      <c r="AA383" s="69" t="e" cm="1">
        <f t="array" ref="AA383">_xlfn.XLOOKUP(Table1[[#This Row],[5 cm2 cell test code]:[5 cm2 cell test code]],[1]!Table1[[Test code]:[Test code]],[1]!Table1[E @ 100 mA/cm2 DIW/V],"",0)</f>
        <v>#REF!</v>
      </c>
      <c r="AB383" s="69" t="e" cm="1">
        <f t="array" ref="AB383">_xlfn.XLOOKUP(Table1[[#This Row],[5 cm2 cell test code]:[5 cm2 cell test code]],[1]!Table1[[Test code]:[Test code]],[1]!Table1[E @ 100 mA/cm2 10 mM KOH/V],"",0)</f>
        <v>#REF!</v>
      </c>
      <c r="AC383" s="69" t="e" cm="1">
        <f t="array" ref="AC383">_xlfn.XLOOKUP(Table1[[#This Row],[5 cm2 cell test code]:[5 cm2 cell test code]],[1]!Table1[[Test code]:[Test code]],[1]!Table1[Anode ICR/mOhm],"",0)</f>
        <v>#REF!</v>
      </c>
      <c r="AD383" s="69" t="e" cm="1">
        <f t="array" ref="AD383">_xlfn.XLOOKUP(Table1[[#This Row],[5 cm2 cell test code]:[5 cm2 cell test code]],[1]!Table1[[Test code]:[Test code]],[1]!Table1[HFR DIW/ mOhm cm2],"",0)</f>
        <v>#REF!</v>
      </c>
      <c r="AE383" s="69" t="e" cm="1">
        <f t="array" ref="AE383">_xlfn.XLOOKUP(Table1[[#This Row],[5 cm2 cell test code]:[5 cm2 cell test code]],[1]!Table1[[Test code]:[Test code]],[1]!Table1[HFR 10 mM KOH/ mOhm cm2],"",0)</f>
        <v>#REF!</v>
      </c>
      <c r="AF383" s="69" t="e" cm="1">
        <f t="array" ref="AF383">_xlfn.XLOOKUP(Table1[[#This Row],[5 cm2 cell test code]:[5 cm2 cell test code]],[1]!Table1[[Test code]:[Test code]],[1]!Table1[Ionic resistance DIW/Ohm cm2],"",0)</f>
        <v>#REF!</v>
      </c>
      <c r="AG383" s="69" t="e" cm="1">
        <f t="array" ref="AG383">_xlfn.XLOOKUP(Table1[[#This Row],[5 cm2 cell test code]:[5 cm2 cell test code]],[1]!Table1[[Test code]:[Test code]],[1]!Table1[Q_int_frac DIW],"",0)</f>
        <v>#REF!</v>
      </c>
      <c r="AH383" s="69" t="e" cm="1">
        <f t="array" ref="AH383">_xlfn.XLOOKUP(Table1[[#This Row],[5 cm2 cell test code]:[5 cm2 cell test code]],[1]!Table1[[Test code]:[Test code]],[1]!Table1[Ionic resistance 10 mM KOH/Ohm cm2],"",0)</f>
        <v>#REF!</v>
      </c>
      <c r="AI383" s="69" t="e" cm="1">
        <f t="array" ref="AI383">_xlfn.XLOOKUP(Table1[[#This Row],[5 cm2 cell test code]:[5 cm2 cell test code]],[1]!Table1[[Test code]:[Test code]],[1]!Table1[Q_int_frac DIW 10 mM KOH],"",0)</f>
        <v>#REF!</v>
      </c>
      <c r="AJ383" s="69" t="e" cm="1">
        <f t="array" ref="AJ383">_xlfn.XLOOKUP(Table1[[#This Row],[5 cm2 cell test code]:[5 cm2 cell test code]],[1]!Table1[[Test code]:[Test code]],[1]!Table1[DIW conductivity (µS/cm)],"",0)</f>
        <v>#REF!</v>
      </c>
      <c r="AQ383" s="4" t="str">
        <v>VSG02A-23307E1.01-06</v>
      </c>
    </row>
    <row r="384" spans="1:43">
      <c r="A384" s="81"/>
      <c r="B384" s="11" t="s">
        <v>744</v>
      </c>
      <c r="C384" s="4" t="s">
        <v>745</v>
      </c>
      <c r="P384" s="28">
        <f>(0.5911-0.5839)*1000/(2.4*2.4)</f>
        <v>1.2499999999999973</v>
      </c>
      <c r="U384" s="101"/>
      <c r="V384" s="101"/>
      <c r="W384" s="69" t="e" cm="1">
        <f t="array" ref="W384">_xlfn.XLOOKUP(Table1[[#This Row],[5 cm2 cell test code]:[5 cm2 cell test code]],[1]!Table1[[Test code]:[Test code]],[1]!Table1[i @ 1.8 V DIW (A/cm2)],"",0)</f>
        <v>#REF!</v>
      </c>
      <c r="X384" s="69" t="e" cm="1">
        <f t="array" ref="X384">_xlfn.XLOOKUP(Table1[[#This Row],[5 cm2 cell test code]:[5 cm2 cell test code]],[1]!Table1[[Test code]:[Test code]],[1]!Table1[i @ 1.8 V 10 mM KOH (A/cm2)],"",0)</f>
        <v>#REF!</v>
      </c>
      <c r="Y384" s="69" t="e" cm="1">
        <f t="array" ref="Y384">_xlfn.XLOOKUP(Table1[[#This Row],[5 cm2 cell test code]:[5 cm2 cell test code]],[1]!Table1[[Test code]:[Test code]],[1]!Table1[3-E ƞ at 20mAcm-2 (mV)],"",0)</f>
        <v>#REF!</v>
      </c>
      <c r="Z384" s="69" t="e" cm="1">
        <f t="array" ref="Z384">_xlfn.XLOOKUP(Table1[[#This Row],[5 cm2 cell test code]:[5 cm2 cell test code]],[1]!Table1[[Test code]:[Test code]],[1]!Table1[3-E Tafel slope (mV/dec)],"",0)</f>
        <v>#REF!</v>
      </c>
      <c r="AA384" s="69" t="e" cm="1">
        <f t="array" ref="AA384">_xlfn.XLOOKUP(Table1[[#This Row],[5 cm2 cell test code]:[5 cm2 cell test code]],[1]!Table1[[Test code]:[Test code]],[1]!Table1[E @ 100 mA/cm2 DIW/V],"",0)</f>
        <v>#REF!</v>
      </c>
      <c r="AB384" s="69" t="e" cm="1">
        <f t="array" ref="AB384">_xlfn.XLOOKUP(Table1[[#This Row],[5 cm2 cell test code]:[5 cm2 cell test code]],[1]!Table1[[Test code]:[Test code]],[1]!Table1[E @ 100 mA/cm2 10 mM KOH/V],"",0)</f>
        <v>#REF!</v>
      </c>
      <c r="AC384" s="69" t="e" cm="1">
        <f t="array" ref="AC384">_xlfn.XLOOKUP(Table1[[#This Row],[5 cm2 cell test code]:[5 cm2 cell test code]],[1]!Table1[[Test code]:[Test code]],[1]!Table1[Anode ICR/mOhm],"",0)</f>
        <v>#REF!</v>
      </c>
      <c r="AD384" s="69" t="e" cm="1">
        <f t="array" ref="AD384">_xlfn.XLOOKUP(Table1[[#This Row],[5 cm2 cell test code]:[5 cm2 cell test code]],[1]!Table1[[Test code]:[Test code]],[1]!Table1[HFR DIW/ mOhm cm2],"",0)</f>
        <v>#REF!</v>
      </c>
      <c r="AE384" s="69" t="e" cm="1">
        <f t="array" ref="AE384">_xlfn.XLOOKUP(Table1[[#This Row],[5 cm2 cell test code]:[5 cm2 cell test code]],[1]!Table1[[Test code]:[Test code]],[1]!Table1[HFR 10 mM KOH/ mOhm cm2],"",0)</f>
        <v>#REF!</v>
      </c>
      <c r="AF384" s="69" t="e" cm="1">
        <f t="array" ref="AF384">_xlfn.XLOOKUP(Table1[[#This Row],[5 cm2 cell test code]:[5 cm2 cell test code]],[1]!Table1[[Test code]:[Test code]],[1]!Table1[Ionic resistance DIW/Ohm cm2],"",0)</f>
        <v>#REF!</v>
      </c>
      <c r="AG384" s="69" t="e" cm="1">
        <f t="array" ref="AG384">_xlfn.XLOOKUP(Table1[[#This Row],[5 cm2 cell test code]:[5 cm2 cell test code]],[1]!Table1[[Test code]:[Test code]],[1]!Table1[Q_int_frac DIW],"",0)</f>
        <v>#REF!</v>
      </c>
      <c r="AH384" s="69" t="e" cm="1">
        <f t="array" ref="AH384">_xlfn.XLOOKUP(Table1[[#This Row],[5 cm2 cell test code]:[5 cm2 cell test code]],[1]!Table1[[Test code]:[Test code]],[1]!Table1[Ionic resistance 10 mM KOH/Ohm cm2],"",0)</f>
        <v>#REF!</v>
      </c>
      <c r="AI384" s="69" t="e" cm="1">
        <f t="array" ref="AI384">_xlfn.XLOOKUP(Table1[[#This Row],[5 cm2 cell test code]:[5 cm2 cell test code]],[1]!Table1[[Test code]:[Test code]],[1]!Table1[Q_int_frac DIW 10 mM KOH],"",0)</f>
        <v>#REF!</v>
      </c>
      <c r="AJ384" s="69" t="e" cm="1">
        <f t="array" ref="AJ384">_xlfn.XLOOKUP(Table1[[#This Row],[5 cm2 cell test code]:[5 cm2 cell test code]],[1]!Table1[[Test code]:[Test code]],[1]!Table1[DIW conductivity (µS/cm)],"",0)</f>
        <v>#REF!</v>
      </c>
      <c r="AQ384" s="4" t="str">
        <v>VSG02A-23307E1.01-07</v>
      </c>
    </row>
    <row r="385" spans="1:43">
      <c r="A385" s="81"/>
      <c r="B385" s="11" t="s">
        <v>746</v>
      </c>
      <c r="C385" s="4" t="s">
        <v>747</v>
      </c>
      <c r="Q385" s="4">
        <v>1.7149999999999999E-2</v>
      </c>
      <c r="U385" s="101"/>
      <c r="V385" s="101"/>
      <c r="W385" s="69" t="e" cm="1">
        <f t="array" ref="W385">_xlfn.XLOOKUP(Table1[[#This Row],[5 cm2 cell test code]:[5 cm2 cell test code]],[1]!Table1[[Test code]:[Test code]],[1]!Table1[i @ 1.8 V DIW (A/cm2)],"",0)</f>
        <v>#REF!</v>
      </c>
      <c r="X385" s="69" t="e" cm="1">
        <f t="array" ref="X385">_xlfn.XLOOKUP(Table1[[#This Row],[5 cm2 cell test code]:[5 cm2 cell test code]],[1]!Table1[[Test code]:[Test code]],[1]!Table1[i @ 1.8 V 10 mM KOH (A/cm2)],"",0)</f>
        <v>#REF!</v>
      </c>
      <c r="Y385" s="69" t="e" cm="1">
        <f t="array" ref="Y385">_xlfn.XLOOKUP(Table1[[#This Row],[5 cm2 cell test code]:[5 cm2 cell test code]],[1]!Table1[[Test code]:[Test code]],[1]!Table1[3-E ƞ at 20mAcm-2 (mV)],"",0)</f>
        <v>#REF!</v>
      </c>
      <c r="Z385" s="69" t="e" cm="1">
        <f t="array" ref="Z385">_xlfn.XLOOKUP(Table1[[#This Row],[5 cm2 cell test code]:[5 cm2 cell test code]],[1]!Table1[[Test code]:[Test code]],[1]!Table1[3-E Tafel slope (mV/dec)],"",0)</f>
        <v>#REF!</v>
      </c>
      <c r="AA385" s="69" t="e" cm="1">
        <f t="array" ref="AA385">_xlfn.XLOOKUP(Table1[[#This Row],[5 cm2 cell test code]:[5 cm2 cell test code]],[1]!Table1[[Test code]:[Test code]],[1]!Table1[E @ 100 mA/cm2 DIW/V],"",0)</f>
        <v>#REF!</v>
      </c>
      <c r="AB385" s="69" t="e" cm="1">
        <f t="array" ref="AB385">_xlfn.XLOOKUP(Table1[[#This Row],[5 cm2 cell test code]:[5 cm2 cell test code]],[1]!Table1[[Test code]:[Test code]],[1]!Table1[E @ 100 mA/cm2 10 mM KOH/V],"",0)</f>
        <v>#REF!</v>
      </c>
      <c r="AC385" s="69" t="e" cm="1">
        <f t="array" ref="AC385">_xlfn.XLOOKUP(Table1[[#This Row],[5 cm2 cell test code]:[5 cm2 cell test code]],[1]!Table1[[Test code]:[Test code]],[1]!Table1[Anode ICR/mOhm],"",0)</f>
        <v>#REF!</v>
      </c>
      <c r="AD385" s="69" t="e" cm="1">
        <f t="array" ref="AD385">_xlfn.XLOOKUP(Table1[[#This Row],[5 cm2 cell test code]:[5 cm2 cell test code]],[1]!Table1[[Test code]:[Test code]],[1]!Table1[HFR DIW/ mOhm cm2],"",0)</f>
        <v>#REF!</v>
      </c>
      <c r="AE385" s="69" t="e" cm="1">
        <f t="array" ref="AE385">_xlfn.XLOOKUP(Table1[[#This Row],[5 cm2 cell test code]:[5 cm2 cell test code]],[1]!Table1[[Test code]:[Test code]],[1]!Table1[HFR 10 mM KOH/ mOhm cm2],"",0)</f>
        <v>#REF!</v>
      </c>
      <c r="AF385" s="69" t="e" cm="1">
        <f t="array" ref="AF385">_xlfn.XLOOKUP(Table1[[#This Row],[5 cm2 cell test code]:[5 cm2 cell test code]],[1]!Table1[[Test code]:[Test code]],[1]!Table1[Ionic resistance DIW/Ohm cm2],"",0)</f>
        <v>#REF!</v>
      </c>
      <c r="AG385" s="69" t="e" cm="1">
        <f t="array" ref="AG385">_xlfn.XLOOKUP(Table1[[#This Row],[5 cm2 cell test code]:[5 cm2 cell test code]],[1]!Table1[[Test code]:[Test code]],[1]!Table1[Q_int_frac DIW],"",0)</f>
        <v>#REF!</v>
      </c>
      <c r="AH385" s="69" t="e" cm="1">
        <f t="array" ref="AH385">_xlfn.XLOOKUP(Table1[[#This Row],[5 cm2 cell test code]:[5 cm2 cell test code]],[1]!Table1[[Test code]:[Test code]],[1]!Table1[Ionic resistance 10 mM KOH/Ohm cm2],"",0)</f>
        <v>#REF!</v>
      </c>
      <c r="AI385" s="69" t="e" cm="1">
        <f t="array" ref="AI385">_xlfn.XLOOKUP(Table1[[#This Row],[5 cm2 cell test code]:[5 cm2 cell test code]],[1]!Table1[[Test code]:[Test code]],[1]!Table1[Q_int_frac DIW 10 mM KOH],"",0)</f>
        <v>#REF!</v>
      </c>
      <c r="AJ385" s="69" t="e" cm="1">
        <f t="array" ref="AJ385">_xlfn.XLOOKUP(Table1[[#This Row],[5 cm2 cell test code]:[5 cm2 cell test code]],[1]!Table1[[Test code]:[Test code]],[1]!Table1[DIW conductivity (µS/cm)],"",0)</f>
        <v>#REF!</v>
      </c>
      <c r="AQ385" s="4" t="str">
        <v>VSG02A-23307E1.01-08</v>
      </c>
    </row>
    <row r="386" spans="1:43">
      <c r="A386" s="81"/>
      <c r="B386" s="11" t="s">
        <v>748</v>
      </c>
      <c r="C386" s="4" t="s">
        <v>749</v>
      </c>
      <c r="E386" s="4" t="s">
        <v>750</v>
      </c>
      <c r="Q386" s="135">
        <v>1.682469523062665E-2</v>
      </c>
      <c r="U386" s="101"/>
      <c r="V386" s="101"/>
      <c r="W386" s="69" t="e" cm="1">
        <f t="array" ref="W386">_xlfn.XLOOKUP(Table1[[#This Row],[5 cm2 cell test code]:[5 cm2 cell test code]],[1]!Table1[[Test code]:[Test code]],[1]!Table1[i @ 1.8 V DIW (A/cm2)],"",0)</f>
        <v>#REF!</v>
      </c>
      <c r="X386" s="69" t="e" cm="1">
        <f t="array" ref="X386">_xlfn.XLOOKUP(Table1[[#This Row],[5 cm2 cell test code]:[5 cm2 cell test code]],[1]!Table1[[Test code]:[Test code]],[1]!Table1[i @ 1.8 V 10 mM KOH (A/cm2)],"",0)</f>
        <v>#REF!</v>
      </c>
      <c r="Y386" s="69" t="e" cm="1">
        <f t="array" ref="Y386">_xlfn.XLOOKUP(Table1[[#This Row],[5 cm2 cell test code]:[5 cm2 cell test code]],[1]!Table1[[Test code]:[Test code]],[1]!Table1[3-E ƞ at 20mAcm-2 (mV)],"",0)</f>
        <v>#REF!</v>
      </c>
      <c r="Z386" s="69" t="e" cm="1">
        <f t="array" ref="Z386">_xlfn.XLOOKUP(Table1[[#This Row],[5 cm2 cell test code]:[5 cm2 cell test code]],[1]!Table1[[Test code]:[Test code]],[1]!Table1[3-E Tafel slope (mV/dec)],"",0)</f>
        <v>#REF!</v>
      </c>
      <c r="AA386" s="69" t="e" cm="1">
        <f t="array" ref="AA386">_xlfn.XLOOKUP(Table1[[#This Row],[5 cm2 cell test code]:[5 cm2 cell test code]],[1]!Table1[[Test code]:[Test code]],[1]!Table1[E @ 100 mA/cm2 DIW/V],"",0)</f>
        <v>#REF!</v>
      </c>
      <c r="AB386" s="69" t="e" cm="1">
        <f t="array" ref="AB386">_xlfn.XLOOKUP(Table1[[#This Row],[5 cm2 cell test code]:[5 cm2 cell test code]],[1]!Table1[[Test code]:[Test code]],[1]!Table1[E @ 100 mA/cm2 10 mM KOH/V],"",0)</f>
        <v>#REF!</v>
      </c>
      <c r="AC386" s="69" t="e" cm="1">
        <f t="array" ref="AC386">_xlfn.XLOOKUP(Table1[[#This Row],[5 cm2 cell test code]:[5 cm2 cell test code]],[1]!Table1[[Test code]:[Test code]],[1]!Table1[Anode ICR/mOhm],"",0)</f>
        <v>#REF!</v>
      </c>
      <c r="AD386" s="69" t="e" cm="1">
        <f t="array" ref="AD386">_xlfn.XLOOKUP(Table1[[#This Row],[5 cm2 cell test code]:[5 cm2 cell test code]],[1]!Table1[[Test code]:[Test code]],[1]!Table1[HFR DIW/ mOhm cm2],"",0)</f>
        <v>#REF!</v>
      </c>
      <c r="AE386" s="69" t="e" cm="1">
        <f t="array" ref="AE386">_xlfn.XLOOKUP(Table1[[#This Row],[5 cm2 cell test code]:[5 cm2 cell test code]],[1]!Table1[[Test code]:[Test code]],[1]!Table1[HFR 10 mM KOH/ mOhm cm2],"",0)</f>
        <v>#REF!</v>
      </c>
      <c r="AF386" s="69" t="e" cm="1">
        <f t="array" ref="AF386">_xlfn.XLOOKUP(Table1[[#This Row],[5 cm2 cell test code]:[5 cm2 cell test code]],[1]!Table1[[Test code]:[Test code]],[1]!Table1[Ionic resistance DIW/Ohm cm2],"",0)</f>
        <v>#REF!</v>
      </c>
      <c r="AG386" s="69" t="e" cm="1">
        <f t="array" ref="AG386">_xlfn.XLOOKUP(Table1[[#This Row],[5 cm2 cell test code]:[5 cm2 cell test code]],[1]!Table1[[Test code]:[Test code]],[1]!Table1[Q_int_frac DIW],"",0)</f>
        <v>#REF!</v>
      </c>
      <c r="AH386" s="69" t="e" cm="1">
        <f t="array" ref="AH386">_xlfn.XLOOKUP(Table1[[#This Row],[5 cm2 cell test code]:[5 cm2 cell test code]],[1]!Table1[[Test code]:[Test code]],[1]!Table1[Ionic resistance 10 mM KOH/Ohm cm2],"",0)</f>
        <v>#REF!</v>
      </c>
      <c r="AI386" s="69" t="e" cm="1">
        <f t="array" ref="AI386">_xlfn.XLOOKUP(Table1[[#This Row],[5 cm2 cell test code]:[5 cm2 cell test code]],[1]!Table1[[Test code]:[Test code]],[1]!Table1[Q_int_frac DIW 10 mM KOH],"",0)</f>
        <v>#REF!</v>
      </c>
      <c r="AJ386" s="69" t="e" cm="1">
        <f t="array" ref="AJ386">_xlfn.XLOOKUP(Table1[[#This Row],[5 cm2 cell test code]:[5 cm2 cell test code]],[1]!Table1[[Test code]:[Test code]],[1]!Table1[DIW conductivity (µS/cm)],"",0)</f>
        <v>#REF!</v>
      </c>
      <c r="AQ386" s="4" t="str">
        <v>VSG02A-23307E1.01-09</v>
      </c>
    </row>
    <row r="387" spans="1:43">
      <c r="A387" s="81"/>
      <c r="B387" s="11" t="s">
        <v>748</v>
      </c>
      <c r="C387" s="4" t="s">
        <v>751</v>
      </c>
      <c r="E387" s="4" t="s">
        <v>750</v>
      </c>
      <c r="Q387" s="135">
        <v>1.8598289202376335E-2</v>
      </c>
      <c r="U387" s="101"/>
      <c r="V387" s="101"/>
      <c r="W387" s="69" t="e" cm="1">
        <f t="array" ref="W387">_xlfn.XLOOKUP(Table1[[#This Row],[5 cm2 cell test code]:[5 cm2 cell test code]],[1]!Table1[[Test code]:[Test code]],[1]!Table1[i @ 1.8 V DIW (A/cm2)],"",0)</f>
        <v>#REF!</v>
      </c>
      <c r="X387" s="69" t="e" cm="1">
        <f t="array" ref="X387">_xlfn.XLOOKUP(Table1[[#This Row],[5 cm2 cell test code]:[5 cm2 cell test code]],[1]!Table1[[Test code]:[Test code]],[1]!Table1[i @ 1.8 V 10 mM KOH (A/cm2)],"",0)</f>
        <v>#REF!</v>
      </c>
      <c r="Y387" s="69" t="e" cm="1">
        <f t="array" ref="Y387">_xlfn.XLOOKUP(Table1[[#This Row],[5 cm2 cell test code]:[5 cm2 cell test code]],[1]!Table1[[Test code]:[Test code]],[1]!Table1[3-E ƞ at 20mAcm-2 (mV)],"",0)</f>
        <v>#REF!</v>
      </c>
      <c r="Z387" s="69" t="e" cm="1">
        <f t="array" ref="Z387">_xlfn.XLOOKUP(Table1[[#This Row],[5 cm2 cell test code]:[5 cm2 cell test code]],[1]!Table1[[Test code]:[Test code]],[1]!Table1[3-E Tafel slope (mV/dec)],"",0)</f>
        <v>#REF!</v>
      </c>
      <c r="AA387" s="69" t="e" cm="1">
        <f t="array" ref="AA387">_xlfn.XLOOKUP(Table1[[#This Row],[5 cm2 cell test code]:[5 cm2 cell test code]],[1]!Table1[[Test code]:[Test code]],[1]!Table1[E @ 100 mA/cm2 DIW/V],"",0)</f>
        <v>#REF!</v>
      </c>
      <c r="AB387" s="69" t="e" cm="1">
        <f t="array" ref="AB387">_xlfn.XLOOKUP(Table1[[#This Row],[5 cm2 cell test code]:[5 cm2 cell test code]],[1]!Table1[[Test code]:[Test code]],[1]!Table1[E @ 100 mA/cm2 10 mM KOH/V],"",0)</f>
        <v>#REF!</v>
      </c>
      <c r="AC387" s="69" t="e" cm="1">
        <f t="array" ref="AC387">_xlfn.XLOOKUP(Table1[[#This Row],[5 cm2 cell test code]:[5 cm2 cell test code]],[1]!Table1[[Test code]:[Test code]],[1]!Table1[Anode ICR/mOhm],"",0)</f>
        <v>#REF!</v>
      </c>
      <c r="AD387" s="69" t="e" cm="1">
        <f t="array" ref="AD387">_xlfn.XLOOKUP(Table1[[#This Row],[5 cm2 cell test code]:[5 cm2 cell test code]],[1]!Table1[[Test code]:[Test code]],[1]!Table1[HFR DIW/ mOhm cm2],"",0)</f>
        <v>#REF!</v>
      </c>
      <c r="AE387" s="69" t="e" cm="1">
        <f t="array" ref="AE387">_xlfn.XLOOKUP(Table1[[#This Row],[5 cm2 cell test code]:[5 cm2 cell test code]],[1]!Table1[[Test code]:[Test code]],[1]!Table1[HFR 10 mM KOH/ mOhm cm2],"",0)</f>
        <v>#REF!</v>
      </c>
      <c r="AF387" s="69" t="e" cm="1">
        <f t="array" ref="AF387">_xlfn.XLOOKUP(Table1[[#This Row],[5 cm2 cell test code]:[5 cm2 cell test code]],[1]!Table1[[Test code]:[Test code]],[1]!Table1[Ionic resistance DIW/Ohm cm2],"",0)</f>
        <v>#REF!</v>
      </c>
      <c r="AG387" s="69" t="e" cm="1">
        <f t="array" ref="AG387">_xlfn.XLOOKUP(Table1[[#This Row],[5 cm2 cell test code]:[5 cm2 cell test code]],[1]!Table1[[Test code]:[Test code]],[1]!Table1[Q_int_frac DIW],"",0)</f>
        <v>#REF!</v>
      </c>
      <c r="AH387" s="69" t="e" cm="1">
        <f t="array" ref="AH387">_xlfn.XLOOKUP(Table1[[#This Row],[5 cm2 cell test code]:[5 cm2 cell test code]],[1]!Table1[[Test code]:[Test code]],[1]!Table1[Ionic resistance 10 mM KOH/Ohm cm2],"",0)</f>
        <v>#REF!</v>
      </c>
      <c r="AI387" s="69" t="e" cm="1">
        <f t="array" ref="AI387">_xlfn.XLOOKUP(Table1[[#This Row],[5 cm2 cell test code]:[5 cm2 cell test code]],[1]!Table1[[Test code]:[Test code]],[1]!Table1[Q_int_frac DIW 10 mM KOH],"",0)</f>
        <v>#REF!</v>
      </c>
      <c r="AJ387" s="69" t="e" cm="1">
        <f t="array" ref="AJ387">_xlfn.XLOOKUP(Table1[[#This Row],[5 cm2 cell test code]:[5 cm2 cell test code]],[1]!Table1[[Test code]:[Test code]],[1]!Table1[DIW conductivity (µS/cm)],"",0)</f>
        <v>#REF!</v>
      </c>
      <c r="AQ387" s="4" t="str">
        <v>VSG02A-23307E1.01-10</v>
      </c>
    </row>
    <row r="388" spans="1:43">
      <c r="A388" s="81"/>
      <c r="B388" s="11" t="s">
        <v>748</v>
      </c>
      <c r="C388" s="4" t="s">
        <v>752</v>
      </c>
      <c r="E388" s="4" t="s">
        <v>750</v>
      </c>
      <c r="Q388" s="135">
        <v>1.5105401911586576E-2</v>
      </c>
      <c r="U388" s="101"/>
      <c r="V388" s="101"/>
      <c r="W388" s="69" t="e" cm="1">
        <f t="array" ref="W388">_xlfn.XLOOKUP(Table1[[#This Row],[5 cm2 cell test code]:[5 cm2 cell test code]],[1]!Table1[[Test code]:[Test code]],[1]!Table1[i @ 1.8 V DIW (A/cm2)],"",0)</f>
        <v>#REF!</v>
      </c>
      <c r="X388" s="69" t="e" cm="1">
        <f t="array" ref="X388">_xlfn.XLOOKUP(Table1[[#This Row],[5 cm2 cell test code]:[5 cm2 cell test code]],[1]!Table1[[Test code]:[Test code]],[1]!Table1[i @ 1.8 V 10 mM KOH (A/cm2)],"",0)</f>
        <v>#REF!</v>
      </c>
      <c r="Y388" s="69" t="e" cm="1">
        <f t="array" ref="Y388">_xlfn.XLOOKUP(Table1[[#This Row],[5 cm2 cell test code]:[5 cm2 cell test code]],[1]!Table1[[Test code]:[Test code]],[1]!Table1[3-E ƞ at 20mAcm-2 (mV)],"",0)</f>
        <v>#REF!</v>
      </c>
      <c r="Z388" s="69" t="e" cm="1">
        <f t="array" ref="Z388">_xlfn.XLOOKUP(Table1[[#This Row],[5 cm2 cell test code]:[5 cm2 cell test code]],[1]!Table1[[Test code]:[Test code]],[1]!Table1[3-E Tafel slope (mV/dec)],"",0)</f>
        <v>#REF!</v>
      </c>
      <c r="AA388" s="69" t="e" cm="1">
        <f t="array" ref="AA388">_xlfn.XLOOKUP(Table1[[#This Row],[5 cm2 cell test code]:[5 cm2 cell test code]],[1]!Table1[[Test code]:[Test code]],[1]!Table1[E @ 100 mA/cm2 DIW/V],"",0)</f>
        <v>#REF!</v>
      </c>
      <c r="AB388" s="69" t="e" cm="1">
        <f t="array" ref="AB388">_xlfn.XLOOKUP(Table1[[#This Row],[5 cm2 cell test code]:[5 cm2 cell test code]],[1]!Table1[[Test code]:[Test code]],[1]!Table1[E @ 100 mA/cm2 10 mM KOH/V],"",0)</f>
        <v>#REF!</v>
      </c>
      <c r="AC388" s="69" t="e" cm="1">
        <f t="array" ref="AC388">_xlfn.XLOOKUP(Table1[[#This Row],[5 cm2 cell test code]:[5 cm2 cell test code]],[1]!Table1[[Test code]:[Test code]],[1]!Table1[Anode ICR/mOhm],"",0)</f>
        <v>#REF!</v>
      </c>
      <c r="AD388" s="69" t="e" cm="1">
        <f t="array" ref="AD388">_xlfn.XLOOKUP(Table1[[#This Row],[5 cm2 cell test code]:[5 cm2 cell test code]],[1]!Table1[[Test code]:[Test code]],[1]!Table1[HFR DIW/ mOhm cm2],"",0)</f>
        <v>#REF!</v>
      </c>
      <c r="AE388" s="69" t="e" cm="1">
        <f t="array" ref="AE388">_xlfn.XLOOKUP(Table1[[#This Row],[5 cm2 cell test code]:[5 cm2 cell test code]],[1]!Table1[[Test code]:[Test code]],[1]!Table1[HFR 10 mM KOH/ mOhm cm2],"",0)</f>
        <v>#REF!</v>
      </c>
      <c r="AF388" s="69" t="e" cm="1">
        <f t="array" ref="AF388">_xlfn.XLOOKUP(Table1[[#This Row],[5 cm2 cell test code]:[5 cm2 cell test code]],[1]!Table1[[Test code]:[Test code]],[1]!Table1[Ionic resistance DIW/Ohm cm2],"",0)</f>
        <v>#REF!</v>
      </c>
      <c r="AG388" s="69" t="e" cm="1">
        <f t="array" ref="AG388">_xlfn.XLOOKUP(Table1[[#This Row],[5 cm2 cell test code]:[5 cm2 cell test code]],[1]!Table1[[Test code]:[Test code]],[1]!Table1[Q_int_frac DIW],"",0)</f>
        <v>#REF!</v>
      </c>
      <c r="AH388" s="69" t="e" cm="1">
        <f t="array" ref="AH388">_xlfn.XLOOKUP(Table1[[#This Row],[5 cm2 cell test code]:[5 cm2 cell test code]],[1]!Table1[[Test code]:[Test code]],[1]!Table1[Ionic resistance 10 mM KOH/Ohm cm2],"",0)</f>
        <v>#REF!</v>
      </c>
      <c r="AI388" s="69" t="e" cm="1">
        <f t="array" ref="AI388">_xlfn.XLOOKUP(Table1[[#This Row],[5 cm2 cell test code]:[5 cm2 cell test code]],[1]!Table1[[Test code]:[Test code]],[1]!Table1[Q_int_frac DIW 10 mM KOH],"",0)</f>
        <v>#REF!</v>
      </c>
      <c r="AJ388" s="69" t="e" cm="1">
        <f t="array" ref="AJ388">_xlfn.XLOOKUP(Table1[[#This Row],[5 cm2 cell test code]:[5 cm2 cell test code]],[1]!Table1[[Test code]:[Test code]],[1]!Table1[DIW conductivity (µS/cm)],"",0)</f>
        <v>#REF!</v>
      </c>
      <c r="AQ388" s="4" t="str">
        <v>VSG02A-23307E1.01-11</v>
      </c>
    </row>
    <row r="389" spans="1:43">
      <c r="A389" s="81"/>
      <c r="B389" s="11" t="s">
        <v>748</v>
      </c>
      <c r="C389" s="4" t="s">
        <v>753</v>
      </c>
      <c r="E389" s="4" t="s">
        <v>750</v>
      </c>
      <c r="Q389" s="135">
        <v>1.8076527023031513E-2</v>
      </c>
      <c r="U389" s="101"/>
      <c r="V389" s="101"/>
      <c r="W389" s="69" t="e" cm="1">
        <f t="array" ref="W389">_xlfn.XLOOKUP(Table1[[#This Row],[5 cm2 cell test code]:[5 cm2 cell test code]],[1]!Table1[[Test code]:[Test code]],[1]!Table1[i @ 1.8 V DIW (A/cm2)],"",0)</f>
        <v>#REF!</v>
      </c>
      <c r="X389" s="69" t="e" cm="1">
        <f t="array" ref="X389">_xlfn.XLOOKUP(Table1[[#This Row],[5 cm2 cell test code]:[5 cm2 cell test code]],[1]!Table1[[Test code]:[Test code]],[1]!Table1[i @ 1.8 V 10 mM KOH (A/cm2)],"",0)</f>
        <v>#REF!</v>
      </c>
      <c r="Y389" s="69" t="e" cm="1">
        <f t="array" ref="Y389">_xlfn.XLOOKUP(Table1[[#This Row],[5 cm2 cell test code]:[5 cm2 cell test code]],[1]!Table1[[Test code]:[Test code]],[1]!Table1[3-E ƞ at 20mAcm-2 (mV)],"",0)</f>
        <v>#REF!</v>
      </c>
      <c r="Z389" s="69" t="e" cm="1">
        <f t="array" ref="Z389">_xlfn.XLOOKUP(Table1[[#This Row],[5 cm2 cell test code]:[5 cm2 cell test code]],[1]!Table1[[Test code]:[Test code]],[1]!Table1[3-E Tafel slope (mV/dec)],"",0)</f>
        <v>#REF!</v>
      </c>
      <c r="AA389" s="69" t="e" cm="1">
        <f t="array" ref="AA389">_xlfn.XLOOKUP(Table1[[#This Row],[5 cm2 cell test code]:[5 cm2 cell test code]],[1]!Table1[[Test code]:[Test code]],[1]!Table1[E @ 100 mA/cm2 DIW/V],"",0)</f>
        <v>#REF!</v>
      </c>
      <c r="AB389" s="69" t="e" cm="1">
        <f t="array" ref="AB389">_xlfn.XLOOKUP(Table1[[#This Row],[5 cm2 cell test code]:[5 cm2 cell test code]],[1]!Table1[[Test code]:[Test code]],[1]!Table1[E @ 100 mA/cm2 10 mM KOH/V],"",0)</f>
        <v>#REF!</v>
      </c>
      <c r="AC389" s="69" t="e" cm="1">
        <f t="array" ref="AC389">_xlfn.XLOOKUP(Table1[[#This Row],[5 cm2 cell test code]:[5 cm2 cell test code]],[1]!Table1[[Test code]:[Test code]],[1]!Table1[Anode ICR/mOhm],"",0)</f>
        <v>#REF!</v>
      </c>
      <c r="AD389" s="69" t="e" cm="1">
        <f t="array" ref="AD389">_xlfn.XLOOKUP(Table1[[#This Row],[5 cm2 cell test code]:[5 cm2 cell test code]],[1]!Table1[[Test code]:[Test code]],[1]!Table1[HFR DIW/ mOhm cm2],"",0)</f>
        <v>#REF!</v>
      </c>
      <c r="AE389" s="69" t="e" cm="1">
        <f t="array" ref="AE389">_xlfn.XLOOKUP(Table1[[#This Row],[5 cm2 cell test code]:[5 cm2 cell test code]],[1]!Table1[[Test code]:[Test code]],[1]!Table1[HFR 10 mM KOH/ mOhm cm2],"",0)</f>
        <v>#REF!</v>
      </c>
      <c r="AF389" s="69" t="e" cm="1">
        <f t="array" ref="AF389">_xlfn.XLOOKUP(Table1[[#This Row],[5 cm2 cell test code]:[5 cm2 cell test code]],[1]!Table1[[Test code]:[Test code]],[1]!Table1[Ionic resistance DIW/Ohm cm2],"",0)</f>
        <v>#REF!</v>
      </c>
      <c r="AG389" s="69" t="e" cm="1">
        <f t="array" ref="AG389">_xlfn.XLOOKUP(Table1[[#This Row],[5 cm2 cell test code]:[5 cm2 cell test code]],[1]!Table1[[Test code]:[Test code]],[1]!Table1[Q_int_frac DIW],"",0)</f>
        <v>#REF!</v>
      </c>
      <c r="AH389" s="69" t="e" cm="1">
        <f t="array" ref="AH389">_xlfn.XLOOKUP(Table1[[#This Row],[5 cm2 cell test code]:[5 cm2 cell test code]],[1]!Table1[[Test code]:[Test code]],[1]!Table1[Ionic resistance 10 mM KOH/Ohm cm2],"",0)</f>
        <v>#REF!</v>
      </c>
      <c r="AI389" s="69" t="e" cm="1">
        <f t="array" ref="AI389">_xlfn.XLOOKUP(Table1[[#This Row],[5 cm2 cell test code]:[5 cm2 cell test code]],[1]!Table1[[Test code]:[Test code]],[1]!Table1[Q_int_frac DIW 10 mM KOH],"",0)</f>
        <v>#REF!</v>
      </c>
      <c r="AJ389" s="69" t="e" cm="1">
        <f t="array" ref="AJ389">_xlfn.XLOOKUP(Table1[[#This Row],[5 cm2 cell test code]:[5 cm2 cell test code]],[1]!Table1[[Test code]:[Test code]],[1]!Table1[DIW conductivity (µS/cm)],"",0)</f>
        <v>#REF!</v>
      </c>
      <c r="AQ389" s="4" t="str">
        <v>VSG02A-23307E1.01-12</v>
      </c>
    </row>
    <row r="390" spans="1:43">
      <c r="A390" s="81"/>
      <c r="U390" s="101"/>
      <c r="V390" s="101"/>
      <c r="W390" s="69" t="e" cm="1">
        <f t="array" ref="W390">_xlfn.XLOOKUP(Table1[[#This Row],[5 cm2 cell test code]:[5 cm2 cell test code]],[1]!Table1[[Test code]:[Test code]],[1]!Table1[i @ 1.8 V DIW (A/cm2)],"",0)</f>
        <v>#REF!</v>
      </c>
      <c r="X390" s="69" t="e" cm="1">
        <f t="array" ref="X390">_xlfn.XLOOKUP(Table1[[#This Row],[5 cm2 cell test code]:[5 cm2 cell test code]],[1]!Table1[[Test code]:[Test code]],[1]!Table1[i @ 1.8 V 10 mM KOH (A/cm2)],"",0)</f>
        <v>#REF!</v>
      </c>
      <c r="Y390" s="69" t="e" cm="1">
        <f t="array" ref="Y390">_xlfn.XLOOKUP(Table1[[#This Row],[5 cm2 cell test code]:[5 cm2 cell test code]],[1]!Table1[[Test code]:[Test code]],[1]!Table1[3-E ƞ at 20mAcm-2 (mV)],"",0)</f>
        <v>#REF!</v>
      </c>
      <c r="Z390" s="69" t="e" cm="1">
        <f t="array" ref="Z390">_xlfn.XLOOKUP(Table1[[#This Row],[5 cm2 cell test code]:[5 cm2 cell test code]],[1]!Table1[[Test code]:[Test code]],[1]!Table1[3-E Tafel slope (mV/dec)],"",0)</f>
        <v>#REF!</v>
      </c>
      <c r="AA390" s="69" t="e" cm="1">
        <f t="array" ref="AA390">_xlfn.XLOOKUP(Table1[[#This Row],[5 cm2 cell test code]:[5 cm2 cell test code]],[1]!Table1[[Test code]:[Test code]],[1]!Table1[E @ 100 mA/cm2 DIW/V],"",0)</f>
        <v>#REF!</v>
      </c>
      <c r="AB390" s="69" t="e" cm="1">
        <f t="array" ref="AB390">_xlfn.XLOOKUP(Table1[[#This Row],[5 cm2 cell test code]:[5 cm2 cell test code]],[1]!Table1[[Test code]:[Test code]],[1]!Table1[E @ 100 mA/cm2 10 mM KOH/V],"",0)</f>
        <v>#REF!</v>
      </c>
      <c r="AC390" s="69" t="e" cm="1">
        <f t="array" ref="AC390">_xlfn.XLOOKUP(Table1[[#This Row],[5 cm2 cell test code]:[5 cm2 cell test code]],[1]!Table1[[Test code]:[Test code]],[1]!Table1[Anode ICR/mOhm],"",0)</f>
        <v>#REF!</v>
      </c>
      <c r="AD390" s="69" t="e" cm="1">
        <f t="array" ref="AD390">_xlfn.XLOOKUP(Table1[[#This Row],[5 cm2 cell test code]:[5 cm2 cell test code]],[1]!Table1[[Test code]:[Test code]],[1]!Table1[HFR DIW/ mOhm cm2],"",0)</f>
        <v>#REF!</v>
      </c>
      <c r="AE390" s="69" t="e" cm="1">
        <f t="array" ref="AE390">_xlfn.XLOOKUP(Table1[[#This Row],[5 cm2 cell test code]:[5 cm2 cell test code]],[1]!Table1[[Test code]:[Test code]],[1]!Table1[HFR 10 mM KOH/ mOhm cm2],"",0)</f>
        <v>#REF!</v>
      </c>
      <c r="AF390" s="69" t="e" cm="1">
        <f t="array" ref="AF390">_xlfn.XLOOKUP(Table1[[#This Row],[5 cm2 cell test code]:[5 cm2 cell test code]],[1]!Table1[[Test code]:[Test code]],[1]!Table1[Ionic resistance DIW/Ohm cm2],"",0)</f>
        <v>#REF!</v>
      </c>
      <c r="AG390" s="69" t="e" cm="1">
        <f t="array" ref="AG390">_xlfn.XLOOKUP(Table1[[#This Row],[5 cm2 cell test code]:[5 cm2 cell test code]],[1]!Table1[[Test code]:[Test code]],[1]!Table1[Q_int_frac DIW],"",0)</f>
        <v>#REF!</v>
      </c>
      <c r="AH390" s="69" t="e" cm="1">
        <f t="array" ref="AH390">_xlfn.XLOOKUP(Table1[[#This Row],[5 cm2 cell test code]:[5 cm2 cell test code]],[1]!Table1[[Test code]:[Test code]],[1]!Table1[Ionic resistance 10 mM KOH/Ohm cm2],"",0)</f>
        <v>#REF!</v>
      </c>
      <c r="AI390" s="69" t="e" cm="1">
        <f t="array" ref="AI390">_xlfn.XLOOKUP(Table1[[#This Row],[5 cm2 cell test code]:[5 cm2 cell test code]],[1]!Table1[[Test code]:[Test code]],[1]!Table1[Q_int_frac DIW 10 mM KOH],"",0)</f>
        <v>#REF!</v>
      </c>
      <c r="AJ390" s="69" t="e" cm="1">
        <f t="array" ref="AJ390">_xlfn.XLOOKUP(Table1[[#This Row],[5 cm2 cell test code]:[5 cm2 cell test code]],[1]!Table1[[Test code]:[Test code]],[1]!Table1[DIW conductivity (µS/cm)],"",0)</f>
        <v>#REF!</v>
      </c>
      <c r="AQ390" s="4" t="str">
        <v>VSG02A-23307E1.01-13</v>
      </c>
    </row>
    <row r="391" spans="1:43">
      <c r="A391" s="81"/>
      <c r="B391" s="11" t="s">
        <v>754</v>
      </c>
      <c r="C391" s="4" t="s">
        <v>755</v>
      </c>
      <c r="E391" s="4" t="s">
        <v>14</v>
      </c>
      <c r="I391" s="107" t="s">
        <v>383</v>
      </c>
      <c r="J391" s="107" t="s">
        <v>402</v>
      </c>
      <c r="M391" s="13">
        <v>-0.24199999999999999</v>
      </c>
      <c r="O391" s="11" t="s">
        <v>502</v>
      </c>
      <c r="P391" s="28">
        <v>1.1379999999999999</v>
      </c>
      <c r="Q391" s="200">
        <v>8.5512442439569222E-2</v>
      </c>
      <c r="U391" s="101"/>
      <c r="V391" s="101"/>
      <c r="W391" s="69" t="e" cm="1">
        <f t="array" ref="W391">_xlfn.XLOOKUP(Table1[[#This Row],[5 cm2 cell test code]:[5 cm2 cell test code]],[1]!Table1[[Test code]:[Test code]],[1]!Table1[i @ 1.8 V DIW (A/cm2)],"",0)</f>
        <v>#REF!</v>
      </c>
      <c r="X391" s="69" t="e" cm="1">
        <f t="array" ref="X391">_xlfn.XLOOKUP(Table1[[#This Row],[5 cm2 cell test code]:[5 cm2 cell test code]],[1]!Table1[[Test code]:[Test code]],[1]!Table1[i @ 1.8 V 10 mM KOH (A/cm2)],"",0)</f>
        <v>#REF!</v>
      </c>
      <c r="Y391" s="69" t="e" cm="1">
        <f t="array" ref="Y391">_xlfn.XLOOKUP(Table1[[#This Row],[5 cm2 cell test code]:[5 cm2 cell test code]],[1]!Table1[[Test code]:[Test code]],[1]!Table1[3-E ƞ at 20mAcm-2 (mV)],"",0)</f>
        <v>#REF!</v>
      </c>
      <c r="Z391" s="69" t="e" cm="1">
        <f t="array" ref="Z391">_xlfn.XLOOKUP(Table1[[#This Row],[5 cm2 cell test code]:[5 cm2 cell test code]],[1]!Table1[[Test code]:[Test code]],[1]!Table1[3-E Tafel slope (mV/dec)],"",0)</f>
        <v>#REF!</v>
      </c>
      <c r="AA391" s="69" t="e" cm="1">
        <f t="array" ref="AA391">_xlfn.XLOOKUP(Table1[[#This Row],[5 cm2 cell test code]:[5 cm2 cell test code]],[1]!Table1[[Test code]:[Test code]],[1]!Table1[E @ 100 mA/cm2 DIW/V],"",0)</f>
        <v>#REF!</v>
      </c>
      <c r="AB391" s="69" t="e" cm="1">
        <f t="array" ref="AB391">_xlfn.XLOOKUP(Table1[[#This Row],[5 cm2 cell test code]:[5 cm2 cell test code]],[1]!Table1[[Test code]:[Test code]],[1]!Table1[E @ 100 mA/cm2 10 mM KOH/V],"",0)</f>
        <v>#REF!</v>
      </c>
      <c r="AC391" s="69" t="e" cm="1">
        <f t="array" ref="AC391">_xlfn.XLOOKUP(Table1[[#This Row],[5 cm2 cell test code]:[5 cm2 cell test code]],[1]!Table1[[Test code]:[Test code]],[1]!Table1[Anode ICR/mOhm],"",0)</f>
        <v>#REF!</v>
      </c>
      <c r="AD391" s="69" t="e" cm="1">
        <f t="array" ref="AD391">_xlfn.XLOOKUP(Table1[[#This Row],[5 cm2 cell test code]:[5 cm2 cell test code]],[1]!Table1[[Test code]:[Test code]],[1]!Table1[HFR DIW/ mOhm cm2],"",0)</f>
        <v>#REF!</v>
      </c>
      <c r="AE391" s="69" t="e" cm="1">
        <f t="array" ref="AE391">_xlfn.XLOOKUP(Table1[[#This Row],[5 cm2 cell test code]:[5 cm2 cell test code]],[1]!Table1[[Test code]:[Test code]],[1]!Table1[HFR 10 mM KOH/ mOhm cm2],"",0)</f>
        <v>#REF!</v>
      </c>
      <c r="AF391" s="69" t="e" cm="1">
        <f t="array" ref="AF391">_xlfn.XLOOKUP(Table1[[#This Row],[5 cm2 cell test code]:[5 cm2 cell test code]],[1]!Table1[[Test code]:[Test code]],[1]!Table1[Ionic resistance DIW/Ohm cm2],"",0)</f>
        <v>#REF!</v>
      </c>
      <c r="AG391" s="69" t="e" cm="1">
        <f t="array" ref="AG391">_xlfn.XLOOKUP(Table1[[#This Row],[5 cm2 cell test code]:[5 cm2 cell test code]],[1]!Table1[[Test code]:[Test code]],[1]!Table1[Q_int_frac DIW],"",0)</f>
        <v>#REF!</v>
      </c>
      <c r="AH391" s="69" t="e" cm="1">
        <f t="array" ref="AH391">_xlfn.XLOOKUP(Table1[[#This Row],[5 cm2 cell test code]:[5 cm2 cell test code]],[1]!Table1[[Test code]:[Test code]],[1]!Table1[Ionic resistance 10 mM KOH/Ohm cm2],"",0)</f>
        <v>#REF!</v>
      </c>
      <c r="AI391" s="69" t="e" cm="1">
        <f t="array" ref="AI391">_xlfn.XLOOKUP(Table1[[#This Row],[5 cm2 cell test code]:[5 cm2 cell test code]],[1]!Table1[[Test code]:[Test code]],[1]!Table1[Q_int_frac DIW 10 mM KOH],"",0)</f>
        <v>#REF!</v>
      </c>
      <c r="AJ391" s="69" t="e" cm="1">
        <f t="array" ref="AJ391">_xlfn.XLOOKUP(Table1[[#This Row],[5 cm2 cell test code]:[5 cm2 cell test code]],[1]!Table1[[Test code]:[Test code]],[1]!Table1[DIW conductivity (µS/cm)],"",0)</f>
        <v>#REF!</v>
      </c>
      <c r="AQ391" s="4" t="str">
        <v>VSG02A-23307E1.01-14</v>
      </c>
    </row>
    <row r="392" spans="1:43">
      <c r="A392" s="81" t="s">
        <v>756</v>
      </c>
      <c r="B392" s="11" t="s">
        <v>757</v>
      </c>
      <c r="I392" s="107"/>
      <c r="J392" s="107"/>
      <c r="K392" s="89"/>
      <c r="L392" s="89"/>
      <c r="Q392" s="200"/>
      <c r="U392" s="101"/>
      <c r="V392" s="101"/>
      <c r="W392" s="69" t="e" cm="1">
        <f t="array" ref="W392">_xlfn.XLOOKUP(Table1[[#This Row],[5 cm2 cell test code]:[5 cm2 cell test code]],[1]!Table1[[Test code]:[Test code]],[1]!Table1[i @ 1.8 V DIW (A/cm2)],"",0)</f>
        <v>#REF!</v>
      </c>
      <c r="X392" s="69" t="e" cm="1">
        <f t="array" ref="X392">_xlfn.XLOOKUP(Table1[[#This Row],[5 cm2 cell test code]:[5 cm2 cell test code]],[1]!Table1[[Test code]:[Test code]],[1]!Table1[i @ 1.8 V 10 mM KOH (A/cm2)],"",0)</f>
        <v>#REF!</v>
      </c>
      <c r="Y392" s="69" t="e" cm="1">
        <f t="array" ref="Y392">_xlfn.XLOOKUP(Table1[[#This Row],[5 cm2 cell test code]:[5 cm2 cell test code]],[1]!Table1[[Test code]:[Test code]],[1]!Table1[3-E ƞ at 20mAcm-2 (mV)],"",0)</f>
        <v>#REF!</v>
      </c>
      <c r="Z392" s="69" t="e" cm="1">
        <f t="array" ref="Z392">_xlfn.XLOOKUP(Table1[[#This Row],[5 cm2 cell test code]:[5 cm2 cell test code]],[1]!Table1[[Test code]:[Test code]],[1]!Table1[3-E Tafel slope (mV/dec)],"",0)</f>
        <v>#REF!</v>
      </c>
      <c r="AA392" s="69" t="e" cm="1">
        <f t="array" ref="AA392">_xlfn.XLOOKUP(Table1[[#This Row],[5 cm2 cell test code]:[5 cm2 cell test code]],[1]!Table1[[Test code]:[Test code]],[1]!Table1[E @ 100 mA/cm2 DIW/V],"",0)</f>
        <v>#REF!</v>
      </c>
      <c r="AB392" s="69" t="e" cm="1">
        <f t="array" ref="AB392">_xlfn.XLOOKUP(Table1[[#This Row],[5 cm2 cell test code]:[5 cm2 cell test code]],[1]!Table1[[Test code]:[Test code]],[1]!Table1[E @ 100 mA/cm2 10 mM KOH/V],"",0)</f>
        <v>#REF!</v>
      </c>
      <c r="AC392" s="69" t="e" cm="1">
        <f t="array" ref="AC392">_xlfn.XLOOKUP(Table1[[#This Row],[5 cm2 cell test code]:[5 cm2 cell test code]],[1]!Table1[[Test code]:[Test code]],[1]!Table1[Anode ICR/mOhm],"",0)</f>
        <v>#REF!</v>
      </c>
      <c r="AD392" s="69" t="e" cm="1">
        <f t="array" ref="AD392">_xlfn.XLOOKUP(Table1[[#This Row],[5 cm2 cell test code]:[5 cm2 cell test code]],[1]!Table1[[Test code]:[Test code]],[1]!Table1[HFR DIW/ mOhm cm2],"",0)</f>
        <v>#REF!</v>
      </c>
      <c r="AE392" s="69" t="e" cm="1">
        <f t="array" ref="AE392">_xlfn.XLOOKUP(Table1[[#This Row],[5 cm2 cell test code]:[5 cm2 cell test code]],[1]!Table1[[Test code]:[Test code]],[1]!Table1[HFR 10 mM KOH/ mOhm cm2],"",0)</f>
        <v>#REF!</v>
      </c>
      <c r="AF392" s="69" t="e" cm="1">
        <f t="array" ref="AF392">_xlfn.XLOOKUP(Table1[[#This Row],[5 cm2 cell test code]:[5 cm2 cell test code]],[1]!Table1[[Test code]:[Test code]],[1]!Table1[Ionic resistance DIW/Ohm cm2],"",0)</f>
        <v>#REF!</v>
      </c>
      <c r="AG392" s="195" t="e" cm="1">
        <f t="array" ref="AG392">_xlfn.XLOOKUP(Table1[[#This Row],[5 cm2 cell test code]:[5 cm2 cell test code]],[1]!Table1[[Test code]:[Test code]],[1]!Table1[Q_int_frac DIW],"",0)</f>
        <v>#REF!</v>
      </c>
      <c r="AH392" s="195" t="e" cm="1">
        <f t="array" ref="AH392">_xlfn.XLOOKUP(Table1[[#This Row],[5 cm2 cell test code]:[5 cm2 cell test code]],[1]!Table1[[Test code]:[Test code]],[1]!Table1[Ionic resistance 10 mM KOH/Ohm cm2],"",0)</f>
        <v>#REF!</v>
      </c>
      <c r="AI392" s="195" t="e" cm="1">
        <f t="array" ref="AI392">_xlfn.XLOOKUP(Table1[[#This Row],[5 cm2 cell test code]:[5 cm2 cell test code]],[1]!Table1[[Test code]:[Test code]],[1]!Table1[Q_int_frac DIW 10 mM KOH],"",0)</f>
        <v>#REF!</v>
      </c>
      <c r="AJ392" s="69" t="e" cm="1">
        <f t="array" ref="AJ392">_xlfn.XLOOKUP(Table1[[#This Row],[5 cm2 cell test code]:[5 cm2 cell test code]],[1]!Table1[[Test code]:[Test code]],[1]!Table1[DIW conductivity (µS/cm)],"",0)</f>
        <v>#REF!</v>
      </c>
      <c r="AQ392" s="4" t="str">
        <v>VSG02A-23307E1.01-15</v>
      </c>
    </row>
    <row r="393" spans="1:43">
      <c r="A393" s="81"/>
      <c r="U393" s="101"/>
      <c r="V393" s="101"/>
      <c r="W393" s="69" t="e" cm="1">
        <f t="array" ref="W393">_xlfn.XLOOKUP(Table1[[#This Row],[5 cm2 cell test code]:[5 cm2 cell test code]],[1]!Table1[[Test code]:[Test code]],[1]!Table1[i @ 1.8 V DIW (A/cm2)],"",0)</f>
        <v>#REF!</v>
      </c>
      <c r="X393" s="69" t="e" cm="1">
        <f t="array" ref="X393">_xlfn.XLOOKUP(Table1[[#This Row],[5 cm2 cell test code]:[5 cm2 cell test code]],[1]!Table1[[Test code]:[Test code]],[1]!Table1[i @ 1.8 V 10 mM KOH (A/cm2)],"",0)</f>
        <v>#REF!</v>
      </c>
      <c r="Y393" s="69" t="e" cm="1">
        <f t="array" ref="Y393">_xlfn.XLOOKUP(Table1[[#This Row],[5 cm2 cell test code]:[5 cm2 cell test code]],[1]!Table1[[Test code]:[Test code]],[1]!Table1[3-E ƞ at 20mAcm-2 (mV)],"",0)</f>
        <v>#REF!</v>
      </c>
      <c r="Z393" s="69" t="e" cm="1">
        <f t="array" ref="Z393">_xlfn.XLOOKUP(Table1[[#This Row],[5 cm2 cell test code]:[5 cm2 cell test code]],[1]!Table1[[Test code]:[Test code]],[1]!Table1[3-E Tafel slope (mV/dec)],"",0)</f>
        <v>#REF!</v>
      </c>
      <c r="AA393" s="69" t="e" cm="1">
        <f t="array" ref="AA393">_xlfn.XLOOKUP(Table1[[#This Row],[5 cm2 cell test code]:[5 cm2 cell test code]],[1]!Table1[[Test code]:[Test code]],[1]!Table1[E @ 100 mA/cm2 DIW/V],"",0)</f>
        <v>#REF!</v>
      </c>
      <c r="AB393" s="69" t="e" cm="1">
        <f t="array" ref="AB393">_xlfn.XLOOKUP(Table1[[#This Row],[5 cm2 cell test code]:[5 cm2 cell test code]],[1]!Table1[[Test code]:[Test code]],[1]!Table1[E @ 100 mA/cm2 10 mM KOH/V],"",0)</f>
        <v>#REF!</v>
      </c>
      <c r="AC393" s="69" t="e" cm="1">
        <f t="array" ref="AC393">_xlfn.XLOOKUP(Table1[[#This Row],[5 cm2 cell test code]:[5 cm2 cell test code]],[1]!Table1[[Test code]:[Test code]],[1]!Table1[Anode ICR/mOhm],"",0)</f>
        <v>#REF!</v>
      </c>
      <c r="AD393" s="69" t="e" cm="1">
        <f t="array" ref="AD393">_xlfn.XLOOKUP(Table1[[#This Row],[5 cm2 cell test code]:[5 cm2 cell test code]],[1]!Table1[[Test code]:[Test code]],[1]!Table1[HFR DIW/ mOhm cm2],"",0)</f>
        <v>#REF!</v>
      </c>
      <c r="AE393" s="69" t="e" cm="1">
        <f t="array" ref="AE393">_xlfn.XLOOKUP(Table1[[#This Row],[5 cm2 cell test code]:[5 cm2 cell test code]],[1]!Table1[[Test code]:[Test code]],[1]!Table1[HFR 10 mM KOH/ mOhm cm2],"",0)</f>
        <v>#REF!</v>
      </c>
      <c r="AF393" s="69" t="e" cm="1">
        <f t="array" ref="AF393">_xlfn.XLOOKUP(Table1[[#This Row],[5 cm2 cell test code]:[5 cm2 cell test code]],[1]!Table1[[Test code]:[Test code]],[1]!Table1[Ionic resistance DIW/Ohm cm2],"",0)</f>
        <v>#REF!</v>
      </c>
      <c r="AG393" s="69" t="e" cm="1">
        <f t="array" ref="AG393">_xlfn.XLOOKUP(Table1[[#This Row],[5 cm2 cell test code]:[5 cm2 cell test code]],[1]!Table1[[Test code]:[Test code]],[1]!Table1[Q_int_frac DIW],"",0)</f>
        <v>#REF!</v>
      </c>
      <c r="AH393" s="69" t="e" cm="1">
        <f t="array" ref="AH393">_xlfn.XLOOKUP(Table1[[#This Row],[5 cm2 cell test code]:[5 cm2 cell test code]],[1]!Table1[[Test code]:[Test code]],[1]!Table1[Ionic resistance 10 mM KOH/Ohm cm2],"",0)</f>
        <v>#REF!</v>
      </c>
      <c r="AI393" s="69" t="e" cm="1">
        <f t="array" ref="AI393">_xlfn.XLOOKUP(Table1[[#This Row],[5 cm2 cell test code]:[5 cm2 cell test code]],[1]!Table1[[Test code]:[Test code]],[1]!Table1[Q_int_frac DIW 10 mM KOH],"",0)</f>
        <v>#REF!</v>
      </c>
      <c r="AJ393" s="69" t="e" cm="1">
        <f t="array" ref="AJ393">_xlfn.XLOOKUP(Table1[[#This Row],[5 cm2 cell test code]:[5 cm2 cell test code]],[1]!Table1[[Test code]:[Test code]],[1]!Table1[DIW conductivity (µS/cm)],"",0)</f>
        <v>#REF!</v>
      </c>
      <c r="AQ393" s="4" t="str">
        <v>VSG02A-23307E1.01-16</v>
      </c>
    </row>
    <row r="394" spans="1:43">
      <c r="A394" s="81"/>
      <c r="B394" s="11" t="s">
        <v>758</v>
      </c>
      <c r="C394" s="4" t="s">
        <v>741</v>
      </c>
      <c r="E394" s="4" t="s">
        <v>14</v>
      </c>
      <c r="I394" s="107" t="s">
        <v>383</v>
      </c>
      <c r="J394" s="107" t="s">
        <v>402</v>
      </c>
      <c r="M394" s="13">
        <v>0.73399999999999999</v>
      </c>
      <c r="O394" s="11" t="s">
        <v>709</v>
      </c>
      <c r="P394" s="28">
        <v>1.319</v>
      </c>
      <c r="Q394" s="4">
        <v>9.3973075188825639E-2</v>
      </c>
      <c r="U394" s="101"/>
      <c r="V394" s="101"/>
      <c r="W394" s="69" t="e" cm="1">
        <f t="array" ref="W394">_xlfn.XLOOKUP(Table1[[#This Row],[5 cm2 cell test code]:[5 cm2 cell test code]],[1]!Table1[[Test code]:[Test code]],[1]!Table1[i @ 1.8 V DIW (A/cm2)],"",0)</f>
        <v>#REF!</v>
      </c>
      <c r="X394" s="69" t="e" cm="1">
        <f t="array" ref="X394">_xlfn.XLOOKUP(Table1[[#This Row],[5 cm2 cell test code]:[5 cm2 cell test code]],[1]!Table1[[Test code]:[Test code]],[1]!Table1[i @ 1.8 V 10 mM KOH (A/cm2)],"",0)</f>
        <v>#REF!</v>
      </c>
      <c r="Y394" s="69" t="e" cm="1">
        <f t="array" ref="Y394">_xlfn.XLOOKUP(Table1[[#This Row],[5 cm2 cell test code]:[5 cm2 cell test code]],[1]!Table1[[Test code]:[Test code]],[1]!Table1[3-E ƞ at 20mAcm-2 (mV)],"",0)</f>
        <v>#REF!</v>
      </c>
      <c r="Z394" s="69" t="e" cm="1">
        <f t="array" ref="Z394">_xlfn.XLOOKUP(Table1[[#This Row],[5 cm2 cell test code]:[5 cm2 cell test code]],[1]!Table1[[Test code]:[Test code]],[1]!Table1[3-E Tafel slope (mV/dec)],"",0)</f>
        <v>#REF!</v>
      </c>
      <c r="AA394" s="69" t="e" cm="1">
        <f t="array" ref="AA394">_xlfn.XLOOKUP(Table1[[#This Row],[5 cm2 cell test code]:[5 cm2 cell test code]],[1]!Table1[[Test code]:[Test code]],[1]!Table1[E @ 100 mA/cm2 DIW/V],"",0)</f>
        <v>#REF!</v>
      </c>
      <c r="AB394" s="69" t="e" cm="1">
        <f t="array" ref="AB394">_xlfn.XLOOKUP(Table1[[#This Row],[5 cm2 cell test code]:[5 cm2 cell test code]],[1]!Table1[[Test code]:[Test code]],[1]!Table1[E @ 100 mA/cm2 10 mM KOH/V],"",0)</f>
        <v>#REF!</v>
      </c>
      <c r="AC394" s="69" t="e" cm="1">
        <f t="array" ref="AC394">_xlfn.XLOOKUP(Table1[[#This Row],[5 cm2 cell test code]:[5 cm2 cell test code]],[1]!Table1[[Test code]:[Test code]],[1]!Table1[Anode ICR/mOhm],"",0)</f>
        <v>#REF!</v>
      </c>
      <c r="AD394" s="69" t="e" cm="1">
        <f t="array" ref="AD394">_xlfn.XLOOKUP(Table1[[#This Row],[5 cm2 cell test code]:[5 cm2 cell test code]],[1]!Table1[[Test code]:[Test code]],[1]!Table1[HFR DIW/ mOhm cm2],"",0)</f>
        <v>#REF!</v>
      </c>
      <c r="AE394" s="69" t="e" cm="1">
        <f t="array" ref="AE394">_xlfn.XLOOKUP(Table1[[#This Row],[5 cm2 cell test code]:[5 cm2 cell test code]],[1]!Table1[[Test code]:[Test code]],[1]!Table1[HFR 10 mM KOH/ mOhm cm2],"",0)</f>
        <v>#REF!</v>
      </c>
      <c r="AF394" s="69" t="e" cm="1">
        <f t="array" ref="AF394">_xlfn.XLOOKUP(Table1[[#This Row],[5 cm2 cell test code]:[5 cm2 cell test code]],[1]!Table1[[Test code]:[Test code]],[1]!Table1[Ionic resistance DIW/Ohm cm2],"",0)</f>
        <v>#REF!</v>
      </c>
      <c r="AG394" s="69" t="e" cm="1">
        <f t="array" ref="AG394">_xlfn.XLOOKUP(Table1[[#This Row],[5 cm2 cell test code]:[5 cm2 cell test code]],[1]!Table1[[Test code]:[Test code]],[1]!Table1[Q_int_frac DIW],"",0)</f>
        <v>#REF!</v>
      </c>
      <c r="AH394" s="69" t="e" cm="1">
        <f t="array" ref="AH394">_xlfn.XLOOKUP(Table1[[#This Row],[5 cm2 cell test code]:[5 cm2 cell test code]],[1]!Table1[[Test code]:[Test code]],[1]!Table1[Ionic resistance 10 mM KOH/Ohm cm2],"",0)</f>
        <v>#REF!</v>
      </c>
      <c r="AI394" s="69" t="e" cm="1">
        <f t="array" ref="AI394">_xlfn.XLOOKUP(Table1[[#This Row],[5 cm2 cell test code]:[5 cm2 cell test code]],[1]!Table1[[Test code]:[Test code]],[1]!Table1[Q_int_frac DIW 10 mM KOH],"",0)</f>
        <v>#REF!</v>
      </c>
      <c r="AJ394" s="69" t="e" cm="1">
        <f t="array" ref="AJ394">_xlfn.XLOOKUP(Table1[[#This Row],[5 cm2 cell test code]:[5 cm2 cell test code]],[1]!Table1[[Test code]:[Test code]],[1]!Table1[DIW conductivity (µS/cm)],"",0)</f>
        <v>#REF!</v>
      </c>
      <c r="AQ394" s="4" t="str">
        <v>VSG02A-23307E1.01-17</v>
      </c>
    </row>
    <row r="395" spans="1:43">
      <c r="A395" s="81" t="s">
        <v>756</v>
      </c>
      <c r="B395" s="11" t="s">
        <v>759</v>
      </c>
      <c r="I395" s="107"/>
      <c r="J395" s="107"/>
      <c r="K395" s="89"/>
      <c r="L395" s="89"/>
      <c r="U395" s="101"/>
      <c r="V395" s="101"/>
      <c r="W395" s="69" t="e" cm="1">
        <f t="array" ref="W395">_xlfn.XLOOKUP(Table1[[#This Row],[5 cm2 cell test code]:[5 cm2 cell test code]],[1]!Table1[[Test code]:[Test code]],[1]!Table1[i @ 1.8 V DIW (A/cm2)],"",0)</f>
        <v>#REF!</v>
      </c>
      <c r="X395" s="69" t="e" cm="1">
        <f t="array" ref="X395">_xlfn.XLOOKUP(Table1[[#This Row],[5 cm2 cell test code]:[5 cm2 cell test code]],[1]!Table1[[Test code]:[Test code]],[1]!Table1[i @ 1.8 V 10 mM KOH (A/cm2)],"",0)</f>
        <v>#REF!</v>
      </c>
      <c r="Y395" s="69" t="e" cm="1">
        <f t="array" ref="Y395">_xlfn.XLOOKUP(Table1[[#This Row],[5 cm2 cell test code]:[5 cm2 cell test code]],[1]!Table1[[Test code]:[Test code]],[1]!Table1[3-E ƞ at 20mAcm-2 (mV)],"",0)</f>
        <v>#REF!</v>
      </c>
      <c r="Z395" s="69" t="e" cm="1">
        <f t="array" ref="Z395">_xlfn.XLOOKUP(Table1[[#This Row],[5 cm2 cell test code]:[5 cm2 cell test code]],[1]!Table1[[Test code]:[Test code]],[1]!Table1[3-E Tafel slope (mV/dec)],"",0)</f>
        <v>#REF!</v>
      </c>
      <c r="AA395" s="69" t="e" cm="1">
        <f t="array" ref="AA395">_xlfn.XLOOKUP(Table1[[#This Row],[5 cm2 cell test code]:[5 cm2 cell test code]],[1]!Table1[[Test code]:[Test code]],[1]!Table1[E @ 100 mA/cm2 DIW/V],"",0)</f>
        <v>#REF!</v>
      </c>
      <c r="AB395" s="69" t="e" cm="1">
        <f t="array" ref="AB395">_xlfn.XLOOKUP(Table1[[#This Row],[5 cm2 cell test code]:[5 cm2 cell test code]],[1]!Table1[[Test code]:[Test code]],[1]!Table1[E @ 100 mA/cm2 10 mM KOH/V],"",0)</f>
        <v>#REF!</v>
      </c>
      <c r="AC395" s="69" t="e" cm="1">
        <f t="array" ref="AC395">_xlfn.XLOOKUP(Table1[[#This Row],[5 cm2 cell test code]:[5 cm2 cell test code]],[1]!Table1[[Test code]:[Test code]],[1]!Table1[Anode ICR/mOhm],"",0)</f>
        <v>#REF!</v>
      </c>
      <c r="AD395" s="69" t="e" cm="1">
        <f t="array" ref="AD395">_xlfn.XLOOKUP(Table1[[#This Row],[5 cm2 cell test code]:[5 cm2 cell test code]],[1]!Table1[[Test code]:[Test code]],[1]!Table1[HFR DIW/ mOhm cm2],"",0)</f>
        <v>#REF!</v>
      </c>
      <c r="AE395" s="69" t="e" cm="1">
        <f t="array" ref="AE395">_xlfn.XLOOKUP(Table1[[#This Row],[5 cm2 cell test code]:[5 cm2 cell test code]],[1]!Table1[[Test code]:[Test code]],[1]!Table1[HFR 10 mM KOH/ mOhm cm2],"",0)</f>
        <v>#REF!</v>
      </c>
      <c r="AF395" s="69" t="e" cm="1">
        <f t="array" ref="AF395">_xlfn.XLOOKUP(Table1[[#This Row],[5 cm2 cell test code]:[5 cm2 cell test code]],[1]!Table1[[Test code]:[Test code]],[1]!Table1[Ionic resistance DIW/Ohm cm2],"",0)</f>
        <v>#REF!</v>
      </c>
      <c r="AG395" s="195" t="e" cm="1">
        <f t="array" ref="AG395">_xlfn.XLOOKUP(Table1[[#This Row],[5 cm2 cell test code]:[5 cm2 cell test code]],[1]!Table1[[Test code]:[Test code]],[1]!Table1[Q_int_frac DIW],"",0)</f>
        <v>#REF!</v>
      </c>
      <c r="AH395" s="195" t="e" cm="1">
        <f t="array" ref="AH395">_xlfn.XLOOKUP(Table1[[#This Row],[5 cm2 cell test code]:[5 cm2 cell test code]],[1]!Table1[[Test code]:[Test code]],[1]!Table1[Ionic resistance 10 mM KOH/Ohm cm2],"",0)</f>
        <v>#REF!</v>
      </c>
      <c r="AI395" s="195" t="e" cm="1">
        <f t="array" ref="AI395">_xlfn.XLOOKUP(Table1[[#This Row],[5 cm2 cell test code]:[5 cm2 cell test code]],[1]!Table1[[Test code]:[Test code]],[1]!Table1[Q_int_frac DIW 10 mM KOH],"",0)</f>
        <v>#REF!</v>
      </c>
      <c r="AJ395" s="69" t="e" cm="1">
        <f t="array" ref="AJ395">_xlfn.XLOOKUP(Table1[[#This Row],[5 cm2 cell test code]:[5 cm2 cell test code]],[1]!Table1[[Test code]:[Test code]],[1]!Table1[DIW conductivity (µS/cm)],"",0)</f>
        <v>#REF!</v>
      </c>
      <c r="AQ395" s="4" t="str">
        <v>VSG02A-23307E1.01-18</v>
      </c>
    </row>
    <row r="396" spans="1:43">
      <c r="A396" s="81" t="s">
        <v>756</v>
      </c>
      <c r="B396" s="11" t="s">
        <v>760</v>
      </c>
      <c r="I396" s="107"/>
      <c r="J396" s="107"/>
      <c r="K396" s="89"/>
      <c r="L396" s="89"/>
      <c r="U396" s="101"/>
      <c r="V396" s="101"/>
      <c r="W396" s="69" t="e" cm="1">
        <f t="array" ref="W396">_xlfn.XLOOKUP(Table1[[#This Row],[5 cm2 cell test code]:[5 cm2 cell test code]],[1]!Table1[[Test code]:[Test code]],[1]!Table1[i @ 1.8 V DIW (A/cm2)],"",0)</f>
        <v>#REF!</v>
      </c>
      <c r="X396" s="69" t="e" cm="1">
        <f t="array" ref="X396">_xlfn.XLOOKUP(Table1[[#This Row],[5 cm2 cell test code]:[5 cm2 cell test code]],[1]!Table1[[Test code]:[Test code]],[1]!Table1[i @ 1.8 V 10 mM KOH (A/cm2)],"",0)</f>
        <v>#REF!</v>
      </c>
      <c r="Y396" s="69" t="e" cm="1">
        <f t="array" ref="Y396">_xlfn.XLOOKUP(Table1[[#This Row],[5 cm2 cell test code]:[5 cm2 cell test code]],[1]!Table1[[Test code]:[Test code]],[1]!Table1[3-E ƞ at 20mAcm-2 (mV)],"",0)</f>
        <v>#REF!</v>
      </c>
      <c r="Z396" s="69" t="e" cm="1">
        <f t="array" ref="Z396">_xlfn.XLOOKUP(Table1[[#This Row],[5 cm2 cell test code]:[5 cm2 cell test code]],[1]!Table1[[Test code]:[Test code]],[1]!Table1[3-E Tafel slope (mV/dec)],"",0)</f>
        <v>#REF!</v>
      </c>
      <c r="AA396" s="69" t="e" cm="1">
        <f t="array" ref="AA396">_xlfn.XLOOKUP(Table1[[#This Row],[5 cm2 cell test code]:[5 cm2 cell test code]],[1]!Table1[[Test code]:[Test code]],[1]!Table1[E @ 100 mA/cm2 DIW/V],"",0)</f>
        <v>#REF!</v>
      </c>
      <c r="AB396" s="69" t="e" cm="1">
        <f t="array" ref="AB396">_xlfn.XLOOKUP(Table1[[#This Row],[5 cm2 cell test code]:[5 cm2 cell test code]],[1]!Table1[[Test code]:[Test code]],[1]!Table1[E @ 100 mA/cm2 10 mM KOH/V],"",0)</f>
        <v>#REF!</v>
      </c>
      <c r="AC396" s="69" t="e" cm="1">
        <f t="array" ref="AC396">_xlfn.XLOOKUP(Table1[[#This Row],[5 cm2 cell test code]:[5 cm2 cell test code]],[1]!Table1[[Test code]:[Test code]],[1]!Table1[Anode ICR/mOhm],"",0)</f>
        <v>#REF!</v>
      </c>
      <c r="AD396" s="69" t="e" cm="1">
        <f t="array" ref="AD396">_xlfn.XLOOKUP(Table1[[#This Row],[5 cm2 cell test code]:[5 cm2 cell test code]],[1]!Table1[[Test code]:[Test code]],[1]!Table1[HFR DIW/ mOhm cm2],"",0)</f>
        <v>#REF!</v>
      </c>
      <c r="AE396" s="69" t="e" cm="1">
        <f t="array" ref="AE396">_xlfn.XLOOKUP(Table1[[#This Row],[5 cm2 cell test code]:[5 cm2 cell test code]],[1]!Table1[[Test code]:[Test code]],[1]!Table1[HFR 10 mM KOH/ mOhm cm2],"",0)</f>
        <v>#REF!</v>
      </c>
      <c r="AF396" s="69" t="e" cm="1">
        <f t="array" ref="AF396">_xlfn.XLOOKUP(Table1[[#This Row],[5 cm2 cell test code]:[5 cm2 cell test code]],[1]!Table1[[Test code]:[Test code]],[1]!Table1[Ionic resistance DIW/Ohm cm2],"",0)</f>
        <v>#REF!</v>
      </c>
      <c r="AG396" s="195" t="e" cm="1">
        <f t="array" ref="AG396">_xlfn.XLOOKUP(Table1[[#This Row],[5 cm2 cell test code]:[5 cm2 cell test code]],[1]!Table1[[Test code]:[Test code]],[1]!Table1[Q_int_frac DIW],"",0)</f>
        <v>#REF!</v>
      </c>
      <c r="AH396" s="195" t="e" cm="1">
        <f t="array" ref="AH396">_xlfn.XLOOKUP(Table1[[#This Row],[5 cm2 cell test code]:[5 cm2 cell test code]],[1]!Table1[[Test code]:[Test code]],[1]!Table1[Ionic resistance 10 mM KOH/Ohm cm2],"",0)</f>
        <v>#REF!</v>
      </c>
      <c r="AI396" s="195" t="e" cm="1">
        <f t="array" ref="AI396">_xlfn.XLOOKUP(Table1[[#This Row],[5 cm2 cell test code]:[5 cm2 cell test code]],[1]!Table1[[Test code]:[Test code]],[1]!Table1[Q_int_frac DIW 10 mM KOH],"",0)</f>
        <v>#REF!</v>
      </c>
      <c r="AJ396" s="69" t="e" cm="1">
        <f t="array" ref="AJ396">_xlfn.XLOOKUP(Table1[[#This Row],[5 cm2 cell test code]:[5 cm2 cell test code]],[1]!Table1[[Test code]:[Test code]],[1]!Table1[DIW conductivity (µS/cm)],"",0)</f>
        <v>#REF!</v>
      </c>
      <c r="AQ396" s="4" t="str">
        <v>VSG02A-23307E1.01-19</v>
      </c>
    </row>
    <row r="397" spans="1:43">
      <c r="A397" s="81"/>
      <c r="B397" s="11" t="s">
        <v>761</v>
      </c>
      <c r="E397" s="4" t="s">
        <v>762</v>
      </c>
      <c r="I397" s="107" t="s">
        <v>383</v>
      </c>
      <c r="J397" s="107" t="s">
        <v>402</v>
      </c>
      <c r="M397" s="13">
        <f>0.01*1000/(26.1*14)</f>
        <v>2.736726874657909E-2</v>
      </c>
      <c r="O397" s="11" t="s">
        <v>763</v>
      </c>
      <c r="P397" s="28">
        <v>1.2949999999999999</v>
      </c>
      <c r="Q397" s="4">
        <v>8.7777339050146355E-2</v>
      </c>
      <c r="U397" s="101"/>
      <c r="V397" s="101"/>
      <c r="W397" s="69" t="e" cm="1">
        <f t="array" ref="W397">_xlfn.XLOOKUP(Table1[[#This Row],[5 cm2 cell test code]:[5 cm2 cell test code]],[1]!Table1[[Test code]:[Test code]],[1]!Table1[i @ 1.8 V DIW (A/cm2)],"",0)</f>
        <v>#REF!</v>
      </c>
      <c r="X397" s="69" t="e" cm="1">
        <f t="array" ref="X397">_xlfn.XLOOKUP(Table1[[#This Row],[5 cm2 cell test code]:[5 cm2 cell test code]],[1]!Table1[[Test code]:[Test code]],[1]!Table1[i @ 1.8 V 10 mM KOH (A/cm2)],"",0)</f>
        <v>#REF!</v>
      </c>
      <c r="Y397" s="69" t="e" cm="1">
        <f t="array" ref="Y397">_xlfn.XLOOKUP(Table1[[#This Row],[5 cm2 cell test code]:[5 cm2 cell test code]],[1]!Table1[[Test code]:[Test code]],[1]!Table1[3-E ƞ at 20mAcm-2 (mV)],"",0)</f>
        <v>#REF!</v>
      </c>
      <c r="Z397" s="69" t="e" cm="1">
        <f t="array" ref="Z397">_xlfn.XLOOKUP(Table1[[#This Row],[5 cm2 cell test code]:[5 cm2 cell test code]],[1]!Table1[[Test code]:[Test code]],[1]!Table1[3-E Tafel slope (mV/dec)],"",0)</f>
        <v>#REF!</v>
      </c>
      <c r="AA397" s="69" t="e" cm="1">
        <f t="array" ref="AA397">_xlfn.XLOOKUP(Table1[[#This Row],[5 cm2 cell test code]:[5 cm2 cell test code]],[1]!Table1[[Test code]:[Test code]],[1]!Table1[E @ 100 mA/cm2 DIW/V],"",0)</f>
        <v>#REF!</v>
      </c>
      <c r="AB397" s="69" t="e" cm="1">
        <f t="array" ref="AB397">_xlfn.XLOOKUP(Table1[[#This Row],[5 cm2 cell test code]:[5 cm2 cell test code]],[1]!Table1[[Test code]:[Test code]],[1]!Table1[E @ 100 mA/cm2 10 mM KOH/V],"",0)</f>
        <v>#REF!</v>
      </c>
      <c r="AC397" s="69" t="e" cm="1">
        <f t="array" ref="AC397">_xlfn.XLOOKUP(Table1[[#This Row],[5 cm2 cell test code]:[5 cm2 cell test code]],[1]!Table1[[Test code]:[Test code]],[1]!Table1[Anode ICR/mOhm],"",0)</f>
        <v>#REF!</v>
      </c>
      <c r="AD397" s="69" t="e" cm="1">
        <f t="array" ref="AD397">_xlfn.XLOOKUP(Table1[[#This Row],[5 cm2 cell test code]:[5 cm2 cell test code]],[1]!Table1[[Test code]:[Test code]],[1]!Table1[HFR DIW/ mOhm cm2],"",0)</f>
        <v>#REF!</v>
      </c>
      <c r="AE397" s="69" t="e" cm="1">
        <f t="array" ref="AE397">_xlfn.XLOOKUP(Table1[[#This Row],[5 cm2 cell test code]:[5 cm2 cell test code]],[1]!Table1[[Test code]:[Test code]],[1]!Table1[HFR 10 mM KOH/ mOhm cm2],"",0)</f>
        <v>#REF!</v>
      </c>
      <c r="AF397" s="69" t="e" cm="1">
        <f t="array" ref="AF397">_xlfn.XLOOKUP(Table1[[#This Row],[5 cm2 cell test code]:[5 cm2 cell test code]],[1]!Table1[[Test code]:[Test code]],[1]!Table1[Ionic resistance DIW/Ohm cm2],"",0)</f>
        <v>#REF!</v>
      </c>
      <c r="AG397" s="69" t="e" cm="1">
        <f t="array" ref="AG397">_xlfn.XLOOKUP(Table1[[#This Row],[5 cm2 cell test code]:[5 cm2 cell test code]],[1]!Table1[[Test code]:[Test code]],[1]!Table1[Q_int_frac DIW],"",0)</f>
        <v>#REF!</v>
      </c>
      <c r="AH397" s="69" t="e" cm="1">
        <f t="array" ref="AH397">_xlfn.XLOOKUP(Table1[[#This Row],[5 cm2 cell test code]:[5 cm2 cell test code]],[1]!Table1[[Test code]:[Test code]],[1]!Table1[Ionic resistance 10 mM KOH/Ohm cm2],"",0)</f>
        <v>#REF!</v>
      </c>
      <c r="AI397" s="69" t="e" cm="1">
        <f t="array" ref="AI397">_xlfn.XLOOKUP(Table1[[#This Row],[5 cm2 cell test code]:[5 cm2 cell test code]],[1]!Table1[[Test code]:[Test code]],[1]!Table1[Q_int_frac DIW 10 mM KOH],"",0)</f>
        <v>#REF!</v>
      </c>
      <c r="AJ397" s="69" t="e" cm="1">
        <f t="array" ref="AJ397">_xlfn.XLOOKUP(Table1[[#This Row],[5 cm2 cell test code]:[5 cm2 cell test code]],[1]!Table1[[Test code]:[Test code]],[1]!Table1[DIW conductivity (µS/cm)],"",0)</f>
        <v>#REF!</v>
      </c>
      <c r="AQ397" s="4" t="str">
        <v>VSG02A-23307E1.01-20</v>
      </c>
    </row>
    <row r="398" spans="1:43">
      <c r="A398" s="81"/>
      <c r="B398" s="11" t="s">
        <v>764</v>
      </c>
      <c r="E398" s="4" t="s">
        <v>762</v>
      </c>
      <c r="I398" s="107" t="s">
        <v>383</v>
      </c>
      <c r="J398" s="107" t="s">
        <v>402</v>
      </c>
      <c r="M398" s="13">
        <f>(33.44-33.48)*1000/(26.4*13.9)</f>
        <v>-0.10900370612600596</v>
      </c>
      <c r="O398" s="11" t="s">
        <v>765</v>
      </c>
      <c r="P398" s="28">
        <v>1.298</v>
      </c>
      <c r="Q398" s="4">
        <v>0.10810807272110801</v>
      </c>
      <c r="U398" s="101"/>
      <c r="V398" s="101"/>
      <c r="W398" s="69" t="e" cm="1">
        <f t="array" ref="W398">_xlfn.XLOOKUP(Table1[[#This Row],[5 cm2 cell test code]:[5 cm2 cell test code]],[1]!Table1[[Test code]:[Test code]],[1]!Table1[i @ 1.8 V DIW (A/cm2)],"",0)</f>
        <v>#REF!</v>
      </c>
      <c r="X398" s="69" t="e" cm="1">
        <f t="array" ref="X398">_xlfn.XLOOKUP(Table1[[#This Row],[5 cm2 cell test code]:[5 cm2 cell test code]],[1]!Table1[[Test code]:[Test code]],[1]!Table1[i @ 1.8 V 10 mM KOH (A/cm2)],"",0)</f>
        <v>#REF!</v>
      </c>
      <c r="Y398" s="69" t="e" cm="1">
        <f t="array" ref="Y398">_xlfn.XLOOKUP(Table1[[#This Row],[5 cm2 cell test code]:[5 cm2 cell test code]],[1]!Table1[[Test code]:[Test code]],[1]!Table1[3-E ƞ at 20mAcm-2 (mV)],"",0)</f>
        <v>#REF!</v>
      </c>
      <c r="Z398" s="69" t="e" cm="1">
        <f t="array" ref="Z398">_xlfn.XLOOKUP(Table1[[#This Row],[5 cm2 cell test code]:[5 cm2 cell test code]],[1]!Table1[[Test code]:[Test code]],[1]!Table1[3-E Tafel slope (mV/dec)],"",0)</f>
        <v>#REF!</v>
      </c>
      <c r="AA398" s="69" t="e" cm="1">
        <f t="array" ref="AA398">_xlfn.XLOOKUP(Table1[[#This Row],[5 cm2 cell test code]:[5 cm2 cell test code]],[1]!Table1[[Test code]:[Test code]],[1]!Table1[E @ 100 mA/cm2 DIW/V],"",0)</f>
        <v>#REF!</v>
      </c>
      <c r="AB398" s="69" t="e" cm="1">
        <f t="array" ref="AB398">_xlfn.XLOOKUP(Table1[[#This Row],[5 cm2 cell test code]:[5 cm2 cell test code]],[1]!Table1[[Test code]:[Test code]],[1]!Table1[E @ 100 mA/cm2 10 mM KOH/V],"",0)</f>
        <v>#REF!</v>
      </c>
      <c r="AC398" s="69" t="e" cm="1">
        <f t="array" ref="AC398">_xlfn.XLOOKUP(Table1[[#This Row],[5 cm2 cell test code]:[5 cm2 cell test code]],[1]!Table1[[Test code]:[Test code]],[1]!Table1[Anode ICR/mOhm],"",0)</f>
        <v>#REF!</v>
      </c>
      <c r="AD398" s="69" t="e" cm="1">
        <f t="array" ref="AD398">_xlfn.XLOOKUP(Table1[[#This Row],[5 cm2 cell test code]:[5 cm2 cell test code]],[1]!Table1[[Test code]:[Test code]],[1]!Table1[HFR DIW/ mOhm cm2],"",0)</f>
        <v>#REF!</v>
      </c>
      <c r="AE398" s="69" t="e" cm="1">
        <f t="array" ref="AE398">_xlfn.XLOOKUP(Table1[[#This Row],[5 cm2 cell test code]:[5 cm2 cell test code]],[1]!Table1[[Test code]:[Test code]],[1]!Table1[HFR 10 mM KOH/ mOhm cm2],"",0)</f>
        <v>#REF!</v>
      </c>
      <c r="AF398" s="69" t="e" cm="1">
        <f t="array" ref="AF398">_xlfn.XLOOKUP(Table1[[#This Row],[5 cm2 cell test code]:[5 cm2 cell test code]],[1]!Table1[[Test code]:[Test code]],[1]!Table1[Ionic resistance DIW/Ohm cm2],"",0)</f>
        <v>#REF!</v>
      </c>
      <c r="AG398" s="69" t="e" cm="1">
        <f t="array" ref="AG398">_xlfn.XLOOKUP(Table1[[#This Row],[5 cm2 cell test code]:[5 cm2 cell test code]],[1]!Table1[[Test code]:[Test code]],[1]!Table1[Q_int_frac DIW],"",0)</f>
        <v>#REF!</v>
      </c>
      <c r="AH398" s="69" t="e" cm="1">
        <f t="array" ref="AH398">_xlfn.XLOOKUP(Table1[[#This Row],[5 cm2 cell test code]:[5 cm2 cell test code]],[1]!Table1[[Test code]:[Test code]],[1]!Table1[Ionic resistance 10 mM KOH/Ohm cm2],"",0)</f>
        <v>#REF!</v>
      </c>
      <c r="AI398" s="69" t="e" cm="1">
        <f t="array" ref="AI398">_xlfn.XLOOKUP(Table1[[#This Row],[5 cm2 cell test code]:[5 cm2 cell test code]],[1]!Table1[[Test code]:[Test code]],[1]!Table1[Q_int_frac DIW 10 mM KOH],"",0)</f>
        <v>#REF!</v>
      </c>
      <c r="AJ398" s="69" t="e" cm="1">
        <f t="array" ref="AJ398">_xlfn.XLOOKUP(Table1[[#This Row],[5 cm2 cell test code]:[5 cm2 cell test code]],[1]!Table1[[Test code]:[Test code]],[1]!Table1[DIW conductivity (µS/cm)],"",0)</f>
        <v>#REF!</v>
      </c>
      <c r="AQ398" s="4" t="str">
        <v>VSG02A-23307E1.02</v>
      </c>
    </row>
    <row r="399" spans="1:43">
      <c r="A399" s="81"/>
      <c r="U399" s="101"/>
      <c r="V399" s="101"/>
      <c r="W399" s="69" t="e" cm="1">
        <f t="array" ref="W399">_xlfn.XLOOKUP(Table1[[#This Row],[5 cm2 cell test code]:[5 cm2 cell test code]],[1]!Table1[[Test code]:[Test code]],[1]!Table1[i @ 1.8 V DIW (A/cm2)],"",0)</f>
        <v>#REF!</v>
      </c>
      <c r="X399" s="69" t="e" cm="1">
        <f t="array" ref="X399">_xlfn.XLOOKUP(Table1[[#This Row],[5 cm2 cell test code]:[5 cm2 cell test code]],[1]!Table1[[Test code]:[Test code]],[1]!Table1[i @ 1.8 V 10 mM KOH (A/cm2)],"",0)</f>
        <v>#REF!</v>
      </c>
      <c r="Y399" s="69" t="e" cm="1">
        <f t="array" ref="Y399">_xlfn.XLOOKUP(Table1[[#This Row],[5 cm2 cell test code]:[5 cm2 cell test code]],[1]!Table1[[Test code]:[Test code]],[1]!Table1[3-E ƞ at 20mAcm-2 (mV)],"",0)</f>
        <v>#REF!</v>
      </c>
      <c r="Z399" s="69" t="e" cm="1">
        <f t="array" ref="Z399">_xlfn.XLOOKUP(Table1[[#This Row],[5 cm2 cell test code]:[5 cm2 cell test code]],[1]!Table1[[Test code]:[Test code]],[1]!Table1[3-E Tafel slope (mV/dec)],"",0)</f>
        <v>#REF!</v>
      </c>
      <c r="AA399" s="69" t="e" cm="1">
        <f t="array" ref="AA399">_xlfn.XLOOKUP(Table1[[#This Row],[5 cm2 cell test code]:[5 cm2 cell test code]],[1]!Table1[[Test code]:[Test code]],[1]!Table1[E @ 100 mA/cm2 DIW/V],"",0)</f>
        <v>#REF!</v>
      </c>
      <c r="AB399" s="69" t="e" cm="1">
        <f t="array" ref="AB399">_xlfn.XLOOKUP(Table1[[#This Row],[5 cm2 cell test code]:[5 cm2 cell test code]],[1]!Table1[[Test code]:[Test code]],[1]!Table1[E @ 100 mA/cm2 10 mM KOH/V],"",0)</f>
        <v>#REF!</v>
      </c>
      <c r="AC399" s="69" t="e" cm="1">
        <f t="array" ref="AC399">_xlfn.XLOOKUP(Table1[[#This Row],[5 cm2 cell test code]:[5 cm2 cell test code]],[1]!Table1[[Test code]:[Test code]],[1]!Table1[Anode ICR/mOhm],"",0)</f>
        <v>#REF!</v>
      </c>
      <c r="AD399" s="69" t="e" cm="1">
        <f t="array" ref="AD399">_xlfn.XLOOKUP(Table1[[#This Row],[5 cm2 cell test code]:[5 cm2 cell test code]],[1]!Table1[[Test code]:[Test code]],[1]!Table1[HFR DIW/ mOhm cm2],"",0)</f>
        <v>#REF!</v>
      </c>
      <c r="AE399" s="69" t="e" cm="1">
        <f t="array" ref="AE399">_xlfn.XLOOKUP(Table1[[#This Row],[5 cm2 cell test code]:[5 cm2 cell test code]],[1]!Table1[[Test code]:[Test code]],[1]!Table1[HFR 10 mM KOH/ mOhm cm2],"",0)</f>
        <v>#REF!</v>
      </c>
      <c r="AF399" s="69" t="e" cm="1">
        <f t="array" ref="AF399">_xlfn.XLOOKUP(Table1[[#This Row],[5 cm2 cell test code]:[5 cm2 cell test code]],[1]!Table1[[Test code]:[Test code]],[1]!Table1[Ionic resistance DIW/Ohm cm2],"",0)</f>
        <v>#REF!</v>
      </c>
      <c r="AG399" s="69" t="e" cm="1">
        <f t="array" ref="AG399">_xlfn.XLOOKUP(Table1[[#This Row],[5 cm2 cell test code]:[5 cm2 cell test code]],[1]!Table1[[Test code]:[Test code]],[1]!Table1[Q_int_frac DIW],"",0)</f>
        <v>#REF!</v>
      </c>
      <c r="AH399" s="69" t="e" cm="1">
        <f t="array" ref="AH399">_xlfn.XLOOKUP(Table1[[#This Row],[5 cm2 cell test code]:[5 cm2 cell test code]],[1]!Table1[[Test code]:[Test code]],[1]!Table1[Ionic resistance 10 mM KOH/Ohm cm2],"",0)</f>
        <v>#REF!</v>
      </c>
      <c r="AI399" s="69" t="e" cm="1">
        <f t="array" ref="AI399">_xlfn.XLOOKUP(Table1[[#This Row],[5 cm2 cell test code]:[5 cm2 cell test code]],[1]!Table1[[Test code]:[Test code]],[1]!Table1[Q_int_frac DIW 10 mM KOH],"",0)</f>
        <v>#REF!</v>
      </c>
      <c r="AJ399" s="69" t="e" cm="1">
        <f t="array" ref="AJ399">_xlfn.XLOOKUP(Table1[[#This Row],[5 cm2 cell test code]:[5 cm2 cell test code]],[1]!Table1[[Test code]:[Test code]],[1]!Table1[DIW conductivity (µS/cm)],"",0)</f>
        <v>#REF!</v>
      </c>
      <c r="AQ399" s="4" t="str">
        <v>VSG02A-23310E1.01</v>
      </c>
    </row>
    <row r="400" spans="1:43">
      <c r="A400" s="81"/>
      <c r="B400" s="11" t="s">
        <v>766</v>
      </c>
      <c r="C400" s="4" t="s">
        <v>767</v>
      </c>
      <c r="I400" s="11" t="s">
        <v>114</v>
      </c>
      <c r="J400" s="107" t="s">
        <v>402</v>
      </c>
      <c r="M400" s="13">
        <f>(52-51.8)*1000/(19.74*28.88)</f>
        <v>0.35082106161260312</v>
      </c>
      <c r="P400" s="28">
        <v>1.9023000000000001</v>
      </c>
      <c r="U400" s="101"/>
      <c r="V400" s="101"/>
      <c r="W400" s="69" t="e" cm="1">
        <f t="array" ref="W400">_xlfn.XLOOKUP(Table1[[#This Row],[5 cm2 cell test code]:[5 cm2 cell test code]],[1]!Table1[[Test code]:[Test code]],[1]!Table1[i @ 1.8 V DIW (A/cm2)],"",0)</f>
        <v>#REF!</v>
      </c>
      <c r="X400" s="69" t="e" cm="1">
        <f t="array" ref="X400">_xlfn.XLOOKUP(Table1[[#This Row],[5 cm2 cell test code]:[5 cm2 cell test code]],[1]!Table1[[Test code]:[Test code]],[1]!Table1[i @ 1.8 V 10 mM KOH (A/cm2)],"",0)</f>
        <v>#REF!</v>
      </c>
      <c r="Y400" s="69" t="e" cm="1">
        <f t="array" ref="Y400">_xlfn.XLOOKUP(Table1[[#This Row],[5 cm2 cell test code]:[5 cm2 cell test code]],[1]!Table1[[Test code]:[Test code]],[1]!Table1[3-E ƞ at 20mAcm-2 (mV)],"",0)</f>
        <v>#REF!</v>
      </c>
      <c r="Z400" s="69" t="e" cm="1">
        <f t="array" ref="Z400">_xlfn.XLOOKUP(Table1[[#This Row],[5 cm2 cell test code]:[5 cm2 cell test code]],[1]!Table1[[Test code]:[Test code]],[1]!Table1[3-E Tafel slope (mV/dec)],"",0)</f>
        <v>#REF!</v>
      </c>
      <c r="AA400" s="69" t="e" cm="1">
        <f t="array" ref="AA400">_xlfn.XLOOKUP(Table1[[#This Row],[5 cm2 cell test code]:[5 cm2 cell test code]],[1]!Table1[[Test code]:[Test code]],[1]!Table1[E @ 100 mA/cm2 DIW/V],"",0)</f>
        <v>#REF!</v>
      </c>
      <c r="AB400" s="69" t="e" cm="1">
        <f t="array" ref="AB400">_xlfn.XLOOKUP(Table1[[#This Row],[5 cm2 cell test code]:[5 cm2 cell test code]],[1]!Table1[[Test code]:[Test code]],[1]!Table1[E @ 100 mA/cm2 10 mM KOH/V],"",0)</f>
        <v>#REF!</v>
      </c>
      <c r="AC400" s="69" t="e" cm="1">
        <f t="array" ref="AC400">_xlfn.XLOOKUP(Table1[[#This Row],[5 cm2 cell test code]:[5 cm2 cell test code]],[1]!Table1[[Test code]:[Test code]],[1]!Table1[Anode ICR/mOhm],"",0)</f>
        <v>#REF!</v>
      </c>
      <c r="AD400" s="69" t="e" cm="1">
        <f t="array" ref="AD400">_xlfn.XLOOKUP(Table1[[#This Row],[5 cm2 cell test code]:[5 cm2 cell test code]],[1]!Table1[[Test code]:[Test code]],[1]!Table1[HFR DIW/ mOhm cm2],"",0)</f>
        <v>#REF!</v>
      </c>
      <c r="AE400" s="69" t="e" cm="1">
        <f t="array" ref="AE400">_xlfn.XLOOKUP(Table1[[#This Row],[5 cm2 cell test code]:[5 cm2 cell test code]],[1]!Table1[[Test code]:[Test code]],[1]!Table1[HFR 10 mM KOH/ mOhm cm2],"",0)</f>
        <v>#REF!</v>
      </c>
      <c r="AF400" s="69" t="e" cm="1">
        <f t="array" ref="AF400">_xlfn.XLOOKUP(Table1[[#This Row],[5 cm2 cell test code]:[5 cm2 cell test code]],[1]!Table1[[Test code]:[Test code]],[1]!Table1[Ionic resistance DIW/Ohm cm2],"",0)</f>
        <v>#REF!</v>
      </c>
      <c r="AG400" s="69" t="e" cm="1">
        <f t="array" ref="AG400">_xlfn.XLOOKUP(Table1[[#This Row],[5 cm2 cell test code]:[5 cm2 cell test code]],[1]!Table1[[Test code]:[Test code]],[1]!Table1[Q_int_frac DIW],"",0)</f>
        <v>#REF!</v>
      </c>
      <c r="AH400" s="69" t="e" cm="1">
        <f t="array" ref="AH400">_xlfn.XLOOKUP(Table1[[#This Row],[5 cm2 cell test code]:[5 cm2 cell test code]],[1]!Table1[[Test code]:[Test code]],[1]!Table1[Ionic resistance 10 mM KOH/Ohm cm2],"",0)</f>
        <v>#REF!</v>
      </c>
      <c r="AI400" s="69" t="e" cm="1">
        <f t="array" ref="AI400">_xlfn.XLOOKUP(Table1[[#This Row],[5 cm2 cell test code]:[5 cm2 cell test code]],[1]!Table1[[Test code]:[Test code]],[1]!Table1[Q_int_frac DIW 10 mM KOH],"",0)</f>
        <v>#REF!</v>
      </c>
      <c r="AJ400" s="69" t="e" cm="1">
        <f t="array" ref="AJ400">_xlfn.XLOOKUP(Table1[[#This Row],[5 cm2 cell test code]:[5 cm2 cell test code]],[1]!Table1[[Test code]:[Test code]],[1]!Table1[DIW conductivity (µS/cm)],"",0)</f>
        <v>#REF!</v>
      </c>
      <c r="AQ400" s="4" t="str">
        <v>VSG02A-23310E1.02</v>
      </c>
    </row>
    <row r="401" spans="1:43">
      <c r="A401" s="81"/>
      <c r="B401" s="11" t="s">
        <v>768</v>
      </c>
      <c r="C401" s="4" t="s">
        <v>769</v>
      </c>
      <c r="I401" s="11" t="s">
        <v>114</v>
      </c>
      <c r="J401" s="107" t="s">
        <v>402</v>
      </c>
      <c r="M401" s="13">
        <f>(35.19-34.97)*1000/(15.29*25.04)</f>
        <v>0.57462017606361904</v>
      </c>
      <c r="P401" s="28">
        <v>0.93710000000000004</v>
      </c>
      <c r="Q401" s="4">
        <v>6.4881645279861233E-2</v>
      </c>
      <c r="U401" s="101"/>
      <c r="V401" s="101"/>
      <c r="W401" s="69" t="e" cm="1">
        <f t="array" ref="W401">_xlfn.XLOOKUP(Table1[[#This Row],[5 cm2 cell test code]:[5 cm2 cell test code]],[1]!Table1[[Test code]:[Test code]],[1]!Table1[i @ 1.8 V DIW (A/cm2)],"",0)</f>
        <v>#REF!</v>
      </c>
      <c r="X401" s="69" t="e" cm="1">
        <f t="array" ref="X401">_xlfn.XLOOKUP(Table1[[#This Row],[5 cm2 cell test code]:[5 cm2 cell test code]],[1]!Table1[[Test code]:[Test code]],[1]!Table1[i @ 1.8 V 10 mM KOH (A/cm2)],"",0)</f>
        <v>#REF!</v>
      </c>
      <c r="Y401" s="69" t="e" cm="1">
        <f t="array" ref="Y401">_xlfn.XLOOKUP(Table1[[#This Row],[5 cm2 cell test code]:[5 cm2 cell test code]],[1]!Table1[[Test code]:[Test code]],[1]!Table1[3-E ƞ at 20mAcm-2 (mV)],"",0)</f>
        <v>#REF!</v>
      </c>
      <c r="Z401" s="69" t="e" cm="1">
        <f t="array" ref="Z401">_xlfn.XLOOKUP(Table1[[#This Row],[5 cm2 cell test code]:[5 cm2 cell test code]],[1]!Table1[[Test code]:[Test code]],[1]!Table1[3-E Tafel slope (mV/dec)],"",0)</f>
        <v>#REF!</v>
      </c>
      <c r="AA401" s="69" t="e" cm="1">
        <f t="array" ref="AA401">_xlfn.XLOOKUP(Table1[[#This Row],[5 cm2 cell test code]:[5 cm2 cell test code]],[1]!Table1[[Test code]:[Test code]],[1]!Table1[E @ 100 mA/cm2 DIW/V],"",0)</f>
        <v>#REF!</v>
      </c>
      <c r="AB401" s="69" t="e" cm="1">
        <f t="array" ref="AB401">_xlfn.XLOOKUP(Table1[[#This Row],[5 cm2 cell test code]:[5 cm2 cell test code]],[1]!Table1[[Test code]:[Test code]],[1]!Table1[E @ 100 mA/cm2 10 mM KOH/V],"",0)</f>
        <v>#REF!</v>
      </c>
      <c r="AC401" s="69" t="e" cm="1">
        <f t="array" ref="AC401">_xlfn.XLOOKUP(Table1[[#This Row],[5 cm2 cell test code]:[5 cm2 cell test code]],[1]!Table1[[Test code]:[Test code]],[1]!Table1[Anode ICR/mOhm],"",0)</f>
        <v>#REF!</v>
      </c>
      <c r="AD401" s="69" t="e" cm="1">
        <f t="array" ref="AD401">_xlfn.XLOOKUP(Table1[[#This Row],[5 cm2 cell test code]:[5 cm2 cell test code]],[1]!Table1[[Test code]:[Test code]],[1]!Table1[HFR DIW/ mOhm cm2],"",0)</f>
        <v>#REF!</v>
      </c>
      <c r="AE401" s="69" t="e" cm="1">
        <f t="array" ref="AE401">_xlfn.XLOOKUP(Table1[[#This Row],[5 cm2 cell test code]:[5 cm2 cell test code]],[1]!Table1[[Test code]:[Test code]],[1]!Table1[HFR 10 mM KOH/ mOhm cm2],"",0)</f>
        <v>#REF!</v>
      </c>
      <c r="AF401" s="69" t="e" cm="1">
        <f t="array" ref="AF401">_xlfn.XLOOKUP(Table1[[#This Row],[5 cm2 cell test code]:[5 cm2 cell test code]],[1]!Table1[[Test code]:[Test code]],[1]!Table1[Ionic resistance DIW/Ohm cm2],"",0)</f>
        <v>#REF!</v>
      </c>
      <c r="AG401" s="69" t="e" cm="1">
        <f t="array" ref="AG401">_xlfn.XLOOKUP(Table1[[#This Row],[5 cm2 cell test code]:[5 cm2 cell test code]],[1]!Table1[[Test code]:[Test code]],[1]!Table1[Q_int_frac DIW],"",0)</f>
        <v>#REF!</v>
      </c>
      <c r="AH401" s="69" t="e" cm="1">
        <f t="array" ref="AH401">_xlfn.XLOOKUP(Table1[[#This Row],[5 cm2 cell test code]:[5 cm2 cell test code]],[1]!Table1[[Test code]:[Test code]],[1]!Table1[Ionic resistance 10 mM KOH/Ohm cm2],"",0)</f>
        <v>#REF!</v>
      </c>
      <c r="AI401" s="69" t="e" cm="1">
        <f t="array" ref="AI401">_xlfn.XLOOKUP(Table1[[#This Row],[5 cm2 cell test code]:[5 cm2 cell test code]],[1]!Table1[[Test code]:[Test code]],[1]!Table1[Q_int_frac DIW 10 mM KOH],"",0)</f>
        <v>#REF!</v>
      </c>
      <c r="AJ401" s="69" t="e" cm="1">
        <f t="array" ref="AJ401">_xlfn.XLOOKUP(Table1[[#This Row],[5 cm2 cell test code]:[5 cm2 cell test code]],[1]!Table1[[Test code]:[Test code]],[1]!Table1[DIW conductivity (µS/cm)],"",0)</f>
        <v>#REF!</v>
      </c>
      <c r="AQ401" s="4" t="str">
        <v>VSG02A-23311E1.01</v>
      </c>
    </row>
    <row r="402" spans="1:43">
      <c r="A402" s="81"/>
      <c r="B402" s="11" t="s">
        <v>770</v>
      </c>
      <c r="C402" s="4" t="s">
        <v>771</v>
      </c>
      <c r="I402" s="11" t="s">
        <v>114</v>
      </c>
      <c r="J402" s="107" t="s">
        <v>402</v>
      </c>
      <c r="M402" s="13">
        <f>(34.31-34.22)*1000/(26*14.32)</f>
        <v>0.2417275461968291</v>
      </c>
      <c r="P402" s="28">
        <v>0.27900000000000003</v>
      </c>
      <c r="Q402" s="4">
        <v>6.4645148388601498E-2</v>
      </c>
      <c r="U402" s="101"/>
      <c r="V402" s="101"/>
      <c r="W402" s="69" t="e" cm="1">
        <f t="array" ref="W402">_xlfn.XLOOKUP(Table1[[#This Row],[5 cm2 cell test code]:[5 cm2 cell test code]],[1]!Table1[[Test code]:[Test code]],[1]!Table1[i @ 1.8 V DIW (A/cm2)],"",0)</f>
        <v>#REF!</v>
      </c>
      <c r="X402" s="69" t="e" cm="1">
        <f t="array" ref="X402">_xlfn.XLOOKUP(Table1[[#This Row],[5 cm2 cell test code]:[5 cm2 cell test code]],[1]!Table1[[Test code]:[Test code]],[1]!Table1[i @ 1.8 V 10 mM KOH (A/cm2)],"",0)</f>
        <v>#REF!</v>
      </c>
      <c r="Y402" s="69" t="e" cm="1">
        <f t="array" ref="Y402">_xlfn.XLOOKUP(Table1[[#This Row],[5 cm2 cell test code]:[5 cm2 cell test code]],[1]!Table1[[Test code]:[Test code]],[1]!Table1[3-E ƞ at 20mAcm-2 (mV)],"",0)</f>
        <v>#REF!</v>
      </c>
      <c r="Z402" s="69" t="e" cm="1">
        <f t="array" ref="Z402">_xlfn.XLOOKUP(Table1[[#This Row],[5 cm2 cell test code]:[5 cm2 cell test code]],[1]!Table1[[Test code]:[Test code]],[1]!Table1[3-E Tafel slope (mV/dec)],"",0)</f>
        <v>#REF!</v>
      </c>
      <c r="AA402" s="69" t="e" cm="1">
        <f t="array" ref="AA402">_xlfn.XLOOKUP(Table1[[#This Row],[5 cm2 cell test code]:[5 cm2 cell test code]],[1]!Table1[[Test code]:[Test code]],[1]!Table1[E @ 100 mA/cm2 DIW/V],"",0)</f>
        <v>#REF!</v>
      </c>
      <c r="AB402" s="69" t="e" cm="1">
        <f t="array" ref="AB402">_xlfn.XLOOKUP(Table1[[#This Row],[5 cm2 cell test code]:[5 cm2 cell test code]],[1]!Table1[[Test code]:[Test code]],[1]!Table1[E @ 100 mA/cm2 10 mM KOH/V],"",0)</f>
        <v>#REF!</v>
      </c>
      <c r="AC402" s="69" t="e" cm="1">
        <f t="array" ref="AC402">_xlfn.XLOOKUP(Table1[[#This Row],[5 cm2 cell test code]:[5 cm2 cell test code]],[1]!Table1[[Test code]:[Test code]],[1]!Table1[Anode ICR/mOhm],"",0)</f>
        <v>#REF!</v>
      </c>
      <c r="AD402" s="69" t="e" cm="1">
        <f t="array" ref="AD402">_xlfn.XLOOKUP(Table1[[#This Row],[5 cm2 cell test code]:[5 cm2 cell test code]],[1]!Table1[[Test code]:[Test code]],[1]!Table1[HFR DIW/ mOhm cm2],"",0)</f>
        <v>#REF!</v>
      </c>
      <c r="AE402" s="69" t="e" cm="1">
        <f t="array" ref="AE402">_xlfn.XLOOKUP(Table1[[#This Row],[5 cm2 cell test code]:[5 cm2 cell test code]],[1]!Table1[[Test code]:[Test code]],[1]!Table1[HFR 10 mM KOH/ mOhm cm2],"",0)</f>
        <v>#REF!</v>
      </c>
      <c r="AF402" s="69" t="e" cm="1">
        <f t="array" ref="AF402">_xlfn.XLOOKUP(Table1[[#This Row],[5 cm2 cell test code]:[5 cm2 cell test code]],[1]!Table1[[Test code]:[Test code]],[1]!Table1[Ionic resistance DIW/Ohm cm2],"",0)</f>
        <v>#REF!</v>
      </c>
      <c r="AG402" s="69" t="e" cm="1">
        <f t="array" ref="AG402">_xlfn.XLOOKUP(Table1[[#This Row],[5 cm2 cell test code]:[5 cm2 cell test code]],[1]!Table1[[Test code]:[Test code]],[1]!Table1[Q_int_frac DIW],"",0)</f>
        <v>#REF!</v>
      </c>
      <c r="AH402" s="69" t="e" cm="1">
        <f t="array" ref="AH402">_xlfn.XLOOKUP(Table1[[#This Row],[5 cm2 cell test code]:[5 cm2 cell test code]],[1]!Table1[[Test code]:[Test code]],[1]!Table1[Ionic resistance 10 mM KOH/Ohm cm2],"",0)</f>
        <v>#REF!</v>
      </c>
      <c r="AI402" s="69" t="e" cm="1">
        <f t="array" ref="AI402">_xlfn.XLOOKUP(Table1[[#This Row],[5 cm2 cell test code]:[5 cm2 cell test code]],[1]!Table1[[Test code]:[Test code]],[1]!Table1[Q_int_frac DIW 10 mM KOH],"",0)</f>
        <v>#REF!</v>
      </c>
      <c r="AJ402" s="69" t="e" cm="1">
        <f t="array" ref="AJ402">_xlfn.XLOOKUP(Table1[[#This Row],[5 cm2 cell test code]:[5 cm2 cell test code]],[1]!Table1[[Test code]:[Test code]],[1]!Table1[DIW conductivity (µS/cm)],"",0)</f>
        <v>#REF!</v>
      </c>
      <c r="AQ402" s="4" t="str">
        <v>VSG02A-23311E1.02</v>
      </c>
    </row>
    <row r="403" spans="1:43">
      <c r="A403" s="81"/>
      <c r="J403" s="107"/>
      <c r="K403" s="89"/>
      <c r="L403" s="89"/>
      <c r="U403" s="101"/>
      <c r="V403" s="101"/>
      <c r="W403" s="69" t="e" cm="1">
        <f t="array" ref="W403">_xlfn.XLOOKUP(Table1[[#This Row],[5 cm2 cell test code]:[5 cm2 cell test code]],[1]!Table1[[Test code]:[Test code]],[1]!Table1[i @ 1.8 V DIW (A/cm2)],"",0)</f>
        <v>#REF!</v>
      </c>
      <c r="X403" s="69" t="e" cm="1">
        <f t="array" ref="X403">_xlfn.XLOOKUP(Table1[[#This Row],[5 cm2 cell test code]:[5 cm2 cell test code]],[1]!Table1[[Test code]:[Test code]],[1]!Table1[i @ 1.8 V 10 mM KOH (A/cm2)],"",0)</f>
        <v>#REF!</v>
      </c>
      <c r="Y403" s="69" t="e" cm="1">
        <f t="array" ref="Y403">_xlfn.XLOOKUP(Table1[[#This Row],[5 cm2 cell test code]:[5 cm2 cell test code]],[1]!Table1[[Test code]:[Test code]],[1]!Table1[3-E ƞ at 20mAcm-2 (mV)],"",0)</f>
        <v>#REF!</v>
      </c>
      <c r="Z403" s="69" t="e" cm="1">
        <f t="array" ref="Z403">_xlfn.XLOOKUP(Table1[[#This Row],[5 cm2 cell test code]:[5 cm2 cell test code]],[1]!Table1[[Test code]:[Test code]],[1]!Table1[3-E Tafel slope (mV/dec)],"",0)</f>
        <v>#REF!</v>
      </c>
      <c r="AA403" s="69" t="e" cm="1">
        <f t="array" ref="AA403">_xlfn.XLOOKUP(Table1[[#This Row],[5 cm2 cell test code]:[5 cm2 cell test code]],[1]!Table1[[Test code]:[Test code]],[1]!Table1[E @ 100 mA/cm2 DIW/V],"",0)</f>
        <v>#REF!</v>
      </c>
      <c r="AB403" s="69" t="e" cm="1">
        <f t="array" ref="AB403">_xlfn.XLOOKUP(Table1[[#This Row],[5 cm2 cell test code]:[5 cm2 cell test code]],[1]!Table1[[Test code]:[Test code]],[1]!Table1[E @ 100 mA/cm2 10 mM KOH/V],"",0)</f>
        <v>#REF!</v>
      </c>
      <c r="AC403" s="69" t="e" cm="1">
        <f t="array" ref="AC403">_xlfn.XLOOKUP(Table1[[#This Row],[5 cm2 cell test code]:[5 cm2 cell test code]],[1]!Table1[[Test code]:[Test code]],[1]!Table1[Anode ICR/mOhm],"",0)</f>
        <v>#REF!</v>
      </c>
      <c r="AD403" s="69" t="e" cm="1">
        <f t="array" ref="AD403">_xlfn.XLOOKUP(Table1[[#This Row],[5 cm2 cell test code]:[5 cm2 cell test code]],[1]!Table1[[Test code]:[Test code]],[1]!Table1[HFR DIW/ mOhm cm2],"",0)</f>
        <v>#REF!</v>
      </c>
      <c r="AE403" s="69" t="e" cm="1">
        <f t="array" ref="AE403">_xlfn.XLOOKUP(Table1[[#This Row],[5 cm2 cell test code]:[5 cm2 cell test code]],[1]!Table1[[Test code]:[Test code]],[1]!Table1[HFR 10 mM KOH/ mOhm cm2],"",0)</f>
        <v>#REF!</v>
      </c>
      <c r="AF403" s="69" t="e" cm="1">
        <f t="array" ref="AF403">_xlfn.XLOOKUP(Table1[[#This Row],[5 cm2 cell test code]:[5 cm2 cell test code]],[1]!Table1[[Test code]:[Test code]],[1]!Table1[Ionic resistance DIW/Ohm cm2],"",0)</f>
        <v>#REF!</v>
      </c>
      <c r="AG403" s="195" t="e" cm="1">
        <f t="array" ref="AG403">_xlfn.XLOOKUP(Table1[[#This Row],[5 cm2 cell test code]:[5 cm2 cell test code]],[1]!Table1[[Test code]:[Test code]],[1]!Table1[Q_int_frac DIW],"",0)</f>
        <v>#REF!</v>
      </c>
      <c r="AH403" s="195" t="e" cm="1">
        <f t="array" ref="AH403">_xlfn.XLOOKUP(Table1[[#This Row],[5 cm2 cell test code]:[5 cm2 cell test code]],[1]!Table1[[Test code]:[Test code]],[1]!Table1[Ionic resistance 10 mM KOH/Ohm cm2],"",0)</f>
        <v>#REF!</v>
      </c>
      <c r="AI403" s="195" t="e" cm="1">
        <f t="array" ref="AI403">_xlfn.XLOOKUP(Table1[[#This Row],[5 cm2 cell test code]:[5 cm2 cell test code]],[1]!Table1[[Test code]:[Test code]],[1]!Table1[Q_int_frac DIW 10 mM KOH],"",0)</f>
        <v>#REF!</v>
      </c>
      <c r="AJ403" s="69" t="e" cm="1">
        <f t="array" ref="AJ403">_xlfn.XLOOKUP(Table1[[#This Row],[5 cm2 cell test code]:[5 cm2 cell test code]],[1]!Table1[[Test code]:[Test code]],[1]!Table1[DIW conductivity (µS/cm)],"",0)</f>
        <v>#REF!</v>
      </c>
      <c r="AQ403" s="4" t="str">
        <v>VSG02A-23312E1.01</v>
      </c>
    </row>
    <row r="404" spans="1:43">
      <c r="A404" s="81"/>
      <c r="B404" s="11" t="s">
        <v>772</v>
      </c>
      <c r="C404" s="4" t="s">
        <v>773</v>
      </c>
      <c r="I404" s="11" t="s">
        <v>114</v>
      </c>
      <c r="J404" s="107" t="s">
        <v>402</v>
      </c>
      <c r="M404" s="13">
        <f>(33.22-33.12)*1000/(26*13.9)</f>
        <v>0.27670171555064033</v>
      </c>
      <c r="Q404" s="4">
        <v>6.4990971258657673E-2</v>
      </c>
      <c r="U404" s="101"/>
      <c r="V404" s="101"/>
      <c r="W404" s="69" t="e" cm="1">
        <f t="array" ref="W404">_xlfn.XLOOKUP(Table1[[#This Row],[5 cm2 cell test code]:[5 cm2 cell test code]],[1]!Table1[[Test code]:[Test code]],[1]!Table1[i @ 1.8 V DIW (A/cm2)],"",0)</f>
        <v>#REF!</v>
      </c>
      <c r="X404" s="69" t="e" cm="1">
        <f t="array" ref="X404">_xlfn.XLOOKUP(Table1[[#This Row],[5 cm2 cell test code]:[5 cm2 cell test code]],[1]!Table1[[Test code]:[Test code]],[1]!Table1[i @ 1.8 V 10 mM KOH (A/cm2)],"",0)</f>
        <v>#REF!</v>
      </c>
      <c r="Y404" s="69" t="e" cm="1">
        <f t="array" ref="Y404">_xlfn.XLOOKUP(Table1[[#This Row],[5 cm2 cell test code]:[5 cm2 cell test code]],[1]!Table1[[Test code]:[Test code]],[1]!Table1[3-E ƞ at 20mAcm-2 (mV)],"",0)</f>
        <v>#REF!</v>
      </c>
      <c r="Z404" s="69" t="e" cm="1">
        <f t="array" ref="Z404">_xlfn.XLOOKUP(Table1[[#This Row],[5 cm2 cell test code]:[5 cm2 cell test code]],[1]!Table1[[Test code]:[Test code]],[1]!Table1[3-E Tafel slope (mV/dec)],"",0)</f>
        <v>#REF!</v>
      </c>
      <c r="AA404" s="69" t="e" cm="1">
        <f t="array" ref="AA404">_xlfn.XLOOKUP(Table1[[#This Row],[5 cm2 cell test code]:[5 cm2 cell test code]],[1]!Table1[[Test code]:[Test code]],[1]!Table1[E @ 100 mA/cm2 DIW/V],"",0)</f>
        <v>#REF!</v>
      </c>
      <c r="AB404" s="69" t="e" cm="1">
        <f t="array" ref="AB404">_xlfn.XLOOKUP(Table1[[#This Row],[5 cm2 cell test code]:[5 cm2 cell test code]],[1]!Table1[[Test code]:[Test code]],[1]!Table1[E @ 100 mA/cm2 10 mM KOH/V],"",0)</f>
        <v>#REF!</v>
      </c>
      <c r="AC404" s="69" t="e" cm="1">
        <f t="array" ref="AC404">_xlfn.XLOOKUP(Table1[[#This Row],[5 cm2 cell test code]:[5 cm2 cell test code]],[1]!Table1[[Test code]:[Test code]],[1]!Table1[Anode ICR/mOhm],"",0)</f>
        <v>#REF!</v>
      </c>
      <c r="AD404" s="69" t="e" cm="1">
        <f t="array" ref="AD404">_xlfn.XLOOKUP(Table1[[#This Row],[5 cm2 cell test code]:[5 cm2 cell test code]],[1]!Table1[[Test code]:[Test code]],[1]!Table1[HFR DIW/ mOhm cm2],"",0)</f>
        <v>#REF!</v>
      </c>
      <c r="AE404" s="69" t="e" cm="1">
        <f t="array" ref="AE404">_xlfn.XLOOKUP(Table1[[#This Row],[5 cm2 cell test code]:[5 cm2 cell test code]],[1]!Table1[[Test code]:[Test code]],[1]!Table1[HFR 10 mM KOH/ mOhm cm2],"",0)</f>
        <v>#REF!</v>
      </c>
      <c r="AF404" s="69" t="e" cm="1">
        <f t="array" ref="AF404">_xlfn.XLOOKUP(Table1[[#This Row],[5 cm2 cell test code]:[5 cm2 cell test code]],[1]!Table1[[Test code]:[Test code]],[1]!Table1[Ionic resistance DIW/Ohm cm2],"",0)</f>
        <v>#REF!</v>
      </c>
      <c r="AG404" s="69" t="e" cm="1">
        <f t="array" ref="AG404">_xlfn.XLOOKUP(Table1[[#This Row],[5 cm2 cell test code]:[5 cm2 cell test code]],[1]!Table1[[Test code]:[Test code]],[1]!Table1[Q_int_frac DIW],"",0)</f>
        <v>#REF!</v>
      </c>
      <c r="AH404" s="69" t="e" cm="1">
        <f t="array" ref="AH404">_xlfn.XLOOKUP(Table1[[#This Row],[5 cm2 cell test code]:[5 cm2 cell test code]],[1]!Table1[[Test code]:[Test code]],[1]!Table1[Ionic resistance 10 mM KOH/Ohm cm2],"",0)</f>
        <v>#REF!</v>
      </c>
      <c r="AI404" s="69" t="e" cm="1">
        <f t="array" ref="AI404">_xlfn.XLOOKUP(Table1[[#This Row],[5 cm2 cell test code]:[5 cm2 cell test code]],[1]!Table1[[Test code]:[Test code]],[1]!Table1[Q_int_frac DIW 10 mM KOH],"",0)</f>
        <v>#REF!</v>
      </c>
      <c r="AJ404" s="69" t="e" cm="1">
        <f t="array" ref="AJ404">_xlfn.XLOOKUP(Table1[[#This Row],[5 cm2 cell test code]:[5 cm2 cell test code]],[1]!Table1[[Test code]:[Test code]],[1]!Table1[DIW conductivity (µS/cm)],"",0)</f>
        <v>#REF!</v>
      </c>
      <c r="AQ404" s="4" t="str">
        <v>VSG02A-23312E1.02</v>
      </c>
    </row>
    <row r="405" spans="1:43">
      <c r="A405" s="81"/>
      <c r="J405" s="107"/>
      <c r="K405" s="89"/>
      <c r="L405" s="89"/>
      <c r="U405" s="101"/>
      <c r="V405" s="101"/>
      <c r="W405" s="69" t="e" cm="1">
        <f t="array" ref="W405">_xlfn.XLOOKUP(Table1[[#This Row],[5 cm2 cell test code]:[5 cm2 cell test code]],[1]!Table1[[Test code]:[Test code]],[1]!Table1[i @ 1.8 V DIW (A/cm2)],"",0)</f>
        <v>#REF!</v>
      </c>
      <c r="X405" s="69" t="e" cm="1">
        <f t="array" ref="X405">_xlfn.XLOOKUP(Table1[[#This Row],[5 cm2 cell test code]:[5 cm2 cell test code]],[1]!Table1[[Test code]:[Test code]],[1]!Table1[i @ 1.8 V 10 mM KOH (A/cm2)],"",0)</f>
        <v>#REF!</v>
      </c>
      <c r="Y405" s="69" t="e" cm="1">
        <f t="array" ref="Y405">_xlfn.XLOOKUP(Table1[[#This Row],[5 cm2 cell test code]:[5 cm2 cell test code]],[1]!Table1[[Test code]:[Test code]],[1]!Table1[3-E ƞ at 20mAcm-2 (mV)],"",0)</f>
        <v>#REF!</v>
      </c>
      <c r="Z405" s="69" t="e" cm="1">
        <f t="array" ref="Z405">_xlfn.XLOOKUP(Table1[[#This Row],[5 cm2 cell test code]:[5 cm2 cell test code]],[1]!Table1[[Test code]:[Test code]],[1]!Table1[3-E Tafel slope (mV/dec)],"",0)</f>
        <v>#REF!</v>
      </c>
      <c r="AA405" s="69" t="e" cm="1">
        <f t="array" ref="AA405">_xlfn.XLOOKUP(Table1[[#This Row],[5 cm2 cell test code]:[5 cm2 cell test code]],[1]!Table1[[Test code]:[Test code]],[1]!Table1[E @ 100 mA/cm2 DIW/V],"",0)</f>
        <v>#REF!</v>
      </c>
      <c r="AB405" s="69" t="e" cm="1">
        <f t="array" ref="AB405">_xlfn.XLOOKUP(Table1[[#This Row],[5 cm2 cell test code]:[5 cm2 cell test code]],[1]!Table1[[Test code]:[Test code]],[1]!Table1[E @ 100 mA/cm2 10 mM KOH/V],"",0)</f>
        <v>#REF!</v>
      </c>
      <c r="AC405" s="69" t="e" cm="1">
        <f t="array" ref="AC405">_xlfn.XLOOKUP(Table1[[#This Row],[5 cm2 cell test code]:[5 cm2 cell test code]],[1]!Table1[[Test code]:[Test code]],[1]!Table1[Anode ICR/mOhm],"",0)</f>
        <v>#REF!</v>
      </c>
      <c r="AD405" s="69" t="e" cm="1">
        <f t="array" ref="AD405">_xlfn.XLOOKUP(Table1[[#This Row],[5 cm2 cell test code]:[5 cm2 cell test code]],[1]!Table1[[Test code]:[Test code]],[1]!Table1[HFR DIW/ mOhm cm2],"",0)</f>
        <v>#REF!</v>
      </c>
      <c r="AE405" s="69" t="e" cm="1">
        <f t="array" ref="AE405">_xlfn.XLOOKUP(Table1[[#This Row],[5 cm2 cell test code]:[5 cm2 cell test code]],[1]!Table1[[Test code]:[Test code]],[1]!Table1[HFR 10 mM KOH/ mOhm cm2],"",0)</f>
        <v>#REF!</v>
      </c>
      <c r="AF405" s="69" t="e" cm="1">
        <f t="array" ref="AF405">_xlfn.XLOOKUP(Table1[[#This Row],[5 cm2 cell test code]:[5 cm2 cell test code]],[1]!Table1[[Test code]:[Test code]],[1]!Table1[Ionic resistance DIW/Ohm cm2],"",0)</f>
        <v>#REF!</v>
      </c>
      <c r="AG405" s="195" t="e" cm="1">
        <f t="array" ref="AG405">_xlfn.XLOOKUP(Table1[[#This Row],[5 cm2 cell test code]:[5 cm2 cell test code]],[1]!Table1[[Test code]:[Test code]],[1]!Table1[Q_int_frac DIW],"",0)</f>
        <v>#REF!</v>
      </c>
      <c r="AH405" s="195" t="e" cm="1">
        <f t="array" ref="AH405">_xlfn.XLOOKUP(Table1[[#This Row],[5 cm2 cell test code]:[5 cm2 cell test code]],[1]!Table1[[Test code]:[Test code]],[1]!Table1[Ionic resistance 10 mM KOH/Ohm cm2],"",0)</f>
        <v>#REF!</v>
      </c>
      <c r="AI405" s="195" t="e" cm="1">
        <f t="array" ref="AI405">_xlfn.XLOOKUP(Table1[[#This Row],[5 cm2 cell test code]:[5 cm2 cell test code]],[1]!Table1[[Test code]:[Test code]],[1]!Table1[Q_int_frac DIW 10 mM KOH],"",0)</f>
        <v>#REF!</v>
      </c>
      <c r="AJ405" s="69" t="e" cm="1">
        <f t="array" ref="AJ405">_xlfn.XLOOKUP(Table1[[#This Row],[5 cm2 cell test code]:[5 cm2 cell test code]],[1]!Table1[[Test code]:[Test code]],[1]!Table1[DIW conductivity (µS/cm)],"",0)</f>
        <v>#REF!</v>
      </c>
      <c r="AQ405" s="4" t="str">
        <v>VSG02A-23313E1.01</v>
      </c>
    </row>
    <row r="406" spans="1:43">
      <c r="A406" s="81"/>
      <c r="B406" s="11" t="s">
        <v>774</v>
      </c>
      <c r="C406" s="4" t="s">
        <v>775</v>
      </c>
      <c r="I406" s="11" t="s">
        <v>114</v>
      </c>
      <c r="J406" s="107" t="s">
        <v>402</v>
      </c>
      <c r="K406" s="89"/>
      <c r="L406" s="89"/>
      <c r="M406" s="13">
        <f>(35.14-35.08)*1000/(14*27.3)</f>
        <v>0.1569858712715915</v>
      </c>
      <c r="Q406" s="4">
        <v>6.9687831331961506E-2</v>
      </c>
      <c r="U406" s="101"/>
      <c r="V406" s="101"/>
      <c r="W406" s="69" t="e" cm="1">
        <f t="array" ref="W406">_xlfn.XLOOKUP(Table1[[#This Row],[5 cm2 cell test code]:[5 cm2 cell test code]],[1]!Table1[[Test code]:[Test code]],[1]!Table1[i @ 1.8 V DIW (A/cm2)],"",0)</f>
        <v>#REF!</v>
      </c>
      <c r="X406" s="69" t="e" cm="1">
        <f t="array" ref="X406">_xlfn.XLOOKUP(Table1[[#This Row],[5 cm2 cell test code]:[5 cm2 cell test code]],[1]!Table1[[Test code]:[Test code]],[1]!Table1[i @ 1.8 V 10 mM KOH (A/cm2)],"",0)</f>
        <v>#REF!</v>
      </c>
      <c r="Y406" s="69" t="e" cm="1">
        <f t="array" ref="Y406">_xlfn.XLOOKUP(Table1[[#This Row],[5 cm2 cell test code]:[5 cm2 cell test code]],[1]!Table1[[Test code]:[Test code]],[1]!Table1[3-E ƞ at 20mAcm-2 (mV)],"",0)</f>
        <v>#REF!</v>
      </c>
      <c r="Z406" s="69" t="e" cm="1">
        <f t="array" ref="Z406">_xlfn.XLOOKUP(Table1[[#This Row],[5 cm2 cell test code]:[5 cm2 cell test code]],[1]!Table1[[Test code]:[Test code]],[1]!Table1[3-E Tafel slope (mV/dec)],"",0)</f>
        <v>#REF!</v>
      </c>
      <c r="AA406" s="69" t="e" cm="1">
        <f t="array" ref="AA406">_xlfn.XLOOKUP(Table1[[#This Row],[5 cm2 cell test code]:[5 cm2 cell test code]],[1]!Table1[[Test code]:[Test code]],[1]!Table1[E @ 100 mA/cm2 DIW/V],"",0)</f>
        <v>#REF!</v>
      </c>
      <c r="AB406" s="69" t="e" cm="1">
        <f t="array" ref="AB406">_xlfn.XLOOKUP(Table1[[#This Row],[5 cm2 cell test code]:[5 cm2 cell test code]],[1]!Table1[[Test code]:[Test code]],[1]!Table1[E @ 100 mA/cm2 10 mM KOH/V],"",0)</f>
        <v>#REF!</v>
      </c>
      <c r="AC406" s="69" t="e" cm="1">
        <f t="array" ref="AC406">_xlfn.XLOOKUP(Table1[[#This Row],[5 cm2 cell test code]:[5 cm2 cell test code]],[1]!Table1[[Test code]:[Test code]],[1]!Table1[Anode ICR/mOhm],"",0)</f>
        <v>#REF!</v>
      </c>
      <c r="AD406" s="69" t="e" cm="1">
        <f t="array" ref="AD406">_xlfn.XLOOKUP(Table1[[#This Row],[5 cm2 cell test code]:[5 cm2 cell test code]],[1]!Table1[[Test code]:[Test code]],[1]!Table1[HFR DIW/ mOhm cm2],"",0)</f>
        <v>#REF!</v>
      </c>
      <c r="AE406" s="69" t="e" cm="1">
        <f t="array" ref="AE406">_xlfn.XLOOKUP(Table1[[#This Row],[5 cm2 cell test code]:[5 cm2 cell test code]],[1]!Table1[[Test code]:[Test code]],[1]!Table1[HFR 10 mM KOH/ mOhm cm2],"",0)</f>
        <v>#REF!</v>
      </c>
      <c r="AF406" s="69" t="e" cm="1">
        <f t="array" ref="AF406">_xlfn.XLOOKUP(Table1[[#This Row],[5 cm2 cell test code]:[5 cm2 cell test code]],[1]!Table1[[Test code]:[Test code]],[1]!Table1[Ionic resistance DIW/Ohm cm2],"",0)</f>
        <v>#REF!</v>
      </c>
      <c r="AG406" s="195" t="e" cm="1">
        <f t="array" ref="AG406">_xlfn.XLOOKUP(Table1[[#This Row],[5 cm2 cell test code]:[5 cm2 cell test code]],[1]!Table1[[Test code]:[Test code]],[1]!Table1[Q_int_frac DIW],"",0)</f>
        <v>#REF!</v>
      </c>
      <c r="AH406" s="195" t="e" cm="1">
        <f t="array" ref="AH406">_xlfn.XLOOKUP(Table1[[#This Row],[5 cm2 cell test code]:[5 cm2 cell test code]],[1]!Table1[[Test code]:[Test code]],[1]!Table1[Ionic resistance 10 mM KOH/Ohm cm2],"",0)</f>
        <v>#REF!</v>
      </c>
      <c r="AI406" s="195" t="e" cm="1">
        <f t="array" ref="AI406">_xlfn.XLOOKUP(Table1[[#This Row],[5 cm2 cell test code]:[5 cm2 cell test code]],[1]!Table1[[Test code]:[Test code]],[1]!Table1[Q_int_frac DIW 10 mM KOH],"",0)</f>
        <v>#REF!</v>
      </c>
      <c r="AJ406" s="69" t="e" cm="1">
        <f t="array" ref="AJ406">_xlfn.XLOOKUP(Table1[[#This Row],[5 cm2 cell test code]:[5 cm2 cell test code]],[1]!Table1[[Test code]:[Test code]],[1]!Table1[DIW conductivity (µS/cm)],"",0)</f>
        <v>#REF!</v>
      </c>
      <c r="AQ406" s="4" t="str">
        <v>VSG02A-23313E1.01-01</v>
      </c>
    </row>
    <row r="407" spans="1:43">
      <c r="A407" s="81"/>
      <c r="B407" s="11" t="s">
        <v>776</v>
      </c>
      <c r="C407" s="4" t="s">
        <v>777</v>
      </c>
      <c r="E407" s="4" t="s">
        <v>778</v>
      </c>
      <c r="J407" s="107"/>
      <c r="K407" s="89"/>
      <c r="L407" s="89"/>
      <c r="U407" s="101"/>
      <c r="V407" s="101"/>
      <c r="W407" s="69" t="e" cm="1">
        <f t="array" ref="W407">_xlfn.XLOOKUP(Table1[[#This Row],[5 cm2 cell test code]:[5 cm2 cell test code]],[1]!Table1[[Test code]:[Test code]],[1]!Table1[i @ 1.8 V DIW (A/cm2)],"",0)</f>
        <v>#REF!</v>
      </c>
      <c r="X407" s="69" t="e" cm="1">
        <f t="array" ref="X407">_xlfn.XLOOKUP(Table1[[#This Row],[5 cm2 cell test code]:[5 cm2 cell test code]],[1]!Table1[[Test code]:[Test code]],[1]!Table1[i @ 1.8 V 10 mM KOH (A/cm2)],"",0)</f>
        <v>#REF!</v>
      </c>
      <c r="Y407" s="69" t="e" cm="1">
        <f t="array" ref="Y407">_xlfn.XLOOKUP(Table1[[#This Row],[5 cm2 cell test code]:[5 cm2 cell test code]],[1]!Table1[[Test code]:[Test code]],[1]!Table1[3-E ƞ at 20mAcm-2 (mV)],"",0)</f>
        <v>#REF!</v>
      </c>
      <c r="Z407" s="69" t="e" cm="1">
        <f t="array" ref="Z407">_xlfn.XLOOKUP(Table1[[#This Row],[5 cm2 cell test code]:[5 cm2 cell test code]],[1]!Table1[[Test code]:[Test code]],[1]!Table1[3-E Tafel slope (mV/dec)],"",0)</f>
        <v>#REF!</v>
      </c>
      <c r="AA407" s="69" t="e" cm="1">
        <f t="array" ref="AA407">_xlfn.XLOOKUP(Table1[[#This Row],[5 cm2 cell test code]:[5 cm2 cell test code]],[1]!Table1[[Test code]:[Test code]],[1]!Table1[E @ 100 mA/cm2 DIW/V],"",0)</f>
        <v>#REF!</v>
      </c>
      <c r="AB407" s="69" t="e" cm="1">
        <f t="array" ref="AB407">_xlfn.XLOOKUP(Table1[[#This Row],[5 cm2 cell test code]:[5 cm2 cell test code]],[1]!Table1[[Test code]:[Test code]],[1]!Table1[E @ 100 mA/cm2 10 mM KOH/V],"",0)</f>
        <v>#REF!</v>
      </c>
      <c r="AC407" s="69" t="e" cm="1">
        <f t="array" ref="AC407">_xlfn.XLOOKUP(Table1[[#This Row],[5 cm2 cell test code]:[5 cm2 cell test code]],[1]!Table1[[Test code]:[Test code]],[1]!Table1[Anode ICR/mOhm],"",0)</f>
        <v>#REF!</v>
      </c>
      <c r="AD407" s="69" t="e" cm="1">
        <f t="array" ref="AD407">_xlfn.XLOOKUP(Table1[[#This Row],[5 cm2 cell test code]:[5 cm2 cell test code]],[1]!Table1[[Test code]:[Test code]],[1]!Table1[HFR DIW/ mOhm cm2],"",0)</f>
        <v>#REF!</v>
      </c>
      <c r="AE407" s="69" t="e" cm="1">
        <f t="array" ref="AE407">_xlfn.XLOOKUP(Table1[[#This Row],[5 cm2 cell test code]:[5 cm2 cell test code]],[1]!Table1[[Test code]:[Test code]],[1]!Table1[HFR 10 mM KOH/ mOhm cm2],"",0)</f>
        <v>#REF!</v>
      </c>
      <c r="AF407" s="69" t="e" cm="1">
        <f t="array" ref="AF407">_xlfn.XLOOKUP(Table1[[#This Row],[5 cm2 cell test code]:[5 cm2 cell test code]],[1]!Table1[[Test code]:[Test code]],[1]!Table1[Ionic resistance DIW/Ohm cm2],"",0)</f>
        <v>#REF!</v>
      </c>
      <c r="AG407" s="195" t="e" cm="1">
        <f t="array" ref="AG407">_xlfn.XLOOKUP(Table1[[#This Row],[5 cm2 cell test code]:[5 cm2 cell test code]],[1]!Table1[[Test code]:[Test code]],[1]!Table1[Q_int_frac DIW],"",0)</f>
        <v>#REF!</v>
      </c>
      <c r="AH407" s="195" t="e" cm="1">
        <f t="array" ref="AH407">_xlfn.XLOOKUP(Table1[[#This Row],[5 cm2 cell test code]:[5 cm2 cell test code]],[1]!Table1[[Test code]:[Test code]],[1]!Table1[Ionic resistance 10 mM KOH/Ohm cm2],"",0)</f>
        <v>#REF!</v>
      </c>
      <c r="AI407" s="195" t="e" cm="1">
        <f t="array" ref="AI407">_xlfn.XLOOKUP(Table1[[#This Row],[5 cm2 cell test code]:[5 cm2 cell test code]],[1]!Table1[[Test code]:[Test code]],[1]!Table1[Q_int_frac DIW 10 mM KOH],"",0)</f>
        <v>#REF!</v>
      </c>
      <c r="AJ407" s="69" t="e" cm="1">
        <f t="array" ref="AJ407">_xlfn.XLOOKUP(Table1[[#This Row],[5 cm2 cell test code]:[5 cm2 cell test code]],[1]!Table1[[Test code]:[Test code]],[1]!Table1[DIW conductivity (µS/cm)],"",0)</f>
        <v>#REF!</v>
      </c>
      <c r="AQ407" s="4" t="str">
        <v>VSG02A-23313E1.01-02</v>
      </c>
    </row>
    <row r="408" spans="1:43">
      <c r="A408" s="81"/>
      <c r="B408" s="11" t="s">
        <v>779</v>
      </c>
      <c r="C408" s="4" t="s">
        <v>780</v>
      </c>
      <c r="I408" s="11" t="s">
        <v>114</v>
      </c>
      <c r="J408" s="107" t="s">
        <v>402</v>
      </c>
      <c r="M408" s="13">
        <f>(65.11-65)*1000/(22.5*31.6)</f>
        <v>0.15471167369901467</v>
      </c>
      <c r="P408" s="28">
        <v>0.54</v>
      </c>
      <c r="Q408" s="4">
        <v>3.3096640528134276E-2</v>
      </c>
      <c r="U408" s="101"/>
      <c r="V408" s="101"/>
      <c r="W408" s="69" t="e" cm="1">
        <f t="array" ref="W408">_xlfn.XLOOKUP(Table1[[#This Row],[5 cm2 cell test code]:[5 cm2 cell test code]],[1]!Table1[[Test code]:[Test code]],[1]!Table1[i @ 1.8 V DIW (A/cm2)],"",0)</f>
        <v>#REF!</v>
      </c>
      <c r="X408" s="69" t="e" cm="1">
        <f t="array" ref="X408">_xlfn.XLOOKUP(Table1[[#This Row],[5 cm2 cell test code]:[5 cm2 cell test code]],[1]!Table1[[Test code]:[Test code]],[1]!Table1[i @ 1.8 V 10 mM KOH (A/cm2)],"",0)</f>
        <v>#REF!</v>
      </c>
      <c r="Y408" s="69" t="e" cm="1">
        <f t="array" ref="Y408">_xlfn.XLOOKUP(Table1[[#This Row],[5 cm2 cell test code]:[5 cm2 cell test code]],[1]!Table1[[Test code]:[Test code]],[1]!Table1[3-E ƞ at 20mAcm-2 (mV)],"",0)</f>
        <v>#REF!</v>
      </c>
      <c r="Z408" s="69" t="e" cm="1">
        <f t="array" ref="Z408">_xlfn.XLOOKUP(Table1[[#This Row],[5 cm2 cell test code]:[5 cm2 cell test code]],[1]!Table1[[Test code]:[Test code]],[1]!Table1[3-E Tafel slope (mV/dec)],"",0)</f>
        <v>#REF!</v>
      </c>
      <c r="AA408" s="69" t="e" cm="1">
        <f t="array" ref="AA408">_xlfn.XLOOKUP(Table1[[#This Row],[5 cm2 cell test code]:[5 cm2 cell test code]],[1]!Table1[[Test code]:[Test code]],[1]!Table1[E @ 100 mA/cm2 DIW/V],"",0)</f>
        <v>#REF!</v>
      </c>
      <c r="AB408" s="69" t="e" cm="1">
        <f t="array" ref="AB408">_xlfn.XLOOKUP(Table1[[#This Row],[5 cm2 cell test code]:[5 cm2 cell test code]],[1]!Table1[[Test code]:[Test code]],[1]!Table1[E @ 100 mA/cm2 10 mM KOH/V],"",0)</f>
        <v>#REF!</v>
      </c>
      <c r="AC408" s="69" t="e" cm="1">
        <f t="array" ref="AC408">_xlfn.XLOOKUP(Table1[[#This Row],[5 cm2 cell test code]:[5 cm2 cell test code]],[1]!Table1[[Test code]:[Test code]],[1]!Table1[Anode ICR/mOhm],"",0)</f>
        <v>#REF!</v>
      </c>
      <c r="AD408" s="69" t="e" cm="1">
        <f t="array" ref="AD408">_xlfn.XLOOKUP(Table1[[#This Row],[5 cm2 cell test code]:[5 cm2 cell test code]],[1]!Table1[[Test code]:[Test code]],[1]!Table1[HFR DIW/ mOhm cm2],"",0)</f>
        <v>#REF!</v>
      </c>
      <c r="AE408" s="69" t="e" cm="1">
        <f t="array" ref="AE408">_xlfn.XLOOKUP(Table1[[#This Row],[5 cm2 cell test code]:[5 cm2 cell test code]],[1]!Table1[[Test code]:[Test code]],[1]!Table1[HFR 10 mM KOH/ mOhm cm2],"",0)</f>
        <v>#REF!</v>
      </c>
      <c r="AF408" s="69" t="e" cm="1">
        <f t="array" ref="AF408">_xlfn.XLOOKUP(Table1[[#This Row],[5 cm2 cell test code]:[5 cm2 cell test code]],[1]!Table1[[Test code]:[Test code]],[1]!Table1[Ionic resistance DIW/Ohm cm2],"",0)</f>
        <v>#REF!</v>
      </c>
      <c r="AG408" s="69" t="e" cm="1">
        <f t="array" ref="AG408">_xlfn.XLOOKUP(Table1[[#This Row],[5 cm2 cell test code]:[5 cm2 cell test code]],[1]!Table1[[Test code]:[Test code]],[1]!Table1[Q_int_frac DIW],"",0)</f>
        <v>#REF!</v>
      </c>
      <c r="AH408" s="69" t="e" cm="1">
        <f t="array" ref="AH408">_xlfn.XLOOKUP(Table1[[#This Row],[5 cm2 cell test code]:[5 cm2 cell test code]],[1]!Table1[[Test code]:[Test code]],[1]!Table1[Ionic resistance 10 mM KOH/Ohm cm2],"",0)</f>
        <v>#REF!</v>
      </c>
      <c r="AI408" s="69" t="e" cm="1">
        <f t="array" ref="AI408">_xlfn.XLOOKUP(Table1[[#This Row],[5 cm2 cell test code]:[5 cm2 cell test code]],[1]!Table1[[Test code]:[Test code]],[1]!Table1[Q_int_frac DIW 10 mM KOH],"",0)</f>
        <v>#REF!</v>
      </c>
      <c r="AJ408" s="69" t="e" cm="1">
        <f t="array" ref="AJ408">_xlfn.XLOOKUP(Table1[[#This Row],[5 cm2 cell test code]:[5 cm2 cell test code]],[1]!Table1[[Test code]:[Test code]],[1]!Table1[DIW conductivity (µS/cm)],"",0)</f>
        <v>#REF!</v>
      </c>
      <c r="AQ408" s="4" t="str">
        <v>VSG02A-23313E1.02</v>
      </c>
    </row>
    <row r="409" spans="1:43">
      <c r="A409" s="81"/>
      <c r="B409" s="11" t="s">
        <v>781</v>
      </c>
      <c r="C409" s="4" t="s">
        <v>782</v>
      </c>
      <c r="E409" s="4" t="s">
        <v>750</v>
      </c>
      <c r="J409" s="107"/>
      <c r="K409" s="89"/>
      <c r="L409" s="89"/>
      <c r="U409" s="101"/>
      <c r="V409" s="101"/>
      <c r="W409" s="69" t="e" cm="1">
        <f t="array" ref="W409">_xlfn.XLOOKUP(Table1[[#This Row],[5 cm2 cell test code]:[5 cm2 cell test code]],[1]!Table1[[Test code]:[Test code]],[1]!Table1[i @ 1.8 V DIW (A/cm2)],"",0)</f>
        <v>#REF!</v>
      </c>
      <c r="X409" s="69" t="e" cm="1">
        <f t="array" ref="X409">_xlfn.XLOOKUP(Table1[[#This Row],[5 cm2 cell test code]:[5 cm2 cell test code]],[1]!Table1[[Test code]:[Test code]],[1]!Table1[i @ 1.8 V 10 mM KOH (A/cm2)],"",0)</f>
        <v>#REF!</v>
      </c>
      <c r="Y409" s="69" t="e" cm="1">
        <f t="array" ref="Y409">_xlfn.XLOOKUP(Table1[[#This Row],[5 cm2 cell test code]:[5 cm2 cell test code]],[1]!Table1[[Test code]:[Test code]],[1]!Table1[3-E ƞ at 20mAcm-2 (mV)],"",0)</f>
        <v>#REF!</v>
      </c>
      <c r="Z409" s="69" t="e" cm="1">
        <f t="array" ref="Z409">_xlfn.XLOOKUP(Table1[[#This Row],[5 cm2 cell test code]:[5 cm2 cell test code]],[1]!Table1[[Test code]:[Test code]],[1]!Table1[3-E Tafel slope (mV/dec)],"",0)</f>
        <v>#REF!</v>
      </c>
      <c r="AA409" s="69" t="e" cm="1">
        <f t="array" ref="AA409">_xlfn.XLOOKUP(Table1[[#This Row],[5 cm2 cell test code]:[5 cm2 cell test code]],[1]!Table1[[Test code]:[Test code]],[1]!Table1[E @ 100 mA/cm2 DIW/V],"",0)</f>
        <v>#REF!</v>
      </c>
      <c r="AB409" s="69" t="e" cm="1">
        <f t="array" ref="AB409">_xlfn.XLOOKUP(Table1[[#This Row],[5 cm2 cell test code]:[5 cm2 cell test code]],[1]!Table1[[Test code]:[Test code]],[1]!Table1[E @ 100 mA/cm2 10 mM KOH/V],"",0)</f>
        <v>#REF!</v>
      </c>
      <c r="AC409" s="69" t="e" cm="1">
        <f t="array" ref="AC409">_xlfn.XLOOKUP(Table1[[#This Row],[5 cm2 cell test code]:[5 cm2 cell test code]],[1]!Table1[[Test code]:[Test code]],[1]!Table1[Anode ICR/mOhm],"",0)</f>
        <v>#REF!</v>
      </c>
      <c r="AD409" s="69" t="e" cm="1">
        <f t="array" ref="AD409">_xlfn.XLOOKUP(Table1[[#This Row],[5 cm2 cell test code]:[5 cm2 cell test code]],[1]!Table1[[Test code]:[Test code]],[1]!Table1[HFR DIW/ mOhm cm2],"",0)</f>
        <v>#REF!</v>
      </c>
      <c r="AE409" s="69" t="e" cm="1">
        <f t="array" ref="AE409">_xlfn.XLOOKUP(Table1[[#This Row],[5 cm2 cell test code]:[5 cm2 cell test code]],[1]!Table1[[Test code]:[Test code]],[1]!Table1[HFR 10 mM KOH/ mOhm cm2],"",0)</f>
        <v>#REF!</v>
      </c>
      <c r="AF409" s="69" t="e" cm="1">
        <f t="array" ref="AF409">_xlfn.XLOOKUP(Table1[[#This Row],[5 cm2 cell test code]:[5 cm2 cell test code]],[1]!Table1[[Test code]:[Test code]],[1]!Table1[Ionic resistance DIW/Ohm cm2],"",0)</f>
        <v>#REF!</v>
      </c>
      <c r="AG409" s="195" t="e" cm="1">
        <f t="array" ref="AG409">_xlfn.XLOOKUP(Table1[[#This Row],[5 cm2 cell test code]:[5 cm2 cell test code]],[1]!Table1[[Test code]:[Test code]],[1]!Table1[Q_int_frac DIW],"",0)</f>
        <v>#REF!</v>
      </c>
      <c r="AH409" s="195" t="e" cm="1">
        <f t="array" ref="AH409">_xlfn.XLOOKUP(Table1[[#This Row],[5 cm2 cell test code]:[5 cm2 cell test code]],[1]!Table1[[Test code]:[Test code]],[1]!Table1[Ionic resistance 10 mM KOH/Ohm cm2],"",0)</f>
        <v>#REF!</v>
      </c>
      <c r="AI409" s="195" t="e" cm="1">
        <f t="array" ref="AI409">_xlfn.XLOOKUP(Table1[[#This Row],[5 cm2 cell test code]:[5 cm2 cell test code]],[1]!Table1[[Test code]:[Test code]],[1]!Table1[Q_int_frac DIW 10 mM KOH],"",0)</f>
        <v>#REF!</v>
      </c>
      <c r="AJ409" s="69" t="e" cm="1">
        <f t="array" ref="AJ409">_xlfn.XLOOKUP(Table1[[#This Row],[5 cm2 cell test code]:[5 cm2 cell test code]],[1]!Table1[[Test code]:[Test code]],[1]!Table1[DIW conductivity (µS/cm)],"",0)</f>
        <v>#REF!</v>
      </c>
      <c r="AQ409" s="4" t="str">
        <v>VSG02A-23314E1.01</v>
      </c>
    </row>
    <row r="410" spans="1:43">
      <c r="A410" s="81"/>
      <c r="B410" s="11" t="s">
        <v>783</v>
      </c>
      <c r="E410" s="4" t="s">
        <v>750</v>
      </c>
      <c r="J410" s="107"/>
      <c r="K410" s="89"/>
      <c r="L410" s="89"/>
      <c r="U410" s="101"/>
      <c r="V410" s="101"/>
      <c r="W410" s="69" t="e" cm="1">
        <f t="array" ref="W410">_xlfn.XLOOKUP(Table1[[#This Row],[5 cm2 cell test code]:[5 cm2 cell test code]],[1]!Table1[[Test code]:[Test code]],[1]!Table1[i @ 1.8 V DIW (A/cm2)],"",0)</f>
        <v>#REF!</v>
      </c>
      <c r="X410" s="69" t="e" cm="1">
        <f t="array" ref="X410">_xlfn.XLOOKUP(Table1[[#This Row],[5 cm2 cell test code]:[5 cm2 cell test code]],[1]!Table1[[Test code]:[Test code]],[1]!Table1[i @ 1.8 V 10 mM KOH (A/cm2)],"",0)</f>
        <v>#REF!</v>
      </c>
      <c r="Y410" s="69" t="e" cm="1">
        <f t="array" ref="Y410">_xlfn.XLOOKUP(Table1[[#This Row],[5 cm2 cell test code]:[5 cm2 cell test code]],[1]!Table1[[Test code]:[Test code]],[1]!Table1[3-E ƞ at 20mAcm-2 (mV)],"",0)</f>
        <v>#REF!</v>
      </c>
      <c r="Z410" s="69" t="e" cm="1">
        <f t="array" ref="Z410">_xlfn.XLOOKUP(Table1[[#This Row],[5 cm2 cell test code]:[5 cm2 cell test code]],[1]!Table1[[Test code]:[Test code]],[1]!Table1[3-E Tafel slope (mV/dec)],"",0)</f>
        <v>#REF!</v>
      </c>
      <c r="AA410" s="69" t="e" cm="1">
        <f t="array" ref="AA410">_xlfn.XLOOKUP(Table1[[#This Row],[5 cm2 cell test code]:[5 cm2 cell test code]],[1]!Table1[[Test code]:[Test code]],[1]!Table1[E @ 100 mA/cm2 DIW/V],"",0)</f>
        <v>#REF!</v>
      </c>
      <c r="AB410" s="69" t="e" cm="1">
        <f t="array" ref="AB410">_xlfn.XLOOKUP(Table1[[#This Row],[5 cm2 cell test code]:[5 cm2 cell test code]],[1]!Table1[[Test code]:[Test code]],[1]!Table1[E @ 100 mA/cm2 10 mM KOH/V],"",0)</f>
        <v>#REF!</v>
      </c>
      <c r="AC410" s="69" t="e" cm="1">
        <f t="array" ref="AC410">_xlfn.XLOOKUP(Table1[[#This Row],[5 cm2 cell test code]:[5 cm2 cell test code]],[1]!Table1[[Test code]:[Test code]],[1]!Table1[Anode ICR/mOhm],"",0)</f>
        <v>#REF!</v>
      </c>
      <c r="AD410" s="69" t="e" cm="1">
        <f t="array" ref="AD410">_xlfn.XLOOKUP(Table1[[#This Row],[5 cm2 cell test code]:[5 cm2 cell test code]],[1]!Table1[[Test code]:[Test code]],[1]!Table1[HFR DIW/ mOhm cm2],"",0)</f>
        <v>#REF!</v>
      </c>
      <c r="AE410" s="69" t="e" cm="1">
        <f t="array" ref="AE410">_xlfn.XLOOKUP(Table1[[#This Row],[5 cm2 cell test code]:[5 cm2 cell test code]],[1]!Table1[[Test code]:[Test code]],[1]!Table1[HFR 10 mM KOH/ mOhm cm2],"",0)</f>
        <v>#REF!</v>
      </c>
      <c r="AF410" s="69" t="e" cm="1">
        <f t="array" ref="AF410">_xlfn.XLOOKUP(Table1[[#This Row],[5 cm2 cell test code]:[5 cm2 cell test code]],[1]!Table1[[Test code]:[Test code]],[1]!Table1[Ionic resistance DIW/Ohm cm2],"",0)</f>
        <v>#REF!</v>
      </c>
      <c r="AG410" s="195" t="e" cm="1">
        <f t="array" ref="AG410">_xlfn.XLOOKUP(Table1[[#This Row],[5 cm2 cell test code]:[5 cm2 cell test code]],[1]!Table1[[Test code]:[Test code]],[1]!Table1[Q_int_frac DIW],"",0)</f>
        <v>#REF!</v>
      </c>
      <c r="AH410" s="195" t="e" cm="1">
        <f t="array" ref="AH410">_xlfn.XLOOKUP(Table1[[#This Row],[5 cm2 cell test code]:[5 cm2 cell test code]],[1]!Table1[[Test code]:[Test code]],[1]!Table1[Ionic resistance 10 mM KOH/Ohm cm2],"",0)</f>
        <v>#REF!</v>
      </c>
      <c r="AI410" s="195" t="e" cm="1">
        <f t="array" ref="AI410">_xlfn.XLOOKUP(Table1[[#This Row],[5 cm2 cell test code]:[5 cm2 cell test code]],[1]!Table1[[Test code]:[Test code]],[1]!Table1[Q_int_frac DIW 10 mM KOH],"",0)</f>
        <v>#REF!</v>
      </c>
      <c r="AJ410" s="69" t="e" cm="1">
        <f t="array" ref="AJ410">_xlfn.XLOOKUP(Table1[[#This Row],[5 cm2 cell test code]:[5 cm2 cell test code]],[1]!Table1[[Test code]:[Test code]],[1]!Table1[DIW conductivity (µS/cm)],"",0)</f>
        <v>#REF!</v>
      </c>
      <c r="AQ410" s="4" t="str">
        <v>VSG02A-23314E1.01-01</v>
      </c>
    </row>
    <row r="411" spans="1:43">
      <c r="A411" s="81"/>
      <c r="B411" s="11" t="s">
        <v>784</v>
      </c>
      <c r="E411" s="4" t="s">
        <v>750</v>
      </c>
      <c r="J411" s="107"/>
      <c r="K411" s="89"/>
      <c r="L411" s="89"/>
      <c r="U411" s="101"/>
      <c r="V411" s="101"/>
      <c r="W411" s="69" t="e" cm="1">
        <f t="array" ref="W411">_xlfn.XLOOKUP(Table1[[#This Row],[5 cm2 cell test code]:[5 cm2 cell test code]],[1]!Table1[[Test code]:[Test code]],[1]!Table1[i @ 1.8 V DIW (A/cm2)],"",0)</f>
        <v>#REF!</v>
      </c>
      <c r="X411" s="69" t="e" cm="1">
        <f t="array" ref="X411">_xlfn.XLOOKUP(Table1[[#This Row],[5 cm2 cell test code]:[5 cm2 cell test code]],[1]!Table1[[Test code]:[Test code]],[1]!Table1[i @ 1.8 V 10 mM KOH (A/cm2)],"",0)</f>
        <v>#REF!</v>
      </c>
      <c r="Y411" s="69" t="e" cm="1">
        <f t="array" ref="Y411">_xlfn.XLOOKUP(Table1[[#This Row],[5 cm2 cell test code]:[5 cm2 cell test code]],[1]!Table1[[Test code]:[Test code]],[1]!Table1[3-E ƞ at 20mAcm-2 (mV)],"",0)</f>
        <v>#REF!</v>
      </c>
      <c r="Z411" s="69" t="e" cm="1">
        <f t="array" ref="Z411">_xlfn.XLOOKUP(Table1[[#This Row],[5 cm2 cell test code]:[5 cm2 cell test code]],[1]!Table1[[Test code]:[Test code]],[1]!Table1[3-E Tafel slope (mV/dec)],"",0)</f>
        <v>#REF!</v>
      </c>
      <c r="AA411" s="69" t="e" cm="1">
        <f t="array" ref="AA411">_xlfn.XLOOKUP(Table1[[#This Row],[5 cm2 cell test code]:[5 cm2 cell test code]],[1]!Table1[[Test code]:[Test code]],[1]!Table1[E @ 100 mA/cm2 DIW/V],"",0)</f>
        <v>#REF!</v>
      </c>
      <c r="AB411" s="69" t="e" cm="1">
        <f t="array" ref="AB411">_xlfn.XLOOKUP(Table1[[#This Row],[5 cm2 cell test code]:[5 cm2 cell test code]],[1]!Table1[[Test code]:[Test code]],[1]!Table1[E @ 100 mA/cm2 10 mM KOH/V],"",0)</f>
        <v>#REF!</v>
      </c>
      <c r="AC411" s="69" t="e" cm="1">
        <f t="array" ref="AC411">_xlfn.XLOOKUP(Table1[[#This Row],[5 cm2 cell test code]:[5 cm2 cell test code]],[1]!Table1[[Test code]:[Test code]],[1]!Table1[Anode ICR/mOhm],"",0)</f>
        <v>#REF!</v>
      </c>
      <c r="AD411" s="69" t="e" cm="1">
        <f t="array" ref="AD411">_xlfn.XLOOKUP(Table1[[#This Row],[5 cm2 cell test code]:[5 cm2 cell test code]],[1]!Table1[[Test code]:[Test code]],[1]!Table1[HFR DIW/ mOhm cm2],"",0)</f>
        <v>#REF!</v>
      </c>
      <c r="AE411" s="69" t="e" cm="1">
        <f t="array" ref="AE411">_xlfn.XLOOKUP(Table1[[#This Row],[5 cm2 cell test code]:[5 cm2 cell test code]],[1]!Table1[[Test code]:[Test code]],[1]!Table1[HFR 10 mM KOH/ mOhm cm2],"",0)</f>
        <v>#REF!</v>
      </c>
      <c r="AF411" s="69" t="e" cm="1">
        <f t="array" ref="AF411">_xlfn.XLOOKUP(Table1[[#This Row],[5 cm2 cell test code]:[5 cm2 cell test code]],[1]!Table1[[Test code]:[Test code]],[1]!Table1[Ionic resistance DIW/Ohm cm2],"",0)</f>
        <v>#REF!</v>
      </c>
      <c r="AG411" s="195" t="e" cm="1">
        <f t="array" ref="AG411">_xlfn.XLOOKUP(Table1[[#This Row],[5 cm2 cell test code]:[5 cm2 cell test code]],[1]!Table1[[Test code]:[Test code]],[1]!Table1[Q_int_frac DIW],"",0)</f>
        <v>#REF!</v>
      </c>
      <c r="AH411" s="195" t="e" cm="1">
        <f t="array" ref="AH411">_xlfn.XLOOKUP(Table1[[#This Row],[5 cm2 cell test code]:[5 cm2 cell test code]],[1]!Table1[[Test code]:[Test code]],[1]!Table1[Ionic resistance 10 mM KOH/Ohm cm2],"",0)</f>
        <v>#REF!</v>
      </c>
      <c r="AI411" s="195" t="e" cm="1">
        <f t="array" ref="AI411">_xlfn.XLOOKUP(Table1[[#This Row],[5 cm2 cell test code]:[5 cm2 cell test code]],[1]!Table1[[Test code]:[Test code]],[1]!Table1[Q_int_frac DIW 10 mM KOH],"",0)</f>
        <v>#REF!</v>
      </c>
      <c r="AJ411" s="69" t="e" cm="1">
        <f t="array" ref="AJ411">_xlfn.XLOOKUP(Table1[[#This Row],[5 cm2 cell test code]:[5 cm2 cell test code]],[1]!Table1[[Test code]:[Test code]],[1]!Table1[DIW conductivity (µS/cm)],"",0)</f>
        <v>#REF!</v>
      </c>
      <c r="AQ411" s="4" t="str">
        <v>VSG02A-23314E1.01-02</v>
      </c>
    </row>
    <row r="412" spans="1:43">
      <c r="A412" s="81"/>
      <c r="B412" s="11" t="s">
        <v>785</v>
      </c>
      <c r="E412" s="4" t="s">
        <v>750</v>
      </c>
      <c r="J412" s="107"/>
      <c r="K412" s="89"/>
      <c r="L412" s="89"/>
      <c r="U412" s="101"/>
      <c r="V412" s="101"/>
      <c r="W412" s="69" t="e" cm="1">
        <f t="array" ref="W412">_xlfn.XLOOKUP(Table1[[#This Row],[5 cm2 cell test code]:[5 cm2 cell test code]],[1]!Table1[[Test code]:[Test code]],[1]!Table1[i @ 1.8 V DIW (A/cm2)],"",0)</f>
        <v>#REF!</v>
      </c>
      <c r="X412" s="69" t="e" cm="1">
        <f t="array" ref="X412">_xlfn.XLOOKUP(Table1[[#This Row],[5 cm2 cell test code]:[5 cm2 cell test code]],[1]!Table1[[Test code]:[Test code]],[1]!Table1[i @ 1.8 V 10 mM KOH (A/cm2)],"",0)</f>
        <v>#REF!</v>
      </c>
      <c r="Y412" s="69" t="e" cm="1">
        <f t="array" ref="Y412">_xlfn.XLOOKUP(Table1[[#This Row],[5 cm2 cell test code]:[5 cm2 cell test code]],[1]!Table1[[Test code]:[Test code]],[1]!Table1[3-E ƞ at 20mAcm-2 (mV)],"",0)</f>
        <v>#REF!</v>
      </c>
      <c r="Z412" s="69" t="e" cm="1">
        <f t="array" ref="Z412">_xlfn.XLOOKUP(Table1[[#This Row],[5 cm2 cell test code]:[5 cm2 cell test code]],[1]!Table1[[Test code]:[Test code]],[1]!Table1[3-E Tafel slope (mV/dec)],"",0)</f>
        <v>#REF!</v>
      </c>
      <c r="AA412" s="69" t="e" cm="1">
        <f t="array" ref="AA412">_xlfn.XLOOKUP(Table1[[#This Row],[5 cm2 cell test code]:[5 cm2 cell test code]],[1]!Table1[[Test code]:[Test code]],[1]!Table1[E @ 100 mA/cm2 DIW/V],"",0)</f>
        <v>#REF!</v>
      </c>
      <c r="AB412" s="69" t="e" cm="1">
        <f t="array" ref="AB412">_xlfn.XLOOKUP(Table1[[#This Row],[5 cm2 cell test code]:[5 cm2 cell test code]],[1]!Table1[[Test code]:[Test code]],[1]!Table1[E @ 100 mA/cm2 10 mM KOH/V],"",0)</f>
        <v>#REF!</v>
      </c>
      <c r="AC412" s="69" t="e" cm="1">
        <f t="array" ref="AC412">_xlfn.XLOOKUP(Table1[[#This Row],[5 cm2 cell test code]:[5 cm2 cell test code]],[1]!Table1[[Test code]:[Test code]],[1]!Table1[Anode ICR/mOhm],"",0)</f>
        <v>#REF!</v>
      </c>
      <c r="AD412" s="69" t="e" cm="1">
        <f t="array" ref="AD412">_xlfn.XLOOKUP(Table1[[#This Row],[5 cm2 cell test code]:[5 cm2 cell test code]],[1]!Table1[[Test code]:[Test code]],[1]!Table1[HFR DIW/ mOhm cm2],"",0)</f>
        <v>#REF!</v>
      </c>
      <c r="AE412" s="69" t="e" cm="1">
        <f t="array" ref="AE412">_xlfn.XLOOKUP(Table1[[#This Row],[5 cm2 cell test code]:[5 cm2 cell test code]],[1]!Table1[[Test code]:[Test code]],[1]!Table1[HFR 10 mM KOH/ mOhm cm2],"",0)</f>
        <v>#REF!</v>
      </c>
      <c r="AF412" s="69" t="e" cm="1">
        <f t="array" ref="AF412">_xlfn.XLOOKUP(Table1[[#This Row],[5 cm2 cell test code]:[5 cm2 cell test code]],[1]!Table1[[Test code]:[Test code]],[1]!Table1[Ionic resistance DIW/Ohm cm2],"",0)</f>
        <v>#REF!</v>
      </c>
      <c r="AG412" s="195" t="e" cm="1">
        <f t="array" ref="AG412">_xlfn.XLOOKUP(Table1[[#This Row],[5 cm2 cell test code]:[5 cm2 cell test code]],[1]!Table1[[Test code]:[Test code]],[1]!Table1[Q_int_frac DIW],"",0)</f>
        <v>#REF!</v>
      </c>
      <c r="AH412" s="195" t="e" cm="1">
        <f t="array" ref="AH412">_xlfn.XLOOKUP(Table1[[#This Row],[5 cm2 cell test code]:[5 cm2 cell test code]],[1]!Table1[[Test code]:[Test code]],[1]!Table1[Ionic resistance 10 mM KOH/Ohm cm2],"",0)</f>
        <v>#REF!</v>
      </c>
      <c r="AI412" s="195" t="e" cm="1">
        <f t="array" ref="AI412">_xlfn.XLOOKUP(Table1[[#This Row],[5 cm2 cell test code]:[5 cm2 cell test code]],[1]!Table1[[Test code]:[Test code]],[1]!Table1[Q_int_frac DIW 10 mM KOH],"",0)</f>
        <v>#REF!</v>
      </c>
      <c r="AJ412" s="69" t="e" cm="1">
        <f t="array" ref="AJ412">_xlfn.XLOOKUP(Table1[[#This Row],[5 cm2 cell test code]:[5 cm2 cell test code]],[1]!Table1[[Test code]:[Test code]],[1]!Table1[DIW conductivity (µS/cm)],"",0)</f>
        <v>#REF!</v>
      </c>
      <c r="AQ412" s="4" t="str">
        <v>VSG02A-23314E1.02</v>
      </c>
    </row>
    <row r="413" spans="1:43">
      <c r="A413" s="81"/>
      <c r="B413" s="11" t="s">
        <v>786</v>
      </c>
      <c r="E413" s="4" t="s">
        <v>750</v>
      </c>
      <c r="J413" s="107"/>
      <c r="K413" s="89"/>
      <c r="L413" s="89"/>
      <c r="U413" s="101"/>
      <c r="V413" s="101"/>
      <c r="W413" s="69" t="e" cm="1">
        <f t="array" ref="W413">_xlfn.XLOOKUP(Table1[[#This Row],[5 cm2 cell test code]:[5 cm2 cell test code]],[1]!Table1[[Test code]:[Test code]],[1]!Table1[i @ 1.8 V DIW (A/cm2)],"",0)</f>
        <v>#REF!</v>
      </c>
      <c r="X413" s="69" t="e" cm="1">
        <f t="array" ref="X413">_xlfn.XLOOKUP(Table1[[#This Row],[5 cm2 cell test code]:[5 cm2 cell test code]],[1]!Table1[[Test code]:[Test code]],[1]!Table1[i @ 1.8 V 10 mM KOH (A/cm2)],"",0)</f>
        <v>#REF!</v>
      </c>
      <c r="Y413" s="69" t="e" cm="1">
        <f t="array" ref="Y413">_xlfn.XLOOKUP(Table1[[#This Row],[5 cm2 cell test code]:[5 cm2 cell test code]],[1]!Table1[[Test code]:[Test code]],[1]!Table1[3-E ƞ at 20mAcm-2 (mV)],"",0)</f>
        <v>#REF!</v>
      </c>
      <c r="Z413" s="69" t="e" cm="1">
        <f t="array" ref="Z413">_xlfn.XLOOKUP(Table1[[#This Row],[5 cm2 cell test code]:[5 cm2 cell test code]],[1]!Table1[[Test code]:[Test code]],[1]!Table1[3-E Tafel slope (mV/dec)],"",0)</f>
        <v>#REF!</v>
      </c>
      <c r="AA413" s="69" t="e" cm="1">
        <f t="array" ref="AA413">_xlfn.XLOOKUP(Table1[[#This Row],[5 cm2 cell test code]:[5 cm2 cell test code]],[1]!Table1[[Test code]:[Test code]],[1]!Table1[E @ 100 mA/cm2 DIW/V],"",0)</f>
        <v>#REF!</v>
      </c>
      <c r="AB413" s="69" t="e" cm="1">
        <f t="array" ref="AB413">_xlfn.XLOOKUP(Table1[[#This Row],[5 cm2 cell test code]:[5 cm2 cell test code]],[1]!Table1[[Test code]:[Test code]],[1]!Table1[E @ 100 mA/cm2 10 mM KOH/V],"",0)</f>
        <v>#REF!</v>
      </c>
      <c r="AC413" s="69" t="e" cm="1">
        <f t="array" ref="AC413">_xlfn.XLOOKUP(Table1[[#This Row],[5 cm2 cell test code]:[5 cm2 cell test code]],[1]!Table1[[Test code]:[Test code]],[1]!Table1[Anode ICR/mOhm],"",0)</f>
        <v>#REF!</v>
      </c>
      <c r="AD413" s="69" t="e" cm="1">
        <f t="array" ref="AD413">_xlfn.XLOOKUP(Table1[[#This Row],[5 cm2 cell test code]:[5 cm2 cell test code]],[1]!Table1[[Test code]:[Test code]],[1]!Table1[HFR DIW/ mOhm cm2],"",0)</f>
        <v>#REF!</v>
      </c>
      <c r="AE413" s="69" t="e" cm="1">
        <f t="array" ref="AE413">_xlfn.XLOOKUP(Table1[[#This Row],[5 cm2 cell test code]:[5 cm2 cell test code]],[1]!Table1[[Test code]:[Test code]],[1]!Table1[HFR 10 mM KOH/ mOhm cm2],"",0)</f>
        <v>#REF!</v>
      </c>
      <c r="AF413" s="69" t="e" cm="1">
        <f t="array" ref="AF413">_xlfn.XLOOKUP(Table1[[#This Row],[5 cm2 cell test code]:[5 cm2 cell test code]],[1]!Table1[[Test code]:[Test code]],[1]!Table1[Ionic resistance DIW/Ohm cm2],"",0)</f>
        <v>#REF!</v>
      </c>
      <c r="AG413" s="195" t="e" cm="1">
        <f t="array" ref="AG413">_xlfn.XLOOKUP(Table1[[#This Row],[5 cm2 cell test code]:[5 cm2 cell test code]],[1]!Table1[[Test code]:[Test code]],[1]!Table1[Q_int_frac DIW],"",0)</f>
        <v>#REF!</v>
      </c>
      <c r="AH413" s="195" t="e" cm="1">
        <f t="array" ref="AH413">_xlfn.XLOOKUP(Table1[[#This Row],[5 cm2 cell test code]:[5 cm2 cell test code]],[1]!Table1[[Test code]:[Test code]],[1]!Table1[Ionic resistance 10 mM KOH/Ohm cm2],"",0)</f>
        <v>#REF!</v>
      </c>
      <c r="AI413" s="195" t="e" cm="1">
        <f t="array" ref="AI413">_xlfn.XLOOKUP(Table1[[#This Row],[5 cm2 cell test code]:[5 cm2 cell test code]],[1]!Table1[[Test code]:[Test code]],[1]!Table1[Q_int_frac DIW 10 mM KOH],"",0)</f>
        <v>#REF!</v>
      </c>
      <c r="AJ413" s="69" t="e" cm="1">
        <f t="array" ref="AJ413">_xlfn.XLOOKUP(Table1[[#This Row],[5 cm2 cell test code]:[5 cm2 cell test code]],[1]!Table1[[Test code]:[Test code]],[1]!Table1[DIW conductivity (µS/cm)],"",0)</f>
        <v>#REF!</v>
      </c>
      <c r="AQ413" s="4" t="str">
        <v>VSG02A-23314E1.02-01</v>
      </c>
    </row>
    <row r="414" spans="1:43">
      <c r="A414" s="81"/>
      <c r="B414" s="11" t="s">
        <v>787</v>
      </c>
      <c r="E414" s="4" t="s">
        <v>750</v>
      </c>
      <c r="J414" s="107"/>
      <c r="K414" s="89"/>
      <c r="L414" s="89"/>
      <c r="U414" s="101"/>
      <c r="V414" s="101"/>
      <c r="W414" s="69" t="e" cm="1">
        <f t="array" ref="W414">_xlfn.XLOOKUP(Table1[[#This Row],[5 cm2 cell test code]:[5 cm2 cell test code]],[1]!Table1[[Test code]:[Test code]],[1]!Table1[i @ 1.8 V DIW (A/cm2)],"",0)</f>
        <v>#REF!</v>
      </c>
      <c r="X414" s="69" t="e" cm="1">
        <f t="array" ref="X414">_xlfn.XLOOKUP(Table1[[#This Row],[5 cm2 cell test code]:[5 cm2 cell test code]],[1]!Table1[[Test code]:[Test code]],[1]!Table1[i @ 1.8 V 10 mM KOH (A/cm2)],"",0)</f>
        <v>#REF!</v>
      </c>
      <c r="Y414" s="69" t="e" cm="1">
        <f t="array" ref="Y414">_xlfn.XLOOKUP(Table1[[#This Row],[5 cm2 cell test code]:[5 cm2 cell test code]],[1]!Table1[[Test code]:[Test code]],[1]!Table1[3-E ƞ at 20mAcm-2 (mV)],"",0)</f>
        <v>#REF!</v>
      </c>
      <c r="Z414" s="69" t="e" cm="1">
        <f t="array" ref="Z414">_xlfn.XLOOKUP(Table1[[#This Row],[5 cm2 cell test code]:[5 cm2 cell test code]],[1]!Table1[[Test code]:[Test code]],[1]!Table1[3-E Tafel slope (mV/dec)],"",0)</f>
        <v>#REF!</v>
      </c>
      <c r="AA414" s="69" t="e" cm="1">
        <f t="array" ref="AA414">_xlfn.XLOOKUP(Table1[[#This Row],[5 cm2 cell test code]:[5 cm2 cell test code]],[1]!Table1[[Test code]:[Test code]],[1]!Table1[E @ 100 mA/cm2 DIW/V],"",0)</f>
        <v>#REF!</v>
      </c>
      <c r="AB414" s="69" t="e" cm="1">
        <f t="array" ref="AB414">_xlfn.XLOOKUP(Table1[[#This Row],[5 cm2 cell test code]:[5 cm2 cell test code]],[1]!Table1[[Test code]:[Test code]],[1]!Table1[E @ 100 mA/cm2 10 mM KOH/V],"",0)</f>
        <v>#REF!</v>
      </c>
      <c r="AC414" s="69" t="e" cm="1">
        <f t="array" ref="AC414">_xlfn.XLOOKUP(Table1[[#This Row],[5 cm2 cell test code]:[5 cm2 cell test code]],[1]!Table1[[Test code]:[Test code]],[1]!Table1[Anode ICR/mOhm],"",0)</f>
        <v>#REF!</v>
      </c>
      <c r="AD414" s="69" t="e" cm="1">
        <f t="array" ref="AD414">_xlfn.XLOOKUP(Table1[[#This Row],[5 cm2 cell test code]:[5 cm2 cell test code]],[1]!Table1[[Test code]:[Test code]],[1]!Table1[HFR DIW/ mOhm cm2],"",0)</f>
        <v>#REF!</v>
      </c>
      <c r="AE414" s="69" t="e" cm="1">
        <f t="array" ref="AE414">_xlfn.XLOOKUP(Table1[[#This Row],[5 cm2 cell test code]:[5 cm2 cell test code]],[1]!Table1[[Test code]:[Test code]],[1]!Table1[HFR 10 mM KOH/ mOhm cm2],"",0)</f>
        <v>#REF!</v>
      </c>
      <c r="AF414" s="69" t="e" cm="1">
        <f t="array" ref="AF414">_xlfn.XLOOKUP(Table1[[#This Row],[5 cm2 cell test code]:[5 cm2 cell test code]],[1]!Table1[[Test code]:[Test code]],[1]!Table1[Ionic resistance DIW/Ohm cm2],"",0)</f>
        <v>#REF!</v>
      </c>
      <c r="AG414" s="195" t="e" cm="1">
        <f t="array" ref="AG414">_xlfn.XLOOKUP(Table1[[#This Row],[5 cm2 cell test code]:[5 cm2 cell test code]],[1]!Table1[[Test code]:[Test code]],[1]!Table1[Q_int_frac DIW],"",0)</f>
        <v>#REF!</v>
      </c>
      <c r="AH414" s="195" t="e" cm="1">
        <f t="array" ref="AH414">_xlfn.XLOOKUP(Table1[[#This Row],[5 cm2 cell test code]:[5 cm2 cell test code]],[1]!Table1[[Test code]:[Test code]],[1]!Table1[Ionic resistance 10 mM KOH/Ohm cm2],"",0)</f>
        <v>#REF!</v>
      </c>
      <c r="AI414" s="195" t="e" cm="1">
        <f t="array" ref="AI414">_xlfn.XLOOKUP(Table1[[#This Row],[5 cm2 cell test code]:[5 cm2 cell test code]],[1]!Table1[[Test code]:[Test code]],[1]!Table1[Q_int_frac DIW 10 mM KOH],"",0)</f>
        <v>#REF!</v>
      </c>
      <c r="AJ414" s="69" t="e" cm="1">
        <f t="array" ref="AJ414">_xlfn.XLOOKUP(Table1[[#This Row],[5 cm2 cell test code]:[5 cm2 cell test code]],[1]!Table1[[Test code]:[Test code]],[1]!Table1[DIW conductivity (µS/cm)],"",0)</f>
        <v>#REF!</v>
      </c>
      <c r="AQ414" s="4" t="str">
        <v>VSG02A-23314E1.02-02</v>
      </c>
    </row>
    <row r="415" spans="1:43">
      <c r="A415" s="81"/>
      <c r="B415" s="11" t="s">
        <v>788</v>
      </c>
      <c r="E415" s="4" t="s">
        <v>750</v>
      </c>
      <c r="J415" s="107"/>
      <c r="K415" s="89"/>
      <c r="L415" s="89"/>
      <c r="U415" s="101"/>
      <c r="V415" s="101"/>
      <c r="W415" s="69" t="e" cm="1">
        <f t="array" ref="W415">_xlfn.XLOOKUP(Table1[[#This Row],[5 cm2 cell test code]:[5 cm2 cell test code]],[1]!Table1[[Test code]:[Test code]],[1]!Table1[i @ 1.8 V DIW (A/cm2)],"",0)</f>
        <v>#REF!</v>
      </c>
      <c r="X415" s="69" t="e" cm="1">
        <f t="array" ref="X415">_xlfn.XLOOKUP(Table1[[#This Row],[5 cm2 cell test code]:[5 cm2 cell test code]],[1]!Table1[[Test code]:[Test code]],[1]!Table1[i @ 1.8 V 10 mM KOH (A/cm2)],"",0)</f>
        <v>#REF!</v>
      </c>
      <c r="Y415" s="69" t="e" cm="1">
        <f t="array" ref="Y415">_xlfn.XLOOKUP(Table1[[#This Row],[5 cm2 cell test code]:[5 cm2 cell test code]],[1]!Table1[[Test code]:[Test code]],[1]!Table1[3-E ƞ at 20mAcm-2 (mV)],"",0)</f>
        <v>#REF!</v>
      </c>
      <c r="Z415" s="69" t="e" cm="1">
        <f t="array" ref="Z415">_xlfn.XLOOKUP(Table1[[#This Row],[5 cm2 cell test code]:[5 cm2 cell test code]],[1]!Table1[[Test code]:[Test code]],[1]!Table1[3-E Tafel slope (mV/dec)],"",0)</f>
        <v>#REF!</v>
      </c>
      <c r="AA415" s="69" t="e" cm="1">
        <f t="array" ref="AA415">_xlfn.XLOOKUP(Table1[[#This Row],[5 cm2 cell test code]:[5 cm2 cell test code]],[1]!Table1[[Test code]:[Test code]],[1]!Table1[E @ 100 mA/cm2 DIW/V],"",0)</f>
        <v>#REF!</v>
      </c>
      <c r="AB415" s="69" t="e" cm="1">
        <f t="array" ref="AB415">_xlfn.XLOOKUP(Table1[[#This Row],[5 cm2 cell test code]:[5 cm2 cell test code]],[1]!Table1[[Test code]:[Test code]],[1]!Table1[E @ 100 mA/cm2 10 mM KOH/V],"",0)</f>
        <v>#REF!</v>
      </c>
      <c r="AC415" s="69" t="e" cm="1">
        <f t="array" ref="AC415">_xlfn.XLOOKUP(Table1[[#This Row],[5 cm2 cell test code]:[5 cm2 cell test code]],[1]!Table1[[Test code]:[Test code]],[1]!Table1[Anode ICR/mOhm],"",0)</f>
        <v>#REF!</v>
      </c>
      <c r="AD415" s="69" t="e" cm="1">
        <f t="array" ref="AD415">_xlfn.XLOOKUP(Table1[[#This Row],[5 cm2 cell test code]:[5 cm2 cell test code]],[1]!Table1[[Test code]:[Test code]],[1]!Table1[HFR DIW/ mOhm cm2],"",0)</f>
        <v>#REF!</v>
      </c>
      <c r="AE415" s="69" t="e" cm="1">
        <f t="array" ref="AE415">_xlfn.XLOOKUP(Table1[[#This Row],[5 cm2 cell test code]:[5 cm2 cell test code]],[1]!Table1[[Test code]:[Test code]],[1]!Table1[HFR 10 mM KOH/ mOhm cm2],"",0)</f>
        <v>#REF!</v>
      </c>
      <c r="AF415" s="69" t="e" cm="1">
        <f t="array" ref="AF415">_xlfn.XLOOKUP(Table1[[#This Row],[5 cm2 cell test code]:[5 cm2 cell test code]],[1]!Table1[[Test code]:[Test code]],[1]!Table1[Ionic resistance DIW/Ohm cm2],"",0)</f>
        <v>#REF!</v>
      </c>
      <c r="AG415" s="195" t="e" cm="1">
        <f t="array" ref="AG415">_xlfn.XLOOKUP(Table1[[#This Row],[5 cm2 cell test code]:[5 cm2 cell test code]],[1]!Table1[[Test code]:[Test code]],[1]!Table1[Q_int_frac DIW],"",0)</f>
        <v>#REF!</v>
      </c>
      <c r="AH415" s="195" t="e" cm="1">
        <f t="array" ref="AH415">_xlfn.XLOOKUP(Table1[[#This Row],[5 cm2 cell test code]:[5 cm2 cell test code]],[1]!Table1[[Test code]:[Test code]],[1]!Table1[Ionic resistance 10 mM KOH/Ohm cm2],"",0)</f>
        <v>#REF!</v>
      </c>
      <c r="AI415" s="195" t="e" cm="1">
        <f t="array" ref="AI415">_xlfn.XLOOKUP(Table1[[#This Row],[5 cm2 cell test code]:[5 cm2 cell test code]],[1]!Table1[[Test code]:[Test code]],[1]!Table1[Q_int_frac DIW 10 mM KOH],"",0)</f>
        <v>#REF!</v>
      </c>
      <c r="AJ415" s="69" t="e" cm="1">
        <f t="array" ref="AJ415">_xlfn.XLOOKUP(Table1[[#This Row],[5 cm2 cell test code]:[5 cm2 cell test code]],[1]!Table1[[Test code]:[Test code]],[1]!Table1[DIW conductivity (µS/cm)],"",0)</f>
        <v>#REF!</v>
      </c>
      <c r="AQ415" s="4" t="str">
        <v>VSG02A-23317E1.01</v>
      </c>
    </row>
    <row r="416" spans="1:43">
      <c r="A416" s="81"/>
      <c r="B416" s="11" t="s">
        <v>789</v>
      </c>
      <c r="E416" s="4" t="s">
        <v>750</v>
      </c>
      <c r="J416" s="107"/>
      <c r="K416" s="89"/>
      <c r="L416" s="89"/>
      <c r="U416" s="101"/>
      <c r="V416" s="101"/>
      <c r="W416" s="69" t="e" cm="1">
        <f t="array" ref="W416">_xlfn.XLOOKUP(Table1[[#This Row],[5 cm2 cell test code]:[5 cm2 cell test code]],[1]!Table1[[Test code]:[Test code]],[1]!Table1[i @ 1.8 V DIW (A/cm2)],"",0)</f>
        <v>#REF!</v>
      </c>
      <c r="X416" s="69" t="e" cm="1">
        <f t="array" ref="X416">_xlfn.XLOOKUP(Table1[[#This Row],[5 cm2 cell test code]:[5 cm2 cell test code]],[1]!Table1[[Test code]:[Test code]],[1]!Table1[i @ 1.8 V 10 mM KOH (A/cm2)],"",0)</f>
        <v>#REF!</v>
      </c>
      <c r="Y416" s="69" t="e" cm="1">
        <f t="array" ref="Y416">_xlfn.XLOOKUP(Table1[[#This Row],[5 cm2 cell test code]:[5 cm2 cell test code]],[1]!Table1[[Test code]:[Test code]],[1]!Table1[3-E ƞ at 20mAcm-2 (mV)],"",0)</f>
        <v>#REF!</v>
      </c>
      <c r="Z416" s="69" t="e" cm="1">
        <f t="array" ref="Z416">_xlfn.XLOOKUP(Table1[[#This Row],[5 cm2 cell test code]:[5 cm2 cell test code]],[1]!Table1[[Test code]:[Test code]],[1]!Table1[3-E Tafel slope (mV/dec)],"",0)</f>
        <v>#REF!</v>
      </c>
      <c r="AA416" s="69" t="e" cm="1">
        <f t="array" ref="AA416">_xlfn.XLOOKUP(Table1[[#This Row],[5 cm2 cell test code]:[5 cm2 cell test code]],[1]!Table1[[Test code]:[Test code]],[1]!Table1[E @ 100 mA/cm2 DIW/V],"",0)</f>
        <v>#REF!</v>
      </c>
      <c r="AB416" s="69" t="e" cm="1">
        <f t="array" ref="AB416">_xlfn.XLOOKUP(Table1[[#This Row],[5 cm2 cell test code]:[5 cm2 cell test code]],[1]!Table1[[Test code]:[Test code]],[1]!Table1[E @ 100 mA/cm2 10 mM KOH/V],"",0)</f>
        <v>#REF!</v>
      </c>
      <c r="AC416" s="69" t="e" cm="1">
        <f t="array" ref="AC416">_xlfn.XLOOKUP(Table1[[#This Row],[5 cm2 cell test code]:[5 cm2 cell test code]],[1]!Table1[[Test code]:[Test code]],[1]!Table1[Anode ICR/mOhm],"",0)</f>
        <v>#REF!</v>
      </c>
      <c r="AD416" s="69" t="e" cm="1">
        <f t="array" ref="AD416">_xlfn.XLOOKUP(Table1[[#This Row],[5 cm2 cell test code]:[5 cm2 cell test code]],[1]!Table1[[Test code]:[Test code]],[1]!Table1[HFR DIW/ mOhm cm2],"",0)</f>
        <v>#REF!</v>
      </c>
      <c r="AE416" s="69" t="e" cm="1">
        <f t="array" ref="AE416">_xlfn.XLOOKUP(Table1[[#This Row],[5 cm2 cell test code]:[5 cm2 cell test code]],[1]!Table1[[Test code]:[Test code]],[1]!Table1[HFR 10 mM KOH/ mOhm cm2],"",0)</f>
        <v>#REF!</v>
      </c>
      <c r="AF416" s="69" t="e" cm="1">
        <f t="array" ref="AF416">_xlfn.XLOOKUP(Table1[[#This Row],[5 cm2 cell test code]:[5 cm2 cell test code]],[1]!Table1[[Test code]:[Test code]],[1]!Table1[Ionic resistance DIW/Ohm cm2],"",0)</f>
        <v>#REF!</v>
      </c>
      <c r="AG416" s="195" t="e" cm="1">
        <f t="array" ref="AG416">_xlfn.XLOOKUP(Table1[[#This Row],[5 cm2 cell test code]:[5 cm2 cell test code]],[1]!Table1[[Test code]:[Test code]],[1]!Table1[Q_int_frac DIW],"",0)</f>
        <v>#REF!</v>
      </c>
      <c r="AH416" s="195" t="e" cm="1">
        <f t="array" ref="AH416">_xlfn.XLOOKUP(Table1[[#This Row],[5 cm2 cell test code]:[5 cm2 cell test code]],[1]!Table1[[Test code]:[Test code]],[1]!Table1[Ionic resistance 10 mM KOH/Ohm cm2],"",0)</f>
        <v>#REF!</v>
      </c>
      <c r="AI416" s="195" t="e" cm="1">
        <f t="array" ref="AI416">_xlfn.XLOOKUP(Table1[[#This Row],[5 cm2 cell test code]:[5 cm2 cell test code]],[1]!Table1[[Test code]:[Test code]],[1]!Table1[Q_int_frac DIW 10 mM KOH],"",0)</f>
        <v>#REF!</v>
      </c>
      <c r="AJ416" s="69" t="e" cm="1">
        <f t="array" ref="AJ416">_xlfn.XLOOKUP(Table1[[#This Row],[5 cm2 cell test code]:[5 cm2 cell test code]],[1]!Table1[[Test code]:[Test code]],[1]!Table1[DIW conductivity (µS/cm)],"",0)</f>
        <v>#REF!</v>
      </c>
      <c r="AQ416" s="4" t="str">
        <v>VSG02A-23317E1.01-01</v>
      </c>
    </row>
    <row r="417" spans="1:43">
      <c r="A417" s="81"/>
      <c r="B417" s="11" t="s">
        <v>790</v>
      </c>
      <c r="E417" s="4" t="s">
        <v>750</v>
      </c>
      <c r="J417" s="107"/>
      <c r="K417" s="89"/>
      <c r="L417" s="89"/>
      <c r="U417" s="101"/>
      <c r="V417" s="101"/>
      <c r="W417" s="69" t="e" cm="1">
        <f t="array" ref="W417">_xlfn.XLOOKUP(Table1[[#This Row],[5 cm2 cell test code]:[5 cm2 cell test code]],[1]!Table1[[Test code]:[Test code]],[1]!Table1[i @ 1.8 V DIW (A/cm2)],"",0)</f>
        <v>#REF!</v>
      </c>
      <c r="X417" s="69" t="e" cm="1">
        <f t="array" ref="X417">_xlfn.XLOOKUP(Table1[[#This Row],[5 cm2 cell test code]:[5 cm2 cell test code]],[1]!Table1[[Test code]:[Test code]],[1]!Table1[i @ 1.8 V 10 mM KOH (A/cm2)],"",0)</f>
        <v>#REF!</v>
      </c>
      <c r="Y417" s="69" t="e" cm="1">
        <f t="array" ref="Y417">_xlfn.XLOOKUP(Table1[[#This Row],[5 cm2 cell test code]:[5 cm2 cell test code]],[1]!Table1[[Test code]:[Test code]],[1]!Table1[3-E ƞ at 20mAcm-2 (mV)],"",0)</f>
        <v>#REF!</v>
      </c>
      <c r="Z417" s="69" t="e" cm="1">
        <f t="array" ref="Z417">_xlfn.XLOOKUP(Table1[[#This Row],[5 cm2 cell test code]:[5 cm2 cell test code]],[1]!Table1[[Test code]:[Test code]],[1]!Table1[3-E Tafel slope (mV/dec)],"",0)</f>
        <v>#REF!</v>
      </c>
      <c r="AA417" s="69" t="e" cm="1">
        <f t="array" ref="AA417">_xlfn.XLOOKUP(Table1[[#This Row],[5 cm2 cell test code]:[5 cm2 cell test code]],[1]!Table1[[Test code]:[Test code]],[1]!Table1[E @ 100 mA/cm2 DIW/V],"",0)</f>
        <v>#REF!</v>
      </c>
      <c r="AB417" s="69" t="e" cm="1">
        <f t="array" ref="AB417">_xlfn.XLOOKUP(Table1[[#This Row],[5 cm2 cell test code]:[5 cm2 cell test code]],[1]!Table1[[Test code]:[Test code]],[1]!Table1[E @ 100 mA/cm2 10 mM KOH/V],"",0)</f>
        <v>#REF!</v>
      </c>
      <c r="AC417" s="69" t="e" cm="1">
        <f t="array" ref="AC417">_xlfn.XLOOKUP(Table1[[#This Row],[5 cm2 cell test code]:[5 cm2 cell test code]],[1]!Table1[[Test code]:[Test code]],[1]!Table1[Anode ICR/mOhm],"",0)</f>
        <v>#REF!</v>
      </c>
      <c r="AD417" s="69" t="e" cm="1">
        <f t="array" ref="AD417">_xlfn.XLOOKUP(Table1[[#This Row],[5 cm2 cell test code]:[5 cm2 cell test code]],[1]!Table1[[Test code]:[Test code]],[1]!Table1[HFR DIW/ mOhm cm2],"",0)</f>
        <v>#REF!</v>
      </c>
      <c r="AE417" s="69" t="e" cm="1">
        <f t="array" ref="AE417">_xlfn.XLOOKUP(Table1[[#This Row],[5 cm2 cell test code]:[5 cm2 cell test code]],[1]!Table1[[Test code]:[Test code]],[1]!Table1[HFR 10 mM KOH/ mOhm cm2],"",0)</f>
        <v>#REF!</v>
      </c>
      <c r="AF417" s="69" t="e" cm="1">
        <f t="array" ref="AF417">_xlfn.XLOOKUP(Table1[[#This Row],[5 cm2 cell test code]:[5 cm2 cell test code]],[1]!Table1[[Test code]:[Test code]],[1]!Table1[Ionic resistance DIW/Ohm cm2],"",0)</f>
        <v>#REF!</v>
      </c>
      <c r="AG417" s="195" t="e" cm="1">
        <f t="array" ref="AG417">_xlfn.XLOOKUP(Table1[[#This Row],[5 cm2 cell test code]:[5 cm2 cell test code]],[1]!Table1[[Test code]:[Test code]],[1]!Table1[Q_int_frac DIW],"",0)</f>
        <v>#REF!</v>
      </c>
      <c r="AH417" s="195" t="e" cm="1">
        <f t="array" ref="AH417">_xlfn.XLOOKUP(Table1[[#This Row],[5 cm2 cell test code]:[5 cm2 cell test code]],[1]!Table1[[Test code]:[Test code]],[1]!Table1[Ionic resistance 10 mM KOH/Ohm cm2],"",0)</f>
        <v>#REF!</v>
      </c>
      <c r="AI417" s="195" t="e" cm="1">
        <f t="array" ref="AI417">_xlfn.XLOOKUP(Table1[[#This Row],[5 cm2 cell test code]:[5 cm2 cell test code]],[1]!Table1[[Test code]:[Test code]],[1]!Table1[Q_int_frac DIW 10 mM KOH],"",0)</f>
        <v>#REF!</v>
      </c>
      <c r="AJ417" s="69" t="e" cm="1">
        <f t="array" ref="AJ417">_xlfn.XLOOKUP(Table1[[#This Row],[5 cm2 cell test code]:[5 cm2 cell test code]],[1]!Table1[[Test code]:[Test code]],[1]!Table1[DIW conductivity (µS/cm)],"",0)</f>
        <v>#REF!</v>
      </c>
      <c r="AQ417" s="4" t="str">
        <v>VSG02A-23317E1.01-02</v>
      </c>
    </row>
    <row r="418" spans="1:43">
      <c r="A418" s="81"/>
      <c r="B418" s="11" t="s">
        <v>791</v>
      </c>
      <c r="J418" s="107"/>
      <c r="K418" s="89"/>
      <c r="L418" s="89"/>
      <c r="U418" s="101"/>
      <c r="V418" s="101"/>
      <c r="W418" s="69" t="e" cm="1">
        <f t="array" ref="W418">_xlfn.XLOOKUP(Table1[[#This Row],[5 cm2 cell test code]:[5 cm2 cell test code]],[1]!Table1[[Test code]:[Test code]],[1]!Table1[i @ 1.8 V DIW (A/cm2)],"",0)</f>
        <v>#REF!</v>
      </c>
      <c r="X418" s="69" t="e" cm="1">
        <f t="array" ref="X418">_xlfn.XLOOKUP(Table1[[#This Row],[5 cm2 cell test code]:[5 cm2 cell test code]],[1]!Table1[[Test code]:[Test code]],[1]!Table1[i @ 1.8 V 10 mM KOH (A/cm2)],"",0)</f>
        <v>#REF!</v>
      </c>
      <c r="Y418" s="69" t="e" cm="1">
        <f t="array" ref="Y418">_xlfn.XLOOKUP(Table1[[#This Row],[5 cm2 cell test code]:[5 cm2 cell test code]],[1]!Table1[[Test code]:[Test code]],[1]!Table1[3-E ƞ at 20mAcm-2 (mV)],"",0)</f>
        <v>#REF!</v>
      </c>
      <c r="Z418" s="69" t="e" cm="1">
        <f t="array" ref="Z418">_xlfn.XLOOKUP(Table1[[#This Row],[5 cm2 cell test code]:[5 cm2 cell test code]],[1]!Table1[[Test code]:[Test code]],[1]!Table1[3-E Tafel slope (mV/dec)],"",0)</f>
        <v>#REF!</v>
      </c>
      <c r="AA418" s="69" t="e" cm="1">
        <f t="array" ref="AA418">_xlfn.XLOOKUP(Table1[[#This Row],[5 cm2 cell test code]:[5 cm2 cell test code]],[1]!Table1[[Test code]:[Test code]],[1]!Table1[E @ 100 mA/cm2 DIW/V],"",0)</f>
        <v>#REF!</v>
      </c>
      <c r="AB418" s="69" t="e" cm="1">
        <f t="array" ref="AB418">_xlfn.XLOOKUP(Table1[[#This Row],[5 cm2 cell test code]:[5 cm2 cell test code]],[1]!Table1[[Test code]:[Test code]],[1]!Table1[E @ 100 mA/cm2 10 mM KOH/V],"",0)</f>
        <v>#REF!</v>
      </c>
      <c r="AC418" s="69" t="e" cm="1">
        <f t="array" ref="AC418">_xlfn.XLOOKUP(Table1[[#This Row],[5 cm2 cell test code]:[5 cm2 cell test code]],[1]!Table1[[Test code]:[Test code]],[1]!Table1[Anode ICR/mOhm],"",0)</f>
        <v>#REF!</v>
      </c>
      <c r="AD418" s="69" t="e" cm="1">
        <f t="array" ref="AD418">_xlfn.XLOOKUP(Table1[[#This Row],[5 cm2 cell test code]:[5 cm2 cell test code]],[1]!Table1[[Test code]:[Test code]],[1]!Table1[HFR DIW/ mOhm cm2],"",0)</f>
        <v>#REF!</v>
      </c>
      <c r="AE418" s="69" t="e" cm="1">
        <f t="array" ref="AE418">_xlfn.XLOOKUP(Table1[[#This Row],[5 cm2 cell test code]:[5 cm2 cell test code]],[1]!Table1[[Test code]:[Test code]],[1]!Table1[HFR 10 mM KOH/ mOhm cm2],"",0)</f>
        <v>#REF!</v>
      </c>
      <c r="AF418" s="69" t="e" cm="1">
        <f t="array" ref="AF418">_xlfn.XLOOKUP(Table1[[#This Row],[5 cm2 cell test code]:[5 cm2 cell test code]],[1]!Table1[[Test code]:[Test code]],[1]!Table1[Ionic resistance DIW/Ohm cm2],"",0)</f>
        <v>#REF!</v>
      </c>
      <c r="AG418" s="195" t="e" cm="1">
        <f t="array" ref="AG418">_xlfn.XLOOKUP(Table1[[#This Row],[5 cm2 cell test code]:[5 cm2 cell test code]],[1]!Table1[[Test code]:[Test code]],[1]!Table1[Q_int_frac DIW],"",0)</f>
        <v>#REF!</v>
      </c>
      <c r="AH418" s="195" t="e" cm="1">
        <f t="array" ref="AH418">_xlfn.XLOOKUP(Table1[[#This Row],[5 cm2 cell test code]:[5 cm2 cell test code]],[1]!Table1[[Test code]:[Test code]],[1]!Table1[Ionic resistance 10 mM KOH/Ohm cm2],"",0)</f>
        <v>#REF!</v>
      </c>
      <c r="AI418" s="195" t="e" cm="1">
        <f t="array" ref="AI418">_xlfn.XLOOKUP(Table1[[#This Row],[5 cm2 cell test code]:[5 cm2 cell test code]],[1]!Table1[[Test code]:[Test code]],[1]!Table1[Q_int_frac DIW 10 mM KOH],"",0)</f>
        <v>#REF!</v>
      </c>
      <c r="AJ418" s="69" t="e" cm="1">
        <f t="array" ref="AJ418">_xlfn.XLOOKUP(Table1[[#This Row],[5 cm2 cell test code]:[5 cm2 cell test code]],[1]!Table1[[Test code]:[Test code]],[1]!Table1[DIW conductivity (µS/cm)],"",0)</f>
        <v>#REF!</v>
      </c>
      <c r="AQ418" s="4" t="str">
        <v>VSG02A-23317E1.02</v>
      </c>
    </row>
    <row r="419" spans="1:43">
      <c r="A419" s="81"/>
      <c r="B419" s="11" t="s">
        <v>792</v>
      </c>
      <c r="J419" s="107"/>
      <c r="K419" s="89"/>
      <c r="L419" s="89"/>
      <c r="U419" s="101"/>
      <c r="V419" s="101"/>
      <c r="W419" s="69" t="e" cm="1">
        <f t="array" ref="W419">_xlfn.XLOOKUP(Table1[[#This Row],[5 cm2 cell test code]:[5 cm2 cell test code]],[1]!Table1[[Test code]:[Test code]],[1]!Table1[i @ 1.8 V DIW (A/cm2)],"",0)</f>
        <v>#REF!</v>
      </c>
      <c r="X419" s="69" t="e" cm="1">
        <f t="array" ref="X419">_xlfn.XLOOKUP(Table1[[#This Row],[5 cm2 cell test code]:[5 cm2 cell test code]],[1]!Table1[[Test code]:[Test code]],[1]!Table1[i @ 1.8 V 10 mM KOH (A/cm2)],"",0)</f>
        <v>#REF!</v>
      </c>
      <c r="Y419" s="69" t="e" cm="1">
        <f t="array" ref="Y419">_xlfn.XLOOKUP(Table1[[#This Row],[5 cm2 cell test code]:[5 cm2 cell test code]],[1]!Table1[[Test code]:[Test code]],[1]!Table1[3-E ƞ at 20mAcm-2 (mV)],"",0)</f>
        <v>#REF!</v>
      </c>
      <c r="Z419" s="69" t="e" cm="1">
        <f t="array" ref="Z419">_xlfn.XLOOKUP(Table1[[#This Row],[5 cm2 cell test code]:[5 cm2 cell test code]],[1]!Table1[[Test code]:[Test code]],[1]!Table1[3-E Tafel slope (mV/dec)],"",0)</f>
        <v>#REF!</v>
      </c>
      <c r="AA419" s="69" t="e" cm="1">
        <f t="array" ref="AA419">_xlfn.XLOOKUP(Table1[[#This Row],[5 cm2 cell test code]:[5 cm2 cell test code]],[1]!Table1[[Test code]:[Test code]],[1]!Table1[E @ 100 mA/cm2 DIW/V],"",0)</f>
        <v>#REF!</v>
      </c>
      <c r="AB419" s="69" t="e" cm="1">
        <f t="array" ref="AB419">_xlfn.XLOOKUP(Table1[[#This Row],[5 cm2 cell test code]:[5 cm2 cell test code]],[1]!Table1[[Test code]:[Test code]],[1]!Table1[E @ 100 mA/cm2 10 mM KOH/V],"",0)</f>
        <v>#REF!</v>
      </c>
      <c r="AC419" s="69" t="e" cm="1">
        <f t="array" ref="AC419">_xlfn.XLOOKUP(Table1[[#This Row],[5 cm2 cell test code]:[5 cm2 cell test code]],[1]!Table1[[Test code]:[Test code]],[1]!Table1[Anode ICR/mOhm],"",0)</f>
        <v>#REF!</v>
      </c>
      <c r="AD419" s="69" t="e" cm="1">
        <f t="array" ref="AD419">_xlfn.XLOOKUP(Table1[[#This Row],[5 cm2 cell test code]:[5 cm2 cell test code]],[1]!Table1[[Test code]:[Test code]],[1]!Table1[HFR DIW/ mOhm cm2],"",0)</f>
        <v>#REF!</v>
      </c>
      <c r="AE419" s="69" t="e" cm="1">
        <f t="array" ref="AE419">_xlfn.XLOOKUP(Table1[[#This Row],[5 cm2 cell test code]:[5 cm2 cell test code]],[1]!Table1[[Test code]:[Test code]],[1]!Table1[HFR 10 mM KOH/ mOhm cm2],"",0)</f>
        <v>#REF!</v>
      </c>
      <c r="AF419" s="69" t="e" cm="1">
        <f t="array" ref="AF419">_xlfn.XLOOKUP(Table1[[#This Row],[5 cm2 cell test code]:[5 cm2 cell test code]],[1]!Table1[[Test code]:[Test code]],[1]!Table1[Ionic resistance DIW/Ohm cm2],"",0)</f>
        <v>#REF!</v>
      </c>
      <c r="AG419" s="195" t="e" cm="1">
        <f t="array" ref="AG419">_xlfn.XLOOKUP(Table1[[#This Row],[5 cm2 cell test code]:[5 cm2 cell test code]],[1]!Table1[[Test code]:[Test code]],[1]!Table1[Q_int_frac DIW],"",0)</f>
        <v>#REF!</v>
      </c>
      <c r="AH419" s="195" t="e" cm="1">
        <f t="array" ref="AH419">_xlfn.XLOOKUP(Table1[[#This Row],[5 cm2 cell test code]:[5 cm2 cell test code]],[1]!Table1[[Test code]:[Test code]],[1]!Table1[Ionic resistance 10 mM KOH/Ohm cm2],"",0)</f>
        <v>#REF!</v>
      </c>
      <c r="AI419" s="195" t="e" cm="1">
        <f t="array" ref="AI419">_xlfn.XLOOKUP(Table1[[#This Row],[5 cm2 cell test code]:[5 cm2 cell test code]],[1]!Table1[[Test code]:[Test code]],[1]!Table1[Q_int_frac DIW 10 mM KOH],"",0)</f>
        <v>#REF!</v>
      </c>
      <c r="AJ419" s="69" t="e" cm="1">
        <f t="array" ref="AJ419">_xlfn.XLOOKUP(Table1[[#This Row],[5 cm2 cell test code]:[5 cm2 cell test code]],[1]!Table1[[Test code]:[Test code]],[1]!Table1[DIW conductivity (µS/cm)],"",0)</f>
        <v>#REF!</v>
      </c>
      <c r="AQ419" s="4" t="str">
        <v>VSG02A-23317E1.02-01</v>
      </c>
    </row>
    <row r="420" spans="1:43">
      <c r="A420" s="81"/>
      <c r="B420" s="11" t="s">
        <v>793</v>
      </c>
      <c r="J420" s="107"/>
      <c r="K420" s="89"/>
      <c r="L420" s="89"/>
      <c r="U420" s="101"/>
      <c r="V420" s="101"/>
      <c r="W420" s="69" t="e" cm="1">
        <f t="array" ref="W420">_xlfn.XLOOKUP(Table1[[#This Row],[5 cm2 cell test code]:[5 cm2 cell test code]],[1]!Table1[[Test code]:[Test code]],[1]!Table1[i @ 1.8 V DIW (A/cm2)],"",0)</f>
        <v>#REF!</v>
      </c>
      <c r="X420" s="69" t="e" cm="1">
        <f t="array" ref="X420">_xlfn.XLOOKUP(Table1[[#This Row],[5 cm2 cell test code]:[5 cm2 cell test code]],[1]!Table1[[Test code]:[Test code]],[1]!Table1[i @ 1.8 V 10 mM KOH (A/cm2)],"",0)</f>
        <v>#REF!</v>
      </c>
      <c r="Y420" s="69" t="e" cm="1">
        <f t="array" ref="Y420">_xlfn.XLOOKUP(Table1[[#This Row],[5 cm2 cell test code]:[5 cm2 cell test code]],[1]!Table1[[Test code]:[Test code]],[1]!Table1[3-E ƞ at 20mAcm-2 (mV)],"",0)</f>
        <v>#REF!</v>
      </c>
      <c r="Z420" s="69" t="e" cm="1">
        <f t="array" ref="Z420">_xlfn.XLOOKUP(Table1[[#This Row],[5 cm2 cell test code]:[5 cm2 cell test code]],[1]!Table1[[Test code]:[Test code]],[1]!Table1[3-E Tafel slope (mV/dec)],"",0)</f>
        <v>#REF!</v>
      </c>
      <c r="AA420" s="69" t="e" cm="1">
        <f t="array" ref="AA420">_xlfn.XLOOKUP(Table1[[#This Row],[5 cm2 cell test code]:[5 cm2 cell test code]],[1]!Table1[[Test code]:[Test code]],[1]!Table1[E @ 100 mA/cm2 DIW/V],"",0)</f>
        <v>#REF!</v>
      </c>
      <c r="AB420" s="69" t="e" cm="1">
        <f t="array" ref="AB420">_xlfn.XLOOKUP(Table1[[#This Row],[5 cm2 cell test code]:[5 cm2 cell test code]],[1]!Table1[[Test code]:[Test code]],[1]!Table1[E @ 100 mA/cm2 10 mM KOH/V],"",0)</f>
        <v>#REF!</v>
      </c>
      <c r="AC420" s="69" t="e" cm="1">
        <f t="array" ref="AC420">_xlfn.XLOOKUP(Table1[[#This Row],[5 cm2 cell test code]:[5 cm2 cell test code]],[1]!Table1[[Test code]:[Test code]],[1]!Table1[Anode ICR/mOhm],"",0)</f>
        <v>#REF!</v>
      </c>
      <c r="AD420" s="69" t="e" cm="1">
        <f t="array" ref="AD420">_xlfn.XLOOKUP(Table1[[#This Row],[5 cm2 cell test code]:[5 cm2 cell test code]],[1]!Table1[[Test code]:[Test code]],[1]!Table1[HFR DIW/ mOhm cm2],"",0)</f>
        <v>#REF!</v>
      </c>
      <c r="AE420" s="69" t="e" cm="1">
        <f t="array" ref="AE420">_xlfn.XLOOKUP(Table1[[#This Row],[5 cm2 cell test code]:[5 cm2 cell test code]],[1]!Table1[[Test code]:[Test code]],[1]!Table1[HFR 10 mM KOH/ mOhm cm2],"",0)</f>
        <v>#REF!</v>
      </c>
      <c r="AF420" s="69" t="e" cm="1">
        <f t="array" ref="AF420">_xlfn.XLOOKUP(Table1[[#This Row],[5 cm2 cell test code]:[5 cm2 cell test code]],[1]!Table1[[Test code]:[Test code]],[1]!Table1[Ionic resistance DIW/Ohm cm2],"",0)</f>
        <v>#REF!</v>
      </c>
      <c r="AG420" s="195" t="e" cm="1">
        <f t="array" ref="AG420">_xlfn.XLOOKUP(Table1[[#This Row],[5 cm2 cell test code]:[5 cm2 cell test code]],[1]!Table1[[Test code]:[Test code]],[1]!Table1[Q_int_frac DIW],"",0)</f>
        <v>#REF!</v>
      </c>
      <c r="AH420" s="195" t="e" cm="1">
        <f t="array" ref="AH420">_xlfn.XLOOKUP(Table1[[#This Row],[5 cm2 cell test code]:[5 cm2 cell test code]],[1]!Table1[[Test code]:[Test code]],[1]!Table1[Ionic resistance 10 mM KOH/Ohm cm2],"",0)</f>
        <v>#REF!</v>
      </c>
      <c r="AI420" s="195" t="e" cm="1">
        <f t="array" ref="AI420">_xlfn.XLOOKUP(Table1[[#This Row],[5 cm2 cell test code]:[5 cm2 cell test code]],[1]!Table1[[Test code]:[Test code]],[1]!Table1[Q_int_frac DIW 10 mM KOH],"",0)</f>
        <v>#REF!</v>
      </c>
      <c r="AJ420" s="69" t="e" cm="1">
        <f t="array" ref="AJ420">_xlfn.XLOOKUP(Table1[[#This Row],[5 cm2 cell test code]:[5 cm2 cell test code]],[1]!Table1[[Test code]:[Test code]],[1]!Table1[DIW conductivity (µS/cm)],"",0)</f>
        <v>#REF!</v>
      </c>
      <c r="AQ420" s="4" t="str">
        <v>VSG02A-23317E1.02-02</v>
      </c>
    </row>
    <row r="421" spans="1:43">
      <c r="A421" s="81"/>
      <c r="B421" s="11" t="s">
        <v>794</v>
      </c>
      <c r="J421" s="107"/>
      <c r="K421" s="89"/>
      <c r="L421" s="89"/>
      <c r="U421" s="101"/>
      <c r="V421" s="101"/>
      <c r="W421" s="69" t="e" cm="1">
        <f t="array" ref="W421">_xlfn.XLOOKUP(Table1[[#This Row],[5 cm2 cell test code]:[5 cm2 cell test code]],[1]!Table1[[Test code]:[Test code]],[1]!Table1[i @ 1.8 V DIW (A/cm2)],"",0)</f>
        <v>#REF!</v>
      </c>
      <c r="X421" s="69" t="e" cm="1">
        <f t="array" ref="X421">_xlfn.XLOOKUP(Table1[[#This Row],[5 cm2 cell test code]:[5 cm2 cell test code]],[1]!Table1[[Test code]:[Test code]],[1]!Table1[i @ 1.8 V 10 mM KOH (A/cm2)],"",0)</f>
        <v>#REF!</v>
      </c>
      <c r="Y421" s="69" t="e" cm="1">
        <f t="array" ref="Y421">_xlfn.XLOOKUP(Table1[[#This Row],[5 cm2 cell test code]:[5 cm2 cell test code]],[1]!Table1[[Test code]:[Test code]],[1]!Table1[3-E ƞ at 20mAcm-2 (mV)],"",0)</f>
        <v>#REF!</v>
      </c>
      <c r="Z421" s="69" t="e" cm="1">
        <f t="array" ref="Z421">_xlfn.XLOOKUP(Table1[[#This Row],[5 cm2 cell test code]:[5 cm2 cell test code]],[1]!Table1[[Test code]:[Test code]],[1]!Table1[3-E Tafel slope (mV/dec)],"",0)</f>
        <v>#REF!</v>
      </c>
      <c r="AA421" s="69" t="e" cm="1">
        <f t="array" ref="AA421">_xlfn.XLOOKUP(Table1[[#This Row],[5 cm2 cell test code]:[5 cm2 cell test code]],[1]!Table1[[Test code]:[Test code]],[1]!Table1[E @ 100 mA/cm2 DIW/V],"",0)</f>
        <v>#REF!</v>
      </c>
      <c r="AB421" s="69" t="e" cm="1">
        <f t="array" ref="AB421">_xlfn.XLOOKUP(Table1[[#This Row],[5 cm2 cell test code]:[5 cm2 cell test code]],[1]!Table1[[Test code]:[Test code]],[1]!Table1[E @ 100 mA/cm2 10 mM KOH/V],"",0)</f>
        <v>#REF!</v>
      </c>
      <c r="AC421" s="69" t="e" cm="1">
        <f t="array" ref="AC421">_xlfn.XLOOKUP(Table1[[#This Row],[5 cm2 cell test code]:[5 cm2 cell test code]],[1]!Table1[[Test code]:[Test code]],[1]!Table1[Anode ICR/mOhm],"",0)</f>
        <v>#REF!</v>
      </c>
      <c r="AD421" s="69" t="e" cm="1">
        <f t="array" ref="AD421">_xlfn.XLOOKUP(Table1[[#This Row],[5 cm2 cell test code]:[5 cm2 cell test code]],[1]!Table1[[Test code]:[Test code]],[1]!Table1[HFR DIW/ mOhm cm2],"",0)</f>
        <v>#REF!</v>
      </c>
      <c r="AE421" s="69" t="e" cm="1">
        <f t="array" ref="AE421">_xlfn.XLOOKUP(Table1[[#This Row],[5 cm2 cell test code]:[5 cm2 cell test code]],[1]!Table1[[Test code]:[Test code]],[1]!Table1[HFR 10 mM KOH/ mOhm cm2],"",0)</f>
        <v>#REF!</v>
      </c>
      <c r="AF421" s="69" t="e" cm="1">
        <f t="array" ref="AF421">_xlfn.XLOOKUP(Table1[[#This Row],[5 cm2 cell test code]:[5 cm2 cell test code]],[1]!Table1[[Test code]:[Test code]],[1]!Table1[Ionic resistance DIW/Ohm cm2],"",0)</f>
        <v>#REF!</v>
      </c>
      <c r="AG421" s="195" t="e" cm="1">
        <f t="array" ref="AG421">_xlfn.XLOOKUP(Table1[[#This Row],[5 cm2 cell test code]:[5 cm2 cell test code]],[1]!Table1[[Test code]:[Test code]],[1]!Table1[Q_int_frac DIW],"",0)</f>
        <v>#REF!</v>
      </c>
      <c r="AH421" s="195" t="e" cm="1">
        <f t="array" ref="AH421">_xlfn.XLOOKUP(Table1[[#This Row],[5 cm2 cell test code]:[5 cm2 cell test code]],[1]!Table1[[Test code]:[Test code]],[1]!Table1[Ionic resistance 10 mM KOH/Ohm cm2],"",0)</f>
        <v>#REF!</v>
      </c>
      <c r="AI421" s="195" t="e" cm="1">
        <f t="array" ref="AI421">_xlfn.XLOOKUP(Table1[[#This Row],[5 cm2 cell test code]:[5 cm2 cell test code]],[1]!Table1[[Test code]:[Test code]],[1]!Table1[Q_int_frac DIW 10 mM KOH],"",0)</f>
        <v>#REF!</v>
      </c>
      <c r="AJ421" s="69" t="e" cm="1">
        <f t="array" ref="AJ421">_xlfn.XLOOKUP(Table1[[#This Row],[5 cm2 cell test code]:[5 cm2 cell test code]],[1]!Table1[[Test code]:[Test code]],[1]!Table1[DIW conductivity (µS/cm)],"",0)</f>
        <v>#REF!</v>
      </c>
      <c r="AQ421" s="4" t="str">
        <v>VSG02A-23318E1.01</v>
      </c>
    </row>
    <row r="422" spans="1:43">
      <c r="A422" s="81"/>
      <c r="B422" s="11" t="s">
        <v>795</v>
      </c>
      <c r="J422" s="107"/>
      <c r="K422" s="89"/>
      <c r="L422" s="89"/>
      <c r="Q422" s="4">
        <v>6.2937062937062929E-2</v>
      </c>
      <c r="U422" s="101"/>
      <c r="V422" s="101"/>
      <c r="W422" s="69" t="e" cm="1">
        <f t="array" ref="W422">_xlfn.XLOOKUP(Table1[[#This Row],[5 cm2 cell test code]:[5 cm2 cell test code]],[1]!Table1[[Test code]:[Test code]],[1]!Table1[i @ 1.8 V DIW (A/cm2)],"",0)</f>
        <v>#REF!</v>
      </c>
      <c r="X422" s="69" t="e" cm="1">
        <f t="array" ref="X422">_xlfn.XLOOKUP(Table1[[#This Row],[5 cm2 cell test code]:[5 cm2 cell test code]],[1]!Table1[[Test code]:[Test code]],[1]!Table1[i @ 1.8 V 10 mM KOH (A/cm2)],"",0)</f>
        <v>#REF!</v>
      </c>
      <c r="Y422" s="69" t="e" cm="1">
        <f t="array" ref="Y422">_xlfn.XLOOKUP(Table1[[#This Row],[5 cm2 cell test code]:[5 cm2 cell test code]],[1]!Table1[[Test code]:[Test code]],[1]!Table1[3-E ƞ at 20mAcm-2 (mV)],"",0)</f>
        <v>#REF!</v>
      </c>
      <c r="Z422" s="69" t="e" cm="1">
        <f t="array" ref="Z422">_xlfn.XLOOKUP(Table1[[#This Row],[5 cm2 cell test code]:[5 cm2 cell test code]],[1]!Table1[[Test code]:[Test code]],[1]!Table1[3-E Tafel slope (mV/dec)],"",0)</f>
        <v>#REF!</v>
      </c>
      <c r="AA422" s="69" t="e" cm="1">
        <f t="array" ref="AA422">_xlfn.XLOOKUP(Table1[[#This Row],[5 cm2 cell test code]:[5 cm2 cell test code]],[1]!Table1[[Test code]:[Test code]],[1]!Table1[E @ 100 mA/cm2 DIW/V],"",0)</f>
        <v>#REF!</v>
      </c>
      <c r="AB422" s="69" t="e" cm="1">
        <f t="array" ref="AB422">_xlfn.XLOOKUP(Table1[[#This Row],[5 cm2 cell test code]:[5 cm2 cell test code]],[1]!Table1[[Test code]:[Test code]],[1]!Table1[E @ 100 mA/cm2 10 mM KOH/V],"",0)</f>
        <v>#REF!</v>
      </c>
      <c r="AC422" s="69" t="e" cm="1">
        <f t="array" ref="AC422">_xlfn.XLOOKUP(Table1[[#This Row],[5 cm2 cell test code]:[5 cm2 cell test code]],[1]!Table1[[Test code]:[Test code]],[1]!Table1[Anode ICR/mOhm],"",0)</f>
        <v>#REF!</v>
      </c>
      <c r="AD422" s="69" t="e" cm="1">
        <f t="array" ref="AD422">_xlfn.XLOOKUP(Table1[[#This Row],[5 cm2 cell test code]:[5 cm2 cell test code]],[1]!Table1[[Test code]:[Test code]],[1]!Table1[HFR DIW/ mOhm cm2],"",0)</f>
        <v>#REF!</v>
      </c>
      <c r="AE422" s="69" t="e" cm="1">
        <f t="array" ref="AE422">_xlfn.XLOOKUP(Table1[[#This Row],[5 cm2 cell test code]:[5 cm2 cell test code]],[1]!Table1[[Test code]:[Test code]],[1]!Table1[HFR 10 mM KOH/ mOhm cm2],"",0)</f>
        <v>#REF!</v>
      </c>
      <c r="AF422" s="69" t="e" cm="1">
        <f t="array" ref="AF422">_xlfn.XLOOKUP(Table1[[#This Row],[5 cm2 cell test code]:[5 cm2 cell test code]],[1]!Table1[[Test code]:[Test code]],[1]!Table1[Ionic resistance DIW/Ohm cm2],"",0)</f>
        <v>#REF!</v>
      </c>
      <c r="AG422" s="195" t="e" cm="1">
        <f t="array" ref="AG422">_xlfn.XLOOKUP(Table1[[#This Row],[5 cm2 cell test code]:[5 cm2 cell test code]],[1]!Table1[[Test code]:[Test code]],[1]!Table1[Q_int_frac DIW],"",0)</f>
        <v>#REF!</v>
      </c>
      <c r="AH422" s="195" t="e" cm="1">
        <f t="array" ref="AH422">_xlfn.XLOOKUP(Table1[[#This Row],[5 cm2 cell test code]:[5 cm2 cell test code]],[1]!Table1[[Test code]:[Test code]],[1]!Table1[Ionic resistance 10 mM KOH/Ohm cm2],"",0)</f>
        <v>#REF!</v>
      </c>
      <c r="AI422" s="195" t="e" cm="1">
        <f t="array" ref="AI422">_xlfn.XLOOKUP(Table1[[#This Row],[5 cm2 cell test code]:[5 cm2 cell test code]],[1]!Table1[[Test code]:[Test code]],[1]!Table1[Q_int_frac DIW 10 mM KOH],"",0)</f>
        <v>#REF!</v>
      </c>
      <c r="AJ422" s="69" t="e" cm="1">
        <f t="array" ref="AJ422">_xlfn.XLOOKUP(Table1[[#This Row],[5 cm2 cell test code]:[5 cm2 cell test code]],[1]!Table1[[Test code]:[Test code]],[1]!Table1[DIW conductivity (µS/cm)],"",0)</f>
        <v>#REF!</v>
      </c>
      <c r="AQ422" s="4" t="str">
        <v>VSG02A-23318E1.01-01</v>
      </c>
    </row>
    <row r="423" spans="1:43">
      <c r="A423" s="81"/>
      <c r="B423" s="11" t="s">
        <v>796</v>
      </c>
      <c r="J423" s="107"/>
      <c r="K423" s="89"/>
      <c r="L423" s="89"/>
      <c r="Q423" s="4">
        <v>4.1031102201898081E-2</v>
      </c>
      <c r="U423" s="101"/>
      <c r="V423" s="101"/>
      <c r="W423" s="69" t="e" cm="1">
        <f t="array" ref="W423">_xlfn.XLOOKUP(Table1[[#This Row],[5 cm2 cell test code]:[5 cm2 cell test code]],[1]!Table1[[Test code]:[Test code]],[1]!Table1[i @ 1.8 V DIW (A/cm2)],"",0)</f>
        <v>#REF!</v>
      </c>
      <c r="X423" s="69" t="e" cm="1">
        <f t="array" ref="X423">_xlfn.XLOOKUP(Table1[[#This Row],[5 cm2 cell test code]:[5 cm2 cell test code]],[1]!Table1[[Test code]:[Test code]],[1]!Table1[i @ 1.8 V 10 mM KOH (A/cm2)],"",0)</f>
        <v>#REF!</v>
      </c>
      <c r="Y423" s="69" t="e" cm="1">
        <f t="array" ref="Y423">_xlfn.XLOOKUP(Table1[[#This Row],[5 cm2 cell test code]:[5 cm2 cell test code]],[1]!Table1[[Test code]:[Test code]],[1]!Table1[3-E ƞ at 20mAcm-2 (mV)],"",0)</f>
        <v>#REF!</v>
      </c>
      <c r="Z423" s="69" t="e" cm="1">
        <f t="array" ref="Z423">_xlfn.XLOOKUP(Table1[[#This Row],[5 cm2 cell test code]:[5 cm2 cell test code]],[1]!Table1[[Test code]:[Test code]],[1]!Table1[3-E Tafel slope (mV/dec)],"",0)</f>
        <v>#REF!</v>
      </c>
      <c r="AA423" s="69" t="e" cm="1">
        <f t="array" ref="AA423">_xlfn.XLOOKUP(Table1[[#This Row],[5 cm2 cell test code]:[5 cm2 cell test code]],[1]!Table1[[Test code]:[Test code]],[1]!Table1[E @ 100 mA/cm2 DIW/V],"",0)</f>
        <v>#REF!</v>
      </c>
      <c r="AB423" s="69" t="e" cm="1">
        <f t="array" ref="AB423">_xlfn.XLOOKUP(Table1[[#This Row],[5 cm2 cell test code]:[5 cm2 cell test code]],[1]!Table1[[Test code]:[Test code]],[1]!Table1[E @ 100 mA/cm2 10 mM KOH/V],"",0)</f>
        <v>#REF!</v>
      </c>
      <c r="AC423" s="69" t="e" cm="1">
        <f t="array" ref="AC423">_xlfn.XLOOKUP(Table1[[#This Row],[5 cm2 cell test code]:[5 cm2 cell test code]],[1]!Table1[[Test code]:[Test code]],[1]!Table1[Anode ICR/mOhm],"",0)</f>
        <v>#REF!</v>
      </c>
      <c r="AD423" s="69" t="e" cm="1">
        <f t="array" ref="AD423">_xlfn.XLOOKUP(Table1[[#This Row],[5 cm2 cell test code]:[5 cm2 cell test code]],[1]!Table1[[Test code]:[Test code]],[1]!Table1[HFR DIW/ mOhm cm2],"",0)</f>
        <v>#REF!</v>
      </c>
      <c r="AE423" s="69" t="e" cm="1">
        <f t="array" ref="AE423">_xlfn.XLOOKUP(Table1[[#This Row],[5 cm2 cell test code]:[5 cm2 cell test code]],[1]!Table1[[Test code]:[Test code]],[1]!Table1[HFR 10 mM KOH/ mOhm cm2],"",0)</f>
        <v>#REF!</v>
      </c>
      <c r="AF423" s="69" t="e" cm="1">
        <f t="array" ref="AF423">_xlfn.XLOOKUP(Table1[[#This Row],[5 cm2 cell test code]:[5 cm2 cell test code]],[1]!Table1[[Test code]:[Test code]],[1]!Table1[Ionic resistance DIW/Ohm cm2],"",0)</f>
        <v>#REF!</v>
      </c>
      <c r="AG423" s="195" t="e" cm="1">
        <f t="array" ref="AG423">_xlfn.XLOOKUP(Table1[[#This Row],[5 cm2 cell test code]:[5 cm2 cell test code]],[1]!Table1[[Test code]:[Test code]],[1]!Table1[Q_int_frac DIW],"",0)</f>
        <v>#REF!</v>
      </c>
      <c r="AH423" s="195" t="e" cm="1">
        <f t="array" ref="AH423">_xlfn.XLOOKUP(Table1[[#This Row],[5 cm2 cell test code]:[5 cm2 cell test code]],[1]!Table1[[Test code]:[Test code]],[1]!Table1[Ionic resistance 10 mM KOH/Ohm cm2],"",0)</f>
        <v>#REF!</v>
      </c>
      <c r="AI423" s="195" t="e" cm="1">
        <f t="array" ref="AI423">_xlfn.XLOOKUP(Table1[[#This Row],[5 cm2 cell test code]:[5 cm2 cell test code]],[1]!Table1[[Test code]:[Test code]],[1]!Table1[Q_int_frac DIW 10 mM KOH],"",0)</f>
        <v>#REF!</v>
      </c>
      <c r="AJ423" s="69" t="e" cm="1">
        <f t="array" ref="AJ423">_xlfn.XLOOKUP(Table1[[#This Row],[5 cm2 cell test code]:[5 cm2 cell test code]],[1]!Table1[[Test code]:[Test code]],[1]!Table1[DIW conductivity (µS/cm)],"",0)</f>
        <v>#REF!</v>
      </c>
      <c r="AQ423" s="4" t="str">
        <v>VSG02A-23318E1.01-02</v>
      </c>
    </row>
    <row r="424" spans="1:43">
      <c r="A424" s="81"/>
      <c r="B424" s="11" t="s">
        <v>797</v>
      </c>
      <c r="J424" s="107"/>
      <c r="K424" s="89"/>
      <c r="L424" s="89"/>
      <c r="Q424" s="4">
        <v>5.3275044457617077E-2</v>
      </c>
      <c r="U424" s="101"/>
      <c r="V424" s="101"/>
      <c r="W424" s="69" t="e" cm="1">
        <f t="array" ref="W424">_xlfn.XLOOKUP(Table1[[#This Row],[5 cm2 cell test code]:[5 cm2 cell test code]],[1]!Table1[[Test code]:[Test code]],[1]!Table1[i @ 1.8 V DIW (A/cm2)],"",0)</f>
        <v>#REF!</v>
      </c>
      <c r="X424" s="69" t="e" cm="1">
        <f t="array" ref="X424">_xlfn.XLOOKUP(Table1[[#This Row],[5 cm2 cell test code]:[5 cm2 cell test code]],[1]!Table1[[Test code]:[Test code]],[1]!Table1[i @ 1.8 V 10 mM KOH (A/cm2)],"",0)</f>
        <v>#REF!</v>
      </c>
      <c r="Y424" s="69" t="e" cm="1">
        <f t="array" ref="Y424">_xlfn.XLOOKUP(Table1[[#This Row],[5 cm2 cell test code]:[5 cm2 cell test code]],[1]!Table1[[Test code]:[Test code]],[1]!Table1[3-E ƞ at 20mAcm-2 (mV)],"",0)</f>
        <v>#REF!</v>
      </c>
      <c r="Z424" s="69" t="e" cm="1">
        <f t="array" ref="Z424">_xlfn.XLOOKUP(Table1[[#This Row],[5 cm2 cell test code]:[5 cm2 cell test code]],[1]!Table1[[Test code]:[Test code]],[1]!Table1[3-E Tafel slope (mV/dec)],"",0)</f>
        <v>#REF!</v>
      </c>
      <c r="AA424" s="69" t="e" cm="1">
        <f t="array" ref="AA424">_xlfn.XLOOKUP(Table1[[#This Row],[5 cm2 cell test code]:[5 cm2 cell test code]],[1]!Table1[[Test code]:[Test code]],[1]!Table1[E @ 100 mA/cm2 DIW/V],"",0)</f>
        <v>#REF!</v>
      </c>
      <c r="AB424" s="69" t="e" cm="1">
        <f t="array" ref="AB424">_xlfn.XLOOKUP(Table1[[#This Row],[5 cm2 cell test code]:[5 cm2 cell test code]],[1]!Table1[[Test code]:[Test code]],[1]!Table1[E @ 100 mA/cm2 10 mM KOH/V],"",0)</f>
        <v>#REF!</v>
      </c>
      <c r="AC424" s="69" t="e" cm="1">
        <f t="array" ref="AC424">_xlfn.XLOOKUP(Table1[[#This Row],[5 cm2 cell test code]:[5 cm2 cell test code]],[1]!Table1[[Test code]:[Test code]],[1]!Table1[Anode ICR/mOhm],"",0)</f>
        <v>#REF!</v>
      </c>
      <c r="AD424" s="69" t="e" cm="1">
        <f t="array" ref="AD424">_xlfn.XLOOKUP(Table1[[#This Row],[5 cm2 cell test code]:[5 cm2 cell test code]],[1]!Table1[[Test code]:[Test code]],[1]!Table1[HFR DIW/ mOhm cm2],"",0)</f>
        <v>#REF!</v>
      </c>
      <c r="AE424" s="69" t="e" cm="1">
        <f t="array" ref="AE424">_xlfn.XLOOKUP(Table1[[#This Row],[5 cm2 cell test code]:[5 cm2 cell test code]],[1]!Table1[[Test code]:[Test code]],[1]!Table1[HFR 10 mM KOH/ mOhm cm2],"",0)</f>
        <v>#REF!</v>
      </c>
      <c r="AF424" s="69" t="e" cm="1">
        <f t="array" ref="AF424">_xlfn.XLOOKUP(Table1[[#This Row],[5 cm2 cell test code]:[5 cm2 cell test code]],[1]!Table1[[Test code]:[Test code]],[1]!Table1[Ionic resistance DIW/Ohm cm2],"",0)</f>
        <v>#REF!</v>
      </c>
      <c r="AG424" s="195" t="e" cm="1">
        <f t="array" ref="AG424">_xlfn.XLOOKUP(Table1[[#This Row],[5 cm2 cell test code]:[5 cm2 cell test code]],[1]!Table1[[Test code]:[Test code]],[1]!Table1[Q_int_frac DIW],"",0)</f>
        <v>#REF!</v>
      </c>
      <c r="AH424" s="195" t="e" cm="1">
        <f t="array" ref="AH424">_xlfn.XLOOKUP(Table1[[#This Row],[5 cm2 cell test code]:[5 cm2 cell test code]],[1]!Table1[[Test code]:[Test code]],[1]!Table1[Ionic resistance 10 mM KOH/Ohm cm2],"",0)</f>
        <v>#REF!</v>
      </c>
      <c r="AI424" s="195" t="e" cm="1">
        <f t="array" ref="AI424">_xlfn.XLOOKUP(Table1[[#This Row],[5 cm2 cell test code]:[5 cm2 cell test code]],[1]!Table1[[Test code]:[Test code]],[1]!Table1[Q_int_frac DIW 10 mM KOH],"",0)</f>
        <v>#REF!</v>
      </c>
      <c r="AJ424" s="69" t="e" cm="1">
        <f t="array" ref="AJ424">_xlfn.XLOOKUP(Table1[[#This Row],[5 cm2 cell test code]:[5 cm2 cell test code]],[1]!Table1[[Test code]:[Test code]],[1]!Table1[DIW conductivity (µS/cm)],"",0)</f>
        <v>#REF!</v>
      </c>
      <c r="AQ424" s="4" t="str">
        <v>VSG02A-23318E1.02</v>
      </c>
    </row>
    <row r="425" spans="1:43">
      <c r="A425" s="81"/>
      <c r="B425" s="11" t="s">
        <v>798</v>
      </c>
      <c r="J425" s="107"/>
      <c r="K425" s="89"/>
      <c r="L425" s="89"/>
      <c r="Q425" s="4">
        <v>3.7986298655933594E-2</v>
      </c>
      <c r="U425" s="101"/>
      <c r="V425" s="101"/>
      <c r="W425" s="69" t="e" cm="1">
        <f t="array" ref="W425">_xlfn.XLOOKUP(Table1[[#This Row],[5 cm2 cell test code]:[5 cm2 cell test code]],[1]!Table1[[Test code]:[Test code]],[1]!Table1[i @ 1.8 V DIW (A/cm2)],"",0)</f>
        <v>#REF!</v>
      </c>
      <c r="X425" s="69" t="e" cm="1">
        <f t="array" ref="X425">_xlfn.XLOOKUP(Table1[[#This Row],[5 cm2 cell test code]:[5 cm2 cell test code]],[1]!Table1[[Test code]:[Test code]],[1]!Table1[i @ 1.8 V 10 mM KOH (A/cm2)],"",0)</f>
        <v>#REF!</v>
      </c>
      <c r="Y425" s="69" t="e" cm="1">
        <f t="array" ref="Y425">_xlfn.XLOOKUP(Table1[[#This Row],[5 cm2 cell test code]:[5 cm2 cell test code]],[1]!Table1[[Test code]:[Test code]],[1]!Table1[3-E ƞ at 20mAcm-2 (mV)],"",0)</f>
        <v>#REF!</v>
      </c>
      <c r="Z425" s="69" t="e" cm="1">
        <f t="array" ref="Z425">_xlfn.XLOOKUP(Table1[[#This Row],[5 cm2 cell test code]:[5 cm2 cell test code]],[1]!Table1[[Test code]:[Test code]],[1]!Table1[3-E Tafel slope (mV/dec)],"",0)</f>
        <v>#REF!</v>
      </c>
      <c r="AA425" s="69" t="e" cm="1">
        <f t="array" ref="AA425">_xlfn.XLOOKUP(Table1[[#This Row],[5 cm2 cell test code]:[5 cm2 cell test code]],[1]!Table1[[Test code]:[Test code]],[1]!Table1[E @ 100 mA/cm2 DIW/V],"",0)</f>
        <v>#REF!</v>
      </c>
      <c r="AB425" s="69" t="e" cm="1">
        <f t="array" ref="AB425">_xlfn.XLOOKUP(Table1[[#This Row],[5 cm2 cell test code]:[5 cm2 cell test code]],[1]!Table1[[Test code]:[Test code]],[1]!Table1[E @ 100 mA/cm2 10 mM KOH/V],"",0)</f>
        <v>#REF!</v>
      </c>
      <c r="AC425" s="69" t="e" cm="1">
        <f t="array" ref="AC425">_xlfn.XLOOKUP(Table1[[#This Row],[5 cm2 cell test code]:[5 cm2 cell test code]],[1]!Table1[[Test code]:[Test code]],[1]!Table1[Anode ICR/mOhm],"",0)</f>
        <v>#REF!</v>
      </c>
      <c r="AD425" s="69" t="e" cm="1">
        <f t="array" ref="AD425">_xlfn.XLOOKUP(Table1[[#This Row],[5 cm2 cell test code]:[5 cm2 cell test code]],[1]!Table1[[Test code]:[Test code]],[1]!Table1[HFR DIW/ mOhm cm2],"",0)</f>
        <v>#REF!</v>
      </c>
      <c r="AE425" s="69" t="e" cm="1">
        <f t="array" ref="AE425">_xlfn.XLOOKUP(Table1[[#This Row],[5 cm2 cell test code]:[5 cm2 cell test code]],[1]!Table1[[Test code]:[Test code]],[1]!Table1[HFR 10 mM KOH/ mOhm cm2],"",0)</f>
        <v>#REF!</v>
      </c>
      <c r="AF425" s="69" t="e" cm="1">
        <f t="array" ref="AF425">_xlfn.XLOOKUP(Table1[[#This Row],[5 cm2 cell test code]:[5 cm2 cell test code]],[1]!Table1[[Test code]:[Test code]],[1]!Table1[Ionic resistance DIW/Ohm cm2],"",0)</f>
        <v>#REF!</v>
      </c>
      <c r="AG425" s="195" t="e" cm="1">
        <f t="array" ref="AG425">_xlfn.XLOOKUP(Table1[[#This Row],[5 cm2 cell test code]:[5 cm2 cell test code]],[1]!Table1[[Test code]:[Test code]],[1]!Table1[Q_int_frac DIW],"",0)</f>
        <v>#REF!</v>
      </c>
      <c r="AH425" s="195" t="e" cm="1">
        <f t="array" ref="AH425">_xlfn.XLOOKUP(Table1[[#This Row],[5 cm2 cell test code]:[5 cm2 cell test code]],[1]!Table1[[Test code]:[Test code]],[1]!Table1[Ionic resistance 10 mM KOH/Ohm cm2],"",0)</f>
        <v>#REF!</v>
      </c>
      <c r="AI425" s="195" t="e" cm="1">
        <f t="array" ref="AI425">_xlfn.XLOOKUP(Table1[[#This Row],[5 cm2 cell test code]:[5 cm2 cell test code]],[1]!Table1[[Test code]:[Test code]],[1]!Table1[Q_int_frac DIW 10 mM KOH],"",0)</f>
        <v>#REF!</v>
      </c>
      <c r="AJ425" s="69" t="e" cm="1">
        <f t="array" ref="AJ425">_xlfn.XLOOKUP(Table1[[#This Row],[5 cm2 cell test code]:[5 cm2 cell test code]],[1]!Table1[[Test code]:[Test code]],[1]!Table1[DIW conductivity (µS/cm)],"",0)</f>
        <v>#REF!</v>
      </c>
      <c r="AQ425" s="4" t="str">
        <v>VSG02A-23318E1.02-1</v>
      </c>
    </row>
    <row r="426" spans="1:43">
      <c r="A426" s="81"/>
      <c r="B426" s="11" t="s">
        <v>799</v>
      </c>
      <c r="J426" s="107"/>
      <c r="K426" s="89"/>
      <c r="L426" s="89"/>
      <c r="Q426" s="4">
        <v>3.3444573418456178E-2</v>
      </c>
      <c r="U426" s="101"/>
      <c r="V426" s="101"/>
      <c r="W426" s="69" t="e" cm="1">
        <f t="array" ref="W426">_xlfn.XLOOKUP(Table1[[#This Row],[5 cm2 cell test code]:[5 cm2 cell test code]],[1]!Table1[[Test code]:[Test code]],[1]!Table1[i @ 1.8 V DIW (A/cm2)],"",0)</f>
        <v>#REF!</v>
      </c>
      <c r="X426" s="69" t="e" cm="1">
        <f t="array" ref="X426">_xlfn.XLOOKUP(Table1[[#This Row],[5 cm2 cell test code]:[5 cm2 cell test code]],[1]!Table1[[Test code]:[Test code]],[1]!Table1[i @ 1.8 V 10 mM KOH (A/cm2)],"",0)</f>
        <v>#REF!</v>
      </c>
      <c r="Y426" s="69" t="e" cm="1">
        <f t="array" ref="Y426">_xlfn.XLOOKUP(Table1[[#This Row],[5 cm2 cell test code]:[5 cm2 cell test code]],[1]!Table1[[Test code]:[Test code]],[1]!Table1[3-E ƞ at 20mAcm-2 (mV)],"",0)</f>
        <v>#REF!</v>
      </c>
      <c r="Z426" s="69" t="e" cm="1">
        <f t="array" ref="Z426">_xlfn.XLOOKUP(Table1[[#This Row],[5 cm2 cell test code]:[5 cm2 cell test code]],[1]!Table1[[Test code]:[Test code]],[1]!Table1[3-E Tafel slope (mV/dec)],"",0)</f>
        <v>#REF!</v>
      </c>
      <c r="AA426" s="69" t="e" cm="1">
        <f t="array" ref="AA426">_xlfn.XLOOKUP(Table1[[#This Row],[5 cm2 cell test code]:[5 cm2 cell test code]],[1]!Table1[[Test code]:[Test code]],[1]!Table1[E @ 100 mA/cm2 DIW/V],"",0)</f>
        <v>#REF!</v>
      </c>
      <c r="AB426" s="69" t="e" cm="1">
        <f t="array" ref="AB426">_xlfn.XLOOKUP(Table1[[#This Row],[5 cm2 cell test code]:[5 cm2 cell test code]],[1]!Table1[[Test code]:[Test code]],[1]!Table1[E @ 100 mA/cm2 10 mM KOH/V],"",0)</f>
        <v>#REF!</v>
      </c>
      <c r="AC426" s="69" t="e" cm="1">
        <f t="array" ref="AC426">_xlfn.XLOOKUP(Table1[[#This Row],[5 cm2 cell test code]:[5 cm2 cell test code]],[1]!Table1[[Test code]:[Test code]],[1]!Table1[Anode ICR/mOhm],"",0)</f>
        <v>#REF!</v>
      </c>
      <c r="AD426" s="69" t="e" cm="1">
        <f t="array" ref="AD426">_xlfn.XLOOKUP(Table1[[#This Row],[5 cm2 cell test code]:[5 cm2 cell test code]],[1]!Table1[[Test code]:[Test code]],[1]!Table1[HFR DIW/ mOhm cm2],"",0)</f>
        <v>#REF!</v>
      </c>
      <c r="AE426" s="69" t="e" cm="1">
        <f t="array" ref="AE426">_xlfn.XLOOKUP(Table1[[#This Row],[5 cm2 cell test code]:[5 cm2 cell test code]],[1]!Table1[[Test code]:[Test code]],[1]!Table1[HFR 10 mM KOH/ mOhm cm2],"",0)</f>
        <v>#REF!</v>
      </c>
      <c r="AF426" s="69" t="e" cm="1">
        <f t="array" ref="AF426">_xlfn.XLOOKUP(Table1[[#This Row],[5 cm2 cell test code]:[5 cm2 cell test code]],[1]!Table1[[Test code]:[Test code]],[1]!Table1[Ionic resistance DIW/Ohm cm2],"",0)</f>
        <v>#REF!</v>
      </c>
      <c r="AG426" s="195" t="e" cm="1">
        <f t="array" ref="AG426">_xlfn.XLOOKUP(Table1[[#This Row],[5 cm2 cell test code]:[5 cm2 cell test code]],[1]!Table1[[Test code]:[Test code]],[1]!Table1[Q_int_frac DIW],"",0)</f>
        <v>#REF!</v>
      </c>
      <c r="AH426" s="195" t="e" cm="1">
        <f t="array" ref="AH426">_xlfn.XLOOKUP(Table1[[#This Row],[5 cm2 cell test code]:[5 cm2 cell test code]],[1]!Table1[[Test code]:[Test code]],[1]!Table1[Ionic resistance 10 mM KOH/Ohm cm2],"",0)</f>
        <v>#REF!</v>
      </c>
      <c r="AI426" s="195" t="e" cm="1">
        <f t="array" ref="AI426">_xlfn.XLOOKUP(Table1[[#This Row],[5 cm2 cell test code]:[5 cm2 cell test code]],[1]!Table1[[Test code]:[Test code]],[1]!Table1[Q_int_frac DIW 10 mM KOH],"",0)</f>
        <v>#REF!</v>
      </c>
      <c r="AJ426" s="69" t="e" cm="1">
        <f t="array" ref="AJ426">_xlfn.XLOOKUP(Table1[[#This Row],[5 cm2 cell test code]:[5 cm2 cell test code]],[1]!Table1[[Test code]:[Test code]],[1]!Table1[DIW conductivity (µS/cm)],"",0)</f>
        <v>#REF!</v>
      </c>
      <c r="AQ426" s="4" t="str">
        <v>VSG02A-23318E1.02-2</v>
      </c>
    </row>
    <row r="427" spans="1:43">
      <c r="A427" s="81"/>
      <c r="B427" s="11" t="s">
        <v>800</v>
      </c>
      <c r="J427" s="107"/>
      <c r="K427" s="89"/>
      <c r="L427" s="89"/>
      <c r="Q427" s="4">
        <v>5.5788212593165888E-2</v>
      </c>
      <c r="U427" s="101"/>
      <c r="V427" s="101"/>
      <c r="W427" s="69" t="e" cm="1">
        <f t="array" ref="W427">_xlfn.XLOOKUP(Table1[[#This Row],[5 cm2 cell test code]:[5 cm2 cell test code]],[1]!Table1[[Test code]:[Test code]],[1]!Table1[i @ 1.8 V DIW (A/cm2)],"",0)</f>
        <v>#REF!</v>
      </c>
      <c r="X427" s="69" t="e" cm="1">
        <f t="array" ref="X427">_xlfn.XLOOKUP(Table1[[#This Row],[5 cm2 cell test code]:[5 cm2 cell test code]],[1]!Table1[[Test code]:[Test code]],[1]!Table1[i @ 1.8 V 10 mM KOH (A/cm2)],"",0)</f>
        <v>#REF!</v>
      </c>
      <c r="Y427" s="69" t="e" cm="1">
        <f t="array" ref="Y427">_xlfn.XLOOKUP(Table1[[#This Row],[5 cm2 cell test code]:[5 cm2 cell test code]],[1]!Table1[[Test code]:[Test code]],[1]!Table1[3-E ƞ at 20mAcm-2 (mV)],"",0)</f>
        <v>#REF!</v>
      </c>
      <c r="Z427" s="69" t="e" cm="1">
        <f t="array" ref="Z427">_xlfn.XLOOKUP(Table1[[#This Row],[5 cm2 cell test code]:[5 cm2 cell test code]],[1]!Table1[[Test code]:[Test code]],[1]!Table1[3-E Tafel slope (mV/dec)],"",0)</f>
        <v>#REF!</v>
      </c>
      <c r="AA427" s="69" t="e" cm="1">
        <f t="array" ref="AA427">_xlfn.XLOOKUP(Table1[[#This Row],[5 cm2 cell test code]:[5 cm2 cell test code]],[1]!Table1[[Test code]:[Test code]],[1]!Table1[E @ 100 mA/cm2 DIW/V],"",0)</f>
        <v>#REF!</v>
      </c>
      <c r="AB427" s="69" t="e" cm="1">
        <f t="array" ref="AB427">_xlfn.XLOOKUP(Table1[[#This Row],[5 cm2 cell test code]:[5 cm2 cell test code]],[1]!Table1[[Test code]:[Test code]],[1]!Table1[E @ 100 mA/cm2 10 mM KOH/V],"",0)</f>
        <v>#REF!</v>
      </c>
      <c r="AC427" s="69" t="e" cm="1">
        <f t="array" ref="AC427">_xlfn.XLOOKUP(Table1[[#This Row],[5 cm2 cell test code]:[5 cm2 cell test code]],[1]!Table1[[Test code]:[Test code]],[1]!Table1[Anode ICR/mOhm],"",0)</f>
        <v>#REF!</v>
      </c>
      <c r="AD427" s="69" t="e" cm="1">
        <f t="array" ref="AD427">_xlfn.XLOOKUP(Table1[[#This Row],[5 cm2 cell test code]:[5 cm2 cell test code]],[1]!Table1[[Test code]:[Test code]],[1]!Table1[HFR DIW/ mOhm cm2],"",0)</f>
        <v>#REF!</v>
      </c>
      <c r="AE427" s="69" t="e" cm="1">
        <f t="array" ref="AE427">_xlfn.XLOOKUP(Table1[[#This Row],[5 cm2 cell test code]:[5 cm2 cell test code]],[1]!Table1[[Test code]:[Test code]],[1]!Table1[HFR 10 mM KOH/ mOhm cm2],"",0)</f>
        <v>#REF!</v>
      </c>
      <c r="AF427" s="69" t="e" cm="1">
        <f t="array" ref="AF427">_xlfn.XLOOKUP(Table1[[#This Row],[5 cm2 cell test code]:[5 cm2 cell test code]],[1]!Table1[[Test code]:[Test code]],[1]!Table1[Ionic resistance DIW/Ohm cm2],"",0)</f>
        <v>#REF!</v>
      </c>
      <c r="AG427" s="195" t="e" cm="1">
        <f t="array" ref="AG427">_xlfn.XLOOKUP(Table1[[#This Row],[5 cm2 cell test code]:[5 cm2 cell test code]],[1]!Table1[[Test code]:[Test code]],[1]!Table1[Q_int_frac DIW],"",0)</f>
        <v>#REF!</v>
      </c>
      <c r="AH427" s="195" t="e" cm="1">
        <f t="array" ref="AH427">_xlfn.XLOOKUP(Table1[[#This Row],[5 cm2 cell test code]:[5 cm2 cell test code]],[1]!Table1[[Test code]:[Test code]],[1]!Table1[Ionic resistance 10 mM KOH/Ohm cm2],"",0)</f>
        <v>#REF!</v>
      </c>
      <c r="AI427" s="195" t="e" cm="1">
        <f t="array" ref="AI427">_xlfn.XLOOKUP(Table1[[#This Row],[5 cm2 cell test code]:[5 cm2 cell test code]],[1]!Table1[[Test code]:[Test code]],[1]!Table1[Q_int_frac DIW 10 mM KOH],"",0)</f>
        <v>#REF!</v>
      </c>
      <c r="AJ427" s="69" t="e" cm="1">
        <f t="array" ref="AJ427">_xlfn.XLOOKUP(Table1[[#This Row],[5 cm2 cell test code]:[5 cm2 cell test code]],[1]!Table1[[Test code]:[Test code]],[1]!Table1[DIW conductivity (µS/cm)],"",0)</f>
        <v>#REF!</v>
      </c>
      <c r="AQ427" s="4" t="str">
        <v>VSG02A-23319E1.01</v>
      </c>
    </row>
    <row r="428" spans="1:43">
      <c r="A428" s="81"/>
      <c r="B428" s="11" t="s">
        <v>801</v>
      </c>
      <c r="J428" s="107"/>
      <c r="K428" s="89"/>
      <c r="L428" s="89"/>
      <c r="Q428" s="4">
        <v>5.3685168334849862E-2</v>
      </c>
      <c r="U428" s="101"/>
      <c r="V428" s="101"/>
      <c r="W428" s="69" t="e" cm="1">
        <f t="array" ref="W428">_xlfn.XLOOKUP(Table1[[#This Row],[5 cm2 cell test code]:[5 cm2 cell test code]],[1]!Table1[[Test code]:[Test code]],[1]!Table1[i @ 1.8 V DIW (A/cm2)],"",0)</f>
        <v>#REF!</v>
      </c>
      <c r="X428" s="69" t="e" cm="1">
        <f t="array" ref="X428">_xlfn.XLOOKUP(Table1[[#This Row],[5 cm2 cell test code]:[5 cm2 cell test code]],[1]!Table1[[Test code]:[Test code]],[1]!Table1[i @ 1.8 V 10 mM KOH (A/cm2)],"",0)</f>
        <v>#REF!</v>
      </c>
      <c r="Y428" s="69" t="e" cm="1">
        <f t="array" ref="Y428">_xlfn.XLOOKUP(Table1[[#This Row],[5 cm2 cell test code]:[5 cm2 cell test code]],[1]!Table1[[Test code]:[Test code]],[1]!Table1[3-E ƞ at 20mAcm-2 (mV)],"",0)</f>
        <v>#REF!</v>
      </c>
      <c r="Z428" s="69" t="e" cm="1">
        <f t="array" ref="Z428">_xlfn.XLOOKUP(Table1[[#This Row],[5 cm2 cell test code]:[5 cm2 cell test code]],[1]!Table1[[Test code]:[Test code]],[1]!Table1[3-E Tafel slope (mV/dec)],"",0)</f>
        <v>#REF!</v>
      </c>
      <c r="AA428" s="69" t="e" cm="1">
        <f t="array" ref="AA428">_xlfn.XLOOKUP(Table1[[#This Row],[5 cm2 cell test code]:[5 cm2 cell test code]],[1]!Table1[[Test code]:[Test code]],[1]!Table1[E @ 100 mA/cm2 DIW/V],"",0)</f>
        <v>#REF!</v>
      </c>
      <c r="AB428" s="69" t="e" cm="1">
        <f t="array" ref="AB428">_xlfn.XLOOKUP(Table1[[#This Row],[5 cm2 cell test code]:[5 cm2 cell test code]],[1]!Table1[[Test code]:[Test code]],[1]!Table1[E @ 100 mA/cm2 10 mM KOH/V],"",0)</f>
        <v>#REF!</v>
      </c>
      <c r="AC428" s="69" t="e" cm="1">
        <f t="array" ref="AC428">_xlfn.XLOOKUP(Table1[[#This Row],[5 cm2 cell test code]:[5 cm2 cell test code]],[1]!Table1[[Test code]:[Test code]],[1]!Table1[Anode ICR/mOhm],"",0)</f>
        <v>#REF!</v>
      </c>
      <c r="AD428" s="69" t="e" cm="1">
        <f t="array" ref="AD428">_xlfn.XLOOKUP(Table1[[#This Row],[5 cm2 cell test code]:[5 cm2 cell test code]],[1]!Table1[[Test code]:[Test code]],[1]!Table1[HFR DIW/ mOhm cm2],"",0)</f>
        <v>#REF!</v>
      </c>
      <c r="AE428" s="69" t="e" cm="1">
        <f t="array" ref="AE428">_xlfn.XLOOKUP(Table1[[#This Row],[5 cm2 cell test code]:[5 cm2 cell test code]],[1]!Table1[[Test code]:[Test code]],[1]!Table1[HFR 10 mM KOH/ mOhm cm2],"",0)</f>
        <v>#REF!</v>
      </c>
      <c r="AF428" s="69" t="e" cm="1">
        <f t="array" ref="AF428">_xlfn.XLOOKUP(Table1[[#This Row],[5 cm2 cell test code]:[5 cm2 cell test code]],[1]!Table1[[Test code]:[Test code]],[1]!Table1[Ionic resistance DIW/Ohm cm2],"",0)</f>
        <v>#REF!</v>
      </c>
      <c r="AG428" s="195" t="e" cm="1">
        <f t="array" ref="AG428">_xlfn.XLOOKUP(Table1[[#This Row],[5 cm2 cell test code]:[5 cm2 cell test code]],[1]!Table1[[Test code]:[Test code]],[1]!Table1[Q_int_frac DIW],"",0)</f>
        <v>#REF!</v>
      </c>
      <c r="AH428" s="195" t="e" cm="1">
        <f t="array" ref="AH428">_xlfn.XLOOKUP(Table1[[#This Row],[5 cm2 cell test code]:[5 cm2 cell test code]],[1]!Table1[[Test code]:[Test code]],[1]!Table1[Ionic resistance 10 mM KOH/Ohm cm2],"",0)</f>
        <v>#REF!</v>
      </c>
      <c r="AI428" s="195" t="e" cm="1">
        <f t="array" ref="AI428">_xlfn.XLOOKUP(Table1[[#This Row],[5 cm2 cell test code]:[5 cm2 cell test code]],[1]!Table1[[Test code]:[Test code]],[1]!Table1[Q_int_frac DIW 10 mM KOH],"",0)</f>
        <v>#REF!</v>
      </c>
      <c r="AJ428" s="69" t="e" cm="1">
        <f t="array" ref="AJ428">_xlfn.XLOOKUP(Table1[[#This Row],[5 cm2 cell test code]:[5 cm2 cell test code]],[1]!Table1[[Test code]:[Test code]],[1]!Table1[DIW conductivity (µS/cm)],"",0)</f>
        <v>#REF!</v>
      </c>
      <c r="AQ428" s="4" t="str">
        <v>VSG02A-23319E1.01-01</v>
      </c>
    </row>
    <row r="429" spans="1:43">
      <c r="A429" s="81"/>
      <c r="B429" s="11" t="s">
        <v>802</v>
      </c>
      <c r="J429" s="107"/>
      <c r="K429" s="89"/>
      <c r="L429" s="89"/>
      <c r="Q429" s="4">
        <v>2.1678357482975783E-2</v>
      </c>
      <c r="U429" s="101"/>
      <c r="V429" s="101"/>
      <c r="W429" s="69" t="e" cm="1">
        <f t="array" ref="W429">_xlfn.XLOOKUP(Table1[[#This Row],[5 cm2 cell test code]:[5 cm2 cell test code]],[1]!Table1[[Test code]:[Test code]],[1]!Table1[i @ 1.8 V DIW (A/cm2)],"",0)</f>
        <v>#REF!</v>
      </c>
      <c r="X429" s="69" t="e" cm="1">
        <f t="array" ref="X429">_xlfn.XLOOKUP(Table1[[#This Row],[5 cm2 cell test code]:[5 cm2 cell test code]],[1]!Table1[[Test code]:[Test code]],[1]!Table1[i @ 1.8 V 10 mM KOH (A/cm2)],"",0)</f>
        <v>#REF!</v>
      </c>
      <c r="Y429" s="69" t="e" cm="1">
        <f t="array" ref="Y429">_xlfn.XLOOKUP(Table1[[#This Row],[5 cm2 cell test code]:[5 cm2 cell test code]],[1]!Table1[[Test code]:[Test code]],[1]!Table1[3-E ƞ at 20mAcm-2 (mV)],"",0)</f>
        <v>#REF!</v>
      </c>
      <c r="Z429" s="69" t="e" cm="1">
        <f t="array" ref="Z429">_xlfn.XLOOKUP(Table1[[#This Row],[5 cm2 cell test code]:[5 cm2 cell test code]],[1]!Table1[[Test code]:[Test code]],[1]!Table1[3-E Tafel slope (mV/dec)],"",0)</f>
        <v>#REF!</v>
      </c>
      <c r="AA429" s="69" t="e" cm="1">
        <f t="array" ref="AA429">_xlfn.XLOOKUP(Table1[[#This Row],[5 cm2 cell test code]:[5 cm2 cell test code]],[1]!Table1[[Test code]:[Test code]],[1]!Table1[E @ 100 mA/cm2 DIW/V],"",0)</f>
        <v>#REF!</v>
      </c>
      <c r="AB429" s="69" t="e" cm="1">
        <f t="array" ref="AB429">_xlfn.XLOOKUP(Table1[[#This Row],[5 cm2 cell test code]:[5 cm2 cell test code]],[1]!Table1[[Test code]:[Test code]],[1]!Table1[E @ 100 mA/cm2 10 mM KOH/V],"",0)</f>
        <v>#REF!</v>
      </c>
      <c r="AC429" s="69" t="e" cm="1">
        <f t="array" ref="AC429">_xlfn.XLOOKUP(Table1[[#This Row],[5 cm2 cell test code]:[5 cm2 cell test code]],[1]!Table1[[Test code]:[Test code]],[1]!Table1[Anode ICR/mOhm],"",0)</f>
        <v>#REF!</v>
      </c>
      <c r="AD429" s="69" t="e" cm="1">
        <f t="array" ref="AD429">_xlfn.XLOOKUP(Table1[[#This Row],[5 cm2 cell test code]:[5 cm2 cell test code]],[1]!Table1[[Test code]:[Test code]],[1]!Table1[HFR DIW/ mOhm cm2],"",0)</f>
        <v>#REF!</v>
      </c>
      <c r="AE429" s="69" t="e" cm="1">
        <f t="array" ref="AE429">_xlfn.XLOOKUP(Table1[[#This Row],[5 cm2 cell test code]:[5 cm2 cell test code]],[1]!Table1[[Test code]:[Test code]],[1]!Table1[HFR 10 mM KOH/ mOhm cm2],"",0)</f>
        <v>#REF!</v>
      </c>
      <c r="AF429" s="69" t="e" cm="1">
        <f t="array" ref="AF429">_xlfn.XLOOKUP(Table1[[#This Row],[5 cm2 cell test code]:[5 cm2 cell test code]],[1]!Table1[[Test code]:[Test code]],[1]!Table1[Ionic resistance DIW/Ohm cm2],"",0)</f>
        <v>#REF!</v>
      </c>
      <c r="AG429" s="195" t="e" cm="1">
        <f t="array" ref="AG429">_xlfn.XLOOKUP(Table1[[#This Row],[5 cm2 cell test code]:[5 cm2 cell test code]],[1]!Table1[[Test code]:[Test code]],[1]!Table1[Q_int_frac DIW],"",0)</f>
        <v>#REF!</v>
      </c>
      <c r="AH429" s="195" t="e" cm="1">
        <f t="array" ref="AH429">_xlfn.XLOOKUP(Table1[[#This Row],[5 cm2 cell test code]:[5 cm2 cell test code]],[1]!Table1[[Test code]:[Test code]],[1]!Table1[Ionic resistance 10 mM KOH/Ohm cm2],"",0)</f>
        <v>#REF!</v>
      </c>
      <c r="AI429" s="195" t="e" cm="1">
        <f t="array" ref="AI429">_xlfn.XLOOKUP(Table1[[#This Row],[5 cm2 cell test code]:[5 cm2 cell test code]],[1]!Table1[[Test code]:[Test code]],[1]!Table1[Q_int_frac DIW 10 mM KOH],"",0)</f>
        <v>#REF!</v>
      </c>
      <c r="AJ429" s="69" t="e" cm="1">
        <f t="array" ref="AJ429">_xlfn.XLOOKUP(Table1[[#This Row],[5 cm2 cell test code]:[5 cm2 cell test code]],[1]!Table1[[Test code]:[Test code]],[1]!Table1[DIW conductivity (µS/cm)],"",0)</f>
        <v>#REF!</v>
      </c>
      <c r="AQ429" s="4" t="str">
        <v>VSG02A-23319E1.01-02</v>
      </c>
    </row>
    <row r="430" spans="1:43">
      <c r="A430" s="81"/>
      <c r="B430" s="11" t="s">
        <v>803</v>
      </c>
      <c r="J430" s="107"/>
      <c r="K430" s="89"/>
      <c r="L430" s="89"/>
      <c r="Q430" s="4">
        <v>5.5534383468834693E-2</v>
      </c>
      <c r="U430" s="101"/>
      <c r="V430" s="101"/>
      <c r="W430" s="69" t="e" cm="1">
        <f t="array" ref="W430">_xlfn.XLOOKUP(Table1[[#This Row],[5 cm2 cell test code]:[5 cm2 cell test code]],[1]!Table1[[Test code]:[Test code]],[1]!Table1[i @ 1.8 V DIW (A/cm2)],"",0)</f>
        <v>#REF!</v>
      </c>
      <c r="X430" s="69" t="e" cm="1">
        <f t="array" ref="X430">_xlfn.XLOOKUP(Table1[[#This Row],[5 cm2 cell test code]:[5 cm2 cell test code]],[1]!Table1[[Test code]:[Test code]],[1]!Table1[i @ 1.8 V 10 mM KOH (A/cm2)],"",0)</f>
        <v>#REF!</v>
      </c>
      <c r="Y430" s="69" t="e" cm="1">
        <f t="array" ref="Y430">_xlfn.XLOOKUP(Table1[[#This Row],[5 cm2 cell test code]:[5 cm2 cell test code]],[1]!Table1[[Test code]:[Test code]],[1]!Table1[3-E ƞ at 20mAcm-2 (mV)],"",0)</f>
        <v>#REF!</v>
      </c>
      <c r="Z430" s="69" t="e" cm="1">
        <f t="array" ref="Z430">_xlfn.XLOOKUP(Table1[[#This Row],[5 cm2 cell test code]:[5 cm2 cell test code]],[1]!Table1[[Test code]:[Test code]],[1]!Table1[3-E Tafel slope (mV/dec)],"",0)</f>
        <v>#REF!</v>
      </c>
      <c r="AA430" s="69" t="e" cm="1">
        <f t="array" ref="AA430">_xlfn.XLOOKUP(Table1[[#This Row],[5 cm2 cell test code]:[5 cm2 cell test code]],[1]!Table1[[Test code]:[Test code]],[1]!Table1[E @ 100 mA/cm2 DIW/V],"",0)</f>
        <v>#REF!</v>
      </c>
      <c r="AB430" s="69" t="e" cm="1">
        <f t="array" ref="AB430">_xlfn.XLOOKUP(Table1[[#This Row],[5 cm2 cell test code]:[5 cm2 cell test code]],[1]!Table1[[Test code]:[Test code]],[1]!Table1[E @ 100 mA/cm2 10 mM KOH/V],"",0)</f>
        <v>#REF!</v>
      </c>
      <c r="AC430" s="69" t="e" cm="1">
        <f t="array" ref="AC430">_xlfn.XLOOKUP(Table1[[#This Row],[5 cm2 cell test code]:[5 cm2 cell test code]],[1]!Table1[[Test code]:[Test code]],[1]!Table1[Anode ICR/mOhm],"",0)</f>
        <v>#REF!</v>
      </c>
      <c r="AD430" s="69" t="e" cm="1">
        <f t="array" ref="AD430">_xlfn.XLOOKUP(Table1[[#This Row],[5 cm2 cell test code]:[5 cm2 cell test code]],[1]!Table1[[Test code]:[Test code]],[1]!Table1[HFR DIW/ mOhm cm2],"",0)</f>
        <v>#REF!</v>
      </c>
      <c r="AE430" s="69" t="e" cm="1">
        <f t="array" ref="AE430">_xlfn.XLOOKUP(Table1[[#This Row],[5 cm2 cell test code]:[5 cm2 cell test code]],[1]!Table1[[Test code]:[Test code]],[1]!Table1[HFR 10 mM KOH/ mOhm cm2],"",0)</f>
        <v>#REF!</v>
      </c>
      <c r="AF430" s="69" t="e" cm="1">
        <f t="array" ref="AF430">_xlfn.XLOOKUP(Table1[[#This Row],[5 cm2 cell test code]:[5 cm2 cell test code]],[1]!Table1[[Test code]:[Test code]],[1]!Table1[Ionic resistance DIW/Ohm cm2],"",0)</f>
        <v>#REF!</v>
      </c>
      <c r="AG430" s="195" t="e" cm="1">
        <f t="array" ref="AG430">_xlfn.XLOOKUP(Table1[[#This Row],[5 cm2 cell test code]:[5 cm2 cell test code]],[1]!Table1[[Test code]:[Test code]],[1]!Table1[Q_int_frac DIW],"",0)</f>
        <v>#REF!</v>
      </c>
      <c r="AH430" s="195" t="e" cm="1">
        <f t="array" ref="AH430">_xlfn.XLOOKUP(Table1[[#This Row],[5 cm2 cell test code]:[5 cm2 cell test code]],[1]!Table1[[Test code]:[Test code]],[1]!Table1[Ionic resistance 10 mM KOH/Ohm cm2],"",0)</f>
        <v>#REF!</v>
      </c>
      <c r="AI430" s="195" t="e" cm="1">
        <f t="array" ref="AI430">_xlfn.XLOOKUP(Table1[[#This Row],[5 cm2 cell test code]:[5 cm2 cell test code]],[1]!Table1[[Test code]:[Test code]],[1]!Table1[Q_int_frac DIW 10 mM KOH],"",0)</f>
        <v>#REF!</v>
      </c>
      <c r="AJ430" s="69" t="e" cm="1">
        <f t="array" ref="AJ430">_xlfn.XLOOKUP(Table1[[#This Row],[5 cm2 cell test code]:[5 cm2 cell test code]],[1]!Table1[[Test code]:[Test code]],[1]!Table1[DIW conductivity (µS/cm)],"",0)</f>
        <v>#REF!</v>
      </c>
      <c r="AQ430" s="4" t="str">
        <v>VSG02A-23319E1.02</v>
      </c>
    </row>
    <row r="431" spans="1:43">
      <c r="A431" s="81"/>
      <c r="B431" s="11" t="s">
        <v>804</v>
      </c>
      <c r="J431" s="107"/>
      <c r="K431" s="89"/>
      <c r="L431" s="89"/>
      <c r="Q431" s="4">
        <v>5.461989293950871E-2</v>
      </c>
      <c r="U431" s="101"/>
      <c r="V431" s="101"/>
      <c r="W431" s="69" t="e" cm="1">
        <f t="array" ref="W431">_xlfn.XLOOKUP(Table1[[#This Row],[5 cm2 cell test code]:[5 cm2 cell test code]],[1]!Table1[[Test code]:[Test code]],[1]!Table1[i @ 1.8 V DIW (A/cm2)],"",0)</f>
        <v>#REF!</v>
      </c>
      <c r="X431" s="69" t="e" cm="1">
        <f t="array" ref="X431">_xlfn.XLOOKUP(Table1[[#This Row],[5 cm2 cell test code]:[5 cm2 cell test code]],[1]!Table1[[Test code]:[Test code]],[1]!Table1[i @ 1.8 V 10 mM KOH (A/cm2)],"",0)</f>
        <v>#REF!</v>
      </c>
      <c r="Y431" s="69" t="e" cm="1">
        <f t="array" ref="Y431">_xlfn.XLOOKUP(Table1[[#This Row],[5 cm2 cell test code]:[5 cm2 cell test code]],[1]!Table1[[Test code]:[Test code]],[1]!Table1[3-E ƞ at 20mAcm-2 (mV)],"",0)</f>
        <v>#REF!</v>
      </c>
      <c r="Z431" s="69" t="e" cm="1">
        <f t="array" ref="Z431">_xlfn.XLOOKUP(Table1[[#This Row],[5 cm2 cell test code]:[5 cm2 cell test code]],[1]!Table1[[Test code]:[Test code]],[1]!Table1[3-E Tafel slope (mV/dec)],"",0)</f>
        <v>#REF!</v>
      </c>
      <c r="AA431" s="69" t="e" cm="1">
        <f t="array" ref="AA431">_xlfn.XLOOKUP(Table1[[#This Row],[5 cm2 cell test code]:[5 cm2 cell test code]],[1]!Table1[[Test code]:[Test code]],[1]!Table1[E @ 100 mA/cm2 DIW/V],"",0)</f>
        <v>#REF!</v>
      </c>
      <c r="AB431" s="69" t="e" cm="1">
        <f t="array" ref="AB431">_xlfn.XLOOKUP(Table1[[#This Row],[5 cm2 cell test code]:[5 cm2 cell test code]],[1]!Table1[[Test code]:[Test code]],[1]!Table1[E @ 100 mA/cm2 10 mM KOH/V],"",0)</f>
        <v>#REF!</v>
      </c>
      <c r="AC431" s="69" t="e" cm="1">
        <f t="array" ref="AC431">_xlfn.XLOOKUP(Table1[[#This Row],[5 cm2 cell test code]:[5 cm2 cell test code]],[1]!Table1[[Test code]:[Test code]],[1]!Table1[Anode ICR/mOhm],"",0)</f>
        <v>#REF!</v>
      </c>
      <c r="AD431" s="69" t="e" cm="1">
        <f t="array" ref="AD431">_xlfn.XLOOKUP(Table1[[#This Row],[5 cm2 cell test code]:[5 cm2 cell test code]],[1]!Table1[[Test code]:[Test code]],[1]!Table1[HFR DIW/ mOhm cm2],"",0)</f>
        <v>#REF!</v>
      </c>
      <c r="AE431" s="69" t="e" cm="1">
        <f t="array" ref="AE431">_xlfn.XLOOKUP(Table1[[#This Row],[5 cm2 cell test code]:[5 cm2 cell test code]],[1]!Table1[[Test code]:[Test code]],[1]!Table1[HFR 10 mM KOH/ mOhm cm2],"",0)</f>
        <v>#REF!</v>
      </c>
      <c r="AF431" s="69" t="e" cm="1">
        <f t="array" ref="AF431">_xlfn.XLOOKUP(Table1[[#This Row],[5 cm2 cell test code]:[5 cm2 cell test code]],[1]!Table1[[Test code]:[Test code]],[1]!Table1[Ionic resistance DIW/Ohm cm2],"",0)</f>
        <v>#REF!</v>
      </c>
      <c r="AG431" s="195" t="e" cm="1">
        <f t="array" ref="AG431">_xlfn.XLOOKUP(Table1[[#This Row],[5 cm2 cell test code]:[5 cm2 cell test code]],[1]!Table1[[Test code]:[Test code]],[1]!Table1[Q_int_frac DIW],"",0)</f>
        <v>#REF!</v>
      </c>
      <c r="AH431" s="195" t="e" cm="1">
        <f t="array" ref="AH431">_xlfn.XLOOKUP(Table1[[#This Row],[5 cm2 cell test code]:[5 cm2 cell test code]],[1]!Table1[[Test code]:[Test code]],[1]!Table1[Ionic resistance 10 mM KOH/Ohm cm2],"",0)</f>
        <v>#REF!</v>
      </c>
      <c r="AI431" s="195" t="e" cm="1">
        <f t="array" ref="AI431">_xlfn.XLOOKUP(Table1[[#This Row],[5 cm2 cell test code]:[5 cm2 cell test code]],[1]!Table1[[Test code]:[Test code]],[1]!Table1[Q_int_frac DIW 10 mM KOH],"",0)</f>
        <v>#REF!</v>
      </c>
      <c r="AJ431" s="69" t="e" cm="1">
        <f t="array" ref="AJ431">_xlfn.XLOOKUP(Table1[[#This Row],[5 cm2 cell test code]:[5 cm2 cell test code]],[1]!Table1[[Test code]:[Test code]],[1]!Table1[DIW conductivity (µS/cm)],"",0)</f>
        <v>#REF!</v>
      </c>
      <c r="AQ431" s="4" t="str">
        <v>VSG02A-23319E1.02-1</v>
      </c>
    </row>
    <row r="432" spans="1:43">
      <c r="A432" s="81"/>
      <c r="B432" s="11" t="s">
        <v>805</v>
      </c>
      <c r="J432" s="107"/>
      <c r="K432" s="89"/>
      <c r="L432" s="89"/>
      <c r="Q432" s="4">
        <v>3.9838723155343862E-2</v>
      </c>
      <c r="U432" s="101"/>
      <c r="V432" s="101"/>
      <c r="W432" s="69" t="e" cm="1">
        <f t="array" ref="W432">_xlfn.XLOOKUP(Table1[[#This Row],[5 cm2 cell test code]:[5 cm2 cell test code]],[1]!Table1[[Test code]:[Test code]],[1]!Table1[i @ 1.8 V DIW (A/cm2)],"",0)</f>
        <v>#REF!</v>
      </c>
      <c r="X432" s="69" t="e" cm="1">
        <f t="array" ref="X432">_xlfn.XLOOKUP(Table1[[#This Row],[5 cm2 cell test code]:[5 cm2 cell test code]],[1]!Table1[[Test code]:[Test code]],[1]!Table1[i @ 1.8 V 10 mM KOH (A/cm2)],"",0)</f>
        <v>#REF!</v>
      </c>
      <c r="Y432" s="69" t="e" cm="1">
        <f t="array" ref="Y432">_xlfn.XLOOKUP(Table1[[#This Row],[5 cm2 cell test code]:[5 cm2 cell test code]],[1]!Table1[[Test code]:[Test code]],[1]!Table1[3-E ƞ at 20mAcm-2 (mV)],"",0)</f>
        <v>#REF!</v>
      </c>
      <c r="Z432" s="69" t="e" cm="1">
        <f t="array" ref="Z432">_xlfn.XLOOKUP(Table1[[#This Row],[5 cm2 cell test code]:[5 cm2 cell test code]],[1]!Table1[[Test code]:[Test code]],[1]!Table1[3-E Tafel slope (mV/dec)],"",0)</f>
        <v>#REF!</v>
      </c>
      <c r="AA432" s="69" t="e" cm="1">
        <f t="array" ref="AA432">_xlfn.XLOOKUP(Table1[[#This Row],[5 cm2 cell test code]:[5 cm2 cell test code]],[1]!Table1[[Test code]:[Test code]],[1]!Table1[E @ 100 mA/cm2 DIW/V],"",0)</f>
        <v>#REF!</v>
      </c>
      <c r="AB432" s="69" t="e" cm="1">
        <f t="array" ref="AB432">_xlfn.XLOOKUP(Table1[[#This Row],[5 cm2 cell test code]:[5 cm2 cell test code]],[1]!Table1[[Test code]:[Test code]],[1]!Table1[E @ 100 mA/cm2 10 mM KOH/V],"",0)</f>
        <v>#REF!</v>
      </c>
      <c r="AC432" s="69" t="e" cm="1">
        <f t="array" ref="AC432">_xlfn.XLOOKUP(Table1[[#This Row],[5 cm2 cell test code]:[5 cm2 cell test code]],[1]!Table1[[Test code]:[Test code]],[1]!Table1[Anode ICR/mOhm],"",0)</f>
        <v>#REF!</v>
      </c>
      <c r="AD432" s="69" t="e" cm="1">
        <f t="array" ref="AD432">_xlfn.XLOOKUP(Table1[[#This Row],[5 cm2 cell test code]:[5 cm2 cell test code]],[1]!Table1[[Test code]:[Test code]],[1]!Table1[HFR DIW/ mOhm cm2],"",0)</f>
        <v>#REF!</v>
      </c>
      <c r="AE432" s="69" t="e" cm="1">
        <f t="array" ref="AE432">_xlfn.XLOOKUP(Table1[[#This Row],[5 cm2 cell test code]:[5 cm2 cell test code]],[1]!Table1[[Test code]:[Test code]],[1]!Table1[HFR 10 mM KOH/ mOhm cm2],"",0)</f>
        <v>#REF!</v>
      </c>
      <c r="AF432" s="69" t="e" cm="1">
        <f t="array" ref="AF432">_xlfn.XLOOKUP(Table1[[#This Row],[5 cm2 cell test code]:[5 cm2 cell test code]],[1]!Table1[[Test code]:[Test code]],[1]!Table1[Ionic resistance DIW/Ohm cm2],"",0)</f>
        <v>#REF!</v>
      </c>
      <c r="AG432" s="195" t="e" cm="1">
        <f t="array" ref="AG432">_xlfn.XLOOKUP(Table1[[#This Row],[5 cm2 cell test code]:[5 cm2 cell test code]],[1]!Table1[[Test code]:[Test code]],[1]!Table1[Q_int_frac DIW],"",0)</f>
        <v>#REF!</v>
      </c>
      <c r="AH432" s="195" t="e" cm="1">
        <f t="array" ref="AH432">_xlfn.XLOOKUP(Table1[[#This Row],[5 cm2 cell test code]:[5 cm2 cell test code]],[1]!Table1[[Test code]:[Test code]],[1]!Table1[Ionic resistance 10 mM KOH/Ohm cm2],"",0)</f>
        <v>#REF!</v>
      </c>
      <c r="AI432" s="195" t="e" cm="1">
        <f t="array" ref="AI432">_xlfn.XLOOKUP(Table1[[#This Row],[5 cm2 cell test code]:[5 cm2 cell test code]],[1]!Table1[[Test code]:[Test code]],[1]!Table1[Q_int_frac DIW 10 mM KOH],"",0)</f>
        <v>#REF!</v>
      </c>
      <c r="AJ432" s="69" t="e" cm="1">
        <f t="array" ref="AJ432">_xlfn.XLOOKUP(Table1[[#This Row],[5 cm2 cell test code]:[5 cm2 cell test code]],[1]!Table1[[Test code]:[Test code]],[1]!Table1[DIW conductivity (µS/cm)],"",0)</f>
        <v>#REF!</v>
      </c>
      <c r="AQ432" s="4" t="str">
        <v>VSG02A-23319E1.02-2</v>
      </c>
    </row>
    <row r="433" spans="1:43">
      <c r="A433" s="81"/>
      <c r="B433" s="11" t="s">
        <v>806</v>
      </c>
      <c r="J433" s="107"/>
      <c r="K433" s="89"/>
      <c r="L433" s="89"/>
      <c r="Q433" s="4">
        <v>3.503883384106718E-2</v>
      </c>
      <c r="U433" s="101"/>
      <c r="V433" s="101"/>
      <c r="W433" s="69" t="e" cm="1">
        <f t="array" ref="W433">_xlfn.XLOOKUP(Table1[[#This Row],[5 cm2 cell test code]:[5 cm2 cell test code]],[1]!Table1[[Test code]:[Test code]],[1]!Table1[i @ 1.8 V DIW (A/cm2)],"",0)</f>
        <v>#REF!</v>
      </c>
      <c r="X433" s="69" t="e" cm="1">
        <f t="array" ref="X433">_xlfn.XLOOKUP(Table1[[#This Row],[5 cm2 cell test code]:[5 cm2 cell test code]],[1]!Table1[[Test code]:[Test code]],[1]!Table1[i @ 1.8 V 10 mM KOH (A/cm2)],"",0)</f>
        <v>#REF!</v>
      </c>
      <c r="Y433" s="69" t="e" cm="1">
        <f t="array" ref="Y433">_xlfn.XLOOKUP(Table1[[#This Row],[5 cm2 cell test code]:[5 cm2 cell test code]],[1]!Table1[[Test code]:[Test code]],[1]!Table1[3-E ƞ at 20mAcm-2 (mV)],"",0)</f>
        <v>#REF!</v>
      </c>
      <c r="Z433" s="69" t="e" cm="1">
        <f t="array" ref="Z433">_xlfn.XLOOKUP(Table1[[#This Row],[5 cm2 cell test code]:[5 cm2 cell test code]],[1]!Table1[[Test code]:[Test code]],[1]!Table1[3-E Tafel slope (mV/dec)],"",0)</f>
        <v>#REF!</v>
      </c>
      <c r="AA433" s="69" t="e" cm="1">
        <f t="array" ref="AA433">_xlfn.XLOOKUP(Table1[[#This Row],[5 cm2 cell test code]:[5 cm2 cell test code]],[1]!Table1[[Test code]:[Test code]],[1]!Table1[E @ 100 mA/cm2 DIW/V],"",0)</f>
        <v>#REF!</v>
      </c>
      <c r="AB433" s="69" t="e" cm="1">
        <f t="array" ref="AB433">_xlfn.XLOOKUP(Table1[[#This Row],[5 cm2 cell test code]:[5 cm2 cell test code]],[1]!Table1[[Test code]:[Test code]],[1]!Table1[E @ 100 mA/cm2 10 mM KOH/V],"",0)</f>
        <v>#REF!</v>
      </c>
      <c r="AC433" s="69" t="e" cm="1">
        <f t="array" ref="AC433">_xlfn.XLOOKUP(Table1[[#This Row],[5 cm2 cell test code]:[5 cm2 cell test code]],[1]!Table1[[Test code]:[Test code]],[1]!Table1[Anode ICR/mOhm],"",0)</f>
        <v>#REF!</v>
      </c>
      <c r="AD433" s="69" t="e" cm="1">
        <f t="array" ref="AD433">_xlfn.XLOOKUP(Table1[[#This Row],[5 cm2 cell test code]:[5 cm2 cell test code]],[1]!Table1[[Test code]:[Test code]],[1]!Table1[HFR DIW/ mOhm cm2],"",0)</f>
        <v>#REF!</v>
      </c>
      <c r="AE433" s="69" t="e" cm="1">
        <f t="array" ref="AE433">_xlfn.XLOOKUP(Table1[[#This Row],[5 cm2 cell test code]:[5 cm2 cell test code]],[1]!Table1[[Test code]:[Test code]],[1]!Table1[HFR 10 mM KOH/ mOhm cm2],"",0)</f>
        <v>#REF!</v>
      </c>
      <c r="AF433" s="69" t="e" cm="1">
        <f t="array" ref="AF433">_xlfn.XLOOKUP(Table1[[#This Row],[5 cm2 cell test code]:[5 cm2 cell test code]],[1]!Table1[[Test code]:[Test code]],[1]!Table1[Ionic resistance DIW/Ohm cm2],"",0)</f>
        <v>#REF!</v>
      </c>
      <c r="AG433" s="195" t="e" cm="1">
        <f t="array" ref="AG433">_xlfn.XLOOKUP(Table1[[#This Row],[5 cm2 cell test code]:[5 cm2 cell test code]],[1]!Table1[[Test code]:[Test code]],[1]!Table1[Q_int_frac DIW],"",0)</f>
        <v>#REF!</v>
      </c>
      <c r="AH433" s="195" t="e" cm="1">
        <f t="array" ref="AH433">_xlfn.XLOOKUP(Table1[[#This Row],[5 cm2 cell test code]:[5 cm2 cell test code]],[1]!Table1[[Test code]:[Test code]],[1]!Table1[Ionic resistance 10 mM KOH/Ohm cm2],"",0)</f>
        <v>#REF!</v>
      </c>
      <c r="AI433" s="195" t="e" cm="1">
        <f t="array" ref="AI433">_xlfn.XLOOKUP(Table1[[#This Row],[5 cm2 cell test code]:[5 cm2 cell test code]],[1]!Table1[[Test code]:[Test code]],[1]!Table1[Q_int_frac DIW 10 mM KOH],"",0)</f>
        <v>#REF!</v>
      </c>
      <c r="AJ433" s="69" t="e" cm="1">
        <f t="array" ref="AJ433">_xlfn.XLOOKUP(Table1[[#This Row],[5 cm2 cell test code]:[5 cm2 cell test code]],[1]!Table1[[Test code]:[Test code]],[1]!Table1[DIW conductivity (µS/cm)],"",0)</f>
        <v>#REF!</v>
      </c>
      <c r="AQ433" s="4" t="str">
        <v>VSG02A-23320E1.01</v>
      </c>
    </row>
    <row r="434" spans="1:43">
      <c r="A434" s="81"/>
      <c r="B434" s="11" t="s">
        <v>807</v>
      </c>
      <c r="J434" s="107"/>
      <c r="K434" s="89"/>
      <c r="L434" s="89"/>
      <c r="Q434" s="4">
        <v>4.1590393204949838E-2</v>
      </c>
      <c r="U434" s="101"/>
      <c r="V434" s="101"/>
      <c r="W434" s="69" t="e" cm="1">
        <f t="array" ref="W434">_xlfn.XLOOKUP(Table1[[#This Row],[5 cm2 cell test code]:[5 cm2 cell test code]],[1]!Table1[[Test code]:[Test code]],[1]!Table1[i @ 1.8 V DIW (A/cm2)],"",0)</f>
        <v>#REF!</v>
      </c>
      <c r="X434" s="69" t="e" cm="1">
        <f t="array" ref="X434">_xlfn.XLOOKUP(Table1[[#This Row],[5 cm2 cell test code]:[5 cm2 cell test code]],[1]!Table1[[Test code]:[Test code]],[1]!Table1[i @ 1.8 V 10 mM KOH (A/cm2)],"",0)</f>
        <v>#REF!</v>
      </c>
      <c r="Y434" s="69" t="e" cm="1">
        <f t="array" ref="Y434">_xlfn.XLOOKUP(Table1[[#This Row],[5 cm2 cell test code]:[5 cm2 cell test code]],[1]!Table1[[Test code]:[Test code]],[1]!Table1[3-E ƞ at 20mAcm-2 (mV)],"",0)</f>
        <v>#REF!</v>
      </c>
      <c r="Z434" s="69" t="e" cm="1">
        <f t="array" ref="Z434">_xlfn.XLOOKUP(Table1[[#This Row],[5 cm2 cell test code]:[5 cm2 cell test code]],[1]!Table1[[Test code]:[Test code]],[1]!Table1[3-E Tafel slope (mV/dec)],"",0)</f>
        <v>#REF!</v>
      </c>
      <c r="AA434" s="69" t="e" cm="1">
        <f t="array" ref="AA434">_xlfn.XLOOKUP(Table1[[#This Row],[5 cm2 cell test code]:[5 cm2 cell test code]],[1]!Table1[[Test code]:[Test code]],[1]!Table1[E @ 100 mA/cm2 DIW/V],"",0)</f>
        <v>#REF!</v>
      </c>
      <c r="AB434" s="69" t="e" cm="1">
        <f t="array" ref="AB434">_xlfn.XLOOKUP(Table1[[#This Row],[5 cm2 cell test code]:[5 cm2 cell test code]],[1]!Table1[[Test code]:[Test code]],[1]!Table1[E @ 100 mA/cm2 10 mM KOH/V],"",0)</f>
        <v>#REF!</v>
      </c>
      <c r="AC434" s="69" t="e" cm="1">
        <f t="array" ref="AC434">_xlfn.XLOOKUP(Table1[[#This Row],[5 cm2 cell test code]:[5 cm2 cell test code]],[1]!Table1[[Test code]:[Test code]],[1]!Table1[Anode ICR/mOhm],"",0)</f>
        <v>#REF!</v>
      </c>
      <c r="AD434" s="69" t="e" cm="1">
        <f t="array" ref="AD434">_xlfn.XLOOKUP(Table1[[#This Row],[5 cm2 cell test code]:[5 cm2 cell test code]],[1]!Table1[[Test code]:[Test code]],[1]!Table1[HFR DIW/ mOhm cm2],"",0)</f>
        <v>#REF!</v>
      </c>
      <c r="AE434" s="69" t="e" cm="1">
        <f t="array" ref="AE434">_xlfn.XLOOKUP(Table1[[#This Row],[5 cm2 cell test code]:[5 cm2 cell test code]],[1]!Table1[[Test code]:[Test code]],[1]!Table1[HFR 10 mM KOH/ mOhm cm2],"",0)</f>
        <v>#REF!</v>
      </c>
      <c r="AF434" s="69" t="e" cm="1">
        <f t="array" ref="AF434">_xlfn.XLOOKUP(Table1[[#This Row],[5 cm2 cell test code]:[5 cm2 cell test code]],[1]!Table1[[Test code]:[Test code]],[1]!Table1[Ionic resistance DIW/Ohm cm2],"",0)</f>
        <v>#REF!</v>
      </c>
      <c r="AG434" s="195" t="e" cm="1">
        <f t="array" ref="AG434">_xlfn.XLOOKUP(Table1[[#This Row],[5 cm2 cell test code]:[5 cm2 cell test code]],[1]!Table1[[Test code]:[Test code]],[1]!Table1[Q_int_frac DIW],"",0)</f>
        <v>#REF!</v>
      </c>
      <c r="AH434" s="195" t="e" cm="1">
        <f t="array" ref="AH434">_xlfn.XLOOKUP(Table1[[#This Row],[5 cm2 cell test code]:[5 cm2 cell test code]],[1]!Table1[[Test code]:[Test code]],[1]!Table1[Ionic resistance 10 mM KOH/Ohm cm2],"",0)</f>
        <v>#REF!</v>
      </c>
      <c r="AI434" s="195" t="e" cm="1">
        <f t="array" ref="AI434">_xlfn.XLOOKUP(Table1[[#This Row],[5 cm2 cell test code]:[5 cm2 cell test code]],[1]!Table1[[Test code]:[Test code]],[1]!Table1[Q_int_frac DIW 10 mM KOH],"",0)</f>
        <v>#REF!</v>
      </c>
      <c r="AJ434" s="69" t="e" cm="1">
        <f t="array" ref="AJ434">_xlfn.XLOOKUP(Table1[[#This Row],[5 cm2 cell test code]:[5 cm2 cell test code]],[1]!Table1[[Test code]:[Test code]],[1]!Table1[DIW conductivity (µS/cm)],"",0)</f>
        <v>#REF!</v>
      </c>
      <c r="AQ434" s="4" t="str">
        <v>VSG02A-23320E1.02</v>
      </c>
    </row>
    <row r="435" spans="1:43">
      <c r="A435" s="81"/>
      <c r="B435" s="11" t="s">
        <v>808</v>
      </c>
      <c r="J435" s="107"/>
      <c r="K435" s="89"/>
      <c r="L435" s="89"/>
      <c r="Q435" s="4">
        <v>2.8163635988358894E-2</v>
      </c>
      <c r="U435" s="101"/>
      <c r="V435" s="101"/>
      <c r="W435" s="69" t="e" cm="1">
        <f t="array" ref="W435">_xlfn.XLOOKUP(Table1[[#This Row],[5 cm2 cell test code]:[5 cm2 cell test code]],[1]!Table1[[Test code]:[Test code]],[1]!Table1[i @ 1.8 V DIW (A/cm2)],"",0)</f>
        <v>#REF!</v>
      </c>
      <c r="X435" s="69" t="e" cm="1">
        <f t="array" ref="X435">_xlfn.XLOOKUP(Table1[[#This Row],[5 cm2 cell test code]:[5 cm2 cell test code]],[1]!Table1[[Test code]:[Test code]],[1]!Table1[i @ 1.8 V 10 mM KOH (A/cm2)],"",0)</f>
        <v>#REF!</v>
      </c>
      <c r="Y435" s="69" t="e" cm="1">
        <f t="array" ref="Y435">_xlfn.XLOOKUP(Table1[[#This Row],[5 cm2 cell test code]:[5 cm2 cell test code]],[1]!Table1[[Test code]:[Test code]],[1]!Table1[3-E ƞ at 20mAcm-2 (mV)],"",0)</f>
        <v>#REF!</v>
      </c>
      <c r="Z435" s="69" t="e" cm="1">
        <f t="array" ref="Z435">_xlfn.XLOOKUP(Table1[[#This Row],[5 cm2 cell test code]:[5 cm2 cell test code]],[1]!Table1[[Test code]:[Test code]],[1]!Table1[3-E Tafel slope (mV/dec)],"",0)</f>
        <v>#REF!</v>
      </c>
      <c r="AA435" s="69" t="e" cm="1">
        <f t="array" ref="AA435">_xlfn.XLOOKUP(Table1[[#This Row],[5 cm2 cell test code]:[5 cm2 cell test code]],[1]!Table1[[Test code]:[Test code]],[1]!Table1[E @ 100 mA/cm2 DIW/V],"",0)</f>
        <v>#REF!</v>
      </c>
      <c r="AB435" s="69" t="e" cm="1">
        <f t="array" ref="AB435">_xlfn.XLOOKUP(Table1[[#This Row],[5 cm2 cell test code]:[5 cm2 cell test code]],[1]!Table1[[Test code]:[Test code]],[1]!Table1[E @ 100 mA/cm2 10 mM KOH/V],"",0)</f>
        <v>#REF!</v>
      </c>
      <c r="AC435" s="69" t="e" cm="1">
        <f t="array" ref="AC435">_xlfn.XLOOKUP(Table1[[#This Row],[5 cm2 cell test code]:[5 cm2 cell test code]],[1]!Table1[[Test code]:[Test code]],[1]!Table1[Anode ICR/mOhm],"",0)</f>
        <v>#REF!</v>
      </c>
      <c r="AD435" s="69" t="e" cm="1">
        <f t="array" ref="AD435">_xlfn.XLOOKUP(Table1[[#This Row],[5 cm2 cell test code]:[5 cm2 cell test code]],[1]!Table1[[Test code]:[Test code]],[1]!Table1[HFR DIW/ mOhm cm2],"",0)</f>
        <v>#REF!</v>
      </c>
      <c r="AE435" s="69" t="e" cm="1">
        <f t="array" ref="AE435">_xlfn.XLOOKUP(Table1[[#This Row],[5 cm2 cell test code]:[5 cm2 cell test code]],[1]!Table1[[Test code]:[Test code]],[1]!Table1[HFR 10 mM KOH/ mOhm cm2],"",0)</f>
        <v>#REF!</v>
      </c>
      <c r="AF435" s="69" t="e" cm="1">
        <f t="array" ref="AF435">_xlfn.XLOOKUP(Table1[[#This Row],[5 cm2 cell test code]:[5 cm2 cell test code]],[1]!Table1[[Test code]:[Test code]],[1]!Table1[Ionic resistance DIW/Ohm cm2],"",0)</f>
        <v>#REF!</v>
      </c>
      <c r="AG435" s="195" t="e" cm="1">
        <f t="array" ref="AG435">_xlfn.XLOOKUP(Table1[[#This Row],[5 cm2 cell test code]:[5 cm2 cell test code]],[1]!Table1[[Test code]:[Test code]],[1]!Table1[Q_int_frac DIW],"",0)</f>
        <v>#REF!</v>
      </c>
      <c r="AH435" s="195" t="e" cm="1">
        <f t="array" ref="AH435">_xlfn.XLOOKUP(Table1[[#This Row],[5 cm2 cell test code]:[5 cm2 cell test code]],[1]!Table1[[Test code]:[Test code]],[1]!Table1[Ionic resistance 10 mM KOH/Ohm cm2],"",0)</f>
        <v>#REF!</v>
      </c>
      <c r="AI435" s="195" t="e" cm="1">
        <f t="array" ref="AI435">_xlfn.XLOOKUP(Table1[[#This Row],[5 cm2 cell test code]:[5 cm2 cell test code]],[1]!Table1[[Test code]:[Test code]],[1]!Table1[Q_int_frac DIW 10 mM KOH],"",0)</f>
        <v>#REF!</v>
      </c>
      <c r="AJ435" s="69" t="e" cm="1">
        <f t="array" ref="AJ435">_xlfn.XLOOKUP(Table1[[#This Row],[5 cm2 cell test code]:[5 cm2 cell test code]],[1]!Table1[[Test code]:[Test code]],[1]!Table1[DIW conductivity (µS/cm)],"",0)</f>
        <v>#REF!</v>
      </c>
      <c r="AQ435" s="4" t="str">
        <v>VSG02A-23321E1.01</v>
      </c>
    </row>
    <row r="436" spans="1:43">
      <c r="A436" s="81"/>
      <c r="B436" s="11" t="s">
        <v>809</v>
      </c>
      <c r="J436" s="107"/>
      <c r="K436" s="89"/>
      <c r="L436" s="89"/>
      <c r="Q436" s="4">
        <v>5.9373902306619694E-2</v>
      </c>
      <c r="U436" s="101"/>
      <c r="V436" s="101"/>
      <c r="W436" s="69" t="e" cm="1">
        <f t="array" ref="W436">_xlfn.XLOOKUP(Table1[[#This Row],[5 cm2 cell test code]:[5 cm2 cell test code]],[1]!Table1[[Test code]:[Test code]],[1]!Table1[i @ 1.8 V DIW (A/cm2)],"",0)</f>
        <v>#REF!</v>
      </c>
      <c r="X436" s="69" t="e" cm="1">
        <f t="array" ref="X436">_xlfn.XLOOKUP(Table1[[#This Row],[5 cm2 cell test code]:[5 cm2 cell test code]],[1]!Table1[[Test code]:[Test code]],[1]!Table1[i @ 1.8 V 10 mM KOH (A/cm2)],"",0)</f>
        <v>#REF!</v>
      </c>
      <c r="Y436" s="69" t="e" cm="1">
        <f t="array" ref="Y436">_xlfn.XLOOKUP(Table1[[#This Row],[5 cm2 cell test code]:[5 cm2 cell test code]],[1]!Table1[[Test code]:[Test code]],[1]!Table1[3-E ƞ at 20mAcm-2 (mV)],"",0)</f>
        <v>#REF!</v>
      </c>
      <c r="Z436" s="69" t="e" cm="1">
        <f t="array" ref="Z436">_xlfn.XLOOKUP(Table1[[#This Row],[5 cm2 cell test code]:[5 cm2 cell test code]],[1]!Table1[[Test code]:[Test code]],[1]!Table1[3-E Tafel slope (mV/dec)],"",0)</f>
        <v>#REF!</v>
      </c>
      <c r="AA436" s="69" t="e" cm="1">
        <f t="array" ref="AA436">_xlfn.XLOOKUP(Table1[[#This Row],[5 cm2 cell test code]:[5 cm2 cell test code]],[1]!Table1[[Test code]:[Test code]],[1]!Table1[E @ 100 mA/cm2 DIW/V],"",0)</f>
        <v>#REF!</v>
      </c>
      <c r="AB436" s="69" t="e" cm="1">
        <f t="array" ref="AB436">_xlfn.XLOOKUP(Table1[[#This Row],[5 cm2 cell test code]:[5 cm2 cell test code]],[1]!Table1[[Test code]:[Test code]],[1]!Table1[E @ 100 mA/cm2 10 mM KOH/V],"",0)</f>
        <v>#REF!</v>
      </c>
      <c r="AC436" s="69" t="e" cm="1">
        <f t="array" ref="AC436">_xlfn.XLOOKUP(Table1[[#This Row],[5 cm2 cell test code]:[5 cm2 cell test code]],[1]!Table1[[Test code]:[Test code]],[1]!Table1[Anode ICR/mOhm],"",0)</f>
        <v>#REF!</v>
      </c>
      <c r="AD436" s="69" t="e" cm="1">
        <f t="array" ref="AD436">_xlfn.XLOOKUP(Table1[[#This Row],[5 cm2 cell test code]:[5 cm2 cell test code]],[1]!Table1[[Test code]:[Test code]],[1]!Table1[HFR DIW/ mOhm cm2],"",0)</f>
        <v>#REF!</v>
      </c>
      <c r="AE436" s="69" t="e" cm="1">
        <f t="array" ref="AE436">_xlfn.XLOOKUP(Table1[[#This Row],[5 cm2 cell test code]:[5 cm2 cell test code]],[1]!Table1[[Test code]:[Test code]],[1]!Table1[HFR 10 mM KOH/ mOhm cm2],"",0)</f>
        <v>#REF!</v>
      </c>
      <c r="AF436" s="69" t="e" cm="1">
        <f t="array" ref="AF436">_xlfn.XLOOKUP(Table1[[#This Row],[5 cm2 cell test code]:[5 cm2 cell test code]],[1]!Table1[[Test code]:[Test code]],[1]!Table1[Ionic resistance DIW/Ohm cm2],"",0)</f>
        <v>#REF!</v>
      </c>
      <c r="AG436" s="195" t="e" cm="1">
        <f t="array" ref="AG436">_xlfn.XLOOKUP(Table1[[#This Row],[5 cm2 cell test code]:[5 cm2 cell test code]],[1]!Table1[[Test code]:[Test code]],[1]!Table1[Q_int_frac DIW],"",0)</f>
        <v>#REF!</v>
      </c>
      <c r="AH436" s="195" t="e" cm="1">
        <f t="array" ref="AH436">_xlfn.XLOOKUP(Table1[[#This Row],[5 cm2 cell test code]:[5 cm2 cell test code]],[1]!Table1[[Test code]:[Test code]],[1]!Table1[Ionic resistance 10 mM KOH/Ohm cm2],"",0)</f>
        <v>#REF!</v>
      </c>
      <c r="AI436" s="195" t="e" cm="1">
        <f t="array" ref="AI436">_xlfn.XLOOKUP(Table1[[#This Row],[5 cm2 cell test code]:[5 cm2 cell test code]],[1]!Table1[[Test code]:[Test code]],[1]!Table1[Q_int_frac DIW 10 mM KOH],"",0)</f>
        <v>#REF!</v>
      </c>
      <c r="AJ436" s="69" t="e" cm="1">
        <f t="array" ref="AJ436">_xlfn.XLOOKUP(Table1[[#This Row],[5 cm2 cell test code]:[5 cm2 cell test code]],[1]!Table1[[Test code]:[Test code]],[1]!Table1[DIW conductivity (µS/cm)],"",0)</f>
        <v>#REF!</v>
      </c>
      <c r="AQ436" s="4" t="str">
        <v>VSG02A-23321E1.02-1</v>
      </c>
    </row>
    <row r="437" spans="1:43">
      <c r="A437" s="81"/>
      <c r="B437" s="11" t="s">
        <v>810</v>
      </c>
      <c r="J437" s="107"/>
      <c r="K437" s="89"/>
      <c r="L437" s="89"/>
      <c r="Q437" s="4">
        <v>2.9996685449121645E-2</v>
      </c>
      <c r="U437" s="101"/>
      <c r="V437" s="101"/>
      <c r="W437" s="69" t="e" cm="1">
        <f t="array" ref="W437">_xlfn.XLOOKUP(Table1[[#This Row],[5 cm2 cell test code]:[5 cm2 cell test code]],[1]!Table1[[Test code]:[Test code]],[1]!Table1[i @ 1.8 V DIW (A/cm2)],"",0)</f>
        <v>#REF!</v>
      </c>
      <c r="X437" s="69" t="e" cm="1">
        <f t="array" ref="X437">_xlfn.XLOOKUP(Table1[[#This Row],[5 cm2 cell test code]:[5 cm2 cell test code]],[1]!Table1[[Test code]:[Test code]],[1]!Table1[i @ 1.8 V 10 mM KOH (A/cm2)],"",0)</f>
        <v>#REF!</v>
      </c>
      <c r="Y437" s="69" t="e" cm="1">
        <f t="array" ref="Y437">_xlfn.XLOOKUP(Table1[[#This Row],[5 cm2 cell test code]:[5 cm2 cell test code]],[1]!Table1[[Test code]:[Test code]],[1]!Table1[3-E ƞ at 20mAcm-2 (mV)],"",0)</f>
        <v>#REF!</v>
      </c>
      <c r="Z437" s="69" t="e" cm="1">
        <f t="array" ref="Z437">_xlfn.XLOOKUP(Table1[[#This Row],[5 cm2 cell test code]:[5 cm2 cell test code]],[1]!Table1[[Test code]:[Test code]],[1]!Table1[3-E Tafel slope (mV/dec)],"",0)</f>
        <v>#REF!</v>
      </c>
      <c r="AA437" s="69" t="e" cm="1">
        <f t="array" ref="AA437">_xlfn.XLOOKUP(Table1[[#This Row],[5 cm2 cell test code]:[5 cm2 cell test code]],[1]!Table1[[Test code]:[Test code]],[1]!Table1[E @ 100 mA/cm2 DIW/V],"",0)</f>
        <v>#REF!</v>
      </c>
      <c r="AB437" s="69" t="e" cm="1">
        <f t="array" ref="AB437">_xlfn.XLOOKUP(Table1[[#This Row],[5 cm2 cell test code]:[5 cm2 cell test code]],[1]!Table1[[Test code]:[Test code]],[1]!Table1[E @ 100 mA/cm2 10 mM KOH/V],"",0)</f>
        <v>#REF!</v>
      </c>
      <c r="AC437" s="69" t="e" cm="1">
        <f t="array" ref="AC437">_xlfn.XLOOKUP(Table1[[#This Row],[5 cm2 cell test code]:[5 cm2 cell test code]],[1]!Table1[[Test code]:[Test code]],[1]!Table1[Anode ICR/mOhm],"",0)</f>
        <v>#REF!</v>
      </c>
      <c r="AD437" s="69" t="e" cm="1">
        <f t="array" ref="AD437">_xlfn.XLOOKUP(Table1[[#This Row],[5 cm2 cell test code]:[5 cm2 cell test code]],[1]!Table1[[Test code]:[Test code]],[1]!Table1[HFR DIW/ mOhm cm2],"",0)</f>
        <v>#REF!</v>
      </c>
      <c r="AE437" s="69" t="e" cm="1">
        <f t="array" ref="AE437">_xlfn.XLOOKUP(Table1[[#This Row],[5 cm2 cell test code]:[5 cm2 cell test code]],[1]!Table1[[Test code]:[Test code]],[1]!Table1[HFR 10 mM KOH/ mOhm cm2],"",0)</f>
        <v>#REF!</v>
      </c>
      <c r="AF437" s="69" t="e" cm="1">
        <f t="array" ref="AF437">_xlfn.XLOOKUP(Table1[[#This Row],[5 cm2 cell test code]:[5 cm2 cell test code]],[1]!Table1[[Test code]:[Test code]],[1]!Table1[Ionic resistance DIW/Ohm cm2],"",0)</f>
        <v>#REF!</v>
      </c>
      <c r="AG437" s="195" t="e" cm="1">
        <f t="array" ref="AG437">_xlfn.XLOOKUP(Table1[[#This Row],[5 cm2 cell test code]:[5 cm2 cell test code]],[1]!Table1[[Test code]:[Test code]],[1]!Table1[Q_int_frac DIW],"",0)</f>
        <v>#REF!</v>
      </c>
      <c r="AH437" s="195" t="e" cm="1">
        <f t="array" ref="AH437">_xlfn.XLOOKUP(Table1[[#This Row],[5 cm2 cell test code]:[5 cm2 cell test code]],[1]!Table1[[Test code]:[Test code]],[1]!Table1[Ionic resistance 10 mM KOH/Ohm cm2],"",0)</f>
        <v>#REF!</v>
      </c>
      <c r="AI437" s="195" t="e" cm="1">
        <f t="array" ref="AI437">_xlfn.XLOOKUP(Table1[[#This Row],[5 cm2 cell test code]:[5 cm2 cell test code]],[1]!Table1[[Test code]:[Test code]],[1]!Table1[Q_int_frac DIW 10 mM KOH],"",0)</f>
        <v>#REF!</v>
      </c>
      <c r="AJ437" s="69" t="e" cm="1">
        <f t="array" ref="AJ437">_xlfn.XLOOKUP(Table1[[#This Row],[5 cm2 cell test code]:[5 cm2 cell test code]],[1]!Table1[[Test code]:[Test code]],[1]!Table1[DIW conductivity (µS/cm)],"",0)</f>
        <v>#REF!</v>
      </c>
      <c r="AQ437" s="4" t="str">
        <v>VSG02A-23321E1.02-2</v>
      </c>
    </row>
    <row r="438" spans="1:43">
      <c r="A438" s="81"/>
      <c r="B438" s="11" t="s">
        <v>811</v>
      </c>
      <c r="J438" s="107"/>
      <c r="K438" s="89"/>
      <c r="L438" s="89"/>
      <c r="Q438" s="4">
        <v>4.7800805442520224E-2</v>
      </c>
      <c r="U438" s="101"/>
      <c r="V438" s="101"/>
      <c r="W438" s="69" t="e" cm="1">
        <f t="array" ref="W438">_xlfn.XLOOKUP(Table1[[#This Row],[5 cm2 cell test code]:[5 cm2 cell test code]],[1]!Table1[[Test code]:[Test code]],[1]!Table1[i @ 1.8 V DIW (A/cm2)],"",0)</f>
        <v>#REF!</v>
      </c>
      <c r="X438" s="69" t="e" cm="1">
        <f t="array" ref="X438">_xlfn.XLOOKUP(Table1[[#This Row],[5 cm2 cell test code]:[5 cm2 cell test code]],[1]!Table1[[Test code]:[Test code]],[1]!Table1[i @ 1.8 V 10 mM KOH (A/cm2)],"",0)</f>
        <v>#REF!</v>
      </c>
      <c r="Y438" s="69" t="e" cm="1">
        <f t="array" ref="Y438">_xlfn.XLOOKUP(Table1[[#This Row],[5 cm2 cell test code]:[5 cm2 cell test code]],[1]!Table1[[Test code]:[Test code]],[1]!Table1[3-E ƞ at 20mAcm-2 (mV)],"",0)</f>
        <v>#REF!</v>
      </c>
      <c r="Z438" s="69" t="e" cm="1">
        <f t="array" ref="Z438">_xlfn.XLOOKUP(Table1[[#This Row],[5 cm2 cell test code]:[5 cm2 cell test code]],[1]!Table1[[Test code]:[Test code]],[1]!Table1[3-E Tafel slope (mV/dec)],"",0)</f>
        <v>#REF!</v>
      </c>
      <c r="AA438" s="69" t="e" cm="1">
        <f t="array" ref="AA438">_xlfn.XLOOKUP(Table1[[#This Row],[5 cm2 cell test code]:[5 cm2 cell test code]],[1]!Table1[[Test code]:[Test code]],[1]!Table1[E @ 100 mA/cm2 DIW/V],"",0)</f>
        <v>#REF!</v>
      </c>
      <c r="AB438" s="69" t="e" cm="1">
        <f t="array" ref="AB438">_xlfn.XLOOKUP(Table1[[#This Row],[5 cm2 cell test code]:[5 cm2 cell test code]],[1]!Table1[[Test code]:[Test code]],[1]!Table1[E @ 100 mA/cm2 10 mM KOH/V],"",0)</f>
        <v>#REF!</v>
      </c>
      <c r="AC438" s="69" t="e" cm="1">
        <f t="array" ref="AC438">_xlfn.XLOOKUP(Table1[[#This Row],[5 cm2 cell test code]:[5 cm2 cell test code]],[1]!Table1[[Test code]:[Test code]],[1]!Table1[Anode ICR/mOhm],"",0)</f>
        <v>#REF!</v>
      </c>
      <c r="AD438" s="69" t="e" cm="1">
        <f t="array" ref="AD438">_xlfn.XLOOKUP(Table1[[#This Row],[5 cm2 cell test code]:[5 cm2 cell test code]],[1]!Table1[[Test code]:[Test code]],[1]!Table1[HFR DIW/ mOhm cm2],"",0)</f>
        <v>#REF!</v>
      </c>
      <c r="AE438" s="69" t="e" cm="1">
        <f t="array" ref="AE438">_xlfn.XLOOKUP(Table1[[#This Row],[5 cm2 cell test code]:[5 cm2 cell test code]],[1]!Table1[[Test code]:[Test code]],[1]!Table1[HFR 10 mM KOH/ mOhm cm2],"",0)</f>
        <v>#REF!</v>
      </c>
      <c r="AF438" s="69" t="e" cm="1">
        <f t="array" ref="AF438">_xlfn.XLOOKUP(Table1[[#This Row],[5 cm2 cell test code]:[5 cm2 cell test code]],[1]!Table1[[Test code]:[Test code]],[1]!Table1[Ionic resistance DIW/Ohm cm2],"",0)</f>
        <v>#REF!</v>
      </c>
      <c r="AG438" s="195" t="e" cm="1">
        <f t="array" ref="AG438">_xlfn.XLOOKUP(Table1[[#This Row],[5 cm2 cell test code]:[5 cm2 cell test code]],[1]!Table1[[Test code]:[Test code]],[1]!Table1[Q_int_frac DIW],"",0)</f>
        <v>#REF!</v>
      </c>
      <c r="AH438" s="195" t="e" cm="1">
        <f t="array" ref="AH438">_xlfn.XLOOKUP(Table1[[#This Row],[5 cm2 cell test code]:[5 cm2 cell test code]],[1]!Table1[[Test code]:[Test code]],[1]!Table1[Ionic resistance 10 mM KOH/Ohm cm2],"",0)</f>
        <v>#REF!</v>
      </c>
      <c r="AI438" s="195" t="e" cm="1">
        <f t="array" ref="AI438">_xlfn.XLOOKUP(Table1[[#This Row],[5 cm2 cell test code]:[5 cm2 cell test code]],[1]!Table1[[Test code]:[Test code]],[1]!Table1[Q_int_frac DIW 10 mM KOH],"",0)</f>
        <v>#REF!</v>
      </c>
      <c r="AJ438" s="69" t="e" cm="1">
        <f t="array" ref="AJ438">_xlfn.XLOOKUP(Table1[[#This Row],[5 cm2 cell test code]:[5 cm2 cell test code]],[1]!Table1[[Test code]:[Test code]],[1]!Table1[DIW conductivity (µS/cm)],"",0)</f>
        <v>#REF!</v>
      </c>
      <c r="AQ438" s="4" t="str">
        <v>VSG02A-23321E1.02</v>
      </c>
    </row>
    <row r="439" spans="1:43">
      <c r="A439" s="81"/>
      <c r="B439" s="11" t="s">
        <v>812</v>
      </c>
      <c r="J439" s="107"/>
      <c r="K439" s="89"/>
      <c r="L439" s="89"/>
      <c r="Q439" s="4">
        <v>1.9509002975429696E-2</v>
      </c>
      <c r="U439" s="101"/>
      <c r="V439" s="101"/>
      <c r="W439" s="69" t="e" cm="1">
        <f t="array" ref="W439">_xlfn.XLOOKUP(Table1[[#This Row],[5 cm2 cell test code]:[5 cm2 cell test code]],[1]!Table1[[Test code]:[Test code]],[1]!Table1[i @ 1.8 V DIW (A/cm2)],"",0)</f>
        <v>#REF!</v>
      </c>
      <c r="X439" s="69" t="e" cm="1">
        <f t="array" ref="X439">_xlfn.XLOOKUP(Table1[[#This Row],[5 cm2 cell test code]:[5 cm2 cell test code]],[1]!Table1[[Test code]:[Test code]],[1]!Table1[i @ 1.8 V 10 mM KOH (A/cm2)],"",0)</f>
        <v>#REF!</v>
      </c>
      <c r="Y439" s="69" t="e" cm="1">
        <f t="array" ref="Y439">_xlfn.XLOOKUP(Table1[[#This Row],[5 cm2 cell test code]:[5 cm2 cell test code]],[1]!Table1[[Test code]:[Test code]],[1]!Table1[3-E ƞ at 20mAcm-2 (mV)],"",0)</f>
        <v>#REF!</v>
      </c>
      <c r="Z439" s="69" t="e" cm="1">
        <f t="array" ref="Z439">_xlfn.XLOOKUP(Table1[[#This Row],[5 cm2 cell test code]:[5 cm2 cell test code]],[1]!Table1[[Test code]:[Test code]],[1]!Table1[3-E Tafel slope (mV/dec)],"",0)</f>
        <v>#REF!</v>
      </c>
      <c r="AA439" s="69" t="e" cm="1">
        <f t="array" ref="AA439">_xlfn.XLOOKUP(Table1[[#This Row],[5 cm2 cell test code]:[5 cm2 cell test code]],[1]!Table1[[Test code]:[Test code]],[1]!Table1[E @ 100 mA/cm2 DIW/V],"",0)</f>
        <v>#REF!</v>
      </c>
      <c r="AB439" s="69" t="e" cm="1">
        <f t="array" ref="AB439">_xlfn.XLOOKUP(Table1[[#This Row],[5 cm2 cell test code]:[5 cm2 cell test code]],[1]!Table1[[Test code]:[Test code]],[1]!Table1[E @ 100 mA/cm2 10 mM KOH/V],"",0)</f>
        <v>#REF!</v>
      </c>
      <c r="AC439" s="69" t="e" cm="1">
        <f t="array" ref="AC439">_xlfn.XLOOKUP(Table1[[#This Row],[5 cm2 cell test code]:[5 cm2 cell test code]],[1]!Table1[[Test code]:[Test code]],[1]!Table1[Anode ICR/mOhm],"",0)</f>
        <v>#REF!</v>
      </c>
      <c r="AD439" s="69" t="e" cm="1">
        <f t="array" ref="AD439">_xlfn.XLOOKUP(Table1[[#This Row],[5 cm2 cell test code]:[5 cm2 cell test code]],[1]!Table1[[Test code]:[Test code]],[1]!Table1[HFR DIW/ mOhm cm2],"",0)</f>
        <v>#REF!</v>
      </c>
      <c r="AE439" s="69" t="e" cm="1">
        <f t="array" ref="AE439">_xlfn.XLOOKUP(Table1[[#This Row],[5 cm2 cell test code]:[5 cm2 cell test code]],[1]!Table1[[Test code]:[Test code]],[1]!Table1[HFR 10 mM KOH/ mOhm cm2],"",0)</f>
        <v>#REF!</v>
      </c>
      <c r="AF439" s="69" t="e" cm="1">
        <f t="array" ref="AF439">_xlfn.XLOOKUP(Table1[[#This Row],[5 cm2 cell test code]:[5 cm2 cell test code]],[1]!Table1[[Test code]:[Test code]],[1]!Table1[Ionic resistance DIW/Ohm cm2],"",0)</f>
        <v>#REF!</v>
      </c>
      <c r="AG439" s="195" t="e" cm="1">
        <f t="array" ref="AG439">_xlfn.XLOOKUP(Table1[[#This Row],[5 cm2 cell test code]:[5 cm2 cell test code]],[1]!Table1[[Test code]:[Test code]],[1]!Table1[Q_int_frac DIW],"",0)</f>
        <v>#REF!</v>
      </c>
      <c r="AH439" s="195" t="e" cm="1">
        <f t="array" ref="AH439">_xlfn.XLOOKUP(Table1[[#This Row],[5 cm2 cell test code]:[5 cm2 cell test code]],[1]!Table1[[Test code]:[Test code]],[1]!Table1[Ionic resistance 10 mM KOH/Ohm cm2],"",0)</f>
        <v>#REF!</v>
      </c>
      <c r="AI439" s="195" t="e" cm="1">
        <f t="array" ref="AI439">_xlfn.XLOOKUP(Table1[[#This Row],[5 cm2 cell test code]:[5 cm2 cell test code]],[1]!Table1[[Test code]:[Test code]],[1]!Table1[Q_int_frac DIW 10 mM KOH],"",0)</f>
        <v>#REF!</v>
      </c>
      <c r="AJ439" s="69" t="e" cm="1">
        <f t="array" ref="AJ439">_xlfn.XLOOKUP(Table1[[#This Row],[5 cm2 cell test code]:[5 cm2 cell test code]],[1]!Table1[[Test code]:[Test code]],[1]!Table1[DIW conductivity (µS/cm)],"",0)</f>
        <v>#REF!</v>
      </c>
      <c r="AQ439" s="4" t="str">
        <v>VSG02A-23324E1.01</v>
      </c>
    </row>
    <row r="440" spans="1:43">
      <c r="A440" s="81"/>
      <c r="B440" s="11" t="s">
        <v>813</v>
      </c>
      <c r="J440" s="107"/>
      <c r="K440" s="89"/>
      <c r="L440" s="89"/>
      <c r="U440" s="101"/>
      <c r="V440" s="101"/>
      <c r="W440" s="69" t="e" cm="1">
        <f t="array" ref="W440">_xlfn.XLOOKUP(Table1[[#This Row],[5 cm2 cell test code]:[5 cm2 cell test code]],[1]!Table1[[Test code]:[Test code]],[1]!Table1[i @ 1.8 V DIW (A/cm2)],"",0)</f>
        <v>#REF!</v>
      </c>
      <c r="X440" s="69" t="e" cm="1">
        <f t="array" ref="X440">_xlfn.XLOOKUP(Table1[[#This Row],[5 cm2 cell test code]:[5 cm2 cell test code]],[1]!Table1[[Test code]:[Test code]],[1]!Table1[i @ 1.8 V 10 mM KOH (A/cm2)],"",0)</f>
        <v>#REF!</v>
      </c>
      <c r="Y440" s="69" t="e" cm="1">
        <f t="array" ref="Y440">_xlfn.XLOOKUP(Table1[[#This Row],[5 cm2 cell test code]:[5 cm2 cell test code]],[1]!Table1[[Test code]:[Test code]],[1]!Table1[3-E ƞ at 20mAcm-2 (mV)],"",0)</f>
        <v>#REF!</v>
      </c>
      <c r="Z440" s="69" t="e" cm="1">
        <f t="array" ref="Z440">_xlfn.XLOOKUP(Table1[[#This Row],[5 cm2 cell test code]:[5 cm2 cell test code]],[1]!Table1[[Test code]:[Test code]],[1]!Table1[3-E Tafel slope (mV/dec)],"",0)</f>
        <v>#REF!</v>
      </c>
      <c r="AA440" s="69" t="e" cm="1">
        <f t="array" ref="AA440">_xlfn.XLOOKUP(Table1[[#This Row],[5 cm2 cell test code]:[5 cm2 cell test code]],[1]!Table1[[Test code]:[Test code]],[1]!Table1[E @ 100 mA/cm2 DIW/V],"",0)</f>
        <v>#REF!</v>
      </c>
      <c r="AB440" s="69" t="e" cm="1">
        <f t="array" ref="AB440">_xlfn.XLOOKUP(Table1[[#This Row],[5 cm2 cell test code]:[5 cm2 cell test code]],[1]!Table1[[Test code]:[Test code]],[1]!Table1[E @ 100 mA/cm2 10 mM KOH/V],"",0)</f>
        <v>#REF!</v>
      </c>
      <c r="AC440" s="69" t="e" cm="1">
        <f t="array" ref="AC440">_xlfn.XLOOKUP(Table1[[#This Row],[5 cm2 cell test code]:[5 cm2 cell test code]],[1]!Table1[[Test code]:[Test code]],[1]!Table1[Anode ICR/mOhm],"",0)</f>
        <v>#REF!</v>
      </c>
      <c r="AD440" s="69" t="e" cm="1">
        <f t="array" ref="AD440">_xlfn.XLOOKUP(Table1[[#This Row],[5 cm2 cell test code]:[5 cm2 cell test code]],[1]!Table1[[Test code]:[Test code]],[1]!Table1[HFR DIW/ mOhm cm2],"",0)</f>
        <v>#REF!</v>
      </c>
      <c r="AE440" s="69" t="e" cm="1">
        <f t="array" ref="AE440">_xlfn.XLOOKUP(Table1[[#This Row],[5 cm2 cell test code]:[5 cm2 cell test code]],[1]!Table1[[Test code]:[Test code]],[1]!Table1[HFR 10 mM KOH/ mOhm cm2],"",0)</f>
        <v>#REF!</v>
      </c>
      <c r="AF440" s="69" t="e" cm="1">
        <f t="array" ref="AF440">_xlfn.XLOOKUP(Table1[[#This Row],[5 cm2 cell test code]:[5 cm2 cell test code]],[1]!Table1[[Test code]:[Test code]],[1]!Table1[Ionic resistance DIW/Ohm cm2],"",0)</f>
        <v>#REF!</v>
      </c>
      <c r="AG440" s="195" t="e" cm="1">
        <f t="array" ref="AG440">_xlfn.XLOOKUP(Table1[[#This Row],[5 cm2 cell test code]:[5 cm2 cell test code]],[1]!Table1[[Test code]:[Test code]],[1]!Table1[Q_int_frac DIW],"",0)</f>
        <v>#REF!</v>
      </c>
      <c r="AH440" s="195" t="e" cm="1">
        <f t="array" ref="AH440">_xlfn.XLOOKUP(Table1[[#This Row],[5 cm2 cell test code]:[5 cm2 cell test code]],[1]!Table1[[Test code]:[Test code]],[1]!Table1[Ionic resistance 10 mM KOH/Ohm cm2],"",0)</f>
        <v>#REF!</v>
      </c>
      <c r="AI440" s="195" t="e" cm="1">
        <f t="array" ref="AI440">_xlfn.XLOOKUP(Table1[[#This Row],[5 cm2 cell test code]:[5 cm2 cell test code]],[1]!Table1[[Test code]:[Test code]],[1]!Table1[Q_int_frac DIW 10 mM KOH],"",0)</f>
        <v>#REF!</v>
      </c>
      <c r="AJ440" s="69" t="e" cm="1">
        <f t="array" ref="AJ440">_xlfn.XLOOKUP(Table1[[#This Row],[5 cm2 cell test code]:[5 cm2 cell test code]],[1]!Table1[[Test code]:[Test code]],[1]!Table1[DIW conductivity (µS/cm)],"",0)</f>
        <v>#REF!</v>
      </c>
      <c r="AQ440" s="4" t="str">
        <v>VSG02A-23324E1.02</v>
      </c>
    </row>
    <row r="441" spans="1:43">
      <c r="A441" s="81"/>
      <c r="B441" s="11" t="s">
        <v>814</v>
      </c>
      <c r="J441" s="107"/>
      <c r="K441" s="89"/>
      <c r="L441" s="89"/>
      <c r="U441" s="101"/>
      <c r="V441" s="101"/>
      <c r="W441" s="69" t="e" cm="1">
        <f t="array" ref="W441">_xlfn.XLOOKUP(Table1[[#This Row],[5 cm2 cell test code]:[5 cm2 cell test code]],[1]!Table1[[Test code]:[Test code]],[1]!Table1[i @ 1.8 V DIW (A/cm2)],"",0)</f>
        <v>#REF!</v>
      </c>
      <c r="X441" s="69" t="e" cm="1">
        <f t="array" ref="X441">_xlfn.XLOOKUP(Table1[[#This Row],[5 cm2 cell test code]:[5 cm2 cell test code]],[1]!Table1[[Test code]:[Test code]],[1]!Table1[i @ 1.8 V 10 mM KOH (A/cm2)],"",0)</f>
        <v>#REF!</v>
      </c>
      <c r="Y441" s="69" t="e" cm="1">
        <f t="array" ref="Y441">_xlfn.XLOOKUP(Table1[[#This Row],[5 cm2 cell test code]:[5 cm2 cell test code]],[1]!Table1[[Test code]:[Test code]],[1]!Table1[3-E ƞ at 20mAcm-2 (mV)],"",0)</f>
        <v>#REF!</v>
      </c>
      <c r="Z441" s="69" t="e" cm="1">
        <f t="array" ref="Z441">_xlfn.XLOOKUP(Table1[[#This Row],[5 cm2 cell test code]:[5 cm2 cell test code]],[1]!Table1[[Test code]:[Test code]],[1]!Table1[3-E Tafel slope (mV/dec)],"",0)</f>
        <v>#REF!</v>
      </c>
      <c r="AA441" s="69" t="e" cm="1">
        <f t="array" ref="AA441">_xlfn.XLOOKUP(Table1[[#This Row],[5 cm2 cell test code]:[5 cm2 cell test code]],[1]!Table1[[Test code]:[Test code]],[1]!Table1[E @ 100 mA/cm2 DIW/V],"",0)</f>
        <v>#REF!</v>
      </c>
      <c r="AB441" s="69" t="e" cm="1">
        <f t="array" ref="AB441">_xlfn.XLOOKUP(Table1[[#This Row],[5 cm2 cell test code]:[5 cm2 cell test code]],[1]!Table1[[Test code]:[Test code]],[1]!Table1[E @ 100 mA/cm2 10 mM KOH/V],"",0)</f>
        <v>#REF!</v>
      </c>
      <c r="AC441" s="69" t="e" cm="1">
        <f t="array" ref="AC441">_xlfn.XLOOKUP(Table1[[#This Row],[5 cm2 cell test code]:[5 cm2 cell test code]],[1]!Table1[[Test code]:[Test code]],[1]!Table1[Anode ICR/mOhm],"",0)</f>
        <v>#REF!</v>
      </c>
      <c r="AD441" s="69" t="e" cm="1">
        <f t="array" ref="AD441">_xlfn.XLOOKUP(Table1[[#This Row],[5 cm2 cell test code]:[5 cm2 cell test code]],[1]!Table1[[Test code]:[Test code]],[1]!Table1[HFR DIW/ mOhm cm2],"",0)</f>
        <v>#REF!</v>
      </c>
      <c r="AE441" s="69" t="e" cm="1">
        <f t="array" ref="AE441">_xlfn.XLOOKUP(Table1[[#This Row],[5 cm2 cell test code]:[5 cm2 cell test code]],[1]!Table1[[Test code]:[Test code]],[1]!Table1[HFR 10 mM KOH/ mOhm cm2],"",0)</f>
        <v>#REF!</v>
      </c>
      <c r="AF441" s="69" t="e" cm="1">
        <f t="array" ref="AF441">_xlfn.XLOOKUP(Table1[[#This Row],[5 cm2 cell test code]:[5 cm2 cell test code]],[1]!Table1[[Test code]:[Test code]],[1]!Table1[Ionic resistance DIW/Ohm cm2],"",0)</f>
        <v>#REF!</v>
      </c>
      <c r="AG441" s="195" t="e" cm="1">
        <f t="array" ref="AG441">_xlfn.XLOOKUP(Table1[[#This Row],[5 cm2 cell test code]:[5 cm2 cell test code]],[1]!Table1[[Test code]:[Test code]],[1]!Table1[Q_int_frac DIW],"",0)</f>
        <v>#REF!</v>
      </c>
      <c r="AH441" s="195" t="e" cm="1">
        <f t="array" ref="AH441">_xlfn.XLOOKUP(Table1[[#This Row],[5 cm2 cell test code]:[5 cm2 cell test code]],[1]!Table1[[Test code]:[Test code]],[1]!Table1[Ionic resistance 10 mM KOH/Ohm cm2],"",0)</f>
        <v>#REF!</v>
      </c>
      <c r="AI441" s="195" t="e" cm="1">
        <f t="array" ref="AI441">_xlfn.XLOOKUP(Table1[[#This Row],[5 cm2 cell test code]:[5 cm2 cell test code]],[1]!Table1[[Test code]:[Test code]],[1]!Table1[Q_int_frac DIW 10 mM KOH],"",0)</f>
        <v>#REF!</v>
      </c>
      <c r="AJ441" s="69" t="e" cm="1">
        <f t="array" ref="AJ441">_xlfn.XLOOKUP(Table1[[#This Row],[5 cm2 cell test code]:[5 cm2 cell test code]],[1]!Table1[[Test code]:[Test code]],[1]!Table1[DIW conductivity (µS/cm)],"",0)</f>
        <v>#REF!</v>
      </c>
      <c r="AQ441" s="4" t="str">
        <v>VSG02A-23331E1.01</v>
      </c>
    </row>
    <row r="442" spans="1:43">
      <c r="A442" s="81"/>
      <c r="B442" s="11" t="s">
        <v>815</v>
      </c>
      <c r="J442" s="107"/>
      <c r="K442" s="89"/>
      <c r="L442" s="89"/>
      <c r="U442" s="101"/>
      <c r="V442" s="101"/>
      <c r="W442" s="69" t="e" cm="1">
        <f t="array" ref="W442">_xlfn.XLOOKUP(Table1[[#This Row],[5 cm2 cell test code]:[5 cm2 cell test code]],[1]!Table1[[Test code]:[Test code]],[1]!Table1[i @ 1.8 V DIW (A/cm2)],"",0)</f>
        <v>#REF!</v>
      </c>
      <c r="X442" s="69" t="e" cm="1">
        <f t="array" ref="X442">_xlfn.XLOOKUP(Table1[[#This Row],[5 cm2 cell test code]:[5 cm2 cell test code]],[1]!Table1[[Test code]:[Test code]],[1]!Table1[i @ 1.8 V 10 mM KOH (A/cm2)],"",0)</f>
        <v>#REF!</v>
      </c>
      <c r="Y442" s="69" t="e" cm="1">
        <f t="array" ref="Y442">_xlfn.XLOOKUP(Table1[[#This Row],[5 cm2 cell test code]:[5 cm2 cell test code]],[1]!Table1[[Test code]:[Test code]],[1]!Table1[3-E ƞ at 20mAcm-2 (mV)],"",0)</f>
        <v>#REF!</v>
      </c>
      <c r="Z442" s="69" t="e" cm="1">
        <f t="array" ref="Z442">_xlfn.XLOOKUP(Table1[[#This Row],[5 cm2 cell test code]:[5 cm2 cell test code]],[1]!Table1[[Test code]:[Test code]],[1]!Table1[3-E Tafel slope (mV/dec)],"",0)</f>
        <v>#REF!</v>
      </c>
      <c r="AA442" s="69" t="e" cm="1">
        <f t="array" ref="AA442">_xlfn.XLOOKUP(Table1[[#This Row],[5 cm2 cell test code]:[5 cm2 cell test code]],[1]!Table1[[Test code]:[Test code]],[1]!Table1[E @ 100 mA/cm2 DIW/V],"",0)</f>
        <v>#REF!</v>
      </c>
      <c r="AB442" s="69" t="e" cm="1">
        <f t="array" ref="AB442">_xlfn.XLOOKUP(Table1[[#This Row],[5 cm2 cell test code]:[5 cm2 cell test code]],[1]!Table1[[Test code]:[Test code]],[1]!Table1[E @ 100 mA/cm2 10 mM KOH/V],"",0)</f>
        <v>#REF!</v>
      </c>
      <c r="AC442" s="69" t="e" cm="1">
        <f t="array" ref="AC442">_xlfn.XLOOKUP(Table1[[#This Row],[5 cm2 cell test code]:[5 cm2 cell test code]],[1]!Table1[[Test code]:[Test code]],[1]!Table1[Anode ICR/mOhm],"",0)</f>
        <v>#REF!</v>
      </c>
      <c r="AD442" s="69" t="e" cm="1">
        <f t="array" ref="AD442">_xlfn.XLOOKUP(Table1[[#This Row],[5 cm2 cell test code]:[5 cm2 cell test code]],[1]!Table1[[Test code]:[Test code]],[1]!Table1[HFR DIW/ mOhm cm2],"",0)</f>
        <v>#REF!</v>
      </c>
      <c r="AE442" s="69" t="e" cm="1">
        <f t="array" ref="AE442">_xlfn.XLOOKUP(Table1[[#This Row],[5 cm2 cell test code]:[5 cm2 cell test code]],[1]!Table1[[Test code]:[Test code]],[1]!Table1[HFR 10 mM KOH/ mOhm cm2],"",0)</f>
        <v>#REF!</v>
      </c>
      <c r="AF442" s="69" t="e" cm="1">
        <f t="array" ref="AF442">_xlfn.XLOOKUP(Table1[[#This Row],[5 cm2 cell test code]:[5 cm2 cell test code]],[1]!Table1[[Test code]:[Test code]],[1]!Table1[Ionic resistance DIW/Ohm cm2],"",0)</f>
        <v>#REF!</v>
      </c>
      <c r="AG442" s="195" t="e" cm="1">
        <f t="array" ref="AG442">_xlfn.XLOOKUP(Table1[[#This Row],[5 cm2 cell test code]:[5 cm2 cell test code]],[1]!Table1[[Test code]:[Test code]],[1]!Table1[Q_int_frac DIW],"",0)</f>
        <v>#REF!</v>
      </c>
      <c r="AH442" s="195" t="e" cm="1">
        <f t="array" ref="AH442">_xlfn.XLOOKUP(Table1[[#This Row],[5 cm2 cell test code]:[5 cm2 cell test code]],[1]!Table1[[Test code]:[Test code]],[1]!Table1[Ionic resistance 10 mM KOH/Ohm cm2],"",0)</f>
        <v>#REF!</v>
      </c>
      <c r="AI442" s="195" t="e" cm="1">
        <f t="array" ref="AI442">_xlfn.XLOOKUP(Table1[[#This Row],[5 cm2 cell test code]:[5 cm2 cell test code]],[1]!Table1[[Test code]:[Test code]],[1]!Table1[Q_int_frac DIW 10 mM KOH],"",0)</f>
        <v>#REF!</v>
      </c>
      <c r="AJ442" s="69" t="e" cm="1">
        <f t="array" ref="AJ442">_xlfn.XLOOKUP(Table1[[#This Row],[5 cm2 cell test code]:[5 cm2 cell test code]],[1]!Table1[[Test code]:[Test code]],[1]!Table1[DIW conductivity (µS/cm)],"",0)</f>
        <v>#REF!</v>
      </c>
      <c r="AQ442" s="4" t="str">
        <v>VSG02A-23331E1.02</v>
      </c>
    </row>
    <row r="443" spans="1:43">
      <c r="A443" s="81"/>
      <c r="B443" s="11" t="s">
        <v>816</v>
      </c>
      <c r="J443" s="107"/>
      <c r="K443" s="89"/>
      <c r="L443" s="89"/>
      <c r="U443" s="101"/>
      <c r="V443" s="101"/>
      <c r="W443" s="69" t="e" cm="1">
        <f t="array" ref="W443">_xlfn.XLOOKUP(Table1[[#This Row],[5 cm2 cell test code]:[5 cm2 cell test code]],[1]!Table1[[Test code]:[Test code]],[1]!Table1[i @ 1.8 V DIW (A/cm2)],"",0)</f>
        <v>#REF!</v>
      </c>
      <c r="X443" s="69" t="e" cm="1">
        <f t="array" ref="X443">_xlfn.XLOOKUP(Table1[[#This Row],[5 cm2 cell test code]:[5 cm2 cell test code]],[1]!Table1[[Test code]:[Test code]],[1]!Table1[i @ 1.8 V 10 mM KOH (A/cm2)],"",0)</f>
        <v>#REF!</v>
      </c>
      <c r="Y443" s="69" t="e" cm="1">
        <f t="array" ref="Y443">_xlfn.XLOOKUP(Table1[[#This Row],[5 cm2 cell test code]:[5 cm2 cell test code]],[1]!Table1[[Test code]:[Test code]],[1]!Table1[3-E ƞ at 20mAcm-2 (mV)],"",0)</f>
        <v>#REF!</v>
      </c>
      <c r="Z443" s="69" t="e" cm="1">
        <f t="array" ref="Z443">_xlfn.XLOOKUP(Table1[[#This Row],[5 cm2 cell test code]:[5 cm2 cell test code]],[1]!Table1[[Test code]:[Test code]],[1]!Table1[3-E Tafel slope (mV/dec)],"",0)</f>
        <v>#REF!</v>
      </c>
      <c r="AA443" s="69" t="e" cm="1">
        <f t="array" ref="AA443">_xlfn.XLOOKUP(Table1[[#This Row],[5 cm2 cell test code]:[5 cm2 cell test code]],[1]!Table1[[Test code]:[Test code]],[1]!Table1[E @ 100 mA/cm2 DIW/V],"",0)</f>
        <v>#REF!</v>
      </c>
      <c r="AB443" s="69" t="e" cm="1">
        <f t="array" ref="AB443">_xlfn.XLOOKUP(Table1[[#This Row],[5 cm2 cell test code]:[5 cm2 cell test code]],[1]!Table1[[Test code]:[Test code]],[1]!Table1[E @ 100 mA/cm2 10 mM KOH/V],"",0)</f>
        <v>#REF!</v>
      </c>
      <c r="AC443" s="69" t="e" cm="1">
        <f t="array" ref="AC443">_xlfn.XLOOKUP(Table1[[#This Row],[5 cm2 cell test code]:[5 cm2 cell test code]],[1]!Table1[[Test code]:[Test code]],[1]!Table1[Anode ICR/mOhm],"",0)</f>
        <v>#REF!</v>
      </c>
      <c r="AD443" s="69" t="e" cm="1">
        <f t="array" ref="AD443">_xlfn.XLOOKUP(Table1[[#This Row],[5 cm2 cell test code]:[5 cm2 cell test code]],[1]!Table1[[Test code]:[Test code]],[1]!Table1[HFR DIW/ mOhm cm2],"",0)</f>
        <v>#REF!</v>
      </c>
      <c r="AE443" s="69" t="e" cm="1">
        <f t="array" ref="AE443">_xlfn.XLOOKUP(Table1[[#This Row],[5 cm2 cell test code]:[5 cm2 cell test code]],[1]!Table1[[Test code]:[Test code]],[1]!Table1[HFR 10 mM KOH/ mOhm cm2],"",0)</f>
        <v>#REF!</v>
      </c>
      <c r="AF443" s="69" t="e" cm="1">
        <f t="array" ref="AF443">_xlfn.XLOOKUP(Table1[[#This Row],[5 cm2 cell test code]:[5 cm2 cell test code]],[1]!Table1[[Test code]:[Test code]],[1]!Table1[Ionic resistance DIW/Ohm cm2],"",0)</f>
        <v>#REF!</v>
      </c>
      <c r="AG443" s="195" t="e" cm="1">
        <f t="array" ref="AG443">_xlfn.XLOOKUP(Table1[[#This Row],[5 cm2 cell test code]:[5 cm2 cell test code]],[1]!Table1[[Test code]:[Test code]],[1]!Table1[Q_int_frac DIW],"",0)</f>
        <v>#REF!</v>
      </c>
      <c r="AH443" s="195" t="e" cm="1">
        <f t="array" ref="AH443">_xlfn.XLOOKUP(Table1[[#This Row],[5 cm2 cell test code]:[5 cm2 cell test code]],[1]!Table1[[Test code]:[Test code]],[1]!Table1[Ionic resistance 10 mM KOH/Ohm cm2],"",0)</f>
        <v>#REF!</v>
      </c>
      <c r="AI443" s="195" t="e" cm="1">
        <f t="array" ref="AI443">_xlfn.XLOOKUP(Table1[[#This Row],[5 cm2 cell test code]:[5 cm2 cell test code]],[1]!Table1[[Test code]:[Test code]],[1]!Table1[Q_int_frac DIW 10 mM KOH],"",0)</f>
        <v>#REF!</v>
      </c>
      <c r="AJ443" s="69" t="e" cm="1">
        <f t="array" ref="AJ443">_xlfn.XLOOKUP(Table1[[#This Row],[5 cm2 cell test code]:[5 cm2 cell test code]],[1]!Table1[[Test code]:[Test code]],[1]!Table1[DIW conductivity (µS/cm)],"",0)</f>
        <v>#REF!</v>
      </c>
      <c r="AQ443" s="4" t="str">
        <v>VSG02A-23332E1.01</v>
      </c>
    </row>
    <row r="444" spans="1:43">
      <c r="A444" s="81"/>
      <c r="B444" s="11" t="s">
        <v>817</v>
      </c>
      <c r="J444" s="107"/>
      <c r="K444" s="89"/>
      <c r="L444" s="89"/>
      <c r="U444" s="101"/>
      <c r="V444" s="101"/>
      <c r="W444" s="69" t="e" cm="1">
        <f t="array" ref="W444">_xlfn.XLOOKUP(Table1[[#This Row],[5 cm2 cell test code]:[5 cm2 cell test code]],[1]!Table1[[Test code]:[Test code]],[1]!Table1[i @ 1.8 V DIW (A/cm2)],"",0)</f>
        <v>#REF!</v>
      </c>
      <c r="X444" s="69" t="e" cm="1">
        <f t="array" ref="X444">_xlfn.XLOOKUP(Table1[[#This Row],[5 cm2 cell test code]:[5 cm2 cell test code]],[1]!Table1[[Test code]:[Test code]],[1]!Table1[i @ 1.8 V 10 mM KOH (A/cm2)],"",0)</f>
        <v>#REF!</v>
      </c>
      <c r="Y444" s="69" t="e" cm="1">
        <f t="array" ref="Y444">_xlfn.XLOOKUP(Table1[[#This Row],[5 cm2 cell test code]:[5 cm2 cell test code]],[1]!Table1[[Test code]:[Test code]],[1]!Table1[3-E ƞ at 20mAcm-2 (mV)],"",0)</f>
        <v>#REF!</v>
      </c>
      <c r="Z444" s="69" t="e" cm="1">
        <f t="array" ref="Z444">_xlfn.XLOOKUP(Table1[[#This Row],[5 cm2 cell test code]:[5 cm2 cell test code]],[1]!Table1[[Test code]:[Test code]],[1]!Table1[3-E Tafel slope (mV/dec)],"",0)</f>
        <v>#REF!</v>
      </c>
      <c r="AA444" s="69" t="e" cm="1">
        <f t="array" ref="AA444">_xlfn.XLOOKUP(Table1[[#This Row],[5 cm2 cell test code]:[5 cm2 cell test code]],[1]!Table1[[Test code]:[Test code]],[1]!Table1[E @ 100 mA/cm2 DIW/V],"",0)</f>
        <v>#REF!</v>
      </c>
      <c r="AB444" s="69" t="e" cm="1">
        <f t="array" ref="AB444">_xlfn.XLOOKUP(Table1[[#This Row],[5 cm2 cell test code]:[5 cm2 cell test code]],[1]!Table1[[Test code]:[Test code]],[1]!Table1[E @ 100 mA/cm2 10 mM KOH/V],"",0)</f>
        <v>#REF!</v>
      </c>
      <c r="AC444" s="69" t="e" cm="1">
        <f t="array" ref="AC444">_xlfn.XLOOKUP(Table1[[#This Row],[5 cm2 cell test code]:[5 cm2 cell test code]],[1]!Table1[[Test code]:[Test code]],[1]!Table1[Anode ICR/mOhm],"",0)</f>
        <v>#REF!</v>
      </c>
      <c r="AD444" s="69" t="e" cm="1">
        <f t="array" ref="AD444">_xlfn.XLOOKUP(Table1[[#This Row],[5 cm2 cell test code]:[5 cm2 cell test code]],[1]!Table1[[Test code]:[Test code]],[1]!Table1[HFR DIW/ mOhm cm2],"",0)</f>
        <v>#REF!</v>
      </c>
      <c r="AE444" s="69" t="e" cm="1">
        <f t="array" ref="AE444">_xlfn.XLOOKUP(Table1[[#This Row],[5 cm2 cell test code]:[5 cm2 cell test code]],[1]!Table1[[Test code]:[Test code]],[1]!Table1[HFR 10 mM KOH/ mOhm cm2],"",0)</f>
        <v>#REF!</v>
      </c>
      <c r="AF444" s="69" t="e" cm="1">
        <f t="array" ref="AF444">_xlfn.XLOOKUP(Table1[[#This Row],[5 cm2 cell test code]:[5 cm2 cell test code]],[1]!Table1[[Test code]:[Test code]],[1]!Table1[Ionic resistance DIW/Ohm cm2],"",0)</f>
        <v>#REF!</v>
      </c>
      <c r="AG444" s="195" t="e" cm="1">
        <f t="array" ref="AG444">_xlfn.XLOOKUP(Table1[[#This Row],[5 cm2 cell test code]:[5 cm2 cell test code]],[1]!Table1[[Test code]:[Test code]],[1]!Table1[Q_int_frac DIW],"",0)</f>
        <v>#REF!</v>
      </c>
      <c r="AH444" s="195" t="e" cm="1">
        <f t="array" ref="AH444">_xlfn.XLOOKUP(Table1[[#This Row],[5 cm2 cell test code]:[5 cm2 cell test code]],[1]!Table1[[Test code]:[Test code]],[1]!Table1[Ionic resistance 10 mM KOH/Ohm cm2],"",0)</f>
        <v>#REF!</v>
      </c>
      <c r="AI444" s="195" t="e" cm="1">
        <f t="array" ref="AI444">_xlfn.XLOOKUP(Table1[[#This Row],[5 cm2 cell test code]:[5 cm2 cell test code]],[1]!Table1[[Test code]:[Test code]],[1]!Table1[Q_int_frac DIW 10 mM KOH],"",0)</f>
        <v>#REF!</v>
      </c>
      <c r="AJ444" s="69" t="e" cm="1">
        <f t="array" ref="AJ444">_xlfn.XLOOKUP(Table1[[#This Row],[5 cm2 cell test code]:[5 cm2 cell test code]],[1]!Table1[[Test code]:[Test code]],[1]!Table1[DIW conductivity (µS/cm)],"",0)</f>
        <v>#REF!</v>
      </c>
      <c r="AQ444" s="4" t="str">
        <v>VSG02A-23332E1.02</v>
      </c>
    </row>
    <row r="445" spans="1:43">
      <c r="A445" s="81"/>
      <c r="B445" s="11" t="s">
        <v>818</v>
      </c>
      <c r="J445" s="107"/>
      <c r="K445" s="89"/>
      <c r="L445" s="89"/>
      <c r="U445" s="101"/>
      <c r="V445" s="101"/>
      <c r="W445" s="69" t="e" cm="1">
        <f t="array" ref="W445">_xlfn.XLOOKUP(Table1[[#This Row],[5 cm2 cell test code]:[5 cm2 cell test code]],[1]!Table1[[Test code]:[Test code]],[1]!Table1[i @ 1.8 V DIW (A/cm2)],"",0)</f>
        <v>#REF!</v>
      </c>
      <c r="X445" s="69" t="e" cm="1">
        <f t="array" ref="X445">_xlfn.XLOOKUP(Table1[[#This Row],[5 cm2 cell test code]:[5 cm2 cell test code]],[1]!Table1[[Test code]:[Test code]],[1]!Table1[i @ 1.8 V 10 mM KOH (A/cm2)],"",0)</f>
        <v>#REF!</v>
      </c>
      <c r="Y445" s="69" t="e" cm="1">
        <f t="array" ref="Y445">_xlfn.XLOOKUP(Table1[[#This Row],[5 cm2 cell test code]:[5 cm2 cell test code]],[1]!Table1[[Test code]:[Test code]],[1]!Table1[3-E ƞ at 20mAcm-2 (mV)],"",0)</f>
        <v>#REF!</v>
      </c>
      <c r="Z445" s="69" t="e" cm="1">
        <f t="array" ref="Z445">_xlfn.XLOOKUP(Table1[[#This Row],[5 cm2 cell test code]:[5 cm2 cell test code]],[1]!Table1[[Test code]:[Test code]],[1]!Table1[3-E Tafel slope (mV/dec)],"",0)</f>
        <v>#REF!</v>
      </c>
      <c r="AA445" s="69" t="e" cm="1">
        <f t="array" ref="AA445">_xlfn.XLOOKUP(Table1[[#This Row],[5 cm2 cell test code]:[5 cm2 cell test code]],[1]!Table1[[Test code]:[Test code]],[1]!Table1[E @ 100 mA/cm2 DIW/V],"",0)</f>
        <v>#REF!</v>
      </c>
      <c r="AB445" s="69" t="e" cm="1">
        <f t="array" ref="AB445">_xlfn.XLOOKUP(Table1[[#This Row],[5 cm2 cell test code]:[5 cm2 cell test code]],[1]!Table1[[Test code]:[Test code]],[1]!Table1[E @ 100 mA/cm2 10 mM KOH/V],"",0)</f>
        <v>#REF!</v>
      </c>
      <c r="AC445" s="69" t="e" cm="1">
        <f t="array" ref="AC445">_xlfn.XLOOKUP(Table1[[#This Row],[5 cm2 cell test code]:[5 cm2 cell test code]],[1]!Table1[[Test code]:[Test code]],[1]!Table1[Anode ICR/mOhm],"",0)</f>
        <v>#REF!</v>
      </c>
      <c r="AD445" s="69" t="e" cm="1">
        <f t="array" ref="AD445">_xlfn.XLOOKUP(Table1[[#This Row],[5 cm2 cell test code]:[5 cm2 cell test code]],[1]!Table1[[Test code]:[Test code]],[1]!Table1[HFR DIW/ mOhm cm2],"",0)</f>
        <v>#REF!</v>
      </c>
      <c r="AE445" s="69" t="e" cm="1">
        <f t="array" ref="AE445">_xlfn.XLOOKUP(Table1[[#This Row],[5 cm2 cell test code]:[5 cm2 cell test code]],[1]!Table1[[Test code]:[Test code]],[1]!Table1[HFR 10 mM KOH/ mOhm cm2],"",0)</f>
        <v>#REF!</v>
      </c>
      <c r="AF445" s="69" t="e" cm="1">
        <f t="array" ref="AF445">_xlfn.XLOOKUP(Table1[[#This Row],[5 cm2 cell test code]:[5 cm2 cell test code]],[1]!Table1[[Test code]:[Test code]],[1]!Table1[Ionic resistance DIW/Ohm cm2],"",0)</f>
        <v>#REF!</v>
      </c>
      <c r="AG445" s="195" t="e" cm="1">
        <f t="array" ref="AG445">_xlfn.XLOOKUP(Table1[[#This Row],[5 cm2 cell test code]:[5 cm2 cell test code]],[1]!Table1[[Test code]:[Test code]],[1]!Table1[Q_int_frac DIW],"",0)</f>
        <v>#REF!</v>
      </c>
      <c r="AH445" s="195" t="e" cm="1">
        <f t="array" ref="AH445">_xlfn.XLOOKUP(Table1[[#This Row],[5 cm2 cell test code]:[5 cm2 cell test code]],[1]!Table1[[Test code]:[Test code]],[1]!Table1[Ionic resistance 10 mM KOH/Ohm cm2],"",0)</f>
        <v>#REF!</v>
      </c>
      <c r="AI445" s="195" t="e" cm="1">
        <f t="array" ref="AI445">_xlfn.XLOOKUP(Table1[[#This Row],[5 cm2 cell test code]:[5 cm2 cell test code]],[1]!Table1[[Test code]:[Test code]],[1]!Table1[Q_int_frac DIW 10 mM KOH],"",0)</f>
        <v>#REF!</v>
      </c>
      <c r="AJ445" s="69" t="e" cm="1">
        <f t="array" ref="AJ445">_xlfn.XLOOKUP(Table1[[#This Row],[5 cm2 cell test code]:[5 cm2 cell test code]],[1]!Table1[[Test code]:[Test code]],[1]!Table1[DIW conductivity (µS/cm)],"",0)</f>
        <v>#REF!</v>
      </c>
      <c r="AQ445" s="4" t="str">
        <v>VSG02A-23333E1.01</v>
      </c>
    </row>
    <row r="446" spans="1:43">
      <c r="A446" s="81"/>
      <c r="B446" s="11" t="s">
        <v>819</v>
      </c>
      <c r="J446" s="107"/>
      <c r="K446" s="89"/>
      <c r="L446" s="89"/>
      <c r="U446" s="101"/>
      <c r="V446" s="101"/>
      <c r="W446" s="69" t="e" cm="1">
        <f t="array" ref="W446">_xlfn.XLOOKUP(Table1[[#This Row],[5 cm2 cell test code]:[5 cm2 cell test code]],[1]!Table1[[Test code]:[Test code]],[1]!Table1[i @ 1.8 V DIW (A/cm2)],"",0)</f>
        <v>#REF!</v>
      </c>
      <c r="X446" s="69" t="e" cm="1">
        <f t="array" ref="X446">_xlfn.XLOOKUP(Table1[[#This Row],[5 cm2 cell test code]:[5 cm2 cell test code]],[1]!Table1[[Test code]:[Test code]],[1]!Table1[i @ 1.8 V 10 mM KOH (A/cm2)],"",0)</f>
        <v>#REF!</v>
      </c>
      <c r="Y446" s="69" t="e" cm="1">
        <f t="array" ref="Y446">_xlfn.XLOOKUP(Table1[[#This Row],[5 cm2 cell test code]:[5 cm2 cell test code]],[1]!Table1[[Test code]:[Test code]],[1]!Table1[3-E ƞ at 20mAcm-2 (mV)],"",0)</f>
        <v>#REF!</v>
      </c>
      <c r="Z446" s="69" t="e" cm="1">
        <f t="array" ref="Z446">_xlfn.XLOOKUP(Table1[[#This Row],[5 cm2 cell test code]:[5 cm2 cell test code]],[1]!Table1[[Test code]:[Test code]],[1]!Table1[3-E Tafel slope (mV/dec)],"",0)</f>
        <v>#REF!</v>
      </c>
      <c r="AA446" s="69" t="e" cm="1">
        <f t="array" ref="AA446">_xlfn.XLOOKUP(Table1[[#This Row],[5 cm2 cell test code]:[5 cm2 cell test code]],[1]!Table1[[Test code]:[Test code]],[1]!Table1[E @ 100 mA/cm2 DIW/V],"",0)</f>
        <v>#REF!</v>
      </c>
      <c r="AB446" s="69" t="e" cm="1">
        <f t="array" ref="AB446">_xlfn.XLOOKUP(Table1[[#This Row],[5 cm2 cell test code]:[5 cm2 cell test code]],[1]!Table1[[Test code]:[Test code]],[1]!Table1[E @ 100 mA/cm2 10 mM KOH/V],"",0)</f>
        <v>#REF!</v>
      </c>
      <c r="AC446" s="69" t="e" cm="1">
        <f t="array" ref="AC446">_xlfn.XLOOKUP(Table1[[#This Row],[5 cm2 cell test code]:[5 cm2 cell test code]],[1]!Table1[[Test code]:[Test code]],[1]!Table1[Anode ICR/mOhm],"",0)</f>
        <v>#REF!</v>
      </c>
      <c r="AD446" s="69" t="e" cm="1">
        <f t="array" ref="AD446">_xlfn.XLOOKUP(Table1[[#This Row],[5 cm2 cell test code]:[5 cm2 cell test code]],[1]!Table1[[Test code]:[Test code]],[1]!Table1[HFR DIW/ mOhm cm2],"",0)</f>
        <v>#REF!</v>
      </c>
      <c r="AE446" s="69" t="e" cm="1">
        <f t="array" ref="AE446">_xlfn.XLOOKUP(Table1[[#This Row],[5 cm2 cell test code]:[5 cm2 cell test code]],[1]!Table1[[Test code]:[Test code]],[1]!Table1[HFR 10 mM KOH/ mOhm cm2],"",0)</f>
        <v>#REF!</v>
      </c>
      <c r="AF446" s="69" t="e" cm="1">
        <f t="array" ref="AF446">_xlfn.XLOOKUP(Table1[[#This Row],[5 cm2 cell test code]:[5 cm2 cell test code]],[1]!Table1[[Test code]:[Test code]],[1]!Table1[Ionic resistance DIW/Ohm cm2],"",0)</f>
        <v>#REF!</v>
      </c>
      <c r="AG446" s="195" t="e" cm="1">
        <f t="array" ref="AG446">_xlfn.XLOOKUP(Table1[[#This Row],[5 cm2 cell test code]:[5 cm2 cell test code]],[1]!Table1[[Test code]:[Test code]],[1]!Table1[Q_int_frac DIW],"",0)</f>
        <v>#REF!</v>
      </c>
      <c r="AH446" s="195" t="e" cm="1">
        <f t="array" ref="AH446">_xlfn.XLOOKUP(Table1[[#This Row],[5 cm2 cell test code]:[5 cm2 cell test code]],[1]!Table1[[Test code]:[Test code]],[1]!Table1[Ionic resistance 10 mM KOH/Ohm cm2],"",0)</f>
        <v>#REF!</v>
      </c>
      <c r="AI446" s="195" t="e" cm="1">
        <f t="array" ref="AI446">_xlfn.XLOOKUP(Table1[[#This Row],[5 cm2 cell test code]:[5 cm2 cell test code]],[1]!Table1[[Test code]:[Test code]],[1]!Table1[Q_int_frac DIW 10 mM KOH],"",0)</f>
        <v>#REF!</v>
      </c>
      <c r="AJ446" s="69" t="e" cm="1">
        <f t="array" ref="AJ446">_xlfn.XLOOKUP(Table1[[#This Row],[5 cm2 cell test code]:[5 cm2 cell test code]],[1]!Table1[[Test code]:[Test code]],[1]!Table1[DIW conductivity (µS/cm)],"",0)</f>
        <v>#REF!</v>
      </c>
      <c r="AQ446" s="4" t="str">
        <v>VSG02A-23333E1.02</v>
      </c>
    </row>
    <row r="447" spans="1:43">
      <c r="A447" s="81"/>
      <c r="B447" s="11" t="s">
        <v>820</v>
      </c>
      <c r="J447" s="107"/>
      <c r="K447" s="89"/>
      <c r="L447" s="89"/>
      <c r="Q447" s="4">
        <v>6.3953550539451037E-2</v>
      </c>
      <c r="U447" s="101"/>
      <c r="V447" s="101"/>
      <c r="W447" s="69" t="e" cm="1">
        <f t="array" ref="W447">_xlfn.XLOOKUP(Table1[[#This Row],[5 cm2 cell test code]:[5 cm2 cell test code]],[1]!Table1[[Test code]:[Test code]],[1]!Table1[i @ 1.8 V DIW (A/cm2)],"",0)</f>
        <v>#REF!</v>
      </c>
      <c r="X447" s="69" t="e" cm="1">
        <f t="array" ref="X447">_xlfn.XLOOKUP(Table1[[#This Row],[5 cm2 cell test code]:[5 cm2 cell test code]],[1]!Table1[[Test code]:[Test code]],[1]!Table1[i @ 1.8 V 10 mM KOH (A/cm2)],"",0)</f>
        <v>#REF!</v>
      </c>
      <c r="Y447" s="69" t="e" cm="1">
        <f t="array" ref="Y447">_xlfn.XLOOKUP(Table1[[#This Row],[5 cm2 cell test code]:[5 cm2 cell test code]],[1]!Table1[[Test code]:[Test code]],[1]!Table1[3-E ƞ at 20mAcm-2 (mV)],"",0)</f>
        <v>#REF!</v>
      </c>
      <c r="Z447" s="69" t="e" cm="1">
        <f t="array" ref="Z447">_xlfn.XLOOKUP(Table1[[#This Row],[5 cm2 cell test code]:[5 cm2 cell test code]],[1]!Table1[[Test code]:[Test code]],[1]!Table1[3-E Tafel slope (mV/dec)],"",0)</f>
        <v>#REF!</v>
      </c>
      <c r="AA447" s="69" t="e" cm="1">
        <f t="array" ref="AA447">_xlfn.XLOOKUP(Table1[[#This Row],[5 cm2 cell test code]:[5 cm2 cell test code]],[1]!Table1[[Test code]:[Test code]],[1]!Table1[E @ 100 mA/cm2 DIW/V],"",0)</f>
        <v>#REF!</v>
      </c>
      <c r="AB447" s="69" t="e" cm="1">
        <f t="array" ref="AB447">_xlfn.XLOOKUP(Table1[[#This Row],[5 cm2 cell test code]:[5 cm2 cell test code]],[1]!Table1[[Test code]:[Test code]],[1]!Table1[E @ 100 mA/cm2 10 mM KOH/V],"",0)</f>
        <v>#REF!</v>
      </c>
      <c r="AC447" s="69" t="e" cm="1">
        <f t="array" ref="AC447">_xlfn.XLOOKUP(Table1[[#This Row],[5 cm2 cell test code]:[5 cm2 cell test code]],[1]!Table1[[Test code]:[Test code]],[1]!Table1[Anode ICR/mOhm],"",0)</f>
        <v>#REF!</v>
      </c>
      <c r="AD447" s="69" t="e" cm="1">
        <f t="array" ref="AD447">_xlfn.XLOOKUP(Table1[[#This Row],[5 cm2 cell test code]:[5 cm2 cell test code]],[1]!Table1[[Test code]:[Test code]],[1]!Table1[HFR DIW/ mOhm cm2],"",0)</f>
        <v>#REF!</v>
      </c>
      <c r="AE447" s="69" t="e" cm="1">
        <f t="array" ref="AE447">_xlfn.XLOOKUP(Table1[[#This Row],[5 cm2 cell test code]:[5 cm2 cell test code]],[1]!Table1[[Test code]:[Test code]],[1]!Table1[HFR 10 mM KOH/ mOhm cm2],"",0)</f>
        <v>#REF!</v>
      </c>
      <c r="AF447" s="69" t="e" cm="1">
        <f t="array" ref="AF447">_xlfn.XLOOKUP(Table1[[#This Row],[5 cm2 cell test code]:[5 cm2 cell test code]],[1]!Table1[[Test code]:[Test code]],[1]!Table1[Ionic resistance DIW/Ohm cm2],"",0)</f>
        <v>#REF!</v>
      </c>
      <c r="AG447" s="195" t="e" cm="1">
        <f t="array" ref="AG447">_xlfn.XLOOKUP(Table1[[#This Row],[5 cm2 cell test code]:[5 cm2 cell test code]],[1]!Table1[[Test code]:[Test code]],[1]!Table1[Q_int_frac DIW],"",0)</f>
        <v>#REF!</v>
      </c>
      <c r="AH447" s="195" t="e" cm="1">
        <f t="array" ref="AH447">_xlfn.XLOOKUP(Table1[[#This Row],[5 cm2 cell test code]:[5 cm2 cell test code]],[1]!Table1[[Test code]:[Test code]],[1]!Table1[Ionic resistance 10 mM KOH/Ohm cm2],"",0)</f>
        <v>#REF!</v>
      </c>
      <c r="AI447" s="195" t="e" cm="1">
        <f t="array" ref="AI447">_xlfn.XLOOKUP(Table1[[#This Row],[5 cm2 cell test code]:[5 cm2 cell test code]],[1]!Table1[[Test code]:[Test code]],[1]!Table1[Q_int_frac DIW 10 mM KOH],"",0)</f>
        <v>#REF!</v>
      </c>
      <c r="AJ447" s="69" t="e" cm="1">
        <f t="array" ref="AJ447">_xlfn.XLOOKUP(Table1[[#This Row],[5 cm2 cell test code]:[5 cm2 cell test code]],[1]!Table1[[Test code]:[Test code]],[1]!Table1[DIW conductivity (µS/cm)],"",0)</f>
        <v>#REF!</v>
      </c>
      <c r="AQ447" s="4" t="str">
        <v>VSG02A-23334E1.01</v>
      </c>
    </row>
    <row r="448" spans="1:43">
      <c r="A448" s="81"/>
      <c r="B448" s="11" t="s">
        <v>821</v>
      </c>
      <c r="J448" s="107"/>
      <c r="K448" s="89"/>
      <c r="L448" s="89"/>
      <c r="U448" s="101"/>
      <c r="V448" s="101"/>
      <c r="W448" s="69" t="e" cm="1">
        <f t="array" ref="W448">_xlfn.XLOOKUP(Table1[[#This Row],[5 cm2 cell test code]:[5 cm2 cell test code]],[1]!Table1[[Test code]:[Test code]],[1]!Table1[i @ 1.8 V DIW (A/cm2)],"",0)</f>
        <v>#REF!</v>
      </c>
      <c r="X448" s="69" t="e" cm="1">
        <f t="array" ref="X448">_xlfn.XLOOKUP(Table1[[#This Row],[5 cm2 cell test code]:[5 cm2 cell test code]],[1]!Table1[[Test code]:[Test code]],[1]!Table1[i @ 1.8 V 10 mM KOH (A/cm2)],"",0)</f>
        <v>#REF!</v>
      </c>
      <c r="Y448" s="69" t="e" cm="1">
        <f t="array" ref="Y448">_xlfn.XLOOKUP(Table1[[#This Row],[5 cm2 cell test code]:[5 cm2 cell test code]],[1]!Table1[[Test code]:[Test code]],[1]!Table1[3-E ƞ at 20mAcm-2 (mV)],"",0)</f>
        <v>#REF!</v>
      </c>
      <c r="Z448" s="69" t="e" cm="1">
        <f t="array" ref="Z448">_xlfn.XLOOKUP(Table1[[#This Row],[5 cm2 cell test code]:[5 cm2 cell test code]],[1]!Table1[[Test code]:[Test code]],[1]!Table1[3-E Tafel slope (mV/dec)],"",0)</f>
        <v>#REF!</v>
      </c>
      <c r="AA448" s="69" t="e" cm="1">
        <f t="array" ref="AA448">_xlfn.XLOOKUP(Table1[[#This Row],[5 cm2 cell test code]:[5 cm2 cell test code]],[1]!Table1[[Test code]:[Test code]],[1]!Table1[E @ 100 mA/cm2 DIW/V],"",0)</f>
        <v>#REF!</v>
      </c>
      <c r="AB448" s="69" t="e" cm="1">
        <f t="array" ref="AB448">_xlfn.XLOOKUP(Table1[[#This Row],[5 cm2 cell test code]:[5 cm2 cell test code]],[1]!Table1[[Test code]:[Test code]],[1]!Table1[E @ 100 mA/cm2 10 mM KOH/V],"",0)</f>
        <v>#REF!</v>
      </c>
      <c r="AC448" s="69" t="e" cm="1">
        <f t="array" ref="AC448">_xlfn.XLOOKUP(Table1[[#This Row],[5 cm2 cell test code]:[5 cm2 cell test code]],[1]!Table1[[Test code]:[Test code]],[1]!Table1[Anode ICR/mOhm],"",0)</f>
        <v>#REF!</v>
      </c>
      <c r="AD448" s="69" t="e" cm="1">
        <f t="array" ref="AD448">_xlfn.XLOOKUP(Table1[[#This Row],[5 cm2 cell test code]:[5 cm2 cell test code]],[1]!Table1[[Test code]:[Test code]],[1]!Table1[HFR DIW/ mOhm cm2],"",0)</f>
        <v>#REF!</v>
      </c>
      <c r="AE448" s="69" t="e" cm="1">
        <f t="array" ref="AE448">_xlfn.XLOOKUP(Table1[[#This Row],[5 cm2 cell test code]:[5 cm2 cell test code]],[1]!Table1[[Test code]:[Test code]],[1]!Table1[HFR 10 mM KOH/ mOhm cm2],"",0)</f>
        <v>#REF!</v>
      </c>
      <c r="AF448" s="69" t="e" cm="1">
        <f t="array" ref="AF448">_xlfn.XLOOKUP(Table1[[#This Row],[5 cm2 cell test code]:[5 cm2 cell test code]],[1]!Table1[[Test code]:[Test code]],[1]!Table1[Ionic resistance DIW/Ohm cm2],"",0)</f>
        <v>#REF!</v>
      </c>
      <c r="AG448" s="195" t="e" cm="1">
        <f t="array" ref="AG448">_xlfn.XLOOKUP(Table1[[#This Row],[5 cm2 cell test code]:[5 cm2 cell test code]],[1]!Table1[[Test code]:[Test code]],[1]!Table1[Q_int_frac DIW],"",0)</f>
        <v>#REF!</v>
      </c>
      <c r="AH448" s="195" t="e" cm="1">
        <f t="array" ref="AH448">_xlfn.XLOOKUP(Table1[[#This Row],[5 cm2 cell test code]:[5 cm2 cell test code]],[1]!Table1[[Test code]:[Test code]],[1]!Table1[Ionic resistance 10 mM KOH/Ohm cm2],"",0)</f>
        <v>#REF!</v>
      </c>
      <c r="AI448" s="195" t="e" cm="1">
        <f t="array" ref="AI448">_xlfn.XLOOKUP(Table1[[#This Row],[5 cm2 cell test code]:[5 cm2 cell test code]],[1]!Table1[[Test code]:[Test code]],[1]!Table1[Q_int_frac DIW 10 mM KOH],"",0)</f>
        <v>#REF!</v>
      </c>
      <c r="AJ448" s="69" t="e" cm="1">
        <f t="array" ref="AJ448">_xlfn.XLOOKUP(Table1[[#This Row],[5 cm2 cell test code]:[5 cm2 cell test code]],[1]!Table1[[Test code]:[Test code]],[1]!Table1[DIW conductivity (µS/cm)],"",0)</f>
        <v>#REF!</v>
      </c>
      <c r="AQ448" s="4" t="str">
        <v>VSG02A-23334E1.02</v>
      </c>
    </row>
    <row r="449" spans="1:43">
      <c r="A449" s="81"/>
      <c r="B449" s="11" t="s">
        <v>822</v>
      </c>
      <c r="J449" s="107"/>
      <c r="K449" s="89"/>
      <c r="L449" s="89"/>
      <c r="U449" s="101"/>
      <c r="V449" s="101"/>
      <c r="W449" s="69" t="e" cm="1">
        <f t="array" ref="W449">_xlfn.XLOOKUP(Table1[[#This Row],[5 cm2 cell test code]:[5 cm2 cell test code]],[1]!Table1[[Test code]:[Test code]],[1]!Table1[i @ 1.8 V DIW (A/cm2)],"",0)</f>
        <v>#REF!</v>
      </c>
      <c r="X449" s="69" t="e" cm="1">
        <f t="array" ref="X449">_xlfn.XLOOKUP(Table1[[#This Row],[5 cm2 cell test code]:[5 cm2 cell test code]],[1]!Table1[[Test code]:[Test code]],[1]!Table1[i @ 1.8 V 10 mM KOH (A/cm2)],"",0)</f>
        <v>#REF!</v>
      </c>
      <c r="Y449" s="69" t="e" cm="1">
        <f t="array" ref="Y449">_xlfn.XLOOKUP(Table1[[#This Row],[5 cm2 cell test code]:[5 cm2 cell test code]],[1]!Table1[[Test code]:[Test code]],[1]!Table1[3-E ƞ at 20mAcm-2 (mV)],"",0)</f>
        <v>#REF!</v>
      </c>
      <c r="Z449" s="69" t="e" cm="1">
        <f t="array" ref="Z449">_xlfn.XLOOKUP(Table1[[#This Row],[5 cm2 cell test code]:[5 cm2 cell test code]],[1]!Table1[[Test code]:[Test code]],[1]!Table1[3-E Tafel slope (mV/dec)],"",0)</f>
        <v>#REF!</v>
      </c>
      <c r="AA449" s="69" t="e" cm="1">
        <f t="array" ref="AA449">_xlfn.XLOOKUP(Table1[[#This Row],[5 cm2 cell test code]:[5 cm2 cell test code]],[1]!Table1[[Test code]:[Test code]],[1]!Table1[E @ 100 mA/cm2 DIW/V],"",0)</f>
        <v>#REF!</v>
      </c>
      <c r="AB449" s="69" t="e" cm="1">
        <f t="array" ref="AB449">_xlfn.XLOOKUP(Table1[[#This Row],[5 cm2 cell test code]:[5 cm2 cell test code]],[1]!Table1[[Test code]:[Test code]],[1]!Table1[E @ 100 mA/cm2 10 mM KOH/V],"",0)</f>
        <v>#REF!</v>
      </c>
      <c r="AC449" s="69" t="e" cm="1">
        <f t="array" ref="AC449">_xlfn.XLOOKUP(Table1[[#This Row],[5 cm2 cell test code]:[5 cm2 cell test code]],[1]!Table1[[Test code]:[Test code]],[1]!Table1[Anode ICR/mOhm],"",0)</f>
        <v>#REF!</v>
      </c>
      <c r="AD449" s="69" t="e" cm="1">
        <f t="array" ref="AD449">_xlfn.XLOOKUP(Table1[[#This Row],[5 cm2 cell test code]:[5 cm2 cell test code]],[1]!Table1[[Test code]:[Test code]],[1]!Table1[HFR DIW/ mOhm cm2],"",0)</f>
        <v>#REF!</v>
      </c>
      <c r="AE449" s="69" t="e" cm="1">
        <f t="array" ref="AE449">_xlfn.XLOOKUP(Table1[[#This Row],[5 cm2 cell test code]:[5 cm2 cell test code]],[1]!Table1[[Test code]:[Test code]],[1]!Table1[HFR 10 mM KOH/ mOhm cm2],"",0)</f>
        <v>#REF!</v>
      </c>
      <c r="AF449" s="69" t="e" cm="1">
        <f t="array" ref="AF449">_xlfn.XLOOKUP(Table1[[#This Row],[5 cm2 cell test code]:[5 cm2 cell test code]],[1]!Table1[[Test code]:[Test code]],[1]!Table1[Ionic resistance DIW/Ohm cm2],"",0)</f>
        <v>#REF!</v>
      </c>
      <c r="AG449" s="195" t="e" cm="1">
        <f t="array" ref="AG449">_xlfn.XLOOKUP(Table1[[#This Row],[5 cm2 cell test code]:[5 cm2 cell test code]],[1]!Table1[[Test code]:[Test code]],[1]!Table1[Q_int_frac DIW],"",0)</f>
        <v>#REF!</v>
      </c>
      <c r="AH449" s="195" t="e" cm="1">
        <f t="array" ref="AH449">_xlfn.XLOOKUP(Table1[[#This Row],[5 cm2 cell test code]:[5 cm2 cell test code]],[1]!Table1[[Test code]:[Test code]],[1]!Table1[Ionic resistance 10 mM KOH/Ohm cm2],"",0)</f>
        <v>#REF!</v>
      </c>
      <c r="AI449" s="195" t="e" cm="1">
        <f t="array" ref="AI449">_xlfn.XLOOKUP(Table1[[#This Row],[5 cm2 cell test code]:[5 cm2 cell test code]],[1]!Table1[[Test code]:[Test code]],[1]!Table1[Q_int_frac DIW 10 mM KOH],"",0)</f>
        <v>#REF!</v>
      </c>
      <c r="AJ449" s="69" t="e" cm="1">
        <f t="array" ref="AJ449">_xlfn.XLOOKUP(Table1[[#This Row],[5 cm2 cell test code]:[5 cm2 cell test code]],[1]!Table1[[Test code]:[Test code]],[1]!Table1[DIW conductivity (µS/cm)],"",0)</f>
        <v>#REF!</v>
      </c>
      <c r="AQ449" s="4" t="str">
        <v>VSG02A-23335E1.01</v>
      </c>
    </row>
    <row r="450" spans="1:43">
      <c r="A450" s="81"/>
      <c r="B450" s="11" t="s">
        <v>823</v>
      </c>
      <c r="J450" s="107"/>
      <c r="K450" s="89"/>
      <c r="L450" s="89"/>
      <c r="Q450" s="4">
        <v>3.5295463051524097E-2</v>
      </c>
      <c r="U450" s="101"/>
      <c r="V450" s="101"/>
      <c r="W450" s="69" t="e" cm="1">
        <f t="array" ref="W450">_xlfn.XLOOKUP(Table1[[#This Row],[5 cm2 cell test code]:[5 cm2 cell test code]],[1]!Table1[[Test code]:[Test code]],[1]!Table1[i @ 1.8 V DIW (A/cm2)],"",0)</f>
        <v>#REF!</v>
      </c>
      <c r="X450" s="69" t="e" cm="1">
        <f t="array" ref="X450">_xlfn.XLOOKUP(Table1[[#This Row],[5 cm2 cell test code]:[5 cm2 cell test code]],[1]!Table1[[Test code]:[Test code]],[1]!Table1[i @ 1.8 V 10 mM KOH (A/cm2)],"",0)</f>
        <v>#REF!</v>
      </c>
      <c r="Y450" s="69" t="e" cm="1">
        <f t="array" ref="Y450">_xlfn.XLOOKUP(Table1[[#This Row],[5 cm2 cell test code]:[5 cm2 cell test code]],[1]!Table1[[Test code]:[Test code]],[1]!Table1[3-E ƞ at 20mAcm-2 (mV)],"",0)</f>
        <v>#REF!</v>
      </c>
      <c r="Z450" s="69" t="e" cm="1">
        <f t="array" ref="Z450">_xlfn.XLOOKUP(Table1[[#This Row],[5 cm2 cell test code]:[5 cm2 cell test code]],[1]!Table1[[Test code]:[Test code]],[1]!Table1[3-E Tafel slope (mV/dec)],"",0)</f>
        <v>#REF!</v>
      </c>
      <c r="AA450" s="69" t="e" cm="1">
        <f t="array" ref="AA450">_xlfn.XLOOKUP(Table1[[#This Row],[5 cm2 cell test code]:[5 cm2 cell test code]],[1]!Table1[[Test code]:[Test code]],[1]!Table1[E @ 100 mA/cm2 DIW/V],"",0)</f>
        <v>#REF!</v>
      </c>
      <c r="AB450" s="69" t="e" cm="1">
        <f t="array" ref="AB450">_xlfn.XLOOKUP(Table1[[#This Row],[5 cm2 cell test code]:[5 cm2 cell test code]],[1]!Table1[[Test code]:[Test code]],[1]!Table1[E @ 100 mA/cm2 10 mM KOH/V],"",0)</f>
        <v>#REF!</v>
      </c>
      <c r="AC450" s="69" t="e" cm="1">
        <f t="array" ref="AC450">_xlfn.XLOOKUP(Table1[[#This Row],[5 cm2 cell test code]:[5 cm2 cell test code]],[1]!Table1[[Test code]:[Test code]],[1]!Table1[Anode ICR/mOhm],"",0)</f>
        <v>#REF!</v>
      </c>
      <c r="AD450" s="69" t="e" cm="1">
        <f t="array" ref="AD450">_xlfn.XLOOKUP(Table1[[#This Row],[5 cm2 cell test code]:[5 cm2 cell test code]],[1]!Table1[[Test code]:[Test code]],[1]!Table1[HFR DIW/ mOhm cm2],"",0)</f>
        <v>#REF!</v>
      </c>
      <c r="AE450" s="69" t="e" cm="1">
        <f t="array" ref="AE450">_xlfn.XLOOKUP(Table1[[#This Row],[5 cm2 cell test code]:[5 cm2 cell test code]],[1]!Table1[[Test code]:[Test code]],[1]!Table1[HFR 10 mM KOH/ mOhm cm2],"",0)</f>
        <v>#REF!</v>
      </c>
      <c r="AF450" s="69" t="e" cm="1">
        <f t="array" ref="AF450">_xlfn.XLOOKUP(Table1[[#This Row],[5 cm2 cell test code]:[5 cm2 cell test code]],[1]!Table1[[Test code]:[Test code]],[1]!Table1[Ionic resistance DIW/Ohm cm2],"",0)</f>
        <v>#REF!</v>
      </c>
      <c r="AG450" s="195" t="e" cm="1">
        <f t="array" ref="AG450">_xlfn.XLOOKUP(Table1[[#This Row],[5 cm2 cell test code]:[5 cm2 cell test code]],[1]!Table1[[Test code]:[Test code]],[1]!Table1[Q_int_frac DIW],"",0)</f>
        <v>#REF!</v>
      </c>
      <c r="AH450" s="195" t="e" cm="1">
        <f t="array" ref="AH450">_xlfn.XLOOKUP(Table1[[#This Row],[5 cm2 cell test code]:[5 cm2 cell test code]],[1]!Table1[[Test code]:[Test code]],[1]!Table1[Ionic resistance 10 mM KOH/Ohm cm2],"",0)</f>
        <v>#REF!</v>
      </c>
      <c r="AI450" s="195" t="e" cm="1">
        <f t="array" ref="AI450">_xlfn.XLOOKUP(Table1[[#This Row],[5 cm2 cell test code]:[5 cm2 cell test code]],[1]!Table1[[Test code]:[Test code]],[1]!Table1[Q_int_frac DIW 10 mM KOH],"",0)</f>
        <v>#REF!</v>
      </c>
      <c r="AJ450" s="69" t="e" cm="1">
        <f t="array" ref="AJ450">_xlfn.XLOOKUP(Table1[[#This Row],[5 cm2 cell test code]:[5 cm2 cell test code]],[1]!Table1[[Test code]:[Test code]],[1]!Table1[DIW conductivity (µS/cm)],"",0)</f>
        <v>#REF!</v>
      </c>
      <c r="AQ450" s="4" t="str">
        <v>VSG02A-23335E1.02</v>
      </c>
    </row>
    <row r="451" spans="1:43">
      <c r="A451" s="81"/>
      <c r="B451" s="11" t="s">
        <v>824</v>
      </c>
      <c r="J451" s="107"/>
      <c r="K451" s="89"/>
      <c r="L451" s="89"/>
      <c r="Q451" s="4">
        <v>2.677348601085356E-2</v>
      </c>
      <c r="U451" s="101"/>
      <c r="V451" s="101"/>
      <c r="W451" s="69" t="e" cm="1">
        <f t="array" ref="W451">_xlfn.XLOOKUP(Table1[[#This Row],[5 cm2 cell test code]:[5 cm2 cell test code]],[1]!Table1[[Test code]:[Test code]],[1]!Table1[i @ 1.8 V DIW (A/cm2)],"",0)</f>
        <v>#REF!</v>
      </c>
      <c r="X451" s="69" t="e" cm="1">
        <f t="array" ref="X451">_xlfn.XLOOKUP(Table1[[#This Row],[5 cm2 cell test code]:[5 cm2 cell test code]],[1]!Table1[[Test code]:[Test code]],[1]!Table1[i @ 1.8 V 10 mM KOH (A/cm2)],"",0)</f>
        <v>#REF!</v>
      </c>
      <c r="Y451" s="69" t="e" cm="1">
        <f t="array" ref="Y451">_xlfn.XLOOKUP(Table1[[#This Row],[5 cm2 cell test code]:[5 cm2 cell test code]],[1]!Table1[[Test code]:[Test code]],[1]!Table1[3-E ƞ at 20mAcm-2 (mV)],"",0)</f>
        <v>#REF!</v>
      </c>
      <c r="Z451" s="69" t="e" cm="1">
        <f t="array" ref="Z451">_xlfn.XLOOKUP(Table1[[#This Row],[5 cm2 cell test code]:[5 cm2 cell test code]],[1]!Table1[[Test code]:[Test code]],[1]!Table1[3-E Tafel slope (mV/dec)],"",0)</f>
        <v>#REF!</v>
      </c>
      <c r="AA451" s="69" t="e" cm="1">
        <f t="array" ref="AA451">_xlfn.XLOOKUP(Table1[[#This Row],[5 cm2 cell test code]:[5 cm2 cell test code]],[1]!Table1[[Test code]:[Test code]],[1]!Table1[E @ 100 mA/cm2 DIW/V],"",0)</f>
        <v>#REF!</v>
      </c>
      <c r="AB451" s="69" t="e" cm="1">
        <f t="array" ref="AB451">_xlfn.XLOOKUP(Table1[[#This Row],[5 cm2 cell test code]:[5 cm2 cell test code]],[1]!Table1[[Test code]:[Test code]],[1]!Table1[E @ 100 mA/cm2 10 mM KOH/V],"",0)</f>
        <v>#REF!</v>
      </c>
      <c r="AC451" s="69" t="e" cm="1">
        <f t="array" ref="AC451">_xlfn.XLOOKUP(Table1[[#This Row],[5 cm2 cell test code]:[5 cm2 cell test code]],[1]!Table1[[Test code]:[Test code]],[1]!Table1[Anode ICR/mOhm],"",0)</f>
        <v>#REF!</v>
      </c>
      <c r="AD451" s="69" t="e" cm="1">
        <f t="array" ref="AD451">_xlfn.XLOOKUP(Table1[[#This Row],[5 cm2 cell test code]:[5 cm2 cell test code]],[1]!Table1[[Test code]:[Test code]],[1]!Table1[HFR DIW/ mOhm cm2],"",0)</f>
        <v>#REF!</v>
      </c>
      <c r="AE451" s="69" t="e" cm="1">
        <f t="array" ref="AE451">_xlfn.XLOOKUP(Table1[[#This Row],[5 cm2 cell test code]:[5 cm2 cell test code]],[1]!Table1[[Test code]:[Test code]],[1]!Table1[HFR 10 mM KOH/ mOhm cm2],"",0)</f>
        <v>#REF!</v>
      </c>
      <c r="AF451" s="69" t="e" cm="1">
        <f t="array" ref="AF451">_xlfn.XLOOKUP(Table1[[#This Row],[5 cm2 cell test code]:[5 cm2 cell test code]],[1]!Table1[[Test code]:[Test code]],[1]!Table1[Ionic resistance DIW/Ohm cm2],"",0)</f>
        <v>#REF!</v>
      </c>
      <c r="AG451" s="195" t="e" cm="1">
        <f t="array" ref="AG451">_xlfn.XLOOKUP(Table1[[#This Row],[5 cm2 cell test code]:[5 cm2 cell test code]],[1]!Table1[[Test code]:[Test code]],[1]!Table1[Q_int_frac DIW],"",0)</f>
        <v>#REF!</v>
      </c>
      <c r="AH451" s="195" t="e" cm="1">
        <f t="array" ref="AH451">_xlfn.XLOOKUP(Table1[[#This Row],[5 cm2 cell test code]:[5 cm2 cell test code]],[1]!Table1[[Test code]:[Test code]],[1]!Table1[Ionic resistance 10 mM KOH/Ohm cm2],"",0)</f>
        <v>#REF!</v>
      </c>
      <c r="AI451" s="195" t="e" cm="1">
        <f t="array" ref="AI451">_xlfn.XLOOKUP(Table1[[#This Row],[5 cm2 cell test code]:[5 cm2 cell test code]],[1]!Table1[[Test code]:[Test code]],[1]!Table1[Q_int_frac DIW 10 mM KOH],"",0)</f>
        <v>#REF!</v>
      </c>
      <c r="AJ451" s="69" t="e" cm="1">
        <f t="array" ref="AJ451">_xlfn.XLOOKUP(Table1[[#This Row],[5 cm2 cell test code]:[5 cm2 cell test code]],[1]!Table1[[Test code]:[Test code]],[1]!Table1[DIW conductivity (µS/cm)],"",0)</f>
        <v>#REF!</v>
      </c>
      <c r="AQ451" s="4" t="str">
        <v>VSG02A-23336E1.01</v>
      </c>
    </row>
    <row r="452" spans="1:43">
      <c r="A452" s="81"/>
      <c r="B452" s="11" t="s">
        <v>825</v>
      </c>
      <c r="J452" s="107"/>
      <c r="K452" s="89"/>
      <c r="L452" s="89"/>
      <c r="U452" s="101"/>
      <c r="V452" s="101"/>
      <c r="W452" s="69" t="e" cm="1">
        <f t="array" ref="W452">_xlfn.XLOOKUP(Table1[[#This Row],[5 cm2 cell test code]:[5 cm2 cell test code]],[1]!Table1[[Test code]:[Test code]],[1]!Table1[i @ 1.8 V DIW (A/cm2)],"",0)</f>
        <v>#REF!</v>
      </c>
      <c r="X452" s="69" t="e" cm="1">
        <f t="array" ref="X452">_xlfn.XLOOKUP(Table1[[#This Row],[5 cm2 cell test code]:[5 cm2 cell test code]],[1]!Table1[[Test code]:[Test code]],[1]!Table1[i @ 1.8 V 10 mM KOH (A/cm2)],"",0)</f>
        <v>#REF!</v>
      </c>
      <c r="Y452" s="69" t="e" cm="1">
        <f t="array" ref="Y452">_xlfn.XLOOKUP(Table1[[#This Row],[5 cm2 cell test code]:[5 cm2 cell test code]],[1]!Table1[[Test code]:[Test code]],[1]!Table1[3-E ƞ at 20mAcm-2 (mV)],"",0)</f>
        <v>#REF!</v>
      </c>
      <c r="Z452" s="69" t="e" cm="1">
        <f t="array" ref="Z452">_xlfn.XLOOKUP(Table1[[#This Row],[5 cm2 cell test code]:[5 cm2 cell test code]],[1]!Table1[[Test code]:[Test code]],[1]!Table1[3-E Tafel slope (mV/dec)],"",0)</f>
        <v>#REF!</v>
      </c>
      <c r="AA452" s="69" t="e" cm="1">
        <f t="array" ref="AA452">_xlfn.XLOOKUP(Table1[[#This Row],[5 cm2 cell test code]:[5 cm2 cell test code]],[1]!Table1[[Test code]:[Test code]],[1]!Table1[E @ 100 mA/cm2 DIW/V],"",0)</f>
        <v>#REF!</v>
      </c>
      <c r="AB452" s="69" t="e" cm="1">
        <f t="array" ref="AB452">_xlfn.XLOOKUP(Table1[[#This Row],[5 cm2 cell test code]:[5 cm2 cell test code]],[1]!Table1[[Test code]:[Test code]],[1]!Table1[E @ 100 mA/cm2 10 mM KOH/V],"",0)</f>
        <v>#REF!</v>
      </c>
      <c r="AC452" s="69" t="e" cm="1">
        <f t="array" ref="AC452">_xlfn.XLOOKUP(Table1[[#This Row],[5 cm2 cell test code]:[5 cm2 cell test code]],[1]!Table1[[Test code]:[Test code]],[1]!Table1[Anode ICR/mOhm],"",0)</f>
        <v>#REF!</v>
      </c>
      <c r="AD452" s="69" t="e" cm="1">
        <f t="array" ref="AD452">_xlfn.XLOOKUP(Table1[[#This Row],[5 cm2 cell test code]:[5 cm2 cell test code]],[1]!Table1[[Test code]:[Test code]],[1]!Table1[HFR DIW/ mOhm cm2],"",0)</f>
        <v>#REF!</v>
      </c>
      <c r="AE452" s="69" t="e" cm="1">
        <f t="array" ref="AE452">_xlfn.XLOOKUP(Table1[[#This Row],[5 cm2 cell test code]:[5 cm2 cell test code]],[1]!Table1[[Test code]:[Test code]],[1]!Table1[HFR 10 mM KOH/ mOhm cm2],"",0)</f>
        <v>#REF!</v>
      </c>
      <c r="AF452" s="69" t="e" cm="1">
        <f t="array" ref="AF452">_xlfn.XLOOKUP(Table1[[#This Row],[5 cm2 cell test code]:[5 cm2 cell test code]],[1]!Table1[[Test code]:[Test code]],[1]!Table1[Ionic resistance DIW/Ohm cm2],"",0)</f>
        <v>#REF!</v>
      </c>
      <c r="AG452" s="195" t="e" cm="1">
        <f t="array" ref="AG452">_xlfn.XLOOKUP(Table1[[#This Row],[5 cm2 cell test code]:[5 cm2 cell test code]],[1]!Table1[[Test code]:[Test code]],[1]!Table1[Q_int_frac DIW],"",0)</f>
        <v>#REF!</v>
      </c>
      <c r="AH452" s="195" t="e" cm="1">
        <f t="array" ref="AH452">_xlfn.XLOOKUP(Table1[[#This Row],[5 cm2 cell test code]:[5 cm2 cell test code]],[1]!Table1[[Test code]:[Test code]],[1]!Table1[Ionic resistance 10 mM KOH/Ohm cm2],"",0)</f>
        <v>#REF!</v>
      </c>
      <c r="AI452" s="195" t="e" cm="1">
        <f t="array" ref="AI452">_xlfn.XLOOKUP(Table1[[#This Row],[5 cm2 cell test code]:[5 cm2 cell test code]],[1]!Table1[[Test code]:[Test code]],[1]!Table1[Q_int_frac DIW 10 mM KOH],"",0)</f>
        <v>#REF!</v>
      </c>
      <c r="AJ452" s="69" t="e" cm="1">
        <f t="array" ref="AJ452">_xlfn.XLOOKUP(Table1[[#This Row],[5 cm2 cell test code]:[5 cm2 cell test code]],[1]!Table1[[Test code]:[Test code]],[1]!Table1[DIW conductivity (µS/cm)],"",0)</f>
        <v>#REF!</v>
      </c>
      <c r="AQ452" s="4" t="str">
        <v>VSG02A-23336E1.02</v>
      </c>
    </row>
    <row r="453" spans="1:43">
      <c r="A453" s="81"/>
      <c r="B453" s="11" t="s">
        <v>826</v>
      </c>
      <c r="J453" s="107"/>
      <c r="K453" s="89"/>
      <c r="L453" s="89"/>
      <c r="U453" s="101"/>
      <c r="V453" s="101"/>
      <c r="W453" s="69" t="e" cm="1">
        <f t="array" ref="W453">_xlfn.XLOOKUP(Table1[[#This Row],[5 cm2 cell test code]:[5 cm2 cell test code]],[1]!Table1[[Test code]:[Test code]],[1]!Table1[i @ 1.8 V DIW (A/cm2)],"",0)</f>
        <v>#REF!</v>
      </c>
      <c r="X453" s="69" t="e" cm="1">
        <f t="array" ref="X453">_xlfn.XLOOKUP(Table1[[#This Row],[5 cm2 cell test code]:[5 cm2 cell test code]],[1]!Table1[[Test code]:[Test code]],[1]!Table1[i @ 1.8 V 10 mM KOH (A/cm2)],"",0)</f>
        <v>#REF!</v>
      </c>
      <c r="Y453" s="69" t="e" cm="1">
        <f t="array" ref="Y453">_xlfn.XLOOKUP(Table1[[#This Row],[5 cm2 cell test code]:[5 cm2 cell test code]],[1]!Table1[[Test code]:[Test code]],[1]!Table1[3-E ƞ at 20mAcm-2 (mV)],"",0)</f>
        <v>#REF!</v>
      </c>
      <c r="Z453" s="69" t="e" cm="1">
        <f t="array" ref="Z453">_xlfn.XLOOKUP(Table1[[#This Row],[5 cm2 cell test code]:[5 cm2 cell test code]],[1]!Table1[[Test code]:[Test code]],[1]!Table1[3-E Tafel slope (mV/dec)],"",0)</f>
        <v>#REF!</v>
      </c>
      <c r="AA453" s="69" t="e" cm="1">
        <f t="array" ref="AA453">_xlfn.XLOOKUP(Table1[[#This Row],[5 cm2 cell test code]:[5 cm2 cell test code]],[1]!Table1[[Test code]:[Test code]],[1]!Table1[E @ 100 mA/cm2 DIW/V],"",0)</f>
        <v>#REF!</v>
      </c>
      <c r="AB453" s="69" t="e" cm="1">
        <f t="array" ref="AB453">_xlfn.XLOOKUP(Table1[[#This Row],[5 cm2 cell test code]:[5 cm2 cell test code]],[1]!Table1[[Test code]:[Test code]],[1]!Table1[E @ 100 mA/cm2 10 mM KOH/V],"",0)</f>
        <v>#REF!</v>
      </c>
      <c r="AC453" s="69" t="e" cm="1">
        <f t="array" ref="AC453">_xlfn.XLOOKUP(Table1[[#This Row],[5 cm2 cell test code]:[5 cm2 cell test code]],[1]!Table1[[Test code]:[Test code]],[1]!Table1[Anode ICR/mOhm],"",0)</f>
        <v>#REF!</v>
      </c>
      <c r="AD453" s="69" t="e" cm="1">
        <f t="array" ref="AD453">_xlfn.XLOOKUP(Table1[[#This Row],[5 cm2 cell test code]:[5 cm2 cell test code]],[1]!Table1[[Test code]:[Test code]],[1]!Table1[HFR DIW/ mOhm cm2],"",0)</f>
        <v>#REF!</v>
      </c>
      <c r="AE453" s="69" t="e" cm="1">
        <f t="array" ref="AE453">_xlfn.XLOOKUP(Table1[[#This Row],[5 cm2 cell test code]:[5 cm2 cell test code]],[1]!Table1[[Test code]:[Test code]],[1]!Table1[HFR 10 mM KOH/ mOhm cm2],"",0)</f>
        <v>#REF!</v>
      </c>
      <c r="AF453" s="69" t="e" cm="1">
        <f t="array" ref="AF453">_xlfn.XLOOKUP(Table1[[#This Row],[5 cm2 cell test code]:[5 cm2 cell test code]],[1]!Table1[[Test code]:[Test code]],[1]!Table1[Ionic resistance DIW/Ohm cm2],"",0)</f>
        <v>#REF!</v>
      </c>
      <c r="AG453" s="195" t="e" cm="1">
        <f t="array" ref="AG453">_xlfn.XLOOKUP(Table1[[#This Row],[5 cm2 cell test code]:[5 cm2 cell test code]],[1]!Table1[[Test code]:[Test code]],[1]!Table1[Q_int_frac DIW],"",0)</f>
        <v>#REF!</v>
      </c>
      <c r="AH453" s="195" t="e" cm="1">
        <f t="array" ref="AH453">_xlfn.XLOOKUP(Table1[[#This Row],[5 cm2 cell test code]:[5 cm2 cell test code]],[1]!Table1[[Test code]:[Test code]],[1]!Table1[Ionic resistance 10 mM KOH/Ohm cm2],"",0)</f>
        <v>#REF!</v>
      </c>
      <c r="AI453" s="195" t="e" cm="1">
        <f t="array" ref="AI453">_xlfn.XLOOKUP(Table1[[#This Row],[5 cm2 cell test code]:[5 cm2 cell test code]],[1]!Table1[[Test code]:[Test code]],[1]!Table1[Q_int_frac DIW 10 mM KOH],"",0)</f>
        <v>#REF!</v>
      </c>
      <c r="AJ453" s="69" t="e" cm="1">
        <f t="array" ref="AJ453">_xlfn.XLOOKUP(Table1[[#This Row],[5 cm2 cell test code]:[5 cm2 cell test code]],[1]!Table1[[Test code]:[Test code]],[1]!Table1[DIW conductivity (µS/cm)],"",0)</f>
        <v>#REF!</v>
      </c>
      <c r="AQ453" s="4" t="str">
        <v>VSG02A-23338E1.01</v>
      </c>
    </row>
    <row r="454" spans="1:43">
      <c r="A454" s="81"/>
      <c r="B454" s="11" t="s">
        <v>827</v>
      </c>
      <c r="J454" s="107"/>
      <c r="K454" s="89"/>
      <c r="L454" s="89"/>
      <c r="U454" s="101"/>
      <c r="V454" s="101"/>
      <c r="W454" s="69" t="e" cm="1">
        <f t="array" ref="W454">_xlfn.XLOOKUP(Table1[[#This Row],[5 cm2 cell test code]:[5 cm2 cell test code]],[1]!Table1[[Test code]:[Test code]],[1]!Table1[i @ 1.8 V DIW (A/cm2)],"",0)</f>
        <v>#REF!</v>
      </c>
      <c r="X454" s="69" t="e" cm="1">
        <f t="array" ref="X454">_xlfn.XLOOKUP(Table1[[#This Row],[5 cm2 cell test code]:[5 cm2 cell test code]],[1]!Table1[[Test code]:[Test code]],[1]!Table1[i @ 1.8 V 10 mM KOH (A/cm2)],"",0)</f>
        <v>#REF!</v>
      </c>
      <c r="Y454" s="69" t="e" cm="1">
        <f t="array" ref="Y454">_xlfn.XLOOKUP(Table1[[#This Row],[5 cm2 cell test code]:[5 cm2 cell test code]],[1]!Table1[[Test code]:[Test code]],[1]!Table1[3-E ƞ at 20mAcm-2 (mV)],"",0)</f>
        <v>#REF!</v>
      </c>
      <c r="Z454" s="69" t="e" cm="1">
        <f t="array" ref="Z454">_xlfn.XLOOKUP(Table1[[#This Row],[5 cm2 cell test code]:[5 cm2 cell test code]],[1]!Table1[[Test code]:[Test code]],[1]!Table1[3-E Tafel slope (mV/dec)],"",0)</f>
        <v>#REF!</v>
      </c>
      <c r="AA454" s="69" t="e" cm="1">
        <f t="array" ref="AA454">_xlfn.XLOOKUP(Table1[[#This Row],[5 cm2 cell test code]:[5 cm2 cell test code]],[1]!Table1[[Test code]:[Test code]],[1]!Table1[E @ 100 mA/cm2 DIW/V],"",0)</f>
        <v>#REF!</v>
      </c>
      <c r="AB454" s="69" t="e" cm="1">
        <f t="array" ref="AB454">_xlfn.XLOOKUP(Table1[[#This Row],[5 cm2 cell test code]:[5 cm2 cell test code]],[1]!Table1[[Test code]:[Test code]],[1]!Table1[E @ 100 mA/cm2 10 mM KOH/V],"",0)</f>
        <v>#REF!</v>
      </c>
      <c r="AC454" s="69" t="e" cm="1">
        <f t="array" ref="AC454">_xlfn.XLOOKUP(Table1[[#This Row],[5 cm2 cell test code]:[5 cm2 cell test code]],[1]!Table1[[Test code]:[Test code]],[1]!Table1[Anode ICR/mOhm],"",0)</f>
        <v>#REF!</v>
      </c>
      <c r="AD454" s="69" t="e" cm="1">
        <f t="array" ref="AD454">_xlfn.XLOOKUP(Table1[[#This Row],[5 cm2 cell test code]:[5 cm2 cell test code]],[1]!Table1[[Test code]:[Test code]],[1]!Table1[HFR DIW/ mOhm cm2],"",0)</f>
        <v>#REF!</v>
      </c>
      <c r="AE454" s="69" t="e" cm="1">
        <f t="array" ref="AE454">_xlfn.XLOOKUP(Table1[[#This Row],[5 cm2 cell test code]:[5 cm2 cell test code]],[1]!Table1[[Test code]:[Test code]],[1]!Table1[HFR 10 mM KOH/ mOhm cm2],"",0)</f>
        <v>#REF!</v>
      </c>
      <c r="AF454" s="69" t="e" cm="1">
        <f t="array" ref="AF454">_xlfn.XLOOKUP(Table1[[#This Row],[5 cm2 cell test code]:[5 cm2 cell test code]],[1]!Table1[[Test code]:[Test code]],[1]!Table1[Ionic resistance DIW/Ohm cm2],"",0)</f>
        <v>#REF!</v>
      </c>
      <c r="AG454" s="195" t="e" cm="1">
        <f t="array" ref="AG454">_xlfn.XLOOKUP(Table1[[#This Row],[5 cm2 cell test code]:[5 cm2 cell test code]],[1]!Table1[[Test code]:[Test code]],[1]!Table1[Q_int_frac DIW],"",0)</f>
        <v>#REF!</v>
      </c>
      <c r="AH454" s="195" t="e" cm="1">
        <f t="array" ref="AH454">_xlfn.XLOOKUP(Table1[[#This Row],[5 cm2 cell test code]:[5 cm2 cell test code]],[1]!Table1[[Test code]:[Test code]],[1]!Table1[Ionic resistance 10 mM KOH/Ohm cm2],"",0)</f>
        <v>#REF!</v>
      </c>
      <c r="AI454" s="195" t="e" cm="1">
        <f t="array" ref="AI454">_xlfn.XLOOKUP(Table1[[#This Row],[5 cm2 cell test code]:[5 cm2 cell test code]],[1]!Table1[[Test code]:[Test code]],[1]!Table1[Q_int_frac DIW 10 mM KOH],"",0)</f>
        <v>#REF!</v>
      </c>
      <c r="AJ454" s="69" t="e" cm="1">
        <f t="array" ref="AJ454">_xlfn.XLOOKUP(Table1[[#This Row],[5 cm2 cell test code]:[5 cm2 cell test code]],[1]!Table1[[Test code]:[Test code]],[1]!Table1[DIW conductivity (µS/cm)],"",0)</f>
        <v>#REF!</v>
      </c>
      <c r="AQ454" s="4" t="str">
        <v>VSG02A-23338E1.02</v>
      </c>
    </row>
    <row r="455" spans="1:43">
      <c r="A455" s="81"/>
      <c r="B455" s="11" t="s">
        <v>828</v>
      </c>
      <c r="J455" s="107"/>
      <c r="K455" s="89"/>
      <c r="L455" s="89"/>
      <c r="Q455" s="4">
        <v>4.3607905502254685E-2</v>
      </c>
      <c r="U455" s="101"/>
      <c r="V455" s="101"/>
      <c r="W455" s="69" t="e" cm="1">
        <f t="array" ref="W455">_xlfn.XLOOKUP(Table1[[#This Row],[5 cm2 cell test code]:[5 cm2 cell test code]],[1]!Table1[[Test code]:[Test code]],[1]!Table1[i @ 1.8 V DIW (A/cm2)],"",0)</f>
        <v>#REF!</v>
      </c>
      <c r="X455" s="69" t="e" cm="1">
        <f t="array" ref="X455">_xlfn.XLOOKUP(Table1[[#This Row],[5 cm2 cell test code]:[5 cm2 cell test code]],[1]!Table1[[Test code]:[Test code]],[1]!Table1[i @ 1.8 V 10 mM KOH (A/cm2)],"",0)</f>
        <v>#REF!</v>
      </c>
      <c r="Y455" s="69" t="e" cm="1">
        <f t="array" ref="Y455">_xlfn.XLOOKUP(Table1[[#This Row],[5 cm2 cell test code]:[5 cm2 cell test code]],[1]!Table1[[Test code]:[Test code]],[1]!Table1[3-E ƞ at 20mAcm-2 (mV)],"",0)</f>
        <v>#REF!</v>
      </c>
      <c r="Z455" s="69" t="e" cm="1">
        <f t="array" ref="Z455">_xlfn.XLOOKUP(Table1[[#This Row],[5 cm2 cell test code]:[5 cm2 cell test code]],[1]!Table1[[Test code]:[Test code]],[1]!Table1[3-E Tafel slope (mV/dec)],"",0)</f>
        <v>#REF!</v>
      </c>
      <c r="AA455" s="69" t="e" cm="1">
        <f t="array" ref="AA455">_xlfn.XLOOKUP(Table1[[#This Row],[5 cm2 cell test code]:[5 cm2 cell test code]],[1]!Table1[[Test code]:[Test code]],[1]!Table1[E @ 100 mA/cm2 DIW/V],"",0)</f>
        <v>#REF!</v>
      </c>
      <c r="AB455" s="69" t="e" cm="1">
        <f t="array" ref="AB455">_xlfn.XLOOKUP(Table1[[#This Row],[5 cm2 cell test code]:[5 cm2 cell test code]],[1]!Table1[[Test code]:[Test code]],[1]!Table1[E @ 100 mA/cm2 10 mM KOH/V],"",0)</f>
        <v>#REF!</v>
      </c>
      <c r="AC455" s="69" t="e" cm="1">
        <f t="array" ref="AC455">_xlfn.XLOOKUP(Table1[[#This Row],[5 cm2 cell test code]:[5 cm2 cell test code]],[1]!Table1[[Test code]:[Test code]],[1]!Table1[Anode ICR/mOhm],"",0)</f>
        <v>#REF!</v>
      </c>
      <c r="AD455" s="69" t="e" cm="1">
        <f t="array" ref="AD455">_xlfn.XLOOKUP(Table1[[#This Row],[5 cm2 cell test code]:[5 cm2 cell test code]],[1]!Table1[[Test code]:[Test code]],[1]!Table1[HFR DIW/ mOhm cm2],"",0)</f>
        <v>#REF!</v>
      </c>
      <c r="AE455" s="69" t="e" cm="1">
        <f t="array" ref="AE455">_xlfn.XLOOKUP(Table1[[#This Row],[5 cm2 cell test code]:[5 cm2 cell test code]],[1]!Table1[[Test code]:[Test code]],[1]!Table1[HFR 10 mM KOH/ mOhm cm2],"",0)</f>
        <v>#REF!</v>
      </c>
      <c r="AF455" s="69" t="e" cm="1">
        <f t="array" ref="AF455">_xlfn.XLOOKUP(Table1[[#This Row],[5 cm2 cell test code]:[5 cm2 cell test code]],[1]!Table1[[Test code]:[Test code]],[1]!Table1[Ionic resistance DIW/Ohm cm2],"",0)</f>
        <v>#REF!</v>
      </c>
      <c r="AG455" s="195" t="e" cm="1">
        <f t="array" ref="AG455">_xlfn.XLOOKUP(Table1[[#This Row],[5 cm2 cell test code]:[5 cm2 cell test code]],[1]!Table1[[Test code]:[Test code]],[1]!Table1[Q_int_frac DIW],"",0)</f>
        <v>#REF!</v>
      </c>
      <c r="AH455" s="195" t="e" cm="1">
        <f t="array" ref="AH455">_xlfn.XLOOKUP(Table1[[#This Row],[5 cm2 cell test code]:[5 cm2 cell test code]],[1]!Table1[[Test code]:[Test code]],[1]!Table1[Ionic resistance 10 mM KOH/Ohm cm2],"",0)</f>
        <v>#REF!</v>
      </c>
      <c r="AI455" s="195" t="e" cm="1">
        <f t="array" ref="AI455">_xlfn.XLOOKUP(Table1[[#This Row],[5 cm2 cell test code]:[5 cm2 cell test code]],[1]!Table1[[Test code]:[Test code]],[1]!Table1[Q_int_frac DIW 10 mM KOH],"",0)</f>
        <v>#REF!</v>
      </c>
      <c r="AJ455" s="69" t="e" cm="1">
        <f t="array" ref="AJ455">_xlfn.XLOOKUP(Table1[[#This Row],[5 cm2 cell test code]:[5 cm2 cell test code]],[1]!Table1[[Test code]:[Test code]],[1]!Table1[DIW conductivity (µS/cm)],"",0)</f>
        <v>#REF!</v>
      </c>
      <c r="AQ455" s="4" t="str">
        <v>VSG02A-23339E1.01</v>
      </c>
    </row>
    <row r="456" spans="1:43">
      <c r="A456" s="81"/>
      <c r="B456" s="11" t="s">
        <v>829</v>
      </c>
      <c r="J456" s="107"/>
      <c r="K456" s="89"/>
      <c r="L456" s="89"/>
      <c r="U456" s="101"/>
      <c r="V456" s="101"/>
      <c r="W456" s="69" t="e" cm="1">
        <f t="array" ref="W456">_xlfn.XLOOKUP(Table1[[#This Row],[5 cm2 cell test code]:[5 cm2 cell test code]],[1]!Table1[[Test code]:[Test code]],[1]!Table1[i @ 1.8 V DIW (A/cm2)],"",0)</f>
        <v>#REF!</v>
      </c>
      <c r="X456" s="69" t="e" cm="1">
        <f t="array" ref="X456">_xlfn.XLOOKUP(Table1[[#This Row],[5 cm2 cell test code]:[5 cm2 cell test code]],[1]!Table1[[Test code]:[Test code]],[1]!Table1[i @ 1.8 V 10 mM KOH (A/cm2)],"",0)</f>
        <v>#REF!</v>
      </c>
      <c r="Y456" s="69" t="e" cm="1">
        <f t="array" ref="Y456">_xlfn.XLOOKUP(Table1[[#This Row],[5 cm2 cell test code]:[5 cm2 cell test code]],[1]!Table1[[Test code]:[Test code]],[1]!Table1[3-E ƞ at 20mAcm-2 (mV)],"",0)</f>
        <v>#REF!</v>
      </c>
      <c r="Z456" s="69" t="e" cm="1">
        <f t="array" ref="Z456">_xlfn.XLOOKUP(Table1[[#This Row],[5 cm2 cell test code]:[5 cm2 cell test code]],[1]!Table1[[Test code]:[Test code]],[1]!Table1[3-E Tafel slope (mV/dec)],"",0)</f>
        <v>#REF!</v>
      </c>
      <c r="AA456" s="69" t="e" cm="1">
        <f t="array" ref="AA456">_xlfn.XLOOKUP(Table1[[#This Row],[5 cm2 cell test code]:[5 cm2 cell test code]],[1]!Table1[[Test code]:[Test code]],[1]!Table1[E @ 100 mA/cm2 DIW/V],"",0)</f>
        <v>#REF!</v>
      </c>
      <c r="AB456" s="69" t="e" cm="1">
        <f t="array" ref="AB456">_xlfn.XLOOKUP(Table1[[#This Row],[5 cm2 cell test code]:[5 cm2 cell test code]],[1]!Table1[[Test code]:[Test code]],[1]!Table1[E @ 100 mA/cm2 10 mM KOH/V],"",0)</f>
        <v>#REF!</v>
      </c>
      <c r="AC456" s="69" t="e" cm="1">
        <f t="array" ref="AC456">_xlfn.XLOOKUP(Table1[[#This Row],[5 cm2 cell test code]:[5 cm2 cell test code]],[1]!Table1[[Test code]:[Test code]],[1]!Table1[Anode ICR/mOhm],"",0)</f>
        <v>#REF!</v>
      </c>
      <c r="AD456" s="69" t="e" cm="1">
        <f t="array" ref="AD456">_xlfn.XLOOKUP(Table1[[#This Row],[5 cm2 cell test code]:[5 cm2 cell test code]],[1]!Table1[[Test code]:[Test code]],[1]!Table1[HFR DIW/ mOhm cm2],"",0)</f>
        <v>#REF!</v>
      </c>
      <c r="AE456" s="69" t="e" cm="1">
        <f t="array" ref="AE456">_xlfn.XLOOKUP(Table1[[#This Row],[5 cm2 cell test code]:[5 cm2 cell test code]],[1]!Table1[[Test code]:[Test code]],[1]!Table1[HFR 10 mM KOH/ mOhm cm2],"",0)</f>
        <v>#REF!</v>
      </c>
      <c r="AF456" s="69" t="e" cm="1">
        <f t="array" ref="AF456">_xlfn.XLOOKUP(Table1[[#This Row],[5 cm2 cell test code]:[5 cm2 cell test code]],[1]!Table1[[Test code]:[Test code]],[1]!Table1[Ionic resistance DIW/Ohm cm2],"",0)</f>
        <v>#REF!</v>
      </c>
      <c r="AG456" s="195" t="e" cm="1">
        <f t="array" ref="AG456">_xlfn.XLOOKUP(Table1[[#This Row],[5 cm2 cell test code]:[5 cm2 cell test code]],[1]!Table1[[Test code]:[Test code]],[1]!Table1[Q_int_frac DIW],"",0)</f>
        <v>#REF!</v>
      </c>
      <c r="AH456" s="195" t="e" cm="1">
        <f t="array" ref="AH456">_xlfn.XLOOKUP(Table1[[#This Row],[5 cm2 cell test code]:[5 cm2 cell test code]],[1]!Table1[[Test code]:[Test code]],[1]!Table1[Ionic resistance 10 mM KOH/Ohm cm2],"",0)</f>
        <v>#REF!</v>
      </c>
      <c r="AI456" s="195" t="e" cm="1">
        <f t="array" ref="AI456">_xlfn.XLOOKUP(Table1[[#This Row],[5 cm2 cell test code]:[5 cm2 cell test code]],[1]!Table1[[Test code]:[Test code]],[1]!Table1[Q_int_frac DIW 10 mM KOH],"",0)</f>
        <v>#REF!</v>
      </c>
      <c r="AJ456" s="69" t="e" cm="1">
        <f t="array" ref="AJ456">_xlfn.XLOOKUP(Table1[[#This Row],[5 cm2 cell test code]:[5 cm2 cell test code]],[1]!Table1[[Test code]:[Test code]],[1]!Table1[DIW conductivity (µS/cm)],"",0)</f>
        <v>#REF!</v>
      </c>
      <c r="AQ456" s="4" t="str">
        <v>VSG02A-23339E1.01-01</v>
      </c>
    </row>
    <row r="457" spans="1:43">
      <c r="A457" s="81"/>
      <c r="B457" s="11" t="s">
        <v>830</v>
      </c>
      <c r="J457" s="107"/>
      <c r="K457" s="89"/>
      <c r="L457" s="89"/>
      <c r="U457" s="101"/>
      <c r="V457" s="101"/>
      <c r="W457" s="69" t="e" cm="1">
        <f t="array" ref="W457">_xlfn.XLOOKUP(Table1[[#This Row],[5 cm2 cell test code]:[5 cm2 cell test code]],[1]!Table1[[Test code]:[Test code]],[1]!Table1[i @ 1.8 V DIW (A/cm2)],"",0)</f>
        <v>#REF!</v>
      </c>
      <c r="X457" s="69" t="e" cm="1">
        <f t="array" ref="X457">_xlfn.XLOOKUP(Table1[[#This Row],[5 cm2 cell test code]:[5 cm2 cell test code]],[1]!Table1[[Test code]:[Test code]],[1]!Table1[i @ 1.8 V 10 mM KOH (A/cm2)],"",0)</f>
        <v>#REF!</v>
      </c>
      <c r="Y457" s="69" t="e" cm="1">
        <f t="array" ref="Y457">_xlfn.XLOOKUP(Table1[[#This Row],[5 cm2 cell test code]:[5 cm2 cell test code]],[1]!Table1[[Test code]:[Test code]],[1]!Table1[3-E ƞ at 20mAcm-2 (mV)],"",0)</f>
        <v>#REF!</v>
      </c>
      <c r="Z457" s="69" t="e" cm="1">
        <f t="array" ref="Z457">_xlfn.XLOOKUP(Table1[[#This Row],[5 cm2 cell test code]:[5 cm2 cell test code]],[1]!Table1[[Test code]:[Test code]],[1]!Table1[3-E Tafel slope (mV/dec)],"",0)</f>
        <v>#REF!</v>
      </c>
      <c r="AA457" s="69" t="e" cm="1">
        <f t="array" ref="AA457">_xlfn.XLOOKUP(Table1[[#This Row],[5 cm2 cell test code]:[5 cm2 cell test code]],[1]!Table1[[Test code]:[Test code]],[1]!Table1[E @ 100 mA/cm2 DIW/V],"",0)</f>
        <v>#REF!</v>
      </c>
      <c r="AB457" s="69" t="e" cm="1">
        <f t="array" ref="AB457">_xlfn.XLOOKUP(Table1[[#This Row],[5 cm2 cell test code]:[5 cm2 cell test code]],[1]!Table1[[Test code]:[Test code]],[1]!Table1[E @ 100 mA/cm2 10 mM KOH/V],"",0)</f>
        <v>#REF!</v>
      </c>
      <c r="AC457" s="69" t="e" cm="1">
        <f t="array" ref="AC457">_xlfn.XLOOKUP(Table1[[#This Row],[5 cm2 cell test code]:[5 cm2 cell test code]],[1]!Table1[[Test code]:[Test code]],[1]!Table1[Anode ICR/mOhm],"",0)</f>
        <v>#REF!</v>
      </c>
      <c r="AD457" s="69" t="e" cm="1">
        <f t="array" ref="AD457">_xlfn.XLOOKUP(Table1[[#This Row],[5 cm2 cell test code]:[5 cm2 cell test code]],[1]!Table1[[Test code]:[Test code]],[1]!Table1[HFR DIW/ mOhm cm2],"",0)</f>
        <v>#REF!</v>
      </c>
      <c r="AE457" s="69" t="e" cm="1">
        <f t="array" ref="AE457">_xlfn.XLOOKUP(Table1[[#This Row],[5 cm2 cell test code]:[5 cm2 cell test code]],[1]!Table1[[Test code]:[Test code]],[1]!Table1[HFR 10 mM KOH/ mOhm cm2],"",0)</f>
        <v>#REF!</v>
      </c>
      <c r="AF457" s="69" t="e" cm="1">
        <f t="array" ref="AF457">_xlfn.XLOOKUP(Table1[[#This Row],[5 cm2 cell test code]:[5 cm2 cell test code]],[1]!Table1[[Test code]:[Test code]],[1]!Table1[Ionic resistance DIW/Ohm cm2],"",0)</f>
        <v>#REF!</v>
      </c>
      <c r="AG457" s="195" t="e" cm="1">
        <f t="array" ref="AG457">_xlfn.XLOOKUP(Table1[[#This Row],[5 cm2 cell test code]:[5 cm2 cell test code]],[1]!Table1[[Test code]:[Test code]],[1]!Table1[Q_int_frac DIW],"",0)</f>
        <v>#REF!</v>
      </c>
      <c r="AH457" s="195" t="e" cm="1">
        <f t="array" ref="AH457">_xlfn.XLOOKUP(Table1[[#This Row],[5 cm2 cell test code]:[5 cm2 cell test code]],[1]!Table1[[Test code]:[Test code]],[1]!Table1[Ionic resistance 10 mM KOH/Ohm cm2],"",0)</f>
        <v>#REF!</v>
      </c>
      <c r="AI457" s="195" t="e" cm="1">
        <f t="array" ref="AI457">_xlfn.XLOOKUP(Table1[[#This Row],[5 cm2 cell test code]:[5 cm2 cell test code]],[1]!Table1[[Test code]:[Test code]],[1]!Table1[Q_int_frac DIW 10 mM KOH],"",0)</f>
        <v>#REF!</v>
      </c>
      <c r="AJ457" s="69" t="e" cm="1">
        <f t="array" ref="AJ457">_xlfn.XLOOKUP(Table1[[#This Row],[5 cm2 cell test code]:[5 cm2 cell test code]],[1]!Table1[[Test code]:[Test code]],[1]!Table1[DIW conductivity (µS/cm)],"",0)</f>
        <v>#REF!</v>
      </c>
      <c r="AQ457" s="4" t="str">
        <v>VSG02A-23339E1.01-02</v>
      </c>
    </row>
    <row r="458" spans="1:43">
      <c r="A458" s="81"/>
      <c r="B458" s="11" t="s">
        <v>831</v>
      </c>
      <c r="J458" s="107"/>
      <c r="K458" s="89"/>
      <c r="L458" s="89"/>
      <c r="U458" s="101"/>
      <c r="V458" s="101"/>
      <c r="W458" s="69" t="e" cm="1">
        <f t="array" ref="W458">_xlfn.XLOOKUP(Table1[[#This Row],[5 cm2 cell test code]:[5 cm2 cell test code]],[1]!Table1[[Test code]:[Test code]],[1]!Table1[i @ 1.8 V DIW (A/cm2)],"",0)</f>
        <v>#REF!</v>
      </c>
      <c r="X458" s="69" t="e" cm="1">
        <f t="array" ref="X458">_xlfn.XLOOKUP(Table1[[#This Row],[5 cm2 cell test code]:[5 cm2 cell test code]],[1]!Table1[[Test code]:[Test code]],[1]!Table1[i @ 1.8 V 10 mM KOH (A/cm2)],"",0)</f>
        <v>#REF!</v>
      </c>
      <c r="Y458" s="69" t="e" cm="1">
        <f t="array" ref="Y458">_xlfn.XLOOKUP(Table1[[#This Row],[5 cm2 cell test code]:[5 cm2 cell test code]],[1]!Table1[[Test code]:[Test code]],[1]!Table1[3-E ƞ at 20mAcm-2 (mV)],"",0)</f>
        <v>#REF!</v>
      </c>
      <c r="Z458" s="69" t="e" cm="1">
        <f t="array" ref="Z458">_xlfn.XLOOKUP(Table1[[#This Row],[5 cm2 cell test code]:[5 cm2 cell test code]],[1]!Table1[[Test code]:[Test code]],[1]!Table1[3-E Tafel slope (mV/dec)],"",0)</f>
        <v>#REF!</v>
      </c>
      <c r="AA458" s="69" t="e" cm="1">
        <f t="array" ref="AA458">_xlfn.XLOOKUP(Table1[[#This Row],[5 cm2 cell test code]:[5 cm2 cell test code]],[1]!Table1[[Test code]:[Test code]],[1]!Table1[E @ 100 mA/cm2 DIW/V],"",0)</f>
        <v>#REF!</v>
      </c>
      <c r="AB458" s="69" t="e" cm="1">
        <f t="array" ref="AB458">_xlfn.XLOOKUP(Table1[[#This Row],[5 cm2 cell test code]:[5 cm2 cell test code]],[1]!Table1[[Test code]:[Test code]],[1]!Table1[E @ 100 mA/cm2 10 mM KOH/V],"",0)</f>
        <v>#REF!</v>
      </c>
      <c r="AC458" s="69" t="e" cm="1">
        <f t="array" ref="AC458">_xlfn.XLOOKUP(Table1[[#This Row],[5 cm2 cell test code]:[5 cm2 cell test code]],[1]!Table1[[Test code]:[Test code]],[1]!Table1[Anode ICR/mOhm],"",0)</f>
        <v>#REF!</v>
      </c>
      <c r="AD458" s="69" t="e" cm="1">
        <f t="array" ref="AD458">_xlfn.XLOOKUP(Table1[[#This Row],[5 cm2 cell test code]:[5 cm2 cell test code]],[1]!Table1[[Test code]:[Test code]],[1]!Table1[HFR DIW/ mOhm cm2],"",0)</f>
        <v>#REF!</v>
      </c>
      <c r="AE458" s="69" t="e" cm="1">
        <f t="array" ref="AE458">_xlfn.XLOOKUP(Table1[[#This Row],[5 cm2 cell test code]:[5 cm2 cell test code]],[1]!Table1[[Test code]:[Test code]],[1]!Table1[HFR 10 mM KOH/ mOhm cm2],"",0)</f>
        <v>#REF!</v>
      </c>
      <c r="AF458" s="69" t="e" cm="1">
        <f t="array" ref="AF458">_xlfn.XLOOKUP(Table1[[#This Row],[5 cm2 cell test code]:[5 cm2 cell test code]],[1]!Table1[[Test code]:[Test code]],[1]!Table1[Ionic resistance DIW/Ohm cm2],"",0)</f>
        <v>#REF!</v>
      </c>
      <c r="AG458" s="195" t="e" cm="1">
        <f t="array" ref="AG458">_xlfn.XLOOKUP(Table1[[#This Row],[5 cm2 cell test code]:[5 cm2 cell test code]],[1]!Table1[[Test code]:[Test code]],[1]!Table1[Q_int_frac DIW],"",0)</f>
        <v>#REF!</v>
      </c>
      <c r="AH458" s="195" t="e" cm="1">
        <f t="array" ref="AH458">_xlfn.XLOOKUP(Table1[[#This Row],[5 cm2 cell test code]:[5 cm2 cell test code]],[1]!Table1[[Test code]:[Test code]],[1]!Table1[Ionic resistance 10 mM KOH/Ohm cm2],"",0)</f>
        <v>#REF!</v>
      </c>
      <c r="AI458" s="195" t="e" cm="1">
        <f t="array" ref="AI458">_xlfn.XLOOKUP(Table1[[#This Row],[5 cm2 cell test code]:[5 cm2 cell test code]],[1]!Table1[[Test code]:[Test code]],[1]!Table1[Q_int_frac DIW 10 mM KOH],"",0)</f>
        <v>#REF!</v>
      </c>
      <c r="AJ458" s="69" t="e" cm="1">
        <f t="array" ref="AJ458">_xlfn.XLOOKUP(Table1[[#This Row],[5 cm2 cell test code]:[5 cm2 cell test code]],[1]!Table1[[Test code]:[Test code]],[1]!Table1[DIW conductivity (µS/cm)],"",0)</f>
        <v>#REF!</v>
      </c>
      <c r="AQ458" s="4" t="str">
        <v>VSG02A-23339E1.02</v>
      </c>
    </row>
    <row r="459" spans="1:43">
      <c r="A459" s="81"/>
      <c r="J459" s="107"/>
      <c r="K459" s="89"/>
      <c r="L459" s="89"/>
      <c r="U459" s="101"/>
      <c r="V459" s="101"/>
      <c r="W459" s="69" t="e" cm="1">
        <f t="array" ref="W459">_xlfn.XLOOKUP(Table1[[#This Row],[5 cm2 cell test code]:[5 cm2 cell test code]],[1]!Table1[[Test code]:[Test code]],[1]!Table1[i @ 1.8 V DIW (A/cm2)],"",0)</f>
        <v>#REF!</v>
      </c>
      <c r="X459" s="69" t="e" cm="1">
        <f t="array" ref="X459">_xlfn.XLOOKUP(Table1[[#This Row],[5 cm2 cell test code]:[5 cm2 cell test code]],[1]!Table1[[Test code]:[Test code]],[1]!Table1[i @ 1.8 V 10 mM KOH (A/cm2)],"",0)</f>
        <v>#REF!</v>
      </c>
      <c r="Y459" s="69" t="e" cm="1">
        <f t="array" ref="Y459">_xlfn.XLOOKUP(Table1[[#This Row],[5 cm2 cell test code]:[5 cm2 cell test code]],[1]!Table1[[Test code]:[Test code]],[1]!Table1[3-E ƞ at 20mAcm-2 (mV)],"",0)</f>
        <v>#REF!</v>
      </c>
      <c r="Z459" s="69" t="e" cm="1">
        <f t="array" ref="Z459">_xlfn.XLOOKUP(Table1[[#This Row],[5 cm2 cell test code]:[5 cm2 cell test code]],[1]!Table1[[Test code]:[Test code]],[1]!Table1[3-E Tafel slope (mV/dec)],"",0)</f>
        <v>#REF!</v>
      </c>
      <c r="AA459" s="69" t="e" cm="1">
        <f t="array" ref="AA459">_xlfn.XLOOKUP(Table1[[#This Row],[5 cm2 cell test code]:[5 cm2 cell test code]],[1]!Table1[[Test code]:[Test code]],[1]!Table1[E @ 100 mA/cm2 DIW/V],"",0)</f>
        <v>#REF!</v>
      </c>
      <c r="AB459" s="69" t="e" cm="1">
        <f t="array" ref="AB459">_xlfn.XLOOKUP(Table1[[#This Row],[5 cm2 cell test code]:[5 cm2 cell test code]],[1]!Table1[[Test code]:[Test code]],[1]!Table1[E @ 100 mA/cm2 10 mM KOH/V],"",0)</f>
        <v>#REF!</v>
      </c>
      <c r="AC459" s="69" t="e" cm="1">
        <f t="array" ref="AC459">_xlfn.XLOOKUP(Table1[[#This Row],[5 cm2 cell test code]:[5 cm2 cell test code]],[1]!Table1[[Test code]:[Test code]],[1]!Table1[Anode ICR/mOhm],"",0)</f>
        <v>#REF!</v>
      </c>
      <c r="AD459" s="69" t="e" cm="1">
        <f t="array" ref="AD459">_xlfn.XLOOKUP(Table1[[#This Row],[5 cm2 cell test code]:[5 cm2 cell test code]],[1]!Table1[[Test code]:[Test code]],[1]!Table1[HFR DIW/ mOhm cm2],"",0)</f>
        <v>#REF!</v>
      </c>
      <c r="AE459" s="69" t="e" cm="1">
        <f t="array" ref="AE459">_xlfn.XLOOKUP(Table1[[#This Row],[5 cm2 cell test code]:[5 cm2 cell test code]],[1]!Table1[[Test code]:[Test code]],[1]!Table1[HFR 10 mM KOH/ mOhm cm2],"",0)</f>
        <v>#REF!</v>
      </c>
      <c r="AF459" s="69" t="e" cm="1">
        <f t="array" ref="AF459">_xlfn.XLOOKUP(Table1[[#This Row],[5 cm2 cell test code]:[5 cm2 cell test code]],[1]!Table1[[Test code]:[Test code]],[1]!Table1[Ionic resistance DIW/Ohm cm2],"",0)</f>
        <v>#REF!</v>
      </c>
      <c r="AG459" s="195" t="e" cm="1">
        <f t="array" ref="AG459">_xlfn.XLOOKUP(Table1[[#This Row],[5 cm2 cell test code]:[5 cm2 cell test code]],[1]!Table1[[Test code]:[Test code]],[1]!Table1[Q_int_frac DIW],"",0)</f>
        <v>#REF!</v>
      </c>
      <c r="AH459" s="195" t="e" cm="1">
        <f t="array" ref="AH459">_xlfn.XLOOKUP(Table1[[#This Row],[5 cm2 cell test code]:[5 cm2 cell test code]],[1]!Table1[[Test code]:[Test code]],[1]!Table1[Ionic resistance 10 mM KOH/Ohm cm2],"",0)</f>
        <v>#REF!</v>
      </c>
      <c r="AI459" s="195" t="e" cm="1">
        <f t="array" ref="AI459">_xlfn.XLOOKUP(Table1[[#This Row],[5 cm2 cell test code]:[5 cm2 cell test code]],[1]!Table1[[Test code]:[Test code]],[1]!Table1[Q_int_frac DIW 10 mM KOH],"",0)</f>
        <v>#REF!</v>
      </c>
      <c r="AJ459" s="69" t="e" cm="1">
        <f t="array" ref="AJ459">_xlfn.XLOOKUP(Table1[[#This Row],[5 cm2 cell test code]:[5 cm2 cell test code]],[1]!Table1[[Test code]:[Test code]],[1]!Table1[DIW conductivity (µS/cm)],"",0)</f>
        <v>#REF!</v>
      </c>
      <c r="AQ459" s="4" t="str">
        <v>VSG02A-23339E1.02-01</v>
      </c>
    </row>
    <row r="460" spans="1:43">
      <c r="A460" s="81" t="s">
        <v>832</v>
      </c>
      <c r="B460" s="11" t="s">
        <v>833</v>
      </c>
      <c r="C460" s="4" t="s">
        <v>834</v>
      </c>
      <c r="E460" s="4" t="s">
        <v>206</v>
      </c>
      <c r="F460" s="4" t="s">
        <v>835</v>
      </c>
      <c r="G460" s="4">
        <v>1</v>
      </c>
      <c r="I460" s="11" t="s">
        <v>114</v>
      </c>
      <c r="J460" s="107" t="s">
        <v>402</v>
      </c>
      <c r="M460" s="13">
        <f>(65.46-65.26)*1000/(31.6*22.6)</f>
        <v>0.28004928867479084</v>
      </c>
      <c r="O460" s="11" t="s">
        <v>836</v>
      </c>
      <c r="P460" s="28">
        <v>0.74</v>
      </c>
      <c r="Q460" s="4">
        <v>4.4077947462959725E-2</v>
      </c>
      <c r="U460" s="101"/>
      <c r="V460" s="101"/>
      <c r="W460" s="69" t="e" cm="1">
        <f t="array" ref="W460">_xlfn.XLOOKUP(Table1[[#This Row],[5 cm2 cell test code]:[5 cm2 cell test code]],[1]!Table1[[Test code]:[Test code]],[1]!Table1[i @ 1.8 V DIW (A/cm2)],"",0)</f>
        <v>#REF!</v>
      </c>
      <c r="X460" s="69" t="e" cm="1">
        <f t="array" ref="X460">_xlfn.XLOOKUP(Table1[[#This Row],[5 cm2 cell test code]:[5 cm2 cell test code]],[1]!Table1[[Test code]:[Test code]],[1]!Table1[i @ 1.8 V 10 mM KOH (A/cm2)],"",0)</f>
        <v>#REF!</v>
      </c>
      <c r="Y460" s="69" t="e" cm="1">
        <f t="array" ref="Y460">_xlfn.XLOOKUP(Table1[[#This Row],[5 cm2 cell test code]:[5 cm2 cell test code]],[1]!Table1[[Test code]:[Test code]],[1]!Table1[3-E ƞ at 20mAcm-2 (mV)],"",0)</f>
        <v>#REF!</v>
      </c>
      <c r="Z460" s="69" t="e" cm="1">
        <f t="array" ref="Z460">_xlfn.XLOOKUP(Table1[[#This Row],[5 cm2 cell test code]:[5 cm2 cell test code]],[1]!Table1[[Test code]:[Test code]],[1]!Table1[3-E Tafel slope (mV/dec)],"",0)</f>
        <v>#REF!</v>
      </c>
      <c r="AA460" s="69" t="e" cm="1">
        <f t="array" ref="AA460">_xlfn.XLOOKUP(Table1[[#This Row],[5 cm2 cell test code]:[5 cm2 cell test code]],[1]!Table1[[Test code]:[Test code]],[1]!Table1[E @ 100 mA/cm2 DIW/V],"",0)</f>
        <v>#REF!</v>
      </c>
      <c r="AB460" s="69" t="e" cm="1">
        <f t="array" ref="AB460">_xlfn.XLOOKUP(Table1[[#This Row],[5 cm2 cell test code]:[5 cm2 cell test code]],[1]!Table1[[Test code]:[Test code]],[1]!Table1[E @ 100 mA/cm2 10 mM KOH/V],"",0)</f>
        <v>#REF!</v>
      </c>
      <c r="AC460" s="69" t="e" cm="1">
        <f t="array" ref="AC460">_xlfn.XLOOKUP(Table1[[#This Row],[5 cm2 cell test code]:[5 cm2 cell test code]],[1]!Table1[[Test code]:[Test code]],[1]!Table1[Anode ICR/mOhm],"",0)</f>
        <v>#REF!</v>
      </c>
      <c r="AD460" s="69" t="e" cm="1">
        <f t="array" ref="AD460">_xlfn.XLOOKUP(Table1[[#This Row],[5 cm2 cell test code]:[5 cm2 cell test code]],[1]!Table1[[Test code]:[Test code]],[1]!Table1[HFR DIW/ mOhm cm2],"",0)</f>
        <v>#REF!</v>
      </c>
      <c r="AE460" s="69" t="e" cm="1">
        <f t="array" ref="AE460">_xlfn.XLOOKUP(Table1[[#This Row],[5 cm2 cell test code]:[5 cm2 cell test code]],[1]!Table1[[Test code]:[Test code]],[1]!Table1[HFR 10 mM KOH/ mOhm cm2],"",0)</f>
        <v>#REF!</v>
      </c>
      <c r="AF460" s="69" t="e" cm="1">
        <f t="array" ref="AF460">_xlfn.XLOOKUP(Table1[[#This Row],[5 cm2 cell test code]:[5 cm2 cell test code]],[1]!Table1[[Test code]:[Test code]],[1]!Table1[Ionic resistance DIW/Ohm cm2],"",0)</f>
        <v>#REF!</v>
      </c>
      <c r="AG460" s="69" t="e" cm="1">
        <f t="array" ref="AG460">_xlfn.XLOOKUP(Table1[[#This Row],[5 cm2 cell test code]:[5 cm2 cell test code]],[1]!Table1[[Test code]:[Test code]],[1]!Table1[Q_int_frac DIW],"",0)</f>
        <v>#REF!</v>
      </c>
      <c r="AH460" s="69" t="e" cm="1">
        <f t="array" ref="AH460">_xlfn.XLOOKUP(Table1[[#This Row],[5 cm2 cell test code]:[5 cm2 cell test code]],[1]!Table1[[Test code]:[Test code]],[1]!Table1[Ionic resistance 10 mM KOH/Ohm cm2],"",0)</f>
        <v>#REF!</v>
      </c>
      <c r="AI460" s="69" t="e" cm="1">
        <f t="array" ref="AI460">_xlfn.XLOOKUP(Table1[[#This Row],[5 cm2 cell test code]:[5 cm2 cell test code]],[1]!Table1[[Test code]:[Test code]],[1]!Table1[Q_int_frac DIW 10 mM KOH],"",0)</f>
        <v>#REF!</v>
      </c>
      <c r="AJ460" s="69" t="e" cm="1">
        <f t="array" ref="AJ460">_xlfn.XLOOKUP(Table1[[#This Row],[5 cm2 cell test code]:[5 cm2 cell test code]],[1]!Table1[[Test code]:[Test code]],[1]!Table1[DIW conductivity (µS/cm)],"",0)</f>
        <v>#REF!</v>
      </c>
      <c r="AQ460" s="4" t="str">
        <v>VSG02A-23339E1.03</v>
      </c>
    </row>
    <row r="461" spans="1:43">
      <c r="A461" s="81"/>
      <c r="B461" s="11" t="s">
        <v>837</v>
      </c>
      <c r="C461" s="4" t="s">
        <v>838</v>
      </c>
      <c r="I461" s="11" t="s">
        <v>114</v>
      </c>
      <c r="J461" s="107" t="s">
        <v>402</v>
      </c>
      <c r="M461" s="13">
        <f>(62.51-62.3)*1000/(31.5*21.5)</f>
        <v>0.31007751937984623</v>
      </c>
      <c r="Q461" s="4">
        <v>4.5074058879283611E-2</v>
      </c>
      <c r="U461" s="101"/>
      <c r="V461" s="101"/>
      <c r="W461" s="69" t="e" cm="1">
        <f t="array" ref="W461">_xlfn.XLOOKUP(Table1[[#This Row],[5 cm2 cell test code]:[5 cm2 cell test code]],[1]!Table1[[Test code]:[Test code]],[1]!Table1[i @ 1.8 V DIW (A/cm2)],"",0)</f>
        <v>#REF!</v>
      </c>
      <c r="X461" s="69" t="e" cm="1">
        <f t="array" ref="X461">_xlfn.XLOOKUP(Table1[[#This Row],[5 cm2 cell test code]:[5 cm2 cell test code]],[1]!Table1[[Test code]:[Test code]],[1]!Table1[i @ 1.8 V 10 mM KOH (A/cm2)],"",0)</f>
        <v>#REF!</v>
      </c>
      <c r="Y461" s="69" t="e" cm="1">
        <f t="array" ref="Y461">_xlfn.XLOOKUP(Table1[[#This Row],[5 cm2 cell test code]:[5 cm2 cell test code]],[1]!Table1[[Test code]:[Test code]],[1]!Table1[3-E ƞ at 20mAcm-2 (mV)],"",0)</f>
        <v>#REF!</v>
      </c>
      <c r="Z461" s="69" t="e" cm="1">
        <f t="array" ref="Z461">_xlfn.XLOOKUP(Table1[[#This Row],[5 cm2 cell test code]:[5 cm2 cell test code]],[1]!Table1[[Test code]:[Test code]],[1]!Table1[3-E Tafel slope (mV/dec)],"",0)</f>
        <v>#REF!</v>
      </c>
      <c r="AA461" s="69" t="e" cm="1">
        <f t="array" ref="AA461">_xlfn.XLOOKUP(Table1[[#This Row],[5 cm2 cell test code]:[5 cm2 cell test code]],[1]!Table1[[Test code]:[Test code]],[1]!Table1[E @ 100 mA/cm2 DIW/V],"",0)</f>
        <v>#REF!</v>
      </c>
      <c r="AB461" s="69" t="e" cm="1">
        <f t="array" ref="AB461">_xlfn.XLOOKUP(Table1[[#This Row],[5 cm2 cell test code]:[5 cm2 cell test code]],[1]!Table1[[Test code]:[Test code]],[1]!Table1[E @ 100 mA/cm2 10 mM KOH/V],"",0)</f>
        <v>#REF!</v>
      </c>
      <c r="AC461" s="69" t="e" cm="1">
        <f t="array" ref="AC461">_xlfn.XLOOKUP(Table1[[#This Row],[5 cm2 cell test code]:[5 cm2 cell test code]],[1]!Table1[[Test code]:[Test code]],[1]!Table1[Anode ICR/mOhm],"",0)</f>
        <v>#REF!</v>
      </c>
      <c r="AD461" s="69" t="e" cm="1">
        <f t="array" ref="AD461">_xlfn.XLOOKUP(Table1[[#This Row],[5 cm2 cell test code]:[5 cm2 cell test code]],[1]!Table1[[Test code]:[Test code]],[1]!Table1[HFR DIW/ mOhm cm2],"",0)</f>
        <v>#REF!</v>
      </c>
      <c r="AE461" s="69" t="e" cm="1">
        <f t="array" ref="AE461">_xlfn.XLOOKUP(Table1[[#This Row],[5 cm2 cell test code]:[5 cm2 cell test code]],[1]!Table1[[Test code]:[Test code]],[1]!Table1[HFR 10 mM KOH/ mOhm cm2],"",0)</f>
        <v>#REF!</v>
      </c>
      <c r="AF461" s="69" t="e" cm="1">
        <f t="array" ref="AF461">_xlfn.XLOOKUP(Table1[[#This Row],[5 cm2 cell test code]:[5 cm2 cell test code]],[1]!Table1[[Test code]:[Test code]],[1]!Table1[Ionic resistance DIW/Ohm cm2],"",0)</f>
        <v>#REF!</v>
      </c>
      <c r="AG461" s="69" t="e" cm="1">
        <f t="array" ref="AG461">_xlfn.XLOOKUP(Table1[[#This Row],[5 cm2 cell test code]:[5 cm2 cell test code]],[1]!Table1[[Test code]:[Test code]],[1]!Table1[Q_int_frac DIW],"",0)</f>
        <v>#REF!</v>
      </c>
      <c r="AH461" s="69" t="e" cm="1">
        <f t="array" ref="AH461">_xlfn.XLOOKUP(Table1[[#This Row],[5 cm2 cell test code]:[5 cm2 cell test code]],[1]!Table1[[Test code]:[Test code]],[1]!Table1[Ionic resistance 10 mM KOH/Ohm cm2],"",0)</f>
        <v>#REF!</v>
      </c>
      <c r="AI461" s="69" t="e" cm="1">
        <f t="array" ref="AI461">_xlfn.XLOOKUP(Table1[[#This Row],[5 cm2 cell test code]:[5 cm2 cell test code]],[1]!Table1[[Test code]:[Test code]],[1]!Table1[Q_int_frac DIW 10 mM KOH],"",0)</f>
        <v>#REF!</v>
      </c>
      <c r="AJ461" s="69" t="e" cm="1">
        <f t="array" ref="AJ461">_xlfn.XLOOKUP(Table1[[#This Row],[5 cm2 cell test code]:[5 cm2 cell test code]],[1]!Table1[[Test code]:[Test code]],[1]!Table1[DIW conductivity (µS/cm)],"",0)</f>
        <v>#REF!</v>
      </c>
      <c r="AQ461" s="4" t="str">
        <v>VSG02A-23339E1.03-01</v>
      </c>
    </row>
    <row r="462" spans="1:43">
      <c r="A462" s="81"/>
      <c r="B462" s="11" t="s">
        <v>839</v>
      </c>
      <c r="C462" s="4" t="s">
        <v>840</v>
      </c>
      <c r="J462" s="107"/>
      <c r="K462" s="89"/>
      <c r="L462" s="89"/>
      <c r="U462" s="101"/>
      <c r="V462" s="101"/>
      <c r="W462" s="69" t="e" cm="1">
        <f t="array" ref="W462">_xlfn.XLOOKUP(Table1[[#This Row],[5 cm2 cell test code]:[5 cm2 cell test code]],[1]!Table1[[Test code]:[Test code]],[1]!Table1[i @ 1.8 V DIW (A/cm2)],"",0)</f>
        <v>#REF!</v>
      </c>
      <c r="X462" s="69" t="e" cm="1">
        <f t="array" ref="X462">_xlfn.XLOOKUP(Table1[[#This Row],[5 cm2 cell test code]:[5 cm2 cell test code]],[1]!Table1[[Test code]:[Test code]],[1]!Table1[i @ 1.8 V 10 mM KOH (A/cm2)],"",0)</f>
        <v>#REF!</v>
      </c>
      <c r="Y462" s="69" t="e" cm="1">
        <f t="array" ref="Y462">_xlfn.XLOOKUP(Table1[[#This Row],[5 cm2 cell test code]:[5 cm2 cell test code]],[1]!Table1[[Test code]:[Test code]],[1]!Table1[3-E ƞ at 20mAcm-2 (mV)],"",0)</f>
        <v>#REF!</v>
      </c>
      <c r="Z462" s="69" t="e" cm="1">
        <f t="array" ref="Z462">_xlfn.XLOOKUP(Table1[[#This Row],[5 cm2 cell test code]:[5 cm2 cell test code]],[1]!Table1[[Test code]:[Test code]],[1]!Table1[3-E Tafel slope (mV/dec)],"",0)</f>
        <v>#REF!</v>
      </c>
      <c r="AA462" s="69" t="e" cm="1">
        <f t="array" ref="AA462">_xlfn.XLOOKUP(Table1[[#This Row],[5 cm2 cell test code]:[5 cm2 cell test code]],[1]!Table1[[Test code]:[Test code]],[1]!Table1[E @ 100 mA/cm2 DIW/V],"",0)</f>
        <v>#REF!</v>
      </c>
      <c r="AB462" s="69" t="e" cm="1">
        <f t="array" ref="AB462">_xlfn.XLOOKUP(Table1[[#This Row],[5 cm2 cell test code]:[5 cm2 cell test code]],[1]!Table1[[Test code]:[Test code]],[1]!Table1[E @ 100 mA/cm2 10 mM KOH/V],"",0)</f>
        <v>#REF!</v>
      </c>
      <c r="AC462" s="69" t="e" cm="1">
        <f t="array" ref="AC462">_xlfn.XLOOKUP(Table1[[#This Row],[5 cm2 cell test code]:[5 cm2 cell test code]],[1]!Table1[[Test code]:[Test code]],[1]!Table1[Anode ICR/mOhm],"",0)</f>
        <v>#REF!</v>
      </c>
      <c r="AD462" s="69" t="e" cm="1">
        <f t="array" ref="AD462">_xlfn.XLOOKUP(Table1[[#This Row],[5 cm2 cell test code]:[5 cm2 cell test code]],[1]!Table1[[Test code]:[Test code]],[1]!Table1[HFR DIW/ mOhm cm2],"",0)</f>
        <v>#REF!</v>
      </c>
      <c r="AE462" s="69" t="e" cm="1">
        <f t="array" ref="AE462">_xlfn.XLOOKUP(Table1[[#This Row],[5 cm2 cell test code]:[5 cm2 cell test code]],[1]!Table1[[Test code]:[Test code]],[1]!Table1[HFR 10 mM KOH/ mOhm cm2],"",0)</f>
        <v>#REF!</v>
      </c>
      <c r="AF462" s="69" t="e" cm="1">
        <f t="array" ref="AF462">_xlfn.XLOOKUP(Table1[[#This Row],[5 cm2 cell test code]:[5 cm2 cell test code]],[1]!Table1[[Test code]:[Test code]],[1]!Table1[Ionic resistance DIW/Ohm cm2],"",0)</f>
        <v>#REF!</v>
      </c>
      <c r="AG462" s="195" t="e" cm="1">
        <f t="array" ref="AG462">_xlfn.XLOOKUP(Table1[[#This Row],[5 cm2 cell test code]:[5 cm2 cell test code]],[1]!Table1[[Test code]:[Test code]],[1]!Table1[Q_int_frac DIW],"",0)</f>
        <v>#REF!</v>
      </c>
      <c r="AH462" s="195" t="e" cm="1">
        <f t="array" ref="AH462">_xlfn.XLOOKUP(Table1[[#This Row],[5 cm2 cell test code]:[5 cm2 cell test code]],[1]!Table1[[Test code]:[Test code]],[1]!Table1[Ionic resistance 10 mM KOH/Ohm cm2],"",0)</f>
        <v>#REF!</v>
      </c>
      <c r="AI462" s="195" t="e" cm="1">
        <f t="array" ref="AI462">_xlfn.XLOOKUP(Table1[[#This Row],[5 cm2 cell test code]:[5 cm2 cell test code]],[1]!Table1[[Test code]:[Test code]],[1]!Table1[Q_int_frac DIW 10 mM KOH],"",0)</f>
        <v>#REF!</v>
      </c>
      <c r="AJ462" s="69" t="e" cm="1">
        <f t="array" ref="AJ462">_xlfn.XLOOKUP(Table1[[#This Row],[5 cm2 cell test code]:[5 cm2 cell test code]],[1]!Table1[[Test code]:[Test code]],[1]!Table1[DIW conductivity (µS/cm)],"",0)</f>
        <v>#REF!</v>
      </c>
      <c r="AQ462" s="4" t="str">
        <v>VSG02A-23339E1.03-02</v>
      </c>
    </row>
    <row r="463" spans="1:43">
      <c r="A463" s="81"/>
      <c r="B463" s="11" t="s">
        <v>841</v>
      </c>
      <c r="C463" s="4" t="s">
        <v>840</v>
      </c>
      <c r="J463" s="107"/>
      <c r="K463" s="89"/>
      <c r="L463" s="89"/>
      <c r="U463" s="101"/>
      <c r="V463" s="101"/>
      <c r="W463" s="69" t="e" cm="1">
        <f t="array" ref="W463">_xlfn.XLOOKUP(Table1[[#This Row],[5 cm2 cell test code]:[5 cm2 cell test code]],[1]!Table1[[Test code]:[Test code]],[1]!Table1[i @ 1.8 V DIW (A/cm2)],"",0)</f>
        <v>#REF!</v>
      </c>
      <c r="X463" s="69" t="e" cm="1">
        <f t="array" ref="X463">_xlfn.XLOOKUP(Table1[[#This Row],[5 cm2 cell test code]:[5 cm2 cell test code]],[1]!Table1[[Test code]:[Test code]],[1]!Table1[i @ 1.8 V 10 mM KOH (A/cm2)],"",0)</f>
        <v>#REF!</v>
      </c>
      <c r="Y463" s="69" t="e" cm="1">
        <f t="array" ref="Y463">_xlfn.XLOOKUP(Table1[[#This Row],[5 cm2 cell test code]:[5 cm2 cell test code]],[1]!Table1[[Test code]:[Test code]],[1]!Table1[3-E ƞ at 20mAcm-2 (mV)],"",0)</f>
        <v>#REF!</v>
      </c>
      <c r="Z463" s="69" t="e" cm="1">
        <f t="array" ref="Z463">_xlfn.XLOOKUP(Table1[[#This Row],[5 cm2 cell test code]:[5 cm2 cell test code]],[1]!Table1[[Test code]:[Test code]],[1]!Table1[3-E Tafel slope (mV/dec)],"",0)</f>
        <v>#REF!</v>
      </c>
      <c r="AA463" s="69" t="e" cm="1">
        <f t="array" ref="AA463">_xlfn.XLOOKUP(Table1[[#This Row],[5 cm2 cell test code]:[5 cm2 cell test code]],[1]!Table1[[Test code]:[Test code]],[1]!Table1[E @ 100 mA/cm2 DIW/V],"",0)</f>
        <v>#REF!</v>
      </c>
      <c r="AB463" s="69" t="e" cm="1">
        <f t="array" ref="AB463">_xlfn.XLOOKUP(Table1[[#This Row],[5 cm2 cell test code]:[5 cm2 cell test code]],[1]!Table1[[Test code]:[Test code]],[1]!Table1[E @ 100 mA/cm2 10 mM KOH/V],"",0)</f>
        <v>#REF!</v>
      </c>
      <c r="AC463" s="69" t="e" cm="1">
        <f t="array" ref="AC463">_xlfn.XLOOKUP(Table1[[#This Row],[5 cm2 cell test code]:[5 cm2 cell test code]],[1]!Table1[[Test code]:[Test code]],[1]!Table1[Anode ICR/mOhm],"",0)</f>
        <v>#REF!</v>
      </c>
      <c r="AD463" s="69" t="e" cm="1">
        <f t="array" ref="AD463">_xlfn.XLOOKUP(Table1[[#This Row],[5 cm2 cell test code]:[5 cm2 cell test code]],[1]!Table1[[Test code]:[Test code]],[1]!Table1[HFR DIW/ mOhm cm2],"",0)</f>
        <v>#REF!</v>
      </c>
      <c r="AE463" s="69" t="e" cm="1">
        <f t="array" ref="AE463">_xlfn.XLOOKUP(Table1[[#This Row],[5 cm2 cell test code]:[5 cm2 cell test code]],[1]!Table1[[Test code]:[Test code]],[1]!Table1[HFR 10 mM KOH/ mOhm cm2],"",0)</f>
        <v>#REF!</v>
      </c>
      <c r="AF463" s="69" t="e" cm="1">
        <f t="array" ref="AF463">_xlfn.XLOOKUP(Table1[[#This Row],[5 cm2 cell test code]:[5 cm2 cell test code]],[1]!Table1[[Test code]:[Test code]],[1]!Table1[Ionic resistance DIW/Ohm cm2],"",0)</f>
        <v>#REF!</v>
      </c>
      <c r="AG463" s="195" t="e" cm="1">
        <f t="array" ref="AG463">_xlfn.XLOOKUP(Table1[[#This Row],[5 cm2 cell test code]:[5 cm2 cell test code]],[1]!Table1[[Test code]:[Test code]],[1]!Table1[Q_int_frac DIW],"",0)</f>
        <v>#REF!</v>
      </c>
      <c r="AH463" s="195" t="e" cm="1">
        <f t="array" ref="AH463">_xlfn.XLOOKUP(Table1[[#This Row],[5 cm2 cell test code]:[5 cm2 cell test code]],[1]!Table1[[Test code]:[Test code]],[1]!Table1[Ionic resistance 10 mM KOH/Ohm cm2],"",0)</f>
        <v>#REF!</v>
      </c>
      <c r="AI463" s="195" t="e" cm="1">
        <f t="array" ref="AI463">_xlfn.XLOOKUP(Table1[[#This Row],[5 cm2 cell test code]:[5 cm2 cell test code]],[1]!Table1[[Test code]:[Test code]],[1]!Table1[Q_int_frac DIW 10 mM KOH],"",0)</f>
        <v>#REF!</v>
      </c>
      <c r="AJ463" s="69" t="e" cm="1">
        <f t="array" ref="AJ463">_xlfn.XLOOKUP(Table1[[#This Row],[5 cm2 cell test code]:[5 cm2 cell test code]],[1]!Table1[[Test code]:[Test code]],[1]!Table1[DIW conductivity (µS/cm)],"",0)</f>
        <v>#REF!</v>
      </c>
      <c r="AQ463" s="4" t="str">
        <v>VSG02A-23339E1.04</v>
      </c>
    </row>
    <row r="464" spans="1:43">
      <c r="A464" s="81"/>
      <c r="B464" s="11" t="s">
        <v>842</v>
      </c>
      <c r="C464" s="4" t="s">
        <v>840</v>
      </c>
      <c r="J464" s="107"/>
      <c r="K464" s="89"/>
      <c r="L464" s="89"/>
      <c r="U464" s="101"/>
      <c r="V464" s="101"/>
      <c r="W464" s="69" t="e" cm="1">
        <f t="array" ref="W464">_xlfn.XLOOKUP(Table1[[#This Row],[5 cm2 cell test code]:[5 cm2 cell test code]],[1]!Table1[[Test code]:[Test code]],[1]!Table1[i @ 1.8 V DIW (A/cm2)],"",0)</f>
        <v>#REF!</v>
      </c>
      <c r="X464" s="69" t="e" cm="1">
        <f t="array" ref="X464">_xlfn.XLOOKUP(Table1[[#This Row],[5 cm2 cell test code]:[5 cm2 cell test code]],[1]!Table1[[Test code]:[Test code]],[1]!Table1[i @ 1.8 V 10 mM KOH (A/cm2)],"",0)</f>
        <v>#REF!</v>
      </c>
      <c r="Y464" s="69" t="e" cm="1">
        <f t="array" ref="Y464">_xlfn.XLOOKUP(Table1[[#This Row],[5 cm2 cell test code]:[5 cm2 cell test code]],[1]!Table1[[Test code]:[Test code]],[1]!Table1[3-E ƞ at 20mAcm-2 (mV)],"",0)</f>
        <v>#REF!</v>
      </c>
      <c r="Z464" s="69" t="e" cm="1">
        <f t="array" ref="Z464">_xlfn.XLOOKUP(Table1[[#This Row],[5 cm2 cell test code]:[5 cm2 cell test code]],[1]!Table1[[Test code]:[Test code]],[1]!Table1[3-E Tafel slope (mV/dec)],"",0)</f>
        <v>#REF!</v>
      </c>
      <c r="AA464" s="69" t="e" cm="1">
        <f t="array" ref="AA464">_xlfn.XLOOKUP(Table1[[#This Row],[5 cm2 cell test code]:[5 cm2 cell test code]],[1]!Table1[[Test code]:[Test code]],[1]!Table1[E @ 100 mA/cm2 DIW/V],"",0)</f>
        <v>#REF!</v>
      </c>
      <c r="AB464" s="69" t="e" cm="1">
        <f t="array" ref="AB464">_xlfn.XLOOKUP(Table1[[#This Row],[5 cm2 cell test code]:[5 cm2 cell test code]],[1]!Table1[[Test code]:[Test code]],[1]!Table1[E @ 100 mA/cm2 10 mM KOH/V],"",0)</f>
        <v>#REF!</v>
      </c>
      <c r="AC464" s="69" t="e" cm="1">
        <f t="array" ref="AC464">_xlfn.XLOOKUP(Table1[[#This Row],[5 cm2 cell test code]:[5 cm2 cell test code]],[1]!Table1[[Test code]:[Test code]],[1]!Table1[Anode ICR/mOhm],"",0)</f>
        <v>#REF!</v>
      </c>
      <c r="AD464" s="69" t="e" cm="1">
        <f t="array" ref="AD464">_xlfn.XLOOKUP(Table1[[#This Row],[5 cm2 cell test code]:[5 cm2 cell test code]],[1]!Table1[[Test code]:[Test code]],[1]!Table1[HFR DIW/ mOhm cm2],"",0)</f>
        <v>#REF!</v>
      </c>
      <c r="AE464" s="69" t="e" cm="1">
        <f t="array" ref="AE464">_xlfn.XLOOKUP(Table1[[#This Row],[5 cm2 cell test code]:[5 cm2 cell test code]],[1]!Table1[[Test code]:[Test code]],[1]!Table1[HFR 10 mM KOH/ mOhm cm2],"",0)</f>
        <v>#REF!</v>
      </c>
      <c r="AF464" s="69" t="e" cm="1">
        <f t="array" ref="AF464">_xlfn.XLOOKUP(Table1[[#This Row],[5 cm2 cell test code]:[5 cm2 cell test code]],[1]!Table1[[Test code]:[Test code]],[1]!Table1[Ionic resistance DIW/Ohm cm2],"",0)</f>
        <v>#REF!</v>
      </c>
      <c r="AG464" s="195" t="e" cm="1">
        <f t="array" ref="AG464">_xlfn.XLOOKUP(Table1[[#This Row],[5 cm2 cell test code]:[5 cm2 cell test code]],[1]!Table1[[Test code]:[Test code]],[1]!Table1[Q_int_frac DIW],"",0)</f>
        <v>#REF!</v>
      </c>
      <c r="AH464" s="195" t="e" cm="1">
        <f t="array" ref="AH464">_xlfn.XLOOKUP(Table1[[#This Row],[5 cm2 cell test code]:[5 cm2 cell test code]],[1]!Table1[[Test code]:[Test code]],[1]!Table1[Ionic resistance 10 mM KOH/Ohm cm2],"",0)</f>
        <v>#REF!</v>
      </c>
      <c r="AI464" s="195" t="e" cm="1">
        <f t="array" ref="AI464">_xlfn.XLOOKUP(Table1[[#This Row],[5 cm2 cell test code]:[5 cm2 cell test code]],[1]!Table1[[Test code]:[Test code]],[1]!Table1[Q_int_frac DIW 10 mM KOH],"",0)</f>
        <v>#REF!</v>
      </c>
      <c r="AJ464" s="69" t="e" cm="1">
        <f t="array" ref="AJ464">_xlfn.XLOOKUP(Table1[[#This Row],[5 cm2 cell test code]:[5 cm2 cell test code]],[1]!Table1[[Test code]:[Test code]],[1]!Table1[DIW conductivity (µS/cm)],"",0)</f>
        <v>#REF!</v>
      </c>
      <c r="AQ464" s="4" t="str">
        <v>VSG02A-23339E1.04-01</v>
      </c>
    </row>
    <row r="465" spans="1:43">
      <c r="A465" s="81"/>
      <c r="B465" s="11" t="s">
        <v>843</v>
      </c>
      <c r="C465" s="4" t="s">
        <v>840</v>
      </c>
      <c r="J465" s="107"/>
      <c r="K465" s="89"/>
      <c r="L465" s="89"/>
      <c r="U465" s="101"/>
      <c r="V465" s="101"/>
      <c r="W465" s="69" t="e" cm="1">
        <f t="array" ref="W465">_xlfn.XLOOKUP(Table1[[#This Row],[5 cm2 cell test code]:[5 cm2 cell test code]],[1]!Table1[[Test code]:[Test code]],[1]!Table1[i @ 1.8 V DIW (A/cm2)],"",0)</f>
        <v>#REF!</v>
      </c>
      <c r="X465" s="69" t="e" cm="1">
        <f t="array" ref="X465">_xlfn.XLOOKUP(Table1[[#This Row],[5 cm2 cell test code]:[5 cm2 cell test code]],[1]!Table1[[Test code]:[Test code]],[1]!Table1[i @ 1.8 V 10 mM KOH (A/cm2)],"",0)</f>
        <v>#REF!</v>
      </c>
      <c r="Y465" s="69" t="e" cm="1">
        <f t="array" ref="Y465">_xlfn.XLOOKUP(Table1[[#This Row],[5 cm2 cell test code]:[5 cm2 cell test code]],[1]!Table1[[Test code]:[Test code]],[1]!Table1[3-E ƞ at 20mAcm-2 (mV)],"",0)</f>
        <v>#REF!</v>
      </c>
      <c r="Z465" s="69" t="e" cm="1">
        <f t="array" ref="Z465">_xlfn.XLOOKUP(Table1[[#This Row],[5 cm2 cell test code]:[5 cm2 cell test code]],[1]!Table1[[Test code]:[Test code]],[1]!Table1[3-E Tafel slope (mV/dec)],"",0)</f>
        <v>#REF!</v>
      </c>
      <c r="AA465" s="69" t="e" cm="1">
        <f t="array" ref="AA465">_xlfn.XLOOKUP(Table1[[#This Row],[5 cm2 cell test code]:[5 cm2 cell test code]],[1]!Table1[[Test code]:[Test code]],[1]!Table1[E @ 100 mA/cm2 DIW/V],"",0)</f>
        <v>#REF!</v>
      </c>
      <c r="AB465" s="69" t="e" cm="1">
        <f t="array" ref="AB465">_xlfn.XLOOKUP(Table1[[#This Row],[5 cm2 cell test code]:[5 cm2 cell test code]],[1]!Table1[[Test code]:[Test code]],[1]!Table1[E @ 100 mA/cm2 10 mM KOH/V],"",0)</f>
        <v>#REF!</v>
      </c>
      <c r="AC465" s="69" t="e" cm="1">
        <f t="array" ref="AC465">_xlfn.XLOOKUP(Table1[[#This Row],[5 cm2 cell test code]:[5 cm2 cell test code]],[1]!Table1[[Test code]:[Test code]],[1]!Table1[Anode ICR/mOhm],"",0)</f>
        <v>#REF!</v>
      </c>
      <c r="AD465" s="69" t="e" cm="1">
        <f t="array" ref="AD465">_xlfn.XLOOKUP(Table1[[#This Row],[5 cm2 cell test code]:[5 cm2 cell test code]],[1]!Table1[[Test code]:[Test code]],[1]!Table1[HFR DIW/ mOhm cm2],"",0)</f>
        <v>#REF!</v>
      </c>
      <c r="AE465" s="69" t="e" cm="1">
        <f t="array" ref="AE465">_xlfn.XLOOKUP(Table1[[#This Row],[5 cm2 cell test code]:[5 cm2 cell test code]],[1]!Table1[[Test code]:[Test code]],[1]!Table1[HFR 10 mM KOH/ mOhm cm2],"",0)</f>
        <v>#REF!</v>
      </c>
      <c r="AF465" s="69" t="e" cm="1">
        <f t="array" ref="AF465">_xlfn.XLOOKUP(Table1[[#This Row],[5 cm2 cell test code]:[5 cm2 cell test code]],[1]!Table1[[Test code]:[Test code]],[1]!Table1[Ionic resistance DIW/Ohm cm2],"",0)</f>
        <v>#REF!</v>
      </c>
      <c r="AG465" s="195" t="e" cm="1">
        <f t="array" ref="AG465">_xlfn.XLOOKUP(Table1[[#This Row],[5 cm2 cell test code]:[5 cm2 cell test code]],[1]!Table1[[Test code]:[Test code]],[1]!Table1[Q_int_frac DIW],"",0)</f>
        <v>#REF!</v>
      </c>
      <c r="AH465" s="195" t="e" cm="1">
        <f t="array" ref="AH465">_xlfn.XLOOKUP(Table1[[#This Row],[5 cm2 cell test code]:[5 cm2 cell test code]],[1]!Table1[[Test code]:[Test code]],[1]!Table1[Ionic resistance 10 mM KOH/Ohm cm2],"",0)</f>
        <v>#REF!</v>
      </c>
      <c r="AI465" s="195" t="e" cm="1">
        <f t="array" ref="AI465">_xlfn.XLOOKUP(Table1[[#This Row],[5 cm2 cell test code]:[5 cm2 cell test code]],[1]!Table1[[Test code]:[Test code]],[1]!Table1[Q_int_frac DIW 10 mM KOH],"",0)</f>
        <v>#REF!</v>
      </c>
      <c r="AJ465" s="69" t="e" cm="1">
        <f t="array" ref="AJ465">_xlfn.XLOOKUP(Table1[[#This Row],[5 cm2 cell test code]:[5 cm2 cell test code]],[1]!Table1[[Test code]:[Test code]],[1]!Table1[DIW conductivity (µS/cm)],"",0)</f>
        <v>#REF!</v>
      </c>
      <c r="AQ465" s="4" t="str">
        <v>VSG02A-23339E1.04-02</v>
      </c>
    </row>
    <row r="466" spans="1:43">
      <c r="A466" s="81"/>
      <c r="B466" s="11" t="s">
        <v>844</v>
      </c>
      <c r="C466" s="4" t="s">
        <v>840</v>
      </c>
      <c r="J466" s="107"/>
      <c r="K466" s="89"/>
      <c r="L466" s="89"/>
      <c r="U466" s="101"/>
      <c r="V466" s="101"/>
      <c r="W466" s="69" t="e" cm="1">
        <f t="array" ref="W466">_xlfn.XLOOKUP(Table1[[#This Row],[5 cm2 cell test code]:[5 cm2 cell test code]],[1]!Table1[[Test code]:[Test code]],[1]!Table1[i @ 1.8 V DIW (A/cm2)],"",0)</f>
        <v>#REF!</v>
      </c>
      <c r="X466" s="69" t="e" cm="1">
        <f t="array" ref="X466">_xlfn.XLOOKUP(Table1[[#This Row],[5 cm2 cell test code]:[5 cm2 cell test code]],[1]!Table1[[Test code]:[Test code]],[1]!Table1[i @ 1.8 V 10 mM KOH (A/cm2)],"",0)</f>
        <v>#REF!</v>
      </c>
      <c r="Y466" s="69" t="e" cm="1">
        <f t="array" ref="Y466">_xlfn.XLOOKUP(Table1[[#This Row],[5 cm2 cell test code]:[5 cm2 cell test code]],[1]!Table1[[Test code]:[Test code]],[1]!Table1[3-E ƞ at 20mAcm-2 (mV)],"",0)</f>
        <v>#REF!</v>
      </c>
      <c r="Z466" s="69" t="e" cm="1">
        <f t="array" ref="Z466">_xlfn.XLOOKUP(Table1[[#This Row],[5 cm2 cell test code]:[5 cm2 cell test code]],[1]!Table1[[Test code]:[Test code]],[1]!Table1[3-E Tafel slope (mV/dec)],"",0)</f>
        <v>#REF!</v>
      </c>
      <c r="AA466" s="69" t="e" cm="1">
        <f t="array" ref="AA466">_xlfn.XLOOKUP(Table1[[#This Row],[5 cm2 cell test code]:[5 cm2 cell test code]],[1]!Table1[[Test code]:[Test code]],[1]!Table1[E @ 100 mA/cm2 DIW/V],"",0)</f>
        <v>#REF!</v>
      </c>
      <c r="AB466" s="69" t="e" cm="1">
        <f t="array" ref="AB466">_xlfn.XLOOKUP(Table1[[#This Row],[5 cm2 cell test code]:[5 cm2 cell test code]],[1]!Table1[[Test code]:[Test code]],[1]!Table1[E @ 100 mA/cm2 10 mM KOH/V],"",0)</f>
        <v>#REF!</v>
      </c>
      <c r="AC466" s="69" t="e" cm="1">
        <f t="array" ref="AC466">_xlfn.XLOOKUP(Table1[[#This Row],[5 cm2 cell test code]:[5 cm2 cell test code]],[1]!Table1[[Test code]:[Test code]],[1]!Table1[Anode ICR/mOhm],"",0)</f>
        <v>#REF!</v>
      </c>
      <c r="AD466" s="69" t="e" cm="1">
        <f t="array" ref="AD466">_xlfn.XLOOKUP(Table1[[#This Row],[5 cm2 cell test code]:[5 cm2 cell test code]],[1]!Table1[[Test code]:[Test code]],[1]!Table1[HFR DIW/ mOhm cm2],"",0)</f>
        <v>#REF!</v>
      </c>
      <c r="AE466" s="69" t="e" cm="1">
        <f t="array" ref="AE466">_xlfn.XLOOKUP(Table1[[#This Row],[5 cm2 cell test code]:[5 cm2 cell test code]],[1]!Table1[[Test code]:[Test code]],[1]!Table1[HFR 10 mM KOH/ mOhm cm2],"",0)</f>
        <v>#REF!</v>
      </c>
      <c r="AF466" s="69" t="e" cm="1">
        <f t="array" ref="AF466">_xlfn.XLOOKUP(Table1[[#This Row],[5 cm2 cell test code]:[5 cm2 cell test code]],[1]!Table1[[Test code]:[Test code]],[1]!Table1[Ionic resistance DIW/Ohm cm2],"",0)</f>
        <v>#REF!</v>
      </c>
      <c r="AG466" s="195" t="e" cm="1">
        <f t="array" ref="AG466">_xlfn.XLOOKUP(Table1[[#This Row],[5 cm2 cell test code]:[5 cm2 cell test code]],[1]!Table1[[Test code]:[Test code]],[1]!Table1[Q_int_frac DIW],"",0)</f>
        <v>#REF!</v>
      </c>
      <c r="AH466" s="195" t="e" cm="1">
        <f t="array" ref="AH466">_xlfn.XLOOKUP(Table1[[#This Row],[5 cm2 cell test code]:[5 cm2 cell test code]],[1]!Table1[[Test code]:[Test code]],[1]!Table1[Ionic resistance 10 mM KOH/Ohm cm2],"",0)</f>
        <v>#REF!</v>
      </c>
      <c r="AI466" s="195" t="e" cm="1">
        <f t="array" ref="AI466">_xlfn.XLOOKUP(Table1[[#This Row],[5 cm2 cell test code]:[5 cm2 cell test code]],[1]!Table1[[Test code]:[Test code]],[1]!Table1[Q_int_frac DIW 10 mM KOH],"",0)</f>
        <v>#REF!</v>
      </c>
      <c r="AJ466" s="69" t="e" cm="1">
        <f t="array" ref="AJ466">_xlfn.XLOOKUP(Table1[[#This Row],[5 cm2 cell test code]:[5 cm2 cell test code]],[1]!Table1[[Test code]:[Test code]],[1]!Table1[DIW conductivity (µS/cm)],"",0)</f>
        <v>#REF!</v>
      </c>
      <c r="AQ466" s="4" t="str">
        <v>VSG02A-23340E1.01</v>
      </c>
    </row>
    <row r="467" spans="1:43">
      <c r="A467" s="81"/>
      <c r="B467" s="11" t="s">
        <v>845</v>
      </c>
      <c r="C467" s="4" t="s">
        <v>840</v>
      </c>
      <c r="J467" s="107"/>
      <c r="K467" s="89"/>
      <c r="L467" s="89"/>
      <c r="U467" s="101"/>
      <c r="V467" s="101"/>
      <c r="W467" s="69" t="e" cm="1">
        <f t="array" ref="W467">_xlfn.XLOOKUP(Table1[[#This Row],[5 cm2 cell test code]:[5 cm2 cell test code]],[1]!Table1[[Test code]:[Test code]],[1]!Table1[i @ 1.8 V DIW (A/cm2)],"",0)</f>
        <v>#REF!</v>
      </c>
      <c r="X467" s="69" t="e" cm="1">
        <f t="array" ref="X467">_xlfn.XLOOKUP(Table1[[#This Row],[5 cm2 cell test code]:[5 cm2 cell test code]],[1]!Table1[[Test code]:[Test code]],[1]!Table1[i @ 1.8 V 10 mM KOH (A/cm2)],"",0)</f>
        <v>#REF!</v>
      </c>
      <c r="Y467" s="69" t="e" cm="1">
        <f t="array" ref="Y467">_xlfn.XLOOKUP(Table1[[#This Row],[5 cm2 cell test code]:[5 cm2 cell test code]],[1]!Table1[[Test code]:[Test code]],[1]!Table1[3-E ƞ at 20mAcm-2 (mV)],"",0)</f>
        <v>#REF!</v>
      </c>
      <c r="Z467" s="69" t="e" cm="1">
        <f t="array" ref="Z467">_xlfn.XLOOKUP(Table1[[#This Row],[5 cm2 cell test code]:[5 cm2 cell test code]],[1]!Table1[[Test code]:[Test code]],[1]!Table1[3-E Tafel slope (mV/dec)],"",0)</f>
        <v>#REF!</v>
      </c>
      <c r="AA467" s="69" t="e" cm="1">
        <f t="array" ref="AA467">_xlfn.XLOOKUP(Table1[[#This Row],[5 cm2 cell test code]:[5 cm2 cell test code]],[1]!Table1[[Test code]:[Test code]],[1]!Table1[E @ 100 mA/cm2 DIW/V],"",0)</f>
        <v>#REF!</v>
      </c>
      <c r="AB467" s="69" t="e" cm="1">
        <f t="array" ref="AB467">_xlfn.XLOOKUP(Table1[[#This Row],[5 cm2 cell test code]:[5 cm2 cell test code]],[1]!Table1[[Test code]:[Test code]],[1]!Table1[E @ 100 mA/cm2 10 mM KOH/V],"",0)</f>
        <v>#REF!</v>
      </c>
      <c r="AC467" s="69" t="e" cm="1">
        <f t="array" ref="AC467">_xlfn.XLOOKUP(Table1[[#This Row],[5 cm2 cell test code]:[5 cm2 cell test code]],[1]!Table1[[Test code]:[Test code]],[1]!Table1[Anode ICR/mOhm],"",0)</f>
        <v>#REF!</v>
      </c>
      <c r="AD467" s="69" t="e" cm="1">
        <f t="array" ref="AD467">_xlfn.XLOOKUP(Table1[[#This Row],[5 cm2 cell test code]:[5 cm2 cell test code]],[1]!Table1[[Test code]:[Test code]],[1]!Table1[HFR DIW/ mOhm cm2],"",0)</f>
        <v>#REF!</v>
      </c>
      <c r="AE467" s="69" t="e" cm="1">
        <f t="array" ref="AE467">_xlfn.XLOOKUP(Table1[[#This Row],[5 cm2 cell test code]:[5 cm2 cell test code]],[1]!Table1[[Test code]:[Test code]],[1]!Table1[HFR 10 mM KOH/ mOhm cm2],"",0)</f>
        <v>#REF!</v>
      </c>
      <c r="AF467" s="69" t="e" cm="1">
        <f t="array" ref="AF467">_xlfn.XLOOKUP(Table1[[#This Row],[5 cm2 cell test code]:[5 cm2 cell test code]],[1]!Table1[[Test code]:[Test code]],[1]!Table1[Ionic resistance DIW/Ohm cm2],"",0)</f>
        <v>#REF!</v>
      </c>
      <c r="AG467" s="195" t="e" cm="1">
        <f t="array" ref="AG467">_xlfn.XLOOKUP(Table1[[#This Row],[5 cm2 cell test code]:[5 cm2 cell test code]],[1]!Table1[[Test code]:[Test code]],[1]!Table1[Q_int_frac DIW],"",0)</f>
        <v>#REF!</v>
      </c>
      <c r="AH467" s="195" t="e" cm="1">
        <f t="array" ref="AH467">_xlfn.XLOOKUP(Table1[[#This Row],[5 cm2 cell test code]:[5 cm2 cell test code]],[1]!Table1[[Test code]:[Test code]],[1]!Table1[Ionic resistance 10 mM KOH/Ohm cm2],"",0)</f>
        <v>#REF!</v>
      </c>
      <c r="AI467" s="195" t="e" cm="1">
        <f t="array" ref="AI467">_xlfn.XLOOKUP(Table1[[#This Row],[5 cm2 cell test code]:[5 cm2 cell test code]],[1]!Table1[[Test code]:[Test code]],[1]!Table1[Q_int_frac DIW 10 mM KOH],"",0)</f>
        <v>#REF!</v>
      </c>
      <c r="AJ467" s="69" t="e" cm="1">
        <f t="array" ref="AJ467">_xlfn.XLOOKUP(Table1[[#This Row],[5 cm2 cell test code]:[5 cm2 cell test code]],[1]!Table1[[Test code]:[Test code]],[1]!Table1[DIW conductivity (µS/cm)],"",0)</f>
        <v>#REF!</v>
      </c>
      <c r="AQ467" s="4" t="str">
        <v>VSG02A-23340E1.02</v>
      </c>
    </row>
    <row r="468" spans="1:43">
      <c r="A468" s="81"/>
      <c r="B468" s="11" t="s">
        <v>846</v>
      </c>
      <c r="C468" s="4" t="s">
        <v>840</v>
      </c>
      <c r="J468" s="107"/>
      <c r="K468" s="89"/>
      <c r="L468" s="89"/>
      <c r="U468" s="101"/>
      <c r="V468" s="101"/>
      <c r="W468" s="69" t="e" cm="1">
        <f t="array" ref="W468">_xlfn.XLOOKUP(Table1[[#This Row],[5 cm2 cell test code]:[5 cm2 cell test code]],[1]!Table1[[Test code]:[Test code]],[1]!Table1[i @ 1.8 V DIW (A/cm2)],"",0)</f>
        <v>#REF!</v>
      </c>
      <c r="X468" s="69" t="e" cm="1">
        <f t="array" ref="X468">_xlfn.XLOOKUP(Table1[[#This Row],[5 cm2 cell test code]:[5 cm2 cell test code]],[1]!Table1[[Test code]:[Test code]],[1]!Table1[i @ 1.8 V 10 mM KOH (A/cm2)],"",0)</f>
        <v>#REF!</v>
      </c>
      <c r="Y468" s="69" t="e" cm="1">
        <f t="array" ref="Y468">_xlfn.XLOOKUP(Table1[[#This Row],[5 cm2 cell test code]:[5 cm2 cell test code]],[1]!Table1[[Test code]:[Test code]],[1]!Table1[3-E ƞ at 20mAcm-2 (mV)],"",0)</f>
        <v>#REF!</v>
      </c>
      <c r="Z468" s="69" t="e" cm="1">
        <f t="array" ref="Z468">_xlfn.XLOOKUP(Table1[[#This Row],[5 cm2 cell test code]:[5 cm2 cell test code]],[1]!Table1[[Test code]:[Test code]],[1]!Table1[3-E Tafel slope (mV/dec)],"",0)</f>
        <v>#REF!</v>
      </c>
      <c r="AA468" s="69" t="e" cm="1">
        <f t="array" ref="AA468">_xlfn.XLOOKUP(Table1[[#This Row],[5 cm2 cell test code]:[5 cm2 cell test code]],[1]!Table1[[Test code]:[Test code]],[1]!Table1[E @ 100 mA/cm2 DIW/V],"",0)</f>
        <v>#REF!</v>
      </c>
      <c r="AB468" s="69" t="e" cm="1">
        <f t="array" ref="AB468">_xlfn.XLOOKUP(Table1[[#This Row],[5 cm2 cell test code]:[5 cm2 cell test code]],[1]!Table1[[Test code]:[Test code]],[1]!Table1[E @ 100 mA/cm2 10 mM KOH/V],"",0)</f>
        <v>#REF!</v>
      </c>
      <c r="AC468" s="69" t="e" cm="1">
        <f t="array" ref="AC468">_xlfn.XLOOKUP(Table1[[#This Row],[5 cm2 cell test code]:[5 cm2 cell test code]],[1]!Table1[[Test code]:[Test code]],[1]!Table1[Anode ICR/mOhm],"",0)</f>
        <v>#REF!</v>
      </c>
      <c r="AD468" s="69" t="e" cm="1">
        <f t="array" ref="AD468">_xlfn.XLOOKUP(Table1[[#This Row],[5 cm2 cell test code]:[5 cm2 cell test code]],[1]!Table1[[Test code]:[Test code]],[1]!Table1[HFR DIW/ mOhm cm2],"",0)</f>
        <v>#REF!</v>
      </c>
      <c r="AE468" s="69" t="e" cm="1">
        <f t="array" ref="AE468">_xlfn.XLOOKUP(Table1[[#This Row],[5 cm2 cell test code]:[5 cm2 cell test code]],[1]!Table1[[Test code]:[Test code]],[1]!Table1[HFR 10 mM KOH/ mOhm cm2],"",0)</f>
        <v>#REF!</v>
      </c>
      <c r="AF468" s="69" t="e" cm="1">
        <f t="array" ref="AF468">_xlfn.XLOOKUP(Table1[[#This Row],[5 cm2 cell test code]:[5 cm2 cell test code]],[1]!Table1[[Test code]:[Test code]],[1]!Table1[Ionic resistance DIW/Ohm cm2],"",0)</f>
        <v>#REF!</v>
      </c>
      <c r="AG468" s="195" t="e" cm="1">
        <f t="array" ref="AG468">_xlfn.XLOOKUP(Table1[[#This Row],[5 cm2 cell test code]:[5 cm2 cell test code]],[1]!Table1[[Test code]:[Test code]],[1]!Table1[Q_int_frac DIW],"",0)</f>
        <v>#REF!</v>
      </c>
      <c r="AH468" s="195" t="e" cm="1">
        <f t="array" ref="AH468">_xlfn.XLOOKUP(Table1[[#This Row],[5 cm2 cell test code]:[5 cm2 cell test code]],[1]!Table1[[Test code]:[Test code]],[1]!Table1[Ionic resistance 10 mM KOH/Ohm cm2],"",0)</f>
        <v>#REF!</v>
      </c>
      <c r="AI468" s="195" t="e" cm="1">
        <f t="array" ref="AI468">_xlfn.XLOOKUP(Table1[[#This Row],[5 cm2 cell test code]:[5 cm2 cell test code]],[1]!Table1[[Test code]:[Test code]],[1]!Table1[Q_int_frac DIW 10 mM KOH],"",0)</f>
        <v>#REF!</v>
      </c>
      <c r="AJ468" s="69" t="e" cm="1">
        <f t="array" ref="AJ468">_xlfn.XLOOKUP(Table1[[#This Row],[5 cm2 cell test code]:[5 cm2 cell test code]],[1]!Table1[[Test code]:[Test code]],[1]!Table1[DIW conductivity (µS/cm)],"",0)</f>
        <v>#REF!</v>
      </c>
      <c r="AQ468" s="4" t="str">
        <v>VSG02A-23340E1.03</v>
      </c>
    </row>
    <row r="469" spans="1:43">
      <c r="A469" s="81"/>
      <c r="B469" s="11" t="s">
        <v>847</v>
      </c>
      <c r="C469" s="4" t="s">
        <v>840</v>
      </c>
      <c r="J469" s="107"/>
      <c r="K469" s="89"/>
      <c r="L469" s="89"/>
      <c r="U469" s="101"/>
      <c r="V469" s="101"/>
      <c r="W469" s="69" t="e" cm="1">
        <f t="array" ref="W469">_xlfn.XLOOKUP(Table1[[#This Row],[5 cm2 cell test code]:[5 cm2 cell test code]],[1]!Table1[[Test code]:[Test code]],[1]!Table1[i @ 1.8 V DIW (A/cm2)],"",0)</f>
        <v>#REF!</v>
      </c>
      <c r="X469" s="69" t="e" cm="1">
        <f t="array" ref="X469">_xlfn.XLOOKUP(Table1[[#This Row],[5 cm2 cell test code]:[5 cm2 cell test code]],[1]!Table1[[Test code]:[Test code]],[1]!Table1[i @ 1.8 V 10 mM KOH (A/cm2)],"",0)</f>
        <v>#REF!</v>
      </c>
      <c r="Y469" s="69" t="e" cm="1">
        <f t="array" ref="Y469">_xlfn.XLOOKUP(Table1[[#This Row],[5 cm2 cell test code]:[5 cm2 cell test code]],[1]!Table1[[Test code]:[Test code]],[1]!Table1[3-E ƞ at 20mAcm-2 (mV)],"",0)</f>
        <v>#REF!</v>
      </c>
      <c r="Z469" s="69" t="e" cm="1">
        <f t="array" ref="Z469">_xlfn.XLOOKUP(Table1[[#This Row],[5 cm2 cell test code]:[5 cm2 cell test code]],[1]!Table1[[Test code]:[Test code]],[1]!Table1[3-E Tafel slope (mV/dec)],"",0)</f>
        <v>#REF!</v>
      </c>
      <c r="AA469" s="69" t="e" cm="1">
        <f t="array" ref="AA469">_xlfn.XLOOKUP(Table1[[#This Row],[5 cm2 cell test code]:[5 cm2 cell test code]],[1]!Table1[[Test code]:[Test code]],[1]!Table1[E @ 100 mA/cm2 DIW/V],"",0)</f>
        <v>#REF!</v>
      </c>
      <c r="AB469" s="69" t="e" cm="1">
        <f t="array" ref="AB469">_xlfn.XLOOKUP(Table1[[#This Row],[5 cm2 cell test code]:[5 cm2 cell test code]],[1]!Table1[[Test code]:[Test code]],[1]!Table1[E @ 100 mA/cm2 10 mM KOH/V],"",0)</f>
        <v>#REF!</v>
      </c>
      <c r="AC469" s="69" t="e" cm="1">
        <f t="array" ref="AC469">_xlfn.XLOOKUP(Table1[[#This Row],[5 cm2 cell test code]:[5 cm2 cell test code]],[1]!Table1[[Test code]:[Test code]],[1]!Table1[Anode ICR/mOhm],"",0)</f>
        <v>#REF!</v>
      </c>
      <c r="AD469" s="69" t="e" cm="1">
        <f t="array" ref="AD469">_xlfn.XLOOKUP(Table1[[#This Row],[5 cm2 cell test code]:[5 cm2 cell test code]],[1]!Table1[[Test code]:[Test code]],[1]!Table1[HFR DIW/ mOhm cm2],"",0)</f>
        <v>#REF!</v>
      </c>
      <c r="AE469" s="69" t="e" cm="1">
        <f t="array" ref="AE469">_xlfn.XLOOKUP(Table1[[#This Row],[5 cm2 cell test code]:[5 cm2 cell test code]],[1]!Table1[[Test code]:[Test code]],[1]!Table1[HFR 10 mM KOH/ mOhm cm2],"",0)</f>
        <v>#REF!</v>
      </c>
      <c r="AF469" s="69" t="e" cm="1">
        <f t="array" ref="AF469">_xlfn.XLOOKUP(Table1[[#This Row],[5 cm2 cell test code]:[5 cm2 cell test code]],[1]!Table1[[Test code]:[Test code]],[1]!Table1[Ionic resistance DIW/Ohm cm2],"",0)</f>
        <v>#REF!</v>
      </c>
      <c r="AG469" s="195" t="e" cm="1">
        <f t="array" ref="AG469">_xlfn.XLOOKUP(Table1[[#This Row],[5 cm2 cell test code]:[5 cm2 cell test code]],[1]!Table1[[Test code]:[Test code]],[1]!Table1[Q_int_frac DIW],"",0)</f>
        <v>#REF!</v>
      </c>
      <c r="AH469" s="195" t="e" cm="1">
        <f t="array" ref="AH469">_xlfn.XLOOKUP(Table1[[#This Row],[5 cm2 cell test code]:[5 cm2 cell test code]],[1]!Table1[[Test code]:[Test code]],[1]!Table1[Ionic resistance 10 mM KOH/Ohm cm2],"",0)</f>
        <v>#REF!</v>
      </c>
      <c r="AI469" s="195" t="e" cm="1">
        <f t="array" ref="AI469">_xlfn.XLOOKUP(Table1[[#This Row],[5 cm2 cell test code]:[5 cm2 cell test code]],[1]!Table1[[Test code]:[Test code]],[1]!Table1[Q_int_frac DIW 10 mM KOH],"",0)</f>
        <v>#REF!</v>
      </c>
      <c r="AJ469" s="69" t="e" cm="1">
        <f t="array" ref="AJ469">_xlfn.XLOOKUP(Table1[[#This Row],[5 cm2 cell test code]:[5 cm2 cell test code]],[1]!Table1[[Test code]:[Test code]],[1]!Table1[DIW conductivity (µS/cm)],"",0)</f>
        <v>#REF!</v>
      </c>
      <c r="AQ469" s="4" t="str">
        <v>VSG02A-23340E1.04</v>
      </c>
    </row>
    <row r="470" spans="1:43">
      <c r="A470" s="81"/>
      <c r="B470" s="11" t="s">
        <v>848</v>
      </c>
      <c r="C470" s="4" t="s">
        <v>840</v>
      </c>
      <c r="J470" s="107"/>
      <c r="K470" s="89"/>
      <c r="L470" s="89"/>
      <c r="U470" s="101"/>
      <c r="V470" s="101"/>
      <c r="W470" s="69" t="e" cm="1">
        <f t="array" ref="W470">_xlfn.XLOOKUP(Table1[[#This Row],[5 cm2 cell test code]:[5 cm2 cell test code]],[1]!Table1[[Test code]:[Test code]],[1]!Table1[i @ 1.8 V DIW (A/cm2)],"",0)</f>
        <v>#REF!</v>
      </c>
      <c r="X470" s="69" t="e" cm="1">
        <f t="array" ref="X470">_xlfn.XLOOKUP(Table1[[#This Row],[5 cm2 cell test code]:[5 cm2 cell test code]],[1]!Table1[[Test code]:[Test code]],[1]!Table1[i @ 1.8 V 10 mM KOH (A/cm2)],"",0)</f>
        <v>#REF!</v>
      </c>
      <c r="Y470" s="69" t="e" cm="1">
        <f t="array" ref="Y470">_xlfn.XLOOKUP(Table1[[#This Row],[5 cm2 cell test code]:[5 cm2 cell test code]],[1]!Table1[[Test code]:[Test code]],[1]!Table1[3-E ƞ at 20mAcm-2 (mV)],"",0)</f>
        <v>#REF!</v>
      </c>
      <c r="Z470" s="69" t="e" cm="1">
        <f t="array" ref="Z470">_xlfn.XLOOKUP(Table1[[#This Row],[5 cm2 cell test code]:[5 cm2 cell test code]],[1]!Table1[[Test code]:[Test code]],[1]!Table1[3-E Tafel slope (mV/dec)],"",0)</f>
        <v>#REF!</v>
      </c>
      <c r="AA470" s="69" t="e" cm="1">
        <f t="array" ref="AA470">_xlfn.XLOOKUP(Table1[[#This Row],[5 cm2 cell test code]:[5 cm2 cell test code]],[1]!Table1[[Test code]:[Test code]],[1]!Table1[E @ 100 mA/cm2 DIW/V],"",0)</f>
        <v>#REF!</v>
      </c>
      <c r="AB470" s="69" t="e" cm="1">
        <f t="array" ref="AB470">_xlfn.XLOOKUP(Table1[[#This Row],[5 cm2 cell test code]:[5 cm2 cell test code]],[1]!Table1[[Test code]:[Test code]],[1]!Table1[E @ 100 mA/cm2 10 mM KOH/V],"",0)</f>
        <v>#REF!</v>
      </c>
      <c r="AC470" s="69" t="e" cm="1">
        <f t="array" ref="AC470">_xlfn.XLOOKUP(Table1[[#This Row],[5 cm2 cell test code]:[5 cm2 cell test code]],[1]!Table1[[Test code]:[Test code]],[1]!Table1[Anode ICR/mOhm],"",0)</f>
        <v>#REF!</v>
      </c>
      <c r="AD470" s="69" t="e" cm="1">
        <f t="array" ref="AD470">_xlfn.XLOOKUP(Table1[[#This Row],[5 cm2 cell test code]:[5 cm2 cell test code]],[1]!Table1[[Test code]:[Test code]],[1]!Table1[HFR DIW/ mOhm cm2],"",0)</f>
        <v>#REF!</v>
      </c>
      <c r="AE470" s="69" t="e" cm="1">
        <f t="array" ref="AE470">_xlfn.XLOOKUP(Table1[[#This Row],[5 cm2 cell test code]:[5 cm2 cell test code]],[1]!Table1[[Test code]:[Test code]],[1]!Table1[HFR 10 mM KOH/ mOhm cm2],"",0)</f>
        <v>#REF!</v>
      </c>
      <c r="AF470" s="69" t="e" cm="1">
        <f t="array" ref="AF470">_xlfn.XLOOKUP(Table1[[#This Row],[5 cm2 cell test code]:[5 cm2 cell test code]],[1]!Table1[[Test code]:[Test code]],[1]!Table1[Ionic resistance DIW/Ohm cm2],"",0)</f>
        <v>#REF!</v>
      </c>
      <c r="AG470" s="195" t="e" cm="1">
        <f t="array" ref="AG470">_xlfn.XLOOKUP(Table1[[#This Row],[5 cm2 cell test code]:[5 cm2 cell test code]],[1]!Table1[[Test code]:[Test code]],[1]!Table1[Q_int_frac DIW],"",0)</f>
        <v>#REF!</v>
      </c>
      <c r="AH470" s="195" t="e" cm="1">
        <f t="array" ref="AH470">_xlfn.XLOOKUP(Table1[[#This Row],[5 cm2 cell test code]:[5 cm2 cell test code]],[1]!Table1[[Test code]:[Test code]],[1]!Table1[Ionic resistance 10 mM KOH/Ohm cm2],"",0)</f>
        <v>#REF!</v>
      </c>
      <c r="AI470" s="195" t="e" cm="1">
        <f t="array" ref="AI470">_xlfn.XLOOKUP(Table1[[#This Row],[5 cm2 cell test code]:[5 cm2 cell test code]],[1]!Table1[[Test code]:[Test code]],[1]!Table1[Q_int_frac DIW 10 mM KOH],"",0)</f>
        <v>#REF!</v>
      </c>
      <c r="AJ470" s="69" t="e" cm="1">
        <f t="array" ref="AJ470">_xlfn.XLOOKUP(Table1[[#This Row],[5 cm2 cell test code]:[5 cm2 cell test code]],[1]!Table1[[Test code]:[Test code]],[1]!Table1[DIW conductivity (µS/cm)],"",0)</f>
        <v>#REF!</v>
      </c>
      <c r="AQ470" s="4" t="str">
        <v>VSG02A-23342E1.01</v>
      </c>
    </row>
    <row r="471" spans="1:43">
      <c r="A471" s="81"/>
      <c r="B471" s="11" t="s">
        <v>849</v>
      </c>
      <c r="C471" s="4" t="s">
        <v>840</v>
      </c>
      <c r="J471" s="107"/>
      <c r="K471" s="89"/>
      <c r="L471" s="89"/>
      <c r="U471" s="101"/>
      <c r="V471" s="101"/>
      <c r="W471" s="69" t="e" cm="1">
        <f t="array" ref="W471">_xlfn.XLOOKUP(Table1[[#This Row],[5 cm2 cell test code]:[5 cm2 cell test code]],[1]!Table1[[Test code]:[Test code]],[1]!Table1[i @ 1.8 V DIW (A/cm2)],"",0)</f>
        <v>#REF!</v>
      </c>
      <c r="X471" s="69" t="e" cm="1">
        <f t="array" ref="X471">_xlfn.XLOOKUP(Table1[[#This Row],[5 cm2 cell test code]:[5 cm2 cell test code]],[1]!Table1[[Test code]:[Test code]],[1]!Table1[i @ 1.8 V 10 mM KOH (A/cm2)],"",0)</f>
        <v>#REF!</v>
      </c>
      <c r="Y471" s="69" t="e" cm="1">
        <f t="array" ref="Y471">_xlfn.XLOOKUP(Table1[[#This Row],[5 cm2 cell test code]:[5 cm2 cell test code]],[1]!Table1[[Test code]:[Test code]],[1]!Table1[3-E ƞ at 20mAcm-2 (mV)],"",0)</f>
        <v>#REF!</v>
      </c>
      <c r="Z471" s="69" t="e" cm="1">
        <f t="array" ref="Z471">_xlfn.XLOOKUP(Table1[[#This Row],[5 cm2 cell test code]:[5 cm2 cell test code]],[1]!Table1[[Test code]:[Test code]],[1]!Table1[3-E Tafel slope (mV/dec)],"",0)</f>
        <v>#REF!</v>
      </c>
      <c r="AA471" s="69" t="e" cm="1">
        <f t="array" ref="AA471">_xlfn.XLOOKUP(Table1[[#This Row],[5 cm2 cell test code]:[5 cm2 cell test code]],[1]!Table1[[Test code]:[Test code]],[1]!Table1[E @ 100 mA/cm2 DIW/V],"",0)</f>
        <v>#REF!</v>
      </c>
      <c r="AB471" s="69" t="e" cm="1">
        <f t="array" ref="AB471">_xlfn.XLOOKUP(Table1[[#This Row],[5 cm2 cell test code]:[5 cm2 cell test code]],[1]!Table1[[Test code]:[Test code]],[1]!Table1[E @ 100 mA/cm2 10 mM KOH/V],"",0)</f>
        <v>#REF!</v>
      </c>
      <c r="AC471" s="69" t="e" cm="1">
        <f t="array" ref="AC471">_xlfn.XLOOKUP(Table1[[#This Row],[5 cm2 cell test code]:[5 cm2 cell test code]],[1]!Table1[[Test code]:[Test code]],[1]!Table1[Anode ICR/mOhm],"",0)</f>
        <v>#REF!</v>
      </c>
      <c r="AD471" s="69" t="e" cm="1">
        <f t="array" ref="AD471">_xlfn.XLOOKUP(Table1[[#This Row],[5 cm2 cell test code]:[5 cm2 cell test code]],[1]!Table1[[Test code]:[Test code]],[1]!Table1[HFR DIW/ mOhm cm2],"",0)</f>
        <v>#REF!</v>
      </c>
      <c r="AE471" s="69" t="e" cm="1">
        <f t="array" ref="AE471">_xlfn.XLOOKUP(Table1[[#This Row],[5 cm2 cell test code]:[5 cm2 cell test code]],[1]!Table1[[Test code]:[Test code]],[1]!Table1[HFR 10 mM KOH/ mOhm cm2],"",0)</f>
        <v>#REF!</v>
      </c>
      <c r="AF471" s="69" t="e" cm="1">
        <f t="array" ref="AF471">_xlfn.XLOOKUP(Table1[[#This Row],[5 cm2 cell test code]:[5 cm2 cell test code]],[1]!Table1[[Test code]:[Test code]],[1]!Table1[Ionic resistance DIW/Ohm cm2],"",0)</f>
        <v>#REF!</v>
      </c>
      <c r="AG471" s="195" t="e" cm="1">
        <f t="array" ref="AG471">_xlfn.XLOOKUP(Table1[[#This Row],[5 cm2 cell test code]:[5 cm2 cell test code]],[1]!Table1[[Test code]:[Test code]],[1]!Table1[Q_int_frac DIW],"",0)</f>
        <v>#REF!</v>
      </c>
      <c r="AH471" s="195" t="e" cm="1">
        <f t="array" ref="AH471">_xlfn.XLOOKUP(Table1[[#This Row],[5 cm2 cell test code]:[5 cm2 cell test code]],[1]!Table1[[Test code]:[Test code]],[1]!Table1[Ionic resistance 10 mM KOH/Ohm cm2],"",0)</f>
        <v>#REF!</v>
      </c>
      <c r="AI471" s="195" t="e" cm="1">
        <f t="array" ref="AI471">_xlfn.XLOOKUP(Table1[[#This Row],[5 cm2 cell test code]:[5 cm2 cell test code]],[1]!Table1[[Test code]:[Test code]],[1]!Table1[Q_int_frac DIW 10 mM KOH],"",0)</f>
        <v>#REF!</v>
      </c>
      <c r="AJ471" s="69" t="e" cm="1">
        <f t="array" ref="AJ471">_xlfn.XLOOKUP(Table1[[#This Row],[5 cm2 cell test code]:[5 cm2 cell test code]],[1]!Table1[[Test code]:[Test code]],[1]!Table1[DIW conductivity (µS/cm)],"",0)</f>
        <v>#REF!</v>
      </c>
      <c r="AQ471" s="4" t="str">
        <v>VSG02A-23342E1.02</v>
      </c>
    </row>
    <row r="472" spans="1:43">
      <c r="A472" s="81"/>
      <c r="B472" s="11" t="s">
        <v>850</v>
      </c>
      <c r="C472" s="4" t="s">
        <v>840</v>
      </c>
      <c r="J472" s="107"/>
      <c r="K472" s="89"/>
      <c r="L472" s="89"/>
      <c r="U472" s="101"/>
      <c r="V472" s="101"/>
      <c r="W472" s="69" t="e" cm="1">
        <f t="array" ref="W472">_xlfn.XLOOKUP(Table1[[#This Row],[5 cm2 cell test code]:[5 cm2 cell test code]],[1]!Table1[[Test code]:[Test code]],[1]!Table1[i @ 1.8 V DIW (A/cm2)],"",0)</f>
        <v>#REF!</v>
      </c>
      <c r="X472" s="69" t="e" cm="1">
        <f t="array" ref="X472">_xlfn.XLOOKUP(Table1[[#This Row],[5 cm2 cell test code]:[5 cm2 cell test code]],[1]!Table1[[Test code]:[Test code]],[1]!Table1[i @ 1.8 V 10 mM KOH (A/cm2)],"",0)</f>
        <v>#REF!</v>
      </c>
      <c r="Y472" s="69" t="e" cm="1">
        <f t="array" ref="Y472">_xlfn.XLOOKUP(Table1[[#This Row],[5 cm2 cell test code]:[5 cm2 cell test code]],[1]!Table1[[Test code]:[Test code]],[1]!Table1[3-E ƞ at 20mAcm-2 (mV)],"",0)</f>
        <v>#REF!</v>
      </c>
      <c r="Z472" s="69" t="e" cm="1">
        <f t="array" ref="Z472">_xlfn.XLOOKUP(Table1[[#This Row],[5 cm2 cell test code]:[5 cm2 cell test code]],[1]!Table1[[Test code]:[Test code]],[1]!Table1[3-E Tafel slope (mV/dec)],"",0)</f>
        <v>#REF!</v>
      </c>
      <c r="AA472" s="69" t="e" cm="1">
        <f t="array" ref="AA472">_xlfn.XLOOKUP(Table1[[#This Row],[5 cm2 cell test code]:[5 cm2 cell test code]],[1]!Table1[[Test code]:[Test code]],[1]!Table1[E @ 100 mA/cm2 DIW/V],"",0)</f>
        <v>#REF!</v>
      </c>
      <c r="AB472" s="69" t="e" cm="1">
        <f t="array" ref="AB472">_xlfn.XLOOKUP(Table1[[#This Row],[5 cm2 cell test code]:[5 cm2 cell test code]],[1]!Table1[[Test code]:[Test code]],[1]!Table1[E @ 100 mA/cm2 10 mM KOH/V],"",0)</f>
        <v>#REF!</v>
      </c>
      <c r="AC472" s="69" t="e" cm="1">
        <f t="array" ref="AC472">_xlfn.XLOOKUP(Table1[[#This Row],[5 cm2 cell test code]:[5 cm2 cell test code]],[1]!Table1[[Test code]:[Test code]],[1]!Table1[Anode ICR/mOhm],"",0)</f>
        <v>#REF!</v>
      </c>
      <c r="AD472" s="69" t="e" cm="1">
        <f t="array" ref="AD472">_xlfn.XLOOKUP(Table1[[#This Row],[5 cm2 cell test code]:[5 cm2 cell test code]],[1]!Table1[[Test code]:[Test code]],[1]!Table1[HFR DIW/ mOhm cm2],"",0)</f>
        <v>#REF!</v>
      </c>
      <c r="AE472" s="69" t="e" cm="1">
        <f t="array" ref="AE472">_xlfn.XLOOKUP(Table1[[#This Row],[5 cm2 cell test code]:[5 cm2 cell test code]],[1]!Table1[[Test code]:[Test code]],[1]!Table1[HFR 10 mM KOH/ mOhm cm2],"",0)</f>
        <v>#REF!</v>
      </c>
      <c r="AF472" s="69" t="e" cm="1">
        <f t="array" ref="AF472">_xlfn.XLOOKUP(Table1[[#This Row],[5 cm2 cell test code]:[5 cm2 cell test code]],[1]!Table1[[Test code]:[Test code]],[1]!Table1[Ionic resistance DIW/Ohm cm2],"",0)</f>
        <v>#REF!</v>
      </c>
      <c r="AG472" s="195" t="e" cm="1">
        <f t="array" ref="AG472">_xlfn.XLOOKUP(Table1[[#This Row],[5 cm2 cell test code]:[5 cm2 cell test code]],[1]!Table1[[Test code]:[Test code]],[1]!Table1[Q_int_frac DIW],"",0)</f>
        <v>#REF!</v>
      </c>
      <c r="AH472" s="195" t="e" cm="1">
        <f t="array" ref="AH472">_xlfn.XLOOKUP(Table1[[#This Row],[5 cm2 cell test code]:[5 cm2 cell test code]],[1]!Table1[[Test code]:[Test code]],[1]!Table1[Ionic resistance 10 mM KOH/Ohm cm2],"",0)</f>
        <v>#REF!</v>
      </c>
      <c r="AI472" s="195" t="e" cm="1">
        <f t="array" ref="AI472">_xlfn.XLOOKUP(Table1[[#This Row],[5 cm2 cell test code]:[5 cm2 cell test code]],[1]!Table1[[Test code]:[Test code]],[1]!Table1[Q_int_frac DIW 10 mM KOH],"",0)</f>
        <v>#REF!</v>
      </c>
      <c r="AJ472" s="69" t="e" cm="1">
        <f t="array" ref="AJ472">_xlfn.XLOOKUP(Table1[[#This Row],[5 cm2 cell test code]:[5 cm2 cell test code]],[1]!Table1[[Test code]:[Test code]],[1]!Table1[DIW conductivity (µS/cm)],"",0)</f>
        <v>#REF!</v>
      </c>
      <c r="AQ472" s="4" t="str">
        <v>VSG02A-23343E1.03</v>
      </c>
    </row>
    <row r="473" spans="1:43">
      <c r="A473" s="81"/>
      <c r="B473" s="11" t="s">
        <v>851</v>
      </c>
      <c r="C473" s="4" t="s">
        <v>840</v>
      </c>
      <c r="J473" s="107"/>
      <c r="K473" s="89"/>
      <c r="L473" s="89"/>
      <c r="U473" s="101"/>
      <c r="V473" s="101"/>
      <c r="W473" s="69" t="e" cm="1">
        <f t="array" ref="W473">_xlfn.XLOOKUP(Table1[[#This Row],[5 cm2 cell test code]:[5 cm2 cell test code]],[1]!Table1[[Test code]:[Test code]],[1]!Table1[i @ 1.8 V DIW (A/cm2)],"",0)</f>
        <v>#REF!</v>
      </c>
      <c r="X473" s="69" t="e" cm="1">
        <f t="array" ref="X473">_xlfn.XLOOKUP(Table1[[#This Row],[5 cm2 cell test code]:[5 cm2 cell test code]],[1]!Table1[[Test code]:[Test code]],[1]!Table1[i @ 1.8 V 10 mM KOH (A/cm2)],"",0)</f>
        <v>#REF!</v>
      </c>
      <c r="Y473" s="69" t="e" cm="1">
        <f t="array" ref="Y473">_xlfn.XLOOKUP(Table1[[#This Row],[5 cm2 cell test code]:[5 cm2 cell test code]],[1]!Table1[[Test code]:[Test code]],[1]!Table1[3-E ƞ at 20mAcm-2 (mV)],"",0)</f>
        <v>#REF!</v>
      </c>
      <c r="Z473" s="69" t="e" cm="1">
        <f t="array" ref="Z473">_xlfn.XLOOKUP(Table1[[#This Row],[5 cm2 cell test code]:[5 cm2 cell test code]],[1]!Table1[[Test code]:[Test code]],[1]!Table1[3-E Tafel slope (mV/dec)],"",0)</f>
        <v>#REF!</v>
      </c>
      <c r="AA473" s="69" t="e" cm="1">
        <f t="array" ref="AA473">_xlfn.XLOOKUP(Table1[[#This Row],[5 cm2 cell test code]:[5 cm2 cell test code]],[1]!Table1[[Test code]:[Test code]],[1]!Table1[E @ 100 mA/cm2 DIW/V],"",0)</f>
        <v>#REF!</v>
      </c>
      <c r="AB473" s="69" t="e" cm="1">
        <f t="array" ref="AB473">_xlfn.XLOOKUP(Table1[[#This Row],[5 cm2 cell test code]:[5 cm2 cell test code]],[1]!Table1[[Test code]:[Test code]],[1]!Table1[E @ 100 mA/cm2 10 mM KOH/V],"",0)</f>
        <v>#REF!</v>
      </c>
      <c r="AC473" s="69" t="e" cm="1">
        <f t="array" ref="AC473">_xlfn.XLOOKUP(Table1[[#This Row],[5 cm2 cell test code]:[5 cm2 cell test code]],[1]!Table1[[Test code]:[Test code]],[1]!Table1[Anode ICR/mOhm],"",0)</f>
        <v>#REF!</v>
      </c>
      <c r="AD473" s="69" t="e" cm="1">
        <f t="array" ref="AD473">_xlfn.XLOOKUP(Table1[[#This Row],[5 cm2 cell test code]:[5 cm2 cell test code]],[1]!Table1[[Test code]:[Test code]],[1]!Table1[HFR DIW/ mOhm cm2],"",0)</f>
        <v>#REF!</v>
      </c>
      <c r="AE473" s="69" t="e" cm="1">
        <f t="array" ref="AE473">_xlfn.XLOOKUP(Table1[[#This Row],[5 cm2 cell test code]:[5 cm2 cell test code]],[1]!Table1[[Test code]:[Test code]],[1]!Table1[HFR 10 mM KOH/ mOhm cm2],"",0)</f>
        <v>#REF!</v>
      </c>
      <c r="AF473" s="69" t="e" cm="1">
        <f t="array" ref="AF473">_xlfn.XLOOKUP(Table1[[#This Row],[5 cm2 cell test code]:[5 cm2 cell test code]],[1]!Table1[[Test code]:[Test code]],[1]!Table1[Ionic resistance DIW/Ohm cm2],"",0)</f>
        <v>#REF!</v>
      </c>
      <c r="AG473" s="195" t="e" cm="1">
        <f t="array" ref="AG473">_xlfn.XLOOKUP(Table1[[#This Row],[5 cm2 cell test code]:[5 cm2 cell test code]],[1]!Table1[[Test code]:[Test code]],[1]!Table1[Q_int_frac DIW],"",0)</f>
        <v>#REF!</v>
      </c>
      <c r="AH473" s="195" t="e" cm="1">
        <f t="array" ref="AH473">_xlfn.XLOOKUP(Table1[[#This Row],[5 cm2 cell test code]:[5 cm2 cell test code]],[1]!Table1[[Test code]:[Test code]],[1]!Table1[Ionic resistance 10 mM KOH/Ohm cm2],"",0)</f>
        <v>#REF!</v>
      </c>
      <c r="AI473" s="195" t="e" cm="1">
        <f t="array" ref="AI473">_xlfn.XLOOKUP(Table1[[#This Row],[5 cm2 cell test code]:[5 cm2 cell test code]],[1]!Table1[[Test code]:[Test code]],[1]!Table1[Q_int_frac DIW 10 mM KOH],"",0)</f>
        <v>#REF!</v>
      </c>
      <c r="AJ473" s="69" t="e" cm="1">
        <f t="array" ref="AJ473">_xlfn.XLOOKUP(Table1[[#This Row],[5 cm2 cell test code]:[5 cm2 cell test code]],[1]!Table1[[Test code]:[Test code]],[1]!Table1[DIW conductivity (µS/cm)],"",0)</f>
        <v>#REF!</v>
      </c>
      <c r="AQ473" s="4" t="str">
        <v>VSG02A-23343E1.01</v>
      </c>
    </row>
    <row r="474" spans="1:43">
      <c r="A474" s="81"/>
      <c r="B474" s="11" t="s">
        <v>852</v>
      </c>
      <c r="C474" s="4" t="s">
        <v>840</v>
      </c>
      <c r="J474" s="107"/>
      <c r="K474" s="89"/>
      <c r="L474" s="89"/>
      <c r="U474" s="101"/>
      <c r="V474" s="101"/>
      <c r="W474" s="69" t="e" cm="1">
        <f t="array" ref="W474">_xlfn.XLOOKUP(Table1[[#This Row],[5 cm2 cell test code]:[5 cm2 cell test code]],[1]!Table1[[Test code]:[Test code]],[1]!Table1[i @ 1.8 V DIW (A/cm2)],"",0)</f>
        <v>#REF!</v>
      </c>
      <c r="X474" s="69" t="e" cm="1">
        <f t="array" ref="X474">_xlfn.XLOOKUP(Table1[[#This Row],[5 cm2 cell test code]:[5 cm2 cell test code]],[1]!Table1[[Test code]:[Test code]],[1]!Table1[i @ 1.8 V 10 mM KOH (A/cm2)],"",0)</f>
        <v>#REF!</v>
      </c>
      <c r="Y474" s="69" t="e" cm="1">
        <f t="array" ref="Y474">_xlfn.XLOOKUP(Table1[[#This Row],[5 cm2 cell test code]:[5 cm2 cell test code]],[1]!Table1[[Test code]:[Test code]],[1]!Table1[3-E ƞ at 20mAcm-2 (mV)],"",0)</f>
        <v>#REF!</v>
      </c>
      <c r="Z474" s="69" t="e" cm="1">
        <f t="array" ref="Z474">_xlfn.XLOOKUP(Table1[[#This Row],[5 cm2 cell test code]:[5 cm2 cell test code]],[1]!Table1[[Test code]:[Test code]],[1]!Table1[3-E Tafel slope (mV/dec)],"",0)</f>
        <v>#REF!</v>
      </c>
      <c r="AA474" s="69" t="e" cm="1">
        <f t="array" ref="AA474">_xlfn.XLOOKUP(Table1[[#This Row],[5 cm2 cell test code]:[5 cm2 cell test code]],[1]!Table1[[Test code]:[Test code]],[1]!Table1[E @ 100 mA/cm2 DIW/V],"",0)</f>
        <v>#REF!</v>
      </c>
      <c r="AB474" s="69" t="e" cm="1">
        <f t="array" ref="AB474">_xlfn.XLOOKUP(Table1[[#This Row],[5 cm2 cell test code]:[5 cm2 cell test code]],[1]!Table1[[Test code]:[Test code]],[1]!Table1[E @ 100 mA/cm2 10 mM KOH/V],"",0)</f>
        <v>#REF!</v>
      </c>
      <c r="AC474" s="69" t="e" cm="1">
        <f t="array" ref="AC474">_xlfn.XLOOKUP(Table1[[#This Row],[5 cm2 cell test code]:[5 cm2 cell test code]],[1]!Table1[[Test code]:[Test code]],[1]!Table1[Anode ICR/mOhm],"",0)</f>
        <v>#REF!</v>
      </c>
      <c r="AD474" s="69" t="e" cm="1">
        <f t="array" ref="AD474">_xlfn.XLOOKUP(Table1[[#This Row],[5 cm2 cell test code]:[5 cm2 cell test code]],[1]!Table1[[Test code]:[Test code]],[1]!Table1[HFR DIW/ mOhm cm2],"",0)</f>
        <v>#REF!</v>
      </c>
      <c r="AE474" s="69" t="e" cm="1">
        <f t="array" ref="AE474">_xlfn.XLOOKUP(Table1[[#This Row],[5 cm2 cell test code]:[5 cm2 cell test code]],[1]!Table1[[Test code]:[Test code]],[1]!Table1[HFR 10 mM KOH/ mOhm cm2],"",0)</f>
        <v>#REF!</v>
      </c>
      <c r="AF474" s="69" t="e" cm="1">
        <f t="array" ref="AF474">_xlfn.XLOOKUP(Table1[[#This Row],[5 cm2 cell test code]:[5 cm2 cell test code]],[1]!Table1[[Test code]:[Test code]],[1]!Table1[Ionic resistance DIW/Ohm cm2],"",0)</f>
        <v>#REF!</v>
      </c>
      <c r="AG474" s="195" t="e" cm="1">
        <f t="array" ref="AG474">_xlfn.XLOOKUP(Table1[[#This Row],[5 cm2 cell test code]:[5 cm2 cell test code]],[1]!Table1[[Test code]:[Test code]],[1]!Table1[Q_int_frac DIW],"",0)</f>
        <v>#REF!</v>
      </c>
      <c r="AH474" s="195" t="e" cm="1">
        <f t="array" ref="AH474">_xlfn.XLOOKUP(Table1[[#This Row],[5 cm2 cell test code]:[5 cm2 cell test code]],[1]!Table1[[Test code]:[Test code]],[1]!Table1[Ionic resistance 10 mM KOH/Ohm cm2],"",0)</f>
        <v>#REF!</v>
      </c>
      <c r="AI474" s="195" t="e" cm="1">
        <f t="array" ref="AI474">_xlfn.XLOOKUP(Table1[[#This Row],[5 cm2 cell test code]:[5 cm2 cell test code]],[1]!Table1[[Test code]:[Test code]],[1]!Table1[Q_int_frac DIW 10 mM KOH],"",0)</f>
        <v>#REF!</v>
      </c>
      <c r="AJ474" s="69" t="e" cm="1">
        <f t="array" ref="AJ474">_xlfn.XLOOKUP(Table1[[#This Row],[5 cm2 cell test code]:[5 cm2 cell test code]],[1]!Table1[[Test code]:[Test code]],[1]!Table1[DIW conductivity (µS/cm)],"",0)</f>
        <v>#REF!</v>
      </c>
      <c r="AQ474" s="4" t="str">
        <v>VSG02A-23343E1.02</v>
      </c>
    </row>
    <row r="475" spans="1:43">
      <c r="A475" s="81"/>
      <c r="B475" s="11" t="s">
        <v>853</v>
      </c>
      <c r="C475" s="4" t="s">
        <v>840</v>
      </c>
      <c r="J475" s="107"/>
      <c r="K475" s="89"/>
      <c r="L475" s="89"/>
      <c r="U475" s="101"/>
      <c r="V475" s="101"/>
      <c r="W475" s="69" t="e" cm="1">
        <f t="array" ref="W475">_xlfn.XLOOKUP(Table1[[#This Row],[5 cm2 cell test code]:[5 cm2 cell test code]],[1]!Table1[[Test code]:[Test code]],[1]!Table1[i @ 1.8 V DIW (A/cm2)],"",0)</f>
        <v>#REF!</v>
      </c>
      <c r="X475" s="69" t="e" cm="1">
        <f t="array" ref="X475">_xlfn.XLOOKUP(Table1[[#This Row],[5 cm2 cell test code]:[5 cm2 cell test code]],[1]!Table1[[Test code]:[Test code]],[1]!Table1[i @ 1.8 V 10 mM KOH (A/cm2)],"",0)</f>
        <v>#REF!</v>
      </c>
      <c r="Y475" s="69" t="e" cm="1">
        <f t="array" ref="Y475">_xlfn.XLOOKUP(Table1[[#This Row],[5 cm2 cell test code]:[5 cm2 cell test code]],[1]!Table1[[Test code]:[Test code]],[1]!Table1[3-E ƞ at 20mAcm-2 (mV)],"",0)</f>
        <v>#REF!</v>
      </c>
      <c r="Z475" s="69" t="e" cm="1">
        <f t="array" ref="Z475">_xlfn.XLOOKUP(Table1[[#This Row],[5 cm2 cell test code]:[5 cm2 cell test code]],[1]!Table1[[Test code]:[Test code]],[1]!Table1[3-E Tafel slope (mV/dec)],"",0)</f>
        <v>#REF!</v>
      </c>
      <c r="AA475" s="69" t="e" cm="1">
        <f t="array" ref="AA475">_xlfn.XLOOKUP(Table1[[#This Row],[5 cm2 cell test code]:[5 cm2 cell test code]],[1]!Table1[[Test code]:[Test code]],[1]!Table1[E @ 100 mA/cm2 DIW/V],"",0)</f>
        <v>#REF!</v>
      </c>
      <c r="AB475" s="69" t="e" cm="1">
        <f t="array" ref="AB475">_xlfn.XLOOKUP(Table1[[#This Row],[5 cm2 cell test code]:[5 cm2 cell test code]],[1]!Table1[[Test code]:[Test code]],[1]!Table1[E @ 100 mA/cm2 10 mM KOH/V],"",0)</f>
        <v>#REF!</v>
      </c>
      <c r="AC475" s="69" t="e" cm="1">
        <f t="array" ref="AC475">_xlfn.XLOOKUP(Table1[[#This Row],[5 cm2 cell test code]:[5 cm2 cell test code]],[1]!Table1[[Test code]:[Test code]],[1]!Table1[Anode ICR/mOhm],"",0)</f>
        <v>#REF!</v>
      </c>
      <c r="AD475" s="69" t="e" cm="1">
        <f t="array" ref="AD475">_xlfn.XLOOKUP(Table1[[#This Row],[5 cm2 cell test code]:[5 cm2 cell test code]],[1]!Table1[[Test code]:[Test code]],[1]!Table1[HFR DIW/ mOhm cm2],"",0)</f>
        <v>#REF!</v>
      </c>
      <c r="AE475" s="69" t="e" cm="1">
        <f t="array" ref="AE475">_xlfn.XLOOKUP(Table1[[#This Row],[5 cm2 cell test code]:[5 cm2 cell test code]],[1]!Table1[[Test code]:[Test code]],[1]!Table1[HFR 10 mM KOH/ mOhm cm2],"",0)</f>
        <v>#REF!</v>
      </c>
      <c r="AF475" s="69" t="e" cm="1">
        <f t="array" ref="AF475">_xlfn.XLOOKUP(Table1[[#This Row],[5 cm2 cell test code]:[5 cm2 cell test code]],[1]!Table1[[Test code]:[Test code]],[1]!Table1[Ionic resistance DIW/Ohm cm2],"",0)</f>
        <v>#REF!</v>
      </c>
      <c r="AG475" s="195" t="e" cm="1">
        <f t="array" ref="AG475">_xlfn.XLOOKUP(Table1[[#This Row],[5 cm2 cell test code]:[5 cm2 cell test code]],[1]!Table1[[Test code]:[Test code]],[1]!Table1[Q_int_frac DIW],"",0)</f>
        <v>#REF!</v>
      </c>
      <c r="AH475" s="195" t="e" cm="1">
        <f t="array" ref="AH475">_xlfn.XLOOKUP(Table1[[#This Row],[5 cm2 cell test code]:[5 cm2 cell test code]],[1]!Table1[[Test code]:[Test code]],[1]!Table1[Ionic resistance 10 mM KOH/Ohm cm2],"",0)</f>
        <v>#REF!</v>
      </c>
      <c r="AI475" s="195" t="e" cm="1">
        <f t="array" ref="AI475">_xlfn.XLOOKUP(Table1[[#This Row],[5 cm2 cell test code]:[5 cm2 cell test code]],[1]!Table1[[Test code]:[Test code]],[1]!Table1[Q_int_frac DIW 10 mM KOH],"",0)</f>
        <v>#REF!</v>
      </c>
      <c r="AJ475" s="69" t="e" cm="1">
        <f t="array" ref="AJ475">_xlfn.XLOOKUP(Table1[[#This Row],[5 cm2 cell test code]:[5 cm2 cell test code]],[1]!Table1[[Test code]:[Test code]],[1]!Table1[DIW conductivity (µS/cm)],"",0)</f>
        <v>#REF!</v>
      </c>
      <c r="AQ475" s="4" t="str">
        <v>VSG02A-23345E1.01</v>
      </c>
    </row>
    <row r="476" spans="1:43">
      <c r="A476" s="81"/>
      <c r="B476" s="11" t="s">
        <v>854</v>
      </c>
      <c r="C476" s="4" t="s">
        <v>840</v>
      </c>
      <c r="J476" s="107"/>
      <c r="K476" s="89"/>
      <c r="L476" s="89"/>
      <c r="U476" s="101"/>
      <c r="V476" s="101"/>
      <c r="W476" s="69" t="e" cm="1">
        <f t="array" ref="W476">_xlfn.XLOOKUP(Table1[[#This Row],[5 cm2 cell test code]:[5 cm2 cell test code]],[1]!Table1[[Test code]:[Test code]],[1]!Table1[i @ 1.8 V DIW (A/cm2)],"",0)</f>
        <v>#REF!</v>
      </c>
      <c r="X476" s="69" t="e" cm="1">
        <f t="array" ref="X476">_xlfn.XLOOKUP(Table1[[#This Row],[5 cm2 cell test code]:[5 cm2 cell test code]],[1]!Table1[[Test code]:[Test code]],[1]!Table1[i @ 1.8 V 10 mM KOH (A/cm2)],"",0)</f>
        <v>#REF!</v>
      </c>
      <c r="Y476" s="69" t="e" cm="1">
        <f t="array" ref="Y476">_xlfn.XLOOKUP(Table1[[#This Row],[5 cm2 cell test code]:[5 cm2 cell test code]],[1]!Table1[[Test code]:[Test code]],[1]!Table1[3-E ƞ at 20mAcm-2 (mV)],"",0)</f>
        <v>#REF!</v>
      </c>
      <c r="Z476" s="69" t="e" cm="1">
        <f t="array" ref="Z476">_xlfn.XLOOKUP(Table1[[#This Row],[5 cm2 cell test code]:[5 cm2 cell test code]],[1]!Table1[[Test code]:[Test code]],[1]!Table1[3-E Tafel slope (mV/dec)],"",0)</f>
        <v>#REF!</v>
      </c>
      <c r="AA476" s="69" t="e" cm="1">
        <f t="array" ref="AA476">_xlfn.XLOOKUP(Table1[[#This Row],[5 cm2 cell test code]:[5 cm2 cell test code]],[1]!Table1[[Test code]:[Test code]],[1]!Table1[E @ 100 mA/cm2 DIW/V],"",0)</f>
        <v>#REF!</v>
      </c>
      <c r="AB476" s="69" t="e" cm="1">
        <f t="array" ref="AB476">_xlfn.XLOOKUP(Table1[[#This Row],[5 cm2 cell test code]:[5 cm2 cell test code]],[1]!Table1[[Test code]:[Test code]],[1]!Table1[E @ 100 mA/cm2 10 mM KOH/V],"",0)</f>
        <v>#REF!</v>
      </c>
      <c r="AC476" s="69" t="e" cm="1">
        <f t="array" ref="AC476">_xlfn.XLOOKUP(Table1[[#This Row],[5 cm2 cell test code]:[5 cm2 cell test code]],[1]!Table1[[Test code]:[Test code]],[1]!Table1[Anode ICR/mOhm],"",0)</f>
        <v>#REF!</v>
      </c>
      <c r="AD476" s="69" t="e" cm="1">
        <f t="array" ref="AD476">_xlfn.XLOOKUP(Table1[[#This Row],[5 cm2 cell test code]:[5 cm2 cell test code]],[1]!Table1[[Test code]:[Test code]],[1]!Table1[HFR DIW/ mOhm cm2],"",0)</f>
        <v>#REF!</v>
      </c>
      <c r="AE476" s="69" t="e" cm="1">
        <f t="array" ref="AE476">_xlfn.XLOOKUP(Table1[[#This Row],[5 cm2 cell test code]:[5 cm2 cell test code]],[1]!Table1[[Test code]:[Test code]],[1]!Table1[HFR 10 mM KOH/ mOhm cm2],"",0)</f>
        <v>#REF!</v>
      </c>
      <c r="AF476" s="69" t="e" cm="1">
        <f t="array" ref="AF476">_xlfn.XLOOKUP(Table1[[#This Row],[5 cm2 cell test code]:[5 cm2 cell test code]],[1]!Table1[[Test code]:[Test code]],[1]!Table1[Ionic resistance DIW/Ohm cm2],"",0)</f>
        <v>#REF!</v>
      </c>
      <c r="AG476" s="195" t="e" cm="1">
        <f t="array" ref="AG476">_xlfn.XLOOKUP(Table1[[#This Row],[5 cm2 cell test code]:[5 cm2 cell test code]],[1]!Table1[[Test code]:[Test code]],[1]!Table1[Q_int_frac DIW],"",0)</f>
        <v>#REF!</v>
      </c>
      <c r="AH476" s="195" t="e" cm="1">
        <f t="array" ref="AH476">_xlfn.XLOOKUP(Table1[[#This Row],[5 cm2 cell test code]:[5 cm2 cell test code]],[1]!Table1[[Test code]:[Test code]],[1]!Table1[Ionic resistance 10 mM KOH/Ohm cm2],"",0)</f>
        <v>#REF!</v>
      </c>
      <c r="AI476" s="195" t="e" cm="1">
        <f t="array" ref="AI476">_xlfn.XLOOKUP(Table1[[#This Row],[5 cm2 cell test code]:[5 cm2 cell test code]],[1]!Table1[[Test code]:[Test code]],[1]!Table1[Q_int_frac DIW 10 mM KOH],"",0)</f>
        <v>#REF!</v>
      </c>
      <c r="AJ476" s="69" t="e" cm="1">
        <f t="array" ref="AJ476">_xlfn.XLOOKUP(Table1[[#This Row],[5 cm2 cell test code]:[5 cm2 cell test code]],[1]!Table1[[Test code]:[Test code]],[1]!Table1[DIW conductivity (µS/cm)],"",0)</f>
        <v>#REF!</v>
      </c>
      <c r="AQ476" s="4" t="str">
        <v>VSG02A-23345E1.02</v>
      </c>
    </row>
    <row r="477" spans="1:43">
      <c r="A477" s="81"/>
      <c r="B477" s="11" t="s">
        <v>855</v>
      </c>
      <c r="C477" s="4" t="s">
        <v>840</v>
      </c>
      <c r="J477" s="107"/>
      <c r="K477" s="89"/>
      <c r="L477" s="89"/>
      <c r="U477" s="101"/>
      <c r="V477" s="101"/>
      <c r="W477" s="69" t="e" cm="1">
        <f t="array" ref="W477">_xlfn.XLOOKUP(Table1[[#This Row],[5 cm2 cell test code]:[5 cm2 cell test code]],[1]!Table1[[Test code]:[Test code]],[1]!Table1[i @ 1.8 V DIW (A/cm2)],"",0)</f>
        <v>#REF!</v>
      </c>
      <c r="X477" s="69" t="e" cm="1">
        <f t="array" ref="X477">_xlfn.XLOOKUP(Table1[[#This Row],[5 cm2 cell test code]:[5 cm2 cell test code]],[1]!Table1[[Test code]:[Test code]],[1]!Table1[i @ 1.8 V 10 mM KOH (A/cm2)],"",0)</f>
        <v>#REF!</v>
      </c>
      <c r="Y477" s="69" t="e" cm="1">
        <f t="array" ref="Y477">_xlfn.XLOOKUP(Table1[[#This Row],[5 cm2 cell test code]:[5 cm2 cell test code]],[1]!Table1[[Test code]:[Test code]],[1]!Table1[3-E ƞ at 20mAcm-2 (mV)],"",0)</f>
        <v>#REF!</v>
      </c>
      <c r="Z477" s="69" t="e" cm="1">
        <f t="array" ref="Z477">_xlfn.XLOOKUP(Table1[[#This Row],[5 cm2 cell test code]:[5 cm2 cell test code]],[1]!Table1[[Test code]:[Test code]],[1]!Table1[3-E Tafel slope (mV/dec)],"",0)</f>
        <v>#REF!</v>
      </c>
      <c r="AA477" s="69" t="e" cm="1">
        <f t="array" ref="AA477">_xlfn.XLOOKUP(Table1[[#This Row],[5 cm2 cell test code]:[5 cm2 cell test code]],[1]!Table1[[Test code]:[Test code]],[1]!Table1[E @ 100 mA/cm2 DIW/V],"",0)</f>
        <v>#REF!</v>
      </c>
      <c r="AB477" s="69" t="e" cm="1">
        <f t="array" ref="AB477">_xlfn.XLOOKUP(Table1[[#This Row],[5 cm2 cell test code]:[5 cm2 cell test code]],[1]!Table1[[Test code]:[Test code]],[1]!Table1[E @ 100 mA/cm2 10 mM KOH/V],"",0)</f>
        <v>#REF!</v>
      </c>
      <c r="AC477" s="69" t="e" cm="1">
        <f t="array" ref="AC477">_xlfn.XLOOKUP(Table1[[#This Row],[5 cm2 cell test code]:[5 cm2 cell test code]],[1]!Table1[[Test code]:[Test code]],[1]!Table1[Anode ICR/mOhm],"",0)</f>
        <v>#REF!</v>
      </c>
      <c r="AD477" s="69" t="e" cm="1">
        <f t="array" ref="AD477">_xlfn.XLOOKUP(Table1[[#This Row],[5 cm2 cell test code]:[5 cm2 cell test code]],[1]!Table1[[Test code]:[Test code]],[1]!Table1[HFR DIW/ mOhm cm2],"",0)</f>
        <v>#REF!</v>
      </c>
      <c r="AE477" s="69" t="e" cm="1">
        <f t="array" ref="AE477">_xlfn.XLOOKUP(Table1[[#This Row],[5 cm2 cell test code]:[5 cm2 cell test code]],[1]!Table1[[Test code]:[Test code]],[1]!Table1[HFR 10 mM KOH/ mOhm cm2],"",0)</f>
        <v>#REF!</v>
      </c>
      <c r="AF477" s="69" t="e" cm="1">
        <f t="array" ref="AF477">_xlfn.XLOOKUP(Table1[[#This Row],[5 cm2 cell test code]:[5 cm2 cell test code]],[1]!Table1[[Test code]:[Test code]],[1]!Table1[Ionic resistance DIW/Ohm cm2],"",0)</f>
        <v>#REF!</v>
      </c>
      <c r="AG477" s="195" t="e" cm="1">
        <f t="array" ref="AG477">_xlfn.XLOOKUP(Table1[[#This Row],[5 cm2 cell test code]:[5 cm2 cell test code]],[1]!Table1[[Test code]:[Test code]],[1]!Table1[Q_int_frac DIW],"",0)</f>
        <v>#REF!</v>
      </c>
      <c r="AH477" s="195" t="e" cm="1">
        <f t="array" ref="AH477">_xlfn.XLOOKUP(Table1[[#This Row],[5 cm2 cell test code]:[5 cm2 cell test code]],[1]!Table1[[Test code]:[Test code]],[1]!Table1[Ionic resistance 10 mM KOH/Ohm cm2],"",0)</f>
        <v>#REF!</v>
      </c>
      <c r="AI477" s="195" t="e" cm="1">
        <f t="array" ref="AI477">_xlfn.XLOOKUP(Table1[[#This Row],[5 cm2 cell test code]:[5 cm2 cell test code]],[1]!Table1[[Test code]:[Test code]],[1]!Table1[Q_int_frac DIW 10 mM KOH],"",0)</f>
        <v>#REF!</v>
      </c>
      <c r="AJ477" s="69" t="e" cm="1">
        <f t="array" ref="AJ477">_xlfn.XLOOKUP(Table1[[#This Row],[5 cm2 cell test code]:[5 cm2 cell test code]],[1]!Table1[[Test code]:[Test code]],[1]!Table1[DIW conductivity (µS/cm)],"",0)</f>
        <v>#REF!</v>
      </c>
      <c r="AQ477" s="4" t="str">
        <v>VSG02A-23345E1.03</v>
      </c>
    </row>
    <row r="478" spans="1:43">
      <c r="A478" s="81"/>
      <c r="B478" s="11" t="s">
        <v>856</v>
      </c>
      <c r="C478" s="4" t="s">
        <v>840</v>
      </c>
      <c r="J478" s="107"/>
      <c r="K478" s="89"/>
      <c r="L478" s="89"/>
      <c r="U478" s="101"/>
      <c r="V478" s="101"/>
      <c r="W478" s="69" t="e" cm="1">
        <f t="array" ref="W478">_xlfn.XLOOKUP(Table1[[#This Row],[5 cm2 cell test code]:[5 cm2 cell test code]],[1]!Table1[[Test code]:[Test code]],[1]!Table1[i @ 1.8 V DIW (A/cm2)],"",0)</f>
        <v>#REF!</v>
      </c>
      <c r="X478" s="69" t="e" cm="1">
        <f t="array" ref="X478">_xlfn.XLOOKUP(Table1[[#This Row],[5 cm2 cell test code]:[5 cm2 cell test code]],[1]!Table1[[Test code]:[Test code]],[1]!Table1[i @ 1.8 V 10 mM KOH (A/cm2)],"",0)</f>
        <v>#REF!</v>
      </c>
      <c r="Y478" s="69" t="e" cm="1">
        <f t="array" ref="Y478">_xlfn.XLOOKUP(Table1[[#This Row],[5 cm2 cell test code]:[5 cm2 cell test code]],[1]!Table1[[Test code]:[Test code]],[1]!Table1[3-E ƞ at 20mAcm-2 (mV)],"",0)</f>
        <v>#REF!</v>
      </c>
      <c r="Z478" s="69" t="e" cm="1">
        <f t="array" ref="Z478">_xlfn.XLOOKUP(Table1[[#This Row],[5 cm2 cell test code]:[5 cm2 cell test code]],[1]!Table1[[Test code]:[Test code]],[1]!Table1[3-E Tafel slope (mV/dec)],"",0)</f>
        <v>#REF!</v>
      </c>
      <c r="AA478" s="69" t="e" cm="1">
        <f t="array" ref="AA478">_xlfn.XLOOKUP(Table1[[#This Row],[5 cm2 cell test code]:[5 cm2 cell test code]],[1]!Table1[[Test code]:[Test code]],[1]!Table1[E @ 100 mA/cm2 DIW/V],"",0)</f>
        <v>#REF!</v>
      </c>
      <c r="AB478" s="69" t="e" cm="1">
        <f t="array" ref="AB478">_xlfn.XLOOKUP(Table1[[#This Row],[5 cm2 cell test code]:[5 cm2 cell test code]],[1]!Table1[[Test code]:[Test code]],[1]!Table1[E @ 100 mA/cm2 10 mM KOH/V],"",0)</f>
        <v>#REF!</v>
      </c>
      <c r="AC478" s="69" t="e" cm="1">
        <f t="array" ref="AC478">_xlfn.XLOOKUP(Table1[[#This Row],[5 cm2 cell test code]:[5 cm2 cell test code]],[1]!Table1[[Test code]:[Test code]],[1]!Table1[Anode ICR/mOhm],"",0)</f>
        <v>#REF!</v>
      </c>
      <c r="AD478" s="69" t="e" cm="1">
        <f t="array" ref="AD478">_xlfn.XLOOKUP(Table1[[#This Row],[5 cm2 cell test code]:[5 cm2 cell test code]],[1]!Table1[[Test code]:[Test code]],[1]!Table1[HFR DIW/ mOhm cm2],"",0)</f>
        <v>#REF!</v>
      </c>
      <c r="AE478" s="69" t="e" cm="1">
        <f t="array" ref="AE478">_xlfn.XLOOKUP(Table1[[#This Row],[5 cm2 cell test code]:[5 cm2 cell test code]],[1]!Table1[[Test code]:[Test code]],[1]!Table1[HFR 10 mM KOH/ mOhm cm2],"",0)</f>
        <v>#REF!</v>
      </c>
      <c r="AF478" s="69" t="e" cm="1">
        <f t="array" ref="AF478">_xlfn.XLOOKUP(Table1[[#This Row],[5 cm2 cell test code]:[5 cm2 cell test code]],[1]!Table1[[Test code]:[Test code]],[1]!Table1[Ionic resistance DIW/Ohm cm2],"",0)</f>
        <v>#REF!</v>
      </c>
      <c r="AG478" s="195" t="e" cm="1">
        <f t="array" ref="AG478">_xlfn.XLOOKUP(Table1[[#This Row],[5 cm2 cell test code]:[5 cm2 cell test code]],[1]!Table1[[Test code]:[Test code]],[1]!Table1[Q_int_frac DIW],"",0)</f>
        <v>#REF!</v>
      </c>
      <c r="AH478" s="195" t="e" cm="1">
        <f t="array" ref="AH478">_xlfn.XLOOKUP(Table1[[#This Row],[5 cm2 cell test code]:[5 cm2 cell test code]],[1]!Table1[[Test code]:[Test code]],[1]!Table1[Ionic resistance 10 mM KOH/Ohm cm2],"",0)</f>
        <v>#REF!</v>
      </c>
      <c r="AI478" s="195" t="e" cm="1">
        <f t="array" ref="AI478">_xlfn.XLOOKUP(Table1[[#This Row],[5 cm2 cell test code]:[5 cm2 cell test code]],[1]!Table1[[Test code]:[Test code]],[1]!Table1[Q_int_frac DIW 10 mM KOH],"",0)</f>
        <v>#REF!</v>
      </c>
      <c r="AJ478" s="69" t="e" cm="1">
        <f t="array" ref="AJ478">_xlfn.XLOOKUP(Table1[[#This Row],[5 cm2 cell test code]:[5 cm2 cell test code]],[1]!Table1[[Test code]:[Test code]],[1]!Table1[DIW conductivity (µS/cm)],"",0)</f>
        <v>#REF!</v>
      </c>
      <c r="AQ478" s="4" t="str">
        <v>VSG02A-23345E1.04</v>
      </c>
    </row>
    <row r="479" spans="1:43">
      <c r="A479" s="81"/>
      <c r="B479" s="11" t="s">
        <v>857</v>
      </c>
      <c r="C479" s="4" t="s">
        <v>840</v>
      </c>
      <c r="J479" s="107"/>
      <c r="K479" s="89"/>
      <c r="L479" s="89"/>
      <c r="U479" s="101"/>
      <c r="V479" s="101"/>
      <c r="W479" s="69" t="e" cm="1">
        <f t="array" ref="W479">_xlfn.XLOOKUP(Table1[[#This Row],[5 cm2 cell test code]:[5 cm2 cell test code]],[1]!Table1[[Test code]:[Test code]],[1]!Table1[i @ 1.8 V DIW (A/cm2)],"",0)</f>
        <v>#REF!</v>
      </c>
      <c r="X479" s="69" t="e" cm="1">
        <f t="array" ref="X479">_xlfn.XLOOKUP(Table1[[#This Row],[5 cm2 cell test code]:[5 cm2 cell test code]],[1]!Table1[[Test code]:[Test code]],[1]!Table1[i @ 1.8 V 10 mM KOH (A/cm2)],"",0)</f>
        <v>#REF!</v>
      </c>
      <c r="Y479" s="69" t="e" cm="1">
        <f t="array" ref="Y479">_xlfn.XLOOKUP(Table1[[#This Row],[5 cm2 cell test code]:[5 cm2 cell test code]],[1]!Table1[[Test code]:[Test code]],[1]!Table1[3-E ƞ at 20mAcm-2 (mV)],"",0)</f>
        <v>#REF!</v>
      </c>
      <c r="Z479" s="69" t="e" cm="1">
        <f t="array" ref="Z479">_xlfn.XLOOKUP(Table1[[#This Row],[5 cm2 cell test code]:[5 cm2 cell test code]],[1]!Table1[[Test code]:[Test code]],[1]!Table1[3-E Tafel slope (mV/dec)],"",0)</f>
        <v>#REF!</v>
      </c>
      <c r="AA479" s="69" t="e" cm="1">
        <f t="array" ref="AA479">_xlfn.XLOOKUP(Table1[[#This Row],[5 cm2 cell test code]:[5 cm2 cell test code]],[1]!Table1[[Test code]:[Test code]],[1]!Table1[E @ 100 mA/cm2 DIW/V],"",0)</f>
        <v>#REF!</v>
      </c>
      <c r="AB479" s="69" t="e" cm="1">
        <f t="array" ref="AB479">_xlfn.XLOOKUP(Table1[[#This Row],[5 cm2 cell test code]:[5 cm2 cell test code]],[1]!Table1[[Test code]:[Test code]],[1]!Table1[E @ 100 mA/cm2 10 mM KOH/V],"",0)</f>
        <v>#REF!</v>
      </c>
      <c r="AC479" s="69" t="e" cm="1">
        <f t="array" ref="AC479">_xlfn.XLOOKUP(Table1[[#This Row],[5 cm2 cell test code]:[5 cm2 cell test code]],[1]!Table1[[Test code]:[Test code]],[1]!Table1[Anode ICR/mOhm],"",0)</f>
        <v>#REF!</v>
      </c>
      <c r="AD479" s="69" t="e" cm="1">
        <f t="array" ref="AD479">_xlfn.XLOOKUP(Table1[[#This Row],[5 cm2 cell test code]:[5 cm2 cell test code]],[1]!Table1[[Test code]:[Test code]],[1]!Table1[HFR DIW/ mOhm cm2],"",0)</f>
        <v>#REF!</v>
      </c>
      <c r="AE479" s="69" t="e" cm="1">
        <f t="array" ref="AE479">_xlfn.XLOOKUP(Table1[[#This Row],[5 cm2 cell test code]:[5 cm2 cell test code]],[1]!Table1[[Test code]:[Test code]],[1]!Table1[HFR 10 mM KOH/ mOhm cm2],"",0)</f>
        <v>#REF!</v>
      </c>
      <c r="AF479" s="69" t="e" cm="1">
        <f t="array" ref="AF479">_xlfn.XLOOKUP(Table1[[#This Row],[5 cm2 cell test code]:[5 cm2 cell test code]],[1]!Table1[[Test code]:[Test code]],[1]!Table1[Ionic resistance DIW/Ohm cm2],"",0)</f>
        <v>#REF!</v>
      </c>
      <c r="AG479" s="195" t="e" cm="1">
        <f t="array" ref="AG479">_xlfn.XLOOKUP(Table1[[#This Row],[5 cm2 cell test code]:[5 cm2 cell test code]],[1]!Table1[[Test code]:[Test code]],[1]!Table1[Q_int_frac DIW],"",0)</f>
        <v>#REF!</v>
      </c>
      <c r="AH479" s="195" t="e" cm="1">
        <f t="array" ref="AH479">_xlfn.XLOOKUP(Table1[[#This Row],[5 cm2 cell test code]:[5 cm2 cell test code]],[1]!Table1[[Test code]:[Test code]],[1]!Table1[Ionic resistance 10 mM KOH/Ohm cm2],"",0)</f>
        <v>#REF!</v>
      </c>
      <c r="AI479" s="195" t="e" cm="1">
        <f t="array" ref="AI479">_xlfn.XLOOKUP(Table1[[#This Row],[5 cm2 cell test code]:[5 cm2 cell test code]],[1]!Table1[[Test code]:[Test code]],[1]!Table1[Q_int_frac DIW 10 mM KOH],"",0)</f>
        <v>#REF!</v>
      </c>
      <c r="AJ479" s="69" t="e" cm="1">
        <f t="array" ref="AJ479">_xlfn.XLOOKUP(Table1[[#This Row],[5 cm2 cell test code]:[5 cm2 cell test code]],[1]!Table1[[Test code]:[Test code]],[1]!Table1[DIW conductivity (µS/cm)],"",0)</f>
        <v>#REF!</v>
      </c>
      <c r="AQ479" s="4" t="str">
        <v>VSG02A-23346E1.01</v>
      </c>
    </row>
    <row r="480" spans="1:43">
      <c r="A480" s="81"/>
      <c r="B480" s="11" t="s">
        <v>858</v>
      </c>
      <c r="C480" s="4" t="s">
        <v>840</v>
      </c>
      <c r="J480" s="107"/>
      <c r="K480" s="89"/>
      <c r="L480" s="89"/>
      <c r="U480" s="101"/>
      <c r="V480" s="101"/>
      <c r="W480" s="69" t="e" cm="1">
        <f t="array" ref="W480">_xlfn.XLOOKUP(Table1[[#This Row],[5 cm2 cell test code]:[5 cm2 cell test code]],[1]!Table1[[Test code]:[Test code]],[1]!Table1[i @ 1.8 V DIW (A/cm2)],"",0)</f>
        <v>#REF!</v>
      </c>
      <c r="X480" s="69" t="e" cm="1">
        <f t="array" ref="X480">_xlfn.XLOOKUP(Table1[[#This Row],[5 cm2 cell test code]:[5 cm2 cell test code]],[1]!Table1[[Test code]:[Test code]],[1]!Table1[i @ 1.8 V 10 mM KOH (A/cm2)],"",0)</f>
        <v>#REF!</v>
      </c>
      <c r="Y480" s="69" t="e" cm="1">
        <f t="array" ref="Y480">_xlfn.XLOOKUP(Table1[[#This Row],[5 cm2 cell test code]:[5 cm2 cell test code]],[1]!Table1[[Test code]:[Test code]],[1]!Table1[3-E ƞ at 20mAcm-2 (mV)],"",0)</f>
        <v>#REF!</v>
      </c>
      <c r="Z480" s="69" t="e" cm="1">
        <f t="array" ref="Z480">_xlfn.XLOOKUP(Table1[[#This Row],[5 cm2 cell test code]:[5 cm2 cell test code]],[1]!Table1[[Test code]:[Test code]],[1]!Table1[3-E Tafel slope (mV/dec)],"",0)</f>
        <v>#REF!</v>
      </c>
      <c r="AA480" s="69" t="e" cm="1">
        <f t="array" ref="AA480">_xlfn.XLOOKUP(Table1[[#This Row],[5 cm2 cell test code]:[5 cm2 cell test code]],[1]!Table1[[Test code]:[Test code]],[1]!Table1[E @ 100 mA/cm2 DIW/V],"",0)</f>
        <v>#REF!</v>
      </c>
      <c r="AB480" s="69" t="e" cm="1">
        <f t="array" ref="AB480">_xlfn.XLOOKUP(Table1[[#This Row],[5 cm2 cell test code]:[5 cm2 cell test code]],[1]!Table1[[Test code]:[Test code]],[1]!Table1[E @ 100 mA/cm2 10 mM KOH/V],"",0)</f>
        <v>#REF!</v>
      </c>
      <c r="AC480" s="69" t="e" cm="1">
        <f t="array" ref="AC480">_xlfn.XLOOKUP(Table1[[#This Row],[5 cm2 cell test code]:[5 cm2 cell test code]],[1]!Table1[[Test code]:[Test code]],[1]!Table1[Anode ICR/mOhm],"",0)</f>
        <v>#REF!</v>
      </c>
      <c r="AD480" s="69" t="e" cm="1">
        <f t="array" ref="AD480">_xlfn.XLOOKUP(Table1[[#This Row],[5 cm2 cell test code]:[5 cm2 cell test code]],[1]!Table1[[Test code]:[Test code]],[1]!Table1[HFR DIW/ mOhm cm2],"",0)</f>
        <v>#REF!</v>
      </c>
      <c r="AE480" s="69" t="e" cm="1">
        <f t="array" ref="AE480">_xlfn.XLOOKUP(Table1[[#This Row],[5 cm2 cell test code]:[5 cm2 cell test code]],[1]!Table1[[Test code]:[Test code]],[1]!Table1[HFR 10 mM KOH/ mOhm cm2],"",0)</f>
        <v>#REF!</v>
      </c>
      <c r="AF480" s="69" t="e" cm="1">
        <f t="array" ref="AF480">_xlfn.XLOOKUP(Table1[[#This Row],[5 cm2 cell test code]:[5 cm2 cell test code]],[1]!Table1[[Test code]:[Test code]],[1]!Table1[Ionic resistance DIW/Ohm cm2],"",0)</f>
        <v>#REF!</v>
      </c>
      <c r="AG480" s="195" t="e" cm="1">
        <f t="array" ref="AG480">_xlfn.XLOOKUP(Table1[[#This Row],[5 cm2 cell test code]:[5 cm2 cell test code]],[1]!Table1[[Test code]:[Test code]],[1]!Table1[Q_int_frac DIW],"",0)</f>
        <v>#REF!</v>
      </c>
      <c r="AH480" s="195" t="e" cm="1">
        <f t="array" ref="AH480">_xlfn.XLOOKUP(Table1[[#This Row],[5 cm2 cell test code]:[5 cm2 cell test code]],[1]!Table1[[Test code]:[Test code]],[1]!Table1[Ionic resistance 10 mM KOH/Ohm cm2],"",0)</f>
        <v>#REF!</v>
      </c>
      <c r="AI480" s="195" t="e" cm="1">
        <f t="array" ref="AI480">_xlfn.XLOOKUP(Table1[[#This Row],[5 cm2 cell test code]:[5 cm2 cell test code]],[1]!Table1[[Test code]:[Test code]],[1]!Table1[Q_int_frac DIW 10 mM KOH],"",0)</f>
        <v>#REF!</v>
      </c>
      <c r="AJ480" s="69" t="e" cm="1">
        <f t="array" ref="AJ480">_xlfn.XLOOKUP(Table1[[#This Row],[5 cm2 cell test code]:[5 cm2 cell test code]],[1]!Table1[[Test code]:[Test code]],[1]!Table1[DIW conductivity (µS/cm)],"",0)</f>
        <v>#REF!</v>
      </c>
      <c r="AQ480" s="4" t="str">
        <v>VSG02A-23346E1.02</v>
      </c>
    </row>
    <row r="481" spans="1:43">
      <c r="A481" s="81"/>
      <c r="B481" s="11" t="s">
        <v>859</v>
      </c>
      <c r="C481" s="4" t="s">
        <v>840</v>
      </c>
      <c r="J481" s="107"/>
      <c r="K481" s="89"/>
      <c r="L481" s="89"/>
      <c r="U481" s="101"/>
      <c r="V481" s="101"/>
      <c r="W481" s="69" t="e" cm="1">
        <f t="array" ref="W481">_xlfn.XLOOKUP(Table1[[#This Row],[5 cm2 cell test code]:[5 cm2 cell test code]],[1]!Table1[[Test code]:[Test code]],[1]!Table1[i @ 1.8 V DIW (A/cm2)],"",0)</f>
        <v>#REF!</v>
      </c>
      <c r="X481" s="69" t="e" cm="1">
        <f t="array" ref="X481">_xlfn.XLOOKUP(Table1[[#This Row],[5 cm2 cell test code]:[5 cm2 cell test code]],[1]!Table1[[Test code]:[Test code]],[1]!Table1[i @ 1.8 V 10 mM KOH (A/cm2)],"",0)</f>
        <v>#REF!</v>
      </c>
      <c r="Y481" s="69" t="e" cm="1">
        <f t="array" ref="Y481">_xlfn.XLOOKUP(Table1[[#This Row],[5 cm2 cell test code]:[5 cm2 cell test code]],[1]!Table1[[Test code]:[Test code]],[1]!Table1[3-E ƞ at 20mAcm-2 (mV)],"",0)</f>
        <v>#REF!</v>
      </c>
      <c r="Z481" s="69" t="e" cm="1">
        <f t="array" ref="Z481">_xlfn.XLOOKUP(Table1[[#This Row],[5 cm2 cell test code]:[5 cm2 cell test code]],[1]!Table1[[Test code]:[Test code]],[1]!Table1[3-E Tafel slope (mV/dec)],"",0)</f>
        <v>#REF!</v>
      </c>
      <c r="AA481" s="69" t="e" cm="1">
        <f t="array" ref="AA481">_xlfn.XLOOKUP(Table1[[#This Row],[5 cm2 cell test code]:[5 cm2 cell test code]],[1]!Table1[[Test code]:[Test code]],[1]!Table1[E @ 100 mA/cm2 DIW/V],"",0)</f>
        <v>#REF!</v>
      </c>
      <c r="AB481" s="69" t="e" cm="1">
        <f t="array" ref="AB481">_xlfn.XLOOKUP(Table1[[#This Row],[5 cm2 cell test code]:[5 cm2 cell test code]],[1]!Table1[[Test code]:[Test code]],[1]!Table1[E @ 100 mA/cm2 10 mM KOH/V],"",0)</f>
        <v>#REF!</v>
      </c>
      <c r="AC481" s="69" t="e" cm="1">
        <f t="array" ref="AC481">_xlfn.XLOOKUP(Table1[[#This Row],[5 cm2 cell test code]:[5 cm2 cell test code]],[1]!Table1[[Test code]:[Test code]],[1]!Table1[Anode ICR/mOhm],"",0)</f>
        <v>#REF!</v>
      </c>
      <c r="AD481" s="69" t="e" cm="1">
        <f t="array" ref="AD481">_xlfn.XLOOKUP(Table1[[#This Row],[5 cm2 cell test code]:[5 cm2 cell test code]],[1]!Table1[[Test code]:[Test code]],[1]!Table1[HFR DIW/ mOhm cm2],"",0)</f>
        <v>#REF!</v>
      </c>
      <c r="AE481" s="69" t="e" cm="1">
        <f t="array" ref="AE481">_xlfn.XLOOKUP(Table1[[#This Row],[5 cm2 cell test code]:[5 cm2 cell test code]],[1]!Table1[[Test code]:[Test code]],[1]!Table1[HFR 10 mM KOH/ mOhm cm2],"",0)</f>
        <v>#REF!</v>
      </c>
      <c r="AF481" s="69" t="e" cm="1">
        <f t="array" ref="AF481">_xlfn.XLOOKUP(Table1[[#This Row],[5 cm2 cell test code]:[5 cm2 cell test code]],[1]!Table1[[Test code]:[Test code]],[1]!Table1[Ionic resistance DIW/Ohm cm2],"",0)</f>
        <v>#REF!</v>
      </c>
      <c r="AG481" s="195" t="e" cm="1">
        <f t="array" ref="AG481">_xlfn.XLOOKUP(Table1[[#This Row],[5 cm2 cell test code]:[5 cm2 cell test code]],[1]!Table1[[Test code]:[Test code]],[1]!Table1[Q_int_frac DIW],"",0)</f>
        <v>#REF!</v>
      </c>
      <c r="AH481" s="195" t="e" cm="1">
        <f t="array" ref="AH481">_xlfn.XLOOKUP(Table1[[#This Row],[5 cm2 cell test code]:[5 cm2 cell test code]],[1]!Table1[[Test code]:[Test code]],[1]!Table1[Ionic resistance 10 mM KOH/Ohm cm2],"",0)</f>
        <v>#REF!</v>
      </c>
      <c r="AI481" s="195" t="e" cm="1">
        <f t="array" ref="AI481">_xlfn.XLOOKUP(Table1[[#This Row],[5 cm2 cell test code]:[5 cm2 cell test code]],[1]!Table1[[Test code]:[Test code]],[1]!Table1[Q_int_frac DIW 10 mM KOH],"",0)</f>
        <v>#REF!</v>
      </c>
      <c r="AJ481" s="69" t="e" cm="1">
        <f t="array" ref="AJ481">_xlfn.XLOOKUP(Table1[[#This Row],[5 cm2 cell test code]:[5 cm2 cell test code]],[1]!Table1[[Test code]:[Test code]],[1]!Table1[DIW conductivity (µS/cm)],"",0)</f>
        <v>#REF!</v>
      </c>
      <c r="AQ481" s="4" t="str">
        <v>VSG02A-23346E1.03</v>
      </c>
    </row>
    <row r="482" spans="1:43">
      <c r="A482" s="81"/>
      <c r="J482" s="107"/>
      <c r="K482" s="89"/>
      <c r="L482" s="89"/>
      <c r="U482" s="101"/>
      <c r="V482" s="101"/>
      <c r="W482" s="69" t="e" cm="1">
        <f t="array" ref="W482">_xlfn.XLOOKUP(Table1[[#This Row],[5 cm2 cell test code]:[5 cm2 cell test code]],[1]!Table1[[Test code]:[Test code]],[1]!Table1[i @ 1.8 V DIW (A/cm2)],"",0)</f>
        <v>#REF!</v>
      </c>
      <c r="X482" s="69" t="e" cm="1">
        <f t="array" ref="X482">_xlfn.XLOOKUP(Table1[[#This Row],[5 cm2 cell test code]:[5 cm2 cell test code]],[1]!Table1[[Test code]:[Test code]],[1]!Table1[i @ 1.8 V 10 mM KOH (A/cm2)],"",0)</f>
        <v>#REF!</v>
      </c>
      <c r="Y482" s="69" t="e" cm="1">
        <f t="array" ref="Y482">_xlfn.XLOOKUP(Table1[[#This Row],[5 cm2 cell test code]:[5 cm2 cell test code]],[1]!Table1[[Test code]:[Test code]],[1]!Table1[3-E ƞ at 20mAcm-2 (mV)],"",0)</f>
        <v>#REF!</v>
      </c>
      <c r="Z482" s="69" t="e" cm="1">
        <f t="array" ref="Z482">_xlfn.XLOOKUP(Table1[[#This Row],[5 cm2 cell test code]:[5 cm2 cell test code]],[1]!Table1[[Test code]:[Test code]],[1]!Table1[3-E Tafel slope (mV/dec)],"",0)</f>
        <v>#REF!</v>
      </c>
      <c r="AA482" s="69" t="e" cm="1">
        <f t="array" ref="AA482">_xlfn.XLOOKUP(Table1[[#This Row],[5 cm2 cell test code]:[5 cm2 cell test code]],[1]!Table1[[Test code]:[Test code]],[1]!Table1[E @ 100 mA/cm2 DIW/V],"",0)</f>
        <v>#REF!</v>
      </c>
      <c r="AB482" s="69" t="e" cm="1">
        <f t="array" ref="AB482">_xlfn.XLOOKUP(Table1[[#This Row],[5 cm2 cell test code]:[5 cm2 cell test code]],[1]!Table1[[Test code]:[Test code]],[1]!Table1[E @ 100 mA/cm2 10 mM KOH/V],"",0)</f>
        <v>#REF!</v>
      </c>
      <c r="AC482" s="69" t="e" cm="1">
        <f t="array" ref="AC482">_xlfn.XLOOKUP(Table1[[#This Row],[5 cm2 cell test code]:[5 cm2 cell test code]],[1]!Table1[[Test code]:[Test code]],[1]!Table1[Anode ICR/mOhm],"",0)</f>
        <v>#REF!</v>
      </c>
      <c r="AD482" s="69" t="e" cm="1">
        <f t="array" ref="AD482">_xlfn.XLOOKUP(Table1[[#This Row],[5 cm2 cell test code]:[5 cm2 cell test code]],[1]!Table1[[Test code]:[Test code]],[1]!Table1[HFR DIW/ mOhm cm2],"",0)</f>
        <v>#REF!</v>
      </c>
      <c r="AE482" s="69" t="e" cm="1">
        <f t="array" ref="AE482">_xlfn.XLOOKUP(Table1[[#This Row],[5 cm2 cell test code]:[5 cm2 cell test code]],[1]!Table1[[Test code]:[Test code]],[1]!Table1[HFR 10 mM KOH/ mOhm cm2],"",0)</f>
        <v>#REF!</v>
      </c>
      <c r="AF482" s="69" t="e" cm="1">
        <f t="array" ref="AF482">_xlfn.XLOOKUP(Table1[[#This Row],[5 cm2 cell test code]:[5 cm2 cell test code]],[1]!Table1[[Test code]:[Test code]],[1]!Table1[Ionic resistance DIW/Ohm cm2],"",0)</f>
        <v>#REF!</v>
      </c>
      <c r="AG482" s="195" t="e" cm="1">
        <f t="array" ref="AG482">_xlfn.XLOOKUP(Table1[[#This Row],[5 cm2 cell test code]:[5 cm2 cell test code]],[1]!Table1[[Test code]:[Test code]],[1]!Table1[Q_int_frac DIW],"",0)</f>
        <v>#REF!</v>
      </c>
      <c r="AH482" s="195" t="e" cm="1">
        <f t="array" ref="AH482">_xlfn.XLOOKUP(Table1[[#This Row],[5 cm2 cell test code]:[5 cm2 cell test code]],[1]!Table1[[Test code]:[Test code]],[1]!Table1[Ionic resistance 10 mM KOH/Ohm cm2],"",0)</f>
        <v>#REF!</v>
      </c>
      <c r="AI482" s="195" t="e" cm="1">
        <f t="array" ref="AI482">_xlfn.XLOOKUP(Table1[[#This Row],[5 cm2 cell test code]:[5 cm2 cell test code]],[1]!Table1[[Test code]:[Test code]],[1]!Table1[Q_int_frac DIW 10 mM KOH],"",0)</f>
        <v>#REF!</v>
      </c>
      <c r="AJ482" s="69" t="e" cm="1">
        <f t="array" ref="AJ482">_xlfn.XLOOKUP(Table1[[#This Row],[5 cm2 cell test code]:[5 cm2 cell test code]],[1]!Table1[[Test code]:[Test code]],[1]!Table1[DIW conductivity (µS/cm)],"",0)</f>
        <v>#REF!</v>
      </c>
      <c r="AQ482" s="4" t="str">
        <v>VSG02A-23347E1.01</v>
      </c>
    </row>
    <row r="483" spans="1:43">
      <c r="A483" s="81"/>
      <c r="B483" s="11" t="s">
        <v>860</v>
      </c>
      <c r="C483" s="4" t="s">
        <v>838</v>
      </c>
      <c r="I483" s="11" t="s">
        <v>114</v>
      </c>
      <c r="J483" s="107" t="s">
        <v>402</v>
      </c>
      <c r="M483" s="13">
        <f>(62.16-61.98)*1000/(31.5*21.5)</f>
        <v>0.26578073089700954</v>
      </c>
      <c r="O483" s="11" t="s">
        <v>467</v>
      </c>
      <c r="P483" s="28">
        <v>0.59</v>
      </c>
      <c r="Q483" s="4">
        <v>4.3493192738237534E-2</v>
      </c>
      <c r="U483" s="101"/>
      <c r="V483" s="101"/>
      <c r="W483" s="69" t="e" cm="1">
        <f t="array" ref="W483">_xlfn.XLOOKUP(Table1[[#This Row],[5 cm2 cell test code]:[5 cm2 cell test code]],[1]!Table1[[Test code]:[Test code]],[1]!Table1[i @ 1.8 V DIW (A/cm2)],"",0)</f>
        <v>#REF!</v>
      </c>
      <c r="X483" s="69" t="e" cm="1">
        <f t="array" ref="X483">_xlfn.XLOOKUP(Table1[[#This Row],[5 cm2 cell test code]:[5 cm2 cell test code]],[1]!Table1[[Test code]:[Test code]],[1]!Table1[i @ 1.8 V 10 mM KOH (A/cm2)],"",0)</f>
        <v>#REF!</v>
      </c>
      <c r="Y483" s="69" t="e" cm="1">
        <f t="array" ref="Y483">_xlfn.XLOOKUP(Table1[[#This Row],[5 cm2 cell test code]:[5 cm2 cell test code]],[1]!Table1[[Test code]:[Test code]],[1]!Table1[3-E ƞ at 20mAcm-2 (mV)],"",0)</f>
        <v>#REF!</v>
      </c>
      <c r="Z483" s="69" t="e" cm="1">
        <f t="array" ref="Z483">_xlfn.XLOOKUP(Table1[[#This Row],[5 cm2 cell test code]:[5 cm2 cell test code]],[1]!Table1[[Test code]:[Test code]],[1]!Table1[3-E Tafel slope (mV/dec)],"",0)</f>
        <v>#REF!</v>
      </c>
      <c r="AA483" s="69" t="e" cm="1">
        <f t="array" ref="AA483">_xlfn.XLOOKUP(Table1[[#This Row],[5 cm2 cell test code]:[5 cm2 cell test code]],[1]!Table1[[Test code]:[Test code]],[1]!Table1[E @ 100 mA/cm2 DIW/V],"",0)</f>
        <v>#REF!</v>
      </c>
      <c r="AB483" s="69" t="e" cm="1">
        <f t="array" ref="AB483">_xlfn.XLOOKUP(Table1[[#This Row],[5 cm2 cell test code]:[5 cm2 cell test code]],[1]!Table1[[Test code]:[Test code]],[1]!Table1[E @ 100 mA/cm2 10 mM KOH/V],"",0)</f>
        <v>#REF!</v>
      </c>
      <c r="AC483" s="69" t="e" cm="1">
        <f t="array" ref="AC483">_xlfn.XLOOKUP(Table1[[#This Row],[5 cm2 cell test code]:[5 cm2 cell test code]],[1]!Table1[[Test code]:[Test code]],[1]!Table1[Anode ICR/mOhm],"",0)</f>
        <v>#REF!</v>
      </c>
      <c r="AD483" s="69" t="e" cm="1">
        <f t="array" ref="AD483">_xlfn.XLOOKUP(Table1[[#This Row],[5 cm2 cell test code]:[5 cm2 cell test code]],[1]!Table1[[Test code]:[Test code]],[1]!Table1[HFR DIW/ mOhm cm2],"",0)</f>
        <v>#REF!</v>
      </c>
      <c r="AE483" s="69" t="e" cm="1">
        <f t="array" ref="AE483">_xlfn.XLOOKUP(Table1[[#This Row],[5 cm2 cell test code]:[5 cm2 cell test code]],[1]!Table1[[Test code]:[Test code]],[1]!Table1[HFR 10 mM KOH/ mOhm cm2],"",0)</f>
        <v>#REF!</v>
      </c>
      <c r="AF483" s="69" t="e" cm="1">
        <f t="array" ref="AF483">_xlfn.XLOOKUP(Table1[[#This Row],[5 cm2 cell test code]:[5 cm2 cell test code]],[1]!Table1[[Test code]:[Test code]],[1]!Table1[Ionic resistance DIW/Ohm cm2],"",0)</f>
        <v>#REF!</v>
      </c>
      <c r="AG483" s="69" t="e" cm="1">
        <f t="array" ref="AG483">_xlfn.XLOOKUP(Table1[[#This Row],[5 cm2 cell test code]:[5 cm2 cell test code]],[1]!Table1[[Test code]:[Test code]],[1]!Table1[Q_int_frac DIW],"",0)</f>
        <v>#REF!</v>
      </c>
      <c r="AH483" s="69" t="e" cm="1">
        <f t="array" ref="AH483">_xlfn.XLOOKUP(Table1[[#This Row],[5 cm2 cell test code]:[5 cm2 cell test code]],[1]!Table1[[Test code]:[Test code]],[1]!Table1[Ionic resistance 10 mM KOH/Ohm cm2],"",0)</f>
        <v>#REF!</v>
      </c>
      <c r="AI483" s="69" t="e" cm="1">
        <f t="array" ref="AI483">_xlfn.XLOOKUP(Table1[[#This Row],[5 cm2 cell test code]:[5 cm2 cell test code]],[1]!Table1[[Test code]:[Test code]],[1]!Table1[Q_int_frac DIW 10 mM KOH],"",0)</f>
        <v>#REF!</v>
      </c>
      <c r="AJ483" s="69" t="e" cm="1">
        <f t="array" ref="AJ483">_xlfn.XLOOKUP(Table1[[#This Row],[5 cm2 cell test code]:[5 cm2 cell test code]],[1]!Table1[[Test code]:[Test code]],[1]!Table1[DIW conductivity (µS/cm)],"",0)</f>
        <v>#REF!</v>
      </c>
      <c r="AQ483" s="4" t="str">
        <v>VSG02A-23347E1.02</v>
      </c>
    </row>
    <row r="484" spans="1:43">
      <c r="A484" s="81"/>
      <c r="U484" s="101"/>
      <c r="V484" s="101"/>
      <c r="W484" s="69" t="e" cm="1">
        <f t="array" ref="W484">_xlfn.XLOOKUP(Table1[[#This Row],[5 cm2 cell test code]:[5 cm2 cell test code]],[1]!Table1[[Test code]:[Test code]],[1]!Table1[i @ 1.8 V DIW (A/cm2)],"",0)</f>
        <v>#REF!</v>
      </c>
      <c r="X484" s="69" t="e" cm="1">
        <f t="array" ref="X484">_xlfn.XLOOKUP(Table1[[#This Row],[5 cm2 cell test code]:[5 cm2 cell test code]],[1]!Table1[[Test code]:[Test code]],[1]!Table1[i @ 1.8 V 10 mM KOH (A/cm2)],"",0)</f>
        <v>#REF!</v>
      </c>
      <c r="Y484" s="69" t="e" cm="1">
        <f t="array" ref="Y484">_xlfn.XLOOKUP(Table1[[#This Row],[5 cm2 cell test code]:[5 cm2 cell test code]],[1]!Table1[[Test code]:[Test code]],[1]!Table1[3-E ƞ at 20mAcm-2 (mV)],"",0)</f>
        <v>#REF!</v>
      </c>
      <c r="Z484" s="69" t="e" cm="1">
        <f t="array" ref="Z484">_xlfn.XLOOKUP(Table1[[#This Row],[5 cm2 cell test code]:[5 cm2 cell test code]],[1]!Table1[[Test code]:[Test code]],[1]!Table1[3-E Tafel slope (mV/dec)],"",0)</f>
        <v>#REF!</v>
      </c>
      <c r="AA484" s="69" t="e" cm="1">
        <f t="array" ref="AA484">_xlfn.XLOOKUP(Table1[[#This Row],[5 cm2 cell test code]:[5 cm2 cell test code]],[1]!Table1[[Test code]:[Test code]],[1]!Table1[E @ 100 mA/cm2 DIW/V],"",0)</f>
        <v>#REF!</v>
      </c>
      <c r="AB484" s="69" t="e" cm="1">
        <f t="array" ref="AB484">_xlfn.XLOOKUP(Table1[[#This Row],[5 cm2 cell test code]:[5 cm2 cell test code]],[1]!Table1[[Test code]:[Test code]],[1]!Table1[E @ 100 mA/cm2 10 mM KOH/V],"",0)</f>
        <v>#REF!</v>
      </c>
      <c r="AC484" s="69" t="e" cm="1">
        <f t="array" ref="AC484">_xlfn.XLOOKUP(Table1[[#This Row],[5 cm2 cell test code]:[5 cm2 cell test code]],[1]!Table1[[Test code]:[Test code]],[1]!Table1[Anode ICR/mOhm],"",0)</f>
        <v>#REF!</v>
      </c>
      <c r="AD484" s="69" t="e" cm="1">
        <f t="array" ref="AD484">_xlfn.XLOOKUP(Table1[[#This Row],[5 cm2 cell test code]:[5 cm2 cell test code]],[1]!Table1[[Test code]:[Test code]],[1]!Table1[HFR DIW/ mOhm cm2],"",0)</f>
        <v>#REF!</v>
      </c>
      <c r="AE484" s="69" t="e" cm="1">
        <f t="array" ref="AE484">_xlfn.XLOOKUP(Table1[[#This Row],[5 cm2 cell test code]:[5 cm2 cell test code]],[1]!Table1[[Test code]:[Test code]],[1]!Table1[HFR 10 mM KOH/ mOhm cm2],"",0)</f>
        <v>#REF!</v>
      </c>
      <c r="AF484" s="69" t="e" cm="1">
        <f t="array" ref="AF484">_xlfn.XLOOKUP(Table1[[#This Row],[5 cm2 cell test code]:[5 cm2 cell test code]],[1]!Table1[[Test code]:[Test code]],[1]!Table1[Ionic resistance DIW/Ohm cm2],"",0)</f>
        <v>#REF!</v>
      </c>
      <c r="AG484" s="69" t="e" cm="1">
        <f t="array" ref="AG484">_xlfn.XLOOKUP(Table1[[#This Row],[5 cm2 cell test code]:[5 cm2 cell test code]],[1]!Table1[[Test code]:[Test code]],[1]!Table1[Q_int_frac DIW],"",0)</f>
        <v>#REF!</v>
      </c>
      <c r="AH484" s="69" t="e" cm="1">
        <f t="array" ref="AH484">_xlfn.XLOOKUP(Table1[[#This Row],[5 cm2 cell test code]:[5 cm2 cell test code]],[1]!Table1[[Test code]:[Test code]],[1]!Table1[Ionic resistance 10 mM KOH/Ohm cm2],"",0)</f>
        <v>#REF!</v>
      </c>
      <c r="AI484" s="69" t="e" cm="1">
        <f t="array" ref="AI484">_xlfn.XLOOKUP(Table1[[#This Row],[5 cm2 cell test code]:[5 cm2 cell test code]],[1]!Table1[[Test code]:[Test code]],[1]!Table1[Q_int_frac DIW 10 mM KOH],"",0)</f>
        <v>#REF!</v>
      </c>
      <c r="AJ484" s="69" t="e" cm="1">
        <f t="array" ref="AJ484">_xlfn.XLOOKUP(Table1[[#This Row],[5 cm2 cell test code]:[5 cm2 cell test code]],[1]!Table1[[Test code]:[Test code]],[1]!Table1[DIW conductivity (µS/cm)],"",0)</f>
        <v>#REF!</v>
      </c>
      <c r="AQ484" s="4" t="str">
        <v>VSG02A-23348E1.01</v>
      </c>
    </row>
    <row r="485" spans="1:43">
      <c r="A485" s="81" t="s">
        <v>861</v>
      </c>
      <c r="B485" s="11" t="s">
        <v>862</v>
      </c>
      <c r="C485" s="4" t="s">
        <v>863</v>
      </c>
      <c r="E485" s="4" t="s">
        <v>206</v>
      </c>
      <c r="F485" s="4" t="s">
        <v>835</v>
      </c>
      <c r="G485" s="4">
        <v>2</v>
      </c>
      <c r="I485" s="11" t="s">
        <v>114</v>
      </c>
      <c r="J485" s="107" t="s">
        <v>402</v>
      </c>
      <c r="M485" s="13">
        <f>(63.49-63.16)*1000/(31.4*22.5)</f>
        <v>0.46709129511678049</v>
      </c>
      <c r="O485" s="11" t="s">
        <v>864</v>
      </c>
      <c r="P485" s="28">
        <v>0.55000000000000004</v>
      </c>
      <c r="Q485" s="4">
        <v>3.6817564209138079E-2</v>
      </c>
      <c r="U485" s="101"/>
      <c r="V485" s="101"/>
      <c r="W485" s="69" t="e" cm="1">
        <f t="array" ref="W485">_xlfn.XLOOKUP(Table1[[#This Row],[5 cm2 cell test code]:[5 cm2 cell test code]],[1]!Table1[[Test code]:[Test code]],[1]!Table1[i @ 1.8 V DIW (A/cm2)],"",0)</f>
        <v>#REF!</v>
      </c>
      <c r="X485" s="69" t="e" cm="1">
        <f t="array" ref="X485">_xlfn.XLOOKUP(Table1[[#This Row],[5 cm2 cell test code]:[5 cm2 cell test code]],[1]!Table1[[Test code]:[Test code]],[1]!Table1[i @ 1.8 V 10 mM KOH (A/cm2)],"",0)</f>
        <v>#REF!</v>
      </c>
      <c r="Y485" s="69" t="e" cm="1">
        <f t="array" ref="Y485">_xlfn.XLOOKUP(Table1[[#This Row],[5 cm2 cell test code]:[5 cm2 cell test code]],[1]!Table1[[Test code]:[Test code]],[1]!Table1[3-E ƞ at 20mAcm-2 (mV)],"",0)</f>
        <v>#REF!</v>
      </c>
      <c r="Z485" s="69" t="e" cm="1">
        <f t="array" ref="Z485">_xlfn.XLOOKUP(Table1[[#This Row],[5 cm2 cell test code]:[5 cm2 cell test code]],[1]!Table1[[Test code]:[Test code]],[1]!Table1[3-E Tafel slope (mV/dec)],"",0)</f>
        <v>#REF!</v>
      </c>
      <c r="AA485" s="69" t="e" cm="1">
        <f t="array" ref="AA485">_xlfn.XLOOKUP(Table1[[#This Row],[5 cm2 cell test code]:[5 cm2 cell test code]],[1]!Table1[[Test code]:[Test code]],[1]!Table1[E @ 100 mA/cm2 DIW/V],"",0)</f>
        <v>#REF!</v>
      </c>
      <c r="AB485" s="69" t="e" cm="1">
        <f t="array" ref="AB485">_xlfn.XLOOKUP(Table1[[#This Row],[5 cm2 cell test code]:[5 cm2 cell test code]],[1]!Table1[[Test code]:[Test code]],[1]!Table1[E @ 100 mA/cm2 10 mM KOH/V],"",0)</f>
        <v>#REF!</v>
      </c>
      <c r="AC485" s="69" t="e" cm="1">
        <f t="array" ref="AC485">_xlfn.XLOOKUP(Table1[[#This Row],[5 cm2 cell test code]:[5 cm2 cell test code]],[1]!Table1[[Test code]:[Test code]],[1]!Table1[Anode ICR/mOhm],"",0)</f>
        <v>#REF!</v>
      </c>
      <c r="AD485" s="69" t="e" cm="1">
        <f t="array" ref="AD485">_xlfn.XLOOKUP(Table1[[#This Row],[5 cm2 cell test code]:[5 cm2 cell test code]],[1]!Table1[[Test code]:[Test code]],[1]!Table1[HFR DIW/ mOhm cm2],"",0)</f>
        <v>#REF!</v>
      </c>
      <c r="AE485" s="69" t="e" cm="1">
        <f t="array" ref="AE485">_xlfn.XLOOKUP(Table1[[#This Row],[5 cm2 cell test code]:[5 cm2 cell test code]],[1]!Table1[[Test code]:[Test code]],[1]!Table1[HFR 10 mM KOH/ mOhm cm2],"",0)</f>
        <v>#REF!</v>
      </c>
      <c r="AF485" s="69" t="e" cm="1">
        <f t="array" ref="AF485">_xlfn.XLOOKUP(Table1[[#This Row],[5 cm2 cell test code]:[5 cm2 cell test code]],[1]!Table1[[Test code]:[Test code]],[1]!Table1[Ionic resistance DIW/Ohm cm2],"",0)</f>
        <v>#REF!</v>
      </c>
      <c r="AG485" s="69" t="e" cm="1">
        <f t="array" ref="AG485">_xlfn.XLOOKUP(Table1[[#This Row],[5 cm2 cell test code]:[5 cm2 cell test code]],[1]!Table1[[Test code]:[Test code]],[1]!Table1[Q_int_frac DIW],"",0)</f>
        <v>#REF!</v>
      </c>
      <c r="AH485" s="69" t="e" cm="1">
        <f t="array" ref="AH485">_xlfn.XLOOKUP(Table1[[#This Row],[5 cm2 cell test code]:[5 cm2 cell test code]],[1]!Table1[[Test code]:[Test code]],[1]!Table1[Ionic resistance 10 mM KOH/Ohm cm2],"",0)</f>
        <v>#REF!</v>
      </c>
      <c r="AI485" s="69" t="e" cm="1">
        <f t="array" ref="AI485">_xlfn.XLOOKUP(Table1[[#This Row],[5 cm2 cell test code]:[5 cm2 cell test code]],[1]!Table1[[Test code]:[Test code]],[1]!Table1[Q_int_frac DIW 10 mM KOH],"",0)</f>
        <v>#REF!</v>
      </c>
      <c r="AJ485" s="69" t="e" cm="1">
        <f t="array" ref="AJ485">_xlfn.XLOOKUP(Table1[[#This Row],[5 cm2 cell test code]:[5 cm2 cell test code]],[1]!Table1[[Test code]:[Test code]],[1]!Table1[DIW conductivity (µS/cm)],"",0)</f>
        <v>#REF!</v>
      </c>
      <c r="AQ485" s="4" t="str">
        <v>VSG02A-23348E1.02</v>
      </c>
    </row>
    <row r="486" spans="1:43">
      <c r="A486" s="81" t="s">
        <v>865</v>
      </c>
      <c r="B486" s="11" t="s">
        <v>866</v>
      </c>
      <c r="C486" s="4" t="s">
        <v>867</v>
      </c>
      <c r="E486" s="4" t="s">
        <v>206</v>
      </c>
      <c r="F486" s="4" t="s">
        <v>835</v>
      </c>
      <c r="G486" s="4">
        <v>3</v>
      </c>
      <c r="I486" s="11" t="s">
        <v>114</v>
      </c>
      <c r="J486" s="107" t="s">
        <v>402</v>
      </c>
      <c r="M486" s="13">
        <f>(63.21-63.03)*1000/(31.6*22.3)</f>
        <v>0.25543509110518209</v>
      </c>
      <c r="O486" s="11" t="s">
        <v>498</v>
      </c>
      <c r="P486" s="28">
        <v>0.48</v>
      </c>
      <c r="Q486" s="4">
        <v>3.6719654889117777E-2</v>
      </c>
      <c r="U486" s="101"/>
      <c r="V486" s="101"/>
      <c r="W486" s="69" t="e" cm="1">
        <f t="array" ref="W486">_xlfn.XLOOKUP(Table1[[#This Row],[5 cm2 cell test code]:[5 cm2 cell test code]],[1]!Table1[[Test code]:[Test code]],[1]!Table1[i @ 1.8 V DIW (A/cm2)],"",0)</f>
        <v>#REF!</v>
      </c>
      <c r="X486" s="69" t="e" cm="1">
        <f t="array" ref="X486">_xlfn.XLOOKUP(Table1[[#This Row],[5 cm2 cell test code]:[5 cm2 cell test code]],[1]!Table1[[Test code]:[Test code]],[1]!Table1[i @ 1.8 V 10 mM KOH (A/cm2)],"",0)</f>
        <v>#REF!</v>
      </c>
      <c r="Y486" s="69" t="e" cm="1">
        <f t="array" ref="Y486">_xlfn.XLOOKUP(Table1[[#This Row],[5 cm2 cell test code]:[5 cm2 cell test code]],[1]!Table1[[Test code]:[Test code]],[1]!Table1[3-E ƞ at 20mAcm-2 (mV)],"",0)</f>
        <v>#REF!</v>
      </c>
      <c r="Z486" s="69" t="e" cm="1">
        <f t="array" ref="Z486">_xlfn.XLOOKUP(Table1[[#This Row],[5 cm2 cell test code]:[5 cm2 cell test code]],[1]!Table1[[Test code]:[Test code]],[1]!Table1[3-E Tafel slope (mV/dec)],"",0)</f>
        <v>#REF!</v>
      </c>
      <c r="AA486" s="69" t="e" cm="1">
        <f t="array" ref="AA486">_xlfn.XLOOKUP(Table1[[#This Row],[5 cm2 cell test code]:[5 cm2 cell test code]],[1]!Table1[[Test code]:[Test code]],[1]!Table1[E @ 100 mA/cm2 DIW/V],"",0)</f>
        <v>#REF!</v>
      </c>
      <c r="AB486" s="69" t="e" cm="1">
        <f t="array" ref="AB486">_xlfn.XLOOKUP(Table1[[#This Row],[5 cm2 cell test code]:[5 cm2 cell test code]],[1]!Table1[[Test code]:[Test code]],[1]!Table1[E @ 100 mA/cm2 10 mM KOH/V],"",0)</f>
        <v>#REF!</v>
      </c>
      <c r="AC486" s="69" t="e" cm="1">
        <f t="array" ref="AC486">_xlfn.XLOOKUP(Table1[[#This Row],[5 cm2 cell test code]:[5 cm2 cell test code]],[1]!Table1[[Test code]:[Test code]],[1]!Table1[Anode ICR/mOhm],"",0)</f>
        <v>#REF!</v>
      </c>
      <c r="AD486" s="69" t="e" cm="1">
        <f t="array" ref="AD486">_xlfn.XLOOKUP(Table1[[#This Row],[5 cm2 cell test code]:[5 cm2 cell test code]],[1]!Table1[[Test code]:[Test code]],[1]!Table1[HFR DIW/ mOhm cm2],"",0)</f>
        <v>#REF!</v>
      </c>
      <c r="AE486" s="69" t="e" cm="1">
        <f t="array" ref="AE486">_xlfn.XLOOKUP(Table1[[#This Row],[5 cm2 cell test code]:[5 cm2 cell test code]],[1]!Table1[[Test code]:[Test code]],[1]!Table1[HFR 10 mM KOH/ mOhm cm2],"",0)</f>
        <v>#REF!</v>
      </c>
      <c r="AF486" s="69" t="e" cm="1">
        <f t="array" ref="AF486">_xlfn.XLOOKUP(Table1[[#This Row],[5 cm2 cell test code]:[5 cm2 cell test code]],[1]!Table1[[Test code]:[Test code]],[1]!Table1[Ionic resistance DIW/Ohm cm2],"",0)</f>
        <v>#REF!</v>
      </c>
      <c r="AG486" s="69" t="e" cm="1">
        <f t="array" ref="AG486">_xlfn.XLOOKUP(Table1[[#This Row],[5 cm2 cell test code]:[5 cm2 cell test code]],[1]!Table1[[Test code]:[Test code]],[1]!Table1[Q_int_frac DIW],"",0)</f>
        <v>#REF!</v>
      </c>
      <c r="AH486" s="69" t="e" cm="1">
        <f t="array" ref="AH486">_xlfn.XLOOKUP(Table1[[#This Row],[5 cm2 cell test code]:[5 cm2 cell test code]],[1]!Table1[[Test code]:[Test code]],[1]!Table1[Ionic resistance 10 mM KOH/Ohm cm2],"",0)</f>
        <v>#REF!</v>
      </c>
      <c r="AI486" s="69" t="e" cm="1">
        <f t="array" ref="AI486">_xlfn.XLOOKUP(Table1[[#This Row],[5 cm2 cell test code]:[5 cm2 cell test code]],[1]!Table1[[Test code]:[Test code]],[1]!Table1[Q_int_frac DIW 10 mM KOH],"",0)</f>
        <v>#REF!</v>
      </c>
      <c r="AJ486" s="69" t="e" cm="1">
        <f t="array" ref="AJ486">_xlfn.XLOOKUP(Table1[[#This Row],[5 cm2 cell test code]:[5 cm2 cell test code]],[1]!Table1[[Test code]:[Test code]],[1]!Table1[DIW conductivity (µS/cm)],"",0)</f>
        <v>#REF!</v>
      </c>
      <c r="AQ486" s="4" t="str">
        <v>VSG02A-23348E1.03</v>
      </c>
    </row>
    <row r="487" spans="1:43">
      <c r="A487" s="81"/>
      <c r="B487" s="11" t="s">
        <v>868</v>
      </c>
      <c r="C487" s="4" t="s">
        <v>834</v>
      </c>
      <c r="I487" s="11" t="s">
        <v>114</v>
      </c>
      <c r="J487" s="11" t="s">
        <v>869</v>
      </c>
      <c r="M487" s="13">
        <f>(63.8-63.35)*1000/(21.5*31.6)</f>
        <v>0.66234913158668784</v>
      </c>
      <c r="P487" s="28">
        <v>0.64</v>
      </c>
      <c r="Q487" s="4">
        <v>3.6646926767386616E-2</v>
      </c>
      <c r="U487" s="101"/>
      <c r="V487" s="101"/>
      <c r="W487" s="69" t="e" cm="1">
        <f t="array" ref="W487">_xlfn.XLOOKUP(Table1[[#This Row],[5 cm2 cell test code]:[5 cm2 cell test code]],[1]!Table1[[Test code]:[Test code]],[1]!Table1[i @ 1.8 V DIW (A/cm2)],"",0)</f>
        <v>#REF!</v>
      </c>
      <c r="X487" s="69" t="e" cm="1">
        <f t="array" ref="X487">_xlfn.XLOOKUP(Table1[[#This Row],[5 cm2 cell test code]:[5 cm2 cell test code]],[1]!Table1[[Test code]:[Test code]],[1]!Table1[i @ 1.8 V 10 mM KOH (A/cm2)],"",0)</f>
        <v>#REF!</v>
      </c>
      <c r="Y487" s="69" t="e" cm="1">
        <f t="array" ref="Y487">_xlfn.XLOOKUP(Table1[[#This Row],[5 cm2 cell test code]:[5 cm2 cell test code]],[1]!Table1[[Test code]:[Test code]],[1]!Table1[3-E ƞ at 20mAcm-2 (mV)],"",0)</f>
        <v>#REF!</v>
      </c>
      <c r="Z487" s="69" t="e" cm="1">
        <f t="array" ref="Z487">_xlfn.XLOOKUP(Table1[[#This Row],[5 cm2 cell test code]:[5 cm2 cell test code]],[1]!Table1[[Test code]:[Test code]],[1]!Table1[3-E Tafel slope (mV/dec)],"",0)</f>
        <v>#REF!</v>
      </c>
      <c r="AA487" s="69" t="e" cm="1">
        <f t="array" ref="AA487">_xlfn.XLOOKUP(Table1[[#This Row],[5 cm2 cell test code]:[5 cm2 cell test code]],[1]!Table1[[Test code]:[Test code]],[1]!Table1[E @ 100 mA/cm2 DIW/V],"",0)</f>
        <v>#REF!</v>
      </c>
      <c r="AB487" s="69" t="e" cm="1">
        <f t="array" ref="AB487">_xlfn.XLOOKUP(Table1[[#This Row],[5 cm2 cell test code]:[5 cm2 cell test code]],[1]!Table1[[Test code]:[Test code]],[1]!Table1[E @ 100 mA/cm2 10 mM KOH/V],"",0)</f>
        <v>#REF!</v>
      </c>
      <c r="AC487" s="69" t="e" cm="1">
        <f t="array" ref="AC487">_xlfn.XLOOKUP(Table1[[#This Row],[5 cm2 cell test code]:[5 cm2 cell test code]],[1]!Table1[[Test code]:[Test code]],[1]!Table1[Anode ICR/mOhm],"",0)</f>
        <v>#REF!</v>
      </c>
      <c r="AD487" s="69" t="e" cm="1">
        <f t="array" ref="AD487">_xlfn.XLOOKUP(Table1[[#This Row],[5 cm2 cell test code]:[5 cm2 cell test code]],[1]!Table1[[Test code]:[Test code]],[1]!Table1[HFR DIW/ mOhm cm2],"",0)</f>
        <v>#REF!</v>
      </c>
      <c r="AE487" s="69" t="e" cm="1">
        <f t="array" ref="AE487">_xlfn.XLOOKUP(Table1[[#This Row],[5 cm2 cell test code]:[5 cm2 cell test code]],[1]!Table1[[Test code]:[Test code]],[1]!Table1[HFR 10 mM KOH/ mOhm cm2],"",0)</f>
        <v>#REF!</v>
      </c>
      <c r="AF487" s="69" t="e" cm="1">
        <f t="array" ref="AF487">_xlfn.XLOOKUP(Table1[[#This Row],[5 cm2 cell test code]:[5 cm2 cell test code]],[1]!Table1[[Test code]:[Test code]],[1]!Table1[Ionic resistance DIW/Ohm cm2],"",0)</f>
        <v>#REF!</v>
      </c>
      <c r="AG487" s="69" t="e" cm="1">
        <f t="array" ref="AG487">_xlfn.XLOOKUP(Table1[[#This Row],[5 cm2 cell test code]:[5 cm2 cell test code]],[1]!Table1[[Test code]:[Test code]],[1]!Table1[Q_int_frac DIW],"",0)</f>
        <v>#REF!</v>
      </c>
      <c r="AH487" s="69" t="e" cm="1">
        <f t="array" ref="AH487">_xlfn.XLOOKUP(Table1[[#This Row],[5 cm2 cell test code]:[5 cm2 cell test code]],[1]!Table1[[Test code]:[Test code]],[1]!Table1[Ionic resistance 10 mM KOH/Ohm cm2],"",0)</f>
        <v>#REF!</v>
      </c>
      <c r="AI487" s="69" t="e" cm="1">
        <f t="array" ref="AI487">_xlfn.XLOOKUP(Table1[[#This Row],[5 cm2 cell test code]:[5 cm2 cell test code]],[1]!Table1[[Test code]:[Test code]],[1]!Table1[Q_int_frac DIW 10 mM KOH],"",0)</f>
        <v>#REF!</v>
      </c>
      <c r="AJ487" s="69" t="e" cm="1">
        <f t="array" ref="AJ487">_xlfn.XLOOKUP(Table1[[#This Row],[5 cm2 cell test code]:[5 cm2 cell test code]],[1]!Table1[[Test code]:[Test code]],[1]!Table1[DIW conductivity (µS/cm)],"",0)</f>
        <v>#REF!</v>
      </c>
      <c r="AQ487" s="4" t="str">
        <v>VSG02A-23348E1.04</v>
      </c>
    </row>
    <row r="488" spans="1:43">
      <c r="A488" s="81"/>
      <c r="B488" s="11" t="s">
        <v>870</v>
      </c>
      <c r="C488" s="4" t="s">
        <v>871</v>
      </c>
      <c r="I488" s="11" t="s">
        <v>114</v>
      </c>
      <c r="J488" s="11" t="s">
        <v>869</v>
      </c>
      <c r="M488" s="13">
        <f>(63.98-63.78)*1000/(22.5*31.7)</f>
        <v>0.28040658955484854</v>
      </c>
      <c r="O488" s="11" t="s">
        <v>872</v>
      </c>
      <c r="P488" s="28">
        <v>1.1200000000000001</v>
      </c>
      <c r="Q488" s="4">
        <v>4.1218051275951392E-2</v>
      </c>
      <c r="U488" s="101"/>
      <c r="V488" s="101"/>
      <c r="W488" s="69" t="e" cm="1">
        <f t="array" ref="W488">_xlfn.XLOOKUP(Table1[[#This Row],[5 cm2 cell test code]:[5 cm2 cell test code]],[1]!Table1[[Test code]:[Test code]],[1]!Table1[i @ 1.8 V DIW (A/cm2)],"",0)</f>
        <v>#REF!</v>
      </c>
      <c r="X488" s="69" t="e" cm="1">
        <f t="array" ref="X488">_xlfn.XLOOKUP(Table1[[#This Row],[5 cm2 cell test code]:[5 cm2 cell test code]],[1]!Table1[[Test code]:[Test code]],[1]!Table1[i @ 1.8 V 10 mM KOH (A/cm2)],"",0)</f>
        <v>#REF!</v>
      </c>
      <c r="Y488" s="69" t="e" cm="1">
        <f t="array" ref="Y488">_xlfn.XLOOKUP(Table1[[#This Row],[5 cm2 cell test code]:[5 cm2 cell test code]],[1]!Table1[[Test code]:[Test code]],[1]!Table1[3-E ƞ at 20mAcm-2 (mV)],"",0)</f>
        <v>#REF!</v>
      </c>
      <c r="Z488" s="69" t="e" cm="1">
        <f t="array" ref="Z488">_xlfn.XLOOKUP(Table1[[#This Row],[5 cm2 cell test code]:[5 cm2 cell test code]],[1]!Table1[[Test code]:[Test code]],[1]!Table1[3-E Tafel slope (mV/dec)],"",0)</f>
        <v>#REF!</v>
      </c>
      <c r="AA488" s="69" t="e" cm="1">
        <f t="array" ref="AA488">_xlfn.XLOOKUP(Table1[[#This Row],[5 cm2 cell test code]:[5 cm2 cell test code]],[1]!Table1[[Test code]:[Test code]],[1]!Table1[E @ 100 mA/cm2 DIW/V],"",0)</f>
        <v>#REF!</v>
      </c>
      <c r="AB488" s="69" t="e" cm="1">
        <f t="array" ref="AB488">_xlfn.XLOOKUP(Table1[[#This Row],[5 cm2 cell test code]:[5 cm2 cell test code]],[1]!Table1[[Test code]:[Test code]],[1]!Table1[E @ 100 mA/cm2 10 mM KOH/V],"",0)</f>
        <v>#REF!</v>
      </c>
      <c r="AC488" s="69" t="e" cm="1">
        <f t="array" ref="AC488">_xlfn.XLOOKUP(Table1[[#This Row],[5 cm2 cell test code]:[5 cm2 cell test code]],[1]!Table1[[Test code]:[Test code]],[1]!Table1[Anode ICR/mOhm],"",0)</f>
        <v>#REF!</v>
      </c>
      <c r="AD488" s="69" t="e" cm="1">
        <f t="array" ref="AD488">_xlfn.XLOOKUP(Table1[[#This Row],[5 cm2 cell test code]:[5 cm2 cell test code]],[1]!Table1[[Test code]:[Test code]],[1]!Table1[HFR DIW/ mOhm cm2],"",0)</f>
        <v>#REF!</v>
      </c>
      <c r="AE488" s="69" t="e" cm="1">
        <f t="array" ref="AE488">_xlfn.XLOOKUP(Table1[[#This Row],[5 cm2 cell test code]:[5 cm2 cell test code]],[1]!Table1[[Test code]:[Test code]],[1]!Table1[HFR 10 mM KOH/ mOhm cm2],"",0)</f>
        <v>#REF!</v>
      </c>
      <c r="AF488" s="69" t="e" cm="1">
        <f t="array" ref="AF488">_xlfn.XLOOKUP(Table1[[#This Row],[5 cm2 cell test code]:[5 cm2 cell test code]],[1]!Table1[[Test code]:[Test code]],[1]!Table1[Ionic resistance DIW/Ohm cm2],"",0)</f>
        <v>#REF!</v>
      </c>
      <c r="AG488" s="69" t="e" cm="1">
        <f t="array" ref="AG488">_xlfn.XLOOKUP(Table1[[#This Row],[5 cm2 cell test code]:[5 cm2 cell test code]],[1]!Table1[[Test code]:[Test code]],[1]!Table1[Q_int_frac DIW],"",0)</f>
        <v>#REF!</v>
      </c>
      <c r="AH488" s="69" t="e" cm="1">
        <f t="array" ref="AH488">_xlfn.XLOOKUP(Table1[[#This Row],[5 cm2 cell test code]:[5 cm2 cell test code]],[1]!Table1[[Test code]:[Test code]],[1]!Table1[Ionic resistance 10 mM KOH/Ohm cm2],"",0)</f>
        <v>#REF!</v>
      </c>
      <c r="AI488" s="69" t="e" cm="1">
        <f t="array" ref="AI488">_xlfn.XLOOKUP(Table1[[#This Row],[5 cm2 cell test code]:[5 cm2 cell test code]],[1]!Table1[[Test code]:[Test code]],[1]!Table1[Q_int_frac DIW 10 mM KOH],"",0)</f>
        <v>#REF!</v>
      </c>
      <c r="AJ488" s="69" t="e" cm="1">
        <f t="array" ref="AJ488">_xlfn.XLOOKUP(Table1[[#This Row],[5 cm2 cell test code]:[5 cm2 cell test code]],[1]!Table1[[Test code]:[Test code]],[1]!Table1[DIW conductivity (µS/cm)],"",0)</f>
        <v>#REF!</v>
      </c>
      <c r="AQ488" s="4" t="str">
        <v>VSG02A-23349E1.01</v>
      </c>
    </row>
    <row r="489" spans="1:43">
      <c r="A489" s="81" t="s">
        <v>873</v>
      </c>
      <c r="B489" s="11" t="s">
        <v>874</v>
      </c>
      <c r="C489" s="4" t="s">
        <v>875</v>
      </c>
      <c r="E489" s="4" t="s">
        <v>206</v>
      </c>
      <c r="F489" s="4" t="s">
        <v>835</v>
      </c>
      <c r="G489" s="4">
        <v>4</v>
      </c>
      <c r="I489" s="11" t="s">
        <v>114</v>
      </c>
      <c r="J489" s="11" t="s">
        <v>869</v>
      </c>
      <c r="O489" s="11" t="s">
        <v>876</v>
      </c>
      <c r="P489" s="28">
        <v>0.9</v>
      </c>
      <c r="Q489" s="4">
        <v>3.5700113908361288E-2</v>
      </c>
      <c r="U489" s="101"/>
      <c r="V489" s="101"/>
      <c r="W489" s="69" t="e" cm="1">
        <f t="array" ref="W489">_xlfn.XLOOKUP(Table1[[#This Row],[5 cm2 cell test code]:[5 cm2 cell test code]],[1]!Table1[[Test code]:[Test code]],[1]!Table1[i @ 1.8 V DIW (A/cm2)],"",0)</f>
        <v>#REF!</v>
      </c>
      <c r="X489" s="69" t="e" cm="1">
        <f t="array" ref="X489">_xlfn.XLOOKUP(Table1[[#This Row],[5 cm2 cell test code]:[5 cm2 cell test code]],[1]!Table1[[Test code]:[Test code]],[1]!Table1[i @ 1.8 V 10 mM KOH (A/cm2)],"",0)</f>
        <v>#REF!</v>
      </c>
      <c r="Y489" s="69" t="e" cm="1">
        <f t="array" ref="Y489">_xlfn.XLOOKUP(Table1[[#This Row],[5 cm2 cell test code]:[5 cm2 cell test code]],[1]!Table1[[Test code]:[Test code]],[1]!Table1[3-E ƞ at 20mAcm-2 (mV)],"",0)</f>
        <v>#REF!</v>
      </c>
      <c r="Z489" s="69" t="e" cm="1">
        <f t="array" ref="Z489">_xlfn.XLOOKUP(Table1[[#This Row],[5 cm2 cell test code]:[5 cm2 cell test code]],[1]!Table1[[Test code]:[Test code]],[1]!Table1[3-E Tafel slope (mV/dec)],"",0)</f>
        <v>#REF!</v>
      </c>
      <c r="AA489" s="69" t="e" cm="1">
        <f t="array" ref="AA489">_xlfn.XLOOKUP(Table1[[#This Row],[5 cm2 cell test code]:[5 cm2 cell test code]],[1]!Table1[[Test code]:[Test code]],[1]!Table1[E @ 100 mA/cm2 DIW/V],"",0)</f>
        <v>#REF!</v>
      </c>
      <c r="AB489" s="69" t="e" cm="1">
        <f t="array" ref="AB489">_xlfn.XLOOKUP(Table1[[#This Row],[5 cm2 cell test code]:[5 cm2 cell test code]],[1]!Table1[[Test code]:[Test code]],[1]!Table1[E @ 100 mA/cm2 10 mM KOH/V],"",0)</f>
        <v>#REF!</v>
      </c>
      <c r="AC489" s="69" t="e" cm="1">
        <f t="array" ref="AC489">_xlfn.XLOOKUP(Table1[[#This Row],[5 cm2 cell test code]:[5 cm2 cell test code]],[1]!Table1[[Test code]:[Test code]],[1]!Table1[Anode ICR/mOhm],"",0)</f>
        <v>#REF!</v>
      </c>
      <c r="AD489" s="69" t="e" cm="1">
        <f t="array" ref="AD489">_xlfn.XLOOKUP(Table1[[#This Row],[5 cm2 cell test code]:[5 cm2 cell test code]],[1]!Table1[[Test code]:[Test code]],[1]!Table1[HFR DIW/ mOhm cm2],"",0)</f>
        <v>#REF!</v>
      </c>
      <c r="AE489" s="69" t="e" cm="1">
        <f t="array" ref="AE489">_xlfn.XLOOKUP(Table1[[#This Row],[5 cm2 cell test code]:[5 cm2 cell test code]],[1]!Table1[[Test code]:[Test code]],[1]!Table1[HFR 10 mM KOH/ mOhm cm2],"",0)</f>
        <v>#REF!</v>
      </c>
      <c r="AF489" s="69" t="e" cm="1">
        <f t="array" ref="AF489">_xlfn.XLOOKUP(Table1[[#This Row],[5 cm2 cell test code]:[5 cm2 cell test code]],[1]!Table1[[Test code]:[Test code]],[1]!Table1[Ionic resistance DIW/Ohm cm2],"",0)</f>
        <v>#REF!</v>
      </c>
      <c r="AG489" s="69" t="e" cm="1">
        <f t="array" ref="AG489">_xlfn.XLOOKUP(Table1[[#This Row],[5 cm2 cell test code]:[5 cm2 cell test code]],[1]!Table1[[Test code]:[Test code]],[1]!Table1[Q_int_frac DIW],"",0)</f>
        <v>#REF!</v>
      </c>
      <c r="AH489" s="69" t="e" cm="1">
        <f t="array" ref="AH489">_xlfn.XLOOKUP(Table1[[#This Row],[5 cm2 cell test code]:[5 cm2 cell test code]],[1]!Table1[[Test code]:[Test code]],[1]!Table1[Ionic resistance 10 mM KOH/Ohm cm2],"",0)</f>
        <v>#REF!</v>
      </c>
      <c r="AI489" s="69" t="e" cm="1">
        <f t="array" ref="AI489">_xlfn.XLOOKUP(Table1[[#This Row],[5 cm2 cell test code]:[5 cm2 cell test code]],[1]!Table1[[Test code]:[Test code]],[1]!Table1[Q_int_frac DIW 10 mM KOH],"",0)</f>
        <v>#REF!</v>
      </c>
      <c r="AJ489" s="69" t="e" cm="1">
        <f t="array" ref="AJ489">_xlfn.XLOOKUP(Table1[[#This Row],[5 cm2 cell test code]:[5 cm2 cell test code]],[1]!Table1[[Test code]:[Test code]],[1]!Table1[DIW conductivity (µS/cm)],"",0)</f>
        <v>#REF!</v>
      </c>
      <c r="AQ489" s="4" t="str">
        <v>VSG02A-23349E1.02</v>
      </c>
    </row>
    <row r="490" spans="1:43">
      <c r="A490" s="81" t="s">
        <v>877</v>
      </c>
      <c r="B490" s="11" t="s">
        <v>878</v>
      </c>
      <c r="C490" s="4" t="s">
        <v>879</v>
      </c>
      <c r="E490" s="4" t="s">
        <v>206</v>
      </c>
      <c r="F490" s="4" t="s">
        <v>835</v>
      </c>
      <c r="G490" s="4">
        <v>5</v>
      </c>
      <c r="I490" s="11" t="s">
        <v>114</v>
      </c>
      <c r="J490" s="11" t="s">
        <v>869</v>
      </c>
      <c r="O490" s="11" t="s">
        <v>880</v>
      </c>
      <c r="P490" s="28">
        <v>0.86</v>
      </c>
      <c r="Q490" s="4">
        <v>3.5843977944947161E-2</v>
      </c>
      <c r="U490" s="101"/>
      <c r="V490" s="101"/>
      <c r="W490" s="69" t="e" cm="1">
        <f t="array" ref="W490">_xlfn.XLOOKUP(Table1[[#This Row],[5 cm2 cell test code]:[5 cm2 cell test code]],[1]!Table1[[Test code]:[Test code]],[1]!Table1[i @ 1.8 V DIW (A/cm2)],"",0)</f>
        <v>#REF!</v>
      </c>
      <c r="X490" s="69" t="e" cm="1">
        <f t="array" ref="X490">_xlfn.XLOOKUP(Table1[[#This Row],[5 cm2 cell test code]:[5 cm2 cell test code]],[1]!Table1[[Test code]:[Test code]],[1]!Table1[i @ 1.8 V 10 mM KOH (A/cm2)],"",0)</f>
        <v>#REF!</v>
      </c>
      <c r="Y490" s="69" t="e" cm="1">
        <f t="array" ref="Y490">_xlfn.XLOOKUP(Table1[[#This Row],[5 cm2 cell test code]:[5 cm2 cell test code]],[1]!Table1[[Test code]:[Test code]],[1]!Table1[3-E ƞ at 20mAcm-2 (mV)],"",0)</f>
        <v>#REF!</v>
      </c>
      <c r="Z490" s="69" t="e" cm="1">
        <f t="array" ref="Z490">_xlfn.XLOOKUP(Table1[[#This Row],[5 cm2 cell test code]:[5 cm2 cell test code]],[1]!Table1[[Test code]:[Test code]],[1]!Table1[3-E Tafel slope (mV/dec)],"",0)</f>
        <v>#REF!</v>
      </c>
      <c r="AA490" s="69" t="e" cm="1">
        <f t="array" ref="AA490">_xlfn.XLOOKUP(Table1[[#This Row],[5 cm2 cell test code]:[5 cm2 cell test code]],[1]!Table1[[Test code]:[Test code]],[1]!Table1[E @ 100 mA/cm2 DIW/V],"",0)</f>
        <v>#REF!</v>
      </c>
      <c r="AB490" s="69" t="e" cm="1">
        <f t="array" ref="AB490">_xlfn.XLOOKUP(Table1[[#This Row],[5 cm2 cell test code]:[5 cm2 cell test code]],[1]!Table1[[Test code]:[Test code]],[1]!Table1[E @ 100 mA/cm2 10 mM KOH/V],"",0)</f>
        <v>#REF!</v>
      </c>
      <c r="AC490" s="69" t="e" cm="1">
        <f t="array" ref="AC490">_xlfn.XLOOKUP(Table1[[#This Row],[5 cm2 cell test code]:[5 cm2 cell test code]],[1]!Table1[[Test code]:[Test code]],[1]!Table1[Anode ICR/mOhm],"",0)</f>
        <v>#REF!</v>
      </c>
      <c r="AD490" s="69" t="e" cm="1">
        <f t="array" ref="AD490">_xlfn.XLOOKUP(Table1[[#This Row],[5 cm2 cell test code]:[5 cm2 cell test code]],[1]!Table1[[Test code]:[Test code]],[1]!Table1[HFR DIW/ mOhm cm2],"",0)</f>
        <v>#REF!</v>
      </c>
      <c r="AE490" s="69" t="e" cm="1">
        <f t="array" ref="AE490">_xlfn.XLOOKUP(Table1[[#This Row],[5 cm2 cell test code]:[5 cm2 cell test code]],[1]!Table1[[Test code]:[Test code]],[1]!Table1[HFR 10 mM KOH/ mOhm cm2],"",0)</f>
        <v>#REF!</v>
      </c>
      <c r="AF490" s="69" t="e" cm="1">
        <f t="array" ref="AF490">_xlfn.XLOOKUP(Table1[[#This Row],[5 cm2 cell test code]:[5 cm2 cell test code]],[1]!Table1[[Test code]:[Test code]],[1]!Table1[Ionic resistance DIW/Ohm cm2],"",0)</f>
        <v>#REF!</v>
      </c>
      <c r="AG490" s="69" t="e" cm="1">
        <f t="array" ref="AG490">_xlfn.XLOOKUP(Table1[[#This Row],[5 cm2 cell test code]:[5 cm2 cell test code]],[1]!Table1[[Test code]:[Test code]],[1]!Table1[Q_int_frac DIW],"",0)</f>
        <v>#REF!</v>
      </c>
      <c r="AH490" s="69" t="e" cm="1">
        <f t="array" ref="AH490">_xlfn.XLOOKUP(Table1[[#This Row],[5 cm2 cell test code]:[5 cm2 cell test code]],[1]!Table1[[Test code]:[Test code]],[1]!Table1[Ionic resistance 10 mM KOH/Ohm cm2],"",0)</f>
        <v>#REF!</v>
      </c>
      <c r="AI490" s="69" t="e" cm="1">
        <f t="array" ref="AI490">_xlfn.XLOOKUP(Table1[[#This Row],[5 cm2 cell test code]:[5 cm2 cell test code]],[1]!Table1[[Test code]:[Test code]],[1]!Table1[Q_int_frac DIW 10 mM KOH],"",0)</f>
        <v>#REF!</v>
      </c>
      <c r="AJ490" s="69" t="e" cm="1">
        <f t="array" ref="AJ490">_xlfn.XLOOKUP(Table1[[#This Row],[5 cm2 cell test code]:[5 cm2 cell test code]],[1]!Table1[[Test code]:[Test code]],[1]!Table1[DIW conductivity (µS/cm)],"",0)</f>
        <v>#REF!</v>
      </c>
      <c r="AQ490" s="4" t="str">
        <v>VSG02A-23352E1.01</v>
      </c>
    </row>
    <row r="491" spans="1:43">
      <c r="A491" s="81"/>
      <c r="B491" s="11" t="s">
        <v>881</v>
      </c>
      <c r="C491" s="4" t="s">
        <v>879</v>
      </c>
      <c r="E491" s="4" t="s">
        <v>762</v>
      </c>
      <c r="I491" s="11" t="s">
        <v>114</v>
      </c>
      <c r="J491" s="11" t="s">
        <v>869</v>
      </c>
      <c r="M491" s="13">
        <f>(63.65-63.45)*1000/(31.6*22.4)</f>
        <v>0.28254972875225437</v>
      </c>
      <c r="O491" s="11" t="s">
        <v>882</v>
      </c>
      <c r="P491" s="28">
        <v>0.73</v>
      </c>
      <c r="Q491" s="4">
        <v>3.5255629777063972E-2</v>
      </c>
      <c r="U491" s="101"/>
      <c r="V491" s="101"/>
      <c r="W491" s="69" t="e" cm="1">
        <f t="array" ref="W491">_xlfn.XLOOKUP(Table1[[#This Row],[5 cm2 cell test code]:[5 cm2 cell test code]],[1]!Table1[[Test code]:[Test code]],[1]!Table1[i @ 1.8 V DIW (A/cm2)],"",0)</f>
        <v>#REF!</v>
      </c>
      <c r="X491" s="69" t="e" cm="1">
        <f t="array" ref="X491">_xlfn.XLOOKUP(Table1[[#This Row],[5 cm2 cell test code]:[5 cm2 cell test code]],[1]!Table1[[Test code]:[Test code]],[1]!Table1[i @ 1.8 V 10 mM KOH (A/cm2)],"",0)</f>
        <v>#REF!</v>
      </c>
      <c r="Y491" s="69" t="e" cm="1">
        <f t="array" ref="Y491">_xlfn.XLOOKUP(Table1[[#This Row],[5 cm2 cell test code]:[5 cm2 cell test code]],[1]!Table1[[Test code]:[Test code]],[1]!Table1[3-E ƞ at 20mAcm-2 (mV)],"",0)</f>
        <v>#REF!</v>
      </c>
      <c r="Z491" s="69" t="e" cm="1">
        <f t="array" ref="Z491">_xlfn.XLOOKUP(Table1[[#This Row],[5 cm2 cell test code]:[5 cm2 cell test code]],[1]!Table1[[Test code]:[Test code]],[1]!Table1[3-E Tafel slope (mV/dec)],"",0)</f>
        <v>#REF!</v>
      </c>
      <c r="AA491" s="69" t="e" cm="1">
        <f t="array" ref="AA491">_xlfn.XLOOKUP(Table1[[#This Row],[5 cm2 cell test code]:[5 cm2 cell test code]],[1]!Table1[[Test code]:[Test code]],[1]!Table1[E @ 100 mA/cm2 DIW/V],"",0)</f>
        <v>#REF!</v>
      </c>
      <c r="AB491" s="69" t="e" cm="1">
        <f t="array" ref="AB491">_xlfn.XLOOKUP(Table1[[#This Row],[5 cm2 cell test code]:[5 cm2 cell test code]],[1]!Table1[[Test code]:[Test code]],[1]!Table1[E @ 100 mA/cm2 10 mM KOH/V],"",0)</f>
        <v>#REF!</v>
      </c>
      <c r="AC491" s="69" t="e" cm="1">
        <f t="array" ref="AC491">_xlfn.XLOOKUP(Table1[[#This Row],[5 cm2 cell test code]:[5 cm2 cell test code]],[1]!Table1[[Test code]:[Test code]],[1]!Table1[Anode ICR/mOhm],"",0)</f>
        <v>#REF!</v>
      </c>
      <c r="AD491" s="69" t="e" cm="1">
        <f t="array" ref="AD491">_xlfn.XLOOKUP(Table1[[#This Row],[5 cm2 cell test code]:[5 cm2 cell test code]],[1]!Table1[[Test code]:[Test code]],[1]!Table1[HFR DIW/ mOhm cm2],"",0)</f>
        <v>#REF!</v>
      </c>
      <c r="AE491" s="69" t="e" cm="1">
        <f t="array" ref="AE491">_xlfn.XLOOKUP(Table1[[#This Row],[5 cm2 cell test code]:[5 cm2 cell test code]],[1]!Table1[[Test code]:[Test code]],[1]!Table1[HFR 10 mM KOH/ mOhm cm2],"",0)</f>
        <v>#REF!</v>
      </c>
      <c r="AF491" s="69" t="e" cm="1">
        <f t="array" ref="AF491">_xlfn.XLOOKUP(Table1[[#This Row],[5 cm2 cell test code]:[5 cm2 cell test code]],[1]!Table1[[Test code]:[Test code]],[1]!Table1[Ionic resistance DIW/Ohm cm2],"",0)</f>
        <v>#REF!</v>
      </c>
      <c r="AG491" s="69" t="e" cm="1">
        <f t="array" ref="AG491">_xlfn.XLOOKUP(Table1[[#This Row],[5 cm2 cell test code]:[5 cm2 cell test code]],[1]!Table1[[Test code]:[Test code]],[1]!Table1[Q_int_frac DIW],"",0)</f>
        <v>#REF!</v>
      </c>
      <c r="AH491" s="69" t="e" cm="1">
        <f t="array" ref="AH491">_xlfn.XLOOKUP(Table1[[#This Row],[5 cm2 cell test code]:[5 cm2 cell test code]],[1]!Table1[[Test code]:[Test code]],[1]!Table1[Ionic resistance 10 mM KOH/Ohm cm2],"",0)</f>
        <v>#REF!</v>
      </c>
      <c r="AI491" s="69" t="e" cm="1">
        <f t="array" ref="AI491">_xlfn.XLOOKUP(Table1[[#This Row],[5 cm2 cell test code]:[5 cm2 cell test code]],[1]!Table1[[Test code]:[Test code]],[1]!Table1[Q_int_frac DIW 10 mM KOH],"",0)</f>
        <v>#REF!</v>
      </c>
      <c r="AJ491" s="69" t="e" cm="1">
        <f t="array" ref="AJ491">_xlfn.XLOOKUP(Table1[[#This Row],[5 cm2 cell test code]:[5 cm2 cell test code]],[1]!Table1[[Test code]:[Test code]],[1]!Table1[DIW conductivity (µS/cm)],"",0)</f>
        <v>#REF!</v>
      </c>
      <c r="AQ491" s="4" t="str">
        <v>VSG02A-23352E1.02</v>
      </c>
    </row>
    <row r="492" spans="1:43">
      <c r="A492" s="81"/>
      <c r="B492" s="11" t="s">
        <v>883</v>
      </c>
      <c r="K492" s="89"/>
      <c r="L492" s="89"/>
      <c r="U492" s="101"/>
      <c r="V492" s="101"/>
      <c r="W492" s="69" t="e" cm="1">
        <f t="array" ref="W492">_xlfn.XLOOKUP(Table1[[#This Row],[5 cm2 cell test code]:[5 cm2 cell test code]],[1]!Table1[[Test code]:[Test code]],[1]!Table1[i @ 1.8 V DIW (A/cm2)],"",0)</f>
        <v>#REF!</v>
      </c>
      <c r="X492" s="69" t="e" cm="1">
        <f t="array" ref="X492">_xlfn.XLOOKUP(Table1[[#This Row],[5 cm2 cell test code]:[5 cm2 cell test code]],[1]!Table1[[Test code]:[Test code]],[1]!Table1[i @ 1.8 V 10 mM KOH (A/cm2)],"",0)</f>
        <v>#REF!</v>
      </c>
      <c r="Y492" s="69" t="e" cm="1">
        <f t="array" ref="Y492">_xlfn.XLOOKUP(Table1[[#This Row],[5 cm2 cell test code]:[5 cm2 cell test code]],[1]!Table1[[Test code]:[Test code]],[1]!Table1[3-E ƞ at 20mAcm-2 (mV)],"",0)</f>
        <v>#REF!</v>
      </c>
      <c r="Z492" s="69" t="e" cm="1">
        <f t="array" ref="Z492">_xlfn.XLOOKUP(Table1[[#This Row],[5 cm2 cell test code]:[5 cm2 cell test code]],[1]!Table1[[Test code]:[Test code]],[1]!Table1[3-E Tafel slope (mV/dec)],"",0)</f>
        <v>#REF!</v>
      </c>
      <c r="AA492" s="69" t="e" cm="1">
        <f t="array" ref="AA492">_xlfn.XLOOKUP(Table1[[#This Row],[5 cm2 cell test code]:[5 cm2 cell test code]],[1]!Table1[[Test code]:[Test code]],[1]!Table1[E @ 100 mA/cm2 DIW/V],"",0)</f>
        <v>#REF!</v>
      </c>
      <c r="AB492" s="69" t="e" cm="1">
        <f t="array" ref="AB492">_xlfn.XLOOKUP(Table1[[#This Row],[5 cm2 cell test code]:[5 cm2 cell test code]],[1]!Table1[[Test code]:[Test code]],[1]!Table1[E @ 100 mA/cm2 10 mM KOH/V],"",0)</f>
        <v>#REF!</v>
      </c>
      <c r="AC492" s="69" t="e" cm="1">
        <f t="array" ref="AC492">_xlfn.XLOOKUP(Table1[[#This Row],[5 cm2 cell test code]:[5 cm2 cell test code]],[1]!Table1[[Test code]:[Test code]],[1]!Table1[Anode ICR/mOhm],"",0)</f>
        <v>#REF!</v>
      </c>
      <c r="AD492" s="69" t="e" cm="1">
        <f t="array" ref="AD492">_xlfn.XLOOKUP(Table1[[#This Row],[5 cm2 cell test code]:[5 cm2 cell test code]],[1]!Table1[[Test code]:[Test code]],[1]!Table1[HFR DIW/ mOhm cm2],"",0)</f>
        <v>#REF!</v>
      </c>
      <c r="AE492" s="69" t="e" cm="1">
        <f t="array" ref="AE492">_xlfn.XLOOKUP(Table1[[#This Row],[5 cm2 cell test code]:[5 cm2 cell test code]],[1]!Table1[[Test code]:[Test code]],[1]!Table1[HFR 10 mM KOH/ mOhm cm2],"",0)</f>
        <v>#REF!</v>
      </c>
      <c r="AF492" s="69" t="e" cm="1">
        <f t="array" ref="AF492">_xlfn.XLOOKUP(Table1[[#This Row],[5 cm2 cell test code]:[5 cm2 cell test code]],[1]!Table1[[Test code]:[Test code]],[1]!Table1[Ionic resistance DIW/Ohm cm2],"",0)</f>
        <v>#REF!</v>
      </c>
      <c r="AG492" s="195" t="e" cm="1">
        <f t="array" ref="AG492">_xlfn.XLOOKUP(Table1[[#This Row],[5 cm2 cell test code]:[5 cm2 cell test code]],[1]!Table1[[Test code]:[Test code]],[1]!Table1[Q_int_frac DIW],"",0)</f>
        <v>#REF!</v>
      </c>
      <c r="AH492" s="195" t="e" cm="1">
        <f t="array" ref="AH492">_xlfn.XLOOKUP(Table1[[#This Row],[5 cm2 cell test code]:[5 cm2 cell test code]],[1]!Table1[[Test code]:[Test code]],[1]!Table1[Ionic resistance 10 mM KOH/Ohm cm2],"",0)</f>
        <v>#REF!</v>
      </c>
      <c r="AI492" s="195" t="e" cm="1">
        <f t="array" ref="AI492">_xlfn.XLOOKUP(Table1[[#This Row],[5 cm2 cell test code]:[5 cm2 cell test code]],[1]!Table1[[Test code]:[Test code]],[1]!Table1[Q_int_frac DIW 10 mM KOH],"",0)</f>
        <v>#REF!</v>
      </c>
      <c r="AJ492" s="69" t="e" cm="1">
        <f t="array" ref="AJ492">_xlfn.XLOOKUP(Table1[[#This Row],[5 cm2 cell test code]:[5 cm2 cell test code]],[1]!Table1[[Test code]:[Test code]],[1]!Table1[DIW conductivity (µS/cm)],"",0)</f>
        <v>#REF!</v>
      </c>
      <c r="AQ492" s="4" t="str">
        <v>VSG02A-23352E1.03</v>
      </c>
    </row>
    <row r="493" spans="1:43">
      <c r="A493" s="81"/>
      <c r="B493" s="11" t="s">
        <v>884</v>
      </c>
      <c r="K493" s="89"/>
      <c r="L493" s="89"/>
      <c r="U493" s="101"/>
      <c r="V493" s="101"/>
      <c r="W493" s="69" t="e" cm="1">
        <f t="array" ref="W493">_xlfn.XLOOKUP(Table1[[#This Row],[5 cm2 cell test code]:[5 cm2 cell test code]],[1]!Table1[[Test code]:[Test code]],[1]!Table1[i @ 1.8 V DIW (A/cm2)],"",0)</f>
        <v>#REF!</v>
      </c>
      <c r="X493" s="69" t="e" cm="1">
        <f t="array" ref="X493">_xlfn.XLOOKUP(Table1[[#This Row],[5 cm2 cell test code]:[5 cm2 cell test code]],[1]!Table1[[Test code]:[Test code]],[1]!Table1[i @ 1.8 V 10 mM KOH (A/cm2)],"",0)</f>
        <v>#REF!</v>
      </c>
      <c r="Y493" s="69" t="e" cm="1">
        <f t="array" ref="Y493">_xlfn.XLOOKUP(Table1[[#This Row],[5 cm2 cell test code]:[5 cm2 cell test code]],[1]!Table1[[Test code]:[Test code]],[1]!Table1[3-E ƞ at 20mAcm-2 (mV)],"",0)</f>
        <v>#REF!</v>
      </c>
      <c r="Z493" s="69" t="e" cm="1">
        <f t="array" ref="Z493">_xlfn.XLOOKUP(Table1[[#This Row],[5 cm2 cell test code]:[5 cm2 cell test code]],[1]!Table1[[Test code]:[Test code]],[1]!Table1[3-E Tafel slope (mV/dec)],"",0)</f>
        <v>#REF!</v>
      </c>
      <c r="AA493" s="69" t="e" cm="1">
        <f t="array" ref="AA493">_xlfn.XLOOKUP(Table1[[#This Row],[5 cm2 cell test code]:[5 cm2 cell test code]],[1]!Table1[[Test code]:[Test code]],[1]!Table1[E @ 100 mA/cm2 DIW/V],"",0)</f>
        <v>#REF!</v>
      </c>
      <c r="AB493" s="69" t="e" cm="1">
        <f t="array" ref="AB493">_xlfn.XLOOKUP(Table1[[#This Row],[5 cm2 cell test code]:[5 cm2 cell test code]],[1]!Table1[[Test code]:[Test code]],[1]!Table1[E @ 100 mA/cm2 10 mM KOH/V],"",0)</f>
        <v>#REF!</v>
      </c>
      <c r="AC493" s="69" t="e" cm="1">
        <f t="array" ref="AC493">_xlfn.XLOOKUP(Table1[[#This Row],[5 cm2 cell test code]:[5 cm2 cell test code]],[1]!Table1[[Test code]:[Test code]],[1]!Table1[Anode ICR/mOhm],"",0)</f>
        <v>#REF!</v>
      </c>
      <c r="AD493" s="69" t="e" cm="1">
        <f t="array" ref="AD493">_xlfn.XLOOKUP(Table1[[#This Row],[5 cm2 cell test code]:[5 cm2 cell test code]],[1]!Table1[[Test code]:[Test code]],[1]!Table1[HFR DIW/ mOhm cm2],"",0)</f>
        <v>#REF!</v>
      </c>
      <c r="AE493" s="69" t="e" cm="1">
        <f t="array" ref="AE493">_xlfn.XLOOKUP(Table1[[#This Row],[5 cm2 cell test code]:[5 cm2 cell test code]],[1]!Table1[[Test code]:[Test code]],[1]!Table1[HFR 10 mM KOH/ mOhm cm2],"",0)</f>
        <v>#REF!</v>
      </c>
      <c r="AF493" s="69" t="e" cm="1">
        <f t="array" ref="AF493">_xlfn.XLOOKUP(Table1[[#This Row],[5 cm2 cell test code]:[5 cm2 cell test code]],[1]!Table1[[Test code]:[Test code]],[1]!Table1[Ionic resistance DIW/Ohm cm2],"",0)</f>
        <v>#REF!</v>
      </c>
      <c r="AG493" s="195" t="e" cm="1">
        <f t="array" ref="AG493">_xlfn.XLOOKUP(Table1[[#This Row],[5 cm2 cell test code]:[5 cm2 cell test code]],[1]!Table1[[Test code]:[Test code]],[1]!Table1[Q_int_frac DIW],"",0)</f>
        <v>#REF!</v>
      </c>
      <c r="AH493" s="195" t="e" cm="1">
        <f t="array" ref="AH493">_xlfn.XLOOKUP(Table1[[#This Row],[5 cm2 cell test code]:[5 cm2 cell test code]],[1]!Table1[[Test code]:[Test code]],[1]!Table1[Ionic resistance 10 mM KOH/Ohm cm2],"",0)</f>
        <v>#REF!</v>
      </c>
      <c r="AI493" s="195" t="e" cm="1">
        <f t="array" ref="AI493">_xlfn.XLOOKUP(Table1[[#This Row],[5 cm2 cell test code]:[5 cm2 cell test code]],[1]!Table1[[Test code]:[Test code]],[1]!Table1[Q_int_frac DIW 10 mM KOH],"",0)</f>
        <v>#REF!</v>
      </c>
      <c r="AJ493" s="69" t="e" cm="1">
        <f t="array" ref="AJ493">_xlfn.XLOOKUP(Table1[[#This Row],[5 cm2 cell test code]:[5 cm2 cell test code]],[1]!Table1[[Test code]:[Test code]],[1]!Table1[DIW conductivity (µS/cm)],"",0)</f>
        <v>#REF!</v>
      </c>
      <c r="AQ493" s="4" t="str">
        <v>VSG02A-23352E1.04</v>
      </c>
    </row>
    <row r="494" spans="1:43">
      <c r="A494" s="81"/>
      <c r="B494" s="11" t="s">
        <v>885</v>
      </c>
      <c r="C494" s="4" t="s">
        <v>834</v>
      </c>
      <c r="E494" s="4" t="s">
        <v>762</v>
      </c>
      <c r="I494" s="11" t="s">
        <v>114</v>
      </c>
      <c r="J494" s="11" t="s">
        <v>869</v>
      </c>
      <c r="M494" s="13">
        <f>(63.91-63.79)*1000/(31.6*22.5)</f>
        <v>0.16877637130801329</v>
      </c>
      <c r="O494" s="11" t="s">
        <v>876</v>
      </c>
      <c r="Q494" s="4">
        <v>3.845324869600053E-2</v>
      </c>
      <c r="U494" s="101"/>
      <c r="V494" s="101"/>
      <c r="W494" s="69" t="e" cm="1">
        <f t="array" ref="W494">_xlfn.XLOOKUP(Table1[[#This Row],[5 cm2 cell test code]:[5 cm2 cell test code]],[1]!Table1[[Test code]:[Test code]],[1]!Table1[i @ 1.8 V DIW (A/cm2)],"",0)</f>
        <v>#REF!</v>
      </c>
      <c r="X494" s="69" t="e" cm="1">
        <f t="array" ref="X494">_xlfn.XLOOKUP(Table1[[#This Row],[5 cm2 cell test code]:[5 cm2 cell test code]],[1]!Table1[[Test code]:[Test code]],[1]!Table1[i @ 1.8 V 10 mM KOH (A/cm2)],"",0)</f>
        <v>#REF!</v>
      </c>
      <c r="Y494" s="69" t="e" cm="1">
        <f t="array" ref="Y494">_xlfn.XLOOKUP(Table1[[#This Row],[5 cm2 cell test code]:[5 cm2 cell test code]],[1]!Table1[[Test code]:[Test code]],[1]!Table1[3-E ƞ at 20mAcm-2 (mV)],"",0)</f>
        <v>#REF!</v>
      </c>
      <c r="Z494" s="69" t="e" cm="1">
        <f t="array" ref="Z494">_xlfn.XLOOKUP(Table1[[#This Row],[5 cm2 cell test code]:[5 cm2 cell test code]],[1]!Table1[[Test code]:[Test code]],[1]!Table1[3-E Tafel slope (mV/dec)],"",0)</f>
        <v>#REF!</v>
      </c>
      <c r="AA494" s="69" t="e" cm="1">
        <f t="array" ref="AA494">_xlfn.XLOOKUP(Table1[[#This Row],[5 cm2 cell test code]:[5 cm2 cell test code]],[1]!Table1[[Test code]:[Test code]],[1]!Table1[E @ 100 mA/cm2 DIW/V],"",0)</f>
        <v>#REF!</v>
      </c>
      <c r="AB494" s="69" t="e" cm="1">
        <f t="array" ref="AB494">_xlfn.XLOOKUP(Table1[[#This Row],[5 cm2 cell test code]:[5 cm2 cell test code]],[1]!Table1[[Test code]:[Test code]],[1]!Table1[E @ 100 mA/cm2 10 mM KOH/V],"",0)</f>
        <v>#REF!</v>
      </c>
      <c r="AC494" s="69" t="e" cm="1">
        <f t="array" ref="AC494">_xlfn.XLOOKUP(Table1[[#This Row],[5 cm2 cell test code]:[5 cm2 cell test code]],[1]!Table1[[Test code]:[Test code]],[1]!Table1[Anode ICR/mOhm],"",0)</f>
        <v>#REF!</v>
      </c>
      <c r="AD494" s="69" t="e" cm="1">
        <f t="array" ref="AD494">_xlfn.XLOOKUP(Table1[[#This Row],[5 cm2 cell test code]:[5 cm2 cell test code]],[1]!Table1[[Test code]:[Test code]],[1]!Table1[HFR DIW/ mOhm cm2],"",0)</f>
        <v>#REF!</v>
      </c>
      <c r="AE494" s="69" t="e" cm="1">
        <f t="array" ref="AE494">_xlfn.XLOOKUP(Table1[[#This Row],[5 cm2 cell test code]:[5 cm2 cell test code]],[1]!Table1[[Test code]:[Test code]],[1]!Table1[HFR 10 mM KOH/ mOhm cm2],"",0)</f>
        <v>#REF!</v>
      </c>
      <c r="AF494" s="69" t="e" cm="1">
        <f t="array" ref="AF494">_xlfn.XLOOKUP(Table1[[#This Row],[5 cm2 cell test code]:[5 cm2 cell test code]],[1]!Table1[[Test code]:[Test code]],[1]!Table1[Ionic resistance DIW/Ohm cm2],"",0)</f>
        <v>#REF!</v>
      </c>
      <c r="AG494" s="69" t="e" cm="1">
        <f t="array" ref="AG494">_xlfn.XLOOKUP(Table1[[#This Row],[5 cm2 cell test code]:[5 cm2 cell test code]],[1]!Table1[[Test code]:[Test code]],[1]!Table1[Q_int_frac DIW],"",0)</f>
        <v>#REF!</v>
      </c>
      <c r="AH494" s="69" t="e" cm="1">
        <f t="array" ref="AH494">_xlfn.XLOOKUP(Table1[[#This Row],[5 cm2 cell test code]:[5 cm2 cell test code]],[1]!Table1[[Test code]:[Test code]],[1]!Table1[Ionic resistance 10 mM KOH/Ohm cm2],"",0)</f>
        <v>#REF!</v>
      </c>
      <c r="AI494" s="69" t="e" cm="1">
        <f t="array" ref="AI494">_xlfn.XLOOKUP(Table1[[#This Row],[5 cm2 cell test code]:[5 cm2 cell test code]],[1]!Table1[[Test code]:[Test code]],[1]!Table1[Q_int_frac DIW 10 mM KOH],"",0)</f>
        <v>#REF!</v>
      </c>
      <c r="AJ494" s="69" t="e" cm="1">
        <f t="array" ref="AJ494">_xlfn.XLOOKUP(Table1[[#This Row],[5 cm2 cell test code]:[5 cm2 cell test code]],[1]!Table1[[Test code]:[Test code]],[1]!Table1[DIW conductivity (µS/cm)],"",0)</f>
        <v>#REF!</v>
      </c>
      <c r="AQ494" s="4" t="str">
        <v>VSG02A-23353E1.01</v>
      </c>
    </row>
    <row r="495" spans="1:43">
      <c r="A495" s="81"/>
      <c r="B495" s="207" t="s">
        <v>886</v>
      </c>
      <c r="C495" s="4" t="s">
        <v>834</v>
      </c>
      <c r="E495" s="4" t="s">
        <v>762</v>
      </c>
      <c r="I495" s="11" t="s">
        <v>114</v>
      </c>
      <c r="J495" s="11" t="s">
        <v>869</v>
      </c>
      <c r="K495" s="210" t="s">
        <v>887</v>
      </c>
      <c r="L495" s="210" t="s">
        <v>888</v>
      </c>
      <c r="M495" s="25"/>
      <c r="O495" s="11" t="s">
        <v>889</v>
      </c>
      <c r="P495" s="28">
        <v>0.76</v>
      </c>
      <c r="Q495">
        <v>4.6188913883301083E-2</v>
      </c>
      <c r="U495" s="101"/>
      <c r="V495" s="101"/>
      <c r="W495" s="69" t="e" cm="1">
        <f t="array" ref="W495">_xlfn.XLOOKUP(Table1[[#This Row],[5 cm2 cell test code]:[5 cm2 cell test code]],[1]!Table1[[Test code]:[Test code]],[1]!Table1[i @ 1.8 V DIW (A/cm2)],"",0)</f>
        <v>#REF!</v>
      </c>
      <c r="X495" s="69" t="e" cm="1">
        <f t="array" ref="X495">_xlfn.XLOOKUP(Table1[[#This Row],[5 cm2 cell test code]:[5 cm2 cell test code]],[1]!Table1[[Test code]:[Test code]],[1]!Table1[i @ 1.8 V 10 mM KOH (A/cm2)],"",0)</f>
        <v>#REF!</v>
      </c>
      <c r="Y495" s="69" t="e" cm="1">
        <f t="array" ref="Y495">_xlfn.XLOOKUP(Table1[[#This Row],[5 cm2 cell test code]:[5 cm2 cell test code]],[1]!Table1[[Test code]:[Test code]],[1]!Table1[3-E ƞ at 20mAcm-2 (mV)],"",0)</f>
        <v>#REF!</v>
      </c>
      <c r="Z495" s="69" t="e" cm="1">
        <f t="array" ref="Z495">_xlfn.XLOOKUP(Table1[[#This Row],[5 cm2 cell test code]:[5 cm2 cell test code]],[1]!Table1[[Test code]:[Test code]],[1]!Table1[3-E Tafel slope (mV/dec)],"",0)</f>
        <v>#REF!</v>
      </c>
      <c r="AA495" s="69" t="e" cm="1">
        <f t="array" ref="AA495">_xlfn.XLOOKUP(Table1[[#This Row],[5 cm2 cell test code]:[5 cm2 cell test code]],[1]!Table1[[Test code]:[Test code]],[1]!Table1[E @ 100 mA/cm2 DIW/V],"",0)</f>
        <v>#REF!</v>
      </c>
      <c r="AB495" s="69" t="e" cm="1">
        <f t="array" ref="AB495">_xlfn.XLOOKUP(Table1[[#This Row],[5 cm2 cell test code]:[5 cm2 cell test code]],[1]!Table1[[Test code]:[Test code]],[1]!Table1[E @ 100 mA/cm2 10 mM KOH/V],"",0)</f>
        <v>#REF!</v>
      </c>
      <c r="AC495" s="69" t="e" cm="1">
        <f t="array" ref="AC495">_xlfn.XLOOKUP(Table1[[#This Row],[5 cm2 cell test code]:[5 cm2 cell test code]],[1]!Table1[[Test code]:[Test code]],[1]!Table1[Anode ICR/mOhm],"",0)</f>
        <v>#REF!</v>
      </c>
      <c r="AD495" s="69" t="e" cm="1">
        <f t="array" ref="AD495">_xlfn.XLOOKUP(Table1[[#This Row],[5 cm2 cell test code]:[5 cm2 cell test code]],[1]!Table1[[Test code]:[Test code]],[1]!Table1[HFR DIW/ mOhm cm2],"",0)</f>
        <v>#REF!</v>
      </c>
      <c r="AE495" s="69" t="e" cm="1">
        <f t="array" ref="AE495">_xlfn.XLOOKUP(Table1[[#This Row],[5 cm2 cell test code]:[5 cm2 cell test code]],[1]!Table1[[Test code]:[Test code]],[1]!Table1[HFR 10 mM KOH/ mOhm cm2],"",0)</f>
        <v>#REF!</v>
      </c>
      <c r="AF495" s="69" t="e" cm="1">
        <f t="array" ref="AF495">_xlfn.XLOOKUP(Table1[[#This Row],[5 cm2 cell test code]:[5 cm2 cell test code]],[1]!Table1[[Test code]:[Test code]],[1]!Table1[Ionic resistance DIW/Ohm cm2],"",0)</f>
        <v>#REF!</v>
      </c>
      <c r="AG495" s="69" t="e" cm="1">
        <f t="array" ref="AG495">_xlfn.XLOOKUP(Table1[[#This Row],[5 cm2 cell test code]:[5 cm2 cell test code]],[1]!Table1[[Test code]:[Test code]],[1]!Table1[Q_int_frac DIW],"",0)</f>
        <v>#REF!</v>
      </c>
      <c r="AH495" s="69" t="e" cm="1">
        <f t="array" ref="AH495">_xlfn.XLOOKUP(Table1[[#This Row],[5 cm2 cell test code]:[5 cm2 cell test code]],[1]!Table1[[Test code]:[Test code]],[1]!Table1[Ionic resistance 10 mM KOH/Ohm cm2],"",0)</f>
        <v>#REF!</v>
      </c>
      <c r="AI495" s="69" t="e" cm="1">
        <f t="array" ref="AI495">_xlfn.XLOOKUP(Table1[[#This Row],[5 cm2 cell test code]:[5 cm2 cell test code]],[1]!Table1[[Test code]:[Test code]],[1]!Table1[Q_int_frac DIW 10 mM KOH],"",0)</f>
        <v>#REF!</v>
      </c>
      <c r="AJ495" s="69" t="e" cm="1">
        <f t="array" ref="AJ495">_xlfn.XLOOKUP(Table1[[#This Row],[5 cm2 cell test code]:[5 cm2 cell test code]],[1]!Table1[[Test code]:[Test code]],[1]!Table1[DIW conductivity (µS/cm)],"",0)</f>
        <v>#REF!</v>
      </c>
      <c r="AQ495" s="4" t="str">
        <v>VSG02A-23353E1.02</v>
      </c>
    </row>
    <row r="496" spans="1:43">
      <c r="A496" s="81"/>
      <c r="B496" s="11" t="s">
        <v>890</v>
      </c>
      <c r="K496" s="89"/>
      <c r="L496" s="89"/>
      <c r="U496" s="101"/>
      <c r="V496" s="101"/>
      <c r="W496" s="69" t="e" cm="1">
        <f t="array" ref="W496">_xlfn.XLOOKUP(Table1[[#This Row],[5 cm2 cell test code]:[5 cm2 cell test code]],[1]!Table1[[Test code]:[Test code]],[1]!Table1[i @ 1.8 V DIW (A/cm2)],"",0)</f>
        <v>#REF!</v>
      </c>
      <c r="X496" s="69" t="e" cm="1">
        <f t="array" ref="X496">_xlfn.XLOOKUP(Table1[[#This Row],[5 cm2 cell test code]:[5 cm2 cell test code]],[1]!Table1[[Test code]:[Test code]],[1]!Table1[i @ 1.8 V 10 mM KOH (A/cm2)],"",0)</f>
        <v>#REF!</v>
      </c>
      <c r="Y496" s="69" t="e" cm="1">
        <f t="array" ref="Y496">_xlfn.XLOOKUP(Table1[[#This Row],[5 cm2 cell test code]:[5 cm2 cell test code]],[1]!Table1[[Test code]:[Test code]],[1]!Table1[3-E ƞ at 20mAcm-2 (mV)],"",0)</f>
        <v>#REF!</v>
      </c>
      <c r="Z496" s="69" t="e" cm="1">
        <f t="array" ref="Z496">_xlfn.XLOOKUP(Table1[[#This Row],[5 cm2 cell test code]:[5 cm2 cell test code]],[1]!Table1[[Test code]:[Test code]],[1]!Table1[3-E Tafel slope (mV/dec)],"",0)</f>
        <v>#REF!</v>
      </c>
      <c r="AA496" s="69" t="e" cm="1">
        <f t="array" ref="AA496">_xlfn.XLOOKUP(Table1[[#This Row],[5 cm2 cell test code]:[5 cm2 cell test code]],[1]!Table1[[Test code]:[Test code]],[1]!Table1[E @ 100 mA/cm2 DIW/V],"",0)</f>
        <v>#REF!</v>
      </c>
      <c r="AB496" s="69" t="e" cm="1">
        <f t="array" ref="AB496">_xlfn.XLOOKUP(Table1[[#This Row],[5 cm2 cell test code]:[5 cm2 cell test code]],[1]!Table1[[Test code]:[Test code]],[1]!Table1[E @ 100 mA/cm2 10 mM KOH/V],"",0)</f>
        <v>#REF!</v>
      </c>
      <c r="AC496" s="69" t="e" cm="1">
        <f t="array" ref="AC496">_xlfn.XLOOKUP(Table1[[#This Row],[5 cm2 cell test code]:[5 cm2 cell test code]],[1]!Table1[[Test code]:[Test code]],[1]!Table1[Anode ICR/mOhm],"",0)</f>
        <v>#REF!</v>
      </c>
      <c r="AD496" s="69" t="e" cm="1">
        <f t="array" ref="AD496">_xlfn.XLOOKUP(Table1[[#This Row],[5 cm2 cell test code]:[5 cm2 cell test code]],[1]!Table1[[Test code]:[Test code]],[1]!Table1[HFR DIW/ mOhm cm2],"",0)</f>
        <v>#REF!</v>
      </c>
      <c r="AE496" s="69" t="e" cm="1">
        <f t="array" ref="AE496">_xlfn.XLOOKUP(Table1[[#This Row],[5 cm2 cell test code]:[5 cm2 cell test code]],[1]!Table1[[Test code]:[Test code]],[1]!Table1[HFR 10 mM KOH/ mOhm cm2],"",0)</f>
        <v>#REF!</v>
      </c>
      <c r="AF496" s="69" t="e" cm="1">
        <f t="array" ref="AF496">_xlfn.XLOOKUP(Table1[[#This Row],[5 cm2 cell test code]:[5 cm2 cell test code]],[1]!Table1[[Test code]:[Test code]],[1]!Table1[Ionic resistance DIW/Ohm cm2],"",0)</f>
        <v>#REF!</v>
      </c>
      <c r="AG496" s="195" t="e" cm="1">
        <f t="array" ref="AG496">_xlfn.XLOOKUP(Table1[[#This Row],[5 cm2 cell test code]:[5 cm2 cell test code]],[1]!Table1[[Test code]:[Test code]],[1]!Table1[Q_int_frac DIW],"",0)</f>
        <v>#REF!</v>
      </c>
      <c r="AH496" s="195" t="e" cm="1">
        <f t="array" ref="AH496">_xlfn.XLOOKUP(Table1[[#This Row],[5 cm2 cell test code]:[5 cm2 cell test code]],[1]!Table1[[Test code]:[Test code]],[1]!Table1[Ionic resistance 10 mM KOH/Ohm cm2],"",0)</f>
        <v>#REF!</v>
      </c>
      <c r="AI496" s="195" t="e" cm="1">
        <f t="array" ref="AI496">_xlfn.XLOOKUP(Table1[[#This Row],[5 cm2 cell test code]:[5 cm2 cell test code]],[1]!Table1[[Test code]:[Test code]],[1]!Table1[Q_int_frac DIW 10 mM KOH],"",0)</f>
        <v>#REF!</v>
      </c>
      <c r="AJ496" s="69" t="e" cm="1">
        <f t="array" ref="AJ496">_xlfn.XLOOKUP(Table1[[#This Row],[5 cm2 cell test code]:[5 cm2 cell test code]],[1]!Table1[[Test code]:[Test code]],[1]!Table1[DIW conductivity (µS/cm)],"",0)</f>
        <v>#REF!</v>
      </c>
      <c r="AQ496" s="4" t="str">
        <v>VSG02A-23353E1.03</v>
      </c>
    </row>
    <row r="497" spans="1:43">
      <c r="A497" s="81"/>
      <c r="B497" s="11" t="s">
        <v>891</v>
      </c>
      <c r="K497" s="89"/>
      <c r="L497" s="89"/>
      <c r="U497" s="101"/>
      <c r="V497" s="101"/>
      <c r="W497" s="69" t="e" cm="1">
        <f t="array" ref="W497">_xlfn.XLOOKUP(Table1[[#This Row],[5 cm2 cell test code]:[5 cm2 cell test code]],[1]!Table1[[Test code]:[Test code]],[1]!Table1[i @ 1.8 V DIW (A/cm2)],"",0)</f>
        <v>#REF!</v>
      </c>
      <c r="X497" s="69" t="e" cm="1">
        <f t="array" ref="X497">_xlfn.XLOOKUP(Table1[[#This Row],[5 cm2 cell test code]:[5 cm2 cell test code]],[1]!Table1[[Test code]:[Test code]],[1]!Table1[i @ 1.8 V 10 mM KOH (A/cm2)],"",0)</f>
        <v>#REF!</v>
      </c>
      <c r="Y497" s="69" t="e" cm="1">
        <f t="array" ref="Y497">_xlfn.XLOOKUP(Table1[[#This Row],[5 cm2 cell test code]:[5 cm2 cell test code]],[1]!Table1[[Test code]:[Test code]],[1]!Table1[3-E ƞ at 20mAcm-2 (mV)],"",0)</f>
        <v>#REF!</v>
      </c>
      <c r="Z497" s="69" t="e" cm="1">
        <f t="array" ref="Z497">_xlfn.XLOOKUP(Table1[[#This Row],[5 cm2 cell test code]:[5 cm2 cell test code]],[1]!Table1[[Test code]:[Test code]],[1]!Table1[3-E Tafel slope (mV/dec)],"",0)</f>
        <v>#REF!</v>
      </c>
      <c r="AA497" s="69" t="e" cm="1">
        <f t="array" ref="AA497">_xlfn.XLOOKUP(Table1[[#This Row],[5 cm2 cell test code]:[5 cm2 cell test code]],[1]!Table1[[Test code]:[Test code]],[1]!Table1[E @ 100 mA/cm2 DIW/V],"",0)</f>
        <v>#REF!</v>
      </c>
      <c r="AB497" s="69" t="e" cm="1">
        <f t="array" ref="AB497">_xlfn.XLOOKUP(Table1[[#This Row],[5 cm2 cell test code]:[5 cm2 cell test code]],[1]!Table1[[Test code]:[Test code]],[1]!Table1[E @ 100 mA/cm2 10 mM KOH/V],"",0)</f>
        <v>#REF!</v>
      </c>
      <c r="AC497" s="69" t="e" cm="1">
        <f t="array" ref="AC497">_xlfn.XLOOKUP(Table1[[#This Row],[5 cm2 cell test code]:[5 cm2 cell test code]],[1]!Table1[[Test code]:[Test code]],[1]!Table1[Anode ICR/mOhm],"",0)</f>
        <v>#REF!</v>
      </c>
      <c r="AD497" s="69" t="e" cm="1">
        <f t="array" ref="AD497">_xlfn.XLOOKUP(Table1[[#This Row],[5 cm2 cell test code]:[5 cm2 cell test code]],[1]!Table1[[Test code]:[Test code]],[1]!Table1[HFR DIW/ mOhm cm2],"",0)</f>
        <v>#REF!</v>
      </c>
      <c r="AE497" s="69" t="e" cm="1">
        <f t="array" ref="AE497">_xlfn.XLOOKUP(Table1[[#This Row],[5 cm2 cell test code]:[5 cm2 cell test code]],[1]!Table1[[Test code]:[Test code]],[1]!Table1[HFR 10 mM KOH/ mOhm cm2],"",0)</f>
        <v>#REF!</v>
      </c>
      <c r="AF497" s="69" t="e" cm="1">
        <f t="array" ref="AF497">_xlfn.XLOOKUP(Table1[[#This Row],[5 cm2 cell test code]:[5 cm2 cell test code]],[1]!Table1[[Test code]:[Test code]],[1]!Table1[Ionic resistance DIW/Ohm cm2],"",0)</f>
        <v>#REF!</v>
      </c>
      <c r="AG497" s="195" t="e" cm="1">
        <f t="array" ref="AG497">_xlfn.XLOOKUP(Table1[[#This Row],[5 cm2 cell test code]:[5 cm2 cell test code]],[1]!Table1[[Test code]:[Test code]],[1]!Table1[Q_int_frac DIW],"",0)</f>
        <v>#REF!</v>
      </c>
      <c r="AH497" s="195" t="e" cm="1">
        <f t="array" ref="AH497">_xlfn.XLOOKUP(Table1[[#This Row],[5 cm2 cell test code]:[5 cm2 cell test code]],[1]!Table1[[Test code]:[Test code]],[1]!Table1[Ionic resistance 10 mM KOH/Ohm cm2],"",0)</f>
        <v>#REF!</v>
      </c>
      <c r="AI497" s="195" t="e" cm="1">
        <f t="array" ref="AI497">_xlfn.XLOOKUP(Table1[[#This Row],[5 cm2 cell test code]:[5 cm2 cell test code]],[1]!Table1[[Test code]:[Test code]],[1]!Table1[Q_int_frac DIW 10 mM KOH],"",0)</f>
        <v>#REF!</v>
      </c>
      <c r="AJ497" s="69" t="e" cm="1">
        <f t="array" ref="AJ497">_xlfn.XLOOKUP(Table1[[#This Row],[5 cm2 cell test code]:[5 cm2 cell test code]],[1]!Table1[[Test code]:[Test code]],[1]!Table1[DIW conductivity (µS/cm)],"",0)</f>
        <v>#REF!</v>
      </c>
      <c r="AQ497" s="4" t="str">
        <v>VSG02A-23353E1.04</v>
      </c>
    </row>
    <row r="498" spans="1:43">
      <c r="A498" s="81"/>
      <c r="B498" s="207" t="s">
        <v>892</v>
      </c>
      <c r="C498" s="4" t="s">
        <v>780</v>
      </c>
      <c r="I498" s="11" t="s">
        <v>114</v>
      </c>
      <c r="J498" s="212" t="s">
        <v>869</v>
      </c>
      <c r="K498" s="211" t="s">
        <v>887</v>
      </c>
      <c r="L498" s="213" t="s">
        <v>888</v>
      </c>
      <c r="M498" s="25"/>
      <c r="O498" s="11" t="s">
        <v>893</v>
      </c>
      <c r="P498" s="28">
        <v>0.97</v>
      </c>
      <c r="Q498" s="4">
        <v>4.139670282893148E-2</v>
      </c>
      <c r="U498" s="101"/>
      <c r="V498" s="101"/>
      <c r="W498" s="69" t="e" cm="1">
        <f t="array" ref="W498">_xlfn.XLOOKUP(Table1[[#This Row],[5 cm2 cell test code]:[5 cm2 cell test code]],[1]!Table1[[Test code]:[Test code]],[1]!Table1[i @ 1.8 V DIW (A/cm2)],"",0)</f>
        <v>#REF!</v>
      </c>
      <c r="X498" s="69" t="e" cm="1">
        <f t="array" ref="X498">_xlfn.XLOOKUP(Table1[[#This Row],[5 cm2 cell test code]:[5 cm2 cell test code]],[1]!Table1[[Test code]:[Test code]],[1]!Table1[i @ 1.8 V 10 mM KOH (A/cm2)],"",0)</f>
        <v>#REF!</v>
      </c>
      <c r="Y498" s="69" t="e" cm="1">
        <f t="array" ref="Y498">_xlfn.XLOOKUP(Table1[[#This Row],[5 cm2 cell test code]:[5 cm2 cell test code]],[1]!Table1[[Test code]:[Test code]],[1]!Table1[3-E ƞ at 20mAcm-2 (mV)],"",0)</f>
        <v>#REF!</v>
      </c>
      <c r="Z498" s="69" t="e" cm="1">
        <f t="array" ref="Z498">_xlfn.XLOOKUP(Table1[[#This Row],[5 cm2 cell test code]:[5 cm2 cell test code]],[1]!Table1[[Test code]:[Test code]],[1]!Table1[3-E Tafel slope (mV/dec)],"",0)</f>
        <v>#REF!</v>
      </c>
      <c r="AA498" s="69" t="e" cm="1">
        <f t="array" ref="AA498">_xlfn.XLOOKUP(Table1[[#This Row],[5 cm2 cell test code]:[5 cm2 cell test code]],[1]!Table1[[Test code]:[Test code]],[1]!Table1[E @ 100 mA/cm2 DIW/V],"",0)</f>
        <v>#REF!</v>
      </c>
      <c r="AB498" s="69" t="e" cm="1">
        <f t="array" ref="AB498">_xlfn.XLOOKUP(Table1[[#This Row],[5 cm2 cell test code]:[5 cm2 cell test code]],[1]!Table1[[Test code]:[Test code]],[1]!Table1[E @ 100 mA/cm2 10 mM KOH/V],"",0)</f>
        <v>#REF!</v>
      </c>
      <c r="AC498" s="69" t="e" cm="1">
        <f t="array" ref="AC498">_xlfn.XLOOKUP(Table1[[#This Row],[5 cm2 cell test code]:[5 cm2 cell test code]],[1]!Table1[[Test code]:[Test code]],[1]!Table1[Anode ICR/mOhm],"",0)</f>
        <v>#REF!</v>
      </c>
      <c r="AD498" s="69" t="e" cm="1">
        <f t="array" ref="AD498">_xlfn.XLOOKUP(Table1[[#This Row],[5 cm2 cell test code]:[5 cm2 cell test code]],[1]!Table1[[Test code]:[Test code]],[1]!Table1[HFR DIW/ mOhm cm2],"",0)</f>
        <v>#REF!</v>
      </c>
      <c r="AE498" s="69" t="e" cm="1">
        <f t="array" ref="AE498">_xlfn.XLOOKUP(Table1[[#This Row],[5 cm2 cell test code]:[5 cm2 cell test code]],[1]!Table1[[Test code]:[Test code]],[1]!Table1[HFR 10 mM KOH/ mOhm cm2],"",0)</f>
        <v>#REF!</v>
      </c>
      <c r="AF498" s="69" t="e" cm="1">
        <f t="array" ref="AF498">_xlfn.XLOOKUP(Table1[[#This Row],[5 cm2 cell test code]:[5 cm2 cell test code]],[1]!Table1[[Test code]:[Test code]],[1]!Table1[Ionic resistance DIW/Ohm cm2],"",0)</f>
        <v>#REF!</v>
      </c>
      <c r="AG498" s="69" t="e" cm="1">
        <f t="array" ref="AG498">_xlfn.XLOOKUP(Table1[[#This Row],[5 cm2 cell test code]:[5 cm2 cell test code]],[1]!Table1[[Test code]:[Test code]],[1]!Table1[Q_int_frac DIW],"",0)</f>
        <v>#REF!</v>
      </c>
      <c r="AH498" s="69" t="e" cm="1">
        <f t="array" ref="AH498">_xlfn.XLOOKUP(Table1[[#This Row],[5 cm2 cell test code]:[5 cm2 cell test code]],[1]!Table1[[Test code]:[Test code]],[1]!Table1[Ionic resistance 10 mM KOH/Ohm cm2],"",0)</f>
        <v>#REF!</v>
      </c>
      <c r="AI498" s="69" t="e" cm="1">
        <f t="array" ref="AI498">_xlfn.XLOOKUP(Table1[[#This Row],[5 cm2 cell test code]:[5 cm2 cell test code]],[1]!Table1[[Test code]:[Test code]],[1]!Table1[Q_int_frac DIW 10 mM KOH],"",0)</f>
        <v>#REF!</v>
      </c>
      <c r="AJ498" s="69" t="e" cm="1">
        <f t="array" ref="AJ498">_xlfn.XLOOKUP(Table1[[#This Row],[5 cm2 cell test code]:[5 cm2 cell test code]],[1]!Table1[[Test code]:[Test code]],[1]!Table1[DIW conductivity (µS/cm)],"",0)</f>
        <v>#REF!</v>
      </c>
      <c r="AQ498" s="4" t="str">
        <v>VSG02A-23354E1.01</v>
      </c>
    </row>
    <row r="499" spans="1:43">
      <c r="A499" s="81"/>
      <c r="B499" s="11" t="s">
        <v>894</v>
      </c>
      <c r="C499" s="4" t="s">
        <v>777</v>
      </c>
      <c r="K499" s="214"/>
      <c r="L499" s="89"/>
      <c r="U499" s="101"/>
      <c r="V499" s="101"/>
      <c r="W499" s="69" t="e" cm="1">
        <f t="array" ref="W499">_xlfn.XLOOKUP(Table1[[#This Row],[5 cm2 cell test code]:[5 cm2 cell test code]],[1]!Table1[[Test code]:[Test code]],[1]!Table1[i @ 1.8 V DIW (A/cm2)],"",0)</f>
        <v>#REF!</v>
      </c>
      <c r="X499" s="69" t="e" cm="1">
        <f t="array" ref="X499">_xlfn.XLOOKUP(Table1[[#This Row],[5 cm2 cell test code]:[5 cm2 cell test code]],[1]!Table1[[Test code]:[Test code]],[1]!Table1[i @ 1.8 V 10 mM KOH (A/cm2)],"",0)</f>
        <v>#REF!</v>
      </c>
      <c r="Y499" s="69" t="e" cm="1">
        <f t="array" ref="Y499">_xlfn.XLOOKUP(Table1[[#This Row],[5 cm2 cell test code]:[5 cm2 cell test code]],[1]!Table1[[Test code]:[Test code]],[1]!Table1[3-E ƞ at 20mAcm-2 (mV)],"",0)</f>
        <v>#REF!</v>
      </c>
      <c r="Z499" s="69" t="e" cm="1">
        <f t="array" ref="Z499">_xlfn.XLOOKUP(Table1[[#This Row],[5 cm2 cell test code]:[5 cm2 cell test code]],[1]!Table1[[Test code]:[Test code]],[1]!Table1[3-E Tafel slope (mV/dec)],"",0)</f>
        <v>#REF!</v>
      </c>
      <c r="AA499" s="69" t="e" cm="1">
        <f t="array" ref="AA499">_xlfn.XLOOKUP(Table1[[#This Row],[5 cm2 cell test code]:[5 cm2 cell test code]],[1]!Table1[[Test code]:[Test code]],[1]!Table1[E @ 100 mA/cm2 DIW/V],"",0)</f>
        <v>#REF!</v>
      </c>
      <c r="AB499" s="69" t="e" cm="1">
        <f t="array" ref="AB499">_xlfn.XLOOKUP(Table1[[#This Row],[5 cm2 cell test code]:[5 cm2 cell test code]],[1]!Table1[[Test code]:[Test code]],[1]!Table1[E @ 100 mA/cm2 10 mM KOH/V],"",0)</f>
        <v>#REF!</v>
      </c>
      <c r="AC499" s="69" t="e" cm="1">
        <f t="array" ref="AC499">_xlfn.XLOOKUP(Table1[[#This Row],[5 cm2 cell test code]:[5 cm2 cell test code]],[1]!Table1[[Test code]:[Test code]],[1]!Table1[Anode ICR/mOhm],"",0)</f>
        <v>#REF!</v>
      </c>
      <c r="AD499" s="69" t="e" cm="1">
        <f t="array" ref="AD499">_xlfn.XLOOKUP(Table1[[#This Row],[5 cm2 cell test code]:[5 cm2 cell test code]],[1]!Table1[[Test code]:[Test code]],[1]!Table1[HFR DIW/ mOhm cm2],"",0)</f>
        <v>#REF!</v>
      </c>
      <c r="AE499" s="69" t="e" cm="1">
        <f t="array" ref="AE499">_xlfn.XLOOKUP(Table1[[#This Row],[5 cm2 cell test code]:[5 cm2 cell test code]],[1]!Table1[[Test code]:[Test code]],[1]!Table1[HFR 10 mM KOH/ mOhm cm2],"",0)</f>
        <v>#REF!</v>
      </c>
      <c r="AF499" s="69" t="e" cm="1">
        <f t="array" ref="AF499">_xlfn.XLOOKUP(Table1[[#This Row],[5 cm2 cell test code]:[5 cm2 cell test code]],[1]!Table1[[Test code]:[Test code]],[1]!Table1[Ionic resistance DIW/Ohm cm2],"",0)</f>
        <v>#REF!</v>
      </c>
      <c r="AG499" s="195" t="e" cm="1">
        <f t="array" ref="AG499">_xlfn.XLOOKUP(Table1[[#This Row],[5 cm2 cell test code]:[5 cm2 cell test code]],[1]!Table1[[Test code]:[Test code]],[1]!Table1[Q_int_frac DIW],"",0)</f>
        <v>#REF!</v>
      </c>
      <c r="AH499" s="195" t="e" cm="1">
        <f t="array" ref="AH499">_xlfn.XLOOKUP(Table1[[#This Row],[5 cm2 cell test code]:[5 cm2 cell test code]],[1]!Table1[[Test code]:[Test code]],[1]!Table1[Ionic resistance 10 mM KOH/Ohm cm2],"",0)</f>
        <v>#REF!</v>
      </c>
      <c r="AI499" s="195" t="e" cm="1">
        <f t="array" ref="AI499">_xlfn.XLOOKUP(Table1[[#This Row],[5 cm2 cell test code]:[5 cm2 cell test code]],[1]!Table1[[Test code]:[Test code]],[1]!Table1[Q_int_frac DIW 10 mM KOH],"",0)</f>
        <v>#REF!</v>
      </c>
      <c r="AJ499" s="69" t="e" cm="1">
        <f t="array" ref="AJ499">_xlfn.XLOOKUP(Table1[[#This Row],[5 cm2 cell test code]:[5 cm2 cell test code]],[1]!Table1[[Test code]:[Test code]],[1]!Table1[DIW conductivity (µS/cm)],"",0)</f>
        <v>#REF!</v>
      </c>
      <c r="AQ499" s="4" t="str">
        <v>VSG02A-23354E1.02</v>
      </c>
    </row>
    <row r="500" spans="1:43">
      <c r="A500" s="81"/>
      <c r="B500" s="11" t="s">
        <v>895</v>
      </c>
      <c r="C500" s="4" t="s">
        <v>473</v>
      </c>
      <c r="K500" s="89"/>
      <c r="L500" s="89"/>
      <c r="U500" s="101"/>
      <c r="V500" s="101"/>
      <c r="W500" s="69" t="e" cm="1">
        <f t="array" ref="W500">_xlfn.XLOOKUP(Table1[[#This Row],[5 cm2 cell test code]:[5 cm2 cell test code]],[1]!Table1[[Test code]:[Test code]],[1]!Table1[i @ 1.8 V DIW (A/cm2)],"",0)</f>
        <v>#REF!</v>
      </c>
      <c r="X500" s="69" t="e" cm="1">
        <f t="array" ref="X500">_xlfn.XLOOKUP(Table1[[#This Row],[5 cm2 cell test code]:[5 cm2 cell test code]],[1]!Table1[[Test code]:[Test code]],[1]!Table1[i @ 1.8 V 10 mM KOH (A/cm2)],"",0)</f>
        <v>#REF!</v>
      </c>
      <c r="Y500" s="69" t="e" cm="1">
        <f t="array" ref="Y500">_xlfn.XLOOKUP(Table1[[#This Row],[5 cm2 cell test code]:[5 cm2 cell test code]],[1]!Table1[[Test code]:[Test code]],[1]!Table1[3-E ƞ at 20mAcm-2 (mV)],"",0)</f>
        <v>#REF!</v>
      </c>
      <c r="Z500" s="69" t="e" cm="1">
        <f t="array" ref="Z500">_xlfn.XLOOKUP(Table1[[#This Row],[5 cm2 cell test code]:[5 cm2 cell test code]],[1]!Table1[[Test code]:[Test code]],[1]!Table1[3-E Tafel slope (mV/dec)],"",0)</f>
        <v>#REF!</v>
      </c>
      <c r="AA500" s="69" t="e" cm="1">
        <f t="array" ref="AA500">_xlfn.XLOOKUP(Table1[[#This Row],[5 cm2 cell test code]:[5 cm2 cell test code]],[1]!Table1[[Test code]:[Test code]],[1]!Table1[E @ 100 mA/cm2 DIW/V],"",0)</f>
        <v>#REF!</v>
      </c>
      <c r="AB500" s="69" t="e" cm="1">
        <f t="array" ref="AB500">_xlfn.XLOOKUP(Table1[[#This Row],[5 cm2 cell test code]:[5 cm2 cell test code]],[1]!Table1[[Test code]:[Test code]],[1]!Table1[E @ 100 mA/cm2 10 mM KOH/V],"",0)</f>
        <v>#REF!</v>
      </c>
      <c r="AC500" s="69" t="e" cm="1">
        <f t="array" ref="AC500">_xlfn.XLOOKUP(Table1[[#This Row],[5 cm2 cell test code]:[5 cm2 cell test code]],[1]!Table1[[Test code]:[Test code]],[1]!Table1[Anode ICR/mOhm],"",0)</f>
        <v>#REF!</v>
      </c>
      <c r="AD500" s="69" t="e" cm="1">
        <f t="array" ref="AD500">_xlfn.XLOOKUP(Table1[[#This Row],[5 cm2 cell test code]:[5 cm2 cell test code]],[1]!Table1[[Test code]:[Test code]],[1]!Table1[HFR DIW/ mOhm cm2],"",0)</f>
        <v>#REF!</v>
      </c>
      <c r="AE500" s="69" t="e" cm="1">
        <f t="array" ref="AE500">_xlfn.XLOOKUP(Table1[[#This Row],[5 cm2 cell test code]:[5 cm2 cell test code]],[1]!Table1[[Test code]:[Test code]],[1]!Table1[HFR 10 mM KOH/ mOhm cm2],"",0)</f>
        <v>#REF!</v>
      </c>
      <c r="AF500" s="69" t="e" cm="1">
        <f t="array" ref="AF500">_xlfn.XLOOKUP(Table1[[#This Row],[5 cm2 cell test code]:[5 cm2 cell test code]],[1]!Table1[[Test code]:[Test code]],[1]!Table1[Ionic resistance DIW/Ohm cm2],"",0)</f>
        <v>#REF!</v>
      </c>
      <c r="AG500" s="195" t="e" cm="1">
        <f t="array" ref="AG500">_xlfn.XLOOKUP(Table1[[#This Row],[5 cm2 cell test code]:[5 cm2 cell test code]],[1]!Table1[[Test code]:[Test code]],[1]!Table1[Q_int_frac DIW],"",0)</f>
        <v>#REF!</v>
      </c>
      <c r="AH500" s="195" t="e" cm="1">
        <f t="array" ref="AH500">_xlfn.XLOOKUP(Table1[[#This Row],[5 cm2 cell test code]:[5 cm2 cell test code]],[1]!Table1[[Test code]:[Test code]],[1]!Table1[Ionic resistance 10 mM KOH/Ohm cm2],"",0)</f>
        <v>#REF!</v>
      </c>
      <c r="AI500" s="195" t="e" cm="1">
        <f t="array" ref="AI500">_xlfn.XLOOKUP(Table1[[#This Row],[5 cm2 cell test code]:[5 cm2 cell test code]],[1]!Table1[[Test code]:[Test code]],[1]!Table1[Q_int_frac DIW 10 mM KOH],"",0)</f>
        <v>#REF!</v>
      </c>
      <c r="AJ500" s="69" t="e" cm="1">
        <f t="array" ref="AJ500">_xlfn.XLOOKUP(Table1[[#This Row],[5 cm2 cell test code]:[5 cm2 cell test code]],[1]!Table1[[Test code]:[Test code]],[1]!Table1[DIW conductivity (µS/cm)],"",0)</f>
        <v>#REF!</v>
      </c>
      <c r="AQ500" s="4" t="str">
        <v>VSG02A-23354E1.03</v>
      </c>
    </row>
    <row r="501" spans="1:43">
      <c r="A501" s="81"/>
      <c r="U501" s="101"/>
      <c r="V501" s="101"/>
      <c r="W501" s="69" t="e" cm="1">
        <f t="array" ref="W501">_xlfn.XLOOKUP(Table1[[#This Row],[5 cm2 cell test code]:[5 cm2 cell test code]],[1]!Table1[[Test code]:[Test code]],[1]!Table1[i @ 1.8 V DIW (A/cm2)],"",0)</f>
        <v>#REF!</v>
      </c>
      <c r="X501" s="69" t="e" cm="1">
        <f t="array" ref="X501">_xlfn.XLOOKUP(Table1[[#This Row],[5 cm2 cell test code]:[5 cm2 cell test code]],[1]!Table1[[Test code]:[Test code]],[1]!Table1[i @ 1.8 V 10 mM KOH (A/cm2)],"",0)</f>
        <v>#REF!</v>
      </c>
      <c r="Y501" s="69" t="e" cm="1">
        <f t="array" ref="Y501">_xlfn.XLOOKUP(Table1[[#This Row],[5 cm2 cell test code]:[5 cm2 cell test code]],[1]!Table1[[Test code]:[Test code]],[1]!Table1[3-E ƞ at 20mAcm-2 (mV)],"",0)</f>
        <v>#REF!</v>
      </c>
      <c r="Z501" s="69" t="e" cm="1">
        <f t="array" ref="Z501">_xlfn.XLOOKUP(Table1[[#This Row],[5 cm2 cell test code]:[5 cm2 cell test code]],[1]!Table1[[Test code]:[Test code]],[1]!Table1[3-E Tafel slope (mV/dec)],"",0)</f>
        <v>#REF!</v>
      </c>
      <c r="AA501" s="69" t="e" cm="1">
        <f t="array" ref="AA501">_xlfn.XLOOKUP(Table1[[#This Row],[5 cm2 cell test code]:[5 cm2 cell test code]],[1]!Table1[[Test code]:[Test code]],[1]!Table1[E @ 100 mA/cm2 DIW/V],"",0)</f>
        <v>#REF!</v>
      </c>
      <c r="AB501" s="69" t="e" cm="1">
        <f t="array" ref="AB501">_xlfn.XLOOKUP(Table1[[#This Row],[5 cm2 cell test code]:[5 cm2 cell test code]],[1]!Table1[[Test code]:[Test code]],[1]!Table1[E @ 100 mA/cm2 10 mM KOH/V],"",0)</f>
        <v>#REF!</v>
      </c>
      <c r="AC501" s="69" t="e" cm="1">
        <f t="array" ref="AC501">_xlfn.XLOOKUP(Table1[[#This Row],[5 cm2 cell test code]:[5 cm2 cell test code]],[1]!Table1[[Test code]:[Test code]],[1]!Table1[Anode ICR/mOhm],"",0)</f>
        <v>#REF!</v>
      </c>
      <c r="AD501" s="69" t="e" cm="1">
        <f t="array" ref="AD501">_xlfn.XLOOKUP(Table1[[#This Row],[5 cm2 cell test code]:[5 cm2 cell test code]],[1]!Table1[[Test code]:[Test code]],[1]!Table1[HFR DIW/ mOhm cm2],"",0)</f>
        <v>#REF!</v>
      </c>
      <c r="AE501" s="69" t="e" cm="1">
        <f t="array" ref="AE501">_xlfn.XLOOKUP(Table1[[#This Row],[5 cm2 cell test code]:[5 cm2 cell test code]],[1]!Table1[[Test code]:[Test code]],[1]!Table1[HFR 10 mM KOH/ mOhm cm2],"",0)</f>
        <v>#REF!</v>
      </c>
      <c r="AF501" s="69" t="e" cm="1">
        <f t="array" ref="AF501">_xlfn.XLOOKUP(Table1[[#This Row],[5 cm2 cell test code]:[5 cm2 cell test code]],[1]!Table1[[Test code]:[Test code]],[1]!Table1[Ionic resistance DIW/Ohm cm2],"",0)</f>
        <v>#REF!</v>
      </c>
      <c r="AG501" s="69" t="e" cm="1">
        <f t="array" ref="AG501">_xlfn.XLOOKUP(Table1[[#This Row],[5 cm2 cell test code]:[5 cm2 cell test code]],[1]!Table1[[Test code]:[Test code]],[1]!Table1[Q_int_frac DIW],"",0)</f>
        <v>#REF!</v>
      </c>
      <c r="AH501" s="69" t="e" cm="1">
        <f t="array" ref="AH501">_xlfn.XLOOKUP(Table1[[#This Row],[5 cm2 cell test code]:[5 cm2 cell test code]],[1]!Table1[[Test code]:[Test code]],[1]!Table1[Ionic resistance 10 mM KOH/Ohm cm2],"",0)</f>
        <v>#REF!</v>
      </c>
      <c r="AI501" s="69" t="e" cm="1">
        <f t="array" ref="AI501">_xlfn.XLOOKUP(Table1[[#This Row],[5 cm2 cell test code]:[5 cm2 cell test code]],[1]!Table1[[Test code]:[Test code]],[1]!Table1[Q_int_frac DIW 10 mM KOH],"",0)</f>
        <v>#REF!</v>
      </c>
      <c r="AJ501" s="69" t="e" cm="1">
        <f t="array" ref="AJ501">_xlfn.XLOOKUP(Table1[[#This Row],[5 cm2 cell test code]:[5 cm2 cell test code]],[1]!Table1[[Test code]:[Test code]],[1]!Table1[DIW conductivity (µS/cm)],"",0)</f>
        <v>#REF!</v>
      </c>
      <c r="AQ501" s="4" t="str">
        <v>VSG02A-23354E1.04</v>
      </c>
    </row>
    <row r="502" spans="1:43">
      <c r="A502" s="81"/>
      <c r="B502" s="11" t="s">
        <v>896</v>
      </c>
      <c r="C502" s="4" t="s">
        <v>834</v>
      </c>
      <c r="E502" s="4" t="s">
        <v>762</v>
      </c>
      <c r="I502" s="11" t="s">
        <v>114</v>
      </c>
      <c r="J502" s="11" t="s">
        <v>869</v>
      </c>
      <c r="K502" s="210" t="s">
        <v>887</v>
      </c>
      <c r="L502" s="11" t="s">
        <v>888</v>
      </c>
      <c r="M502" s="13">
        <f>(64.6-64.3)*1000/(31.6*22.5)</f>
        <v>0.42194092827003821</v>
      </c>
      <c r="O502" s="11" t="s">
        <v>889</v>
      </c>
      <c r="P502" s="28">
        <v>0.94</v>
      </c>
      <c r="Q502" s="4">
        <v>4.1132759585459859E-2</v>
      </c>
      <c r="U502" s="101"/>
      <c r="V502" s="101"/>
      <c r="W502" s="69" t="e" cm="1">
        <f t="array" ref="W502">_xlfn.XLOOKUP(Table1[[#This Row],[5 cm2 cell test code]:[5 cm2 cell test code]],[1]!Table1[[Test code]:[Test code]],[1]!Table1[i @ 1.8 V DIW (A/cm2)],"",0)</f>
        <v>#REF!</v>
      </c>
      <c r="X502" s="69" t="e" cm="1">
        <f t="array" ref="X502">_xlfn.XLOOKUP(Table1[[#This Row],[5 cm2 cell test code]:[5 cm2 cell test code]],[1]!Table1[[Test code]:[Test code]],[1]!Table1[i @ 1.8 V 10 mM KOH (A/cm2)],"",0)</f>
        <v>#REF!</v>
      </c>
      <c r="Y502" s="69" t="e" cm="1">
        <f t="array" ref="Y502">_xlfn.XLOOKUP(Table1[[#This Row],[5 cm2 cell test code]:[5 cm2 cell test code]],[1]!Table1[[Test code]:[Test code]],[1]!Table1[3-E ƞ at 20mAcm-2 (mV)],"",0)</f>
        <v>#REF!</v>
      </c>
      <c r="Z502" s="69" t="e" cm="1">
        <f t="array" ref="Z502">_xlfn.XLOOKUP(Table1[[#This Row],[5 cm2 cell test code]:[5 cm2 cell test code]],[1]!Table1[[Test code]:[Test code]],[1]!Table1[3-E Tafel slope (mV/dec)],"",0)</f>
        <v>#REF!</v>
      </c>
      <c r="AA502" s="69" t="e" cm="1">
        <f t="array" ref="AA502">_xlfn.XLOOKUP(Table1[[#This Row],[5 cm2 cell test code]:[5 cm2 cell test code]],[1]!Table1[[Test code]:[Test code]],[1]!Table1[E @ 100 mA/cm2 DIW/V],"",0)</f>
        <v>#REF!</v>
      </c>
      <c r="AB502" s="69" t="e" cm="1">
        <f t="array" ref="AB502">_xlfn.XLOOKUP(Table1[[#This Row],[5 cm2 cell test code]:[5 cm2 cell test code]],[1]!Table1[[Test code]:[Test code]],[1]!Table1[E @ 100 mA/cm2 10 mM KOH/V],"",0)</f>
        <v>#REF!</v>
      </c>
      <c r="AC502" s="69" t="e" cm="1">
        <f t="array" ref="AC502">_xlfn.XLOOKUP(Table1[[#This Row],[5 cm2 cell test code]:[5 cm2 cell test code]],[1]!Table1[[Test code]:[Test code]],[1]!Table1[Anode ICR/mOhm],"",0)</f>
        <v>#REF!</v>
      </c>
      <c r="AD502" s="69" t="e" cm="1">
        <f t="array" ref="AD502">_xlfn.XLOOKUP(Table1[[#This Row],[5 cm2 cell test code]:[5 cm2 cell test code]],[1]!Table1[[Test code]:[Test code]],[1]!Table1[HFR DIW/ mOhm cm2],"",0)</f>
        <v>#REF!</v>
      </c>
      <c r="AE502" s="69" t="e" cm="1">
        <f t="array" ref="AE502">_xlfn.XLOOKUP(Table1[[#This Row],[5 cm2 cell test code]:[5 cm2 cell test code]],[1]!Table1[[Test code]:[Test code]],[1]!Table1[HFR 10 mM KOH/ mOhm cm2],"",0)</f>
        <v>#REF!</v>
      </c>
      <c r="AF502" s="69" t="e" cm="1">
        <f t="array" ref="AF502">_xlfn.XLOOKUP(Table1[[#This Row],[5 cm2 cell test code]:[5 cm2 cell test code]],[1]!Table1[[Test code]:[Test code]],[1]!Table1[Ionic resistance DIW/Ohm cm2],"",0)</f>
        <v>#REF!</v>
      </c>
      <c r="AG502" s="69" t="e" cm="1">
        <f t="array" ref="AG502">_xlfn.XLOOKUP(Table1[[#This Row],[5 cm2 cell test code]:[5 cm2 cell test code]],[1]!Table1[[Test code]:[Test code]],[1]!Table1[Q_int_frac DIW],"",0)</f>
        <v>#REF!</v>
      </c>
      <c r="AH502" s="69" t="e" cm="1">
        <f t="array" ref="AH502">_xlfn.XLOOKUP(Table1[[#This Row],[5 cm2 cell test code]:[5 cm2 cell test code]],[1]!Table1[[Test code]:[Test code]],[1]!Table1[Ionic resistance 10 mM KOH/Ohm cm2],"",0)</f>
        <v>#REF!</v>
      </c>
      <c r="AI502" s="69" t="e" cm="1">
        <f t="array" ref="AI502">_xlfn.XLOOKUP(Table1[[#This Row],[5 cm2 cell test code]:[5 cm2 cell test code]],[1]!Table1[[Test code]:[Test code]],[1]!Table1[Q_int_frac DIW 10 mM KOH],"",0)</f>
        <v>#REF!</v>
      </c>
      <c r="AJ502" s="69" t="e" cm="1">
        <f t="array" ref="AJ502">_xlfn.XLOOKUP(Table1[[#This Row],[5 cm2 cell test code]:[5 cm2 cell test code]],[1]!Table1[[Test code]:[Test code]],[1]!Table1[DIW conductivity (µS/cm)],"",0)</f>
        <v>#REF!</v>
      </c>
      <c r="AQ502" s="4" t="str">
        <v>VSG02A-23355</v>
      </c>
    </row>
    <row r="503" spans="1:43">
      <c r="A503" s="81"/>
      <c r="B503" s="11" t="s">
        <v>897</v>
      </c>
      <c r="C503" s="4" t="s">
        <v>777</v>
      </c>
      <c r="K503" s="89"/>
      <c r="L503" s="89"/>
      <c r="U503" s="101"/>
      <c r="V503" s="101"/>
      <c r="W503" s="69" t="e" cm="1">
        <f t="array" ref="W503">_xlfn.XLOOKUP(Table1[[#This Row],[5 cm2 cell test code]:[5 cm2 cell test code]],[1]!Table1[[Test code]:[Test code]],[1]!Table1[i @ 1.8 V DIW (A/cm2)],"",0)</f>
        <v>#REF!</v>
      </c>
      <c r="X503" s="69" t="e" cm="1">
        <f t="array" ref="X503">_xlfn.XLOOKUP(Table1[[#This Row],[5 cm2 cell test code]:[5 cm2 cell test code]],[1]!Table1[[Test code]:[Test code]],[1]!Table1[i @ 1.8 V 10 mM KOH (A/cm2)],"",0)</f>
        <v>#REF!</v>
      </c>
      <c r="Y503" s="69" t="e" cm="1">
        <f t="array" ref="Y503">_xlfn.XLOOKUP(Table1[[#This Row],[5 cm2 cell test code]:[5 cm2 cell test code]],[1]!Table1[[Test code]:[Test code]],[1]!Table1[3-E ƞ at 20mAcm-2 (mV)],"",0)</f>
        <v>#REF!</v>
      </c>
      <c r="Z503" s="69" t="e" cm="1">
        <f t="array" ref="Z503">_xlfn.XLOOKUP(Table1[[#This Row],[5 cm2 cell test code]:[5 cm2 cell test code]],[1]!Table1[[Test code]:[Test code]],[1]!Table1[3-E Tafel slope (mV/dec)],"",0)</f>
        <v>#REF!</v>
      </c>
      <c r="AA503" s="69" t="e" cm="1">
        <f t="array" ref="AA503">_xlfn.XLOOKUP(Table1[[#This Row],[5 cm2 cell test code]:[5 cm2 cell test code]],[1]!Table1[[Test code]:[Test code]],[1]!Table1[E @ 100 mA/cm2 DIW/V],"",0)</f>
        <v>#REF!</v>
      </c>
      <c r="AB503" s="69" t="e" cm="1">
        <f t="array" ref="AB503">_xlfn.XLOOKUP(Table1[[#This Row],[5 cm2 cell test code]:[5 cm2 cell test code]],[1]!Table1[[Test code]:[Test code]],[1]!Table1[E @ 100 mA/cm2 10 mM KOH/V],"",0)</f>
        <v>#REF!</v>
      </c>
      <c r="AC503" s="69" t="e" cm="1">
        <f t="array" ref="AC503">_xlfn.XLOOKUP(Table1[[#This Row],[5 cm2 cell test code]:[5 cm2 cell test code]],[1]!Table1[[Test code]:[Test code]],[1]!Table1[Anode ICR/mOhm],"",0)</f>
        <v>#REF!</v>
      </c>
      <c r="AD503" s="69" t="e" cm="1">
        <f t="array" ref="AD503">_xlfn.XLOOKUP(Table1[[#This Row],[5 cm2 cell test code]:[5 cm2 cell test code]],[1]!Table1[[Test code]:[Test code]],[1]!Table1[HFR DIW/ mOhm cm2],"",0)</f>
        <v>#REF!</v>
      </c>
      <c r="AE503" s="69" t="e" cm="1">
        <f t="array" ref="AE503">_xlfn.XLOOKUP(Table1[[#This Row],[5 cm2 cell test code]:[5 cm2 cell test code]],[1]!Table1[[Test code]:[Test code]],[1]!Table1[HFR 10 mM KOH/ mOhm cm2],"",0)</f>
        <v>#REF!</v>
      </c>
      <c r="AF503" s="69" t="e" cm="1">
        <f t="array" ref="AF503">_xlfn.XLOOKUP(Table1[[#This Row],[5 cm2 cell test code]:[5 cm2 cell test code]],[1]!Table1[[Test code]:[Test code]],[1]!Table1[Ionic resistance DIW/Ohm cm2],"",0)</f>
        <v>#REF!</v>
      </c>
      <c r="AG503" s="195" t="e" cm="1">
        <f t="array" ref="AG503">_xlfn.XLOOKUP(Table1[[#This Row],[5 cm2 cell test code]:[5 cm2 cell test code]],[1]!Table1[[Test code]:[Test code]],[1]!Table1[Q_int_frac DIW],"",0)</f>
        <v>#REF!</v>
      </c>
      <c r="AH503" s="195" t="e" cm="1">
        <f t="array" ref="AH503">_xlfn.XLOOKUP(Table1[[#This Row],[5 cm2 cell test code]:[5 cm2 cell test code]],[1]!Table1[[Test code]:[Test code]],[1]!Table1[Ionic resistance 10 mM KOH/Ohm cm2],"",0)</f>
        <v>#REF!</v>
      </c>
      <c r="AI503" s="195" t="e" cm="1">
        <f t="array" ref="AI503">_xlfn.XLOOKUP(Table1[[#This Row],[5 cm2 cell test code]:[5 cm2 cell test code]],[1]!Table1[[Test code]:[Test code]],[1]!Table1[Q_int_frac DIW 10 mM KOH],"",0)</f>
        <v>#REF!</v>
      </c>
      <c r="AJ503" s="69" t="e" cm="1">
        <f t="array" ref="AJ503">_xlfn.XLOOKUP(Table1[[#This Row],[5 cm2 cell test code]:[5 cm2 cell test code]],[1]!Table1[[Test code]:[Test code]],[1]!Table1[DIW conductivity (µS/cm)],"",0)</f>
        <v>#REF!</v>
      </c>
      <c r="AQ503" s="4" t="str">
        <v>VSG02A-23356</v>
      </c>
    </row>
    <row r="504" spans="1:43">
      <c r="A504" s="81"/>
      <c r="B504" s="11" t="s">
        <v>898</v>
      </c>
      <c r="C504" s="4" t="s">
        <v>777</v>
      </c>
      <c r="K504" s="89"/>
      <c r="L504" s="89"/>
      <c r="U504" s="101"/>
      <c r="V504" s="101"/>
      <c r="W504" s="69" t="e" cm="1">
        <f t="array" ref="W504">_xlfn.XLOOKUP(Table1[[#This Row],[5 cm2 cell test code]:[5 cm2 cell test code]],[1]!Table1[[Test code]:[Test code]],[1]!Table1[i @ 1.8 V DIW (A/cm2)],"",0)</f>
        <v>#REF!</v>
      </c>
      <c r="X504" s="69" t="e" cm="1">
        <f t="array" ref="X504">_xlfn.XLOOKUP(Table1[[#This Row],[5 cm2 cell test code]:[5 cm2 cell test code]],[1]!Table1[[Test code]:[Test code]],[1]!Table1[i @ 1.8 V 10 mM KOH (A/cm2)],"",0)</f>
        <v>#REF!</v>
      </c>
      <c r="Y504" s="69" t="e" cm="1">
        <f t="array" ref="Y504">_xlfn.XLOOKUP(Table1[[#This Row],[5 cm2 cell test code]:[5 cm2 cell test code]],[1]!Table1[[Test code]:[Test code]],[1]!Table1[3-E ƞ at 20mAcm-2 (mV)],"",0)</f>
        <v>#REF!</v>
      </c>
      <c r="Z504" s="69" t="e" cm="1">
        <f t="array" ref="Z504">_xlfn.XLOOKUP(Table1[[#This Row],[5 cm2 cell test code]:[5 cm2 cell test code]],[1]!Table1[[Test code]:[Test code]],[1]!Table1[3-E Tafel slope (mV/dec)],"",0)</f>
        <v>#REF!</v>
      </c>
      <c r="AA504" s="69" t="e" cm="1">
        <f t="array" ref="AA504">_xlfn.XLOOKUP(Table1[[#This Row],[5 cm2 cell test code]:[5 cm2 cell test code]],[1]!Table1[[Test code]:[Test code]],[1]!Table1[E @ 100 mA/cm2 DIW/V],"",0)</f>
        <v>#REF!</v>
      </c>
      <c r="AB504" s="69" t="e" cm="1">
        <f t="array" ref="AB504">_xlfn.XLOOKUP(Table1[[#This Row],[5 cm2 cell test code]:[5 cm2 cell test code]],[1]!Table1[[Test code]:[Test code]],[1]!Table1[E @ 100 mA/cm2 10 mM KOH/V],"",0)</f>
        <v>#REF!</v>
      </c>
      <c r="AC504" s="69" t="e" cm="1">
        <f t="array" ref="AC504">_xlfn.XLOOKUP(Table1[[#This Row],[5 cm2 cell test code]:[5 cm2 cell test code]],[1]!Table1[[Test code]:[Test code]],[1]!Table1[Anode ICR/mOhm],"",0)</f>
        <v>#REF!</v>
      </c>
      <c r="AD504" s="69" t="e" cm="1">
        <f t="array" ref="AD504">_xlfn.XLOOKUP(Table1[[#This Row],[5 cm2 cell test code]:[5 cm2 cell test code]],[1]!Table1[[Test code]:[Test code]],[1]!Table1[HFR DIW/ mOhm cm2],"",0)</f>
        <v>#REF!</v>
      </c>
      <c r="AE504" s="69" t="e" cm="1">
        <f t="array" ref="AE504">_xlfn.XLOOKUP(Table1[[#This Row],[5 cm2 cell test code]:[5 cm2 cell test code]],[1]!Table1[[Test code]:[Test code]],[1]!Table1[HFR 10 mM KOH/ mOhm cm2],"",0)</f>
        <v>#REF!</v>
      </c>
      <c r="AF504" s="69" t="e" cm="1">
        <f t="array" ref="AF504">_xlfn.XLOOKUP(Table1[[#This Row],[5 cm2 cell test code]:[5 cm2 cell test code]],[1]!Table1[[Test code]:[Test code]],[1]!Table1[Ionic resistance DIW/Ohm cm2],"",0)</f>
        <v>#REF!</v>
      </c>
      <c r="AG504" s="195" t="e" cm="1">
        <f t="array" ref="AG504">_xlfn.XLOOKUP(Table1[[#This Row],[5 cm2 cell test code]:[5 cm2 cell test code]],[1]!Table1[[Test code]:[Test code]],[1]!Table1[Q_int_frac DIW],"",0)</f>
        <v>#REF!</v>
      </c>
      <c r="AH504" s="195" t="e" cm="1">
        <f t="array" ref="AH504">_xlfn.XLOOKUP(Table1[[#This Row],[5 cm2 cell test code]:[5 cm2 cell test code]],[1]!Table1[[Test code]:[Test code]],[1]!Table1[Ionic resistance 10 mM KOH/Ohm cm2],"",0)</f>
        <v>#REF!</v>
      </c>
      <c r="AI504" s="195" t="e" cm="1">
        <f t="array" ref="AI504">_xlfn.XLOOKUP(Table1[[#This Row],[5 cm2 cell test code]:[5 cm2 cell test code]],[1]!Table1[[Test code]:[Test code]],[1]!Table1[Q_int_frac DIW 10 mM KOH],"",0)</f>
        <v>#REF!</v>
      </c>
      <c r="AJ504" s="69" t="e" cm="1">
        <f t="array" ref="AJ504">_xlfn.XLOOKUP(Table1[[#This Row],[5 cm2 cell test code]:[5 cm2 cell test code]],[1]!Table1[[Test code]:[Test code]],[1]!Table1[DIW conductivity (µS/cm)],"",0)</f>
        <v>#REF!</v>
      </c>
      <c r="AQ504" s="4" t="str">
        <v>VSG02A-23360E1.01</v>
      </c>
    </row>
    <row r="505" spans="1:43">
      <c r="A505" s="81"/>
      <c r="B505" s="11" t="s">
        <v>899</v>
      </c>
      <c r="C505" s="4" t="s">
        <v>780</v>
      </c>
      <c r="E505" s="4" t="s">
        <v>762</v>
      </c>
      <c r="I505" s="11" t="s">
        <v>114</v>
      </c>
      <c r="J505" s="11" t="s">
        <v>869</v>
      </c>
      <c r="K505" s="211" t="s">
        <v>887</v>
      </c>
      <c r="L505" s="11" t="s">
        <v>888</v>
      </c>
      <c r="M505" s="13">
        <f>(64.59-64.31)*1000/(31.6*22.6)</f>
        <v>0.392069004144731</v>
      </c>
      <c r="O505" s="11" t="s">
        <v>900</v>
      </c>
      <c r="P505" s="28">
        <v>1.22</v>
      </c>
      <c r="Q505" s="4">
        <v>4.1463966487231101E-2</v>
      </c>
      <c r="U505" s="101"/>
      <c r="V505" s="101"/>
      <c r="W505" s="69" t="e" cm="1">
        <f t="array" ref="W505">_xlfn.XLOOKUP(Table1[[#This Row],[5 cm2 cell test code]:[5 cm2 cell test code]],[1]!Table1[[Test code]:[Test code]],[1]!Table1[i @ 1.8 V DIW (A/cm2)],"",0)</f>
        <v>#REF!</v>
      </c>
      <c r="X505" s="69" t="e" cm="1">
        <f t="array" ref="X505">_xlfn.XLOOKUP(Table1[[#This Row],[5 cm2 cell test code]:[5 cm2 cell test code]],[1]!Table1[[Test code]:[Test code]],[1]!Table1[i @ 1.8 V 10 mM KOH (A/cm2)],"",0)</f>
        <v>#REF!</v>
      </c>
      <c r="Y505" s="69" t="e" cm="1">
        <f t="array" ref="Y505">_xlfn.XLOOKUP(Table1[[#This Row],[5 cm2 cell test code]:[5 cm2 cell test code]],[1]!Table1[[Test code]:[Test code]],[1]!Table1[3-E ƞ at 20mAcm-2 (mV)],"",0)</f>
        <v>#REF!</v>
      </c>
      <c r="Z505" s="69" t="e" cm="1">
        <f t="array" ref="Z505">_xlfn.XLOOKUP(Table1[[#This Row],[5 cm2 cell test code]:[5 cm2 cell test code]],[1]!Table1[[Test code]:[Test code]],[1]!Table1[3-E Tafel slope (mV/dec)],"",0)</f>
        <v>#REF!</v>
      </c>
      <c r="AA505" s="69" t="e" cm="1">
        <f t="array" ref="AA505">_xlfn.XLOOKUP(Table1[[#This Row],[5 cm2 cell test code]:[5 cm2 cell test code]],[1]!Table1[[Test code]:[Test code]],[1]!Table1[E @ 100 mA/cm2 DIW/V],"",0)</f>
        <v>#REF!</v>
      </c>
      <c r="AB505" s="69" t="e" cm="1">
        <f t="array" ref="AB505">_xlfn.XLOOKUP(Table1[[#This Row],[5 cm2 cell test code]:[5 cm2 cell test code]],[1]!Table1[[Test code]:[Test code]],[1]!Table1[E @ 100 mA/cm2 10 mM KOH/V],"",0)</f>
        <v>#REF!</v>
      </c>
      <c r="AC505" s="69" t="e" cm="1">
        <f t="array" ref="AC505">_xlfn.XLOOKUP(Table1[[#This Row],[5 cm2 cell test code]:[5 cm2 cell test code]],[1]!Table1[[Test code]:[Test code]],[1]!Table1[Anode ICR/mOhm],"",0)</f>
        <v>#REF!</v>
      </c>
      <c r="AD505" s="69" t="e" cm="1">
        <f t="array" ref="AD505">_xlfn.XLOOKUP(Table1[[#This Row],[5 cm2 cell test code]:[5 cm2 cell test code]],[1]!Table1[[Test code]:[Test code]],[1]!Table1[HFR DIW/ mOhm cm2],"",0)</f>
        <v>#REF!</v>
      </c>
      <c r="AE505" s="69" t="e" cm="1">
        <f t="array" ref="AE505">_xlfn.XLOOKUP(Table1[[#This Row],[5 cm2 cell test code]:[5 cm2 cell test code]],[1]!Table1[[Test code]:[Test code]],[1]!Table1[HFR 10 mM KOH/ mOhm cm2],"",0)</f>
        <v>#REF!</v>
      </c>
      <c r="AF505" s="69" t="e" cm="1">
        <f t="array" ref="AF505">_xlfn.XLOOKUP(Table1[[#This Row],[5 cm2 cell test code]:[5 cm2 cell test code]],[1]!Table1[[Test code]:[Test code]],[1]!Table1[Ionic resistance DIW/Ohm cm2],"",0)</f>
        <v>#REF!</v>
      </c>
      <c r="AG505" s="69" t="e" cm="1">
        <f t="array" ref="AG505">_xlfn.XLOOKUP(Table1[[#This Row],[5 cm2 cell test code]:[5 cm2 cell test code]],[1]!Table1[[Test code]:[Test code]],[1]!Table1[Q_int_frac DIW],"",0)</f>
        <v>#REF!</v>
      </c>
      <c r="AH505" s="69" t="e" cm="1">
        <f t="array" ref="AH505">_xlfn.XLOOKUP(Table1[[#This Row],[5 cm2 cell test code]:[5 cm2 cell test code]],[1]!Table1[[Test code]:[Test code]],[1]!Table1[Ionic resistance 10 mM KOH/Ohm cm2],"",0)</f>
        <v>#REF!</v>
      </c>
      <c r="AI505" s="69" t="e" cm="1">
        <f t="array" ref="AI505">_xlfn.XLOOKUP(Table1[[#This Row],[5 cm2 cell test code]:[5 cm2 cell test code]],[1]!Table1[[Test code]:[Test code]],[1]!Table1[Q_int_frac DIW 10 mM KOH],"",0)</f>
        <v>#REF!</v>
      </c>
      <c r="AJ505" s="69" t="e" cm="1">
        <f t="array" ref="AJ505">_xlfn.XLOOKUP(Table1[[#This Row],[5 cm2 cell test code]:[5 cm2 cell test code]],[1]!Table1[[Test code]:[Test code]],[1]!Table1[DIW conductivity (µS/cm)],"",0)</f>
        <v>#REF!</v>
      </c>
      <c r="AQ505" s="4" t="str">
        <v>VSG02A-23360E1.02</v>
      </c>
    </row>
    <row r="506" spans="1:43">
      <c r="A506" s="81"/>
      <c r="B506" s="11" t="s">
        <v>901</v>
      </c>
      <c r="C506" s="4" t="s">
        <v>473</v>
      </c>
      <c r="K506" s="89"/>
      <c r="L506" s="89"/>
      <c r="U506" s="101"/>
      <c r="V506" s="101"/>
      <c r="W506" s="69" t="e" cm="1">
        <f t="array" ref="W506">_xlfn.XLOOKUP(Table1[[#This Row],[5 cm2 cell test code]:[5 cm2 cell test code]],[1]!Table1[[Test code]:[Test code]],[1]!Table1[i @ 1.8 V DIW (A/cm2)],"",0)</f>
        <v>#REF!</v>
      </c>
      <c r="X506" s="69" t="e" cm="1">
        <f t="array" ref="X506">_xlfn.XLOOKUP(Table1[[#This Row],[5 cm2 cell test code]:[5 cm2 cell test code]],[1]!Table1[[Test code]:[Test code]],[1]!Table1[i @ 1.8 V 10 mM KOH (A/cm2)],"",0)</f>
        <v>#REF!</v>
      </c>
      <c r="Y506" s="69" t="e" cm="1">
        <f t="array" ref="Y506">_xlfn.XLOOKUP(Table1[[#This Row],[5 cm2 cell test code]:[5 cm2 cell test code]],[1]!Table1[[Test code]:[Test code]],[1]!Table1[3-E ƞ at 20mAcm-2 (mV)],"",0)</f>
        <v>#REF!</v>
      </c>
      <c r="Z506" s="69" t="e" cm="1">
        <f t="array" ref="Z506">_xlfn.XLOOKUP(Table1[[#This Row],[5 cm2 cell test code]:[5 cm2 cell test code]],[1]!Table1[[Test code]:[Test code]],[1]!Table1[3-E Tafel slope (mV/dec)],"",0)</f>
        <v>#REF!</v>
      </c>
      <c r="AA506" s="69" t="e" cm="1">
        <f t="array" ref="AA506">_xlfn.XLOOKUP(Table1[[#This Row],[5 cm2 cell test code]:[5 cm2 cell test code]],[1]!Table1[[Test code]:[Test code]],[1]!Table1[E @ 100 mA/cm2 DIW/V],"",0)</f>
        <v>#REF!</v>
      </c>
      <c r="AB506" s="69" t="e" cm="1">
        <f t="array" ref="AB506">_xlfn.XLOOKUP(Table1[[#This Row],[5 cm2 cell test code]:[5 cm2 cell test code]],[1]!Table1[[Test code]:[Test code]],[1]!Table1[E @ 100 mA/cm2 10 mM KOH/V],"",0)</f>
        <v>#REF!</v>
      </c>
      <c r="AC506" s="69" t="e" cm="1">
        <f t="array" ref="AC506">_xlfn.XLOOKUP(Table1[[#This Row],[5 cm2 cell test code]:[5 cm2 cell test code]],[1]!Table1[[Test code]:[Test code]],[1]!Table1[Anode ICR/mOhm],"",0)</f>
        <v>#REF!</v>
      </c>
      <c r="AD506" s="69" t="e" cm="1">
        <f t="array" ref="AD506">_xlfn.XLOOKUP(Table1[[#This Row],[5 cm2 cell test code]:[5 cm2 cell test code]],[1]!Table1[[Test code]:[Test code]],[1]!Table1[HFR DIW/ mOhm cm2],"",0)</f>
        <v>#REF!</v>
      </c>
      <c r="AE506" s="69" t="e" cm="1">
        <f t="array" ref="AE506">_xlfn.XLOOKUP(Table1[[#This Row],[5 cm2 cell test code]:[5 cm2 cell test code]],[1]!Table1[[Test code]:[Test code]],[1]!Table1[HFR 10 mM KOH/ mOhm cm2],"",0)</f>
        <v>#REF!</v>
      </c>
      <c r="AF506" s="69" t="e" cm="1">
        <f t="array" ref="AF506">_xlfn.XLOOKUP(Table1[[#This Row],[5 cm2 cell test code]:[5 cm2 cell test code]],[1]!Table1[[Test code]:[Test code]],[1]!Table1[Ionic resistance DIW/Ohm cm2],"",0)</f>
        <v>#REF!</v>
      </c>
      <c r="AG506" s="195" t="e" cm="1">
        <f t="array" ref="AG506">_xlfn.XLOOKUP(Table1[[#This Row],[5 cm2 cell test code]:[5 cm2 cell test code]],[1]!Table1[[Test code]:[Test code]],[1]!Table1[Q_int_frac DIW],"",0)</f>
        <v>#REF!</v>
      </c>
      <c r="AH506" s="195" t="e" cm="1">
        <f t="array" ref="AH506">_xlfn.XLOOKUP(Table1[[#This Row],[5 cm2 cell test code]:[5 cm2 cell test code]],[1]!Table1[[Test code]:[Test code]],[1]!Table1[Ionic resistance 10 mM KOH/Ohm cm2],"",0)</f>
        <v>#REF!</v>
      </c>
      <c r="AI506" s="195" t="e" cm="1">
        <f t="array" ref="AI506">_xlfn.XLOOKUP(Table1[[#This Row],[5 cm2 cell test code]:[5 cm2 cell test code]],[1]!Table1[[Test code]:[Test code]],[1]!Table1[Q_int_frac DIW 10 mM KOH],"",0)</f>
        <v>#REF!</v>
      </c>
      <c r="AJ506" s="69" t="e" cm="1">
        <f t="array" ref="AJ506">_xlfn.XLOOKUP(Table1[[#This Row],[5 cm2 cell test code]:[5 cm2 cell test code]],[1]!Table1[[Test code]:[Test code]],[1]!Table1[DIW conductivity (µS/cm)],"",0)</f>
        <v>#REF!</v>
      </c>
      <c r="AQ506" s="4" t="str">
        <v>VSG02A-23361E1.01</v>
      </c>
    </row>
    <row r="507" spans="1:43">
      <c r="A507" s="81"/>
      <c r="B507" s="11" t="s">
        <v>902</v>
      </c>
      <c r="C507" s="4" t="s">
        <v>473</v>
      </c>
      <c r="K507" s="89"/>
      <c r="L507" s="89"/>
      <c r="U507" s="101"/>
      <c r="V507" s="101"/>
      <c r="W507" s="69" t="e" cm="1">
        <f t="array" ref="W507">_xlfn.XLOOKUP(Table1[[#This Row],[5 cm2 cell test code]:[5 cm2 cell test code]],[1]!Table1[[Test code]:[Test code]],[1]!Table1[i @ 1.8 V DIW (A/cm2)],"",0)</f>
        <v>#REF!</v>
      </c>
      <c r="X507" s="69" t="e" cm="1">
        <f t="array" ref="X507">_xlfn.XLOOKUP(Table1[[#This Row],[5 cm2 cell test code]:[5 cm2 cell test code]],[1]!Table1[[Test code]:[Test code]],[1]!Table1[i @ 1.8 V 10 mM KOH (A/cm2)],"",0)</f>
        <v>#REF!</v>
      </c>
      <c r="Y507" s="69" t="e" cm="1">
        <f t="array" ref="Y507">_xlfn.XLOOKUP(Table1[[#This Row],[5 cm2 cell test code]:[5 cm2 cell test code]],[1]!Table1[[Test code]:[Test code]],[1]!Table1[3-E ƞ at 20mAcm-2 (mV)],"",0)</f>
        <v>#REF!</v>
      </c>
      <c r="Z507" s="69" t="e" cm="1">
        <f t="array" ref="Z507">_xlfn.XLOOKUP(Table1[[#This Row],[5 cm2 cell test code]:[5 cm2 cell test code]],[1]!Table1[[Test code]:[Test code]],[1]!Table1[3-E Tafel slope (mV/dec)],"",0)</f>
        <v>#REF!</v>
      </c>
      <c r="AA507" s="69" t="e" cm="1">
        <f t="array" ref="AA507">_xlfn.XLOOKUP(Table1[[#This Row],[5 cm2 cell test code]:[5 cm2 cell test code]],[1]!Table1[[Test code]:[Test code]],[1]!Table1[E @ 100 mA/cm2 DIW/V],"",0)</f>
        <v>#REF!</v>
      </c>
      <c r="AB507" s="69" t="e" cm="1">
        <f t="array" ref="AB507">_xlfn.XLOOKUP(Table1[[#This Row],[5 cm2 cell test code]:[5 cm2 cell test code]],[1]!Table1[[Test code]:[Test code]],[1]!Table1[E @ 100 mA/cm2 10 mM KOH/V],"",0)</f>
        <v>#REF!</v>
      </c>
      <c r="AC507" s="69" t="e" cm="1">
        <f t="array" ref="AC507">_xlfn.XLOOKUP(Table1[[#This Row],[5 cm2 cell test code]:[5 cm2 cell test code]],[1]!Table1[[Test code]:[Test code]],[1]!Table1[Anode ICR/mOhm],"",0)</f>
        <v>#REF!</v>
      </c>
      <c r="AD507" s="69" t="e" cm="1">
        <f t="array" ref="AD507">_xlfn.XLOOKUP(Table1[[#This Row],[5 cm2 cell test code]:[5 cm2 cell test code]],[1]!Table1[[Test code]:[Test code]],[1]!Table1[HFR DIW/ mOhm cm2],"",0)</f>
        <v>#REF!</v>
      </c>
      <c r="AE507" s="69" t="e" cm="1">
        <f t="array" ref="AE507">_xlfn.XLOOKUP(Table1[[#This Row],[5 cm2 cell test code]:[5 cm2 cell test code]],[1]!Table1[[Test code]:[Test code]],[1]!Table1[HFR 10 mM KOH/ mOhm cm2],"",0)</f>
        <v>#REF!</v>
      </c>
      <c r="AF507" s="69" t="e" cm="1">
        <f t="array" ref="AF507">_xlfn.XLOOKUP(Table1[[#This Row],[5 cm2 cell test code]:[5 cm2 cell test code]],[1]!Table1[[Test code]:[Test code]],[1]!Table1[Ionic resistance DIW/Ohm cm2],"",0)</f>
        <v>#REF!</v>
      </c>
      <c r="AG507" s="195" t="e" cm="1">
        <f t="array" ref="AG507">_xlfn.XLOOKUP(Table1[[#This Row],[5 cm2 cell test code]:[5 cm2 cell test code]],[1]!Table1[[Test code]:[Test code]],[1]!Table1[Q_int_frac DIW],"",0)</f>
        <v>#REF!</v>
      </c>
      <c r="AH507" s="195" t="e" cm="1">
        <f t="array" ref="AH507">_xlfn.XLOOKUP(Table1[[#This Row],[5 cm2 cell test code]:[5 cm2 cell test code]],[1]!Table1[[Test code]:[Test code]],[1]!Table1[Ionic resistance 10 mM KOH/Ohm cm2],"",0)</f>
        <v>#REF!</v>
      </c>
      <c r="AI507" s="195" t="e" cm="1">
        <f t="array" ref="AI507">_xlfn.XLOOKUP(Table1[[#This Row],[5 cm2 cell test code]:[5 cm2 cell test code]],[1]!Table1[[Test code]:[Test code]],[1]!Table1[Q_int_frac DIW 10 mM KOH],"",0)</f>
        <v>#REF!</v>
      </c>
      <c r="AJ507" s="69" t="e" cm="1">
        <f t="array" ref="AJ507">_xlfn.XLOOKUP(Table1[[#This Row],[5 cm2 cell test code]:[5 cm2 cell test code]],[1]!Table1[[Test code]:[Test code]],[1]!Table1[DIW conductivity (µS/cm)],"",0)</f>
        <v>#REF!</v>
      </c>
      <c r="AQ507" s="4" t="str">
        <v>VSG02A-23361E1.02</v>
      </c>
    </row>
    <row r="508" spans="1:43">
      <c r="A508" s="81"/>
      <c r="B508" s="11" t="s">
        <v>903</v>
      </c>
      <c r="C508" s="4" t="s">
        <v>834</v>
      </c>
      <c r="E508" s="4" t="s">
        <v>762</v>
      </c>
      <c r="I508" s="11" t="s">
        <v>114</v>
      </c>
      <c r="J508" s="11" t="s">
        <v>869</v>
      </c>
      <c r="K508" s="211" t="s">
        <v>887</v>
      </c>
      <c r="L508" s="11" t="s">
        <v>888</v>
      </c>
      <c r="M508" s="13">
        <f>(63.48-63.11)*1000/(31.6*22.5)</f>
        <v>0.52039381153304842</v>
      </c>
      <c r="O508" s="11" t="s">
        <v>880</v>
      </c>
      <c r="P508" s="28">
        <v>1.03</v>
      </c>
      <c r="Q508" s="4">
        <v>3.9979006029297354E-2</v>
      </c>
      <c r="U508" s="101"/>
      <c r="V508" s="101"/>
      <c r="W508" s="69" t="e" cm="1">
        <f t="array" ref="W508">_xlfn.XLOOKUP(Table1[[#This Row],[5 cm2 cell test code]:[5 cm2 cell test code]],[1]!Table1[[Test code]:[Test code]],[1]!Table1[i @ 1.8 V DIW (A/cm2)],"",0)</f>
        <v>#REF!</v>
      </c>
      <c r="X508" s="69" t="e" cm="1">
        <f t="array" ref="X508">_xlfn.XLOOKUP(Table1[[#This Row],[5 cm2 cell test code]:[5 cm2 cell test code]],[1]!Table1[[Test code]:[Test code]],[1]!Table1[i @ 1.8 V 10 mM KOH (A/cm2)],"",0)</f>
        <v>#REF!</v>
      </c>
      <c r="Y508" s="69" t="e" cm="1">
        <f t="array" ref="Y508">_xlfn.XLOOKUP(Table1[[#This Row],[5 cm2 cell test code]:[5 cm2 cell test code]],[1]!Table1[[Test code]:[Test code]],[1]!Table1[3-E ƞ at 20mAcm-2 (mV)],"",0)</f>
        <v>#REF!</v>
      </c>
      <c r="Z508" s="69" t="e" cm="1">
        <f t="array" ref="Z508">_xlfn.XLOOKUP(Table1[[#This Row],[5 cm2 cell test code]:[5 cm2 cell test code]],[1]!Table1[[Test code]:[Test code]],[1]!Table1[3-E Tafel slope (mV/dec)],"",0)</f>
        <v>#REF!</v>
      </c>
      <c r="AA508" s="69" t="e" cm="1">
        <f t="array" ref="AA508">_xlfn.XLOOKUP(Table1[[#This Row],[5 cm2 cell test code]:[5 cm2 cell test code]],[1]!Table1[[Test code]:[Test code]],[1]!Table1[E @ 100 mA/cm2 DIW/V],"",0)</f>
        <v>#REF!</v>
      </c>
      <c r="AB508" s="69" t="e" cm="1">
        <f t="array" ref="AB508">_xlfn.XLOOKUP(Table1[[#This Row],[5 cm2 cell test code]:[5 cm2 cell test code]],[1]!Table1[[Test code]:[Test code]],[1]!Table1[E @ 100 mA/cm2 10 mM KOH/V],"",0)</f>
        <v>#REF!</v>
      </c>
      <c r="AC508" s="69" t="e" cm="1">
        <f t="array" ref="AC508">_xlfn.XLOOKUP(Table1[[#This Row],[5 cm2 cell test code]:[5 cm2 cell test code]],[1]!Table1[[Test code]:[Test code]],[1]!Table1[Anode ICR/mOhm],"",0)</f>
        <v>#REF!</v>
      </c>
      <c r="AD508" s="69" t="e" cm="1">
        <f t="array" ref="AD508">_xlfn.XLOOKUP(Table1[[#This Row],[5 cm2 cell test code]:[5 cm2 cell test code]],[1]!Table1[[Test code]:[Test code]],[1]!Table1[HFR DIW/ mOhm cm2],"",0)</f>
        <v>#REF!</v>
      </c>
      <c r="AE508" s="69" t="e" cm="1">
        <f t="array" ref="AE508">_xlfn.XLOOKUP(Table1[[#This Row],[5 cm2 cell test code]:[5 cm2 cell test code]],[1]!Table1[[Test code]:[Test code]],[1]!Table1[HFR 10 mM KOH/ mOhm cm2],"",0)</f>
        <v>#REF!</v>
      </c>
      <c r="AF508" s="69" t="e" cm="1">
        <f t="array" ref="AF508">_xlfn.XLOOKUP(Table1[[#This Row],[5 cm2 cell test code]:[5 cm2 cell test code]],[1]!Table1[[Test code]:[Test code]],[1]!Table1[Ionic resistance DIW/Ohm cm2],"",0)</f>
        <v>#REF!</v>
      </c>
      <c r="AG508" s="69" t="e" cm="1">
        <f t="array" ref="AG508">_xlfn.XLOOKUP(Table1[[#This Row],[5 cm2 cell test code]:[5 cm2 cell test code]],[1]!Table1[[Test code]:[Test code]],[1]!Table1[Q_int_frac DIW],"",0)</f>
        <v>#REF!</v>
      </c>
      <c r="AH508" s="69" t="e" cm="1">
        <f t="array" ref="AH508">_xlfn.XLOOKUP(Table1[[#This Row],[5 cm2 cell test code]:[5 cm2 cell test code]],[1]!Table1[[Test code]:[Test code]],[1]!Table1[Ionic resistance 10 mM KOH/Ohm cm2],"",0)</f>
        <v>#REF!</v>
      </c>
      <c r="AI508" s="69" t="e" cm="1">
        <f t="array" ref="AI508">_xlfn.XLOOKUP(Table1[[#This Row],[5 cm2 cell test code]:[5 cm2 cell test code]],[1]!Table1[[Test code]:[Test code]],[1]!Table1[Q_int_frac DIW 10 mM KOH],"",0)</f>
        <v>#REF!</v>
      </c>
      <c r="AJ508" s="69" t="e" cm="1">
        <f t="array" ref="AJ508">_xlfn.XLOOKUP(Table1[[#This Row],[5 cm2 cell test code]:[5 cm2 cell test code]],[1]!Table1[[Test code]:[Test code]],[1]!Table1[DIW conductivity (µS/cm)],"",0)</f>
        <v>#REF!</v>
      </c>
      <c r="AQ508" s="4" t="str">
        <v>VSG02A-23361E1.03</v>
      </c>
    </row>
    <row r="509" spans="1:43">
      <c r="A509" s="81"/>
      <c r="B509" s="11" t="s">
        <v>904</v>
      </c>
      <c r="C509" s="4" t="s">
        <v>473</v>
      </c>
      <c r="K509" s="89"/>
      <c r="L509" s="89"/>
      <c r="U509" s="101"/>
      <c r="V509" s="101"/>
      <c r="W509" s="69" t="e" cm="1">
        <f t="array" ref="W509">_xlfn.XLOOKUP(Table1[[#This Row],[5 cm2 cell test code]:[5 cm2 cell test code]],[1]!Table1[[Test code]:[Test code]],[1]!Table1[i @ 1.8 V DIW (A/cm2)],"",0)</f>
        <v>#REF!</v>
      </c>
      <c r="X509" s="69" t="e" cm="1">
        <f t="array" ref="X509">_xlfn.XLOOKUP(Table1[[#This Row],[5 cm2 cell test code]:[5 cm2 cell test code]],[1]!Table1[[Test code]:[Test code]],[1]!Table1[i @ 1.8 V 10 mM KOH (A/cm2)],"",0)</f>
        <v>#REF!</v>
      </c>
      <c r="Y509" s="69" t="e" cm="1">
        <f t="array" ref="Y509">_xlfn.XLOOKUP(Table1[[#This Row],[5 cm2 cell test code]:[5 cm2 cell test code]],[1]!Table1[[Test code]:[Test code]],[1]!Table1[3-E ƞ at 20mAcm-2 (mV)],"",0)</f>
        <v>#REF!</v>
      </c>
      <c r="Z509" s="69" t="e" cm="1">
        <f t="array" ref="Z509">_xlfn.XLOOKUP(Table1[[#This Row],[5 cm2 cell test code]:[5 cm2 cell test code]],[1]!Table1[[Test code]:[Test code]],[1]!Table1[3-E Tafel slope (mV/dec)],"",0)</f>
        <v>#REF!</v>
      </c>
      <c r="AA509" s="69" t="e" cm="1">
        <f t="array" ref="AA509">_xlfn.XLOOKUP(Table1[[#This Row],[5 cm2 cell test code]:[5 cm2 cell test code]],[1]!Table1[[Test code]:[Test code]],[1]!Table1[E @ 100 mA/cm2 DIW/V],"",0)</f>
        <v>#REF!</v>
      </c>
      <c r="AB509" s="69" t="e" cm="1">
        <f t="array" ref="AB509">_xlfn.XLOOKUP(Table1[[#This Row],[5 cm2 cell test code]:[5 cm2 cell test code]],[1]!Table1[[Test code]:[Test code]],[1]!Table1[E @ 100 mA/cm2 10 mM KOH/V],"",0)</f>
        <v>#REF!</v>
      </c>
      <c r="AC509" s="69" t="e" cm="1">
        <f t="array" ref="AC509">_xlfn.XLOOKUP(Table1[[#This Row],[5 cm2 cell test code]:[5 cm2 cell test code]],[1]!Table1[[Test code]:[Test code]],[1]!Table1[Anode ICR/mOhm],"",0)</f>
        <v>#REF!</v>
      </c>
      <c r="AD509" s="69" t="e" cm="1">
        <f t="array" ref="AD509">_xlfn.XLOOKUP(Table1[[#This Row],[5 cm2 cell test code]:[5 cm2 cell test code]],[1]!Table1[[Test code]:[Test code]],[1]!Table1[HFR DIW/ mOhm cm2],"",0)</f>
        <v>#REF!</v>
      </c>
      <c r="AE509" s="69" t="e" cm="1">
        <f t="array" ref="AE509">_xlfn.XLOOKUP(Table1[[#This Row],[5 cm2 cell test code]:[5 cm2 cell test code]],[1]!Table1[[Test code]:[Test code]],[1]!Table1[HFR 10 mM KOH/ mOhm cm2],"",0)</f>
        <v>#REF!</v>
      </c>
      <c r="AF509" s="69" t="e" cm="1">
        <f t="array" ref="AF509">_xlfn.XLOOKUP(Table1[[#This Row],[5 cm2 cell test code]:[5 cm2 cell test code]],[1]!Table1[[Test code]:[Test code]],[1]!Table1[Ionic resistance DIW/Ohm cm2],"",0)</f>
        <v>#REF!</v>
      </c>
      <c r="AG509" s="195" t="e" cm="1">
        <f t="array" ref="AG509">_xlfn.XLOOKUP(Table1[[#This Row],[5 cm2 cell test code]:[5 cm2 cell test code]],[1]!Table1[[Test code]:[Test code]],[1]!Table1[Q_int_frac DIW],"",0)</f>
        <v>#REF!</v>
      </c>
      <c r="AH509" s="195" t="e" cm="1">
        <f t="array" ref="AH509">_xlfn.XLOOKUP(Table1[[#This Row],[5 cm2 cell test code]:[5 cm2 cell test code]],[1]!Table1[[Test code]:[Test code]],[1]!Table1[Ionic resistance 10 mM KOH/Ohm cm2],"",0)</f>
        <v>#REF!</v>
      </c>
      <c r="AI509" s="195" t="e" cm="1">
        <f t="array" ref="AI509">_xlfn.XLOOKUP(Table1[[#This Row],[5 cm2 cell test code]:[5 cm2 cell test code]],[1]!Table1[[Test code]:[Test code]],[1]!Table1[Q_int_frac DIW 10 mM KOH],"",0)</f>
        <v>#REF!</v>
      </c>
      <c r="AJ509" s="69" t="e" cm="1">
        <f t="array" ref="AJ509">_xlfn.XLOOKUP(Table1[[#This Row],[5 cm2 cell test code]:[5 cm2 cell test code]],[1]!Table1[[Test code]:[Test code]],[1]!Table1[DIW conductivity (µS/cm)],"",0)</f>
        <v>#REF!</v>
      </c>
      <c r="AQ509" s="4" t="str">
        <v>VSG02A-23361E1.04</v>
      </c>
    </row>
    <row r="510" spans="1:43">
      <c r="A510" s="81"/>
      <c r="B510" s="11" t="s">
        <v>905</v>
      </c>
      <c r="C510" s="4" t="s">
        <v>473</v>
      </c>
      <c r="K510" s="89"/>
      <c r="L510" s="89"/>
      <c r="U510" s="101"/>
      <c r="V510" s="101"/>
      <c r="W510" s="69" t="e" cm="1">
        <f t="array" ref="W510">_xlfn.XLOOKUP(Table1[[#This Row],[5 cm2 cell test code]:[5 cm2 cell test code]],[1]!Table1[[Test code]:[Test code]],[1]!Table1[i @ 1.8 V DIW (A/cm2)],"",0)</f>
        <v>#REF!</v>
      </c>
      <c r="X510" s="69" t="e" cm="1">
        <f t="array" ref="X510">_xlfn.XLOOKUP(Table1[[#This Row],[5 cm2 cell test code]:[5 cm2 cell test code]],[1]!Table1[[Test code]:[Test code]],[1]!Table1[i @ 1.8 V 10 mM KOH (A/cm2)],"",0)</f>
        <v>#REF!</v>
      </c>
      <c r="Y510" s="69" t="e" cm="1">
        <f t="array" ref="Y510">_xlfn.XLOOKUP(Table1[[#This Row],[5 cm2 cell test code]:[5 cm2 cell test code]],[1]!Table1[[Test code]:[Test code]],[1]!Table1[3-E ƞ at 20mAcm-2 (mV)],"",0)</f>
        <v>#REF!</v>
      </c>
      <c r="Z510" s="69" t="e" cm="1">
        <f t="array" ref="Z510">_xlfn.XLOOKUP(Table1[[#This Row],[5 cm2 cell test code]:[5 cm2 cell test code]],[1]!Table1[[Test code]:[Test code]],[1]!Table1[3-E Tafel slope (mV/dec)],"",0)</f>
        <v>#REF!</v>
      </c>
      <c r="AA510" s="69" t="e" cm="1">
        <f t="array" ref="AA510">_xlfn.XLOOKUP(Table1[[#This Row],[5 cm2 cell test code]:[5 cm2 cell test code]],[1]!Table1[[Test code]:[Test code]],[1]!Table1[E @ 100 mA/cm2 DIW/V],"",0)</f>
        <v>#REF!</v>
      </c>
      <c r="AB510" s="69" t="e" cm="1">
        <f t="array" ref="AB510">_xlfn.XLOOKUP(Table1[[#This Row],[5 cm2 cell test code]:[5 cm2 cell test code]],[1]!Table1[[Test code]:[Test code]],[1]!Table1[E @ 100 mA/cm2 10 mM KOH/V],"",0)</f>
        <v>#REF!</v>
      </c>
      <c r="AC510" s="69" t="e" cm="1">
        <f t="array" ref="AC510">_xlfn.XLOOKUP(Table1[[#This Row],[5 cm2 cell test code]:[5 cm2 cell test code]],[1]!Table1[[Test code]:[Test code]],[1]!Table1[Anode ICR/mOhm],"",0)</f>
        <v>#REF!</v>
      </c>
      <c r="AD510" s="69" t="e" cm="1">
        <f t="array" ref="AD510">_xlfn.XLOOKUP(Table1[[#This Row],[5 cm2 cell test code]:[5 cm2 cell test code]],[1]!Table1[[Test code]:[Test code]],[1]!Table1[HFR DIW/ mOhm cm2],"",0)</f>
        <v>#REF!</v>
      </c>
      <c r="AE510" s="69" t="e" cm="1">
        <f t="array" ref="AE510">_xlfn.XLOOKUP(Table1[[#This Row],[5 cm2 cell test code]:[5 cm2 cell test code]],[1]!Table1[[Test code]:[Test code]],[1]!Table1[HFR 10 mM KOH/ mOhm cm2],"",0)</f>
        <v>#REF!</v>
      </c>
      <c r="AF510" s="69" t="e" cm="1">
        <f t="array" ref="AF510">_xlfn.XLOOKUP(Table1[[#This Row],[5 cm2 cell test code]:[5 cm2 cell test code]],[1]!Table1[[Test code]:[Test code]],[1]!Table1[Ionic resistance DIW/Ohm cm2],"",0)</f>
        <v>#REF!</v>
      </c>
      <c r="AG510" s="195" t="e" cm="1">
        <f t="array" ref="AG510">_xlfn.XLOOKUP(Table1[[#This Row],[5 cm2 cell test code]:[5 cm2 cell test code]],[1]!Table1[[Test code]:[Test code]],[1]!Table1[Q_int_frac DIW],"",0)</f>
        <v>#REF!</v>
      </c>
      <c r="AH510" s="195" t="e" cm="1">
        <f t="array" ref="AH510">_xlfn.XLOOKUP(Table1[[#This Row],[5 cm2 cell test code]:[5 cm2 cell test code]],[1]!Table1[[Test code]:[Test code]],[1]!Table1[Ionic resistance 10 mM KOH/Ohm cm2],"",0)</f>
        <v>#REF!</v>
      </c>
      <c r="AI510" s="195" t="e" cm="1">
        <f t="array" ref="AI510">_xlfn.XLOOKUP(Table1[[#This Row],[5 cm2 cell test code]:[5 cm2 cell test code]],[1]!Table1[[Test code]:[Test code]],[1]!Table1[Q_int_frac DIW 10 mM KOH],"",0)</f>
        <v>#REF!</v>
      </c>
      <c r="AJ510" s="69" t="e" cm="1">
        <f t="array" ref="AJ510">_xlfn.XLOOKUP(Table1[[#This Row],[5 cm2 cell test code]:[5 cm2 cell test code]],[1]!Table1[[Test code]:[Test code]],[1]!Table1[DIW conductivity (µS/cm)],"",0)</f>
        <v>#REF!</v>
      </c>
    </row>
    <row r="511" spans="1:43">
      <c r="A511" s="81"/>
      <c r="B511" s="11" t="s">
        <v>906</v>
      </c>
      <c r="C511" s="4" t="s">
        <v>780</v>
      </c>
      <c r="E511" s="4" t="s">
        <v>762</v>
      </c>
      <c r="I511" s="11" t="s">
        <v>114</v>
      </c>
      <c r="J511" s="11" t="s">
        <v>869</v>
      </c>
      <c r="K511" s="211" t="s">
        <v>887</v>
      </c>
      <c r="L511" s="11" t="s">
        <v>888</v>
      </c>
      <c r="M511" s="13">
        <f>(63.88-63.62)*1000/(22.6*31.6)</f>
        <v>0.36406407527725593</v>
      </c>
      <c r="O511" s="11" t="s">
        <v>907</v>
      </c>
      <c r="P511" s="28">
        <v>0.7</v>
      </c>
      <c r="Q511" s="4">
        <v>3.7764591093161347E-2</v>
      </c>
      <c r="U511" s="101"/>
      <c r="V511" s="101"/>
      <c r="W511" s="69" t="e" cm="1">
        <f t="array" ref="W511">_xlfn.XLOOKUP(Table1[[#This Row],[5 cm2 cell test code]:[5 cm2 cell test code]],[1]!Table1[[Test code]:[Test code]],[1]!Table1[i @ 1.8 V DIW (A/cm2)],"",0)</f>
        <v>#REF!</v>
      </c>
      <c r="X511" s="69" t="e" cm="1">
        <f t="array" ref="X511">_xlfn.XLOOKUP(Table1[[#This Row],[5 cm2 cell test code]:[5 cm2 cell test code]],[1]!Table1[[Test code]:[Test code]],[1]!Table1[i @ 1.8 V 10 mM KOH (A/cm2)],"",0)</f>
        <v>#REF!</v>
      </c>
      <c r="Y511" s="69" t="e" cm="1">
        <f t="array" ref="Y511">_xlfn.XLOOKUP(Table1[[#This Row],[5 cm2 cell test code]:[5 cm2 cell test code]],[1]!Table1[[Test code]:[Test code]],[1]!Table1[3-E ƞ at 20mAcm-2 (mV)],"",0)</f>
        <v>#REF!</v>
      </c>
      <c r="Z511" s="69" t="e" cm="1">
        <f t="array" ref="Z511">_xlfn.XLOOKUP(Table1[[#This Row],[5 cm2 cell test code]:[5 cm2 cell test code]],[1]!Table1[[Test code]:[Test code]],[1]!Table1[3-E Tafel slope (mV/dec)],"",0)</f>
        <v>#REF!</v>
      </c>
      <c r="AA511" s="69" t="e" cm="1">
        <f t="array" ref="AA511">_xlfn.XLOOKUP(Table1[[#This Row],[5 cm2 cell test code]:[5 cm2 cell test code]],[1]!Table1[[Test code]:[Test code]],[1]!Table1[E @ 100 mA/cm2 DIW/V],"",0)</f>
        <v>#REF!</v>
      </c>
      <c r="AB511" s="69" t="e" cm="1">
        <f t="array" ref="AB511">_xlfn.XLOOKUP(Table1[[#This Row],[5 cm2 cell test code]:[5 cm2 cell test code]],[1]!Table1[[Test code]:[Test code]],[1]!Table1[E @ 100 mA/cm2 10 mM KOH/V],"",0)</f>
        <v>#REF!</v>
      </c>
      <c r="AC511" s="69" t="e" cm="1">
        <f t="array" ref="AC511">_xlfn.XLOOKUP(Table1[[#This Row],[5 cm2 cell test code]:[5 cm2 cell test code]],[1]!Table1[[Test code]:[Test code]],[1]!Table1[Anode ICR/mOhm],"",0)</f>
        <v>#REF!</v>
      </c>
      <c r="AD511" s="69" t="e" cm="1">
        <f t="array" ref="AD511">_xlfn.XLOOKUP(Table1[[#This Row],[5 cm2 cell test code]:[5 cm2 cell test code]],[1]!Table1[[Test code]:[Test code]],[1]!Table1[HFR DIW/ mOhm cm2],"",0)</f>
        <v>#REF!</v>
      </c>
      <c r="AE511" s="69" t="e" cm="1">
        <f t="array" ref="AE511">_xlfn.XLOOKUP(Table1[[#This Row],[5 cm2 cell test code]:[5 cm2 cell test code]],[1]!Table1[[Test code]:[Test code]],[1]!Table1[HFR 10 mM KOH/ mOhm cm2],"",0)</f>
        <v>#REF!</v>
      </c>
      <c r="AF511" s="69" t="e" cm="1">
        <f t="array" ref="AF511">_xlfn.XLOOKUP(Table1[[#This Row],[5 cm2 cell test code]:[5 cm2 cell test code]],[1]!Table1[[Test code]:[Test code]],[1]!Table1[Ionic resistance DIW/Ohm cm2],"",0)</f>
        <v>#REF!</v>
      </c>
      <c r="AG511" s="69" t="e" cm="1">
        <f t="array" ref="AG511">_xlfn.XLOOKUP(Table1[[#This Row],[5 cm2 cell test code]:[5 cm2 cell test code]],[1]!Table1[[Test code]:[Test code]],[1]!Table1[Q_int_frac DIW],"",0)</f>
        <v>#REF!</v>
      </c>
      <c r="AH511" s="69" t="e" cm="1">
        <f t="array" ref="AH511">_xlfn.XLOOKUP(Table1[[#This Row],[5 cm2 cell test code]:[5 cm2 cell test code]],[1]!Table1[[Test code]:[Test code]],[1]!Table1[Ionic resistance 10 mM KOH/Ohm cm2],"",0)</f>
        <v>#REF!</v>
      </c>
      <c r="AI511" s="69" t="e" cm="1">
        <f t="array" ref="AI511">_xlfn.XLOOKUP(Table1[[#This Row],[5 cm2 cell test code]:[5 cm2 cell test code]],[1]!Table1[[Test code]:[Test code]],[1]!Table1[Q_int_frac DIW 10 mM KOH],"",0)</f>
        <v>#REF!</v>
      </c>
      <c r="AJ511" s="69" t="e" cm="1">
        <f t="array" ref="AJ511">_xlfn.XLOOKUP(Table1[[#This Row],[5 cm2 cell test code]:[5 cm2 cell test code]],[1]!Table1[[Test code]:[Test code]],[1]!Table1[DIW conductivity (µS/cm)],"",0)</f>
        <v>#REF!</v>
      </c>
    </row>
    <row r="512" spans="1:43">
      <c r="A512" s="81"/>
      <c r="B512" s="11" t="s">
        <v>908</v>
      </c>
      <c r="C512" s="4" t="s">
        <v>473</v>
      </c>
      <c r="K512" s="89"/>
      <c r="L512" s="89"/>
      <c r="U512" s="101"/>
      <c r="V512" s="101"/>
      <c r="W512" s="69" t="e" cm="1">
        <f t="array" ref="W512">_xlfn.XLOOKUP(Table1[[#This Row],[5 cm2 cell test code]:[5 cm2 cell test code]],[1]!Table1[[Test code]:[Test code]],[1]!Table1[i @ 1.8 V DIW (A/cm2)],"",0)</f>
        <v>#REF!</v>
      </c>
      <c r="X512" s="69" t="e" cm="1">
        <f t="array" ref="X512">_xlfn.XLOOKUP(Table1[[#This Row],[5 cm2 cell test code]:[5 cm2 cell test code]],[1]!Table1[[Test code]:[Test code]],[1]!Table1[i @ 1.8 V 10 mM KOH (A/cm2)],"",0)</f>
        <v>#REF!</v>
      </c>
      <c r="Y512" s="69" t="e" cm="1">
        <f t="array" ref="Y512">_xlfn.XLOOKUP(Table1[[#This Row],[5 cm2 cell test code]:[5 cm2 cell test code]],[1]!Table1[[Test code]:[Test code]],[1]!Table1[3-E ƞ at 20mAcm-2 (mV)],"",0)</f>
        <v>#REF!</v>
      </c>
      <c r="Z512" s="69" t="e" cm="1">
        <f t="array" ref="Z512">_xlfn.XLOOKUP(Table1[[#This Row],[5 cm2 cell test code]:[5 cm2 cell test code]],[1]!Table1[[Test code]:[Test code]],[1]!Table1[3-E Tafel slope (mV/dec)],"",0)</f>
        <v>#REF!</v>
      </c>
      <c r="AA512" s="69" t="e" cm="1">
        <f t="array" ref="AA512">_xlfn.XLOOKUP(Table1[[#This Row],[5 cm2 cell test code]:[5 cm2 cell test code]],[1]!Table1[[Test code]:[Test code]],[1]!Table1[E @ 100 mA/cm2 DIW/V],"",0)</f>
        <v>#REF!</v>
      </c>
      <c r="AB512" s="69" t="e" cm="1">
        <f t="array" ref="AB512">_xlfn.XLOOKUP(Table1[[#This Row],[5 cm2 cell test code]:[5 cm2 cell test code]],[1]!Table1[[Test code]:[Test code]],[1]!Table1[E @ 100 mA/cm2 10 mM KOH/V],"",0)</f>
        <v>#REF!</v>
      </c>
      <c r="AC512" s="69" t="e" cm="1">
        <f t="array" ref="AC512">_xlfn.XLOOKUP(Table1[[#This Row],[5 cm2 cell test code]:[5 cm2 cell test code]],[1]!Table1[[Test code]:[Test code]],[1]!Table1[Anode ICR/mOhm],"",0)</f>
        <v>#REF!</v>
      </c>
      <c r="AD512" s="69" t="e" cm="1">
        <f t="array" ref="AD512">_xlfn.XLOOKUP(Table1[[#This Row],[5 cm2 cell test code]:[5 cm2 cell test code]],[1]!Table1[[Test code]:[Test code]],[1]!Table1[HFR DIW/ mOhm cm2],"",0)</f>
        <v>#REF!</v>
      </c>
      <c r="AE512" s="69" t="e" cm="1">
        <f t="array" ref="AE512">_xlfn.XLOOKUP(Table1[[#This Row],[5 cm2 cell test code]:[5 cm2 cell test code]],[1]!Table1[[Test code]:[Test code]],[1]!Table1[HFR 10 mM KOH/ mOhm cm2],"",0)</f>
        <v>#REF!</v>
      </c>
      <c r="AF512" s="69" t="e" cm="1">
        <f t="array" ref="AF512">_xlfn.XLOOKUP(Table1[[#This Row],[5 cm2 cell test code]:[5 cm2 cell test code]],[1]!Table1[[Test code]:[Test code]],[1]!Table1[Ionic resistance DIW/Ohm cm2],"",0)</f>
        <v>#REF!</v>
      </c>
      <c r="AG512" s="195" t="e" cm="1">
        <f t="array" ref="AG512">_xlfn.XLOOKUP(Table1[[#This Row],[5 cm2 cell test code]:[5 cm2 cell test code]],[1]!Table1[[Test code]:[Test code]],[1]!Table1[Q_int_frac DIW],"",0)</f>
        <v>#REF!</v>
      </c>
      <c r="AH512" s="195" t="e" cm="1">
        <f t="array" ref="AH512">_xlfn.XLOOKUP(Table1[[#This Row],[5 cm2 cell test code]:[5 cm2 cell test code]],[1]!Table1[[Test code]:[Test code]],[1]!Table1[Ionic resistance 10 mM KOH/Ohm cm2],"",0)</f>
        <v>#REF!</v>
      </c>
      <c r="AI512" s="195" t="e" cm="1">
        <f t="array" ref="AI512">_xlfn.XLOOKUP(Table1[[#This Row],[5 cm2 cell test code]:[5 cm2 cell test code]],[1]!Table1[[Test code]:[Test code]],[1]!Table1[Q_int_frac DIW 10 mM KOH],"",0)</f>
        <v>#REF!</v>
      </c>
      <c r="AJ512" s="69" t="e" cm="1">
        <f t="array" ref="AJ512">_xlfn.XLOOKUP(Table1[[#This Row],[5 cm2 cell test code]:[5 cm2 cell test code]],[1]!Table1[[Test code]:[Test code]],[1]!Table1[DIW conductivity (µS/cm)],"",0)</f>
        <v>#REF!</v>
      </c>
    </row>
    <row r="513" spans="1:36">
      <c r="A513" s="81"/>
      <c r="B513" s="11" t="s">
        <v>909</v>
      </c>
      <c r="C513" s="4" t="s">
        <v>473</v>
      </c>
      <c r="K513" s="89"/>
      <c r="L513" s="89"/>
      <c r="U513" s="101"/>
      <c r="V513" s="101"/>
      <c r="W513" s="69" t="e" cm="1">
        <f t="array" ref="W513">_xlfn.XLOOKUP(Table1[[#This Row],[5 cm2 cell test code]:[5 cm2 cell test code]],[1]!Table1[[Test code]:[Test code]],[1]!Table1[i @ 1.8 V DIW (A/cm2)],"",0)</f>
        <v>#REF!</v>
      </c>
      <c r="X513" s="69" t="e" cm="1">
        <f t="array" ref="X513">_xlfn.XLOOKUP(Table1[[#This Row],[5 cm2 cell test code]:[5 cm2 cell test code]],[1]!Table1[[Test code]:[Test code]],[1]!Table1[i @ 1.8 V 10 mM KOH (A/cm2)],"",0)</f>
        <v>#REF!</v>
      </c>
      <c r="Y513" s="69" t="e" cm="1">
        <f t="array" ref="Y513">_xlfn.XLOOKUP(Table1[[#This Row],[5 cm2 cell test code]:[5 cm2 cell test code]],[1]!Table1[[Test code]:[Test code]],[1]!Table1[3-E ƞ at 20mAcm-2 (mV)],"",0)</f>
        <v>#REF!</v>
      </c>
      <c r="Z513" s="69" t="e" cm="1">
        <f t="array" ref="Z513">_xlfn.XLOOKUP(Table1[[#This Row],[5 cm2 cell test code]:[5 cm2 cell test code]],[1]!Table1[[Test code]:[Test code]],[1]!Table1[3-E Tafel slope (mV/dec)],"",0)</f>
        <v>#REF!</v>
      </c>
      <c r="AA513" s="69" t="e" cm="1">
        <f t="array" ref="AA513">_xlfn.XLOOKUP(Table1[[#This Row],[5 cm2 cell test code]:[5 cm2 cell test code]],[1]!Table1[[Test code]:[Test code]],[1]!Table1[E @ 100 mA/cm2 DIW/V],"",0)</f>
        <v>#REF!</v>
      </c>
      <c r="AB513" s="69" t="e" cm="1">
        <f t="array" ref="AB513">_xlfn.XLOOKUP(Table1[[#This Row],[5 cm2 cell test code]:[5 cm2 cell test code]],[1]!Table1[[Test code]:[Test code]],[1]!Table1[E @ 100 mA/cm2 10 mM KOH/V],"",0)</f>
        <v>#REF!</v>
      </c>
      <c r="AC513" s="69" t="e" cm="1">
        <f t="array" ref="AC513">_xlfn.XLOOKUP(Table1[[#This Row],[5 cm2 cell test code]:[5 cm2 cell test code]],[1]!Table1[[Test code]:[Test code]],[1]!Table1[Anode ICR/mOhm],"",0)</f>
        <v>#REF!</v>
      </c>
      <c r="AD513" s="69" t="e" cm="1">
        <f t="array" ref="AD513">_xlfn.XLOOKUP(Table1[[#This Row],[5 cm2 cell test code]:[5 cm2 cell test code]],[1]!Table1[[Test code]:[Test code]],[1]!Table1[HFR DIW/ mOhm cm2],"",0)</f>
        <v>#REF!</v>
      </c>
      <c r="AE513" s="69" t="e" cm="1">
        <f t="array" ref="AE513">_xlfn.XLOOKUP(Table1[[#This Row],[5 cm2 cell test code]:[5 cm2 cell test code]],[1]!Table1[[Test code]:[Test code]],[1]!Table1[HFR 10 mM KOH/ mOhm cm2],"",0)</f>
        <v>#REF!</v>
      </c>
      <c r="AF513" s="69" t="e" cm="1">
        <f t="array" ref="AF513">_xlfn.XLOOKUP(Table1[[#This Row],[5 cm2 cell test code]:[5 cm2 cell test code]],[1]!Table1[[Test code]:[Test code]],[1]!Table1[Ionic resistance DIW/Ohm cm2],"",0)</f>
        <v>#REF!</v>
      </c>
      <c r="AG513" s="195" t="e" cm="1">
        <f t="array" ref="AG513">_xlfn.XLOOKUP(Table1[[#This Row],[5 cm2 cell test code]:[5 cm2 cell test code]],[1]!Table1[[Test code]:[Test code]],[1]!Table1[Q_int_frac DIW],"",0)</f>
        <v>#REF!</v>
      </c>
      <c r="AH513" s="195" t="e" cm="1">
        <f t="array" ref="AH513">_xlfn.XLOOKUP(Table1[[#This Row],[5 cm2 cell test code]:[5 cm2 cell test code]],[1]!Table1[[Test code]:[Test code]],[1]!Table1[Ionic resistance 10 mM KOH/Ohm cm2],"",0)</f>
        <v>#REF!</v>
      </c>
      <c r="AI513" s="195" t="e" cm="1">
        <f t="array" ref="AI513">_xlfn.XLOOKUP(Table1[[#This Row],[5 cm2 cell test code]:[5 cm2 cell test code]],[1]!Table1[[Test code]:[Test code]],[1]!Table1[Q_int_frac DIW 10 mM KOH],"",0)</f>
        <v>#REF!</v>
      </c>
      <c r="AJ513" s="69" t="e" cm="1">
        <f t="array" ref="AJ513">_xlfn.XLOOKUP(Table1[[#This Row],[5 cm2 cell test code]:[5 cm2 cell test code]],[1]!Table1[[Test code]:[Test code]],[1]!Table1[DIW conductivity (µS/cm)],"",0)</f>
        <v>#REF!</v>
      </c>
    </row>
    <row r="514" spans="1:36">
      <c r="A514" s="81"/>
      <c r="B514" s="11" t="s">
        <v>910</v>
      </c>
      <c r="C514" s="4" t="s">
        <v>834</v>
      </c>
      <c r="I514" s="11" t="s">
        <v>114</v>
      </c>
      <c r="J514" s="11" t="s">
        <v>869</v>
      </c>
      <c r="K514" s="211" t="s">
        <v>887</v>
      </c>
      <c r="L514" s="11" t="s">
        <v>888</v>
      </c>
      <c r="M514" s="13">
        <f>(63.89-63.49)*1000/(22.5*31.6)</f>
        <v>0.56258790436005424</v>
      </c>
      <c r="O514" s="11" t="s">
        <v>911</v>
      </c>
      <c r="P514" s="28">
        <v>1.03</v>
      </c>
      <c r="Q514" s="4">
        <v>3.8825820863341583E-2</v>
      </c>
      <c r="U514" s="101"/>
      <c r="V514" s="101"/>
      <c r="W514" s="69" t="e" cm="1">
        <f t="array" ref="W514">_xlfn.XLOOKUP(Table1[[#This Row],[5 cm2 cell test code]:[5 cm2 cell test code]],[1]!Table1[[Test code]:[Test code]],[1]!Table1[i @ 1.8 V DIW (A/cm2)],"",0)</f>
        <v>#REF!</v>
      </c>
      <c r="X514" s="69" t="e" cm="1">
        <f t="array" ref="X514">_xlfn.XLOOKUP(Table1[[#This Row],[5 cm2 cell test code]:[5 cm2 cell test code]],[1]!Table1[[Test code]:[Test code]],[1]!Table1[i @ 1.8 V 10 mM KOH (A/cm2)],"",0)</f>
        <v>#REF!</v>
      </c>
      <c r="Y514" s="69" t="e" cm="1">
        <f t="array" ref="Y514">_xlfn.XLOOKUP(Table1[[#This Row],[5 cm2 cell test code]:[5 cm2 cell test code]],[1]!Table1[[Test code]:[Test code]],[1]!Table1[3-E ƞ at 20mAcm-2 (mV)],"",0)</f>
        <v>#REF!</v>
      </c>
      <c r="Z514" s="69" t="e" cm="1">
        <f t="array" ref="Z514">_xlfn.XLOOKUP(Table1[[#This Row],[5 cm2 cell test code]:[5 cm2 cell test code]],[1]!Table1[[Test code]:[Test code]],[1]!Table1[3-E Tafel slope (mV/dec)],"",0)</f>
        <v>#REF!</v>
      </c>
      <c r="AA514" s="69" t="e" cm="1">
        <f t="array" ref="AA514">_xlfn.XLOOKUP(Table1[[#This Row],[5 cm2 cell test code]:[5 cm2 cell test code]],[1]!Table1[[Test code]:[Test code]],[1]!Table1[E @ 100 mA/cm2 DIW/V],"",0)</f>
        <v>#REF!</v>
      </c>
      <c r="AB514" s="69" t="e" cm="1">
        <f t="array" ref="AB514">_xlfn.XLOOKUP(Table1[[#This Row],[5 cm2 cell test code]:[5 cm2 cell test code]],[1]!Table1[[Test code]:[Test code]],[1]!Table1[E @ 100 mA/cm2 10 mM KOH/V],"",0)</f>
        <v>#REF!</v>
      </c>
      <c r="AC514" s="69" t="e" cm="1">
        <f t="array" ref="AC514">_xlfn.XLOOKUP(Table1[[#This Row],[5 cm2 cell test code]:[5 cm2 cell test code]],[1]!Table1[[Test code]:[Test code]],[1]!Table1[Anode ICR/mOhm],"",0)</f>
        <v>#REF!</v>
      </c>
      <c r="AD514" s="69" t="e" cm="1">
        <f t="array" ref="AD514">_xlfn.XLOOKUP(Table1[[#This Row],[5 cm2 cell test code]:[5 cm2 cell test code]],[1]!Table1[[Test code]:[Test code]],[1]!Table1[HFR DIW/ mOhm cm2],"",0)</f>
        <v>#REF!</v>
      </c>
      <c r="AE514" s="69" t="e" cm="1">
        <f t="array" ref="AE514">_xlfn.XLOOKUP(Table1[[#This Row],[5 cm2 cell test code]:[5 cm2 cell test code]],[1]!Table1[[Test code]:[Test code]],[1]!Table1[HFR 10 mM KOH/ mOhm cm2],"",0)</f>
        <v>#REF!</v>
      </c>
      <c r="AF514" s="69" t="e" cm="1">
        <f t="array" ref="AF514">_xlfn.XLOOKUP(Table1[[#This Row],[5 cm2 cell test code]:[5 cm2 cell test code]],[1]!Table1[[Test code]:[Test code]],[1]!Table1[Ionic resistance DIW/Ohm cm2],"",0)</f>
        <v>#REF!</v>
      </c>
      <c r="AG514" s="69" t="e" cm="1">
        <f t="array" ref="AG514">_xlfn.XLOOKUP(Table1[[#This Row],[5 cm2 cell test code]:[5 cm2 cell test code]],[1]!Table1[[Test code]:[Test code]],[1]!Table1[Q_int_frac DIW],"",0)</f>
        <v>#REF!</v>
      </c>
      <c r="AH514" s="69" t="e" cm="1">
        <f t="array" ref="AH514">_xlfn.XLOOKUP(Table1[[#This Row],[5 cm2 cell test code]:[5 cm2 cell test code]],[1]!Table1[[Test code]:[Test code]],[1]!Table1[Ionic resistance 10 mM KOH/Ohm cm2],"",0)</f>
        <v>#REF!</v>
      </c>
      <c r="AI514" s="69" t="e" cm="1">
        <f t="array" ref="AI514">_xlfn.XLOOKUP(Table1[[#This Row],[5 cm2 cell test code]:[5 cm2 cell test code]],[1]!Table1[[Test code]:[Test code]],[1]!Table1[Q_int_frac DIW 10 mM KOH],"",0)</f>
        <v>#REF!</v>
      </c>
      <c r="AJ514" s="69" t="e" cm="1">
        <f t="array" ref="AJ514">_xlfn.XLOOKUP(Table1[[#This Row],[5 cm2 cell test code]:[5 cm2 cell test code]],[1]!Table1[[Test code]:[Test code]],[1]!Table1[DIW conductivity (µS/cm)],"",0)</f>
        <v>#REF!</v>
      </c>
    </row>
    <row r="515" spans="1:36">
      <c r="A515" s="81"/>
      <c r="B515" s="11" t="s">
        <v>912</v>
      </c>
      <c r="C515" s="4" t="s">
        <v>473</v>
      </c>
      <c r="K515" s="89"/>
      <c r="L515" s="89"/>
      <c r="U515" s="101"/>
      <c r="V515" s="101"/>
      <c r="W515" s="69" t="e" cm="1">
        <f t="array" ref="W515">_xlfn.XLOOKUP(Table1[[#This Row],[5 cm2 cell test code]:[5 cm2 cell test code]],[1]!Table1[[Test code]:[Test code]],[1]!Table1[i @ 1.8 V DIW (A/cm2)],"",0)</f>
        <v>#REF!</v>
      </c>
      <c r="X515" s="69" t="e" cm="1">
        <f t="array" ref="X515">_xlfn.XLOOKUP(Table1[[#This Row],[5 cm2 cell test code]:[5 cm2 cell test code]],[1]!Table1[[Test code]:[Test code]],[1]!Table1[i @ 1.8 V 10 mM KOH (A/cm2)],"",0)</f>
        <v>#REF!</v>
      </c>
      <c r="Y515" s="69" t="e" cm="1">
        <f t="array" ref="Y515">_xlfn.XLOOKUP(Table1[[#This Row],[5 cm2 cell test code]:[5 cm2 cell test code]],[1]!Table1[[Test code]:[Test code]],[1]!Table1[3-E ƞ at 20mAcm-2 (mV)],"",0)</f>
        <v>#REF!</v>
      </c>
      <c r="Z515" s="69" t="e" cm="1">
        <f t="array" ref="Z515">_xlfn.XLOOKUP(Table1[[#This Row],[5 cm2 cell test code]:[5 cm2 cell test code]],[1]!Table1[[Test code]:[Test code]],[1]!Table1[3-E Tafel slope (mV/dec)],"",0)</f>
        <v>#REF!</v>
      </c>
      <c r="AA515" s="69" t="e" cm="1">
        <f t="array" ref="AA515">_xlfn.XLOOKUP(Table1[[#This Row],[5 cm2 cell test code]:[5 cm2 cell test code]],[1]!Table1[[Test code]:[Test code]],[1]!Table1[E @ 100 mA/cm2 DIW/V],"",0)</f>
        <v>#REF!</v>
      </c>
      <c r="AB515" s="69" t="e" cm="1">
        <f t="array" ref="AB515">_xlfn.XLOOKUP(Table1[[#This Row],[5 cm2 cell test code]:[5 cm2 cell test code]],[1]!Table1[[Test code]:[Test code]],[1]!Table1[E @ 100 mA/cm2 10 mM KOH/V],"",0)</f>
        <v>#REF!</v>
      </c>
      <c r="AC515" s="69" t="e" cm="1">
        <f t="array" ref="AC515">_xlfn.XLOOKUP(Table1[[#This Row],[5 cm2 cell test code]:[5 cm2 cell test code]],[1]!Table1[[Test code]:[Test code]],[1]!Table1[Anode ICR/mOhm],"",0)</f>
        <v>#REF!</v>
      </c>
      <c r="AD515" s="69" t="e" cm="1">
        <f t="array" ref="AD515">_xlfn.XLOOKUP(Table1[[#This Row],[5 cm2 cell test code]:[5 cm2 cell test code]],[1]!Table1[[Test code]:[Test code]],[1]!Table1[HFR DIW/ mOhm cm2],"",0)</f>
        <v>#REF!</v>
      </c>
      <c r="AE515" s="69" t="e" cm="1">
        <f t="array" ref="AE515">_xlfn.XLOOKUP(Table1[[#This Row],[5 cm2 cell test code]:[5 cm2 cell test code]],[1]!Table1[[Test code]:[Test code]],[1]!Table1[HFR 10 mM KOH/ mOhm cm2],"",0)</f>
        <v>#REF!</v>
      </c>
      <c r="AF515" s="69" t="e" cm="1">
        <f t="array" ref="AF515">_xlfn.XLOOKUP(Table1[[#This Row],[5 cm2 cell test code]:[5 cm2 cell test code]],[1]!Table1[[Test code]:[Test code]],[1]!Table1[Ionic resistance DIW/Ohm cm2],"",0)</f>
        <v>#REF!</v>
      </c>
      <c r="AG515" s="195" t="e" cm="1">
        <f t="array" ref="AG515">_xlfn.XLOOKUP(Table1[[#This Row],[5 cm2 cell test code]:[5 cm2 cell test code]],[1]!Table1[[Test code]:[Test code]],[1]!Table1[Q_int_frac DIW],"",0)</f>
        <v>#REF!</v>
      </c>
      <c r="AH515" s="195" t="e" cm="1">
        <f t="array" ref="AH515">_xlfn.XLOOKUP(Table1[[#This Row],[5 cm2 cell test code]:[5 cm2 cell test code]],[1]!Table1[[Test code]:[Test code]],[1]!Table1[Ionic resistance 10 mM KOH/Ohm cm2],"",0)</f>
        <v>#REF!</v>
      </c>
      <c r="AI515" s="195" t="e" cm="1">
        <f t="array" ref="AI515">_xlfn.XLOOKUP(Table1[[#This Row],[5 cm2 cell test code]:[5 cm2 cell test code]],[1]!Table1[[Test code]:[Test code]],[1]!Table1[Q_int_frac DIW 10 mM KOH],"",0)</f>
        <v>#REF!</v>
      </c>
      <c r="AJ515" s="69" t="e" cm="1">
        <f t="array" ref="AJ515">_xlfn.XLOOKUP(Table1[[#This Row],[5 cm2 cell test code]:[5 cm2 cell test code]],[1]!Table1[[Test code]:[Test code]],[1]!Table1[DIW conductivity (µS/cm)],"",0)</f>
        <v>#REF!</v>
      </c>
    </row>
    <row r="516" spans="1:36">
      <c r="A516" s="81"/>
      <c r="B516" s="11" t="s">
        <v>913</v>
      </c>
      <c r="C516" s="4" t="s">
        <v>473</v>
      </c>
      <c r="K516" s="89"/>
      <c r="L516" s="89"/>
      <c r="U516" s="101"/>
      <c r="V516" s="101"/>
      <c r="W516" s="69" t="e" cm="1">
        <f t="array" ref="W516">_xlfn.XLOOKUP(Table1[[#This Row],[5 cm2 cell test code]:[5 cm2 cell test code]],[1]!Table1[[Test code]:[Test code]],[1]!Table1[i @ 1.8 V DIW (A/cm2)],"",0)</f>
        <v>#REF!</v>
      </c>
      <c r="X516" s="69" t="e" cm="1">
        <f t="array" ref="X516">_xlfn.XLOOKUP(Table1[[#This Row],[5 cm2 cell test code]:[5 cm2 cell test code]],[1]!Table1[[Test code]:[Test code]],[1]!Table1[i @ 1.8 V 10 mM KOH (A/cm2)],"",0)</f>
        <v>#REF!</v>
      </c>
      <c r="Y516" s="69" t="e" cm="1">
        <f t="array" ref="Y516">_xlfn.XLOOKUP(Table1[[#This Row],[5 cm2 cell test code]:[5 cm2 cell test code]],[1]!Table1[[Test code]:[Test code]],[1]!Table1[3-E ƞ at 20mAcm-2 (mV)],"",0)</f>
        <v>#REF!</v>
      </c>
      <c r="Z516" s="69" t="e" cm="1">
        <f t="array" ref="Z516">_xlfn.XLOOKUP(Table1[[#This Row],[5 cm2 cell test code]:[5 cm2 cell test code]],[1]!Table1[[Test code]:[Test code]],[1]!Table1[3-E Tafel slope (mV/dec)],"",0)</f>
        <v>#REF!</v>
      </c>
      <c r="AA516" s="69" t="e" cm="1">
        <f t="array" ref="AA516">_xlfn.XLOOKUP(Table1[[#This Row],[5 cm2 cell test code]:[5 cm2 cell test code]],[1]!Table1[[Test code]:[Test code]],[1]!Table1[E @ 100 mA/cm2 DIW/V],"",0)</f>
        <v>#REF!</v>
      </c>
      <c r="AB516" s="69" t="e" cm="1">
        <f t="array" ref="AB516">_xlfn.XLOOKUP(Table1[[#This Row],[5 cm2 cell test code]:[5 cm2 cell test code]],[1]!Table1[[Test code]:[Test code]],[1]!Table1[E @ 100 mA/cm2 10 mM KOH/V],"",0)</f>
        <v>#REF!</v>
      </c>
      <c r="AC516" s="69" t="e" cm="1">
        <f t="array" ref="AC516">_xlfn.XLOOKUP(Table1[[#This Row],[5 cm2 cell test code]:[5 cm2 cell test code]],[1]!Table1[[Test code]:[Test code]],[1]!Table1[Anode ICR/mOhm],"",0)</f>
        <v>#REF!</v>
      </c>
      <c r="AD516" s="69" t="e" cm="1">
        <f t="array" ref="AD516">_xlfn.XLOOKUP(Table1[[#This Row],[5 cm2 cell test code]:[5 cm2 cell test code]],[1]!Table1[[Test code]:[Test code]],[1]!Table1[HFR DIW/ mOhm cm2],"",0)</f>
        <v>#REF!</v>
      </c>
      <c r="AE516" s="69" t="e" cm="1">
        <f t="array" ref="AE516">_xlfn.XLOOKUP(Table1[[#This Row],[5 cm2 cell test code]:[5 cm2 cell test code]],[1]!Table1[[Test code]:[Test code]],[1]!Table1[HFR 10 mM KOH/ mOhm cm2],"",0)</f>
        <v>#REF!</v>
      </c>
      <c r="AF516" s="69" t="e" cm="1">
        <f t="array" ref="AF516">_xlfn.XLOOKUP(Table1[[#This Row],[5 cm2 cell test code]:[5 cm2 cell test code]],[1]!Table1[[Test code]:[Test code]],[1]!Table1[Ionic resistance DIW/Ohm cm2],"",0)</f>
        <v>#REF!</v>
      </c>
      <c r="AG516" s="195" t="e" cm="1">
        <f t="array" ref="AG516">_xlfn.XLOOKUP(Table1[[#This Row],[5 cm2 cell test code]:[5 cm2 cell test code]],[1]!Table1[[Test code]:[Test code]],[1]!Table1[Q_int_frac DIW],"",0)</f>
        <v>#REF!</v>
      </c>
      <c r="AH516" s="195" t="e" cm="1">
        <f t="array" ref="AH516">_xlfn.XLOOKUP(Table1[[#This Row],[5 cm2 cell test code]:[5 cm2 cell test code]],[1]!Table1[[Test code]:[Test code]],[1]!Table1[Ionic resistance 10 mM KOH/Ohm cm2],"",0)</f>
        <v>#REF!</v>
      </c>
      <c r="AI516" s="195" t="e" cm="1">
        <f t="array" ref="AI516">_xlfn.XLOOKUP(Table1[[#This Row],[5 cm2 cell test code]:[5 cm2 cell test code]],[1]!Table1[[Test code]:[Test code]],[1]!Table1[Q_int_frac DIW 10 mM KOH],"",0)</f>
        <v>#REF!</v>
      </c>
      <c r="AJ516" s="69" t="e" cm="1">
        <f t="array" ref="AJ516">_xlfn.XLOOKUP(Table1[[#This Row],[5 cm2 cell test code]:[5 cm2 cell test code]],[1]!Table1[[Test code]:[Test code]],[1]!Table1[DIW conductivity (µS/cm)],"",0)</f>
        <v>#REF!</v>
      </c>
    </row>
    <row r="517" spans="1:36">
      <c r="A517" s="81"/>
      <c r="B517" s="11" t="s">
        <v>914</v>
      </c>
      <c r="C517" s="4" t="s">
        <v>780</v>
      </c>
      <c r="I517" s="11" t="s">
        <v>114</v>
      </c>
      <c r="J517" s="11" t="s">
        <v>869</v>
      </c>
      <c r="K517" s="211" t="s">
        <v>887</v>
      </c>
      <c r="L517" s="11" t="s">
        <v>888</v>
      </c>
      <c r="M517" s="13">
        <f>(65.34-64.09)*1000/(31.7*22.5)</f>
        <v>1.7525411847178409</v>
      </c>
      <c r="O517" s="11" t="s">
        <v>915</v>
      </c>
      <c r="P517" s="28">
        <v>0.85</v>
      </c>
      <c r="Q517" s="4">
        <v>5.1553525712916132E-2</v>
      </c>
      <c r="U517" s="101"/>
      <c r="V517" s="101"/>
      <c r="W517" s="69" t="e" cm="1">
        <f t="array" ref="W517">_xlfn.XLOOKUP(Table1[[#This Row],[5 cm2 cell test code]:[5 cm2 cell test code]],[1]!Table1[[Test code]:[Test code]],[1]!Table1[i @ 1.8 V DIW (A/cm2)],"",0)</f>
        <v>#REF!</v>
      </c>
      <c r="X517" s="69" t="e" cm="1">
        <f t="array" ref="X517">_xlfn.XLOOKUP(Table1[[#This Row],[5 cm2 cell test code]:[5 cm2 cell test code]],[1]!Table1[[Test code]:[Test code]],[1]!Table1[i @ 1.8 V 10 mM KOH (A/cm2)],"",0)</f>
        <v>#REF!</v>
      </c>
      <c r="Y517" s="69" t="e" cm="1">
        <f t="array" ref="Y517">_xlfn.XLOOKUP(Table1[[#This Row],[5 cm2 cell test code]:[5 cm2 cell test code]],[1]!Table1[[Test code]:[Test code]],[1]!Table1[3-E ƞ at 20mAcm-2 (mV)],"",0)</f>
        <v>#REF!</v>
      </c>
      <c r="Z517" s="69" t="e" cm="1">
        <f t="array" ref="Z517">_xlfn.XLOOKUP(Table1[[#This Row],[5 cm2 cell test code]:[5 cm2 cell test code]],[1]!Table1[[Test code]:[Test code]],[1]!Table1[3-E Tafel slope (mV/dec)],"",0)</f>
        <v>#REF!</v>
      </c>
      <c r="AA517" s="69" t="e" cm="1">
        <f t="array" ref="AA517">_xlfn.XLOOKUP(Table1[[#This Row],[5 cm2 cell test code]:[5 cm2 cell test code]],[1]!Table1[[Test code]:[Test code]],[1]!Table1[E @ 100 mA/cm2 DIW/V],"",0)</f>
        <v>#REF!</v>
      </c>
      <c r="AB517" s="69" t="e" cm="1">
        <f t="array" ref="AB517">_xlfn.XLOOKUP(Table1[[#This Row],[5 cm2 cell test code]:[5 cm2 cell test code]],[1]!Table1[[Test code]:[Test code]],[1]!Table1[E @ 100 mA/cm2 10 mM KOH/V],"",0)</f>
        <v>#REF!</v>
      </c>
      <c r="AC517" s="69" t="e" cm="1">
        <f t="array" ref="AC517">_xlfn.XLOOKUP(Table1[[#This Row],[5 cm2 cell test code]:[5 cm2 cell test code]],[1]!Table1[[Test code]:[Test code]],[1]!Table1[Anode ICR/mOhm],"",0)</f>
        <v>#REF!</v>
      </c>
      <c r="AD517" s="69" t="e" cm="1">
        <f t="array" ref="AD517">_xlfn.XLOOKUP(Table1[[#This Row],[5 cm2 cell test code]:[5 cm2 cell test code]],[1]!Table1[[Test code]:[Test code]],[1]!Table1[HFR DIW/ mOhm cm2],"",0)</f>
        <v>#REF!</v>
      </c>
      <c r="AE517" s="69" t="e" cm="1">
        <f t="array" ref="AE517">_xlfn.XLOOKUP(Table1[[#This Row],[5 cm2 cell test code]:[5 cm2 cell test code]],[1]!Table1[[Test code]:[Test code]],[1]!Table1[HFR 10 mM KOH/ mOhm cm2],"",0)</f>
        <v>#REF!</v>
      </c>
      <c r="AF517" s="69" t="e" cm="1">
        <f t="array" ref="AF517">_xlfn.XLOOKUP(Table1[[#This Row],[5 cm2 cell test code]:[5 cm2 cell test code]],[1]!Table1[[Test code]:[Test code]],[1]!Table1[Ionic resistance DIW/Ohm cm2],"",0)</f>
        <v>#REF!</v>
      </c>
      <c r="AG517" s="69" t="e" cm="1">
        <f t="array" ref="AG517">_xlfn.XLOOKUP(Table1[[#This Row],[5 cm2 cell test code]:[5 cm2 cell test code]],[1]!Table1[[Test code]:[Test code]],[1]!Table1[Q_int_frac DIW],"",0)</f>
        <v>#REF!</v>
      </c>
      <c r="AH517" s="69" t="e" cm="1">
        <f t="array" ref="AH517">_xlfn.XLOOKUP(Table1[[#This Row],[5 cm2 cell test code]:[5 cm2 cell test code]],[1]!Table1[[Test code]:[Test code]],[1]!Table1[Ionic resistance 10 mM KOH/Ohm cm2],"",0)</f>
        <v>#REF!</v>
      </c>
      <c r="AI517" s="69" t="e" cm="1">
        <f t="array" ref="AI517">_xlfn.XLOOKUP(Table1[[#This Row],[5 cm2 cell test code]:[5 cm2 cell test code]],[1]!Table1[[Test code]:[Test code]],[1]!Table1[Q_int_frac DIW 10 mM KOH],"",0)</f>
        <v>#REF!</v>
      </c>
      <c r="AJ517" s="69" t="e" cm="1">
        <f t="array" ref="AJ517">_xlfn.XLOOKUP(Table1[[#This Row],[5 cm2 cell test code]:[5 cm2 cell test code]],[1]!Table1[[Test code]:[Test code]],[1]!Table1[DIW conductivity (µS/cm)],"",0)</f>
        <v>#REF!</v>
      </c>
    </row>
    <row r="518" spans="1:36">
      <c r="A518" s="81"/>
      <c r="B518" s="11" t="s">
        <v>916</v>
      </c>
      <c r="C518" s="4" t="s">
        <v>473</v>
      </c>
      <c r="K518" s="89"/>
      <c r="L518" s="89"/>
      <c r="U518" s="101"/>
      <c r="V518" s="101"/>
      <c r="W518" s="69" t="e" cm="1">
        <f t="array" ref="W518">_xlfn.XLOOKUP(Table1[[#This Row],[5 cm2 cell test code]:[5 cm2 cell test code]],[1]!Table1[[Test code]:[Test code]],[1]!Table1[i @ 1.8 V DIW (A/cm2)],"",0)</f>
        <v>#REF!</v>
      </c>
      <c r="X518" s="69" t="e" cm="1">
        <f t="array" ref="X518">_xlfn.XLOOKUP(Table1[[#This Row],[5 cm2 cell test code]:[5 cm2 cell test code]],[1]!Table1[[Test code]:[Test code]],[1]!Table1[i @ 1.8 V 10 mM KOH (A/cm2)],"",0)</f>
        <v>#REF!</v>
      </c>
      <c r="Y518" s="69" t="e" cm="1">
        <f t="array" ref="Y518">_xlfn.XLOOKUP(Table1[[#This Row],[5 cm2 cell test code]:[5 cm2 cell test code]],[1]!Table1[[Test code]:[Test code]],[1]!Table1[3-E ƞ at 20mAcm-2 (mV)],"",0)</f>
        <v>#REF!</v>
      </c>
      <c r="Z518" s="69" t="e" cm="1">
        <f t="array" ref="Z518">_xlfn.XLOOKUP(Table1[[#This Row],[5 cm2 cell test code]:[5 cm2 cell test code]],[1]!Table1[[Test code]:[Test code]],[1]!Table1[3-E Tafel slope (mV/dec)],"",0)</f>
        <v>#REF!</v>
      </c>
      <c r="AA518" s="69" t="e" cm="1">
        <f t="array" ref="AA518">_xlfn.XLOOKUP(Table1[[#This Row],[5 cm2 cell test code]:[5 cm2 cell test code]],[1]!Table1[[Test code]:[Test code]],[1]!Table1[E @ 100 mA/cm2 DIW/V],"",0)</f>
        <v>#REF!</v>
      </c>
      <c r="AB518" s="69" t="e" cm="1">
        <f t="array" ref="AB518">_xlfn.XLOOKUP(Table1[[#This Row],[5 cm2 cell test code]:[5 cm2 cell test code]],[1]!Table1[[Test code]:[Test code]],[1]!Table1[E @ 100 mA/cm2 10 mM KOH/V],"",0)</f>
        <v>#REF!</v>
      </c>
      <c r="AC518" s="69" t="e" cm="1">
        <f t="array" ref="AC518">_xlfn.XLOOKUP(Table1[[#This Row],[5 cm2 cell test code]:[5 cm2 cell test code]],[1]!Table1[[Test code]:[Test code]],[1]!Table1[Anode ICR/mOhm],"",0)</f>
        <v>#REF!</v>
      </c>
      <c r="AD518" s="69" t="e" cm="1">
        <f t="array" ref="AD518">_xlfn.XLOOKUP(Table1[[#This Row],[5 cm2 cell test code]:[5 cm2 cell test code]],[1]!Table1[[Test code]:[Test code]],[1]!Table1[HFR DIW/ mOhm cm2],"",0)</f>
        <v>#REF!</v>
      </c>
      <c r="AE518" s="69" t="e" cm="1">
        <f t="array" ref="AE518">_xlfn.XLOOKUP(Table1[[#This Row],[5 cm2 cell test code]:[5 cm2 cell test code]],[1]!Table1[[Test code]:[Test code]],[1]!Table1[HFR 10 mM KOH/ mOhm cm2],"",0)</f>
        <v>#REF!</v>
      </c>
      <c r="AF518" s="69" t="e" cm="1">
        <f t="array" ref="AF518">_xlfn.XLOOKUP(Table1[[#This Row],[5 cm2 cell test code]:[5 cm2 cell test code]],[1]!Table1[[Test code]:[Test code]],[1]!Table1[Ionic resistance DIW/Ohm cm2],"",0)</f>
        <v>#REF!</v>
      </c>
      <c r="AG518" s="195" t="e" cm="1">
        <f t="array" ref="AG518">_xlfn.XLOOKUP(Table1[[#This Row],[5 cm2 cell test code]:[5 cm2 cell test code]],[1]!Table1[[Test code]:[Test code]],[1]!Table1[Q_int_frac DIW],"",0)</f>
        <v>#REF!</v>
      </c>
      <c r="AH518" s="195" t="e" cm="1">
        <f t="array" ref="AH518">_xlfn.XLOOKUP(Table1[[#This Row],[5 cm2 cell test code]:[5 cm2 cell test code]],[1]!Table1[[Test code]:[Test code]],[1]!Table1[Ionic resistance 10 mM KOH/Ohm cm2],"",0)</f>
        <v>#REF!</v>
      </c>
      <c r="AI518" s="195" t="e" cm="1">
        <f t="array" ref="AI518">_xlfn.XLOOKUP(Table1[[#This Row],[5 cm2 cell test code]:[5 cm2 cell test code]],[1]!Table1[[Test code]:[Test code]],[1]!Table1[Q_int_frac DIW 10 mM KOH],"",0)</f>
        <v>#REF!</v>
      </c>
      <c r="AJ518" s="69" t="e" cm="1">
        <f t="array" ref="AJ518">_xlfn.XLOOKUP(Table1[[#This Row],[5 cm2 cell test code]:[5 cm2 cell test code]],[1]!Table1[[Test code]:[Test code]],[1]!Table1[DIW conductivity (µS/cm)],"",0)</f>
        <v>#REF!</v>
      </c>
    </row>
    <row r="519" spans="1:36">
      <c r="A519" s="81"/>
      <c r="B519" s="11" t="s">
        <v>917</v>
      </c>
      <c r="C519" s="4" t="s">
        <v>473</v>
      </c>
      <c r="K519" s="89"/>
      <c r="L519" s="89"/>
      <c r="U519" s="101"/>
      <c r="V519" s="101"/>
      <c r="W519" s="69" t="e" cm="1">
        <f t="array" ref="W519">_xlfn.XLOOKUP(Table1[[#This Row],[5 cm2 cell test code]:[5 cm2 cell test code]],[1]!Table1[[Test code]:[Test code]],[1]!Table1[i @ 1.8 V DIW (A/cm2)],"",0)</f>
        <v>#REF!</v>
      </c>
      <c r="X519" s="69" t="e" cm="1">
        <f t="array" ref="X519">_xlfn.XLOOKUP(Table1[[#This Row],[5 cm2 cell test code]:[5 cm2 cell test code]],[1]!Table1[[Test code]:[Test code]],[1]!Table1[i @ 1.8 V 10 mM KOH (A/cm2)],"",0)</f>
        <v>#REF!</v>
      </c>
      <c r="Y519" s="69" t="e" cm="1">
        <f t="array" ref="Y519">_xlfn.XLOOKUP(Table1[[#This Row],[5 cm2 cell test code]:[5 cm2 cell test code]],[1]!Table1[[Test code]:[Test code]],[1]!Table1[3-E ƞ at 20mAcm-2 (mV)],"",0)</f>
        <v>#REF!</v>
      </c>
      <c r="Z519" s="69" t="e" cm="1">
        <f t="array" ref="Z519">_xlfn.XLOOKUP(Table1[[#This Row],[5 cm2 cell test code]:[5 cm2 cell test code]],[1]!Table1[[Test code]:[Test code]],[1]!Table1[3-E Tafel slope (mV/dec)],"",0)</f>
        <v>#REF!</v>
      </c>
      <c r="AA519" s="69" t="e" cm="1">
        <f t="array" ref="AA519">_xlfn.XLOOKUP(Table1[[#This Row],[5 cm2 cell test code]:[5 cm2 cell test code]],[1]!Table1[[Test code]:[Test code]],[1]!Table1[E @ 100 mA/cm2 DIW/V],"",0)</f>
        <v>#REF!</v>
      </c>
      <c r="AB519" s="69" t="e" cm="1">
        <f t="array" ref="AB519">_xlfn.XLOOKUP(Table1[[#This Row],[5 cm2 cell test code]:[5 cm2 cell test code]],[1]!Table1[[Test code]:[Test code]],[1]!Table1[E @ 100 mA/cm2 10 mM KOH/V],"",0)</f>
        <v>#REF!</v>
      </c>
      <c r="AC519" s="69" t="e" cm="1">
        <f t="array" ref="AC519">_xlfn.XLOOKUP(Table1[[#This Row],[5 cm2 cell test code]:[5 cm2 cell test code]],[1]!Table1[[Test code]:[Test code]],[1]!Table1[Anode ICR/mOhm],"",0)</f>
        <v>#REF!</v>
      </c>
      <c r="AD519" s="69" t="e" cm="1">
        <f t="array" ref="AD519">_xlfn.XLOOKUP(Table1[[#This Row],[5 cm2 cell test code]:[5 cm2 cell test code]],[1]!Table1[[Test code]:[Test code]],[1]!Table1[HFR DIW/ mOhm cm2],"",0)</f>
        <v>#REF!</v>
      </c>
      <c r="AE519" s="69" t="e" cm="1">
        <f t="array" ref="AE519">_xlfn.XLOOKUP(Table1[[#This Row],[5 cm2 cell test code]:[5 cm2 cell test code]],[1]!Table1[[Test code]:[Test code]],[1]!Table1[HFR 10 mM KOH/ mOhm cm2],"",0)</f>
        <v>#REF!</v>
      </c>
      <c r="AF519" s="69" t="e" cm="1">
        <f t="array" ref="AF519">_xlfn.XLOOKUP(Table1[[#This Row],[5 cm2 cell test code]:[5 cm2 cell test code]],[1]!Table1[[Test code]:[Test code]],[1]!Table1[Ionic resistance DIW/Ohm cm2],"",0)</f>
        <v>#REF!</v>
      </c>
      <c r="AG519" s="195" t="e" cm="1">
        <f t="array" ref="AG519">_xlfn.XLOOKUP(Table1[[#This Row],[5 cm2 cell test code]:[5 cm2 cell test code]],[1]!Table1[[Test code]:[Test code]],[1]!Table1[Q_int_frac DIW],"",0)</f>
        <v>#REF!</v>
      </c>
      <c r="AH519" s="195" t="e" cm="1">
        <f t="array" ref="AH519">_xlfn.XLOOKUP(Table1[[#This Row],[5 cm2 cell test code]:[5 cm2 cell test code]],[1]!Table1[[Test code]:[Test code]],[1]!Table1[Ionic resistance 10 mM KOH/Ohm cm2],"",0)</f>
        <v>#REF!</v>
      </c>
      <c r="AI519" s="195" t="e" cm="1">
        <f t="array" ref="AI519">_xlfn.XLOOKUP(Table1[[#This Row],[5 cm2 cell test code]:[5 cm2 cell test code]],[1]!Table1[[Test code]:[Test code]],[1]!Table1[Q_int_frac DIW 10 mM KOH],"",0)</f>
        <v>#REF!</v>
      </c>
      <c r="AJ519" s="69" t="e" cm="1">
        <f t="array" ref="AJ519">_xlfn.XLOOKUP(Table1[[#This Row],[5 cm2 cell test code]:[5 cm2 cell test code]],[1]!Table1[[Test code]:[Test code]],[1]!Table1[DIW conductivity (µS/cm)],"",0)</f>
        <v>#REF!</v>
      </c>
    </row>
    <row r="520" spans="1:36">
      <c r="A520" s="81"/>
      <c r="B520" s="207" t="s">
        <v>918</v>
      </c>
      <c r="C520" s="4" t="s">
        <v>834</v>
      </c>
      <c r="I520" s="11" t="s">
        <v>114</v>
      </c>
      <c r="J520" s="11" t="s">
        <v>869</v>
      </c>
      <c r="K520" s="211" t="s">
        <v>887</v>
      </c>
      <c r="L520" s="11" t="s">
        <v>888</v>
      </c>
      <c r="M520" s="13">
        <f>(64.16-63.84)*1000/(31.5*22.5)</f>
        <v>0.4514991181657752</v>
      </c>
      <c r="O520" s="19"/>
      <c r="P520" s="28">
        <v>0.94</v>
      </c>
      <c r="Q520" s="4">
        <v>3.970290763595119E-2</v>
      </c>
      <c r="U520" s="101"/>
      <c r="V520" s="101"/>
      <c r="W520" s="69" t="e" cm="1">
        <f t="array" ref="W520">_xlfn.XLOOKUP(Table1[[#This Row],[5 cm2 cell test code]:[5 cm2 cell test code]],[1]!Table1[[Test code]:[Test code]],[1]!Table1[i @ 1.8 V DIW (A/cm2)],"",0)</f>
        <v>#REF!</v>
      </c>
      <c r="X520" s="69" t="e" cm="1">
        <f t="array" ref="X520">_xlfn.XLOOKUP(Table1[[#This Row],[5 cm2 cell test code]:[5 cm2 cell test code]],[1]!Table1[[Test code]:[Test code]],[1]!Table1[i @ 1.8 V 10 mM KOH (A/cm2)],"",0)</f>
        <v>#REF!</v>
      </c>
      <c r="Y520" s="69" t="e" cm="1">
        <f t="array" ref="Y520">_xlfn.XLOOKUP(Table1[[#This Row],[5 cm2 cell test code]:[5 cm2 cell test code]],[1]!Table1[[Test code]:[Test code]],[1]!Table1[3-E ƞ at 20mAcm-2 (mV)],"",0)</f>
        <v>#REF!</v>
      </c>
      <c r="Z520" s="69" t="e" cm="1">
        <f t="array" ref="Z520">_xlfn.XLOOKUP(Table1[[#This Row],[5 cm2 cell test code]:[5 cm2 cell test code]],[1]!Table1[[Test code]:[Test code]],[1]!Table1[3-E Tafel slope (mV/dec)],"",0)</f>
        <v>#REF!</v>
      </c>
      <c r="AA520" s="69" t="e" cm="1">
        <f t="array" ref="AA520">_xlfn.XLOOKUP(Table1[[#This Row],[5 cm2 cell test code]:[5 cm2 cell test code]],[1]!Table1[[Test code]:[Test code]],[1]!Table1[E @ 100 mA/cm2 DIW/V],"",0)</f>
        <v>#REF!</v>
      </c>
      <c r="AB520" s="69" t="e" cm="1">
        <f t="array" ref="AB520">_xlfn.XLOOKUP(Table1[[#This Row],[5 cm2 cell test code]:[5 cm2 cell test code]],[1]!Table1[[Test code]:[Test code]],[1]!Table1[E @ 100 mA/cm2 10 mM KOH/V],"",0)</f>
        <v>#REF!</v>
      </c>
      <c r="AC520" s="69" t="e" cm="1">
        <f t="array" ref="AC520">_xlfn.XLOOKUP(Table1[[#This Row],[5 cm2 cell test code]:[5 cm2 cell test code]],[1]!Table1[[Test code]:[Test code]],[1]!Table1[Anode ICR/mOhm],"",0)</f>
        <v>#REF!</v>
      </c>
      <c r="AD520" s="69" t="e" cm="1">
        <f t="array" ref="AD520">_xlfn.XLOOKUP(Table1[[#This Row],[5 cm2 cell test code]:[5 cm2 cell test code]],[1]!Table1[[Test code]:[Test code]],[1]!Table1[HFR DIW/ mOhm cm2],"",0)</f>
        <v>#REF!</v>
      </c>
      <c r="AE520" s="69" t="e" cm="1">
        <f t="array" ref="AE520">_xlfn.XLOOKUP(Table1[[#This Row],[5 cm2 cell test code]:[5 cm2 cell test code]],[1]!Table1[[Test code]:[Test code]],[1]!Table1[HFR 10 mM KOH/ mOhm cm2],"",0)</f>
        <v>#REF!</v>
      </c>
      <c r="AF520" s="69" t="e" cm="1">
        <f t="array" ref="AF520">_xlfn.XLOOKUP(Table1[[#This Row],[5 cm2 cell test code]:[5 cm2 cell test code]],[1]!Table1[[Test code]:[Test code]],[1]!Table1[Ionic resistance DIW/Ohm cm2],"",0)</f>
        <v>#REF!</v>
      </c>
      <c r="AG520" s="69" t="e" cm="1">
        <f t="array" ref="AG520">_xlfn.XLOOKUP(Table1[[#This Row],[5 cm2 cell test code]:[5 cm2 cell test code]],[1]!Table1[[Test code]:[Test code]],[1]!Table1[Q_int_frac DIW],"",0)</f>
        <v>#REF!</v>
      </c>
      <c r="AH520" s="69" t="e" cm="1">
        <f t="array" ref="AH520">_xlfn.XLOOKUP(Table1[[#This Row],[5 cm2 cell test code]:[5 cm2 cell test code]],[1]!Table1[[Test code]:[Test code]],[1]!Table1[Ionic resistance 10 mM KOH/Ohm cm2],"",0)</f>
        <v>#REF!</v>
      </c>
      <c r="AI520" s="69" t="e" cm="1">
        <f t="array" ref="AI520">_xlfn.XLOOKUP(Table1[[#This Row],[5 cm2 cell test code]:[5 cm2 cell test code]],[1]!Table1[[Test code]:[Test code]],[1]!Table1[Q_int_frac DIW 10 mM KOH],"",0)</f>
        <v>#REF!</v>
      </c>
      <c r="AJ520" s="69" t="e" cm="1">
        <f t="array" ref="AJ520">_xlfn.XLOOKUP(Table1[[#This Row],[5 cm2 cell test code]:[5 cm2 cell test code]],[1]!Table1[[Test code]:[Test code]],[1]!Table1[DIW conductivity (µS/cm)],"",0)</f>
        <v>#REF!</v>
      </c>
    </row>
    <row r="521" spans="1:36">
      <c r="A521" s="81"/>
      <c r="B521" s="207" t="s">
        <v>919</v>
      </c>
      <c r="C521" s="4" t="s">
        <v>780</v>
      </c>
      <c r="I521" s="11" t="s">
        <v>114</v>
      </c>
      <c r="J521" s="11" t="s">
        <v>869</v>
      </c>
      <c r="K521" s="211" t="s">
        <v>887</v>
      </c>
      <c r="L521" s="11" t="s">
        <v>888</v>
      </c>
      <c r="M521" s="13">
        <f>(64.07-63.54)*1000/(31.6*22.5)</f>
        <v>0.74542897327706625</v>
      </c>
      <c r="O521" s="19"/>
      <c r="P521" s="28">
        <v>0.97</v>
      </c>
      <c r="Q521" s="4">
        <v>4.0419388256192693E-2</v>
      </c>
      <c r="U521" s="101"/>
      <c r="V521" s="101"/>
      <c r="W521" s="69" t="e" cm="1">
        <f t="array" ref="W521">_xlfn.XLOOKUP(Table1[[#This Row],[5 cm2 cell test code]:[5 cm2 cell test code]],[1]!Table1[[Test code]:[Test code]],[1]!Table1[i @ 1.8 V DIW (A/cm2)],"",0)</f>
        <v>#REF!</v>
      </c>
      <c r="X521" s="69" t="e" cm="1">
        <f t="array" ref="X521">_xlfn.XLOOKUP(Table1[[#This Row],[5 cm2 cell test code]:[5 cm2 cell test code]],[1]!Table1[[Test code]:[Test code]],[1]!Table1[i @ 1.8 V 10 mM KOH (A/cm2)],"",0)</f>
        <v>#REF!</v>
      </c>
      <c r="Y521" s="69" t="e" cm="1">
        <f t="array" ref="Y521">_xlfn.XLOOKUP(Table1[[#This Row],[5 cm2 cell test code]:[5 cm2 cell test code]],[1]!Table1[[Test code]:[Test code]],[1]!Table1[3-E ƞ at 20mAcm-2 (mV)],"",0)</f>
        <v>#REF!</v>
      </c>
      <c r="Z521" s="69" t="e" cm="1">
        <f t="array" ref="Z521">_xlfn.XLOOKUP(Table1[[#This Row],[5 cm2 cell test code]:[5 cm2 cell test code]],[1]!Table1[[Test code]:[Test code]],[1]!Table1[3-E Tafel slope (mV/dec)],"",0)</f>
        <v>#REF!</v>
      </c>
      <c r="AA521" s="69" t="e" cm="1">
        <f t="array" ref="AA521">_xlfn.XLOOKUP(Table1[[#This Row],[5 cm2 cell test code]:[5 cm2 cell test code]],[1]!Table1[[Test code]:[Test code]],[1]!Table1[E @ 100 mA/cm2 DIW/V],"",0)</f>
        <v>#REF!</v>
      </c>
      <c r="AB521" s="69" t="e" cm="1">
        <f t="array" ref="AB521">_xlfn.XLOOKUP(Table1[[#This Row],[5 cm2 cell test code]:[5 cm2 cell test code]],[1]!Table1[[Test code]:[Test code]],[1]!Table1[E @ 100 mA/cm2 10 mM KOH/V],"",0)</f>
        <v>#REF!</v>
      </c>
      <c r="AC521" s="69" t="e" cm="1">
        <f t="array" ref="AC521">_xlfn.XLOOKUP(Table1[[#This Row],[5 cm2 cell test code]:[5 cm2 cell test code]],[1]!Table1[[Test code]:[Test code]],[1]!Table1[Anode ICR/mOhm],"",0)</f>
        <v>#REF!</v>
      </c>
      <c r="AD521" s="69" t="e" cm="1">
        <f t="array" ref="AD521">_xlfn.XLOOKUP(Table1[[#This Row],[5 cm2 cell test code]:[5 cm2 cell test code]],[1]!Table1[[Test code]:[Test code]],[1]!Table1[HFR DIW/ mOhm cm2],"",0)</f>
        <v>#REF!</v>
      </c>
      <c r="AE521" s="69" t="e" cm="1">
        <f t="array" ref="AE521">_xlfn.XLOOKUP(Table1[[#This Row],[5 cm2 cell test code]:[5 cm2 cell test code]],[1]!Table1[[Test code]:[Test code]],[1]!Table1[HFR 10 mM KOH/ mOhm cm2],"",0)</f>
        <v>#REF!</v>
      </c>
      <c r="AF521" s="69" t="e" cm="1">
        <f t="array" ref="AF521">_xlfn.XLOOKUP(Table1[[#This Row],[5 cm2 cell test code]:[5 cm2 cell test code]],[1]!Table1[[Test code]:[Test code]],[1]!Table1[Ionic resistance DIW/Ohm cm2],"",0)</f>
        <v>#REF!</v>
      </c>
      <c r="AG521" s="69" t="e" cm="1">
        <f t="array" ref="AG521">_xlfn.XLOOKUP(Table1[[#This Row],[5 cm2 cell test code]:[5 cm2 cell test code]],[1]!Table1[[Test code]:[Test code]],[1]!Table1[Q_int_frac DIW],"",0)</f>
        <v>#REF!</v>
      </c>
      <c r="AH521" s="69" t="e" cm="1">
        <f t="array" ref="AH521">_xlfn.XLOOKUP(Table1[[#This Row],[5 cm2 cell test code]:[5 cm2 cell test code]],[1]!Table1[[Test code]:[Test code]],[1]!Table1[Ionic resistance 10 mM KOH/Ohm cm2],"",0)</f>
        <v>#REF!</v>
      </c>
      <c r="AI521" s="69" t="e" cm="1">
        <f t="array" ref="AI521">_xlfn.XLOOKUP(Table1[[#This Row],[5 cm2 cell test code]:[5 cm2 cell test code]],[1]!Table1[[Test code]:[Test code]],[1]!Table1[Q_int_frac DIW 10 mM KOH],"",0)</f>
        <v>#REF!</v>
      </c>
      <c r="AJ521" s="69" t="e" cm="1">
        <f t="array" ref="AJ521">_xlfn.XLOOKUP(Table1[[#This Row],[5 cm2 cell test code]:[5 cm2 cell test code]],[1]!Table1[[Test code]:[Test code]],[1]!Table1[DIW conductivity (µS/cm)],"",0)</f>
        <v>#REF!</v>
      </c>
    </row>
    <row r="522" spans="1:36">
      <c r="A522" s="81"/>
      <c r="B522" s="11" t="s">
        <v>920</v>
      </c>
      <c r="C522" s="4" t="s">
        <v>879</v>
      </c>
      <c r="I522" s="11" t="s">
        <v>114</v>
      </c>
      <c r="J522" s="11" t="s">
        <v>869</v>
      </c>
      <c r="K522" s="211" t="s">
        <v>887</v>
      </c>
      <c r="L522" s="11" t="s">
        <v>888</v>
      </c>
      <c r="M522" s="13">
        <f>(63.91-63.79)*1000/(22.7*31.6)</f>
        <v>0.16728935482071799</v>
      </c>
      <c r="O522" s="11" t="s">
        <v>921</v>
      </c>
      <c r="P522" s="28">
        <v>0.98</v>
      </c>
      <c r="Q522" s="4">
        <v>4.6297945705829881E-2</v>
      </c>
      <c r="U522" s="101"/>
      <c r="V522" s="101"/>
      <c r="W522" s="69" t="e" cm="1">
        <f t="array" ref="W522">_xlfn.XLOOKUP(Table1[[#This Row],[5 cm2 cell test code]:[5 cm2 cell test code]],[1]!Table1[[Test code]:[Test code]],[1]!Table1[i @ 1.8 V DIW (A/cm2)],"",0)</f>
        <v>#REF!</v>
      </c>
      <c r="X522" s="69" t="e" cm="1">
        <f t="array" ref="X522">_xlfn.XLOOKUP(Table1[[#This Row],[5 cm2 cell test code]:[5 cm2 cell test code]],[1]!Table1[[Test code]:[Test code]],[1]!Table1[i @ 1.8 V 10 mM KOH (A/cm2)],"",0)</f>
        <v>#REF!</v>
      </c>
      <c r="Y522" s="69" t="e" cm="1">
        <f t="array" ref="Y522">_xlfn.XLOOKUP(Table1[[#This Row],[5 cm2 cell test code]:[5 cm2 cell test code]],[1]!Table1[[Test code]:[Test code]],[1]!Table1[3-E ƞ at 20mAcm-2 (mV)],"",0)</f>
        <v>#REF!</v>
      </c>
      <c r="Z522" s="69" t="e" cm="1">
        <f t="array" ref="Z522">_xlfn.XLOOKUP(Table1[[#This Row],[5 cm2 cell test code]:[5 cm2 cell test code]],[1]!Table1[[Test code]:[Test code]],[1]!Table1[3-E Tafel slope (mV/dec)],"",0)</f>
        <v>#REF!</v>
      </c>
      <c r="AA522" s="69" t="e" cm="1">
        <f t="array" ref="AA522">_xlfn.XLOOKUP(Table1[[#This Row],[5 cm2 cell test code]:[5 cm2 cell test code]],[1]!Table1[[Test code]:[Test code]],[1]!Table1[E @ 100 mA/cm2 DIW/V],"",0)</f>
        <v>#REF!</v>
      </c>
      <c r="AB522" s="69" t="e" cm="1">
        <f t="array" ref="AB522">_xlfn.XLOOKUP(Table1[[#This Row],[5 cm2 cell test code]:[5 cm2 cell test code]],[1]!Table1[[Test code]:[Test code]],[1]!Table1[E @ 100 mA/cm2 10 mM KOH/V],"",0)</f>
        <v>#REF!</v>
      </c>
      <c r="AC522" s="69" t="e" cm="1">
        <f t="array" ref="AC522">_xlfn.XLOOKUP(Table1[[#This Row],[5 cm2 cell test code]:[5 cm2 cell test code]],[1]!Table1[[Test code]:[Test code]],[1]!Table1[Anode ICR/mOhm],"",0)</f>
        <v>#REF!</v>
      </c>
      <c r="AD522" s="69" t="e" cm="1">
        <f t="array" ref="AD522">_xlfn.XLOOKUP(Table1[[#This Row],[5 cm2 cell test code]:[5 cm2 cell test code]],[1]!Table1[[Test code]:[Test code]],[1]!Table1[HFR DIW/ mOhm cm2],"",0)</f>
        <v>#REF!</v>
      </c>
      <c r="AE522" s="69" t="e" cm="1">
        <f t="array" ref="AE522">_xlfn.XLOOKUP(Table1[[#This Row],[5 cm2 cell test code]:[5 cm2 cell test code]],[1]!Table1[[Test code]:[Test code]],[1]!Table1[HFR 10 mM KOH/ mOhm cm2],"",0)</f>
        <v>#REF!</v>
      </c>
      <c r="AF522" s="69" t="e" cm="1">
        <f t="array" ref="AF522">_xlfn.XLOOKUP(Table1[[#This Row],[5 cm2 cell test code]:[5 cm2 cell test code]],[1]!Table1[[Test code]:[Test code]],[1]!Table1[Ionic resistance DIW/Ohm cm2],"",0)</f>
        <v>#REF!</v>
      </c>
      <c r="AG522" s="69" t="e" cm="1">
        <f t="array" ref="AG522">_xlfn.XLOOKUP(Table1[[#This Row],[5 cm2 cell test code]:[5 cm2 cell test code]],[1]!Table1[[Test code]:[Test code]],[1]!Table1[Q_int_frac DIW],"",0)</f>
        <v>#REF!</v>
      </c>
      <c r="AH522" s="69" t="e" cm="1">
        <f t="array" ref="AH522">_xlfn.XLOOKUP(Table1[[#This Row],[5 cm2 cell test code]:[5 cm2 cell test code]],[1]!Table1[[Test code]:[Test code]],[1]!Table1[Ionic resistance 10 mM KOH/Ohm cm2],"",0)</f>
        <v>#REF!</v>
      </c>
      <c r="AI522" s="69" t="e" cm="1">
        <f t="array" ref="AI522">_xlfn.XLOOKUP(Table1[[#This Row],[5 cm2 cell test code]:[5 cm2 cell test code]],[1]!Table1[[Test code]:[Test code]],[1]!Table1[Q_int_frac DIW 10 mM KOH],"",0)</f>
        <v>#REF!</v>
      </c>
      <c r="AJ522" s="69" t="e" cm="1">
        <f t="array" ref="AJ522">_xlfn.XLOOKUP(Table1[[#This Row],[5 cm2 cell test code]:[5 cm2 cell test code]],[1]!Table1[[Test code]:[Test code]],[1]!Table1[DIW conductivity (µS/cm)],"",0)</f>
        <v>#REF!</v>
      </c>
    </row>
    <row r="523" spans="1:36">
      <c r="A523" s="81"/>
      <c r="B523" s="11" t="s">
        <v>922</v>
      </c>
      <c r="C523" s="4" t="s">
        <v>473</v>
      </c>
      <c r="K523" s="89"/>
      <c r="L523" s="89"/>
      <c r="U523" s="101"/>
      <c r="V523" s="101"/>
      <c r="W523" s="69" t="e" cm="1">
        <f t="array" ref="W523">_xlfn.XLOOKUP(Table1[[#This Row],[5 cm2 cell test code]:[5 cm2 cell test code]],[1]!Table1[[Test code]:[Test code]],[1]!Table1[i @ 1.8 V DIW (A/cm2)],"",0)</f>
        <v>#REF!</v>
      </c>
      <c r="X523" s="69" t="e" cm="1">
        <f t="array" ref="X523">_xlfn.XLOOKUP(Table1[[#This Row],[5 cm2 cell test code]:[5 cm2 cell test code]],[1]!Table1[[Test code]:[Test code]],[1]!Table1[i @ 1.8 V 10 mM KOH (A/cm2)],"",0)</f>
        <v>#REF!</v>
      </c>
      <c r="Y523" s="69" t="e" cm="1">
        <f t="array" ref="Y523">_xlfn.XLOOKUP(Table1[[#This Row],[5 cm2 cell test code]:[5 cm2 cell test code]],[1]!Table1[[Test code]:[Test code]],[1]!Table1[3-E ƞ at 20mAcm-2 (mV)],"",0)</f>
        <v>#REF!</v>
      </c>
      <c r="Z523" s="69" t="e" cm="1">
        <f t="array" ref="Z523">_xlfn.XLOOKUP(Table1[[#This Row],[5 cm2 cell test code]:[5 cm2 cell test code]],[1]!Table1[[Test code]:[Test code]],[1]!Table1[3-E Tafel slope (mV/dec)],"",0)</f>
        <v>#REF!</v>
      </c>
      <c r="AA523" s="69" t="e" cm="1">
        <f t="array" ref="AA523">_xlfn.XLOOKUP(Table1[[#This Row],[5 cm2 cell test code]:[5 cm2 cell test code]],[1]!Table1[[Test code]:[Test code]],[1]!Table1[E @ 100 mA/cm2 DIW/V],"",0)</f>
        <v>#REF!</v>
      </c>
      <c r="AB523" s="69" t="e" cm="1">
        <f t="array" ref="AB523">_xlfn.XLOOKUP(Table1[[#This Row],[5 cm2 cell test code]:[5 cm2 cell test code]],[1]!Table1[[Test code]:[Test code]],[1]!Table1[E @ 100 mA/cm2 10 mM KOH/V],"",0)</f>
        <v>#REF!</v>
      </c>
      <c r="AC523" s="69" t="e" cm="1">
        <f t="array" ref="AC523">_xlfn.XLOOKUP(Table1[[#This Row],[5 cm2 cell test code]:[5 cm2 cell test code]],[1]!Table1[[Test code]:[Test code]],[1]!Table1[Anode ICR/mOhm],"",0)</f>
        <v>#REF!</v>
      </c>
      <c r="AD523" s="69" t="e" cm="1">
        <f t="array" ref="AD523">_xlfn.XLOOKUP(Table1[[#This Row],[5 cm2 cell test code]:[5 cm2 cell test code]],[1]!Table1[[Test code]:[Test code]],[1]!Table1[HFR DIW/ mOhm cm2],"",0)</f>
        <v>#REF!</v>
      </c>
      <c r="AE523" s="69" t="e" cm="1">
        <f t="array" ref="AE523">_xlfn.XLOOKUP(Table1[[#This Row],[5 cm2 cell test code]:[5 cm2 cell test code]],[1]!Table1[[Test code]:[Test code]],[1]!Table1[HFR 10 mM KOH/ mOhm cm2],"",0)</f>
        <v>#REF!</v>
      </c>
      <c r="AF523" s="69" t="e" cm="1">
        <f t="array" ref="AF523">_xlfn.XLOOKUP(Table1[[#This Row],[5 cm2 cell test code]:[5 cm2 cell test code]],[1]!Table1[[Test code]:[Test code]],[1]!Table1[Ionic resistance DIW/Ohm cm2],"",0)</f>
        <v>#REF!</v>
      </c>
      <c r="AG523" s="195" t="e" cm="1">
        <f t="array" ref="AG523">_xlfn.XLOOKUP(Table1[[#This Row],[5 cm2 cell test code]:[5 cm2 cell test code]],[1]!Table1[[Test code]:[Test code]],[1]!Table1[Q_int_frac DIW],"",0)</f>
        <v>#REF!</v>
      </c>
      <c r="AH523" s="195" t="e" cm="1">
        <f t="array" ref="AH523">_xlfn.XLOOKUP(Table1[[#This Row],[5 cm2 cell test code]:[5 cm2 cell test code]],[1]!Table1[[Test code]:[Test code]],[1]!Table1[Ionic resistance 10 mM KOH/Ohm cm2],"",0)</f>
        <v>#REF!</v>
      </c>
      <c r="AI523" s="195" t="e" cm="1">
        <f t="array" ref="AI523">_xlfn.XLOOKUP(Table1[[#This Row],[5 cm2 cell test code]:[5 cm2 cell test code]],[1]!Table1[[Test code]:[Test code]],[1]!Table1[Q_int_frac DIW 10 mM KOH],"",0)</f>
        <v>#REF!</v>
      </c>
      <c r="AJ523" s="69" t="e" cm="1">
        <f t="array" ref="AJ523">_xlfn.XLOOKUP(Table1[[#This Row],[5 cm2 cell test code]:[5 cm2 cell test code]],[1]!Table1[[Test code]:[Test code]],[1]!Table1[DIW conductivity (µS/cm)],"",0)</f>
        <v>#REF!</v>
      </c>
    </row>
    <row r="524" spans="1:36">
      <c r="A524" s="81"/>
      <c r="B524" s="11" t="s">
        <v>923</v>
      </c>
      <c r="C524" s="4" t="s">
        <v>473</v>
      </c>
      <c r="K524" s="89"/>
      <c r="L524" s="89"/>
      <c r="U524" s="101"/>
      <c r="V524" s="101"/>
      <c r="W524" s="69" t="e" cm="1">
        <f t="array" ref="W524">_xlfn.XLOOKUP(Table1[[#This Row],[5 cm2 cell test code]:[5 cm2 cell test code]],[1]!Table1[[Test code]:[Test code]],[1]!Table1[i @ 1.8 V DIW (A/cm2)],"",0)</f>
        <v>#REF!</v>
      </c>
      <c r="X524" s="69" t="e" cm="1">
        <f t="array" ref="X524">_xlfn.XLOOKUP(Table1[[#This Row],[5 cm2 cell test code]:[5 cm2 cell test code]],[1]!Table1[[Test code]:[Test code]],[1]!Table1[i @ 1.8 V 10 mM KOH (A/cm2)],"",0)</f>
        <v>#REF!</v>
      </c>
      <c r="Y524" s="69" t="e" cm="1">
        <f t="array" ref="Y524">_xlfn.XLOOKUP(Table1[[#This Row],[5 cm2 cell test code]:[5 cm2 cell test code]],[1]!Table1[[Test code]:[Test code]],[1]!Table1[3-E ƞ at 20mAcm-2 (mV)],"",0)</f>
        <v>#REF!</v>
      </c>
      <c r="Z524" s="69" t="e" cm="1">
        <f t="array" ref="Z524">_xlfn.XLOOKUP(Table1[[#This Row],[5 cm2 cell test code]:[5 cm2 cell test code]],[1]!Table1[[Test code]:[Test code]],[1]!Table1[3-E Tafel slope (mV/dec)],"",0)</f>
        <v>#REF!</v>
      </c>
      <c r="AA524" s="69" t="e" cm="1">
        <f t="array" ref="AA524">_xlfn.XLOOKUP(Table1[[#This Row],[5 cm2 cell test code]:[5 cm2 cell test code]],[1]!Table1[[Test code]:[Test code]],[1]!Table1[E @ 100 mA/cm2 DIW/V],"",0)</f>
        <v>#REF!</v>
      </c>
      <c r="AB524" s="69" t="e" cm="1">
        <f t="array" ref="AB524">_xlfn.XLOOKUP(Table1[[#This Row],[5 cm2 cell test code]:[5 cm2 cell test code]],[1]!Table1[[Test code]:[Test code]],[1]!Table1[E @ 100 mA/cm2 10 mM KOH/V],"",0)</f>
        <v>#REF!</v>
      </c>
      <c r="AC524" s="69" t="e" cm="1">
        <f t="array" ref="AC524">_xlfn.XLOOKUP(Table1[[#This Row],[5 cm2 cell test code]:[5 cm2 cell test code]],[1]!Table1[[Test code]:[Test code]],[1]!Table1[Anode ICR/mOhm],"",0)</f>
        <v>#REF!</v>
      </c>
      <c r="AD524" s="69" t="e" cm="1">
        <f t="array" ref="AD524">_xlfn.XLOOKUP(Table1[[#This Row],[5 cm2 cell test code]:[5 cm2 cell test code]],[1]!Table1[[Test code]:[Test code]],[1]!Table1[HFR DIW/ mOhm cm2],"",0)</f>
        <v>#REF!</v>
      </c>
      <c r="AE524" s="69" t="e" cm="1">
        <f t="array" ref="AE524">_xlfn.XLOOKUP(Table1[[#This Row],[5 cm2 cell test code]:[5 cm2 cell test code]],[1]!Table1[[Test code]:[Test code]],[1]!Table1[HFR 10 mM KOH/ mOhm cm2],"",0)</f>
        <v>#REF!</v>
      </c>
      <c r="AF524" s="69" t="e" cm="1">
        <f t="array" ref="AF524">_xlfn.XLOOKUP(Table1[[#This Row],[5 cm2 cell test code]:[5 cm2 cell test code]],[1]!Table1[[Test code]:[Test code]],[1]!Table1[Ionic resistance DIW/Ohm cm2],"",0)</f>
        <v>#REF!</v>
      </c>
      <c r="AG524" s="195" t="e" cm="1">
        <f t="array" ref="AG524">_xlfn.XLOOKUP(Table1[[#This Row],[5 cm2 cell test code]:[5 cm2 cell test code]],[1]!Table1[[Test code]:[Test code]],[1]!Table1[Q_int_frac DIW],"",0)</f>
        <v>#REF!</v>
      </c>
      <c r="AH524" s="195" t="e" cm="1">
        <f t="array" ref="AH524">_xlfn.XLOOKUP(Table1[[#This Row],[5 cm2 cell test code]:[5 cm2 cell test code]],[1]!Table1[[Test code]:[Test code]],[1]!Table1[Ionic resistance 10 mM KOH/Ohm cm2],"",0)</f>
        <v>#REF!</v>
      </c>
      <c r="AI524" s="195" t="e" cm="1">
        <f t="array" ref="AI524">_xlfn.XLOOKUP(Table1[[#This Row],[5 cm2 cell test code]:[5 cm2 cell test code]],[1]!Table1[[Test code]:[Test code]],[1]!Table1[Q_int_frac DIW 10 mM KOH],"",0)</f>
        <v>#REF!</v>
      </c>
      <c r="AJ524" s="69" t="e" cm="1">
        <f t="array" ref="AJ524">_xlfn.XLOOKUP(Table1[[#This Row],[5 cm2 cell test code]:[5 cm2 cell test code]],[1]!Table1[[Test code]:[Test code]],[1]!Table1[DIW conductivity (µS/cm)],"",0)</f>
        <v>#REF!</v>
      </c>
    </row>
    <row r="525" spans="1:36">
      <c r="A525" s="81"/>
      <c r="B525" s="11" t="s">
        <v>924</v>
      </c>
      <c r="C525" s="4" t="s">
        <v>871</v>
      </c>
      <c r="I525" s="11" t="s">
        <v>114</v>
      </c>
      <c r="J525" s="11" t="s">
        <v>869</v>
      </c>
      <c r="K525" s="211" t="s">
        <v>887</v>
      </c>
      <c r="L525" s="11" t="s">
        <v>888</v>
      </c>
      <c r="M525" s="13">
        <f>(64.01-63.85)*1000/(22.5*31.4)</f>
        <v>0.22646850672328903</v>
      </c>
      <c r="O525" s="11" t="s">
        <v>925</v>
      </c>
      <c r="P525" s="28">
        <v>0.94</v>
      </c>
      <c r="Q525" s="4">
        <v>3.9446660746431647E-2</v>
      </c>
      <c r="U525" s="101"/>
      <c r="V525" s="101"/>
      <c r="W525" s="69" t="e" cm="1">
        <f t="array" ref="W525">_xlfn.XLOOKUP(Table1[[#This Row],[5 cm2 cell test code]:[5 cm2 cell test code]],[1]!Table1[[Test code]:[Test code]],[1]!Table1[i @ 1.8 V DIW (A/cm2)],"",0)</f>
        <v>#REF!</v>
      </c>
      <c r="X525" s="69" t="e" cm="1">
        <f t="array" ref="X525">_xlfn.XLOOKUP(Table1[[#This Row],[5 cm2 cell test code]:[5 cm2 cell test code]],[1]!Table1[[Test code]:[Test code]],[1]!Table1[i @ 1.8 V 10 mM KOH (A/cm2)],"",0)</f>
        <v>#REF!</v>
      </c>
      <c r="Y525" s="69" t="e" cm="1">
        <f t="array" ref="Y525">_xlfn.XLOOKUP(Table1[[#This Row],[5 cm2 cell test code]:[5 cm2 cell test code]],[1]!Table1[[Test code]:[Test code]],[1]!Table1[3-E ƞ at 20mAcm-2 (mV)],"",0)</f>
        <v>#REF!</v>
      </c>
      <c r="Z525" s="69" t="e" cm="1">
        <f t="array" ref="Z525">_xlfn.XLOOKUP(Table1[[#This Row],[5 cm2 cell test code]:[5 cm2 cell test code]],[1]!Table1[[Test code]:[Test code]],[1]!Table1[3-E Tafel slope (mV/dec)],"",0)</f>
        <v>#REF!</v>
      </c>
      <c r="AA525" s="69" t="e" cm="1">
        <f t="array" ref="AA525">_xlfn.XLOOKUP(Table1[[#This Row],[5 cm2 cell test code]:[5 cm2 cell test code]],[1]!Table1[[Test code]:[Test code]],[1]!Table1[E @ 100 mA/cm2 DIW/V],"",0)</f>
        <v>#REF!</v>
      </c>
      <c r="AB525" s="69" t="e" cm="1">
        <f t="array" ref="AB525">_xlfn.XLOOKUP(Table1[[#This Row],[5 cm2 cell test code]:[5 cm2 cell test code]],[1]!Table1[[Test code]:[Test code]],[1]!Table1[E @ 100 mA/cm2 10 mM KOH/V],"",0)</f>
        <v>#REF!</v>
      </c>
      <c r="AC525" s="69" t="e" cm="1">
        <f t="array" ref="AC525">_xlfn.XLOOKUP(Table1[[#This Row],[5 cm2 cell test code]:[5 cm2 cell test code]],[1]!Table1[[Test code]:[Test code]],[1]!Table1[Anode ICR/mOhm],"",0)</f>
        <v>#REF!</v>
      </c>
      <c r="AD525" s="69" t="e" cm="1">
        <f t="array" ref="AD525">_xlfn.XLOOKUP(Table1[[#This Row],[5 cm2 cell test code]:[5 cm2 cell test code]],[1]!Table1[[Test code]:[Test code]],[1]!Table1[HFR DIW/ mOhm cm2],"",0)</f>
        <v>#REF!</v>
      </c>
      <c r="AE525" s="69" t="e" cm="1">
        <f t="array" ref="AE525">_xlfn.XLOOKUP(Table1[[#This Row],[5 cm2 cell test code]:[5 cm2 cell test code]],[1]!Table1[[Test code]:[Test code]],[1]!Table1[HFR 10 mM KOH/ mOhm cm2],"",0)</f>
        <v>#REF!</v>
      </c>
      <c r="AF525" s="69" t="e" cm="1">
        <f t="array" ref="AF525">_xlfn.XLOOKUP(Table1[[#This Row],[5 cm2 cell test code]:[5 cm2 cell test code]],[1]!Table1[[Test code]:[Test code]],[1]!Table1[Ionic resistance DIW/Ohm cm2],"",0)</f>
        <v>#REF!</v>
      </c>
      <c r="AG525" s="69" t="e" cm="1">
        <f t="array" ref="AG525">_xlfn.XLOOKUP(Table1[[#This Row],[5 cm2 cell test code]:[5 cm2 cell test code]],[1]!Table1[[Test code]:[Test code]],[1]!Table1[Q_int_frac DIW],"",0)</f>
        <v>#REF!</v>
      </c>
      <c r="AH525" s="69" t="e" cm="1">
        <f t="array" ref="AH525">_xlfn.XLOOKUP(Table1[[#This Row],[5 cm2 cell test code]:[5 cm2 cell test code]],[1]!Table1[[Test code]:[Test code]],[1]!Table1[Ionic resistance 10 mM KOH/Ohm cm2],"",0)</f>
        <v>#REF!</v>
      </c>
      <c r="AI525" s="69" t="e" cm="1">
        <f t="array" ref="AI525">_xlfn.XLOOKUP(Table1[[#This Row],[5 cm2 cell test code]:[5 cm2 cell test code]],[1]!Table1[[Test code]:[Test code]],[1]!Table1[Q_int_frac DIW 10 mM KOH],"",0)</f>
        <v>#REF!</v>
      </c>
      <c r="AJ525" s="69" t="e" cm="1">
        <f t="array" ref="AJ525">_xlfn.XLOOKUP(Table1[[#This Row],[5 cm2 cell test code]:[5 cm2 cell test code]],[1]!Table1[[Test code]:[Test code]],[1]!Table1[DIW conductivity (µS/cm)],"",0)</f>
        <v>#REF!</v>
      </c>
    </row>
    <row r="526" spans="1:36">
      <c r="A526" s="81"/>
      <c r="U526" s="101"/>
      <c r="V526" s="101"/>
      <c r="W526" s="69" t="e" cm="1">
        <f t="array" ref="W526">_xlfn.XLOOKUP(Table1[[#This Row],[5 cm2 cell test code]:[5 cm2 cell test code]],[1]!Table1[[Test code]:[Test code]],[1]!Table1[i @ 1.8 V DIW (A/cm2)],"",0)</f>
        <v>#REF!</v>
      </c>
      <c r="X526" s="69" t="e" cm="1">
        <f t="array" ref="X526">_xlfn.XLOOKUP(Table1[[#This Row],[5 cm2 cell test code]:[5 cm2 cell test code]],[1]!Table1[[Test code]:[Test code]],[1]!Table1[i @ 1.8 V 10 mM KOH (A/cm2)],"",0)</f>
        <v>#REF!</v>
      </c>
      <c r="Y526" s="69" t="e" cm="1">
        <f t="array" ref="Y526">_xlfn.XLOOKUP(Table1[[#This Row],[5 cm2 cell test code]:[5 cm2 cell test code]],[1]!Table1[[Test code]:[Test code]],[1]!Table1[3-E ƞ at 20mAcm-2 (mV)],"",0)</f>
        <v>#REF!</v>
      </c>
      <c r="Z526" s="69" t="e" cm="1">
        <f t="array" ref="Z526">_xlfn.XLOOKUP(Table1[[#This Row],[5 cm2 cell test code]:[5 cm2 cell test code]],[1]!Table1[[Test code]:[Test code]],[1]!Table1[3-E Tafel slope (mV/dec)],"",0)</f>
        <v>#REF!</v>
      </c>
      <c r="AA526" s="69" t="e" cm="1">
        <f t="array" ref="AA526">_xlfn.XLOOKUP(Table1[[#This Row],[5 cm2 cell test code]:[5 cm2 cell test code]],[1]!Table1[[Test code]:[Test code]],[1]!Table1[E @ 100 mA/cm2 DIW/V],"",0)</f>
        <v>#REF!</v>
      </c>
      <c r="AB526" s="69" t="e" cm="1">
        <f t="array" ref="AB526">_xlfn.XLOOKUP(Table1[[#This Row],[5 cm2 cell test code]:[5 cm2 cell test code]],[1]!Table1[[Test code]:[Test code]],[1]!Table1[E @ 100 mA/cm2 10 mM KOH/V],"",0)</f>
        <v>#REF!</v>
      </c>
      <c r="AC526" s="69" t="e" cm="1">
        <f t="array" ref="AC526">_xlfn.XLOOKUP(Table1[[#This Row],[5 cm2 cell test code]:[5 cm2 cell test code]],[1]!Table1[[Test code]:[Test code]],[1]!Table1[Anode ICR/mOhm],"",0)</f>
        <v>#REF!</v>
      </c>
      <c r="AD526" s="69" t="e" cm="1">
        <f t="array" ref="AD526">_xlfn.XLOOKUP(Table1[[#This Row],[5 cm2 cell test code]:[5 cm2 cell test code]],[1]!Table1[[Test code]:[Test code]],[1]!Table1[HFR DIW/ mOhm cm2],"",0)</f>
        <v>#REF!</v>
      </c>
      <c r="AE526" s="69" t="e" cm="1">
        <f t="array" ref="AE526">_xlfn.XLOOKUP(Table1[[#This Row],[5 cm2 cell test code]:[5 cm2 cell test code]],[1]!Table1[[Test code]:[Test code]],[1]!Table1[HFR 10 mM KOH/ mOhm cm2],"",0)</f>
        <v>#REF!</v>
      </c>
      <c r="AF526" s="69" t="e" cm="1">
        <f t="array" ref="AF526">_xlfn.XLOOKUP(Table1[[#This Row],[5 cm2 cell test code]:[5 cm2 cell test code]],[1]!Table1[[Test code]:[Test code]],[1]!Table1[Ionic resistance DIW/Ohm cm2],"",0)</f>
        <v>#REF!</v>
      </c>
      <c r="AG526" s="69" t="e" cm="1">
        <f t="array" ref="AG526">_xlfn.XLOOKUP(Table1[[#This Row],[5 cm2 cell test code]:[5 cm2 cell test code]],[1]!Table1[[Test code]:[Test code]],[1]!Table1[Q_int_frac DIW],"",0)</f>
        <v>#REF!</v>
      </c>
      <c r="AH526" s="69" t="e" cm="1">
        <f t="array" ref="AH526">_xlfn.XLOOKUP(Table1[[#This Row],[5 cm2 cell test code]:[5 cm2 cell test code]],[1]!Table1[[Test code]:[Test code]],[1]!Table1[Ionic resistance 10 mM KOH/Ohm cm2],"",0)</f>
        <v>#REF!</v>
      </c>
      <c r="AI526" s="69" t="e" cm="1">
        <f t="array" ref="AI526">_xlfn.XLOOKUP(Table1[[#This Row],[5 cm2 cell test code]:[5 cm2 cell test code]],[1]!Table1[[Test code]:[Test code]],[1]!Table1[Q_int_frac DIW 10 mM KOH],"",0)</f>
        <v>#REF!</v>
      </c>
      <c r="AJ526" s="69" t="e" cm="1">
        <f t="array" ref="AJ526">_xlfn.XLOOKUP(Table1[[#This Row],[5 cm2 cell test code]:[5 cm2 cell test code]],[1]!Table1[[Test code]:[Test code]],[1]!Table1[DIW conductivity (µS/cm)],"",0)</f>
        <v>#REF!</v>
      </c>
    </row>
    <row r="527" spans="1:36">
      <c r="A527" s="81"/>
      <c r="B527" s="207" t="s">
        <v>926</v>
      </c>
      <c r="C527" s="4" t="s">
        <v>834</v>
      </c>
      <c r="I527" s="11" t="s">
        <v>114</v>
      </c>
      <c r="J527" s="11" t="s">
        <v>869</v>
      </c>
      <c r="K527" s="211" t="s">
        <v>887</v>
      </c>
      <c r="L527" s="11" t="s">
        <v>888</v>
      </c>
      <c r="M527" s="25"/>
      <c r="O527" s="19"/>
      <c r="P527" s="28">
        <v>0.87</v>
      </c>
      <c r="Q527" s="14"/>
      <c r="U527" s="101"/>
      <c r="V527" s="101"/>
      <c r="W527" s="69" t="e" cm="1">
        <f t="array" ref="W527">_xlfn.XLOOKUP(Table1[[#This Row],[5 cm2 cell test code]:[5 cm2 cell test code]],[1]!Table1[[Test code]:[Test code]],[1]!Table1[i @ 1.8 V DIW (A/cm2)],"",0)</f>
        <v>#REF!</v>
      </c>
      <c r="X527" s="69" t="e" cm="1">
        <f t="array" ref="X527">_xlfn.XLOOKUP(Table1[[#This Row],[5 cm2 cell test code]:[5 cm2 cell test code]],[1]!Table1[[Test code]:[Test code]],[1]!Table1[i @ 1.8 V 10 mM KOH (A/cm2)],"",0)</f>
        <v>#REF!</v>
      </c>
      <c r="Y527" s="69" t="e" cm="1">
        <f t="array" ref="Y527">_xlfn.XLOOKUP(Table1[[#This Row],[5 cm2 cell test code]:[5 cm2 cell test code]],[1]!Table1[[Test code]:[Test code]],[1]!Table1[3-E ƞ at 20mAcm-2 (mV)],"",0)</f>
        <v>#REF!</v>
      </c>
      <c r="Z527" s="69" t="e" cm="1">
        <f t="array" ref="Z527">_xlfn.XLOOKUP(Table1[[#This Row],[5 cm2 cell test code]:[5 cm2 cell test code]],[1]!Table1[[Test code]:[Test code]],[1]!Table1[3-E Tafel slope (mV/dec)],"",0)</f>
        <v>#REF!</v>
      </c>
      <c r="AA527" s="69" t="e" cm="1">
        <f t="array" ref="AA527">_xlfn.XLOOKUP(Table1[[#This Row],[5 cm2 cell test code]:[5 cm2 cell test code]],[1]!Table1[[Test code]:[Test code]],[1]!Table1[E @ 100 mA/cm2 DIW/V],"",0)</f>
        <v>#REF!</v>
      </c>
      <c r="AB527" s="69" t="e" cm="1">
        <f t="array" ref="AB527">_xlfn.XLOOKUP(Table1[[#This Row],[5 cm2 cell test code]:[5 cm2 cell test code]],[1]!Table1[[Test code]:[Test code]],[1]!Table1[E @ 100 mA/cm2 10 mM KOH/V],"",0)</f>
        <v>#REF!</v>
      </c>
      <c r="AC527" s="69" t="e" cm="1">
        <f t="array" ref="AC527">_xlfn.XLOOKUP(Table1[[#This Row],[5 cm2 cell test code]:[5 cm2 cell test code]],[1]!Table1[[Test code]:[Test code]],[1]!Table1[Anode ICR/mOhm],"",0)</f>
        <v>#REF!</v>
      </c>
      <c r="AD527" s="69" t="e" cm="1">
        <f t="array" ref="AD527">_xlfn.XLOOKUP(Table1[[#This Row],[5 cm2 cell test code]:[5 cm2 cell test code]],[1]!Table1[[Test code]:[Test code]],[1]!Table1[HFR DIW/ mOhm cm2],"",0)</f>
        <v>#REF!</v>
      </c>
      <c r="AE527" s="69" t="e" cm="1">
        <f t="array" ref="AE527">_xlfn.XLOOKUP(Table1[[#This Row],[5 cm2 cell test code]:[5 cm2 cell test code]],[1]!Table1[[Test code]:[Test code]],[1]!Table1[HFR 10 mM KOH/ mOhm cm2],"",0)</f>
        <v>#REF!</v>
      </c>
      <c r="AF527" s="69" t="e" cm="1">
        <f t="array" ref="AF527">_xlfn.XLOOKUP(Table1[[#This Row],[5 cm2 cell test code]:[5 cm2 cell test code]],[1]!Table1[[Test code]:[Test code]],[1]!Table1[Ionic resistance DIW/Ohm cm2],"",0)</f>
        <v>#REF!</v>
      </c>
      <c r="AG527" s="69" t="e" cm="1">
        <f t="array" ref="AG527">_xlfn.XLOOKUP(Table1[[#This Row],[5 cm2 cell test code]:[5 cm2 cell test code]],[1]!Table1[[Test code]:[Test code]],[1]!Table1[Q_int_frac DIW],"",0)</f>
        <v>#REF!</v>
      </c>
      <c r="AH527" s="69" t="e" cm="1">
        <f t="array" ref="AH527">_xlfn.XLOOKUP(Table1[[#This Row],[5 cm2 cell test code]:[5 cm2 cell test code]],[1]!Table1[[Test code]:[Test code]],[1]!Table1[Ionic resistance 10 mM KOH/Ohm cm2],"",0)</f>
        <v>#REF!</v>
      </c>
      <c r="AI527" s="69" t="e" cm="1">
        <f t="array" ref="AI527">_xlfn.XLOOKUP(Table1[[#This Row],[5 cm2 cell test code]:[5 cm2 cell test code]],[1]!Table1[[Test code]:[Test code]],[1]!Table1[Q_int_frac DIW 10 mM KOH],"",0)</f>
        <v>#REF!</v>
      </c>
      <c r="AJ527" s="69" t="e" cm="1">
        <f t="array" ref="AJ527">_xlfn.XLOOKUP(Table1[[#This Row],[5 cm2 cell test code]:[5 cm2 cell test code]],[1]!Table1[[Test code]:[Test code]],[1]!Table1[DIW conductivity (µS/cm)],"",0)</f>
        <v>#REF!</v>
      </c>
    </row>
    <row r="528" spans="1:36">
      <c r="A528" s="81"/>
      <c r="B528" s="207" t="s">
        <v>927</v>
      </c>
      <c r="C528" s="4" t="s">
        <v>928</v>
      </c>
      <c r="I528" s="11" t="s">
        <v>114</v>
      </c>
      <c r="J528" s="11" t="s">
        <v>869</v>
      </c>
      <c r="K528" s="211" t="s">
        <v>887</v>
      </c>
      <c r="L528" s="11" t="s">
        <v>888</v>
      </c>
      <c r="M528" s="25"/>
      <c r="O528" s="19"/>
      <c r="P528" s="28">
        <v>0.97</v>
      </c>
      <c r="Q528" s="14"/>
      <c r="U528" s="101"/>
      <c r="V528" s="101"/>
      <c r="W528" s="69" t="e" cm="1">
        <f t="array" ref="W528">_xlfn.XLOOKUP(Table1[[#This Row],[5 cm2 cell test code]:[5 cm2 cell test code]],[1]!Table1[[Test code]:[Test code]],[1]!Table1[i @ 1.8 V DIW (A/cm2)],"",0)</f>
        <v>#REF!</v>
      </c>
      <c r="X528" s="69" t="e" cm="1">
        <f t="array" ref="X528">_xlfn.XLOOKUP(Table1[[#This Row],[5 cm2 cell test code]:[5 cm2 cell test code]],[1]!Table1[[Test code]:[Test code]],[1]!Table1[i @ 1.8 V 10 mM KOH (A/cm2)],"",0)</f>
        <v>#REF!</v>
      </c>
      <c r="Y528" s="69" t="e" cm="1">
        <f t="array" ref="Y528">_xlfn.XLOOKUP(Table1[[#This Row],[5 cm2 cell test code]:[5 cm2 cell test code]],[1]!Table1[[Test code]:[Test code]],[1]!Table1[3-E ƞ at 20mAcm-2 (mV)],"",0)</f>
        <v>#REF!</v>
      </c>
      <c r="Z528" s="69" t="e" cm="1">
        <f t="array" ref="Z528">_xlfn.XLOOKUP(Table1[[#This Row],[5 cm2 cell test code]:[5 cm2 cell test code]],[1]!Table1[[Test code]:[Test code]],[1]!Table1[3-E Tafel slope (mV/dec)],"",0)</f>
        <v>#REF!</v>
      </c>
      <c r="AA528" s="69" t="e" cm="1">
        <f t="array" ref="AA528">_xlfn.XLOOKUP(Table1[[#This Row],[5 cm2 cell test code]:[5 cm2 cell test code]],[1]!Table1[[Test code]:[Test code]],[1]!Table1[E @ 100 mA/cm2 DIW/V],"",0)</f>
        <v>#REF!</v>
      </c>
      <c r="AB528" s="69" t="e" cm="1">
        <f t="array" ref="AB528">_xlfn.XLOOKUP(Table1[[#This Row],[5 cm2 cell test code]:[5 cm2 cell test code]],[1]!Table1[[Test code]:[Test code]],[1]!Table1[E @ 100 mA/cm2 10 mM KOH/V],"",0)</f>
        <v>#REF!</v>
      </c>
      <c r="AC528" s="69" t="e" cm="1">
        <f t="array" ref="AC528">_xlfn.XLOOKUP(Table1[[#This Row],[5 cm2 cell test code]:[5 cm2 cell test code]],[1]!Table1[[Test code]:[Test code]],[1]!Table1[Anode ICR/mOhm],"",0)</f>
        <v>#REF!</v>
      </c>
      <c r="AD528" s="69" t="e" cm="1">
        <f t="array" ref="AD528">_xlfn.XLOOKUP(Table1[[#This Row],[5 cm2 cell test code]:[5 cm2 cell test code]],[1]!Table1[[Test code]:[Test code]],[1]!Table1[HFR DIW/ mOhm cm2],"",0)</f>
        <v>#REF!</v>
      </c>
      <c r="AE528" s="69" t="e" cm="1">
        <f t="array" ref="AE528">_xlfn.XLOOKUP(Table1[[#This Row],[5 cm2 cell test code]:[5 cm2 cell test code]],[1]!Table1[[Test code]:[Test code]],[1]!Table1[HFR 10 mM KOH/ mOhm cm2],"",0)</f>
        <v>#REF!</v>
      </c>
      <c r="AF528" s="69" t="e" cm="1">
        <f t="array" ref="AF528">_xlfn.XLOOKUP(Table1[[#This Row],[5 cm2 cell test code]:[5 cm2 cell test code]],[1]!Table1[[Test code]:[Test code]],[1]!Table1[Ionic resistance DIW/Ohm cm2],"",0)</f>
        <v>#REF!</v>
      </c>
      <c r="AG528" s="69" t="e" cm="1">
        <f t="array" ref="AG528">_xlfn.XLOOKUP(Table1[[#This Row],[5 cm2 cell test code]:[5 cm2 cell test code]],[1]!Table1[[Test code]:[Test code]],[1]!Table1[Q_int_frac DIW],"",0)</f>
        <v>#REF!</v>
      </c>
      <c r="AH528" s="69" t="e" cm="1">
        <f t="array" ref="AH528">_xlfn.XLOOKUP(Table1[[#This Row],[5 cm2 cell test code]:[5 cm2 cell test code]],[1]!Table1[[Test code]:[Test code]],[1]!Table1[Ionic resistance 10 mM KOH/Ohm cm2],"",0)</f>
        <v>#REF!</v>
      </c>
      <c r="AI528" s="69" t="e" cm="1">
        <f t="array" ref="AI528">_xlfn.XLOOKUP(Table1[[#This Row],[5 cm2 cell test code]:[5 cm2 cell test code]],[1]!Table1[[Test code]:[Test code]],[1]!Table1[Q_int_frac DIW 10 mM KOH],"",0)</f>
        <v>#REF!</v>
      </c>
      <c r="AJ528" s="69" t="e" cm="1">
        <f t="array" ref="AJ528">_xlfn.XLOOKUP(Table1[[#This Row],[5 cm2 cell test code]:[5 cm2 cell test code]],[1]!Table1[[Test code]:[Test code]],[1]!Table1[DIW conductivity (µS/cm)],"",0)</f>
        <v>#REF!</v>
      </c>
    </row>
    <row r="529" spans="1:36">
      <c r="A529" s="81"/>
      <c r="U529" s="101"/>
      <c r="V529" s="101"/>
      <c r="W529" s="69" t="e" cm="1">
        <f t="array" ref="W529">_xlfn.XLOOKUP(Table1[[#This Row],[5 cm2 cell test code]:[5 cm2 cell test code]],[1]!Table1[[Test code]:[Test code]],[1]!Table1[i @ 1.8 V DIW (A/cm2)],"",0)</f>
        <v>#REF!</v>
      </c>
      <c r="X529" s="69" t="e" cm="1">
        <f t="array" ref="X529">_xlfn.XLOOKUP(Table1[[#This Row],[5 cm2 cell test code]:[5 cm2 cell test code]],[1]!Table1[[Test code]:[Test code]],[1]!Table1[i @ 1.8 V 10 mM KOH (A/cm2)],"",0)</f>
        <v>#REF!</v>
      </c>
      <c r="Y529" s="69" t="e" cm="1">
        <f t="array" ref="Y529">_xlfn.XLOOKUP(Table1[[#This Row],[5 cm2 cell test code]:[5 cm2 cell test code]],[1]!Table1[[Test code]:[Test code]],[1]!Table1[3-E ƞ at 20mAcm-2 (mV)],"",0)</f>
        <v>#REF!</v>
      </c>
      <c r="Z529" s="69" t="e" cm="1">
        <f t="array" ref="Z529">_xlfn.XLOOKUP(Table1[[#This Row],[5 cm2 cell test code]:[5 cm2 cell test code]],[1]!Table1[[Test code]:[Test code]],[1]!Table1[3-E Tafel slope (mV/dec)],"",0)</f>
        <v>#REF!</v>
      </c>
      <c r="AA529" s="69" t="e" cm="1">
        <f t="array" ref="AA529">_xlfn.XLOOKUP(Table1[[#This Row],[5 cm2 cell test code]:[5 cm2 cell test code]],[1]!Table1[[Test code]:[Test code]],[1]!Table1[E @ 100 mA/cm2 DIW/V],"",0)</f>
        <v>#REF!</v>
      </c>
      <c r="AB529" s="69" t="e" cm="1">
        <f t="array" ref="AB529">_xlfn.XLOOKUP(Table1[[#This Row],[5 cm2 cell test code]:[5 cm2 cell test code]],[1]!Table1[[Test code]:[Test code]],[1]!Table1[E @ 100 mA/cm2 10 mM KOH/V],"",0)</f>
        <v>#REF!</v>
      </c>
      <c r="AC529" s="69" t="e" cm="1">
        <f t="array" ref="AC529">_xlfn.XLOOKUP(Table1[[#This Row],[5 cm2 cell test code]:[5 cm2 cell test code]],[1]!Table1[[Test code]:[Test code]],[1]!Table1[Anode ICR/mOhm],"",0)</f>
        <v>#REF!</v>
      </c>
      <c r="AD529" s="69" t="e" cm="1">
        <f t="array" ref="AD529">_xlfn.XLOOKUP(Table1[[#This Row],[5 cm2 cell test code]:[5 cm2 cell test code]],[1]!Table1[[Test code]:[Test code]],[1]!Table1[HFR DIW/ mOhm cm2],"",0)</f>
        <v>#REF!</v>
      </c>
      <c r="AE529" s="69" t="e" cm="1">
        <f t="array" ref="AE529">_xlfn.XLOOKUP(Table1[[#This Row],[5 cm2 cell test code]:[5 cm2 cell test code]],[1]!Table1[[Test code]:[Test code]],[1]!Table1[HFR 10 mM KOH/ mOhm cm2],"",0)</f>
        <v>#REF!</v>
      </c>
      <c r="AF529" s="69" t="e" cm="1">
        <f t="array" ref="AF529">_xlfn.XLOOKUP(Table1[[#This Row],[5 cm2 cell test code]:[5 cm2 cell test code]],[1]!Table1[[Test code]:[Test code]],[1]!Table1[Ionic resistance DIW/Ohm cm2],"",0)</f>
        <v>#REF!</v>
      </c>
      <c r="AG529" s="69" t="e" cm="1">
        <f t="array" ref="AG529">_xlfn.XLOOKUP(Table1[[#This Row],[5 cm2 cell test code]:[5 cm2 cell test code]],[1]!Table1[[Test code]:[Test code]],[1]!Table1[Q_int_frac DIW],"",0)</f>
        <v>#REF!</v>
      </c>
      <c r="AH529" s="69" t="e" cm="1">
        <f t="array" ref="AH529">_xlfn.XLOOKUP(Table1[[#This Row],[5 cm2 cell test code]:[5 cm2 cell test code]],[1]!Table1[[Test code]:[Test code]],[1]!Table1[Ionic resistance 10 mM KOH/Ohm cm2],"",0)</f>
        <v>#REF!</v>
      </c>
      <c r="AI529" s="69" t="e" cm="1">
        <f t="array" ref="AI529">_xlfn.XLOOKUP(Table1[[#This Row],[5 cm2 cell test code]:[5 cm2 cell test code]],[1]!Table1[[Test code]:[Test code]],[1]!Table1[Q_int_frac DIW 10 mM KOH],"",0)</f>
        <v>#REF!</v>
      </c>
      <c r="AJ529" s="69" t="e" cm="1">
        <f t="array" ref="AJ529">_xlfn.XLOOKUP(Table1[[#This Row],[5 cm2 cell test code]:[5 cm2 cell test code]],[1]!Table1[[Test code]:[Test code]],[1]!Table1[DIW conductivity (µS/cm)],"",0)</f>
        <v>#REF!</v>
      </c>
    </row>
    <row r="530" spans="1:36">
      <c r="A530" s="81"/>
      <c r="B530" s="207" t="s">
        <v>929</v>
      </c>
      <c r="C530" s="4" t="s">
        <v>834</v>
      </c>
      <c r="I530" s="11" t="s">
        <v>114</v>
      </c>
      <c r="J530" s="11" t="s">
        <v>869</v>
      </c>
      <c r="K530" s="211" t="s">
        <v>887</v>
      </c>
      <c r="L530" s="11" t="s">
        <v>888</v>
      </c>
      <c r="M530" s="25"/>
      <c r="O530" s="19"/>
      <c r="P530" s="28">
        <v>0.99</v>
      </c>
      <c r="Q530" s="4">
        <v>4.1139258643316218E-2</v>
      </c>
      <c r="U530" s="101"/>
      <c r="V530" s="101"/>
      <c r="W530" s="69" t="e" cm="1">
        <f t="array" ref="W530">_xlfn.XLOOKUP(Table1[[#This Row],[5 cm2 cell test code]:[5 cm2 cell test code]],[1]!Table1[[Test code]:[Test code]],[1]!Table1[i @ 1.8 V DIW (A/cm2)],"",0)</f>
        <v>#REF!</v>
      </c>
      <c r="X530" s="69" t="e" cm="1">
        <f t="array" ref="X530">_xlfn.XLOOKUP(Table1[[#This Row],[5 cm2 cell test code]:[5 cm2 cell test code]],[1]!Table1[[Test code]:[Test code]],[1]!Table1[i @ 1.8 V 10 mM KOH (A/cm2)],"",0)</f>
        <v>#REF!</v>
      </c>
      <c r="Y530" s="69" t="e" cm="1">
        <f t="array" ref="Y530">_xlfn.XLOOKUP(Table1[[#This Row],[5 cm2 cell test code]:[5 cm2 cell test code]],[1]!Table1[[Test code]:[Test code]],[1]!Table1[3-E ƞ at 20mAcm-2 (mV)],"",0)</f>
        <v>#REF!</v>
      </c>
      <c r="Z530" s="69" t="e" cm="1">
        <f t="array" ref="Z530">_xlfn.XLOOKUP(Table1[[#This Row],[5 cm2 cell test code]:[5 cm2 cell test code]],[1]!Table1[[Test code]:[Test code]],[1]!Table1[3-E Tafel slope (mV/dec)],"",0)</f>
        <v>#REF!</v>
      </c>
      <c r="AA530" s="69" t="e" cm="1">
        <f t="array" ref="AA530">_xlfn.XLOOKUP(Table1[[#This Row],[5 cm2 cell test code]:[5 cm2 cell test code]],[1]!Table1[[Test code]:[Test code]],[1]!Table1[E @ 100 mA/cm2 DIW/V],"",0)</f>
        <v>#REF!</v>
      </c>
      <c r="AB530" s="69" t="e" cm="1">
        <f t="array" ref="AB530">_xlfn.XLOOKUP(Table1[[#This Row],[5 cm2 cell test code]:[5 cm2 cell test code]],[1]!Table1[[Test code]:[Test code]],[1]!Table1[E @ 100 mA/cm2 10 mM KOH/V],"",0)</f>
        <v>#REF!</v>
      </c>
      <c r="AC530" s="69" t="e" cm="1">
        <f t="array" ref="AC530">_xlfn.XLOOKUP(Table1[[#This Row],[5 cm2 cell test code]:[5 cm2 cell test code]],[1]!Table1[[Test code]:[Test code]],[1]!Table1[Anode ICR/mOhm],"",0)</f>
        <v>#REF!</v>
      </c>
      <c r="AD530" s="69" t="e" cm="1">
        <f t="array" ref="AD530">_xlfn.XLOOKUP(Table1[[#This Row],[5 cm2 cell test code]:[5 cm2 cell test code]],[1]!Table1[[Test code]:[Test code]],[1]!Table1[HFR DIW/ mOhm cm2],"",0)</f>
        <v>#REF!</v>
      </c>
      <c r="AE530" s="69" t="e" cm="1">
        <f t="array" ref="AE530">_xlfn.XLOOKUP(Table1[[#This Row],[5 cm2 cell test code]:[5 cm2 cell test code]],[1]!Table1[[Test code]:[Test code]],[1]!Table1[HFR 10 mM KOH/ mOhm cm2],"",0)</f>
        <v>#REF!</v>
      </c>
      <c r="AF530" s="69" t="e" cm="1">
        <f t="array" ref="AF530">_xlfn.XLOOKUP(Table1[[#This Row],[5 cm2 cell test code]:[5 cm2 cell test code]],[1]!Table1[[Test code]:[Test code]],[1]!Table1[Ionic resistance DIW/Ohm cm2],"",0)</f>
        <v>#REF!</v>
      </c>
      <c r="AG530" s="69" t="e" cm="1">
        <f t="array" ref="AG530">_xlfn.XLOOKUP(Table1[[#This Row],[5 cm2 cell test code]:[5 cm2 cell test code]],[1]!Table1[[Test code]:[Test code]],[1]!Table1[Q_int_frac DIW],"",0)</f>
        <v>#REF!</v>
      </c>
      <c r="AH530" s="69" t="e" cm="1">
        <f t="array" ref="AH530">_xlfn.XLOOKUP(Table1[[#This Row],[5 cm2 cell test code]:[5 cm2 cell test code]],[1]!Table1[[Test code]:[Test code]],[1]!Table1[Ionic resistance 10 mM KOH/Ohm cm2],"",0)</f>
        <v>#REF!</v>
      </c>
      <c r="AI530" s="69" t="e" cm="1">
        <f t="array" ref="AI530">_xlfn.XLOOKUP(Table1[[#This Row],[5 cm2 cell test code]:[5 cm2 cell test code]],[1]!Table1[[Test code]:[Test code]],[1]!Table1[Q_int_frac DIW 10 mM KOH],"",0)</f>
        <v>#REF!</v>
      </c>
      <c r="AJ530" s="69" t="e" cm="1">
        <f t="array" ref="AJ530">_xlfn.XLOOKUP(Table1[[#This Row],[5 cm2 cell test code]:[5 cm2 cell test code]],[1]!Table1[[Test code]:[Test code]],[1]!Table1[DIW conductivity (µS/cm)],"",0)</f>
        <v>#REF!</v>
      </c>
    </row>
    <row r="531" spans="1:36">
      <c r="A531" s="81"/>
      <c r="B531" s="207" t="s">
        <v>930</v>
      </c>
      <c r="C531" s="4" t="s">
        <v>928</v>
      </c>
      <c r="I531" s="11" t="s">
        <v>114</v>
      </c>
      <c r="J531" s="11" t="s">
        <v>869</v>
      </c>
      <c r="K531" s="211" t="s">
        <v>887</v>
      </c>
      <c r="L531" s="11" t="s">
        <v>888</v>
      </c>
      <c r="M531" s="25"/>
      <c r="O531" s="19"/>
      <c r="P531" s="28">
        <v>0.96</v>
      </c>
      <c r="Q531" s="4">
        <v>3.621690244757788E-2</v>
      </c>
      <c r="U531" s="101"/>
      <c r="V531" s="101"/>
      <c r="W531" s="69" t="e" cm="1">
        <f t="array" ref="W531">_xlfn.XLOOKUP(Table1[[#This Row],[5 cm2 cell test code]:[5 cm2 cell test code]],[1]!Table1[[Test code]:[Test code]],[1]!Table1[i @ 1.8 V DIW (A/cm2)],"",0)</f>
        <v>#REF!</v>
      </c>
      <c r="X531" s="69" t="e" cm="1">
        <f t="array" ref="X531">_xlfn.XLOOKUP(Table1[[#This Row],[5 cm2 cell test code]:[5 cm2 cell test code]],[1]!Table1[[Test code]:[Test code]],[1]!Table1[i @ 1.8 V 10 mM KOH (A/cm2)],"",0)</f>
        <v>#REF!</v>
      </c>
      <c r="Y531" s="69" t="e" cm="1">
        <f t="array" ref="Y531">_xlfn.XLOOKUP(Table1[[#This Row],[5 cm2 cell test code]:[5 cm2 cell test code]],[1]!Table1[[Test code]:[Test code]],[1]!Table1[3-E ƞ at 20mAcm-2 (mV)],"",0)</f>
        <v>#REF!</v>
      </c>
      <c r="Z531" s="69" t="e" cm="1">
        <f t="array" ref="Z531">_xlfn.XLOOKUP(Table1[[#This Row],[5 cm2 cell test code]:[5 cm2 cell test code]],[1]!Table1[[Test code]:[Test code]],[1]!Table1[3-E Tafel slope (mV/dec)],"",0)</f>
        <v>#REF!</v>
      </c>
      <c r="AA531" s="69" t="e" cm="1">
        <f t="array" ref="AA531">_xlfn.XLOOKUP(Table1[[#This Row],[5 cm2 cell test code]:[5 cm2 cell test code]],[1]!Table1[[Test code]:[Test code]],[1]!Table1[E @ 100 mA/cm2 DIW/V],"",0)</f>
        <v>#REF!</v>
      </c>
      <c r="AB531" s="69" t="e" cm="1">
        <f t="array" ref="AB531">_xlfn.XLOOKUP(Table1[[#This Row],[5 cm2 cell test code]:[5 cm2 cell test code]],[1]!Table1[[Test code]:[Test code]],[1]!Table1[E @ 100 mA/cm2 10 mM KOH/V],"",0)</f>
        <v>#REF!</v>
      </c>
      <c r="AC531" s="69" t="e" cm="1">
        <f t="array" ref="AC531">_xlfn.XLOOKUP(Table1[[#This Row],[5 cm2 cell test code]:[5 cm2 cell test code]],[1]!Table1[[Test code]:[Test code]],[1]!Table1[Anode ICR/mOhm],"",0)</f>
        <v>#REF!</v>
      </c>
      <c r="AD531" s="69" t="e" cm="1">
        <f t="array" ref="AD531">_xlfn.XLOOKUP(Table1[[#This Row],[5 cm2 cell test code]:[5 cm2 cell test code]],[1]!Table1[[Test code]:[Test code]],[1]!Table1[HFR DIW/ mOhm cm2],"",0)</f>
        <v>#REF!</v>
      </c>
      <c r="AE531" s="69" t="e" cm="1">
        <f t="array" ref="AE531">_xlfn.XLOOKUP(Table1[[#This Row],[5 cm2 cell test code]:[5 cm2 cell test code]],[1]!Table1[[Test code]:[Test code]],[1]!Table1[HFR 10 mM KOH/ mOhm cm2],"",0)</f>
        <v>#REF!</v>
      </c>
      <c r="AF531" s="69" t="e" cm="1">
        <f t="array" ref="AF531">_xlfn.XLOOKUP(Table1[[#This Row],[5 cm2 cell test code]:[5 cm2 cell test code]],[1]!Table1[[Test code]:[Test code]],[1]!Table1[Ionic resistance DIW/Ohm cm2],"",0)</f>
        <v>#REF!</v>
      </c>
      <c r="AG531" s="69" t="e" cm="1">
        <f t="array" ref="AG531">_xlfn.XLOOKUP(Table1[[#This Row],[5 cm2 cell test code]:[5 cm2 cell test code]],[1]!Table1[[Test code]:[Test code]],[1]!Table1[Q_int_frac DIW],"",0)</f>
        <v>#REF!</v>
      </c>
      <c r="AH531" s="69" t="e" cm="1">
        <f t="array" ref="AH531">_xlfn.XLOOKUP(Table1[[#This Row],[5 cm2 cell test code]:[5 cm2 cell test code]],[1]!Table1[[Test code]:[Test code]],[1]!Table1[Ionic resistance 10 mM KOH/Ohm cm2],"",0)</f>
        <v>#REF!</v>
      </c>
      <c r="AI531" s="69" t="e" cm="1">
        <f t="array" ref="AI531">_xlfn.XLOOKUP(Table1[[#This Row],[5 cm2 cell test code]:[5 cm2 cell test code]],[1]!Table1[[Test code]:[Test code]],[1]!Table1[Q_int_frac DIW 10 mM KOH],"",0)</f>
        <v>#REF!</v>
      </c>
      <c r="AJ531" s="69" t="e" cm="1">
        <f t="array" ref="AJ531">_xlfn.XLOOKUP(Table1[[#This Row],[5 cm2 cell test code]:[5 cm2 cell test code]],[1]!Table1[[Test code]:[Test code]],[1]!Table1[DIW conductivity (µS/cm)],"",0)</f>
        <v>#REF!</v>
      </c>
    </row>
    <row r="532" spans="1:36">
      <c r="A532" s="81"/>
      <c r="B532" s="207" t="s">
        <v>931</v>
      </c>
      <c r="C532" s="4" t="s">
        <v>932</v>
      </c>
      <c r="I532" s="11" t="s">
        <v>114</v>
      </c>
      <c r="J532" s="11" t="s">
        <v>869</v>
      </c>
      <c r="K532" s="211" t="s">
        <v>887</v>
      </c>
      <c r="L532" s="11" t="s">
        <v>888</v>
      </c>
      <c r="M532" s="25"/>
      <c r="O532" s="19"/>
      <c r="P532" s="27"/>
      <c r="Q532" s="14"/>
      <c r="U532" s="101"/>
      <c r="V532" s="101"/>
      <c r="W532" s="69" t="e" cm="1">
        <f t="array" ref="W532">_xlfn.XLOOKUP(Table1[[#This Row],[5 cm2 cell test code]:[5 cm2 cell test code]],[1]!Table1[[Test code]:[Test code]],[1]!Table1[i @ 1.8 V DIW (A/cm2)],"",0)</f>
        <v>#REF!</v>
      </c>
      <c r="X532" s="69" t="e" cm="1">
        <f t="array" ref="X532">_xlfn.XLOOKUP(Table1[[#This Row],[5 cm2 cell test code]:[5 cm2 cell test code]],[1]!Table1[[Test code]:[Test code]],[1]!Table1[i @ 1.8 V 10 mM KOH (A/cm2)],"",0)</f>
        <v>#REF!</v>
      </c>
      <c r="Y532" s="69" t="e" cm="1">
        <f t="array" ref="Y532">_xlfn.XLOOKUP(Table1[[#This Row],[5 cm2 cell test code]:[5 cm2 cell test code]],[1]!Table1[[Test code]:[Test code]],[1]!Table1[3-E ƞ at 20mAcm-2 (mV)],"",0)</f>
        <v>#REF!</v>
      </c>
      <c r="Z532" s="69" t="e" cm="1">
        <f t="array" ref="Z532">_xlfn.XLOOKUP(Table1[[#This Row],[5 cm2 cell test code]:[5 cm2 cell test code]],[1]!Table1[[Test code]:[Test code]],[1]!Table1[3-E Tafel slope (mV/dec)],"",0)</f>
        <v>#REF!</v>
      </c>
      <c r="AA532" s="69" t="e" cm="1">
        <f t="array" ref="AA532">_xlfn.XLOOKUP(Table1[[#This Row],[5 cm2 cell test code]:[5 cm2 cell test code]],[1]!Table1[[Test code]:[Test code]],[1]!Table1[E @ 100 mA/cm2 DIW/V],"",0)</f>
        <v>#REF!</v>
      </c>
      <c r="AB532" s="69" t="e" cm="1">
        <f t="array" ref="AB532">_xlfn.XLOOKUP(Table1[[#This Row],[5 cm2 cell test code]:[5 cm2 cell test code]],[1]!Table1[[Test code]:[Test code]],[1]!Table1[E @ 100 mA/cm2 10 mM KOH/V],"",0)</f>
        <v>#REF!</v>
      </c>
      <c r="AC532" s="69" t="e" cm="1">
        <f t="array" ref="AC532">_xlfn.XLOOKUP(Table1[[#This Row],[5 cm2 cell test code]:[5 cm2 cell test code]],[1]!Table1[[Test code]:[Test code]],[1]!Table1[Anode ICR/mOhm],"",0)</f>
        <v>#REF!</v>
      </c>
      <c r="AD532" s="69" t="e" cm="1">
        <f t="array" ref="AD532">_xlfn.XLOOKUP(Table1[[#This Row],[5 cm2 cell test code]:[5 cm2 cell test code]],[1]!Table1[[Test code]:[Test code]],[1]!Table1[HFR DIW/ mOhm cm2],"",0)</f>
        <v>#REF!</v>
      </c>
      <c r="AE532" s="69" t="e" cm="1">
        <f t="array" ref="AE532">_xlfn.XLOOKUP(Table1[[#This Row],[5 cm2 cell test code]:[5 cm2 cell test code]],[1]!Table1[[Test code]:[Test code]],[1]!Table1[HFR 10 mM KOH/ mOhm cm2],"",0)</f>
        <v>#REF!</v>
      </c>
      <c r="AF532" s="69" t="e" cm="1">
        <f t="array" ref="AF532">_xlfn.XLOOKUP(Table1[[#This Row],[5 cm2 cell test code]:[5 cm2 cell test code]],[1]!Table1[[Test code]:[Test code]],[1]!Table1[Ionic resistance DIW/Ohm cm2],"",0)</f>
        <v>#REF!</v>
      </c>
      <c r="AG532" s="69" t="e" cm="1">
        <f t="array" ref="AG532">_xlfn.XLOOKUP(Table1[[#This Row],[5 cm2 cell test code]:[5 cm2 cell test code]],[1]!Table1[[Test code]:[Test code]],[1]!Table1[Q_int_frac DIW],"",0)</f>
        <v>#REF!</v>
      </c>
      <c r="AH532" s="69" t="e" cm="1">
        <f t="array" ref="AH532">_xlfn.XLOOKUP(Table1[[#This Row],[5 cm2 cell test code]:[5 cm2 cell test code]],[1]!Table1[[Test code]:[Test code]],[1]!Table1[Ionic resistance 10 mM KOH/Ohm cm2],"",0)</f>
        <v>#REF!</v>
      </c>
      <c r="AI532" s="69" t="e" cm="1">
        <f t="array" ref="AI532">_xlfn.XLOOKUP(Table1[[#This Row],[5 cm2 cell test code]:[5 cm2 cell test code]],[1]!Table1[[Test code]:[Test code]],[1]!Table1[Q_int_frac DIW 10 mM KOH],"",0)</f>
        <v>#REF!</v>
      </c>
      <c r="AJ532" s="69" t="e" cm="1">
        <f t="array" ref="AJ532">_xlfn.XLOOKUP(Table1[[#This Row],[5 cm2 cell test code]:[5 cm2 cell test code]],[1]!Table1[[Test code]:[Test code]],[1]!Table1[DIW conductivity (µS/cm)],"",0)</f>
        <v>#REF!</v>
      </c>
    </row>
    <row r="533" spans="1:36">
      <c r="A533" s="81"/>
      <c r="B533" s="207" t="s">
        <v>933</v>
      </c>
      <c r="C533" s="4" t="s">
        <v>928</v>
      </c>
      <c r="I533" s="11" t="s">
        <v>114</v>
      </c>
      <c r="J533" s="11" t="s">
        <v>869</v>
      </c>
      <c r="K533" s="211" t="s">
        <v>887</v>
      </c>
      <c r="L533" s="11" t="s">
        <v>888</v>
      </c>
      <c r="M533" s="25"/>
      <c r="O533" s="19"/>
      <c r="P533" s="28">
        <v>0.99</v>
      </c>
      <c r="Q533" s="14"/>
      <c r="U533" s="101"/>
      <c r="V533" s="101"/>
      <c r="W533" s="69" t="e" cm="1">
        <f t="array" ref="W533">_xlfn.XLOOKUP(Table1[[#This Row],[5 cm2 cell test code]:[5 cm2 cell test code]],[1]!Table1[[Test code]:[Test code]],[1]!Table1[i @ 1.8 V DIW (A/cm2)],"",0)</f>
        <v>#REF!</v>
      </c>
      <c r="X533" s="69" t="e" cm="1">
        <f t="array" ref="X533">_xlfn.XLOOKUP(Table1[[#This Row],[5 cm2 cell test code]:[5 cm2 cell test code]],[1]!Table1[[Test code]:[Test code]],[1]!Table1[i @ 1.8 V 10 mM KOH (A/cm2)],"",0)</f>
        <v>#REF!</v>
      </c>
      <c r="Y533" s="69" t="e" cm="1">
        <f t="array" ref="Y533">_xlfn.XLOOKUP(Table1[[#This Row],[5 cm2 cell test code]:[5 cm2 cell test code]],[1]!Table1[[Test code]:[Test code]],[1]!Table1[3-E ƞ at 20mAcm-2 (mV)],"",0)</f>
        <v>#REF!</v>
      </c>
      <c r="Z533" s="69" t="e" cm="1">
        <f t="array" ref="Z533">_xlfn.XLOOKUP(Table1[[#This Row],[5 cm2 cell test code]:[5 cm2 cell test code]],[1]!Table1[[Test code]:[Test code]],[1]!Table1[3-E Tafel slope (mV/dec)],"",0)</f>
        <v>#REF!</v>
      </c>
      <c r="AA533" s="69" t="e" cm="1">
        <f t="array" ref="AA533">_xlfn.XLOOKUP(Table1[[#This Row],[5 cm2 cell test code]:[5 cm2 cell test code]],[1]!Table1[[Test code]:[Test code]],[1]!Table1[E @ 100 mA/cm2 DIW/V],"",0)</f>
        <v>#REF!</v>
      </c>
      <c r="AB533" s="69" t="e" cm="1">
        <f t="array" ref="AB533">_xlfn.XLOOKUP(Table1[[#This Row],[5 cm2 cell test code]:[5 cm2 cell test code]],[1]!Table1[[Test code]:[Test code]],[1]!Table1[E @ 100 mA/cm2 10 mM KOH/V],"",0)</f>
        <v>#REF!</v>
      </c>
      <c r="AC533" s="69" t="e" cm="1">
        <f t="array" ref="AC533">_xlfn.XLOOKUP(Table1[[#This Row],[5 cm2 cell test code]:[5 cm2 cell test code]],[1]!Table1[[Test code]:[Test code]],[1]!Table1[Anode ICR/mOhm],"",0)</f>
        <v>#REF!</v>
      </c>
      <c r="AD533" s="69" t="e" cm="1">
        <f t="array" ref="AD533">_xlfn.XLOOKUP(Table1[[#This Row],[5 cm2 cell test code]:[5 cm2 cell test code]],[1]!Table1[[Test code]:[Test code]],[1]!Table1[HFR DIW/ mOhm cm2],"",0)</f>
        <v>#REF!</v>
      </c>
      <c r="AE533" s="69" t="e" cm="1">
        <f t="array" ref="AE533">_xlfn.XLOOKUP(Table1[[#This Row],[5 cm2 cell test code]:[5 cm2 cell test code]],[1]!Table1[[Test code]:[Test code]],[1]!Table1[HFR 10 mM KOH/ mOhm cm2],"",0)</f>
        <v>#REF!</v>
      </c>
      <c r="AF533" s="69" t="e" cm="1">
        <f t="array" ref="AF533">_xlfn.XLOOKUP(Table1[[#This Row],[5 cm2 cell test code]:[5 cm2 cell test code]],[1]!Table1[[Test code]:[Test code]],[1]!Table1[Ionic resistance DIW/Ohm cm2],"",0)</f>
        <v>#REF!</v>
      </c>
      <c r="AG533" s="69" t="e" cm="1">
        <f t="array" ref="AG533">_xlfn.XLOOKUP(Table1[[#This Row],[5 cm2 cell test code]:[5 cm2 cell test code]],[1]!Table1[[Test code]:[Test code]],[1]!Table1[Q_int_frac DIW],"",0)</f>
        <v>#REF!</v>
      </c>
      <c r="AH533" s="69" t="e" cm="1">
        <f t="array" ref="AH533">_xlfn.XLOOKUP(Table1[[#This Row],[5 cm2 cell test code]:[5 cm2 cell test code]],[1]!Table1[[Test code]:[Test code]],[1]!Table1[Ionic resistance 10 mM KOH/Ohm cm2],"",0)</f>
        <v>#REF!</v>
      </c>
      <c r="AI533" s="69" t="e" cm="1">
        <f t="array" ref="AI533">_xlfn.XLOOKUP(Table1[[#This Row],[5 cm2 cell test code]:[5 cm2 cell test code]],[1]!Table1[[Test code]:[Test code]],[1]!Table1[Q_int_frac DIW 10 mM KOH],"",0)</f>
        <v>#REF!</v>
      </c>
      <c r="AJ533" s="69" t="e" cm="1">
        <f t="array" ref="AJ533">_xlfn.XLOOKUP(Table1[[#This Row],[5 cm2 cell test code]:[5 cm2 cell test code]],[1]!Table1[[Test code]:[Test code]],[1]!Table1[DIW conductivity (µS/cm)],"",0)</f>
        <v>#REF!</v>
      </c>
    </row>
    <row r="534" spans="1:36">
      <c r="A534" s="81"/>
      <c r="B534" s="207" t="s">
        <v>934</v>
      </c>
      <c r="C534" s="4" t="s">
        <v>834</v>
      </c>
      <c r="I534" s="11" t="s">
        <v>114</v>
      </c>
      <c r="J534" s="11" t="s">
        <v>869</v>
      </c>
      <c r="K534" s="211" t="s">
        <v>887</v>
      </c>
      <c r="L534" s="11" t="s">
        <v>888</v>
      </c>
      <c r="M534" s="25"/>
      <c r="O534" s="19"/>
      <c r="P534" s="28">
        <v>0.7</v>
      </c>
      <c r="Q534" s="4">
        <v>4.4734737029398855E-2</v>
      </c>
      <c r="U534" s="101"/>
      <c r="V534" s="101"/>
      <c r="W534" s="69" t="e" cm="1">
        <f t="array" ref="W534">_xlfn.XLOOKUP(Table1[[#This Row],[5 cm2 cell test code]:[5 cm2 cell test code]],[1]!Table1[[Test code]:[Test code]],[1]!Table1[i @ 1.8 V DIW (A/cm2)],"",0)</f>
        <v>#REF!</v>
      </c>
      <c r="X534" s="69" t="e" cm="1">
        <f t="array" ref="X534">_xlfn.XLOOKUP(Table1[[#This Row],[5 cm2 cell test code]:[5 cm2 cell test code]],[1]!Table1[[Test code]:[Test code]],[1]!Table1[i @ 1.8 V 10 mM KOH (A/cm2)],"",0)</f>
        <v>#REF!</v>
      </c>
      <c r="Y534" s="69" t="e" cm="1">
        <f t="array" ref="Y534">_xlfn.XLOOKUP(Table1[[#This Row],[5 cm2 cell test code]:[5 cm2 cell test code]],[1]!Table1[[Test code]:[Test code]],[1]!Table1[3-E ƞ at 20mAcm-2 (mV)],"",0)</f>
        <v>#REF!</v>
      </c>
      <c r="Z534" s="69" t="e" cm="1">
        <f t="array" ref="Z534">_xlfn.XLOOKUP(Table1[[#This Row],[5 cm2 cell test code]:[5 cm2 cell test code]],[1]!Table1[[Test code]:[Test code]],[1]!Table1[3-E Tafel slope (mV/dec)],"",0)</f>
        <v>#REF!</v>
      </c>
      <c r="AA534" s="69" t="e" cm="1">
        <f t="array" ref="AA534">_xlfn.XLOOKUP(Table1[[#This Row],[5 cm2 cell test code]:[5 cm2 cell test code]],[1]!Table1[[Test code]:[Test code]],[1]!Table1[E @ 100 mA/cm2 DIW/V],"",0)</f>
        <v>#REF!</v>
      </c>
      <c r="AB534" s="69" t="e" cm="1">
        <f t="array" ref="AB534">_xlfn.XLOOKUP(Table1[[#This Row],[5 cm2 cell test code]:[5 cm2 cell test code]],[1]!Table1[[Test code]:[Test code]],[1]!Table1[E @ 100 mA/cm2 10 mM KOH/V],"",0)</f>
        <v>#REF!</v>
      </c>
      <c r="AC534" s="69" t="e" cm="1">
        <f t="array" ref="AC534">_xlfn.XLOOKUP(Table1[[#This Row],[5 cm2 cell test code]:[5 cm2 cell test code]],[1]!Table1[[Test code]:[Test code]],[1]!Table1[Anode ICR/mOhm],"",0)</f>
        <v>#REF!</v>
      </c>
      <c r="AD534" s="69" t="e" cm="1">
        <f t="array" ref="AD534">_xlfn.XLOOKUP(Table1[[#This Row],[5 cm2 cell test code]:[5 cm2 cell test code]],[1]!Table1[[Test code]:[Test code]],[1]!Table1[HFR DIW/ mOhm cm2],"",0)</f>
        <v>#REF!</v>
      </c>
      <c r="AE534" s="69" t="e" cm="1">
        <f t="array" ref="AE534">_xlfn.XLOOKUP(Table1[[#This Row],[5 cm2 cell test code]:[5 cm2 cell test code]],[1]!Table1[[Test code]:[Test code]],[1]!Table1[HFR 10 mM KOH/ mOhm cm2],"",0)</f>
        <v>#REF!</v>
      </c>
      <c r="AF534" s="69" t="e" cm="1">
        <f t="array" ref="AF534">_xlfn.XLOOKUP(Table1[[#This Row],[5 cm2 cell test code]:[5 cm2 cell test code]],[1]!Table1[[Test code]:[Test code]],[1]!Table1[Ionic resistance DIW/Ohm cm2],"",0)</f>
        <v>#REF!</v>
      </c>
      <c r="AG534" s="69" t="e" cm="1">
        <f t="array" ref="AG534">_xlfn.XLOOKUP(Table1[[#This Row],[5 cm2 cell test code]:[5 cm2 cell test code]],[1]!Table1[[Test code]:[Test code]],[1]!Table1[Q_int_frac DIW],"",0)</f>
        <v>#REF!</v>
      </c>
      <c r="AH534" s="69" t="e" cm="1">
        <f t="array" ref="AH534">_xlfn.XLOOKUP(Table1[[#This Row],[5 cm2 cell test code]:[5 cm2 cell test code]],[1]!Table1[[Test code]:[Test code]],[1]!Table1[Ionic resistance 10 mM KOH/Ohm cm2],"",0)</f>
        <v>#REF!</v>
      </c>
      <c r="AI534" s="69" t="e" cm="1">
        <f t="array" ref="AI534">_xlfn.XLOOKUP(Table1[[#This Row],[5 cm2 cell test code]:[5 cm2 cell test code]],[1]!Table1[[Test code]:[Test code]],[1]!Table1[Q_int_frac DIW 10 mM KOH],"",0)</f>
        <v>#REF!</v>
      </c>
      <c r="AJ534" s="69" t="e" cm="1">
        <f t="array" ref="AJ534">_xlfn.XLOOKUP(Table1[[#This Row],[5 cm2 cell test code]:[5 cm2 cell test code]],[1]!Table1[[Test code]:[Test code]],[1]!Table1[DIW conductivity (µS/cm)],"",0)</f>
        <v>#REF!</v>
      </c>
    </row>
    <row r="535" spans="1:36">
      <c r="A535" s="81"/>
      <c r="B535" s="207" t="s">
        <v>935</v>
      </c>
      <c r="C535" s="4" t="s">
        <v>928</v>
      </c>
      <c r="I535" s="11" t="s">
        <v>114</v>
      </c>
      <c r="J535" s="11" t="s">
        <v>869</v>
      </c>
      <c r="K535" s="211" t="s">
        <v>887</v>
      </c>
      <c r="L535" s="11" t="s">
        <v>888</v>
      </c>
      <c r="M535" s="25"/>
      <c r="O535" s="19"/>
      <c r="P535" s="27"/>
      <c r="Q535" s="4">
        <v>4.0743158546249707E-2</v>
      </c>
      <c r="U535" s="101"/>
      <c r="V535" s="101"/>
      <c r="W535" s="69" t="e" cm="1">
        <f t="array" ref="W535">_xlfn.XLOOKUP(Table1[[#This Row],[5 cm2 cell test code]:[5 cm2 cell test code]],[1]!Table1[[Test code]:[Test code]],[1]!Table1[i @ 1.8 V DIW (A/cm2)],"",0)</f>
        <v>#REF!</v>
      </c>
      <c r="X535" s="69" t="e" cm="1">
        <f t="array" ref="X535">_xlfn.XLOOKUP(Table1[[#This Row],[5 cm2 cell test code]:[5 cm2 cell test code]],[1]!Table1[[Test code]:[Test code]],[1]!Table1[i @ 1.8 V 10 mM KOH (A/cm2)],"",0)</f>
        <v>#REF!</v>
      </c>
      <c r="Y535" s="69" t="e" cm="1">
        <f t="array" ref="Y535">_xlfn.XLOOKUP(Table1[[#This Row],[5 cm2 cell test code]:[5 cm2 cell test code]],[1]!Table1[[Test code]:[Test code]],[1]!Table1[3-E ƞ at 20mAcm-2 (mV)],"",0)</f>
        <v>#REF!</v>
      </c>
      <c r="Z535" s="69" t="e" cm="1">
        <f t="array" ref="Z535">_xlfn.XLOOKUP(Table1[[#This Row],[5 cm2 cell test code]:[5 cm2 cell test code]],[1]!Table1[[Test code]:[Test code]],[1]!Table1[3-E Tafel slope (mV/dec)],"",0)</f>
        <v>#REF!</v>
      </c>
      <c r="AA535" s="69" t="e" cm="1">
        <f t="array" ref="AA535">_xlfn.XLOOKUP(Table1[[#This Row],[5 cm2 cell test code]:[5 cm2 cell test code]],[1]!Table1[[Test code]:[Test code]],[1]!Table1[E @ 100 mA/cm2 DIW/V],"",0)</f>
        <v>#REF!</v>
      </c>
      <c r="AB535" s="69" t="e" cm="1">
        <f t="array" ref="AB535">_xlfn.XLOOKUP(Table1[[#This Row],[5 cm2 cell test code]:[5 cm2 cell test code]],[1]!Table1[[Test code]:[Test code]],[1]!Table1[E @ 100 mA/cm2 10 mM KOH/V],"",0)</f>
        <v>#REF!</v>
      </c>
      <c r="AC535" s="69" t="e" cm="1">
        <f t="array" ref="AC535">_xlfn.XLOOKUP(Table1[[#This Row],[5 cm2 cell test code]:[5 cm2 cell test code]],[1]!Table1[[Test code]:[Test code]],[1]!Table1[Anode ICR/mOhm],"",0)</f>
        <v>#REF!</v>
      </c>
      <c r="AD535" s="69" t="e" cm="1">
        <f t="array" ref="AD535">_xlfn.XLOOKUP(Table1[[#This Row],[5 cm2 cell test code]:[5 cm2 cell test code]],[1]!Table1[[Test code]:[Test code]],[1]!Table1[HFR DIW/ mOhm cm2],"",0)</f>
        <v>#REF!</v>
      </c>
      <c r="AE535" s="69" t="e" cm="1">
        <f t="array" ref="AE535">_xlfn.XLOOKUP(Table1[[#This Row],[5 cm2 cell test code]:[5 cm2 cell test code]],[1]!Table1[[Test code]:[Test code]],[1]!Table1[HFR 10 mM KOH/ mOhm cm2],"",0)</f>
        <v>#REF!</v>
      </c>
      <c r="AF535" s="69" t="e" cm="1">
        <f t="array" ref="AF535">_xlfn.XLOOKUP(Table1[[#This Row],[5 cm2 cell test code]:[5 cm2 cell test code]],[1]!Table1[[Test code]:[Test code]],[1]!Table1[Ionic resistance DIW/Ohm cm2],"",0)</f>
        <v>#REF!</v>
      </c>
      <c r="AG535" s="69" t="e" cm="1">
        <f t="array" ref="AG535">_xlfn.XLOOKUP(Table1[[#This Row],[5 cm2 cell test code]:[5 cm2 cell test code]],[1]!Table1[[Test code]:[Test code]],[1]!Table1[Q_int_frac DIW],"",0)</f>
        <v>#REF!</v>
      </c>
      <c r="AH535" s="69" t="e" cm="1">
        <f t="array" ref="AH535">_xlfn.XLOOKUP(Table1[[#This Row],[5 cm2 cell test code]:[5 cm2 cell test code]],[1]!Table1[[Test code]:[Test code]],[1]!Table1[Ionic resistance 10 mM KOH/Ohm cm2],"",0)</f>
        <v>#REF!</v>
      </c>
      <c r="AI535" s="69" t="e" cm="1">
        <f t="array" ref="AI535">_xlfn.XLOOKUP(Table1[[#This Row],[5 cm2 cell test code]:[5 cm2 cell test code]],[1]!Table1[[Test code]:[Test code]],[1]!Table1[Q_int_frac DIW 10 mM KOH],"",0)</f>
        <v>#REF!</v>
      </c>
      <c r="AJ535" s="69" t="e" cm="1">
        <f t="array" ref="AJ535">_xlfn.XLOOKUP(Table1[[#This Row],[5 cm2 cell test code]:[5 cm2 cell test code]],[1]!Table1[[Test code]:[Test code]],[1]!Table1[DIW conductivity (µS/cm)],"",0)</f>
        <v>#REF!</v>
      </c>
    </row>
    <row r="536" spans="1:36">
      <c r="A536" s="81"/>
      <c r="B536" s="207" t="s">
        <v>936</v>
      </c>
      <c r="C536" s="4" t="s">
        <v>834</v>
      </c>
      <c r="I536" s="11" t="s">
        <v>114</v>
      </c>
      <c r="J536" s="11" t="s">
        <v>869</v>
      </c>
      <c r="K536" s="211" t="s">
        <v>887</v>
      </c>
      <c r="L536" s="11" t="s">
        <v>888</v>
      </c>
      <c r="M536" s="13">
        <f>(64.4-64.12)*1000/(22.4*31.6)</f>
        <v>0.39556962025316617</v>
      </c>
      <c r="O536" s="19"/>
      <c r="P536" s="27"/>
      <c r="Q536" s="14"/>
      <c r="U536" s="101"/>
      <c r="V536" s="101"/>
      <c r="W536" s="69" t="e" cm="1">
        <f t="array" ref="W536">_xlfn.XLOOKUP(Table1[[#This Row],[5 cm2 cell test code]:[5 cm2 cell test code]],[1]!Table1[[Test code]:[Test code]],[1]!Table1[i @ 1.8 V DIW (A/cm2)],"",0)</f>
        <v>#REF!</v>
      </c>
      <c r="X536" s="69" t="e" cm="1">
        <f t="array" ref="X536">_xlfn.XLOOKUP(Table1[[#This Row],[5 cm2 cell test code]:[5 cm2 cell test code]],[1]!Table1[[Test code]:[Test code]],[1]!Table1[i @ 1.8 V 10 mM KOH (A/cm2)],"",0)</f>
        <v>#REF!</v>
      </c>
      <c r="Y536" s="69" t="e" cm="1">
        <f t="array" ref="Y536">_xlfn.XLOOKUP(Table1[[#This Row],[5 cm2 cell test code]:[5 cm2 cell test code]],[1]!Table1[[Test code]:[Test code]],[1]!Table1[3-E ƞ at 20mAcm-2 (mV)],"",0)</f>
        <v>#REF!</v>
      </c>
      <c r="Z536" s="69" t="e" cm="1">
        <f t="array" ref="Z536">_xlfn.XLOOKUP(Table1[[#This Row],[5 cm2 cell test code]:[5 cm2 cell test code]],[1]!Table1[[Test code]:[Test code]],[1]!Table1[3-E Tafel slope (mV/dec)],"",0)</f>
        <v>#REF!</v>
      </c>
      <c r="AA536" s="69" t="e" cm="1">
        <f t="array" ref="AA536">_xlfn.XLOOKUP(Table1[[#This Row],[5 cm2 cell test code]:[5 cm2 cell test code]],[1]!Table1[[Test code]:[Test code]],[1]!Table1[E @ 100 mA/cm2 DIW/V],"",0)</f>
        <v>#REF!</v>
      </c>
      <c r="AB536" s="69" t="e" cm="1">
        <f t="array" ref="AB536">_xlfn.XLOOKUP(Table1[[#This Row],[5 cm2 cell test code]:[5 cm2 cell test code]],[1]!Table1[[Test code]:[Test code]],[1]!Table1[E @ 100 mA/cm2 10 mM KOH/V],"",0)</f>
        <v>#REF!</v>
      </c>
      <c r="AC536" s="69" t="e" cm="1">
        <f t="array" ref="AC536">_xlfn.XLOOKUP(Table1[[#This Row],[5 cm2 cell test code]:[5 cm2 cell test code]],[1]!Table1[[Test code]:[Test code]],[1]!Table1[Anode ICR/mOhm],"",0)</f>
        <v>#REF!</v>
      </c>
      <c r="AD536" s="69" t="e" cm="1">
        <f t="array" ref="AD536">_xlfn.XLOOKUP(Table1[[#This Row],[5 cm2 cell test code]:[5 cm2 cell test code]],[1]!Table1[[Test code]:[Test code]],[1]!Table1[HFR DIW/ mOhm cm2],"",0)</f>
        <v>#REF!</v>
      </c>
      <c r="AE536" s="69" t="e" cm="1">
        <f t="array" ref="AE536">_xlfn.XLOOKUP(Table1[[#This Row],[5 cm2 cell test code]:[5 cm2 cell test code]],[1]!Table1[[Test code]:[Test code]],[1]!Table1[HFR 10 mM KOH/ mOhm cm2],"",0)</f>
        <v>#REF!</v>
      </c>
      <c r="AF536" s="69" t="e" cm="1">
        <f t="array" ref="AF536">_xlfn.XLOOKUP(Table1[[#This Row],[5 cm2 cell test code]:[5 cm2 cell test code]],[1]!Table1[[Test code]:[Test code]],[1]!Table1[Ionic resistance DIW/Ohm cm2],"",0)</f>
        <v>#REF!</v>
      </c>
      <c r="AG536" s="69" t="e" cm="1">
        <f t="array" ref="AG536">_xlfn.XLOOKUP(Table1[[#This Row],[5 cm2 cell test code]:[5 cm2 cell test code]],[1]!Table1[[Test code]:[Test code]],[1]!Table1[Q_int_frac DIW],"",0)</f>
        <v>#REF!</v>
      </c>
      <c r="AH536" s="69" t="e" cm="1">
        <f t="array" ref="AH536">_xlfn.XLOOKUP(Table1[[#This Row],[5 cm2 cell test code]:[5 cm2 cell test code]],[1]!Table1[[Test code]:[Test code]],[1]!Table1[Ionic resistance 10 mM KOH/Ohm cm2],"",0)</f>
        <v>#REF!</v>
      </c>
      <c r="AI536" s="69" t="e" cm="1">
        <f t="array" ref="AI536">_xlfn.XLOOKUP(Table1[[#This Row],[5 cm2 cell test code]:[5 cm2 cell test code]],[1]!Table1[[Test code]:[Test code]],[1]!Table1[Q_int_frac DIW 10 mM KOH],"",0)</f>
        <v>#REF!</v>
      </c>
      <c r="AJ536" s="69" t="e" cm="1">
        <f t="array" ref="AJ536">_xlfn.XLOOKUP(Table1[[#This Row],[5 cm2 cell test code]:[5 cm2 cell test code]],[1]!Table1[[Test code]:[Test code]],[1]!Table1[DIW conductivity (µS/cm)],"",0)</f>
        <v>#REF!</v>
      </c>
    </row>
    <row r="537" spans="1:36">
      <c r="A537" s="81"/>
      <c r="B537" s="207" t="s">
        <v>937</v>
      </c>
      <c r="C537" s="4" t="s">
        <v>879</v>
      </c>
      <c r="I537" s="19"/>
      <c r="J537" s="19"/>
      <c r="K537" s="211" t="s">
        <v>887</v>
      </c>
      <c r="L537" s="11" t="s">
        <v>888</v>
      </c>
      <c r="M537" s="13">
        <f>(64.57-64.16)*1000/(22.5*31.6)</f>
        <v>0.57665260196905288</v>
      </c>
      <c r="O537" s="19"/>
      <c r="P537" s="27"/>
      <c r="Q537" s="14"/>
      <c r="U537" s="101"/>
      <c r="V537" s="101"/>
      <c r="W537" s="69" t="e" cm="1">
        <f t="array" ref="W537">_xlfn.XLOOKUP(Table1[[#This Row],[5 cm2 cell test code]:[5 cm2 cell test code]],[1]!Table1[[Test code]:[Test code]],[1]!Table1[i @ 1.8 V DIW (A/cm2)],"",0)</f>
        <v>#REF!</v>
      </c>
      <c r="X537" s="69" t="e" cm="1">
        <f t="array" ref="X537">_xlfn.XLOOKUP(Table1[[#This Row],[5 cm2 cell test code]:[5 cm2 cell test code]],[1]!Table1[[Test code]:[Test code]],[1]!Table1[i @ 1.8 V 10 mM KOH (A/cm2)],"",0)</f>
        <v>#REF!</v>
      </c>
      <c r="Y537" s="69" t="e" cm="1">
        <f t="array" ref="Y537">_xlfn.XLOOKUP(Table1[[#This Row],[5 cm2 cell test code]:[5 cm2 cell test code]],[1]!Table1[[Test code]:[Test code]],[1]!Table1[3-E ƞ at 20mAcm-2 (mV)],"",0)</f>
        <v>#REF!</v>
      </c>
      <c r="Z537" s="69" t="e" cm="1">
        <f t="array" ref="Z537">_xlfn.XLOOKUP(Table1[[#This Row],[5 cm2 cell test code]:[5 cm2 cell test code]],[1]!Table1[[Test code]:[Test code]],[1]!Table1[3-E Tafel slope (mV/dec)],"",0)</f>
        <v>#REF!</v>
      </c>
      <c r="AA537" s="69" t="e" cm="1">
        <f t="array" ref="AA537">_xlfn.XLOOKUP(Table1[[#This Row],[5 cm2 cell test code]:[5 cm2 cell test code]],[1]!Table1[[Test code]:[Test code]],[1]!Table1[E @ 100 mA/cm2 DIW/V],"",0)</f>
        <v>#REF!</v>
      </c>
      <c r="AB537" s="69" t="e" cm="1">
        <f t="array" ref="AB537">_xlfn.XLOOKUP(Table1[[#This Row],[5 cm2 cell test code]:[5 cm2 cell test code]],[1]!Table1[[Test code]:[Test code]],[1]!Table1[E @ 100 mA/cm2 10 mM KOH/V],"",0)</f>
        <v>#REF!</v>
      </c>
      <c r="AC537" s="69" t="e" cm="1">
        <f t="array" ref="AC537">_xlfn.XLOOKUP(Table1[[#This Row],[5 cm2 cell test code]:[5 cm2 cell test code]],[1]!Table1[[Test code]:[Test code]],[1]!Table1[Anode ICR/mOhm],"",0)</f>
        <v>#REF!</v>
      </c>
      <c r="AD537" s="69" t="e" cm="1">
        <f t="array" ref="AD537">_xlfn.XLOOKUP(Table1[[#This Row],[5 cm2 cell test code]:[5 cm2 cell test code]],[1]!Table1[[Test code]:[Test code]],[1]!Table1[HFR DIW/ mOhm cm2],"",0)</f>
        <v>#REF!</v>
      </c>
      <c r="AE537" s="69" t="e" cm="1">
        <f t="array" ref="AE537">_xlfn.XLOOKUP(Table1[[#This Row],[5 cm2 cell test code]:[5 cm2 cell test code]],[1]!Table1[[Test code]:[Test code]],[1]!Table1[HFR 10 mM KOH/ mOhm cm2],"",0)</f>
        <v>#REF!</v>
      </c>
      <c r="AF537" s="69" t="e" cm="1">
        <f t="array" ref="AF537">_xlfn.XLOOKUP(Table1[[#This Row],[5 cm2 cell test code]:[5 cm2 cell test code]],[1]!Table1[[Test code]:[Test code]],[1]!Table1[Ionic resistance DIW/Ohm cm2],"",0)</f>
        <v>#REF!</v>
      </c>
      <c r="AG537" s="69" t="e" cm="1">
        <f t="array" ref="AG537">_xlfn.XLOOKUP(Table1[[#This Row],[5 cm2 cell test code]:[5 cm2 cell test code]],[1]!Table1[[Test code]:[Test code]],[1]!Table1[Q_int_frac DIW],"",0)</f>
        <v>#REF!</v>
      </c>
      <c r="AH537" s="69" t="e" cm="1">
        <f t="array" ref="AH537">_xlfn.XLOOKUP(Table1[[#This Row],[5 cm2 cell test code]:[5 cm2 cell test code]],[1]!Table1[[Test code]:[Test code]],[1]!Table1[Ionic resistance 10 mM KOH/Ohm cm2],"",0)</f>
        <v>#REF!</v>
      </c>
      <c r="AI537" s="69" t="e" cm="1">
        <f t="array" ref="AI537">_xlfn.XLOOKUP(Table1[[#This Row],[5 cm2 cell test code]:[5 cm2 cell test code]],[1]!Table1[[Test code]:[Test code]],[1]!Table1[Q_int_frac DIW 10 mM KOH],"",0)</f>
        <v>#REF!</v>
      </c>
      <c r="AJ537" s="69" t="e" cm="1">
        <f t="array" ref="AJ537">_xlfn.XLOOKUP(Table1[[#This Row],[5 cm2 cell test code]:[5 cm2 cell test code]],[1]!Table1[[Test code]:[Test code]],[1]!Table1[DIW conductivity (µS/cm)],"",0)</f>
        <v>#REF!</v>
      </c>
    </row>
    <row r="538" spans="1:36">
      <c r="A538" s="81"/>
      <c r="B538" s="207" t="s">
        <v>938</v>
      </c>
      <c r="C538" s="4" t="s">
        <v>939</v>
      </c>
      <c r="I538" s="11" t="s">
        <v>114</v>
      </c>
      <c r="J538" s="11" t="s">
        <v>869</v>
      </c>
      <c r="K538" s="211" t="s">
        <v>887</v>
      </c>
      <c r="L538" s="11" t="s">
        <v>888</v>
      </c>
      <c r="M538" s="25"/>
      <c r="O538" s="19"/>
      <c r="P538" s="27"/>
      <c r="Q538" s="14"/>
      <c r="U538" s="101"/>
      <c r="V538" s="101"/>
      <c r="W538" s="69" t="e" cm="1">
        <f t="array" ref="W538">_xlfn.XLOOKUP(Table1[[#This Row],[5 cm2 cell test code]:[5 cm2 cell test code]],[1]!Table1[[Test code]:[Test code]],[1]!Table1[i @ 1.8 V DIW (A/cm2)],"",0)</f>
        <v>#REF!</v>
      </c>
      <c r="X538" s="69" t="e" cm="1">
        <f t="array" ref="X538">_xlfn.XLOOKUP(Table1[[#This Row],[5 cm2 cell test code]:[5 cm2 cell test code]],[1]!Table1[[Test code]:[Test code]],[1]!Table1[i @ 1.8 V 10 mM KOH (A/cm2)],"",0)</f>
        <v>#REF!</v>
      </c>
      <c r="Y538" s="69" t="e" cm="1">
        <f t="array" ref="Y538">_xlfn.XLOOKUP(Table1[[#This Row],[5 cm2 cell test code]:[5 cm2 cell test code]],[1]!Table1[[Test code]:[Test code]],[1]!Table1[3-E ƞ at 20mAcm-2 (mV)],"",0)</f>
        <v>#REF!</v>
      </c>
      <c r="Z538" s="69" t="e" cm="1">
        <f t="array" ref="Z538">_xlfn.XLOOKUP(Table1[[#This Row],[5 cm2 cell test code]:[5 cm2 cell test code]],[1]!Table1[[Test code]:[Test code]],[1]!Table1[3-E Tafel slope (mV/dec)],"",0)</f>
        <v>#REF!</v>
      </c>
      <c r="AA538" s="69" t="e" cm="1">
        <f t="array" ref="AA538">_xlfn.XLOOKUP(Table1[[#This Row],[5 cm2 cell test code]:[5 cm2 cell test code]],[1]!Table1[[Test code]:[Test code]],[1]!Table1[E @ 100 mA/cm2 DIW/V],"",0)</f>
        <v>#REF!</v>
      </c>
      <c r="AB538" s="69" t="e" cm="1">
        <f t="array" ref="AB538">_xlfn.XLOOKUP(Table1[[#This Row],[5 cm2 cell test code]:[5 cm2 cell test code]],[1]!Table1[[Test code]:[Test code]],[1]!Table1[E @ 100 mA/cm2 10 mM KOH/V],"",0)</f>
        <v>#REF!</v>
      </c>
      <c r="AC538" s="69" t="e" cm="1">
        <f t="array" ref="AC538">_xlfn.XLOOKUP(Table1[[#This Row],[5 cm2 cell test code]:[5 cm2 cell test code]],[1]!Table1[[Test code]:[Test code]],[1]!Table1[Anode ICR/mOhm],"",0)</f>
        <v>#REF!</v>
      </c>
      <c r="AD538" s="69" t="e" cm="1">
        <f t="array" ref="AD538">_xlfn.XLOOKUP(Table1[[#This Row],[5 cm2 cell test code]:[5 cm2 cell test code]],[1]!Table1[[Test code]:[Test code]],[1]!Table1[HFR DIW/ mOhm cm2],"",0)</f>
        <v>#REF!</v>
      </c>
      <c r="AE538" s="69" t="e" cm="1">
        <f t="array" ref="AE538">_xlfn.XLOOKUP(Table1[[#This Row],[5 cm2 cell test code]:[5 cm2 cell test code]],[1]!Table1[[Test code]:[Test code]],[1]!Table1[HFR 10 mM KOH/ mOhm cm2],"",0)</f>
        <v>#REF!</v>
      </c>
      <c r="AF538" s="69" t="e" cm="1">
        <f t="array" ref="AF538">_xlfn.XLOOKUP(Table1[[#This Row],[5 cm2 cell test code]:[5 cm2 cell test code]],[1]!Table1[[Test code]:[Test code]],[1]!Table1[Ionic resistance DIW/Ohm cm2],"",0)</f>
        <v>#REF!</v>
      </c>
      <c r="AG538" s="69" t="e" cm="1">
        <f t="array" ref="AG538">_xlfn.XLOOKUP(Table1[[#This Row],[5 cm2 cell test code]:[5 cm2 cell test code]],[1]!Table1[[Test code]:[Test code]],[1]!Table1[Q_int_frac DIW],"",0)</f>
        <v>#REF!</v>
      </c>
      <c r="AH538" s="69" t="e" cm="1">
        <f t="array" ref="AH538">_xlfn.XLOOKUP(Table1[[#This Row],[5 cm2 cell test code]:[5 cm2 cell test code]],[1]!Table1[[Test code]:[Test code]],[1]!Table1[Ionic resistance 10 mM KOH/Ohm cm2],"",0)</f>
        <v>#REF!</v>
      </c>
      <c r="AI538" s="69" t="e" cm="1">
        <f t="array" ref="AI538">_xlfn.XLOOKUP(Table1[[#This Row],[5 cm2 cell test code]:[5 cm2 cell test code]],[1]!Table1[[Test code]:[Test code]],[1]!Table1[Q_int_frac DIW 10 mM KOH],"",0)</f>
        <v>#REF!</v>
      </c>
      <c r="AJ538" s="69" t="e" cm="1">
        <f t="array" ref="AJ538">_xlfn.XLOOKUP(Table1[[#This Row],[5 cm2 cell test code]:[5 cm2 cell test code]],[1]!Table1[[Test code]:[Test code]],[1]!Table1[DIW conductivity (µS/cm)],"",0)</f>
        <v>#REF!</v>
      </c>
    </row>
    <row r="539" spans="1:36">
      <c r="A539" s="81"/>
      <c r="B539" s="207" t="s">
        <v>940</v>
      </c>
      <c r="C539" s="4" t="s">
        <v>941</v>
      </c>
      <c r="I539" s="11" t="s">
        <v>114</v>
      </c>
      <c r="J539" s="11" t="s">
        <v>869</v>
      </c>
      <c r="K539" s="211" t="s">
        <v>887</v>
      </c>
      <c r="L539" s="11" t="s">
        <v>888</v>
      </c>
      <c r="M539" s="25"/>
      <c r="O539" s="19"/>
      <c r="P539" s="27"/>
      <c r="Q539" s="14"/>
      <c r="U539" s="101"/>
      <c r="V539" s="101"/>
      <c r="W539" s="69" t="e" cm="1">
        <f t="array" ref="W539">_xlfn.XLOOKUP(Table1[[#This Row],[5 cm2 cell test code]:[5 cm2 cell test code]],[1]!Table1[[Test code]:[Test code]],[1]!Table1[i @ 1.8 V DIW (A/cm2)],"",0)</f>
        <v>#REF!</v>
      </c>
      <c r="X539" s="69" t="e" cm="1">
        <f t="array" ref="X539">_xlfn.XLOOKUP(Table1[[#This Row],[5 cm2 cell test code]:[5 cm2 cell test code]],[1]!Table1[[Test code]:[Test code]],[1]!Table1[i @ 1.8 V 10 mM KOH (A/cm2)],"",0)</f>
        <v>#REF!</v>
      </c>
      <c r="Y539" s="69" t="e" cm="1">
        <f t="array" ref="Y539">_xlfn.XLOOKUP(Table1[[#This Row],[5 cm2 cell test code]:[5 cm2 cell test code]],[1]!Table1[[Test code]:[Test code]],[1]!Table1[3-E ƞ at 20mAcm-2 (mV)],"",0)</f>
        <v>#REF!</v>
      </c>
      <c r="Z539" s="69" t="e" cm="1">
        <f t="array" ref="Z539">_xlfn.XLOOKUP(Table1[[#This Row],[5 cm2 cell test code]:[5 cm2 cell test code]],[1]!Table1[[Test code]:[Test code]],[1]!Table1[3-E Tafel slope (mV/dec)],"",0)</f>
        <v>#REF!</v>
      </c>
      <c r="AA539" s="69" t="e" cm="1">
        <f t="array" ref="AA539">_xlfn.XLOOKUP(Table1[[#This Row],[5 cm2 cell test code]:[5 cm2 cell test code]],[1]!Table1[[Test code]:[Test code]],[1]!Table1[E @ 100 mA/cm2 DIW/V],"",0)</f>
        <v>#REF!</v>
      </c>
      <c r="AB539" s="69" t="e" cm="1">
        <f t="array" ref="AB539">_xlfn.XLOOKUP(Table1[[#This Row],[5 cm2 cell test code]:[5 cm2 cell test code]],[1]!Table1[[Test code]:[Test code]],[1]!Table1[E @ 100 mA/cm2 10 mM KOH/V],"",0)</f>
        <v>#REF!</v>
      </c>
      <c r="AC539" s="69" t="e" cm="1">
        <f t="array" ref="AC539">_xlfn.XLOOKUP(Table1[[#This Row],[5 cm2 cell test code]:[5 cm2 cell test code]],[1]!Table1[[Test code]:[Test code]],[1]!Table1[Anode ICR/mOhm],"",0)</f>
        <v>#REF!</v>
      </c>
      <c r="AD539" s="69" t="e" cm="1">
        <f t="array" ref="AD539">_xlfn.XLOOKUP(Table1[[#This Row],[5 cm2 cell test code]:[5 cm2 cell test code]],[1]!Table1[[Test code]:[Test code]],[1]!Table1[HFR DIW/ mOhm cm2],"",0)</f>
        <v>#REF!</v>
      </c>
      <c r="AE539" s="69" t="e" cm="1">
        <f t="array" ref="AE539">_xlfn.XLOOKUP(Table1[[#This Row],[5 cm2 cell test code]:[5 cm2 cell test code]],[1]!Table1[[Test code]:[Test code]],[1]!Table1[HFR 10 mM KOH/ mOhm cm2],"",0)</f>
        <v>#REF!</v>
      </c>
      <c r="AF539" s="69" t="e" cm="1">
        <f t="array" ref="AF539">_xlfn.XLOOKUP(Table1[[#This Row],[5 cm2 cell test code]:[5 cm2 cell test code]],[1]!Table1[[Test code]:[Test code]],[1]!Table1[Ionic resistance DIW/Ohm cm2],"",0)</f>
        <v>#REF!</v>
      </c>
      <c r="AG539" s="69" t="e" cm="1">
        <f t="array" ref="AG539">_xlfn.XLOOKUP(Table1[[#This Row],[5 cm2 cell test code]:[5 cm2 cell test code]],[1]!Table1[[Test code]:[Test code]],[1]!Table1[Q_int_frac DIW],"",0)</f>
        <v>#REF!</v>
      </c>
      <c r="AH539" s="69" t="e" cm="1">
        <f t="array" ref="AH539">_xlfn.XLOOKUP(Table1[[#This Row],[5 cm2 cell test code]:[5 cm2 cell test code]],[1]!Table1[[Test code]:[Test code]],[1]!Table1[Ionic resistance 10 mM KOH/Ohm cm2],"",0)</f>
        <v>#REF!</v>
      </c>
      <c r="AI539" s="69" t="e" cm="1">
        <f t="array" ref="AI539">_xlfn.XLOOKUP(Table1[[#This Row],[5 cm2 cell test code]:[5 cm2 cell test code]],[1]!Table1[[Test code]:[Test code]],[1]!Table1[Q_int_frac DIW 10 mM KOH],"",0)</f>
        <v>#REF!</v>
      </c>
      <c r="AJ539" s="69" t="e" cm="1">
        <f t="array" ref="AJ539">_xlfn.XLOOKUP(Table1[[#This Row],[5 cm2 cell test code]:[5 cm2 cell test code]],[1]!Table1[[Test code]:[Test code]],[1]!Table1[DIW conductivity (µS/cm)],"",0)</f>
        <v>#REF!</v>
      </c>
    </row>
    <row r="540" spans="1:36">
      <c r="A540" s="81"/>
      <c r="B540" s="207" t="s">
        <v>942</v>
      </c>
      <c r="C540" s="14"/>
      <c r="I540" s="11" t="s">
        <v>114</v>
      </c>
      <c r="J540" s="11" t="s">
        <v>869</v>
      </c>
      <c r="K540" s="211" t="s">
        <v>887</v>
      </c>
      <c r="L540" s="11" t="s">
        <v>888</v>
      </c>
      <c r="M540" s="25"/>
      <c r="O540" s="19"/>
      <c r="P540" s="27"/>
      <c r="Q540" s="4">
        <v>4.0377008823778239E-2</v>
      </c>
      <c r="U540" s="101"/>
      <c r="V540" s="101"/>
      <c r="W540" s="69" t="e" cm="1">
        <f t="array" ref="W540">_xlfn.XLOOKUP(Table1[[#This Row],[5 cm2 cell test code]:[5 cm2 cell test code]],[1]!Table1[[Test code]:[Test code]],[1]!Table1[i @ 1.8 V DIW (A/cm2)],"",0)</f>
        <v>#REF!</v>
      </c>
      <c r="X540" s="69" t="e" cm="1">
        <f t="array" ref="X540">_xlfn.XLOOKUP(Table1[[#This Row],[5 cm2 cell test code]:[5 cm2 cell test code]],[1]!Table1[[Test code]:[Test code]],[1]!Table1[i @ 1.8 V 10 mM KOH (A/cm2)],"",0)</f>
        <v>#REF!</v>
      </c>
      <c r="Y540" s="69" t="e" cm="1">
        <f t="array" ref="Y540">_xlfn.XLOOKUP(Table1[[#This Row],[5 cm2 cell test code]:[5 cm2 cell test code]],[1]!Table1[[Test code]:[Test code]],[1]!Table1[3-E ƞ at 20mAcm-2 (mV)],"",0)</f>
        <v>#REF!</v>
      </c>
      <c r="Z540" s="69" t="e" cm="1">
        <f t="array" ref="Z540">_xlfn.XLOOKUP(Table1[[#This Row],[5 cm2 cell test code]:[5 cm2 cell test code]],[1]!Table1[[Test code]:[Test code]],[1]!Table1[3-E Tafel slope (mV/dec)],"",0)</f>
        <v>#REF!</v>
      </c>
      <c r="AA540" s="69" t="e" cm="1">
        <f t="array" ref="AA540">_xlfn.XLOOKUP(Table1[[#This Row],[5 cm2 cell test code]:[5 cm2 cell test code]],[1]!Table1[[Test code]:[Test code]],[1]!Table1[E @ 100 mA/cm2 DIW/V],"",0)</f>
        <v>#REF!</v>
      </c>
      <c r="AB540" s="69" t="e" cm="1">
        <f t="array" ref="AB540">_xlfn.XLOOKUP(Table1[[#This Row],[5 cm2 cell test code]:[5 cm2 cell test code]],[1]!Table1[[Test code]:[Test code]],[1]!Table1[E @ 100 mA/cm2 10 mM KOH/V],"",0)</f>
        <v>#REF!</v>
      </c>
      <c r="AC540" s="69" t="e" cm="1">
        <f t="array" ref="AC540">_xlfn.XLOOKUP(Table1[[#This Row],[5 cm2 cell test code]:[5 cm2 cell test code]],[1]!Table1[[Test code]:[Test code]],[1]!Table1[Anode ICR/mOhm],"",0)</f>
        <v>#REF!</v>
      </c>
      <c r="AD540" s="69" t="e" cm="1">
        <f t="array" ref="AD540">_xlfn.XLOOKUP(Table1[[#This Row],[5 cm2 cell test code]:[5 cm2 cell test code]],[1]!Table1[[Test code]:[Test code]],[1]!Table1[HFR DIW/ mOhm cm2],"",0)</f>
        <v>#REF!</v>
      </c>
      <c r="AE540" s="69" t="e" cm="1">
        <f t="array" ref="AE540">_xlfn.XLOOKUP(Table1[[#This Row],[5 cm2 cell test code]:[5 cm2 cell test code]],[1]!Table1[[Test code]:[Test code]],[1]!Table1[HFR 10 mM KOH/ mOhm cm2],"",0)</f>
        <v>#REF!</v>
      </c>
      <c r="AF540" s="69" t="e" cm="1">
        <f t="array" ref="AF540">_xlfn.XLOOKUP(Table1[[#This Row],[5 cm2 cell test code]:[5 cm2 cell test code]],[1]!Table1[[Test code]:[Test code]],[1]!Table1[Ionic resistance DIW/Ohm cm2],"",0)</f>
        <v>#REF!</v>
      </c>
      <c r="AG540" s="69" t="e" cm="1">
        <f t="array" ref="AG540">_xlfn.XLOOKUP(Table1[[#This Row],[5 cm2 cell test code]:[5 cm2 cell test code]],[1]!Table1[[Test code]:[Test code]],[1]!Table1[Q_int_frac DIW],"",0)</f>
        <v>#REF!</v>
      </c>
      <c r="AH540" s="69" t="e" cm="1">
        <f t="array" ref="AH540">_xlfn.XLOOKUP(Table1[[#This Row],[5 cm2 cell test code]:[5 cm2 cell test code]],[1]!Table1[[Test code]:[Test code]],[1]!Table1[Ionic resistance 10 mM KOH/Ohm cm2],"",0)</f>
        <v>#REF!</v>
      </c>
      <c r="AI540" s="69" t="e" cm="1">
        <f t="array" ref="AI540">_xlfn.XLOOKUP(Table1[[#This Row],[5 cm2 cell test code]:[5 cm2 cell test code]],[1]!Table1[[Test code]:[Test code]],[1]!Table1[Q_int_frac DIW 10 mM KOH],"",0)</f>
        <v>#REF!</v>
      </c>
      <c r="AJ540" s="69" t="e" cm="1">
        <f t="array" ref="AJ540">_xlfn.XLOOKUP(Table1[[#This Row],[5 cm2 cell test code]:[5 cm2 cell test code]],[1]!Table1[[Test code]:[Test code]],[1]!Table1[DIW conductivity (µS/cm)],"",0)</f>
        <v>#REF!</v>
      </c>
    </row>
    <row r="541" spans="1:36">
      <c r="A541" s="81"/>
      <c r="B541" s="207" t="s">
        <v>943</v>
      </c>
      <c r="C541" s="14"/>
      <c r="I541" s="11" t="s">
        <v>114</v>
      </c>
      <c r="J541" s="11" t="s">
        <v>869</v>
      </c>
      <c r="K541" s="211" t="s">
        <v>887</v>
      </c>
      <c r="L541" s="11" t="s">
        <v>888</v>
      </c>
      <c r="M541" s="25"/>
      <c r="O541" s="19"/>
      <c r="P541" s="27"/>
      <c r="Q541">
        <v>4.0031328430711166E-2</v>
      </c>
      <c r="U541" s="101"/>
      <c r="V541" s="101"/>
      <c r="W541" s="69" t="e" cm="1">
        <f t="array" ref="W541">_xlfn.XLOOKUP(Table1[[#This Row],[5 cm2 cell test code]:[5 cm2 cell test code]],[1]!Table1[[Test code]:[Test code]],[1]!Table1[i @ 1.8 V DIW (A/cm2)],"",0)</f>
        <v>#REF!</v>
      </c>
      <c r="X541" s="69" t="e" cm="1">
        <f t="array" ref="X541">_xlfn.XLOOKUP(Table1[[#This Row],[5 cm2 cell test code]:[5 cm2 cell test code]],[1]!Table1[[Test code]:[Test code]],[1]!Table1[i @ 1.8 V 10 mM KOH (A/cm2)],"",0)</f>
        <v>#REF!</v>
      </c>
      <c r="Y541" s="69" t="e" cm="1">
        <f t="array" ref="Y541">_xlfn.XLOOKUP(Table1[[#This Row],[5 cm2 cell test code]:[5 cm2 cell test code]],[1]!Table1[[Test code]:[Test code]],[1]!Table1[3-E ƞ at 20mAcm-2 (mV)],"",0)</f>
        <v>#REF!</v>
      </c>
      <c r="Z541" s="69" t="e" cm="1">
        <f t="array" ref="Z541">_xlfn.XLOOKUP(Table1[[#This Row],[5 cm2 cell test code]:[5 cm2 cell test code]],[1]!Table1[[Test code]:[Test code]],[1]!Table1[3-E Tafel slope (mV/dec)],"",0)</f>
        <v>#REF!</v>
      </c>
      <c r="AA541" s="69" t="e" cm="1">
        <f t="array" ref="AA541">_xlfn.XLOOKUP(Table1[[#This Row],[5 cm2 cell test code]:[5 cm2 cell test code]],[1]!Table1[[Test code]:[Test code]],[1]!Table1[E @ 100 mA/cm2 DIW/V],"",0)</f>
        <v>#REF!</v>
      </c>
      <c r="AB541" s="69" t="e" cm="1">
        <f t="array" ref="AB541">_xlfn.XLOOKUP(Table1[[#This Row],[5 cm2 cell test code]:[5 cm2 cell test code]],[1]!Table1[[Test code]:[Test code]],[1]!Table1[E @ 100 mA/cm2 10 mM KOH/V],"",0)</f>
        <v>#REF!</v>
      </c>
      <c r="AC541" s="69" t="e" cm="1">
        <f t="array" ref="AC541">_xlfn.XLOOKUP(Table1[[#This Row],[5 cm2 cell test code]:[5 cm2 cell test code]],[1]!Table1[[Test code]:[Test code]],[1]!Table1[Anode ICR/mOhm],"",0)</f>
        <v>#REF!</v>
      </c>
      <c r="AD541" s="69" t="e" cm="1">
        <f t="array" ref="AD541">_xlfn.XLOOKUP(Table1[[#This Row],[5 cm2 cell test code]:[5 cm2 cell test code]],[1]!Table1[[Test code]:[Test code]],[1]!Table1[HFR DIW/ mOhm cm2],"",0)</f>
        <v>#REF!</v>
      </c>
      <c r="AE541" s="69" t="e" cm="1">
        <f t="array" ref="AE541">_xlfn.XLOOKUP(Table1[[#This Row],[5 cm2 cell test code]:[5 cm2 cell test code]],[1]!Table1[[Test code]:[Test code]],[1]!Table1[HFR 10 mM KOH/ mOhm cm2],"",0)</f>
        <v>#REF!</v>
      </c>
      <c r="AF541" s="69" t="e" cm="1">
        <f t="array" ref="AF541">_xlfn.XLOOKUP(Table1[[#This Row],[5 cm2 cell test code]:[5 cm2 cell test code]],[1]!Table1[[Test code]:[Test code]],[1]!Table1[Ionic resistance DIW/Ohm cm2],"",0)</f>
        <v>#REF!</v>
      </c>
      <c r="AG541" s="69" t="e" cm="1">
        <f t="array" ref="AG541">_xlfn.XLOOKUP(Table1[[#This Row],[5 cm2 cell test code]:[5 cm2 cell test code]],[1]!Table1[[Test code]:[Test code]],[1]!Table1[Q_int_frac DIW],"",0)</f>
        <v>#REF!</v>
      </c>
      <c r="AH541" s="69" t="e" cm="1">
        <f t="array" ref="AH541">_xlfn.XLOOKUP(Table1[[#This Row],[5 cm2 cell test code]:[5 cm2 cell test code]],[1]!Table1[[Test code]:[Test code]],[1]!Table1[Ionic resistance 10 mM KOH/Ohm cm2],"",0)</f>
        <v>#REF!</v>
      </c>
      <c r="AI541" s="69" t="e" cm="1">
        <f t="array" ref="AI541">_xlfn.XLOOKUP(Table1[[#This Row],[5 cm2 cell test code]:[5 cm2 cell test code]],[1]!Table1[[Test code]:[Test code]],[1]!Table1[Q_int_frac DIW 10 mM KOH],"",0)</f>
        <v>#REF!</v>
      </c>
      <c r="AJ541" s="69" t="e" cm="1">
        <f t="array" ref="AJ541">_xlfn.XLOOKUP(Table1[[#This Row],[5 cm2 cell test code]:[5 cm2 cell test code]],[1]!Table1[[Test code]:[Test code]],[1]!Table1[DIW conductivity (µS/cm)],"",0)</f>
        <v>#REF!</v>
      </c>
    </row>
    <row r="542" spans="1:36">
      <c r="A542" s="81"/>
      <c r="B542" s="207" t="s">
        <v>944</v>
      </c>
      <c r="C542" s="14"/>
      <c r="I542" s="11" t="s">
        <v>114</v>
      </c>
      <c r="J542" s="11" t="s">
        <v>869</v>
      </c>
      <c r="K542" s="211" t="s">
        <v>887</v>
      </c>
      <c r="L542" s="11" t="s">
        <v>888</v>
      </c>
      <c r="M542" s="25"/>
      <c r="O542" s="19"/>
      <c r="P542" s="27"/>
      <c r="Q542" s="4">
        <v>3.7029555377233105E-2</v>
      </c>
      <c r="U542" s="101"/>
      <c r="V542" s="101"/>
      <c r="W542" s="69" t="e" cm="1">
        <f t="array" ref="W542">_xlfn.XLOOKUP(Table1[[#This Row],[5 cm2 cell test code]:[5 cm2 cell test code]],[1]!Table1[[Test code]:[Test code]],[1]!Table1[i @ 1.8 V DIW (A/cm2)],"",0)</f>
        <v>#REF!</v>
      </c>
      <c r="X542" s="69" t="e" cm="1">
        <f t="array" ref="X542">_xlfn.XLOOKUP(Table1[[#This Row],[5 cm2 cell test code]:[5 cm2 cell test code]],[1]!Table1[[Test code]:[Test code]],[1]!Table1[i @ 1.8 V 10 mM KOH (A/cm2)],"",0)</f>
        <v>#REF!</v>
      </c>
      <c r="Y542" s="69" t="e" cm="1">
        <f t="array" ref="Y542">_xlfn.XLOOKUP(Table1[[#This Row],[5 cm2 cell test code]:[5 cm2 cell test code]],[1]!Table1[[Test code]:[Test code]],[1]!Table1[3-E ƞ at 20mAcm-2 (mV)],"",0)</f>
        <v>#REF!</v>
      </c>
      <c r="Z542" s="69" t="e" cm="1">
        <f t="array" ref="Z542">_xlfn.XLOOKUP(Table1[[#This Row],[5 cm2 cell test code]:[5 cm2 cell test code]],[1]!Table1[[Test code]:[Test code]],[1]!Table1[3-E Tafel slope (mV/dec)],"",0)</f>
        <v>#REF!</v>
      </c>
      <c r="AA542" s="69" t="e" cm="1">
        <f t="array" ref="AA542">_xlfn.XLOOKUP(Table1[[#This Row],[5 cm2 cell test code]:[5 cm2 cell test code]],[1]!Table1[[Test code]:[Test code]],[1]!Table1[E @ 100 mA/cm2 DIW/V],"",0)</f>
        <v>#REF!</v>
      </c>
      <c r="AB542" s="69" t="e" cm="1">
        <f t="array" ref="AB542">_xlfn.XLOOKUP(Table1[[#This Row],[5 cm2 cell test code]:[5 cm2 cell test code]],[1]!Table1[[Test code]:[Test code]],[1]!Table1[E @ 100 mA/cm2 10 mM KOH/V],"",0)</f>
        <v>#REF!</v>
      </c>
      <c r="AC542" s="69" t="e" cm="1">
        <f t="array" ref="AC542">_xlfn.XLOOKUP(Table1[[#This Row],[5 cm2 cell test code]:[5 cm2 cell test code]],[1]!Table1[[Test code]:[Test code]],[1]!Table1[Anode ICR/mOhm],"",0)</f>
        <v>#REF!</v>
      </c>
      <c r="AD542" s="69" t="e" cm="1">
        <f t="array" ref="AD542">_xlfn.XLOOKUP(Table1[[#This Row],[5 cm2 cell test code]:[5 cm2 cell test code]],[1]!Table1[[Test code]:[Test code]],[1]!Table1[HFR DIW/ mOhm cm2],"",0)</f>
        <v>#REF!</v>
      </c>
      <c r="AE542" s="69" t="e" cm="1">
        <f t="array" ref="AE542">_xlfn.XLOOKUP(Table1[[#This Row],[5 cm2 cell test code]:[5 cm2 cell test code]],[1]!Table1[[Test code]:[Test code]],[1]!Table1[HFR 10 mM KOH/ mOhm cm2],"",0)</f>
        <v>#REF!</v>
      </c>
      <c r="AF542" s="69" t="e" cm="1">
        <f t="array" ref="AF542">_xlfn.XLOOKUP(Table1[[#This Row],[5 cm2 cell test code]:[5 cm2 cell test code]],[1]!Table1[[Test code]:[Test code]],[1]!Table1[Ionic resistance DIW/Ohm cm2],"",0)</f>
        <v>#REF!</v>
      </c>
      <c r="AG542" s="69" t="e" cm="1">
        <f t="array" ref="AG542">_xlfn.XLOOKUP(Table1[[#This Row],[5 cm2 cell test code]:[5 cm2 cell test code]],[1]!Table1[[Test code]:[Test code]],[1]!Table1[Q_int_frac DIW],"",0)</f>
        <v>#REF!</v>
      </c>
      <c r="AH542" s="69" t="e" cm="1">
        <f t="array" ref="AH542">_xlfn.XLOOKUP(Table1[[#This Row],[5 cm2 cell test code]:[5 cm2 cell test code]],[1]!Table1[[Test code]:[Test code]],[1]!Table1[Ionic resistance 10 mM KOH/Ohm cm2],"",0)</f>
        <v>#REF!</v>
      </c>
      <c r="AI542" s="69" t="e" cm="1">
        <f t="array" ref="AI542">_xlfn.XLOOKUP(Table1[[#This Row],[5 cm2 cell test code]:[5 cm2 cell test code]],[1]!Table1[[Test code]:[Test code]],[1]!Table1[Q_int_frac DIW 10 mM KOH],"",0)</f>
        <v>#REF!</v>
      </c>
      <c r="AJ542" s="69" t="e" cm="1">
        <f t="array" ref="AJ542">_xlfn.XLOOKUP(Table1[[#This Row],[5 cm2 cell test code]:[5 cm2 cell test code]],[1]!Table1[[Test code]:[Test code]],[1]!Table1[DIW conductivity (µS/cm)],"",0)</f>
        <v>#REF!</v>
      </c>
    </row>
    <row r="543" spans="1:36">
      <c r="A543" s="81"/>
      <c r="B543" s="207" t="s">
        <v>945</v>
      </c>
      <c r="C543" s="14"/>
      <c r="I543" s="11" t="s">
        <v>114</v>
      </c>
      <c r="J543" s="11" t="s">
        <v>869</v>
      </c>
      <c r="K543" s="211" t="s">
        <v>887</v>
      </c>
      <c r="L543" s="11" t="s">
        <v>888</v>
      </c>
      <c r="M543" s="25"/>
      <c r="O543" s="19"/>
      <c r="P543" s="27"/>
      <c r="Q543" s="4">
        <v>3.629672560166914E-2</v>
      </c>
      <c r="U543" s="101"/>
      <c r="V543" s="101"/>
      <c r="W543" s="69" t="e" cm="1">
        <f t="array" ref="W543">_xlfn.XLOOKUP(Table1[[#This Row],[5 cm2 cell test code]:[5 cm2 cell test code]],[1]!Table1[[Test code]:[Test code]],[1]!Table1[i @ 1.8 V DIW (A/cm2)],"",0)</f>
        <v>#REF!</v>
      </c>
      <c r="X543" s="69" t="e" cm="1">
        <f t="array" ref="X543">_xlfn.XLOOKUP(Table1[[#This Row],[5 cm2 cell test code]:[5 cm2 cell test code]],[1]!Table1[[Test code]:[Test code]],[1]!Table1[i @ 1.8 V 10 mM KOH (A/cm2)],"",0)</f>
        <v>#REF!</v>
      </c>
      <c r="Y543" s="69" t="e" cm="1">
        <f t="array" ref="Y543">_xlfn.XLOOKUP(Table1[[#This Row],[5 cm2 cell test code]:[5 cm2 cell test code]],[1]!Table1[[Test code]:[Test code]],[1]!Table1[3-E ƞ at 20mAcm-2 (mV)],"",0)</f>
        <v>#REF!</v>
      </c>
      <c r="Z543" s="69" t="e" cm="1">
        <f t="array" ref="Z543">_xlfn.XLOOKUP(Table1[[#This Row],[5 cm2 cell test code]:[5 cm2 cell test code]],[1]!Table1[[Test code]:[Test code]],[1]!Table1[3-E Tafel slope (mV/dec)],"",0)</f>
        <v>#REF!</v>
      </c>
      <c r="AA543" s="69" t="e" cm="1">
        <f t="array" ref="AA543">_xlfn.XLOOKUP(Table1[[#This Row],[5 cm2 cell test code]:[5 cm2 cell test code]],[1]!Table1[[Test code]:[Test code]],[1]!Table1[E @ 100 mA/cm2 DIW/V],"",0)</f>
        <v>#REF!</v>
      </c>
      <c r="AB543" s="69" t="e" cm="1">
        <f t="array" ref="AB543">_xlfn.XLOOKUP(Table1[[#This Row],[5 cm2 cell test code]:[5 cm2 cell test code]],[1]!Table1[[Test code]:[Test code]],[1]!Table1[E @ 100 mA/cm2 10 mM KOH/V],"",0)</f>
        <v>#REF!</v>
      </c>
      <c r="AC543" s="69" t="e" cm="1">
        <f t="array" ref="AC543">_xlfn.XLOOKUP(Table1[[#This Row],[5 cm2 cell test code]:[5 cm2 cell test code]],[1]!Table1[[Test code]:[Test code]],[1]!Table1[Anode ICR/mOhm],"",0)</f>
        <v>#REF!</v>
      </c>
      <c r="AD543" s="69" t="e" cm="1">
        <f t="array" ref="AD543">_xlfn.XLOOKUP(Table1[[#This Row],[5 cm2 cell test code]:[5 cm2 cell test code]],[1]!Table1[[Test code]:[Test code]],[1]!Table1[HFR DIW/ mOhm cm2],"",0)</f>
        <v>#REF!</v>
      </c>
      <c r="AE543" s="69" t="e" cm="1">
        <f t="array" ref="AE543">_xlfn.XLOOKUP(Table1[[#This Row],[5 cm2 cell test code]:[5 cm2 cell test code]],[1]!Table1[[Test code]:[Test code]],[1]!Table1[HFR 10 mM KOH/ mOhm cm2],"",0)</f>
        <v>#REF!</v>
      </c>
      <c r="AF543" s="69" t="e" cm="1">
        <f t="array" ref="AF543">_xlfn.XLOOKUP(Table1[[#This Row],[5 cm2 cell test code]:[5 cm2 cell test code]],[1]!Table1[[Test code]:[Test code]],[1]!Table1[Ionic resistance DIW/Ohm cm2],"",0)</f>
        <v>#REF!</v>
      </c>
      <c r="AG543" s="69" t="e" cm="1">
        <f t="array" ref="AG543">_xlfn.XLOOKUP(Table1[[#This Row],[5 cm2 cell test code]:[5 cm2 cell test code]],[1]!Table1[[Test code]:[Test code]],[1]!Table1[Q_int_frac DIW],"",0)</f>
        <v>#REF!</v>
      </c>
      <c r="AH543" s="69" t="e" cm="1">
        <f t="array" ref="AH543">_xlfn.XLOOKUP(Table1[[#This Row],[5 cm2 cell test code]:[5 cm2 cell test code]],[1]!Table1[[Test code]:[Test code]],[1]!Table1[Ionic resistance 10 mM KOH/Ohm cm2],"",0)</f>
        <v>#REF!</v>
      </c>
      <c r="AI543" s="69" t="e" cm="1">
        <f t="array" ref="AI543">_xlfn.XLOOKUP(Table1[[#This Row],[5 cm2 cell test code]:[5 cm2 cell test code]],[1]!Table1[[Test code]:[Test code]],[1]!Table1[Q_int_frac DIW 10 mM KOH],"",0)</f>
        <v>#REF!</v>
      </c>
      <c r="AJ543" s="69" t="e" cm="1">
        <f t="array" ref="AJ543">_xlfn.XLOOKUP(Table1[[#This Row],[5 cm2 cell test code]:[5 cm2 cell test code]],[1]!Table1[[Test code]:[Test code]],[1]!Table1[DIW conductivity (µS/cm)],"",0)</f>
        <v>#REF!</v>
      </c>
    </row>
    <row r="544" spans="1:36">
      <c r="A544" s="81"/>
      <c r="U544" s="101"/>
      <c r="V544" s="101"/>
      <c r="W544" s="69" t="e" cm="1">
        <f t="array" ref="W544">_xlfn.XLOOKUP(Table1[[#This Row],[5 cm2 cell test code]:[5 cm2 cell test code]],[1]!Table1[[Test code]:[Test code]],[1]!Table1[i @ 1.8 V DIW (A/cm2)],"",0)</f>
        <v>#REF!</v>
      </c>
      <c r="X544" s="69" t="e" cm="1">
        <f t="array" ref="X544">_xlfn.XLOOKUP(Table1[[#This Row],[5 cm2 cell test code]:[5 cm2 cell test code]],[1]!Table1[[Test code]:[Test code]],[1]!Table1[i @ 1.8 V 10 mM KOH (A/cm2)],"",0)</f>
        <v>#REF!</v>
      </c>
      <c r="Y544" s="69" t="e" cm="1">
        <f t="array" ref="Y544">_xlfn.XLOOKUP(Table1[[#This Row],[5 cm2 cell test code]:[5 cm2 cell test code]],[1]!Table1[[Test code]:[Test code]],[1]!Table1[3-E ƞ at 20mAcm-2 (mV)],"",0)</f>
        <v>#REF!</v>
      </c>
      <c r="Z544" s="69" t="e" cm="1">
        <f t="array" ref="Z544">_xlfn.XLOOKUP(Table1[[#This Row],[5 cm2 cell test code]:[5 cm2 cell test code]],[1]!Table1[[Test code]:[Test code]],[1]!Table1[3-E Tafel slope (mV/dec)],"",0)</f>
        <v>#REF!</v>
      </c>
      <c r="AA544" s="69" t="e" cm="1">
        <f t="array" ref="AA544">_xlfn.XLOOKUP(Table1[[#This Row],[5 cm2 cell test code]:[5 cm2 cell test code]],[1]!Table1[[Test code]:[Test code]],[1]!Table1[E @ 100 mA/cm2 DIW/V],"",0)</f>
        <v>#REF!</v>
      </c>
      <c r="AB544" s="69" t="e" cm="1">
        <f t="array" ref="AB544">_xlfn.XLOOKUP(Table1[[#This Row],[5 cm2 cell test code]:[5 cm2 cell test code]],[1]!Table1[[Test code]:[Test code]],[1]!Table1[E @ 100 mA/cm2 10 mM KOH/V],"",0)</f>
        <v>#REF!</v>
      </c>
      <c r="AC544" s="69" t="e" cm="1">
        <f t="array" ref="AC544">_xlfn.XLOOKUP(Table1[[#This Row],[5 cm2 cell test code]:[5 cm2 cell test code]],[1]!Table1[[Test code]:[Test code]],[1]!Table1[Anode ICR/mOhm],"",0)</f>
        <v>#REF!</v>
      </c>
      <c r="AD544" s="69" t="e" cm="1">
        <f t="array" ref="AD544">_xlfn.XLOOKUP(Table1[[#This Row],[5 cm2 cell test code]:[5 cm2 cell test code]],[1]!Table1[[Test code]:[Test code]],[1]!Table1[HFR DIW/ mOhm cm2],"",0)</f>
        <v>#REF!</v>
      </c>
      <c r="AE544" s="69" t="e" cm="1">
        <f t="array" ref="AE544">_xlfn.XLOOKUP(Table1[[#This Row],[5 cm2 cell test code]:[5 cm2 cell test code]],[1]!Table1[[Test code]:[Test code]],[1]!Table1[HFR 10 mM KOH/ mOhm cm2],"",0)</f>
        <v>#REF!</v>
      </c>
      <c r="AF544" s="69" t="e" cm="1">
        <f t="array" ref="AF544">_xlfn.XLOOKUP(Table1[[#This Row],[5 cm2 cell test code]:[5 cm2 cell test code]],[1]!Table1[[Test code]:[Test code]],[1]!Table1[Ionic resistance DIW/Ohm cm2],"",0)</f>
        <v>#REF!</v>
      </c>
      <c r="AG544" s="69" t="e" cm="1">
        <f t="array" ref="AG544">_xlfn.XLOOKUP(Table1[[#This Row],[5 cm2 cell test code]:[5 cm2 cell test code]],[1]!Table1[[Test code]:[Test code]],[1]!Table1[Q_int_frac DIW],"",0)</f>
        <v>#REF!</v>
      </c>
      <c r="AH544" s="69" t="e" cm="1">
        <f t="array" ref="AH544">_xlfn.XLOOKUP(Table1[[#This Row],[5 cm2 cell test code]:[5 cm2 cell test code]],[1]!Table1[[Test code]:[Test code]],[1]!Table1[Ionic resistance 10 mM KOH/Ohm cm2],"",0)</f>
        <v>#REF!</v>
      </c>
      <c r="AI544" s="69" t="e" cm="1">
        <f t="array" ref="AI544">_xlfn.XLOOKUP(Table1[[#This Row],[5 cm2 cell test code]:[5 cm2 cell test code]],[1]!Table1[[Test code]:[Test code]],[1]!Table1[Q_int_frac DIW 10 mM KOH],"",0)</f>
        <v>#REF!</v>
      </c>
      <c r="AJ544" s="69" t="e" cm="1">
        <f t="array" ref="AJ544">_xlfn.XLOOKUP(Table1[[#This Row],[5 cm2 cell test code]:[5 cm2 cell test code]],[1]!Table1[[Test code]:[Test code]],[1]!Table1[DIW conductivity (µS/cm)],"",0)</f>
        <v>#REF!</v>
      </c>
    </row>
    <row r="545" spans="1:36">
      <c r="A545" s="81"/>
      <c r="B545" s="207" t="s">
        <v>946</v>
      </c>
      <c r="C545" s="4" t="s">
        <v>947</v>
      </c>
      <c r="I545" s="11" t="s">
        <v>114</v>
      </c>
      <c r="J545" s="11" t="s">
        <v>869</v>
      </c>
      <c r="K545" s="211" t="s">
        <v>887</v>
      </c>
      <c r="L545" s="11" t="s">
        <v>888</v>
      </c>
      <c r="M545" s="25"/>
      <c r="O545" s="19"/>
      <c r="P545" s="28">
        <v>1</v>
      </c>
      <c r="Q545" s="4">
        <v>3.6797647624652534E-2</v>
      </c>
      <c r="U545" s="101"/>
      <c r="V545" s="101"/>
      <c r="W545" s="69" t="e" cm="1">
        <f t="array" ref="W545">_xlfn.XLOOKUP(Table1[[#This Row],[5 cm2 cell test code]:[5 cm2 cell test code]],[1]!Table1[[Test code]:[Test code]],[1]!Table1[i @ 1.8 V DIW (A/cm2)],"",0)</f>
        <v>#REF!</v>
      </c>
      <c r="X545" s="69" t="e" cm="1">
        <f t="array" ref="X545">_xlfn.XLOOKUP(Table1[[#This Row],[5 cm2 cell test code]:[5 cm2 cell test code]],[1]!Table1[[Test code]:[Test code]],[1]!Table1[i @ 1.8 V 10 mM KOH (A/cm2)],"",0)</f>
        <v>#REF!</v>
      </c>
      <c r="Y545" s="69" t="e" cm="1">
        <f t="array" ref="Y545">_xlfn.XLOOKUP(Table1[[#This Row],[5 cm2 cell test code]:[5 cm2 cell test code]],[1]!Table1[[Test code]:[Test code]],[1]!Table1[3-E ƞ at 20mAcm-2 (mV)],"",0)</f>
        <v>#REF!</v>
      </c>
      <c r="Z545" s="69" t="e" cm="1">
        <f t="array" ref="Z545">_xlfn.XLOOKUP(Table1[[#This Row],[5 cm2 cell test code]:[5 cm2 cell test code]],[1]!Table1[[Test code]:[Test code]],[1]!Table1[3-E Tafel slope (mV/dec)],"",0)</f>
        <v>#REF!</v>
      </c>
      <c r="AA545" s="69" t="e" cm="1">
        <f t="array" ref="AA545">_xlfn.XLOOKUP(Table1[[#This Row],[5 cm2 cell test code]:[5 cm2 cell test code]],[1]!Table1[[Test code]:[Test code]],[1]!Table1[E @ 100 mA/cm2 DIW/V],"",0)</f>
        <v>#REF!</v>
      </c>
      <c r="AB545" s="69" t="e" cm="1">
        <f t="array" ref="AB545">_xlfn.XLOOKUP(Table1[[#This Row],[5 cm2 cell test code]:[5 cm2 cell test code]],[1]!Table1[[Test code]:[Test code]],[1]!Table1[E @ 100 mA/cm2 10 mM KOH/V],"",0)</f>
        <v>#REF!</v>
      </c>
      <c r="AC545" s="69" t="e" cm="1">
        <f t="array" ref="AC545">_xlfn.XLOOKUP(Table1[[#This Row],[5 cm2 cell test code]:[5 cm2 cell test code]],[1]!Table1[[Test code]:[Test code]],[1]!Table1[Anode ICR/mOhm],"",0)</f>
        <v>#REF!</v>
      </c>
      <c r="AD545" s="69" t="e" cm="1">
        <f t="array" ref="AD545">_xlfn.XLOOKUP(Table1[[#This Row],[5 cm2 cell test code]:[5 cm2 cell test code]],[1]!Table1[[Test code]:[Test code]],[1]!Table1[HFR DIW/ mOhm cm2],"",0)</f>
        <v>#REF!</v>
      </c>
      <c r="AE545" s="69" t="e" cm="1">
        <f t="array" ref="AE545">_xlfn.XLOOKUP(Table1[[#This Row],[5 cm2 cell test code]:[5 cm2 cell test code]],[1]!Table1[[Test code]:[Test code]],[1]!Table1[HFR 10 mM KOH/ mOhm cm2],"",0)</f>
        <v>#REF!</v>
      </c>
      <c r="AF545" s="69" t="e" cm="1">
        <f t="array" ref="AF545">_xlfn.XLOOKUP(Table1[[#This Row],[5 cm2 cell test code]:[5 cm2 cell test code]],[1]!Table1[[Test code]:[Test code]],[1]!Table1[Ionic resistance DIW/Ohm cm2],"",0)</f>
        <v>#REF!</v>
      </c>
      <c r="AG545" s="69" t="e" cm="1">
        <f t="array" ref="AG545">_xlfn.XLOOKUP(Table1[[#This Row],[5 cm2 cell test code]:[5 cm2 cell test code]],[1]!Table1[[Test code]:[Test code]],[1]!Table1[Q_int_frac DIW],"",0)</f>
        <v>#REF!</v>
      </c>
      <c r="AH545" s="69" t="e" cm="1">
        <f t="array" ref="AH545">_xlfn.XLOOKUP(Table1[[#This Row],[5 cm2 cell test code]:[5 cm2 cell test code]],[1]!Table1[[Test code]:[Test code]],[1]!Table1[Ionic resistance 10 mM KOH/Ohm cm2],"",0)</f>
        <v>#REF!</v>
      </c>
      <c r="AI545" s="69" t="e" cm="1">
        <f t="array" ref="AI545">_xlfn.XLOOKUP(Table1[[#This Row],[5 cm2 cell test code]:[5 cm2 cell test code]],[1]!Table1[[Test code]:[Test code]],[1]!Table1[Q_int_frac DIW 10 mM KOH],"",0)</f>
        <v>#REF!</v>
      </c>
      <c r="AJ545" s="69" t="e" cm="1">
        <f t="array" ref="AJ545">_xlfn.XLOOKUP(Table1[[#This Row],[5 cm2 cell test code]:[5 cm2 cell test code]],[1]!Table1[[Test code]:[Test code]],[1]!Table1[DIW conductivity (µS/cm)],"",0)</f>
        <v>#REF!</v>
      </c>
    </row>
    <row r="546" spans="1:36">
      <c r="A546" s="81"/>
      <c r="B546" s="11" t="s">
        <v>948</v>
      </c>
      <c r="C546" s="4" t="s">
        <v>777</v>
      </c>
      <c r="I546" s="11" t="s">
        <v>114</v>
      </c>
      <c r="J546" s="11" t="s">
        <v>869</v>
      </c>
      <c r="K546" s="211" t="s">
        <v>887</v>
      </c>
      <c r="L546" s="11" t="s">
        <v>888</v>
      </c>
      <c r="U546" s="101"/>
      <c r="V546" s="101"/>
      <c r="W546" s="69" t="e" cm="1">
        <f t="array" ref="W546">_xlfn.XLOOKUP(Table1[[#This Row],[5 cm2 cell test code]:[5 cm2 cell test code]],[1]!Table1[[Test code]:[Test code]],[1]!Table1[i @ 1.8 V DIW (A/cm2)],"",0)</f>
        <v>#REF!</v>
      </c>
      <c r="X546" s="69" t="e" cm="1">
        <f t="array" ref="X546">_xlfn.XLOOKUP(Table1[[#This Row],[5 cm2 cell test code]:[5 cm2 cell test code]],[1]!Table1[[Test code]:[Test code]],[1]!Table1[i @ 1.8 V 10 mM KOH (A/cm2)],"",0)</f>
        <v>#REF!</v>
      </c>
      <c r="Y546" s="69" t="e" cm="1">
        <f t="array" ref="Y546">_xlfn.XLOOKUP(Table1[[#This Row],[5 cm2 cell test code]:[5 cm2 cell test code]],[1]!Table1[[Test code]:[Test code]],[1]!Table1[3-E ƞ at 20mAcm-2 (mV)],"",0)</f>
        <v>#REF!</v>
      </c>
      <c r="Z546" s="69" t="e" cm="1">
        <f t="array" ref="Z546">_xlfn.XLOOKUP(Table1[[#This Row],[5 cm2 cell test code]:[5 cm2 cell test code]],[1]!Table1[[Test code]:[Test code]],[1]!Table1[3-E Tafel slope (mV/dec)],"",0)</f>
        <v>#REF!</v>
      </c>
      <c r="AA546" s="69" t="e" cm="1">
        <f t="array" ref="AA546">_xlfn.XLOOKUP(Table1[[#This Row],[5 cm2 cell test code]:[5 cm2 cell test code]],[1]!Table1[[Test code]:[Test code]],[1]!Table1[E @ 100 mA/cm2 DIW/V],"",0)</f>
        <v>#REF!</v>
      </c>
      <c r="AB546" s="69" t="e" cm="1">
        <f t="array" ref="AB546">_xlfn.XLOOKUP(Table1[[#This Row],[5 cm2 cell test code]:[5 cm2 cell test code]],[1]!Table1[[Test code]:[Test code]],[1]!Table1[E @ 100 mA/cm2 10 mM KOH/V],"",0)</f>
        <v>#REF!</v>
      </c>
      <c r="AC546" s="69" t="e" cm="1">
        <f t="array" ref="AC546">_xlfn.XLOOKUP(Table1[[#This Row],[5 cm2 cell test code]:[5 cm2 cell test code]],[1]!Table1[[Test code]:[Test code]],[1]!Table1[Anode ICR/mOhm],"",0)</f>
        <v>#REF!</v>
      </c>
      <c r="AD546" s="69" t="e" cm="1">
        <f t="array" ref="AD546">_xlfn.XLOOKUP(Table1[[#This Row],[5 cm2 cell test code]:[5 cm2 cell test code]],[1]!Table1[[Test code]:[Test code]],[1]!Table1[HFR DIW/ mOhm cm2],"",0)</f>
        <v>#REF!</v>
      </c>
      <c r="AE546" s="69" t="e" cm="1">
        <f t="array" ref="AE546">_xlfn.XLOOKUP(Table1[[#This Row],[5 cm2 cell test code]:[5 cm2 cell test code]],[1]!Table1[[Test code]:[Test code]],[1]!Table1[HFR 10 mM KOH/ mOhm cm2],"",0)</f>
        <v>#REF!</v>
      </c>
      <c r="AF546" s="69" t="e" cm="1">
        <f t="array" ref="AF546">_xlfn.XLOOKUP(Table1[[#This Row],[5 cm2 cell test code]:[5 cm2 cell test code]],[1]!Table1[[Test code]:[Test code]],[1]!Table1[Ionic resistance DIW/Ohm cm2],"",0)</f>
        <v>#REF!</v>
      </c>
      <c r="AG546" s="195" t="e" cm="1">
        <f t="array" ref="AG546">_xlfn.XLOOKUP(Table1[[#This Row],[5 cm2 cell test code]:[5 cm2 cell test code]],[1]!Table1[[Test code]:[Test code]],[1]!Table1[Q_int_frac DIW],"",0)</f>
        <v>#REF!</v>
      </c>
      <c r="AH546" s="195" t="e" cm="1">
        <f t="array" ref="AH546">_xlfn.XLOOKUP(Table1[[#This Row],[5 cm2 cell test code]:[5 cm2 cell test code]],[1]!Table1[[Test code]:[Test code]],[1]!Table1[Ionic resistance 10 mM KOH/Ohm cm2],"",0)</f>
        <v>#REF!</v>
      </c>
      <c r="AI546" s="195" t="e" cm="1">
        <f t="array" ref="AI546">_xlfn.XLOOKUP(Table1[[#This Row],[5 cm2 cell test code]:[5 cm2 cell test code]],[1]!Table1[[Test code]:[Test code]],[1]!Table1[Q_int_frac DIW 10 mM KOH],"",0)</f>
        <v>#REF!</v>
      </c>
      <c r="AJ546" s="69" t="e" cm="1">
        <f t="array" ref="AJ546">_xlfn.XLOOKUP(Table1[[#This Row],[5 cm2 cell test code]:[5 cm2 cell test code]],[1]!Table1[[Test code]:[Test code]],[1]!Table1[DIW conductivity (µS/cm)],"",0)</f>
        <v>#REF!</v>
      </c>
    </row>
    <row r="547" spans="1:36">
      <c r="A547" s="81"/>
      <c r="B547" s="11" t="s">
        <v>949</v>
      </c>
      <c r="C547" s="4" t="s">
        <v>777</v>
      </c>
      <c r="I547" s="11" t="s">
        <v>114</v>
      </c>
      <c r="J547" s="11" t="s">
        <v>869</v>
      </c>
      <c r="K547" s="211" t="s">
        <v>887</v>
      </c>
      <c r="L547" s="11" t="s">
        <v>888</v>
      </c>
      <c r="U547" s="101"/>
      <c r="V547" s="101"/>
      <c r="W547" s="69" t="e" cm="1">
        <f t="array" ref="W547">_xlfn.XLOOKUP(Table1[[#This Row],[5 cm2 cell test code]:[5 cm2 cell test code]],[1]!Table1[[Test code]:[Test code]],[1]!Table1[i @ 1.8 V DIW (A/cm2)],"",0)</f>
        <v>#REF!</v>
      </c>
      <c r="X547" s="69" t="e" cm="1">
        <f t="array" ref="X547">_xlfn.XLOOKUP(Table1[[#This Row],[5 cm2 cell test code]:[5 cm2 cell test code]],[1]!Table1[[Test code]:[Test code]],[1]!Table1[i @ 1.8 V 10 mM KOH (A/cm2)],"",0)</f>
        <v>#REF!</v>
      </c>
      <c r="Y547" s="69" t="e" cm="1">
        <f t="array" ref="Y547">_xlfn.XLOOKUP(Table1[[#This Row],[5 cm2 cell test code]:[5 cm2 cell test code]],[1]!Table1[[Test code]:[Test code]],[1]!Table1[3-E ƞ at 20mAcm-2 (mV)],"",0)</f>
        <v>#REF!</v>
      </c>
      <c r="Z547" s="69" t="e" cm="1">
        <f t="array" ref="Z547">_xlfn.XLOOKUP(Table1[[#This Row],[5 cm2 cell test code]:[5 cm2 cell test code]],[1]!Table1[[Test code]:[Test code]],[1]!Table1[3-E Tafel slope (mV/dec)],"",0)</f>
        <v>#REF!</v>
      </c>
      <c r="AA547" s="69" t="e" cm="1">
        <f t="array" ref="AA547">_xlfn.XLOOKUP(Table1[[#This Row],[5 cm2 cell test code]:[5 cm2 cell test code]],[1]!Table1[[Test code]:[Test code]],[1]!Table1[E @ 100 mA/cm2 DIW/V],"",0)</f>
        <v>#REF!</v>
      </c>
      <c r="AB547" s="69" t="e" cm="1">
        <f t="array" ref="AB547">_xlfn.XLOOKUP(Table1[[#This Row],[5 cm2 cell test code]:[5 cm2 cell test code]],[1]!Table1[[Test code]:[Test code]],[1]!Table1[E @ 100 mA/cm2 10 mM KOH/V],"",0)</f>
        <v>#REF!</v>
      </c>
      <c r="AC547" s="69" t="e" cm="1">
        <f t="array" ref="AC547">_xlfn.XLOOKUP(Table1[[#This Row],[5 cm2 cell test code]:[5 cm2 cell test code]],[1]!Table1[[Test code]:[Test code]],[1]!Table1[Anode ICR/mOhm],"",0)</f>
        <v>#REF!</v>
      </c>
      <c r="AD547" s="69" t="e" cm="1">
        <f t="array" ref="AD547">_xlfn.XLOOKUP(Table1[[#This Row],[5 cm2 cell test code]:[5 cm2 cell test code]],[1]!Table1[[Test code]:[Test code]],[1]!Table1[HFR DIW/ mOhm cm2],"",0)</f>
        <v>#REF!</v>
      </c>
      <c r="AE547" s="69" t="e" cm="1">
        <f t="array" ref="AE547">_xlfn.XLOOKUP(Table1[[#This Row],[5 cm2 cell test code]:[5 cm2 cell test code]],[1]!Table1[[Test code]:[Test code]],[1]!Table1[HFR 10 mM KOH/ mOhm cm2],"",0)</f>
        <v>#REF!</v>
      </c>
      <c r="AF547" s="69" t="e" cm="1">
        <f t="array" ref="AF547">_xlfn.XLOOKUP(Table1[[#This Row],[5 cm2 cell test code]:[5 cm2 cell test code]],[1]!Table1[[Test code]:[Test code]],[1]!Table1[Ionic resistance DIW/Ohm cm2],"",0)</f>
        <v>#REF!</v>
      </c>
      <c r="AG547" s="195" t="e" cm="1">
        <f t="array" ref="AG547">_xlfn.XLOOKUP(Table1[[#This Row],[5 cm2 cell test code]:[5 cm2 cell test code]],[1]!Table1[[Test code]:[Test code]],[1]!Table1[Q_int_frac DIW],"",0)</f>
        <v>#REF!</v>
      </c>
      <c r="AH547" s="195" t="e" cm="1">
        <f t="array" ref="AH547">_xlfn.XLOOKUP(Table1[[#This Row],[5 cm2 cell test code]:[5 cm2 cell test code]],[1]!Table1[[Test code]:[Test code]],[1]!Table1[Ionic resistance 10 mM KOH/Ohm cm2],"",0)</f>
        <v>#REF!</v>
      </c>
      <c r="AI547" s="195" t="e" cm="1">
        <f t="array" ref="AI547">_xlfn.XLOOKUP(Table1[[#This Row],[5 cm2 cell test code]:[5 cm2 cell test code]],[1]!Table1[[Test code]:[Test code]],[1]!Table1[Q_int_frac DIW 10 mM KOH],"",0)</f>
        <v>#REF!</v>
      </c>
      <c r="AJ547" s="69" t="e" cm="1">
        <f t="array" ref="AJ547">_xlfn.XLOOKUP(Table1[[#This Row],[5 cm2 cell test code]:[5 cm2 cell test code]],[1]!Table1[[Test code]:[Test code]],[1]!Table1[DIW conductivity (µS/cm)],"",0)</f>
        <v>#REF!</v>
      </c>
    </row>
    <row r="548" spans="1:36">
      <c r="A548" s="81"/>
      <c r="B548" s="207" t="s">
        <v>950</v>
      </c>
      <c r="C548" s="4" t="s">
        <v>947</v>
      </c>
      <c r="I548" s="11" t="s">
        <v>114</v>
      </c>
      <c r="J548" s="11" t="s">
        <v>869</v>
      </c>
      <c r="K548" s="211" t="s">
        <v>887</v>
      </c>
      <c r="L548" s="11" t="s">
        <v>888</v>
      </c>
      <c r="M548" s="25"/>
      <c r="O548" s="19"/>
      <c r="P548" s="28">
        <v>0.99</v>
      </c>
      <c r="Q548" s="4">
        <v>4.5192563365741567E-2</v>
      </c>
      <c r="U548" s="101"/>
      <c r="V548" s="101"/>
      <c r="W548" s="69" t="e" cm="1">
        <f t="array" ref="W548">_xlfn.XLOOKUP(Table1[[#This Row],[5 cm2 cell test code]:[5 cm2 cell test code]],[1]!Table1[[Test code]:[Test code]],[1]!Table1[i @ 1.8 V DIW (A/cm2)],"",0)</f>
        <v>#REF!</v>
      </c>
      <c r="X548" s="69" t="e" cm="1">
        <f t="array" ref="X548">_xlfn.XLOOKUP(Table1[[#This Row],[5 cm2 cell test code]:[5 cm2 cell test code]],[1]!Table1[[Test code]:[Test code]],[1]!Table1[i @ 1.8 V 10 mM KOH (A/cm2)],"",0)</f>
        <v>#REF!</v>
      </c>
      <c r="Y548" s="69" t="e" cm="1">
        <f t="array" ref="Y548">_xlfn.XLOOKUP(Table1[[#This Row],[5 cm2 cell test code]:[5 cm2 cell test code]],[1]!Table1[[Test code]:[Test code]],[1]!Table1[3-E ƞ at 20mAcm-2 (mV)],"",0)</f>
        <v>#REF!</v>
      </c>
      <c r="Z548" s="69" t="e" cm="1">
        <f t="array" ref="Z548">_xlfn.XLOOKUP(Table1[[#This Row],[5 cm2 cell test code]:[5 cm2 cell test code]],[1]!Table1[[Test code]:[Test code]],[1]!Table1[3-E Tafel slope (mV/dec)],"",0)</f>
        <v>#REF!</v>
      </c>
      <c r="AA548" s="69" t="e" cm="1">
        <f t="array" ref="AA548">_xlfn.XLOOKUP(Table1[[#This Row],[5 cm2 cell test code]:[5 cm2 cell test code]],[1]!Table1[[Test code]:[Test code]],[1]!Table1[E @ 100 mA/cm2 DIW/V],"",0)</f>
        <v>#REF!</v>
      </c>
      <c r="AB548" s="69" t="e" cm="1">
        <f t="array" ref="AB548">_xlfn.XLOOKUP(Table1[[#This Row],[5 cm2 cell test code]:[5 cm2 cell test code]],[1]!Table1[[Test code]:[Test code]],[1]!Table1[E @ 100 mA/cm2 10 mM KOH/V],"",0)</f>
        <v>#REF!</v>
      </c>
      <c r="AC548" s="69" t="e" cm="1">
        <f t="array" ref="AC548">_xlfn.XLOOKUP(Table1[[#This Row],[5 cm2 cell test code]:[5 cm2 cell test code]],[1]!Table1[[Test code]:[Test code]],[1]!Table1[Anode ICR/mOhm],"",0)</f>
        <v>#REF!</v>
      </c>
      <c r="AD548" s="69" t="e" cm="1">
        <f t="array" ref="AD548">_xlfn.XLOOKUP(Table1[[#This Row],[5 cm2 cell test code]:[5 cm2 cell test code]],[1]!Table1[[Test code]:[Test code]],[1]!Table1[HFR DIW/ mOhm cm2],"",0)</f>
        <v>#REF!</v>
      </c>
      <c r="AE548" s="69" t="e" cm="1">
        <f t="array" ref="AE548">_xlfn.XLOOKUP(Table1[[#This Row],[5 cm2 cell test code]:[5 cm2 cell test code]],[1]!Table1[[Test code]:[Test code]],[1]!Table1[HFR 10 mM KOH/ mOhm cm2],"",0)</f>
        <v>#REF!</v>
      </c>
      <c r="AF548" s="69" t="e" cm="1">
        <f t="array" ref="AF548">_xlfn.XLOOKUP(Table1[[#This Row],[5 cm2 cell test code]:[5 cm2 cell test code]],[1]!Table1[[Test code]:[Test code]],[1]!Table1[Ionic resistance DIW/Ohm cm2],"",0)</f>
        <v>#REF!</v>
      </c>
      <c r="AG548" s="69" t="e" cm="1">
        <f t="array" ref="AG548">_xlfn.XLOOKUP(Table1[[#This Row],[5 cm2 cell test code]:[5 cm2 cell test code]],[1]!Table1[[Test code]:[Test code]],[1]!Table1[Q_int_frac DIW],"",0)</f>
        <v>#REF!</v>
      </c>
      <c r="AH548" s="69" t="e" cm="1">
        <f t="array" ref="AH548">_xlfn.XLOOKUP(Table1[[#This Row],[5 cm2 cell test code]:[5 cm2 cell test code]],[1]!Table1[[Test code]:[Test code]],[1]!Table1[Ionic resistance 10 mM KOH/Ohm cm2],"",0)</f>
        <v>#REF!</v>
      </c>
      <c r="AI548" s="69" t="e" cm="1">
        <f t="array" ref="AI548">_xlfn.XLOOKUP(Table1[[#This Row],[5 cm2 cell test code]:[5 cm2 cell test code]],[1]!Table1[[Test code]:[Test code]],[1]!Table1[Q_int_frac DIW 10 mM KOH],"",0)</f>
        <v>#REF!</v>
      </c>
      <c r="AJ548" s="69" t="e" cm="1">
        <f t="array" ref="AJ548">_xlfn.XLOOKUP(Table1[[#This Row],[5 cm2 cell test code]:[5 cm2 cell test code]],[1]!Table1[[Test code]:[Test code]],[1]!Table1[DIW conductivity (µS/cm)],"",0)</f>
        <v>#REF!</v>
      </c>
    </row>
    <row r="549" spans="1:36">
      <c r="A549" s="81"/>
      <c r="B549" s="11" t="s">
        <v>951</v>
      </c>
      <c r="C549" s="4" t="s">
        <v>777</v>
      </c>
      <c r="I549" s="11" t="s">
        <v>114</v>
      </c>
      <c r="J549" s="11" t="s">
        <v>869</v>
      </c>
      <c r="K549" s="211" t="s">
        <v>887</v>
      </c>
      <c r="L549" s="11" t="s">
        <v>888</v>
      </c>
      <c r="U549" s="101"/>
      <c r="V549" s="101"/>
      <c r="W549" s="69" t="e" cm="1">
        <f t="array" ref="W549">_xlfn.XLOOKUP(Table1[[#This Row],[5 cm2 cell test code]:[5 cm2 cell test code]],[1]!Table1[[Test code]:[Test code]],[1]!Table1[i @ 1.8 V DIW (A/cm2)],"",0)</f>
        <v>#REF!</v>
      </c>
      <c r="X549" s="69" t="e" cm="1">
        <f t="array" ref="X549">_xlfn.XLOOKUP(Table1[[#This Row],[5 cm2 cell test code]:[5 cm2 cell test code]],[1]!Table1[[Test code]:[Test code]],[1]!Table1[i @ 1.8 V 10 mM KOH (A/cm2)],"",0)</f>
        <v>#REF!</v>
      </c>
      <c r="Y549" s="69" t="e" cm="1">
        <f t="array" ref="Y549">_xlfn.XLOOKUP(Table1[[#This Row],[5 cm2 cell test code]:[5 cm2 cell test code]],[1]!Table1[[Test code]:[Test code]],[1]!Table1[3-E ƞ at 20mAcm-2 (mV)],"",0)</f>
        <v>#REF!</v>
      </c>
      <c r="Z549" s="69" t="e" cm="1">
        <f t="array" ref="Z549">_xlfn.XLOOKUP(Table1[[#This Row],[5 cm2 cell test code]:[5 cm2 cell test code]],[1]!Table1[[Test code]:[Test code]],[1]!Table1[3-E Tafel slope (mV/dec)],"",0)</f>
        <v>#REF!</v>
      </c>
      <c r="AA549" s="69" t="e" cm="1">
        <f t="array" ref="AA549">_xlfn.XLOOKUP(Table1[[#This Row],[5 cm2 cell test code]:[5 cm2 cell test code]],[1]!Table1[[Test code]:[Test code]],[1]!Table1[E @ 100 mA/cm2 DIW/V],"",0)</f>
        <v>#REF!</v>
      </c>
      <c r="AB549" s="69" t="e" cm="1">
        <f t="array" ref="AB549">_xlfn.XLOOKUP(Table1[[#This Row],[5 cm2 cell test code]:[5 cm2 cell test code]],[1]!Table1[[Test code]:[Test code]],[1]!Table1[E @ 100 mA/cm2 10 mM KOH/V],"",0)</f>
        <v>#REF!</v>
      </c>
      <c r="AC549" s="69" t="e" cm="1">
        <f t="array" ref="AC549">_xlfn.XLOOKUP(Table1[[#This Row],[5 cm2 cell test code]:[5 cm2 cell test code]],[1]!Table1[[Test code]:[Test code]],[1]!Table1[Anode ICR/mOhm],"",0)</f>
        <v>#REF!</v>
      </c>
      <c r="AD549" s="69" t="e" cm="1">
        <f t="array" ref="AD549">_xlfn.XLOOKUP(Table1[[#This Row],[5 cm2 cell test code]:[5 cm2 cell test code]],[1]!Table1[[Test code]:[Test code]],[1]!Table1[HFR DIW/ mOhm cm2],"",0)</f>
        <v>#REF!</v>
      </c>
      <c r="AE549" s="69" t="e" cm="1">
        <f t="array" ref="AE549">_xlfn.XLOOKUP(Table1[[#This Row],[5 cm2 cell test code]:[5 cm2 cell test code]],[1]!Table1[[Test code]:[Test code]],[1]!Table1[HFR 10 mM KOH/ mOhm cm2],"",0)</f>
        <v>#REF!</v>
      </c>
      <c r="AF549" s="69" t="e" cm="1">
        <f t="array" ref="AF549">_xlfn.XLOOKUP(Table1[[#This Row],[5 cm2 cell test code]:[5 cm2 cell test code]],[1]!Table1[[Test code]:[Test code]],[1]!Table1[Ionic resistance DIW/Ohm cm2],"",0)</f>
        <v>#REF!</v>
      </c>
      <c r="AG549" s="69" t="e" cm="1">
        <f t="array" ref="AG549">_xlfn.XLOOKUP(Table1[[#This Row],[5 cm2 cell test code]:[5 cm2 cell test code]],[1]!Table1[[Test code]:[Test code]],[1]!Table1[Q_int_frac DIW],"",0)</f>
        <v>#REF!</v>
      </c>
      <c r="AH549" s="69" t="e" cm="1">
        <f t="array" ref="AH549">_xlfn.XLOOKUP(Table1[[#This Row],[5 cm2 cell test code]:[5 cm2 cell test code]],[1]!Table1[[Test code]:[Test code]],[1]!Table1[Ionic resistance 10 mM KOH/Ohm cm2],"",0)</f>
        <v>#REF!</v>
      </c>
      <c r="AI549" s="69" t="e" cm="1">
        <f t="array" ref="AI549">_xlfn.XLOOKUP(Table1[[#This Row],[5 cm2 cell test code]:[5 cm2 cell test code]],[1]!Table1[[Test code]:[Test code]],[1]!Table1[Q_int_frac DIW 10 mM KOH],"",0)</f>
        <v>#REF!</v>
      </c>
      <c r="AJ549" s="69" t="e" cm="1">
        <f t="array" ref="AJ549">_xlfn.XLOOKUP(Table1[[#This Row],[5 cm2 cell test code]:[5 cm2 cell test code]],[1]!Table1[[Test code]:[Test code]],[1]!Table1[DIW conductivity (µS/cm)],"",0)</f>
        <v>#REF!</v>
      </c>
    </row>
    <row r="550" spans="1:36">
      <c r="A550" s="81"/>
      <c r="B550" s="207" t="s">
        <v>952</v>
      </c>
      <c r="C550" s="4" t="s">
        <v>947</v>
      </c>
      <c r="I550" s="11" t="s">
        <v>114</v>
      </c>
      <c r="J550" s="11" t="s">
        <v>869</v>
      </c>
      <c r="K550" s="210" t="s">
        <v>887</v>
      </c>
      <c r="L550" s="11" t="s">
        <v>888</v>
      </c>
      <c r="M550" s="25"/>
      <c r="O550" s="19"/>
      <c r="P550" s="28">
        <v>1.03</v>
      </c>
      <c r="Q550" s="4">
        <v>4.7013702982326266E-2</v>
      </c>
      <c r="U550" s="101"/>
      <c r="V550" s="101"/>
      <c r="W550" s="69" t="e" cm="1">
        <f t="array" ref="W550">_xlfn.XLOOKUP(Table1[[#This Row],[5 cm2 cell test code]:[5 cm2 cell test code]],[1]!Table1[[Test code]:[Test code]],[1]!Table1[i @ 1.8 V DIW (A/cm2)],"",0)</f>
        <v>#REF!</v>
      </c>
      <c r="X550" s="69" t="e" cm="1">
        <f t="array" ref="X550">_xlfn.XLOOKUP(Table1[[#This Row],[5 cm2 cell test code]:[5 cm2 cell test code]],[1]!Table1[[Test code]:[Test code]],[1]!Table1[i @ 1.8 V 10 mM KOH (A/cm2)],"",0)</f>
        <v>#REF!</v>
      </c>
      <c r="Y550" s="69" t="e" cm="1">
        <f t="array" ref="Y550">_xlfn.XLOOKUP(Table1[[#This Row],[5 cm2 cell test code]:[5 cm2 cell test code]],[1]!Table1[[Test code]:[Test code]],[1]!Table1[3-E ƞ at 20mAcm-2 (mV)],"",0)</f>
        <v>#REF!</v>
      </c>
      <c r="Z550" s="69" t="e" cm="1">
        <f t="array" ref="Z550">_xlfn.XLOOKUP(Table1[[#This Row],[5 cm2 cell test code]:[5 cm2 cell test code]],[1]!Table1[[Test code]:[Test code]],[1]!Table1[3-E Tafel slope (mV/dec)],"",0)</f>
        <v>#REF!</v>
      </c>
      <c r="AA550" s="69" t="e" cm="1">
        <f t="array" ref="AA550">_xlfn.XLOOKUP(Table1[[#This Row],[5 cm2 cell test code]:[5 cm2 cell test code]],[1]!Table1[[Test code]:[Test code]],[1]!Table1[E @ 100 mA/cm2 DIW/V],"",0)</f>
        <v>#REF!</v>
      </c>
      <c r="AB550" s="69" t="e" cm="1">
        <f t="array" ref="AB550">_xlfn.XLOOKUP(Table1[[#This Row],[5 cm2 cell test code]:[5 cm2 cell test code]],[1]!Table1[[Test code]:[Test code]],[1]!Table1[E @ 100 mA/cm2 10 mM KOH/V],"",0)</f>
        <v>#REF!</v>
      </c>
      <c r="AC550" s="69" t="e" cm="1">
        <f t="array" ref="AC550">_xlfn.XLOOKUP(Table1[[#This Row],[5 cm2 cell test code]:[5 cm2 cell test code]],[1]!Table1[[Test code]:[Test code]],[1]!Table1[Anode ICR/mOhm],"",0)</f>
        <v>#REF!</v>
      </c>
      <c r="AD550" s="69" t="e" cm="1">
        <f t="array" ref="AD550">_xlfn.XLOOKUP(Table1[[#This Row],[5 cm2 cell test code]:[5 cm2 cell test code]],[1]!Table1[[Test code]:[Test code]],[1]!Table1[HFR DIW/ mOhm cm2],"",0)</f>
        <v>#REF!</v>
      </c>
      <c r="AE550" s="69" t="e" cm="1">
        <f t="array" ref="AE550">_xlfn.XLOOKUP(Table1[[#This Row],[5 cm2 cell test code]:[5 cm2 cell test code]],[1]!Table1[[Test code]:[Test code]],[1]!Table1[HFR 10 mM KOH/ mOhm cm2],"",0)</f>
        <v>#REF!</v>
      </c>
      <c r="AF550" s="69" t="e" cm="1">
        <f t="array" ref="AF550">_xlfn.XLOOKUP(Table1[[#This Row],[5 cm2 cell test code]:[5 cm2 cell test code]],[1]!Table1[[Test code]:[Test code]],[1]!Table1[Ionic resistance DIW/Ohm cm2],"",0)</f>
        <v>#REF!</v>
      </c>
      <c r="AG550" s="69" t="e" cm="1">
        <f t="array" ref="AG550">_xlfn.XLOOKUP(Table1[[#This Row],[5 cm2 cell test code]:[5 cm2 cell test code]],[1]!Table1[[Test code]:[Test code]],[1]!Table1[Q_int_frac DIW],"",0)</f>
        <v>#REF!</v>
      </c>
      <c r="AH550" s="69" t="e" cm="1">
        <f t="array" ref="AH550">_xlfn.XLOOKUP(Table1[[#This Row],[5 cm2 cell test code]:[5 cm2 cell test code]],[1]!Table1[[Test code]:[Test code]],[1]!Table1[Ionic resistance 10 mM KOH/Ohm cm2],"",0)</f>
        <v>#REF!</v>
      </c>
      <c r="AI550" s="69" t="e" cm="1">
        <f t="array" ref="AI550">_xlfn.XLOOKUP(Table1[[#This Row],[5 cm2 cell test code]:[5 cm2 cell test code]],[1]!Table1[[Test code]:[Test code]],[1]!Table1[Q_int_frac DIW 10 mM KOH],"",0)</f>
        <v>#REF!</v>
      </c>
      <c r="AJ550" s="69" t="e" cm="1">
        <f t="array" ref="AJ550">_xlfn.XLOOKUP(Table1[[#This Row],[5 cm2 cell test code]:[5 cm2 cell test code]],[1]!Table1[[Test code]:[Test code]],[1]!Table1[DIW conductivity (µS/cm)],"",0)</f>
        <v>#REF!</v>
      </c>
    </row>
    <row r="551" spans="1:36">
      <c r="A551" s="81"/>
      <c r="B551" s="11" t="s">
        <v>953</v>
      </c>
      <c r="C551" s="4" t="s">
        <v>777</v>
      </c>
      <c r="I551" s="11" t="s">
        <v>114</v>
      </c>
      <c r="J551" s="11" t="s">
        <v>869</v>
      </c>
      <c r="U551" s="101"/>
      <c r="V551" s="101"/>
      <c r="W551" s="69" t="e" cm="1">
        <f t="array" ref="W551">_xlfn.XLOOKUP(Table1[[#This Row],[5 cm2 cell test code]:[5 cm2 cell test code]],[1]!Table1[[Test code]:[Test code]],[1]!Table1[i @ 1.8 V DIW (A/cm2)],"",0)</f>
        <v>#REF!</v>
      </c>
      <c r="X551" s="69" t="e" cm="1">
        <f t="array" ref="X551">_xlfn.XLOOKUP(Table1[[#This Row],[5 cm2 cell test code]:[5 cm2 cell test code]],[1]!Table1[[Test code]:[Test code]],[1]!Table1[i @ 1.8 V 10 mM KOH (A/cm2)],"",0)</f>
        <v>#REF!</v>
      </c>
      <c r="Y551" s="69" t="e" cm="1">
        <f t="array" ref="Y551">_xlfn.XLOOKUP(Table1[[#This Row],[5 cm2 cell test code]:[5 cm2 cell test code]],[1]!Table1[[Test code]:[Test code]],[1]!Table1[3-E ƞ at 20mAcm-2 (mV)],"",0)</f>
        <v>#REF!</v>
      </c>
      <c r="Z551" s="69" t="e" cm="1">
        <f t="array" ref="Z551">_xlfn.XLOOKUP(Table1[[#This Row],[5 cm2 cell test code]:[5 cm2 cell test code]],[1]!Table1[[Test code]:[Test code]],[1]!Table1[3-E Tafel slope (mV/dec)],"",0)</f>
        <v>#REF!</v>
      </c>
      <c r="AA551" s="69" t="e" cm="1">
        <f t="array" ref="AA551">_xlfn.XLOOKUP(Table1[[#This Row],[5 cm2 cell test code]:[5 cm2 cell test code]],[1]!Table1[[Test code]:[Test code]],[1]!Table1[E @ 100 mA/cm2 DIW/V],"",0)</f>
        <v>#REF!</v>
      </c>
      <c r="AB551" s="69" t="e" cm="1">
        <f t="array" ref="AB551">_xlfn.XLOOKUP(Table1[[#This Row],[5 cm2 cell test code]:[5 cm2 cell test code]],[1]!Table1[[Test code]:[Test code]],[1]!Table1[E @ 100 mA/cm2 10 mM KOH/V],"",0)</f>
        <v>#REF!</v>
      </c>
      <c r="AC551" s="69" t="e" cm="1">
        <f t="array" ref="AC551">_xlfn.XLOOKUP(Table1[[#This Row],[5 cm2 cell test code]:[5 cm2 cell test code]],[1]!Table1[[Test code]:[Test code]],[1]!Table1[Anode ICR/mOhm],"",0)</f>
        <v>#REF!</v>
      </c>
      <c r="AD551" s="69" t="e" cm="1">
        <f t="array" ref="AD551">_xlfn.XLOOKUP(Table1[[#This Row],[5 cm2 cell test code]:[5 cm2 cell test code]],[1]!Table1[[Test code]:[Test code]],[1]!Table1[HFR DIW/ mOhm cm2],"",0)</f>
        <v>#REF!</v>
      </c>
      <c r="AE551" s="69" t="e" cm="1">
        <f t="array" ref="AE551">_xlfn.XLOOKUP(Table1[[#This Row],[5 cm2 cell test code]:[5 cm2 cell test code]],[1]!Table1[[Test code]:[Test code]],[1]!Table1[HFR 10 mM KOH/ mOhm cm2],"",0)</f>
        <v>#REF!</v>
      </c>
      <c r="AF551" s="69" t="e" cm="1">
        <f t="array" ref="AF551">_xlfn.XLOOKUP(Table1[[#This Row],[5 cm2 cell test code]:[5 cm2 cell test code]],[1]!Table1[[Test code]:[Test code]],[1]!Table1[Ionic resistance DIW/Ohm cm2],"",0)</f>
        <v>#REF!</v>
      </c>
      <c r="AG551" s="69" t="e" cm="1">
        <f t="array" ref="AG551">_xlfn.XLOOKUP(Table1[[#This Row],[5 cm2 cell test code]:[5 cm2 cell test code]],[1]!Table1[[Test code]:[Test code]],[1]!Table1[Q_int_frac DIW],"",0)</f>
        <v>#REF!</v>
      </c>
      <c r="AH551" s="69" t="e" cm="1">
        <f t="array" ref="AH551">_xlfn.XLOOKUP(Table1[[#This Row],[5 cm2 cell test code]:[5 cm2 cell test code]],[1]!Table1[[Test code]:[Test code]],[1]!Table1[Ionic resistance 10 mM KOH/Ohm cm2],"",0)</f>
        <v>#REF!</v>
      </c>
      <c r="AI551" s="69" t="e" cm="1">
        <f t="array" ref="AI551">_xlfn.XLOOKUP(Table1[[#This Row],[5 cm2 cell test code]:[5 cm2 cell test code]],[1]!Table1[[Test code]:[Test code]],[1]!Table1[Q_int_frac DIW 10 mM KOH],"",0)</f>
        <v>#REF!</v>
      </c>
      <c r="AJ551" s="69" t="e" cm="1">
        <f t="array" ref="AJ551">_xlfn.XLOOKUP(Table1[[#This Row],[5 cm2 cell test code]:[5 cm2 cell test code]],[1]!Table1[[Test code]:[Test code]],[1]!Table1[DIW conductivity (µS/cm)],"",0)</f>
        <v>#REF!</v>
      </c>
    </row>
    <row r="552" spans="1:36">
      <c r="A552" s="81"/>
      <c r="B552" s="11" t="s">
        <v>954</v>
      </c>
      <c r="C552" s="4" t="s">
        <v>777</v>
      </c>
      <c r="I552" s="11" t="s">
        <v>114</v>
      </c>
      <c r="J552" s="11" t="s">
        <v>869</v>
      </c>
      <c r="U552" s="101"/>
      <c r="V552" s="101"/>
      <c r="W552" s="69" t="e" cm="1">
        <f t="array" ref="W552">_xlfn.XLOOKUP(Table1[[#This Row],[5 cm2 cell test code]:[5 cm2 cell test code]],[1]!Table1[[Test code]:[Test code]],[1]!Table1[i @ 1.8 V DIW (A/cm2)],"",0)</f>
        <v>#REF!</v>
      </c>
      <c r="X552" s="69" t="e" cm="1">
        <f t="array" ref="X552">_xlfn.XLOOKUP(Table1[[#This Row],[5 cm2 cell test code]:[5 cm2 cell test code]],[1]!Table1[[Test code]:[Test code]],[1]!Table1[i @ 1.8 V 10 mM KOH (A/cm2)],"",0)</f>
        <v>#REF!</v>
      </c>
      <c r="Y552" s="69" t="e" cm="1">
        <f t="array" ref="Y552">_xlfn.XLOOKUP(Table1[[#This Row],[5 cm2 cell test code]:[5 cm2 cell test code]],[1]!Table1[[Test code]:[Test code]],[1]!Table1[3-E ƞ at 20mAcm-2 (mV)],"",0)</f>
        <v>#REF!</v>
      </c>
      <c r="Z552" s="69" t="e" cm="1">
        <f t="array" ref="Z552">_xlfn.XLOOKUP(Table1[[#This Row],[5 cm2 cell test code]:[5 cm2 cell test code]],[1]!Table1[[Test code]:[Test code]],[1]!Table1[3-E Tafel slope (mV/dec)],"",0)</f>
        <v>#REF!</v>
      </c>
      <c r="AA552" s="69" t="e" cm="1">
        <f t="array" ref="AA552">_xlfn.XLOOKUP(Table1[[#This Row],[5 cm2 cell test code]:[5 cm2 cell test code]],[1]!Table1[[Test code]:[Test code]],[1]!Table1[E @ 100 mA/cm2 DIW/V],"",0)</f>
        <v>#REF!</v>
      </c>
      <c r="AB552" s="69" t="e" cm="1">
        <f t="array" ref="AB552">_xlfn.XLOOKUP(Table1[[#This Row],[5 cm2 cell test code]:[5 cm2 cell test code]],[1]!Table1[[Test code]:[Test code]],[1]!Table1[E @ 100 mA/cm2 10 mM KOH/V],"",0)</f>
        <v>#REF!</v>
      </c>
      <c r="AC552" s="69" t="e" cm="1">
        <f t="array" ref="AC552">_xlfn.XLOOKUP(Table1[[#This Row],[5 cm2 cell test code]:[5 cm2 cell test code]],[1]!Table1[[Test code]:[Test code]],[1]!Table1[Anode ICR/mOhm],"",0)</f>
        <v>#REF!</v>
      </c>
      <c r="AD552" s="69" t="e" cm="1">
        <f t="array" ref="AD552">_xlfn.XLOOKUP(Table1[[#This Row],[5 cm2 cell test code]:[5 cm2 cell test code]],[1]!Table1[[Test code]:[Test code]],[1]!Table1[HFR DIW/ mOhm cm2],"",0)</f>
        <v>#REF!</v>
      </c>
      <c r="AE552" s="69" t="e" cm="1">
        <f t="array" ref="AE552">_xlfn.XLOOKUP(Table1[[#This Row],[5 cm2 cell test code]:[5 cm2 cell test code]],[1]!Table1[[Test code]:[Test code]],[1]!Table1[HFR 10 mM KOH/ mOhm cm2],"",0)</f>
        <v>#REF!</v>
      </c>
      <c r="AF552" s="69" t="e" cm="1">
        <f t="array" ref="AF552">_xlfn.XLOOKUP(Table1[[#This Row],[5 cm2 cell test code]:[5 cm2 cell test code]],[1]!Table1[[Test code]:[Test code]],[1]!Table1[Ionic resistance DIW/Ohm cm2],"",0)</f>
        <v>#REF!</v>
      </c>
      <c r="AG552" s="69" t="e" cm="1">
        <f t="array" ref="AG552">_xlfn.XLOOKUP(Table1[[#This Row],[5 cm2 cell test code]:[5 cm2 cell test code]],[1]!Table1[[Test code]:[Test code]],[1]!Table1[Q_int_frac DIW],"",0)</f>
        <v>#REF!</v>
      </c>
      <c r="AH552" s="69" t="e" cm="1">
        <f t="array" ref="AH552">_xlfn.XLOOKUP(Table1[[#This Row],[5 cm2 cell test code]:[5 cm2 cell test code]],[1]!Table1[[Test code]:[Test code]],[1]!Table1[Ionic resistance 10 mM KOH/Ohm cm2],"",0)</f>
        <v>#REF!</v>
      </c>
      <c r="AI552" s="69" t="e" cm="1">
        <f t="array" ref="AI552">_xlfn.XLOOKUP(Table1[[#This Row],[5 cm2 cell test code]:[5 cm2 cell test code]],[1]!Table1[[Test code]:[Test code]],[1]!Table1[Q_int_frac DIW 10 mM KOH],"",0)</f>
        <v>#REF!</v>
      </c>
      <c r="AJ552" s="69" t="e" cm="1">
        <f t="array" ref="AJ552">_xlfn.XLOOKUP(Table1[[#This Row],[5 cm2 cell test code]:[5 cm2 cell test code]],[1]!Table1[[Test code]:[Test code]],[1]!Table1[DIW conductivity (µS/cm)],"",0)</f>
        <v>#REF!</v>
      </c>
    </row>
    <row r="553" spans="1:36">
      <c r="A553" s="81"/>
      <c r="B553" s="207" t="s">
        <v>955</v>
      </c>
      <c r="C553" s="4" t="s">
        <v>956</v>
      </c>
      <c r="I553" s="11" t="s">
        <v>114</v>
      </c>
      <c r="J553" s="11" t="s">
        <v>869</v>
      </c>
      <c r="K553" s="210" t="s">
        <v>887</v>
      </c>
      <c r="L553" s="11" t="s">
        <v>888</v>
      </c>
      <c r="M553" s="25"/>
      <c r="O553" s="19"/>
      <c r="P553" s="28">
        <v>1.06</v>
      </c>
      <c r="Q553" s="4">
        <v>3.6941301121849832E-2</v>
      </c>
      <c r="U553" s="101"/>
      <c r="V553" s="101"/>
      <c r="W553" s="69" t="e" cm="1">
        <f t="array" ref="W553">_xlfn.XLOOKUP(Table1[[#This Row],[5 cm2 cell test code]:[5 cm2 cell test code]],[1]!Table1[[Test code]:[Test code]],[1]!Table1[i @ 1.8 V DIW (A/cm2)],"",0)</f>
        <v>#REF!</v>
      </c>
      <c r="X553" s="69" t="e" cm="1">
        <f t="array" ref="X553">_xlfn.XLOOKUP(Table1[[#This Row],[5 cm2 cell test code]:[5 cm2 cell test code]],[1]!Table1[[Test code]:[Test code]],[1]!Table1[i @ 1.8 V 10 mM KOH (A/cm2)],"",0)</f>
        <v>#REF!</v>
      </c>
      <c r="Y553" s="69" t="e" cm="1">
        <f t="array" ref="Y553">_xlfn.XLOOKUP(Table1[[#This Row],[5 cm2 cell test code]:[5 cm2 cell test code]],[1]!Table1[[Test code]:[Test code]],[1]!Table1[3-E ƞ at 20mAcm-2 (mV)],"",0)</f>
        <v>#REF!</v>
      </c>
      <c r="Z553" s="69" t="e" cm="1">
        <f t="array" ref="Z553">_xlfn.XLOOKUP(Table1[[#This Row],[5 cm2 cell test code]:[5 cm2 cell test code]],[1]!Table1[[Test code]:[Test code]],[1]!Table1[3-E Tafel slope (mV/dec)],"",0)</f>
        <v>#REF!</v>
      </c>
      <c r="AA553" s="69" t="e" cm="1">
        <f t="array" ref="AA553">_xlfn.XLOOKUP(Table1[[#This Row],[5 cm2 cell test code]:[5 cm2 cell test code]],[1]!Table1[[Test code]:[Test code]],[1]!Table1[E @ 100 mA/cm2 DIW/V],"",0)</f>
        <v>#REF!</v>
      </c>
      <c r="AB553" s="69" t="e" cm="1">
        <f t="array" ref="AB553">_xlfn.XLOOKUP(Table1[[#This Row],[5 cm2 cell test code]:[5 cm2 cell test code]],[1]!Table1[[Test code]:[Test code]],[1]!Table1[E @ 100 mA/cm2 10 mM KOH/V],"",0)</f>
        <v>#REF!</v>
      </c>
      <c r="AC553" s="69" t="e" cm="1">
        <f t="array" ref="AC553">_xlfn.XLOOKUP(Table1[[#This Row],[5 cm2 cell test code]:[5 cm2 cell test code]],[1]!Table1[[Test code]:[Test code]],[1]!Table1[Anode ICR/mOhm],"",0)</f>
        <v>#REF!</v>
      </c>
      <c r="AD553" s="69" t="e" cm="1">
        <f t="array" ref="AD553">_xlfn.XLOOKUP(Table1[[#This Row],[5 cm2 cell test code]:[5 cm2 cell test code]],[1]!Table1[[Test code]:[Test code]],[1]!Table1[HFR DIW/ mOhm cm2],"",0)</f>
        <v>#REF!</v>
      </c>
      <c r="AE553" s="69" t="e" cm="1">
        <f t="array" ref="AE553">_xlfn.XLOOKUP(Table1[[#This Row],[5 cm2 cell test code]:[5 cm2 cell test code]],[1]!Table1[[Test code]:[Test code]],[1]!Table1[HFR 10 mM KOH/ mOhm cm2],"",0)</f>
        <v>#REF!</v>
      </c>
      <c r="AF553" s="69" t="e" cm="1">
        <f t="array" ref="AF553">_xlfn.XLOOKUP(Table1[[#This Row],[5 cm2 cell test code]:[5 cm2 cell test code]],[1]!Table1[[Test code]:[Test code]],[1]!Table1[Ionic resistance DIW/Ohm cm2],"",0)</f>
        <v>#REF!</v>
      </c>
      <c r="AG553" s="69" t="e" cm="1">
        <f t="array" ref="AG553">_xlfn.XLOOKUP(Table1[[#This Row],[5 cm2 cell test code]:[5 cm2 cell test code]],[1]!Table1[[Test code]:[Test code]],[1]!Table1[Q_int_frac DIW],"",0)</f>
        <v>#REF!</v>
      </c>
      <c r="AH553" s="69" t="e" cm="1">
        <f t="array" ref="AH553">_xlfn.XLOOKUP(Table1[[#This Row],[5 cm2 cell test code]:[5 cm2 cell test code]],[1]!Table1[[Test code]:[Test code]],[1]!Table1[Ionic resistance 10 mM KOH/Ohm cm2],"",0)</f>
        <v>#REF!</v>
      </c>
      <c r="AI553" s="69" t="e" cm="1">
        <f t="array" ref="AI553">_xlfn.XLOOKUP(Table1[[#This Row],[5 cm2 cell test code]:[5 cm2 cell test code]],[1]!Table1[[Test code]:[Test code]],[1]!Table1[Q_int_frac DIW 10 mM KOH],"",0)</f>
        <v>#REF!</v>
      </c>
      <c r="AJ553" s="69" t="e" cm="1">
        <f t="array" ref="AJ553">_xlfn.XLOOKUP(Table1[[#This Row],[5 cm2 cell test code]:[5 cm2 cell test code]],[1]!Table1[[Test code]:[Test code]],[1]!Table1[DIW conductivity (µS/cm)],"",0)</f>
        <v>#REF!</v>
      </c>
    </row>
    <row r="554" spans="1:36">
      <c r="A554" s="81"/>
      <c r="B554" s="11" t="s">
        <v>957</v>
      </c>
      <c r="C554" s="4" t="s">
        <v>777</v>
      </c>
      <c r="E554" s="4" t="s">
        <v>762</v>
      </c>
      <c r="K554" s="89"/>
      <c r="L554" s="89"/>
      <c r="U554" s="101"/>
      <c r="V554" s="101"/>
      <c r="W554" s="69" t="e" cm="1">
        <f t="array" ref="W554">_xlfn.XLOOKUP(Table1[[#This Row],[5 cm2 cell test code]:[5 cm2 cell test code]],[1]!Table1[[Test code]:[Test code]],[1]!Table1[i @ 1.8 V DIW (A/cm2)],"",0)</f>
        <v>#REF!</v>
      </c>
      <c r="X554" s="69" t="e" cm="1">
        <f t="array" ref="X554">_xlfn.XLOOKUP(Table1[[#This Row],[5 cm2 cell test code]:[5 cm2 cell test code]],[1]!Table1[[Test code]:[Test code]],[1]!Table1[i @ 1.8 V 10 mM KOH (A/cm2)],"",0)</f>
        <v>#REF!</v>
      </c>
      <c r="Y554" s="69" t="e" cm="1">
        <f t="array" ref="Y554">_xlfn.XLOOKUP(Table1[[#This Row],[5 cm2 cell test code]:[5 cm2 cell test code]],[1]!Table1[[Test code]:[Test code]],[1]!Table1[3-E ƞ at 20mAcm-2 (mV)],"",0)</f>
        <v>#REF!</v>
      </c>
      <c r="Z554" s="69" t="e" cm="1">
        <f t="array" ref="Z554">_xlfn.XLOOKUP(Table1[[#This Row],[5 cm2 cell test code]:[5 cm2 cell test code]],[1]!Table1[[Test code]:[Test code]],[1]!Table1[3-E Tafel slope (mV/dec)],"",0)</f>
        <v>#REF!</v>
      </c>
      <c r="AA554" s="69" t="e" cm="1">
        <f t="array" ref="AA554">_xlfn.XLOOKUP(Table1[[#This Row],[5 cm2 cell test code]:[5 cm2 cell test code]],[1]!Table1[[Test code]:[Test code]],[1]!Table1[E @ 100 mA/cm2 DIW/V],"",0)</f>
        <v>#REF!</v>
      </c>
      <c r="AB554" s="69" t="e" cm="1">
        <f t="array" ref="AB554">_xlfn.XLOOKUP(Table1[[#This Row],[5 cm2 cell test code]:[5 cm2 cell test code]],[1]!Table1[[Test code]:[Test code]],[1]!Table1[E @ 100 mA/cm2 10 mM KOH/V],"",0)</f>
        <v>#REF!</v>
      </c>
      <c r="AC554" s="69" t="e" cm="1">
        <f t="array" ref="AC554">_xlfn.XLOOKUP(Table1[[#This Row],[5 cm2 cell test code]:[5 cm2 cell test code]],[1]!Table1[[Test code]:[Test code]],[1]!Table1[Anode ICR/mOhm],"",0)</f>
        <v>#REF!</v>
      </c>
      <c r="AD554" s="69" t="e" cm="1">
        <f t="array" ref="AD554">_xlfn.XLOOKUP(Table1[[#This Row],[5 cm2 cell test code]:[5 cm2 cell test code]],[1]!Table1[[Test code]:[Test code]],[1]!Table1[HFR DIW/ mOhm cm2],"",0)</f>
        <v>#REF!</v>
      </c>
      <c r="AE554" s="69" t="e" cm="1">
        <f t="array" ref="AE554">_xlfn.XLOOKUP(Table1[[#This Row],[5 cm2 cell test code]:[5 cm2 cell test code]],[1]!Table1[[Test code]:[Test code]],[1]!Table1[HFR 10 mM KOH/ mOhm cm2],"",0)</f>
        <v>#REF!</v>
      </c>
      <c r="AF554" s="69" t="e" cm="1">
        <f t="array" ref="AF554">_xlfn.XLOOKUP(Table1[[#This Row],[5 cm2 cell test code]:[5 cm2 cell test code]],[1]!Table1[[Test code]:[Test code]],[1]!Table1[Ionic resistance DIW/Ohm cm2],"",0)</f>
        <v>#REF!</v>
      </c>
      <c r="AG554" s="195" t="e" cm="1">
        <f t="array" ref="AG554">_xlfn.XLOOKUP(Table1[[#This Row],[5 cm2 cell test code]:[5 cm2 cell test code]],[1]!Table1[[Test code]:[Test code]],[1]!Table1[Q_int_frac DIW],"",0)</f>
        <v>#REF!</v>
      </c>
      <c r="AH554" s="195" t="e" cm="1">
        <f t="array" ref="AH554">_xlfn.XLOOKUP(Table1[[#This Row],[5 cm2 cell test code]:[5 cm2 cell test code]],[1]!Table1[[Test code]:[Test code]],[1]!Table1[Ionic resistance 10 mM KOH/Ohm cm2],"",0)</f>
        <v>#REF!</v>
      </c>
      <c r="AI554" s="195" t="e" cm="1">
        <f t="array" ref="AI554">_xlfn.XLOOKUP(Table1[[#This Row],[5 cm2 cell test code]:[5 cm2 cell test code]],[1]!Table1[[Test code]:[Test code]],[1]!Table1[Q_int_frac DIW 10 mM KOH],"",0)</f>
        <v>#REF!</v>
      </c>
      <c r="AJ554" s="69" t="e" cm="1">
        <f t="array" ref="AJ554">_xlfn.XLOOKUP(Table1[[#This Row],[5 cm2 cell test code]:[5 cm2 cell test code]],[1]!Table1[[Test code]:[Test code]],[1]!Table1[DIW conductivity (µS/cm)],"",0)</f>
        <v>#REF!</v>
      </c>
    </row>
    <row r="555" spans="1:36">
      <c r="A555" s="81"/>
      <c r="B555" s="11" t="s">
        <v>958</v>
      </c>
      <c r="C555" s="4" t="s">
        <v>777</v>
      </c>
      <c r="E555" s="4" t="s">
        <v>762</v>
      </c>
      <c r="K555" s="89"/>
      <c r="L555" s="89"/>
      <c r="U555" s="101"/>
      <c r="V555" s="101"/>
      <c r="W555" s="69" t="e" cm="1">
        <f t="array" ref="W555">_xlfn.XLOOKUP(Table1[[#This Row],[5 cm2 cell test code]:[5 cm2 cell test code]],[1]!Table1[[Test code]:[Test code]],[1]!Table1[i @ 1.8 V DIW (A/cm2)],"",0)</f>
        <v>#REF!</v>
      </c>
      <c r="X555" s="69" t="e" cm="1">
        <f t="array" ref="X555">_xlfn.XLOOKUP(Table1[[#This Row],[5 cm2 cell test code]:[5 cm2 cell test code]],[1]!Table1[[Test code]:[Test code]],[1]!Table1[i @ 1.8 V 10 mM KOH (A/cm2)],"",0)</f>
        <v>#REF!</v>
      </c>
      <c r="Y555" s="69" t="e" cm="1">
        <f t="array" ref="Y555">_xlfn.XLOOKUP(Table1[[#This Row],[5 cm2 cell test code]:[5 cm2 cell test code]],[1]!Table1[[Test code]:[Test code]],[1]!Table1[3-E ƞ at 20mAcm-2 (mV)],"",0)</f>
        <v>#REF!</v>
      </c>
      <c r="Z555" s="69" t="e" cm="1">
        <f t="array" ref="Z555">_xlfn.XLOOKUP(Table1[[#This Row],[5 cm2 cell test code]:[5 cm2 cell test code]],[1]!Table1[[Test code]:[Test code]],[1]!Table1[3-E Tafel slope (mV/dec)],"",0)</f>
        <v>#REF!</v>
      </c>
      <c r="AA555" s="69" t="e" cm="1">
        <f t="array" ref="AA555">_xlfn.XLOOKUP(Table1[[#This Row],[5 cm2 cell test code]:[5 cm2 cell test code]],[1]!Table1[[Test code]:[Test code]],[1]!Table1[E @ 100 mA/cm2 DIW/V],"",0)</f>
        <v>#REF!</v>
      </c>
      <c r="AB555" s="69" t="e" cm="1">
        <f t="array" ref="AB555">_xlfn.XLOOKUP(Table1[[#This Row],[5 cm2 cell test code]:[5 cm2 cell test code]],[1]!Table1[[Test code]:[Test code]],[1]!Table1[E @ 100 mA/cm2 10 mM KOH/V],"",0)</f>
        <v>#REF!</v>
      </c>
      <c r="AC555" s="69" t="e" cm="1">
        <f t="array" ref="AC555">_xlfn.XLOOKUP(Table1[[#This Row],[5 cm2 cell test code]:[5 cm2 cell test code]],[1]!Table1[[Test code]:[Test code]],[1]!Table1[Anode ICR/mOhm],"",0)</f>
        <v>#REF!</v>
      </c>
      <c r="AD555" s="69" t="e" cm="1">
        <f t="array" ref="AD555">_xlfn.XLOOKUP(Table1[[#This Row],[5 cm2 cell test code]:[5 cm2 cell test code]],[1]!Table1[[Test code]:[Test code]],[1]!Table1[HFR DIW/ mOhm cm2],"",0)</f>
        <v>#REF!</v>
      </c>
      <c r="AE555" s="69" t="e" cm="1">
        <f t="array" ref="AE555">_xlfn.XLOOKUP(Table1[[#This Row],[5 cm2 cell test code]:[5 cm2 cell test code]],[1]!Table1[[Test code]:[Test code]],[1]!Table1[HFR 10 mM KOH/ mOhm cm2],"",0)</f>
        <v>#REF!</v>
      </c>
      <c r="AF555" s="69" t="e" cm="1">
        <f t="array" ref="AF555">_xlfn.XLOOKUP(Table1[[#This Row],[5 cm2 cell test code]:[5 cm2 cell test code]],[1]!Table1[[Test code]:[Test code]],[1]!Table1[Ionic resistance DIW/Ohm cm2],"",0)</f>
        <v>#REF!</v>
      </c>
      <c r="AG555" s="195" t="e" cm="1">
        <f t="array" ref="AG555">_xlfn.XLOOKUP(Table1[[#This Row],[5 cm2 cell test code]:[5 cm2 cell test code]],[1]!Table1[[Test code]:[Test code]],[1]!Table1[Q_int_frac DIW],"",0)</f>
        <v>#REF!</v>
      </c>
      <c r="AH555" s="195" t="e" cm="1">
        <f t="array" ref="AH555">_xlfn.XLOOKUP(Table1[[#This Row],[5 cm2 cell test code]:[5 cm2 cell test code]],[1]!Table1[[Test code]:[Test code]],[1]!Table1[Ionic resistance 10 mM KOH/Ohm cm2],"",0)</f>
        <v>#REF!</v>
      </c>
      <c r="AI555" s="195" t="e" cm="1">
        <f t="array" ref="AI555">_xlfn.XLOOKUP(Table1[[#This Row],[5 cm2 cell test code]:[5 cm2 cell test code]],[1]!Table1[[Test code]:[Test code]],[1]!Table1[Q_int_frac DIW 10 mM KOH],"",0)</f>
        <v>#REF!</v>
      </c>
      <c r="AJ555" s="69" t="e" cm="1">
        <f t="array" ref="AJ555">_xlfn.XLOOKUP(Table1[[#This Row],[5 cm2 cell test code]:[5 cm2 cell test code]],[1]!Table1[[Test code]:[Test code]],[1]!Table1[DIW conductivity (µS/cm)],"",0)</f>
        <v>#REF!</v>
      </c>
    </row>
    <row r="556" spans="1:36">
      <c r="A556" s="81"/>
      <c r="B556" s="207" t="s">
        <v>959</v>
      </c>
      <c r="C556" s="4" t="s">
        <v>956</v>
      </c>
      <c r="I556" s="11" t="s">
        <v>114</v>
      </c>
      <c r="J556" s="11" t="s">
        <v>869</v>
      </c>
      <c r="K556" s="211" t="s">
        <v>887</v>
      </c>
      <c r="L556" s="11" t="s">
        <v>888</v>
      </c>
      <c r="M556" s="25"/>
      <c r="O556" s="19"/>
      <c r="P556" s="28">
        <v>1.03</v>
      </c>
      <c r="Q556" s="4">
        <v>3.8890852050126871E-2</v>
      </c>
      <c r="U556" s="101"/>
      <c r="V556" s="101"/>
      <c r="W556" s="69" t="e" cm="1">
        <f t="array" ref="W556">_xlfn.XLOOKUP(Table1[[#This Row],[5 cm2 cell test code]:[5 cm2 cell test code]],[1]!Table1[[Test code]:[Test code]],[1]!Table1[i @ 1.8 V DIW (A/cm2)],"",0)</f>
        <v>#REF!</v>
      </c>
      <c r="X556" s="69" t="e" cm="1">
        <f t="array" ref="X556">_xlfn.XLOOKUP(Table1[[#This Row],[5 cm2 cell test code]:[5 cm2 cell test code]],[1]!Table1[[Test code]:[Test code]],[1]!Table1[i @ 1.8 V 10 mM KOH (A/cm2)],"",0)</f>
        <v>#REF!</v>
      </c>
      <c r="Y556" s="69" t="e" cm="1">
        <f t="array" ref="Y556">_xlfn.XLOOKUP(Table1[[#This Row],[5 cm2 cell test code]:[5 cm2 cell test code]],[1]!Table1[[Test code]:[Test code]],[1]!Table1[3-E ƞ at 20mAcm-2 (mV)],"",0)</f>
        <v>#REF!</v>
      </c>
      <c r="Z556" s="69" t="e" cm="1">
        <f t="array" ref="Z556">_xlfn.XLOOKUP(Table1[[#This Row],[5 cm2 cell test code]:[5 cm2 cell test code]],[1]!Table1[[Test code]:[Test code]],[1]!Table1[3-E Tafel slope (mV/dec)],"",0)</f>
        <v>#REF!</v>
      </c>
      <c r="AA556" s="69" t="e" cm="1">
        <f t="array" ref="AA556">_xlfn.XLOOKUP(Table1[[#This Row],[5 cm2 cell test code]:[5 cm2 cell test code]],[1]!Table1[[Test code]:[Test code]],[1]!Table1[E @ 100 mA/cm2 DIW/V],"",0)</f>
        <v>#REF!</v>
      </c>
      <c r="AB556" s="69" t="e" cm="1">
        <f t="array" ref="AB556">_xlfn.XLOOKUP(Table1[[#This Row],[5 cm2 cell test code]:[5 cm2 cell test code]],[1]!Table1[[Test code]:[Test code]],[1]!Table1[E @ 100 mA/cm2 10 mM KOH/V],"",0)</f>
        <v>#REF!</v>
      </c>
      <c r="AC556" s="69" t="e" cm="1">
        <f t="array" ref="AC556">_xlfn.XLOOKUP(Table1[[#This Row],[5 cm2 cell test code]:[5 cm2 cell test code]],[1]!Table1[[Test code]:[Test code]],[1]!Table1[Anode ICR/mOhm],"",0)</f>
        <v>#REF!</v>
      </c>
      <c r="AD556" s="69" t="e" cm="1">
        <f t="array" ref="AD556">_xlfn.XLOOKUP(Table1[[#This Row],[5 cm2 cell test code]:[5 cm2 cell test code]],[1]!Table1[[Test code]:[Test code]],[1]!Table1[HFR DIW/ mOhm cm2],"",0)</f>
        <v>#REF!</v>
      </c>
      <c r="AE556" s="69" t="e" cm="1">
        <f t="array" ref="AE556">_xlfn.XLOOKUP(Table1[[#This Row],[5 cm2 cell test code]:[5 cm2 cell test code]],[1]!Table1[[Test code]:[Test code]],[1]!Table1[HFR 10 mM KOH/ mOhm cm2],"",0)</f>
        <v>#REF!</v>
      </c>
      <c r="AF556" s="69" t="e" cm="1">
        <f t="array" ref="AF556">_xlfn.XLOOKUP(Table1[[#This Row],[5 cm2 cell test code]:[5 cm2 cell test code]],[1]!Table1[[Test code]:[Test code]],[1]!Table1[Ionic resistance DIW/Ohm cm2],"",0)</f>
        <v>#REF!</v>
      </c>
      <c r="AG556" s="69" t="e" cm="1">
        <f t="array" ref="AG556">_xlfn.XLOOKUP(Table1[[#This Row],[5 cm2 cell test code]:[5 cm2 cell test code]],[1]!Table1[[Test code]:[Test code]],[1]!Table1[Q_int_frac DIW],"",0)</f>
        <v>#REF!</v>
      </c>
      <c r="AH556" s="69" t="e" cm="1">
        <f t="array" ref="AH556">_xlfn.XLOOKUP(Table1[[#This Row],[5 cm2 cell test code]:[5 cm2 cell test code]],[1]!Table1[[Test code]:[Test code]],[1]!Table1[Ionic resistance 10 mM KOH/Ohm cm2],"",0)</f>
        <v>#REF!</v>
      </c>
      <c r="AI556" s="69" t="e" cm="1">
        <f t="array" ref="AI556">_xlfn.XLOOKUP(Table1[[#This Row],[5 cm2 cell test code]:[5 cm2 cell test code]],[1]!Table1[[Test code]:[Test code]],[1]!Table1[Q_int_frac DIW 10 mM KOH],"",0)</f>
        <v>#REF!</v>
      </c>
      <c r="AJ556" s="69" t="e" cm="1">
        <f t="array" ref="AJ556">_xlfn.XLOOKUP(Table1[[#This Row],[5 cm2 cell test code]:[5 cm2 cell test code]],[1]!Table1[[Test code]:[Test code]],[1]!Table1[DIW conductivity (µS/cm)],"",0)</f>
        <v>#REF!</v>
      </c>
    </row>
    <row r="557" spans="1:36">
      <c r="A557" s="81"/>
      <c r="B557" s="207" t="s">
        <v>960</v>
      </c>
      <c r="C557" s="4" t="s">
        <v>956</v>
      </c>
      <c r="I557" s="11" t="s">
        <v>114</v>
      </c>
      <c r="J557" s="11" t="s">
        <v>869</v>
      </c>
      <c r="K557" s="211" t="s">
        <v>887</v>
      </c>
      <c r="L557" s="11" t="s">
        <v>888</v>
      </c>
      <c r="M557" s="25"/>
      <c r="O557" s="19"/>
      <c r="P557" s="27"/>
      <c r="Q557"/>
      <c r="U557" s="101"/>
      <c r="V557" s="101"/>
      <c r="W557" s="69" t="e" cm="1">
        <f t="array" ref="W557">_xlfn.XLOOKUP(Table1[[#This Row],[5 cm2 cell test code]:[5 cm2 cell test code]],[1]!Table1[[Test code]:[Test code]],[1]!Table1[i @ 1.8 V DIW (A/cm2)],"",0)</f>
        <v>#REF!</v>
      </c>
      <c r="X557" s="69" t="e" cm="1">
        <f t="array" ref="X557">_xlfn.XLOOKUP(Table1[[#This Row],[5 cm2 cell test code]:[5 cm2 cell test code]],[1]!Table1[[Test code]:[Test code]],[1]!Table1[i @ 1.8 V 10 mM KOH (A/cm2)],"",0)</f>
        <v>#REF!</v>
      </c>
      <c r="Y557" s="69" t="e" cm="1">
        <f t="array" ref="Y557">_xlfn.XLOOKUP(Table1[[#This Row],[5 cm2 cell test code]:[5 cm2 cell test code]],[1]!Table1[[Test code]:[Test code]],[1]!Table1[3-E ƞ at 20mAcm-2 (mV)],"",0)</f>
        <v>#REF!</v>
      </c>
      <c r="Z557" s="69" t="e" cm="1">
        <f t="array" ref="Z557">_xlfn.XLOOKUP(Table1[[#This Row],[5 cm2 cell test code]:[5 cm2 cell test code]],[1]!Table1[[Test code]:[Test code]],[1]!Table1[3-E Tafel slope (mV/dec)],"",0)</f>
        <v>#REF!</v>
      </c>
      <c r="AA557" s="69" t="e" cm="1">
        <f t="array" ref="AA557">_xlfn.XLOOKUP(Table1[[#This Row],[5 cm2 cell test code]:[5 cm2 cell test code]],[1]!Table1[[Test code]:[Test code]],[1]!Table1[E @ 100 mA/cm2 DIW/V],"",0)</f>
        <v>#REF!</v>
      </c>
      <c r="AB557" s="69" t="e" cm="1">
        <f t="array" ref="AB557">_xlfn.XLOOKUP(Table1[[#This Row],[5 cm2 cell test code]:[5 cm2 cell test code]],[1]!Table1[[Test code]:[Test code]],[1]!Table1[E @ 100 mA/cm2 10 mM KOH/V],"",0)</f>
        <v>#REF!</v>
      </c>
      <c r="AC557" s="69" t="e" cm="1">
        <f t="array" ref="AC557">_xlfn.XLOOKUP(Table1[[#This Row],[5 cm2 cell test code]:[5 cm2 cell test code]],[1]!Table1[[Test code]:[Test code]],[1]!Table1[Anode ICR/mOhm],"",0)</f>
        <v>#REF!</v>
      </c>
      <c r="AD557" s="69" t="e" cm="1">
        <f t="array" ref="AD557">_xlfn.XLOOKUP(Table1[[#This Row],[5 cm2 cell test code]:[5 cm2 cell test code]],[1]!Table1[[Test code]:[Test code]],[1]!Table1[HFR DIW/ mOhm cm2],"",0)</f>
        <v>#REF!</v>
      </c>
      <c r="AE557" s="69" t="e" cm="1">
        <f t="array" ref="AE557">_xlfn.XLOOKUP(Table1[[#This Row],[5 cm2 cell test code]:[5 cm2 cell test code]],[1]!Table1[[Test code]:[Test code]],[1]!Table1[HFR 10 mM KOH/ mOhm cm2],"",0)</f>
        <v>#REF!</v>
      </c>
      <c r="AF557" s="69" t="e" cm="1">
        <f t="array" ref="AF557">_xlfn.XLOOKUP(Table1[[#This Row],[5 cm2 cell test code]:[5 cm2 cell test code]],[1]!Table1[[Test code]:[Test code]],[1]!Table1[Ionic resistance DIW/Ohm cm2],"",0)</f>
        <v>#REF!</v>
      </c>
      <c r="AG557" s="69" t="e" cm="1">
        <f t="array" ref="AG557">_xlfn.XLOOKUP(Table1[[#This Row],[5 cm2 cell test code]:[5 cm2 cell test code]],[1]!Table1[[Test code]:[Test code]],[1]!Table1[Q_int_frac DIW],"",0)</f>
        <v>#REF!</v>
      </c>
      <c r="AH557" s="69" t="e" cm="1">
        <f t="array" ref="AH557">_xlfn.XLOOKUP(Table1[[#This Row],[5 cm2 cell test code]:[5 cm2 cell test code]],[1]!Table1[[Test code]:[Test code]],[1]!Table1[Ionic resistance 10 mM KOH/Ohm cm2],"",0)</f>
        <v>#REF!</v>
      </c>
      <c r="AI557" s="69" t="e" cm="1">
        <f t="array" ref="AI557">_xlfn.XLOOKUP(Table1[[#This Row],[5 cm2 cell test code]:[5 cm2 cell test code]],[1]!Table1[[Test code]:[Test code]],[1]!Table1[Q_int_frac DIW 10 mM KOH],"",0)</f>
        <v>#REF!</v>
      </c>
      <c r="AJ557" s="69" t="e" cm="1">
        <f t="array" ref="AJ557">_xlfn.XLOOKUP(Table1[[#This Row],[5 cm2 cell test code]:[5 cm2 cell test code]],[1]!Table1[[Test code]:[Test code]],[1]!Table1[DIW conductivity (µS/cm)],"",0)</f>
        <v>#REF!</v>
      </c>
    </row>
    <row r="558" spans="1:36">
      <c r="A558" s="81"/>
      <c r="B558" s="207" t="s">
        <v>961</v>
      </c>
      <c r="C558" s="4" t="s">
        <v>962</v>
      </c>
      <c r="I558" s="11" t="s">
        <v>114</v>
      </c>
      <c r="J558" s="11" t="s">
        <v>869</v>
      </c>
      <c r="K558" s="211" t="s">
        <v>887</v>
      </c>
      <c r="L558" s="11" t="s">
        <v>888</v>
      </c>
      <c r="M558" s="25"/>
      <c r="O558" s="19"/>
      <c r="P558" s="28">
        <v>0.99</v>
      </c>
      <c r="Q558">
        <v>5.0193096133261818E-2</v>
      </c>
      <c r="U558" s="101"/>
      <c r="V558" s="101"/>
      <c r="W558" s="69" t="e" cm="1">
        <f t="array" ref="W558">_xlfn.XLOOKUP(Table1[[#This Row],[5 cm2 cell test code]:[5 cm2 cell test code]],[1]!Table1[[Test code]:[Test code]],[1]!Table1[i @ 1.8 V DIW (A/cm2)],"",0)</f>
        <v>#REF!</v>
      </c>
      <c r="X558" s="69" t="e" cm="1">
        <f t="array" ref="X558">_xlfn.XLOOKUP(Table1[[#This Row],[5 cm2 cell test code]:[5 cm2 cell test code]],[1]!Table1[[Test code]:[Test code]],[1]!Table1[i @ 1.8 V 10 mM KOH (A/cm2)],"",0)</f>
        <v>#REF!</v>
      </c>
      <c r="Y558" s="69" t="e" cm="1">
        <f t="array" ref="Y558">_xlfn.XLOOKUP(Table1[[#This Row],[5 cm2 cell test code]:[5 cm2 cell test code]],[1]!Table1[[Test code]:[Test code]],[1]!Table1[3-E ƞ at 20mAcm-2 (mV)],"",0)</f>
        <v>#REF!</v>
      </c>
      <c r="Z558" s="69" t="e" cm="1">
        <f t="array" ref="Z558">_xlfn.XLOOKUP(Table1[[#This Row],[5 cm2 cell test code]:[5 cm2 cell test code]],[1]!Table1[[Test code]:[Test code]],[1]!Table1[3-E Tafel slope (mV/dec)],"",0)</f>
        <v>#REF!</v>
      </c>
      <c r="AA558" s="69" t="e" cm="1">
        <f t="array" ref="AA558">_xlfn.XLOOKUP(Table1[[#This Row],[5 cm2 cell test code]:[5 cm2 cell test code]],[1]!Table1[[Test code]:[Test code]],[1]!Table1[E @ 100 mA/cm2 DIW/V],"",0)</f>
        <v>#REF!</v>
      </c>
      <c r="AB558" s="69" t="e" cm="1">
        <f t="array" ref="AB558">_xlfn.XLOOKUP(Table1[[#This Row],[5 cm2 cell test code]:[5 cm2 cell test code]],[1]!Table1[[Test code]:[Test code]],[1]!Table1[E @ 100 mA/cm2 10 mM KOH/V],"",0)</f>
        <v>#REF!</v>
      </c>
      <c r="AC558" s="69" t="e" cm="1">
        <f t="array" ref="AC558">_xlfn.XLOOKUP(Table1[[#This Row],[5 cm2 cell test code]:[5 cm2 cell test code]],[1]!Table1[[Test code]:[Test code]],[1]!Table1[Anode ICR/mOhm],"",0)</f>
        <v>#REF!</v>
      </c>
      <c r="AD558" s="69" t="e" cm="1">
        <f t="array" ref="AD558">_xlfn.XLOOKUP(Table1[[#This Row],[5 cm2 cell test code]:[5 cm2 cell test code]],[1]!Table1[[Test code]:[Test code]],[1]!Table1[HFR DIW/ mOhm cm2],"",0)</f>
        <v>#REF!</v>
      </c>
      <c r="AE558" s="69" t="e" cm="1">
        <f t="array" ref="AE558">_xlfn.XLOOKUP(Table1[[#This Row],[5 cm2 cell test code]:[5 cm2 cell test code]],[1]!Table1[[Test code]:[Test code]],[1]!Table1[HFR 10 mM KOH/ mOhm cm2],"",0)</f>
        <v>#REF!</v>
      </c>
      <c r="AF558" s="69" t="e" cm="1">
        <f t="array" ref="AF558">_xlfn.XLOOKUP(Table1[[#This Row],[5 cm2 cell test code]:[5 cm2 cell test code]],[1]!Table1[[Test code]:[Test code]],[1]!Table1[Ionic resistance DIW/Ohm cm2],"",0)</f>
        <v>#REF!</v>
      </c>
      <c r="AG558" s="69" t="e" cm="1">
        <f t="array" ref="AG558">_xlfn.XLOOKUP(Table1[[#This Row],[5 cm2 cell test code]:[5 cm2 cell test code]],[1]!Table1[[Test code]:[Test code]],[1]!Table1[Q_int_frac DIW],"",0)</f>
        <v>#REF!</v>
      </c>
      <c r="AH558" s="69" t="e" cm="1">
        <f t="array" ref="AH558">_xlfn.XLOOKUP(Table1[[#This Row],[5 cm2 cell test code]:[5 cm2 cell test code]],[1]!Table1[[Test code]:[Test code]],[1]!Table1[Ionic resistance 10 mM KOH/Ohm cm2],"",0)</f>
        <v>#REF!</v>
      </c>
      <c r="AI558" s="69" t="e" cm="1">
        <f t="array" ref="AI558">_xlfn.XLOOKUP(Table1[[#This Row],[5 cm2 cell test code]:[5 cm2 cell test code]],[1]!Table1[[Test code]:[Test code]],[1]!Table1[Q_int_frac DIW 10 mM KOH],"",0)</f>
        <v>#REF!</v>
      </c>
      <c r="AJ558" s="69" t="e" cm="1">
        <f t="array" ref="AJ558">_xlfn.XLOOKUP(Table1[[#This Row],[5 cm2 cell test code]:[5 cm2 cell test code]],[1]!Table1[[Test code]:[Test code]],[1]!Table1[DIW conductivity (µS/cm)],"",0)</f>
        <v>#REF!</v>
      </c>
    </row>
    <row r="559" spans="1:36">
      <c r="A559" s="81"/>
      <c r="B559" s="207" t="s">
        <v>963</v>
      </c>
      <c r="C559" s="4" t="s">
        <v>956</v>
      </c>
      <c r="I559" s="11" t="s">
        <v>114</v>
      </c>
      <c r="J559" s="11" t="s">
        <v>869</v>
      </c>
      <c r="K559" s="211" t="s">
        <v>887</v>
      </c>
      <c r="L559" s="11" t="s">
        <v>888</v>
      </c>
      <c r="M559" s="25"/>
      <c r="O559" s="19"/>
      <c r="P559" s="28">
        <v>0.81</v>
      </c>
      <c r="Q559" s="4">
        <v>4.06223166018395E-2</v>
      </c>
      <c r="U559" s="101"/>
      <c r="V559" s="101"/>
      <c r="W559" s="69" t="e" cm="1">
        <f t="array" ref="W559">_xlfn.XLOOKUP(Table1[[#This Row],[5 cm2 cell test code]:[5 cm2 cell test code]],[1]!Table1[[Test code]:[Test code]],[1]!Table1[i @ 1.8 V DIW (A/cm2)],"",0)</f>
        <v>#REF!</v>
      </c>
      <c r="X559" s="69" t="e" cm="1">
        <f t="array" ref="X559">_xlfn.XLOOKUP(Table1[[#This Row],[5 cm2 cell test code]:[5 cm2 cell test code]],[1]!Table1[[Test code]:[Test code]],[1]!Table1[i @ 1.8 V 10 mM KOH (A/cm2)],"",0)</f>
        <v>#REF!</v>
      </c>
      <c r="Y559" s="69" t="e" cm="1">
        <f t="array" ref="Y559">_xlfn.XLOOKUP(Table1[[#This Row],[5 cm2 cell test code]:[5 cm2 cell test code]],[1]!Table1[[Test code]:[Test code]],[1]!Table1[3-E ƞ at 20mAcm-2 (mV)],"",0)</f>
        <v>#REF!</v>
      </c>
      <c r="Z559" s="69" t="e" cm="1">
        <f t="array" ref="Z559">_xlfn.XLOOKUP(Table1[[#This Row],[5 cm2 cell test code]:[5 cm2 cell test code]],[1]!Table1[[Test code]:[Test code]],[1]!Table1[3-E Tafel slope (mV/dec)],"",0)</f>
        <v>#REF!</v>
      </c>
      <c r="AA559" s="69" t="e" cm="1">
        <f t="array" ref="AA559">_xlfn.XLOOKUP(Table1[[#This Row],[5 cm2 cell test code]:[5 cm2 cell test code]],[1]!Table1[[Test code]:[Test code]],[1]!Table1[E @ 100 mA/cm2 DIW/V],"",0)</f>
        <v>#REF!</v>
      </c>
      <c r="AB559" s="69" t="e" cm="1">
        <f t="array" ref="AB559">_xlfn.XLOOKUP(Table1[[#This Row],[5 cm2 cell test code]:[5 cm2 cell test code]],[1]!Table1[[Test code]:[Test code]],[1]!Table1[E @ 100 mA/cm2 10 mM KOH/V],"",0)</f>
        <v>#REF!</v>
      </c>
      <c r="AC559" s="69" t="e" cm="1">
        <f t="array" ref="AC559">_xlfn.XLOOKUP(Table1[[#This Row],[5 cm2 cell test code]:[5 cm2 cell test code]],[1]!Table1[[Test code]:[Test code]],[1]!Table1[Anode ICR/mOhm],"",0)</f>
        <v>#REF!</v>
      </c>
      <c r="AD559" s="69" t="e" cm="1">
        <f t="array" ref="AD559">_xlfn.XLOOKUP(Table1[[#This Row],[5 cm2 cell test code]:[5 cm2 cell test code]],[1]!Table1[[Test code]:[Test code]],[1]!Table1[HFR DIW/ mOhm cm2],"",0)</f>
        <v>#REF!</v>
      </c>
      <c r="AE559" s="69" t="e" cm="1">
        <f t="array" ref="AE559">_xlfn.XLOOKUP(Table1[[#This Row],[5 cm2 cell test code]:[5 cm2 cell test code]],[1]!Table1[[Test code]:[Test code]],[1]!Table1[HFR 10 mM KOH/ mOhm cm2],"",0)</f>
        <v>#REF!</v>
      </c>
      <c r="AF559" s="69" t="e" cm="1">
        <f t="array" ref="AF559">_xlfn.XLOOKUP(Table1[[#This Row],[5 cm2 cell test code]:[5 cm2 cell test code]],[1]!Table1[[Test code]:[Test code]],[1]!Table1[Ionic resistance DIW/Ohm cm2],"",0)</f>
        <v>#REF!</v>
      </c>
      <c r="AG559" s="69" t="e" cm="1">
        <f t="array" ref="AG559">_xlfn.XLOOKUP(Table1[[#This Row],[5 cm2 cell test code]:[5 cm2 cell test code]],[1]!Table1[[Test code]:[Test code]],[1]!Table1[Q_int_frac DIW],"",0)</f>
        <v>#REF!</v>
      </c>
      <c r="AH559" s="69" t="e" cm="1">
        <f t="array" ref="AH559">_xlfn.XLOOKUP(Table1[[#This Row],[5 cm2 cell test code]:[5 cm2 cell test code]],[1]!Table1[[Test code]:[Test code]],[1]!Table1[Ionic resistance 10 mM KOH/Ohm cm2],"",0)</f>
        <v>#REF!</v>
      </c>
      <c r="AI559" s="69" t="e" cm="1">
        <f t="array" ref="AI559">_xlfn.XLOOKUP(Table1[[#This Row],[5 cm2 cell test code]:[5 cm2 cell test code]],[1]!Table1[[Test code]:[Test code]],[1]!Table1[Q_int_frac DIW 10 mM KOH],"",0)</f>
        <v>#REF!</v>
      </c>
      <c r="AJ559" s="69" t="e" cm="1">
        <f t="array" ref="AJ559">_xlfn.XLOOKUP(Table1[[#This Row],[5 cm2 cell test code]:[5 cm2 cell test code]],[1]!Table1[[Test code]:[Test code]],[1]!Table1[DIW conductivity (µS/cm)],"",0)</f>
        <v>#REF!</v>
      </c>
    </row>
    <row r="560" spans="1:36">
      <c r="A560" s="81"/>
      <c r="I560" s="11" t="s">
        <v>114</v>
      </c>
      <c r="J560" s="11" t="s">
        <v>869</v>
      </c>
      <c r="U560" s="101"/>
      <c r="V560" s="101"/>
      <c r="W560" s="69" t="e" cm="1">
        <f t="array" ref="W560">_xlfn.XLOOKUP(Table1[[#This Row],[5 cm2 cell test code]:[5 cm2 cell test code]],[1]!Table1[[Test code]:[Test code]],[1]!Table1[i @ 1.8 V DIW (A/cm2)],"",0)</f>
        <v>#REF!</v>
      </c>
      <c r="X560" s="69" t="e" cm="1">
        <f t="array" ref="X560">_xlfn.XLOOKUP(Table1[[#This Row],[5 cm2 cell test code]:[5 cm2 cell test code]],[1]!Table1[[Test code]:[Test code]],[1]!Table1[i @ 1.8 V 10 mM KOH (A/cm2)],"",0)</f>
        <v>#REF!</v>
      </c>
      <c r="Y560" s="69" t="e" cm="1">
        <f t="array" ref="Y560">_xlfn.XLOOKUP(Table1[[#This Row],[5 cm2 cell test code]:[5 cm2 cell test code]],[1]!Table1[[Test code]:[Test code]],[1]!Table1[3-E ƞ at 20mAcm-2 (mV)],"",0)</f>
        <v>#REF!</v>
      </c>
      <c r="Z560" s="69" t="e" cm="1">
        <f t="array" ref="Z560">_xlfn.XLOOKUP(Table1[[#This Row],[5 cm2 cell test code]:[5 cm2 cell test code]],[1]!Table1[[Test code]:[Test code]],[1]!Table1[3-E Tafel slope (mV/dec)],"",0)</f>
        <v>#REF!</v>
      </c>
      <c r="AA560" s="69" t="e" cm="1">
        <f t="array" ref="AA560">_xlfn.XLOOKUP(Table1[[#This Row],[5 cm2 cell test code]:[5 cm2 cell test code]],[1]!Table1[[Test code]:[Test code]],[1]!Table1[E @ 100 mA/cm2 DIW/V],"",0)</f>
        <v>#REF!</v>
      </c>
      <c r="AB560" s="69" t="e" cm="1">
        <f t="array" ref="AB560">_xlfn.XLOOKUP(Table1[[#This Row],[5 cm2 cell test code]:[5 cm2 cell test code]],[1]!Table1[[Test code]:[Test code]],[1]!Table1[E @ 100 mA/cm2 10 mM KOH/V],"",0)</f>
        <v>#REF!</v>
      </c>
      <c r="AC560" s="69" t="e" cm="1">
        <f t="array" ref="AC560">_xlfn.XLOOKUP(Table1[[#This Row],[5 cm2 cell test code]:[5 cm2 cell test code]],[1]!Table1[[Test code]:[Test code]],[1]!Table1[Anode ICR/mOhm],"",0)</f>
        <v>#REF!</v>
      </c>
      <c r="AD560" s="69" t="e" cm="1">
        <f t="array" ref="AD560">_xlfn.XLOOKUP(Table1[[#This Row],[5 cm2 cell test code]:[5 cm2 cell test code]],[1]!Table1[[Test code]:[Test code]],[1]!Table1[HFR DIW/ mOhm cm2],"",0)</f>
        <v>#REF!</v>
      </c>
      <c r="AE560" s="69" t="e" cm="1">
        <f t="array" ref="AE560">_xlfn.XLOOKUP(Table1[[#This Row],[5 cm2 cell test code]:[5 cm2 cell test code]],[1]!Table1[[Test code]:[Test code]],[1]!Table1[HFR 10 mM KOH/ mOhm cm2],"",0)</f>
        <v>#REF!</v>
      </c>
      <c r="AF560" s="69" t="e" cm="1">
        <f t="array" ref="AF560">_xlfn.XLOOKUP(Table1[[#This Row],[5 cm2 cell test code]:[5 cm2 cell test code]],[1]!Table1[[Test code]:[Test code]],[1]!Table1[Ionic resistance DIW/Ohm cm2],"",0)</f>
        <v>#REF!</v>
      </c>
      <c r="AG560" s="69" t="e" cm="1">
        <f t="array" ref="AG560">_xlfn.XLOOKUP(Table1[[#This Row],[5 cm2 cell test code]:[5 cm2 cell test code]],[1]!Table1[[Test code]:[Test code]],[1]!Table1[Q_int_frac DIW],"",0)</f>
        <v>#REF!</v>
      </c>
      <c r="AH560" s="69" t="e" cm="1">
        <f t="array" ref="AH560">_xlfn.XLOOKUP(Table1[[#This Row],[5 cm2 cell test code]:[5 cm2 cell test code]],[1]!Table1[[Test code]:[Test code]],[1]!Table1[Ionic resistance 10 mM KOH/Ohm cm2],"",0)</f>
        <v>#REF!</v>
      </c>
      <c r="AI560" s="69" t="e" cm="1">
        <f t="array" ref="AI560">_xlfn.XLOOKUP(Table1[[#This Row],[5 cm2 cell test code]:[5 cm2 cell test code]],[1]!Table1[[Test code]:[Test code]],[1]!Table1[Q_int_frac DIW 10 mM KOH],"",0)</f>
        <v>#REF!</v>
      </c>
      <c r="AJ560" s="69" t="e" cm="1">
        <f t="array" ref="AJ560">_xlfn.XLOOKUP(Table1[[#This Row],[5 cm2 cell test code]:[5 cm2 cell test code]],[1]!Table1[[Test code]:[Test code]],[1]!Table1[DIW conductivity (µS/cm)],"",0)</f>
        <v>#REF!</v>
      </c>
    </row>
    <row r="561" spans="1:36">
      <c r="A561" s="81"/>
      <c r="B561" s="207" t="s">
        <v>964</v>
      </c>
      <c r="C561" s="4" t="s">
        <v>965</v>
      </c>
      <c r="I561" s="11" t="s">
        <v>114</v>
      </c>
      <c r="J561" s="11" t="s">
        <v>869</v>
      </c>
      <c r="K561" s="211" t="s">
        <v>887</v>
      </c>
      <c r="L561" s="11" t="s">
        <v>888</v>
      </c>
      <c r="M561" s="25"/>
      <c r="O561" s="19"/>
      <c r="P561" s="27"/>
      <c r="Q561" s="4">
        <v>3.5472095823473791E-2</v>
      </c>
      <c r="U561" s="101"/>
      <c r="V561" s="101"/>
      <c r="W561" s="69" t="e" cm="1">
        <f t="array" ref="W561">_xlfn.XLOOKUP(Table1[[#This Row],[5 cm2 cell test code]:[5 cm2 cell test code]],[1]!Table1[[Test code]:[Test code]],[1]!Table1[i @ 1.8 V DIW (A/cm2)],"",0)</f>
        <v>#REF!</v>
      </c>
      <c r="X561" s="69" t="e" cm="1">
        <f t="array" ref="X561">_xlfn.XLOOKUP(Table1[[#This Row],[5 cm2 cell test code]:[5 cm2 cell test code]],[1]!Table1[[Test code]:[Test code]],[1]!Table1[i @ 1.8 V 10 mM KOH (A/cm2)],"",0)</f>
        <v>#REF!</v>
      </c>
      <c r="Y561" s="69" t="e" cm="1">
        <f t="array" ref="Y561">_xlfn.XLOOKUP(Table1[[#This Row],[5 cm2 cell test code]:[5 cm2 cell test code]],[1]!Table1[[Test code]:[Test code]],[1]!Table1[3-E ƞ at 20mAcm-2 (mV)],"",0)</f>
        <v>#REF!</v>
      </c>
      <c r="Z561" s="69" t="e" cm="1">
        <f t="array" ref="Z561">_xlfn.XLOOKUP(Table1[[#This Row],[5 cm2 cell test code]:[5 cm2 cell test code]],[1]!Table1[[Test code]:[Test code]],[1]!Table1[3-E Tafel slope (mV/dec)],"",0)</f>
        <v>#REF!</v>
      </c>
      <c r="AA561" s="69" t="e" cm="1">
        <f t="array" ref="AA561">_xlfn.XLOOKUP(Table1[[#This Row],[5 cm2 cell test code]:[5 cm2 cell test code]],[1]!Table1[[Test code]:[Test code]],[1]!Table1[E @ 100 mA/cm2 DIW/V],"",0)</f>
        <v>#REF!</v>
      </c>
      <c r="AB561" s="69" t="e" cm="1">
        <f t="array" ref="AB561">_xlfn.XLOOKUP(Table1[[#This Row],[5 cm2 cell test code]:[5 cm2 cell test code]],[1]!Table1[[Test code]:[Test code]],[1]!Table1[E @ 100 mA/cm2 10 mM KOH/V],"",0)</f>
        <v>#REF!</v>
      </c>
      <c r="AC561" s="69" t="e" cm="1">
        <f t="array" ref="AC561">_xlfn.XLOOKUP(Table1[[#This Row],[5 cm2 cell test code]:[5 cm2 cell test code]],[1]!Table1[[Test code]:[Test code]],[1]!Table1[Anode ICR/mOhm],"",0)</f>
        <v>#REF!</v>
      </c>
      <c r="AD561" s="69" t="e" cm="1">
        <f t="array" ref="AD561">_xlfn.XLOOKUP(Table1[[#This Row],[5 cm2 cell test code]:[5 cm2 cell test code]],[1]!Table1[[Test code]:[Test code]],[1]!Table1[HFR DIW/ mOhm cm2],"",0)</f>
        <v>#REF!</v>
      </c>
      <c r="AE561" s="69" t="e" cm="1">
        <f t="array" ref="AE561">_xlfn.XLOOKUP(Table1[[#This Row],[5 cm2 cell test code]:[5 cm2 cell test code]],[1]!Table1[[Test code]:[Test code]],[1]!Table1[HFR 10 mM KOH/ mOhm cm2],"",0)</f>
        <v>#REF!</v>
      </c>
      <c r="AF561" s="69" t="e" cm="1">
        <f t="array" ref="AF561">_xlfn.XLOOKUP(Table1[[#This Row],[5 cm2 cell test code]:[5 cm2 cell test code]],[1]!Table1[[Test code]:[Test code]],[1]!Table1[Ionic resistance DIW/Ohm cm2],"",0)</f>
        <v>#REF!</v>
      </c>
      <c r="AG561" s="69" t="e" cm="1">
        <f t="array" ref="AG561">_xlfn.XLOOKUP(Table1[[#This Row],[5 cm2 cell test code]:[5 cm2 cell test code]],[1]!Table1[[Test code]:[Test code]],[1]!Table1[Q_int_frac DIW],"",0)</f>
        <v>#REF!</v>
      </c>
      <c r="AH561" s="69" t="e" cm="1">
        <f t="array" ref="AH561">_xlfn.XLOOKUP(Table1[[#This Row],[5 cm2 cell test code]:[5 cm2 cell test code]],[1]!Table1[[Test code]:[Test code]],[1]!Table1[Ionic resistance 10 mM KOH/Ohm cm2],"",0)</f>
        <v>#REF!</v>
      </c>
      <c r="AI561" s="69" t="e" cm="1">
        <f t="array" ref="AI561">_xlfn.XLOOKUP(Table1[[#This Row],[5 cm2 cell test code]:[5 cm2 cell test code]],[1]!Table1[[Test code]:[Test code]],[1]!Table1[Q_int_frac DIW 10 mM KOH],"",0)</f>
        <v>#REF!</v>
      </c>
      <c r="AJ561" s="69" t="e" cm="1">
        <f t="array" ref="AJ561">_xlfn.XLOOKUP(Table1[[#This Row],[5 cm2 cell test code]:[5 cm2 cell test code]],[1]!Table1[[Test code]:[Test code]],[1]!Table1[DIW conductivity (µS/cm)],"",0)</f>
        <v>#REF!</v>
      </c>
    </row>
    <row r="562" spans="1:36">
      <c r="A562" s="81"/>
      <c r="B562" s="207" t="s">
        <v>966</v>
      </c>
      <c r="C562" s="4" t="s">
        <v>965</v>
      </c>
      <c r="I562" s="11" t="s">
        <v>114</v>
      </c>
      <c r="J562" s="11" t="s">
        <v>869</v>
      </c>
      <c r="K562" s="211" t="s">
        <v>887</v>
      </c>
      <c r="L562" s="11" t="s">
        <v>888</v>
      </c>
      <c r="M562" s="25"/>
      <c r="O562" s="19"/>
      <c r="P562" s="27"/>
      <c r="Q562" s="4">
        <v>3.1522289006569663E-2</v>
      </c>
      <c r="U562" s="101"/>
      <c r="V562" s="101"/>
      <c r="W562" s="69" t="e" cm="1">
        <f t="array" ref="W562">_xlfn.XLOOKUP(Table1[[#This Row],[5 cm2 cell test code]:[5 cm2 cell test code]],[1]!Table1[[Test code]:[Test code]],[1]!Table1[i @ 1.8 V DIW (A/cm2)],"",0)</f>
        <v>#REF!</v>
      </c>
      <c r="X562" s="69" t="e" cm="1">
        <f t="array" ref="X562">_xlfn.XLOOKUP(Table1[[#This Row],[5 cm2 cell test code]:[5 cm2 cell test code]],[1]!Table1[[Test code]:[Test code]],[1]!Table1[i @ 1.8 V 10 mM KOH (A/cm2)],"",0)</f>
        <v>#REF!</v>
      </c>
      <c r="Y562" s="69" t="e" cm="1">
        <f t="array" ref="Y562">_xlfn.XLOOKUP(Table1[[#This Row],[5 cm2 cell test code]:[5 cm2 cell test code]],[1]!Table1[[Test code]:[Test code]],[1]!Table1[3-E ƞ at 20mAcm-2 (mV)],"",0)</f>
        <v>#REF!</v>
      </c>
      <c r="Z562" s="69" t="e" cm="1">
        <f t="array" ref="Z562">_xlfn.XLOOKUP(Table1[[#This Row],[5 cm2 cell test code]:[5 cm2 cell test code]],[1]!Table1[[Test code]:[Test code]],[1]!Table1[3-E Tafel slope (mV/dec)],"",0)</f>
        <v>#REF!</v>
      </c>
      <c r="AA562" s="69" t="e" cm="1">
        <f t="array" ref="AA562">_xlfn.XLOOKUP(Table1[[#This Row],[5 cm2 cell test code]:[5 cm2 cell test code]],[1]!Table1[[Test code]:[Test code]],[1]!Table1[E @ 100 mA/cm2 DIW/V],"",0)</f>
        <v>#REF!</v>
      </c>
      <c r="AB562" s="69" t="e" cm="1">
        <f t="array" ref="AB562">_xlfn.XLOOKUP(Table1[[#This Row],[5 cm2 cell test code]:[5 cm2 cell test code]],[1]!Table1[[Test code]:[Test code]],[1]!Table1[E @ 100 mA/cm2 10 mM KOH/V],"",0)</f>
        <v>#REF!</v>
      </c>
      <c r="AC562" s="69" t="e" cm="1">
        <f t="array" ref="AC562">_xlfn.XLOOKUP(Table1[[#This Row],[5 cm2 cell test code]:[5 cm2 cell test code]],[1]!Table1[[Test code]:[Test code]],[1]!Table1[Anode ICR/mOhm],"",0)</f>
        <v>#REF!</v>
      </c>
      <c r="AD562" s="69" t="e" cm="1">
        <f t="array" ref="AD562">_xlfn.XLOOKUP(Table1[[#This Row],[5 cm2 cell test code]:[5 cm2 cell test code]],[1]!Table1[[Test code]:[Test code]],[1]!Table1[HFR DIW/ mOhm cm2],"",0)</f>
        <v>#REF!</v>
      </c>
      <c r="AE562" s="69" t="e" cm="1">
        <f t="array" ref="AE562">_xlfn.XLOOKUP(Table1[[#This Row],[5 cm2 cell test code]:[5 cm2 cell test code]],[1]!Table1[[Test code]:[Test code]],[1]!Table1[HFR 10 mM KOH/ mOhm cm2],"",0)</f>
        <v>#REF!</v>
      </c>
      <c r="AF562" s="69" t="e" cm="1">
        <f t="array" ref="AF562">_xlfn.XLOOKUP(Table1[[#This Row],[5 cm2 cell test code]:[5 cm2 cell test code]],[1]!Table1[[Test code]:[Test code]],[1]!Table1[Ionic resistance DIW/Ohm cm2],"",0)</f>
        <v>#REF!</v>
      </c>
      <c r="AG562" s="69" t="e" cm="1">
        <f t="array" ref="AG562">_xlfn.XLOOKUP(Table1[[#This Row],[5 cm2 cell test code]:[5 cm2 cell test code]],[1]!Table1[[Test code]:[Test code]],[1]!Table1[Q_int_frac DIW],"",0)</f>
        <v>#REF!</v>
      </c>
      <c r="AH562" s="69" t="e" cm="1">
        <f t="array" ref="AH562">_xlfn.XLOOKUP(Table1[[#This Row],[5 cm2 cell test code]:[5 cm2 cell test code]],[1]!Table1[[Test code]:[Test code]],[1]!Table1[Ionic resistance 10 mM KOH/Ohm cm2],"",0)</f>
        <v>#REF!</v>
      </c>
      <c r="AI562" s="69" t="e" cm="1">
        <f t="array" ref="AI562">_xlfn.XLOOKUP(Table1[[#This Row],[5 cm2 cell test code]:[5 cm2 cell test code]],[1]!Table1[[Test code]:[Test code]],[1]!Table1[Q_int_frac DIW 10 mM KOH],"",0)</f>
        <v>#REF!</v>
      </c>
      <c r="AJ562" s="69" t="e" cm="1">
        <f t="array" ref="AJ562">_xlfn.XLOOKUP(Table1[[#This Row],[5 cm2 cell test code]:[5 cm2 cell test code]],[1]!Table1[[Test code]:[Test code]],[1]!Table1[DIW conductivity (µS/cm)],"",0)</f>
        <v>#REF!</v>
      </c>
    </row>
    <row r="563" spans="1:36">
      <c r="A563" s="81"/>
      <c r="B563" s="11" t="s">
        <v>967</v>
      </c>
      <c r="C563" s="4" t="s">
        <v>968</v>
      </c>
      <c r="I563" s="11" t="s">
        <v>114</v>
      </c>
      <c r="J563" s="11" t="s">
        <v>869</v>
      </c>
      <c r="K563" s="210" t="s">
        <v>887</v>
      </c>
      <c r="L563" s="11" t="s">
        <v>888</v>
      </c>
      <c r="O563" s="11">
        <v>0.25800000000000001</v>
      </c>
      <c r="P563" s="28">
        <v>0.84</v>
      </c>
      <c r="Q563" s="4">
        <v>3.7487057121320742E-2</v>
      </c>
      <c r="U563" s="219"/>
      <c r="V563" s="219"/>
      <c r="W563" s="220" t="e" cm="1">
        <f t="array" ref="W563">_xlfn.XLOOKUP(Table1[[#This Row],[5 cm2 cell test code]:[5 cm2 cell test code]],[1]!Table1[[Test code]:[Test code]],[1]!Table1[i @ 1.8 V DIW (A/cm2)],"",0)</f>
        <v>#REF!</v>
      </c>
      <c r="X563" s="220" t="e" cm="1">
        <f t="array" ref="X563">_xlfn.XLOOKUP(Table1[[#This Row],[5 cm2 cell test code]:[5 cm2 cell test code]],[1]!Table1[[Test code]:[Test code]],[1]!Table1[i @ 1.8 V 10 mM KOH (A/cm2)],"",0)</f>
        <v>#REF!</v>
      </c>
      <c r="Y563" s="220" t="e" cm="1">
        <f t="array" ref="Y563">_xlfn.XLOOKUP(Table1[[#This Row],[5 cm2 cell test code]:[5 cm2 cell test code]],[1]!Table1[[Test code]:[Test code]],[1]!Table1[3-E ƞ at 20mAcm-2 (mV)],"",0)</f>
        <v>#REF!</v>
      </c>
      <c r="Z563" s="220" t="e" cm="1">
        <f t="array" ref="Z563">_xlfn.XLOOKUP(Table1[[#This Row],[5 cm2 cell test code]:[5 cm2 cell test code]],[1]!Table1[[Test code]:[Test code]],[1]!Table1[3-E Tafel slope (mV/dec)],"",0)</f>
        <v>#REF!</v>
      </c>
      <c r="AA563" s="220" t="e" cm="1">
        <f t="array" ref="AA563">_xlfn.XLOOKUP(Table1[[#This Row],[5 cm2 cell test code]:[5 cm2 cell test code]],[1]!Table1[[Test code]:[Test code]],[1]!Table1[E @ 100 mA/cm2 DIW/V],"",0)</f>
        <v>#REF!</v>
      </c>
      <c r="AB563" s="220" t="e" cm="1">
        <f t="array" ref="AB563">_xlfn.XLOOKUP(Table1[[#This Row],[5 cm2 cell test code]:[5 cm2 cell test code]],[1]!Table1[[Test code]:[Test code]],[1]!Table1[E @ 100 mA/cm2 10 mM KOH/V],"",0)</f>
        <v>#REF!</v>
      </c>
      <c r="AC563" s="220" t="e" cm="1">
        <f t="array" ref="AC563">_xlfn.XLOOKUP(Table1[[#This Row],[5 cm2 cell test code]:[5 cm2 cell test code]],[1]!Table1[[Test code]:[Test code]],[1]!Table1[Anode ICR/mOhm],"",0)</f>
        <v>#REF!</v>
      </c>
      <c r="AD563" s="220" t="e" cm="1">
        <f t="array" ref="AD563">_xlfn.XLOOKUP(Table1[[#This Row],[5 cm2 cell test code]:[5 cm2 cell test code]],[1]!Table1[[Test code]:[Test code]],[1]!Table1[HFR DIW/ mOhm cm2],"",0)</f>
        <v>#REF!</v>
      </c>
      <c r="AE563" s="220" t="e" cm="1">
        <f t="array" ref="AE563">_xlfn.XLOOKUP(Table1[[#This Row],[5 cm2 cell test code]:[5 cm2 cell test code]],[1]!Table1[[Test code]:[Test code]],[1]!Table1[HFR 10 mM KOH/ mOhm cm2],"",0)</f>
        <v>#REF!</v>
      </c>
      <c r="AF563" s="220" t="e" cm="1">
        <f t="array" ref="AF563">_xlfn.XLOOKUP(Table1[[#This Row],[5 cm2 cell test code]:[5 cm2 cell test code]],[1]!Table1[[Test code]:[Test code]],[1]!Table1[Ionic resistance DIW/Ohm cm2],"",0)</f>
        <v>#REF!</v>
      </c>
      <c r="AG563" s="220" t="e" cm="1">
        <f t="array" ref="AG563">_xlfn.XLOOKUP(Table1[[#This Row],[5 cm2 cell test code]:[5 cm2 cell test code]],[1]!Table1[[Test code]:[Test code]],[1]!Table1[Q_int_frac DIW],"",0)</f>
        <v>#REF!</v>
      </c>
      <c r="AH563" s="220" t="e" cm="1">
        <f t="array" ref="AH563">_xlfn.XLOOKUP(Table1[[#This Row],[5 cm2 cell test code]:[5 cm2 cell test code]],[1]!Table1[[Test code]:[Test code]],[1]!Table1[Ionic resistance 10 mM KOH/Ohm cm2],"",0)</f>
        <v>#REF!</v>
      </c>
      <c r="AI563" s="220" t="e" cm="1">
        <f t="array" ref="AI563">_xlfn.XLOOKUP(Table1[[#This Row],[5 cm2 cell test code]:[5 cm2 cell test code]],[1]!Table1[[Test code]:[Test code]],[1]!Table1[Q_int_frac DIW 10 mM KOH],"",0)</f>
        <v>#REF!</v>
      </c>
      <c r="AJ563" s="220" t="e" cm="1">
        <f t="array" ref="AJ563">_xlfn.XLOOKUP(Table1[[#This Row],[5 cm2 cell test code]:[5 cm2 cell test code]],[1]!Table1[[Test code]:[Test code]],[1]!Table1[DIW conductivity (µS/cm)],"",0)</f>
        <v>#REF!</v>
      </c>
    </row>
    <row r="564" spans="1:36">
      <c r="A564" s="81"/>
      <c r="B564" s="11" t="s">
        <v>969</v>
      </c>
      <c r="C564" s="4" t="s">
        <v>968</v>
      </c>
      <c r="I564" s="11" t="s">
        <v>114</v>
      </c>
      <c r="J564" s="11" t="s">
        <v>869</v>
      </c>
      <c r="K564" s="211" t="s">
        <v>887</v>
      </c>
      <c r="L564" s="11" t="s">
        <v>888</v>
      </c>
      <c r="O564" s="11">
        <v>0.23699999999999999</v>
      </c>
      <c r="P564" s="28">
        <v>0.87</v>
      </c>
      <c r="Q564" s="4">
        <v>3.8987666264807368E-2</v>
      </c>
      <c r="U564" s="219"/>
      <c r="V564" s="219"/>
      <c r="W564" s="220" t="e" cm="1">
        <f t="array" ref="W564">_xlfn.XLOOKUP(Table1[[#This Row],[5 cm2 cell test code]:[5 cm2 cell test code]],[1]!Table1[[Test code]:[Test code]],[1]!Table1[i @ 1.8 V DIW (A/cm2)],"",0)</f>
        <v>#REF!</v>
      </c>
      <c r="X564" s="220" t="e" cm="1">
        <f t="array" ref="X564">_xlfn.XLOOKUP(Table1[[#This Row],[5 cm2 cell test code]:[5 cm2 cell test code]],[1]!Table1[[Test code]:[Test code]],[1]!Table1[i @ 1.8 V 10 mM KOH (A/cm2)],"",0)</f>
        <v>#REF!</v>
      </c>
      <c r="Y564" s="220" t="e" cm="1">
        <f t="array" ref="Y564">_xlfn.XLOOKUP(Table1[[#This Row],[5 cm2 cell test code]:[5 cm2 cell test code]],[1]!Table1[[Test code]:[Test code]],[1]!Table1[3-E ƞ at 20mAcm-2 (mV)],"",0)</f>
        <v>#REF!</v>
      </c>
      <c r="Z564" s="220" t="e" cm="1">
        <f t="array" ref="Z564">_xlfn.XLOOKUP(Table1[[#This Row],[5 cm2 cell test code]:[5 cm2 cell test code]],[1]!Table1[[Test code]:[Test code]],[1]!Table1[3-E Tafel slope (mV/dec)],"",0)</f>
        <v>#REF!</v>
      </c>
      <c r="AA564" s="220" t="e" cm="1">
        <f t="array" ref="AA564">_xlfn.XLOOKUP(Table1[[#This Row],[5 cm2 cell test code]:[5 cm2 cell test code]],[1]!Table1[[Test code]:[Test code]],[1]!Table1[E @ 100 mA/cm2 DIW/V],"",0)</f>
        <v>#REF!</v>
      </c>
      <c r="AB564" s="220" t="e" cm="1">
        <f t="array" ref="AB564">_xlfn.XLOOKUP(Table1[[#This Row],[5 cm2 cell test code]:[5 cm2 cell test code]],[1]!Table1[[Test code]:[Test code]],[1]!Table1[E @ 100 mA/cm2 10 mM KOH/V],"",0)</f>
        <v>#REF!</v>
      </c>
      <c r="AC564" s="220" t="e" cm="1">
        <f t="array" ref="AC564">_xlfn.XLOOKUP(Table1[[#This Row],[5 cm2 cell test code]:[5 cm2 cell test code]],[1]!Table1[[Test code]:[Test code]],[1]!Table1[Anode ICR/mOhm],"",0)</f>
        <v>#REF!</v>
      </c>
      <c r="AD564" s="220" t="e" cm="1">
        <f t="array" ref="AD564">_xlfn.XLOOKUP(Table1[[#This Row],[5 cm2 cell test code]:[5 cm2 cell test code]],[1]!Table1[[Test code]:[Test code]],[1]!Table1[HFR DIW/ mOhm cm2],"",0)</f>
        <v>#REF!</v>
      </c>
      <c r="AE564" s="220" t="e" cm="1">
        <f t="array" ref="AE564">_xlfn.XLOOKUP(Table1[[#This Row],[5 cm2 cell test code]:[5 cm2 cell test code]],[1]!Table1[[Test code]:[Test code]],[1]!Table1[HFR 10 mM KOH/ mOhm cm2],"",0)</f>
        <v>#REF!</v>
      </c>
      <c r="AF564" s="220" t="e" cm="1">
        <f t="array" ref="AF564">_xlfn.XLOOKUP(Table1[[#This Row],[5 cm2 cell test code]:[5 cm2 cell test code]],[1]!Table1[[Test code]:[Test code]],[1]!Table1[Ionic resistance DIW/Ohm cm2],"",0)</f>
        <v>#REF!</v>
      </c>
      <c r="AG564" s="220" t="e" cm="1">
        <f t="array" ref="AG564">_xlfn.XLOOKUP(Table1[[#This Row],[5 cm2 cell test code]:[5 cm2 cell test code]],[1]!Table1[[Test code]:[Test code]],[1]!Table1[Q_int_frac DIW],"",0)</f>
        <v>#REF!</v>
      </c>
      <c r="AH564" s="220" t="e" cm="1">
        <f t="array" ref="AH564">_xlfn.XLOOKUP(Table1[[#This Row],[5 cm2 cell test code]:[5 cm2 cell test code]],[1]!Table1[[Test code]:[Test code]],[1]!Table1[Ionic resistance 10 mM KOH/Ohm cm2],"",0)</f>
        <v>#REF!</v>
      </c>
      <c r="AI564" s="220" t="e" cm="1">
        <f t="array" ref="AI564">_xlfn.XLOOKUP(Table1[[#This Row],[5 cm2 cell test code]:[5 cm2 cell test code]],[1]!Table1[[Test code]:[Test code]],[1]!Table1[Q_int_frac DIW 10 mM KOH],"",0)</f>
        <v>#REF!</v>
      </c>
      <c r="AJ564" s="220" t="e" cm="1">
        <f t="array" ref="AJ564">_xlfn.XLOOKUP(Table1[[#This Row],[5 cm2 cell test code]:[5 cm2 cell test code]],[1]!Table1[[Test code]:[Test code]],[1]!Table1[DIW conductivity (µS/cm)],"",0)</f>
        <v>#REF!</v>
      </c>
    </row>
    <row r="565" spans="1:36">
      <c r="A565" s="81"/>
      <c r="B565" s="207" t="s">
        <v>970</v>
      </c>
      <c r="C565" s="4" t="s">
        <v>965</v>
      </c>
      <c r="I565" s="11" t="s">
        <v>114</v>
      </c>
      <c r="J565" s="11" t="s">
        <v>869</v>
      </c>
      <c r="K565" s="211" t="s">
        <v>887</v>
      </c>
      <c r="L565" s="11" t="s">
        <v>888</v>
      </c>
      <c r="M565" s="25"/>
      <c r="O565" s="19"/>
      <c r="P565" s="27"/>
      <c r="Q565" s="4">
        <v>3.8504904860151935E-2</v>
      </c>
      <c r="U565" s="101"/>
      <c r="V565" s="101"/>
      <c r="W565" s="69" t="e" cm="1">
        <f t="array" ref="W565">_xlfn.XLOOKUP(Table1[[#This Row],[5 cm2 cell test code]:[5 cm2 cell test code]],[1]!Table1[[Test code]:[Test code]],[1]!Table1[i @ 1.8 V DIW (A/cm2)],"",0)</f>
        <v>#REF!</v>
      </c>
      <c r="X565" s="69" t="e" cm="1">
        <f t="array" ref="X565">_xlfn.XLOOKUP(Table1[[#This Row],[5 cm2 cell test code]:[5 cm2 cell test code]],[1]!Table1[[Test code]:[Test code]],[1]!Table1[i @ 1.8 V 10 mM KOH (A/cm2)],"",0)</f>
        <v>#REF!</v>
      </c>
      <c r="Y565" s="69" t="e" cm="1">
        <f t="array" ref="Y565">_xlfn.XLOOKUP(Table1[[#This Row],[5 cm2 cell test code]:[5 cm2 cell test code]],[1]!Table1[[Test code]:[Test code]],[1]!Table1[3-E ƞ at 20mAcm-2 (mV)],"",0)</f>
        <v>#REF!</v>
      </c>
      <c r="Z565" s="69" t="e" cm="1">
        <f t="array" ref="Z565">_xlfn.XLOOKUP(Table1[[#This Row],[5 cm2 cell test code]:[5 cm2 cell test code]],[1]!Table1[[Test code]:[Test code]],[1]!Table1[3-E Tafel slope (mV/dec)],"",0)</f>
        <v>#REF!</v>
      </c>
      <c r="AA565" s="69" t="e" cm="1">
        <f t="array" ref="AA565">_xlfn.XLOOKUP(Table1[[#This Row],[5 cm2 cell test code]:[5 cm2 cell test code]],[1]!Table1[[Test code]:[Test code]],[1]!Table1[E @ 100 mA/cm2 DIW/V],"",0)</f>
        <v>#REF!</v>
      </c>
      <c r="AB565" s="69" t="e" cm="1">
        <f t="array" ref="AB565">_xlfn.XLOOKUP(Table1[[#This Row],[5 cm2 cell test code]:[5 cm2 cell test code]],[1]!Table1[[Test code]:[Test code]],[1]!Table1[E @ 100 mA/cm2 10 mM KOH/V],"",0)</f>
        <v>#REF!</v>
      </c>
      <c r="AC565" s="69" t="e" cm="1">
        <f t="array" ref="AC565">_xlfn.XLOOKUP(Table1[[#This Row],[5 cm2 cell test code]:[5 cm2 cell test code]],[1]!Table1[[Test code]:[Test code]],[1]!Table1[Anode ICR/mOhm],"",0)</f>
        <v>#REF!</v>
      </c>
      <c r="AD565" s="69" t="e" cm="1">
        <f t="array" ref="AD565">_xlfn.XLOOKUP(Table1[[#This Row],[5 cm2 cell test code]:[5 cm2 cell test code]],[1]!Table1[[Test code]:[Test code]],[1]!Table1[HFR DIW/ mOhm cm2],"",0)</f>
        <v>#REF!</v>
      </c>
      <c r="AE565" s="69" t="e" cm="1">
        <f t="array" ref="AE565">_xlfn.XLOOKUP(Table1[[#This Row],[5 cm2 cell test code]:[5 cm2 cell test code]],[1]!Table1[[Test code]:[Test code]],[1]!Table1[HFR 10 mM KOH/ mOhm cm2],"",0)</f>
        <v>#REF!</v>
      </c>
      <c r="AF565" s="69" t="e" cm="1">
        <f t="array" ref="AF565">_xlfn.XLOOKUP(Table1[[#This Row],[5 cm2 cell test code]:[5 cm2 cell test code]],[1]!Table1[[Test code]:[Test code]],[1]!Table1[Ionic resistance DIW/Ohm cm2],"",0)</f>
        <v>#REF!</v>
      </c>
      <c r="AG565" s="69" t="e" cm="1">
        <f t="array" ref="AG565">_xlfn.XLOOKUP(Table1[[#This Row],[5 cm2 cell test code]:[5 cm2 cell test code]],[1]!Table1[[Test code]:[Test code]],[1]!Table1[Q_int_frac DIW],"",0)</f>
        <v>#REF!</v>
      </c>
      <c r="AH565" s="69" t="e" cm="1">
        <f t="array" ref="AH565">_xlfn.XLOOKUP(Table1[[#This Row],[5 cm2 cell test code]:[5 cm2 cell test code]],[1]!Table1[[Test code]:[Test code]],[1]!Table1[Ionic resistance 10 mM KOH/Ohm cm2],"",0)</f>
        <v>#REF!</v>
      </c>
      <c r="AI565" s="69" t="e" cm="1">
        <f t="array" ref="AI565">_xlfn.XLOOKUP(Table1[[#This Row],[5 cm2 cell test code]:[5 cm2 cell test code]],[1]!Table1[[Test code]:[Test code]],[1]!Table1[Q_int_frac DIW 10 mM KOH],"",0)</f>
        <v>#REF!</v>
      </c>
      <c r="AJ565" s="69" t="e" cm="1">
        <f t="array" ref="AJ565">_xlfn.XLOOKUP(Table1[[#This Row],[5 cm2 cell test code]:[5 cm2 cell test code]],[1]!Table1[[Test code]:[Test code]],[1]!Table1[DIW conductivity (µS/cm)],"",0)</f>
        <v>#REF!</v>
      </c>
    </row>
    <row r="566" spans="1:36">
      <c r="A566" s="81"/>
      <c r="I566" s="11" t="s">
        <v>114</v>
      </c>
      <c r="J566" s="11" t="s">
        <v>869</v>
      </c>
      <c r="U566" s="101"/>
      <c r="V566" s="101"/>
      <c r="W566" s="69" t="e" cm="1">
        <f t="array" ref="W566">_xlfn.XLOOKUP(Table1[[#This Row],[5 cm2 cell test code]:[5 cm2 cell test code]],[1]!Table1[[Test code]:[Test code]],[1]!Table1[i @ 1.8 V DIW (A/cm2)],"",0)</f>
        <v>#REF!</v>
      </c>
      <c r="X566" s="69" t="e" cm="1">
        <f t="array" ref="X566">_xlfn.XLOOKUP(Table1[[#This Row],[5 cm2 cell test code]:[5 cm2 cell test code]],[1]!Table1[[Test code]:[Test code]],[1]!Table1[i @ 1.8 V 10 mM KOH (A/cm2)],"",0)</f>
        <v>#REF!</v>
      </c>
      <c r="Y566" s="69" t="e" cm="1">
        <f t="array" ref="Y566">_xlfn.XLOOKUP(Table1[[#This Row],[5 cm2 cell test code]:[5 cm2 cell test code]],[1]!Table1[[Test code]:[Test code]],[1]!Table1[3-E ƞ at 20mAcm-2 (mV)],"",0)</f>
        <v>#REF!</v>
      </c>
      <c r="Z566" s="69" t="e" cm="1">
        <f t="array" ref="Z566">_xlfn.XLOOKUP(Table1[[#This Row],[5 cm2 cell test code]:[5 cm2 cell test code]],[1]!Table1[[Test code]:[Test code]],[1]!Table1[3-E Tafel slope (mV/dec)],"",0)</f>
        <v>#REF!</v>
      </c>
      <c r="AA566" s="69" t="e" cm="1">
        <f t="array" ref="AA566">_xlfn.XLOOKUP(Table1[[#This Row],[5 cm2 cell test code]:[5 cm2 cell test code]],[1]!Table1[[Test code]:[Test code]],[1]!Table1[E @ 100 mA/cm2 DIW/V],"",0)</f>
        <v>#REF!</v>
      </c>
      <c r="AB566" s="69" t="e" cm="1">
        <f t="array" ref="AB566">_xlfn.XLOOKUP(Table1[[#This Row],[5 cm2 cell test code]:[5 cm2 cell test code]],[1]!Table1[[Test code]:[Test code]],[1]!Table1[E @ 100 mA/cm2 10 mM KOH/V],"",0)</f>
        <v>#REF!</v>
      </c>
      <c r="AC566" s="69" t="e" cm="1">
        <f t="array" ref="AC566">_xlfn.XLOOKUP(Table1[[#This Row],[5 cm2 cell test code]:[5 cm2 cell test code]],[1]!Table1[[Test code]:[Test code]],[1]!Table1[Anode ICR/mOhm],"",0)</f>
        <v>#REF!</v>
      </c>
      <c r="AD566" s="69" t="e" cm="1">
        <f t="array" ref="AD566">_xlfn.XLOOKUP(Table1[[#This Row],[5 cm2 cell test code]:[5 cm2 cell test code]],[1]!Table1[[Test code]:[Test code]],[1]!Table1[HFR DIW/ mOhm cm2],"",0)</f>
        <v>#REF!</v>
      </c>
      <c r="AE566" s="69" t="e" cm="1">
        <f t="array" ref="AE566">_xlfn.XLOOKUP(Table1[[#This Row],[5 cm2 cell test code]:[5 cm2 cell test code]],[1]!Table1[[Test code]:[Test code]],[1]!Table1[HFR 10 mM KOH/ mOhm cm2],"",0)</f>
        <v>#REF!</v>
      </c>
      <c r="AF566" s="69" t="e" cm="1">
        <f t="array" ref="AF566">_xlfn.XLOOKUP(Table1[[#This Row],[5 cm2 cell test code]:[5 cm2 cell test code]],[1]!Table1[[Test code]:[Test code]],[1]!Table1[Ionic resistance DIW/Ohm cm2],"",0)</f>
        <v>#REF!</v>
      </c>
      <c r="AG566" s="69" t="e" cm="1">
        <f t="array" ref="AG566">_xlfn.XLOOKUP(Table1[[#This Row],[5 cm2 cell test code]:[5 cm2 cell test code]],[1]!Table1[[Test code]:[Test code]],[1]!Table1[Q_int_frac DIW],"",0)</f>
        <v>#REF!</v>
      </c>
      <c r="AH566" s="69" t="e" cm="1">
        <f t="array" ref="AH566">_xlfn.XLOOKUP(Table1[[#This Row],[5 cm2 cell test code]:[5 cm2 cell test code]],[1]!Table1[[Test code]:[Test code]],[1]!Table1[Ionic resistance 10 mM KOH/Ohm cm2],"",0)</f>
        <v>#REF!</v>
      </c>
      <c r="AI566" s="69" t="e" cm="1">
        <f t="array" ref="AI566">_xlfn.XLOOKUP(Table1[[#This Row],[5 cm2 cell test code]:[5 cm2 cell test code]],[1]!Table1[[Test code]:[Test code]],[1]!Table1[Q_int_frac DIW 10 mM KOH],"",0)</f>
        <v>#REF!</v>
      </c>
      <c r="AJ566" s="69" t="e" cm="1">
        <f t="array" ref="AJ566">_xlfn.XLOOKUP(Table1[[#This Row],[5 cm2 cell test code]:[5 cm2 cell test code]],[1]!Table1[[Test code]:[Test code]],[1]!Table1[DIW conductivity (µS/cm)],"",0)</f>
        <v>#REF!</v>
      </c>
    </row>
    <row r="567" spans="1:36">
      <c r="A567" s="81"/>
      <c r="B567" s="207" t="s">
        <v>971</v>
      </c>
      <c r="C567" s="4" t="s">
        <v>968</v>
      </c>
      <c r="I567" s="11" t="s">
        <v>114</v>
      </c>
      <c r="J567" s="11" t="s">
        <v>869</v>
      </c>
      <c r="K567" s="211" t="s">
        <v>887</v>
      </c>
      <c r="L567" s="11" t="s">
        <v>888</v>
      </c>
      <c r="M567" s="25"/>
      <c r="O567" s="19"/>
      <c r="P567" s="27"/>
      <c r="Q567" s="4">
        <v>2.9869923062604005E-2</v>
      </c>
      <c r="U567" s="101"/>
      <c r="V567" s="101"/>
      <c r="W567" s="69" t="e" cm="1">
        <f t="array" ref="W567">_xlfn.XLOOKUP(Table1[[#This Row],[5 cm2 cell test code]:[5 cm2 cell test code]],[1]!Table1[[Test code]:[Test code]],[1]!Table1[i @ 1.8 V DIW (A/cm2)],"",0)</f>
        <v>#REF!</v>
      </c>
      <c r="X567" s="69" t="e" cm="1">
        <f t="array" ref="X567">_xlfn.XLOOKUP(Table1[[#This Row],[5 cm2 cell test code]:[5 cm2 cell test code]],[1]!Table1[[Test code]:[Test code]],[1]!Table1[i @ 1.8 V 10 mM KOH (A/cm2)],"",0)</f>
        <v>#REF!</v>
      </c>
      <c r="Y567" s="69" t="e" cm="1">
        <f t="array" ref="Y567">_xlfn.XLOOKUP(Table1[[#This Row],[5 cm2 cell test code]:[5 cm2 cell test code]],[1]!Table1[[Test code]:[Test code]],[1]!Table1[3-E ƞ at 20mAcm-2 (mV)],"",0)</f>
        <v>#REF!</v>
      </c>
      <c r="Z567" s="69" t="e" cm="1">
        <f t="array" ref="Z567">_xlfn.XLOOKUP(Table1[[#This Row],[5 cm2 cell test code]:[5 cm2 cell test code]],[1]!Table1[[Test code]:[Test code]],[1]!Table1[3-E Tafel slope (mV/dec)],"",0)</f>
        <v>#REF!</v>
      </c>
      <c r="AA567" s="69" t="e" cm="1">
        <f t="array" ref="AA567">_xlfn.XLOOKUP(Table1[[#This Row],[5 cm2 cell test code]:[5 cm2 cell test code]],[1]!Table1[[Test code]:[Test code]],[1]!Table1[E @ 100 mA/cm2 DIW/V],"",0)</f>
        <v>#REF!</v>
      </c>
      <c r="AB567" s="69" t="e" cm="1">
        <f t="array" ref="AB567">_xlfn.XLOOKUP(Table1[[#This Row],[5 cm2 cell test code]:[5 cm2 cell test code]],[1]!Table1[[Test code]:[Test code]],[1]!Table1[E @ 100 mA/cm2 10 mM KOH/V],"",0)</f>
        <v>#REF!</v>
      </c>
      <c r="AC567" s="69" t="e" cm="1">
        <f t="array" ref="AC567">_xlfn.XLOOKUP(Table1[[#This Row],[5 cm2 cell test code]:[5 cm2 cell test code]],[1]!Table1[[Test code]:[Test code]],[1]!Table1[Anode ICR/mOhm],"",0)</f>
        <v>#REF!</v>
      </c>
      <c r="AD567" s="69" t="e" cm="1">
        <f t="array" ref="AD567">_xlfn.XLOOKUP(Table1[[#This Row],[5 cm2 cell test code]:[5 cm2 cell test code]],[1]!Table1[[Test code]:[Test code]],[1]!Table1[HFR DIW/ mOhm cm2],"",0)</f>
        <v>#REF!</v>
      </c>
      <c r="AE567" s="69" t="e" cm="1">
        <f t="array" ref="AE567">_xlfn.XLOOKUP(Table1[[#This Row],[5 cm2 cell test code]:[5 cm2 cell test code]],[1]!Table1[[Test code]:[Test code]],[1]!Table1[HFR 10 mM KOH/ mOhm cm2],"",0)</f>
        <v>#REF!</v>
      </c>
      <c r="AF567" s="69" t="e" cm="1">
        <f t="array" ref="AF567">_xlfn.XLOOKUP(Table1[[#This Row],[5 cm2 cell test code]:[5 cm2 cell test code]],[1]!Table1[[Test code]:[Test code]],[1]!Table1[Ionic resistance DIW/Ohm cm2],"",0)</f>
        <v>#REF!</v>
      </c>
      <c r="AG567" s="69" t="e" cm="1">
        <f t="array" ref="AG567">_xlfn.XLOOKUP(Table1[[#This Row],[5 cm2 cell test code]:[5 cm2 cell test code]],[1]!Table1[[Test code]:[Test code]],[1]!Table1[Q_int_frac DIW],"",0)</f>
        <v>#REF!</v>
      </c>
      <c r="AH567" s="69" t="e" cm="1">
        <f t="array" ref="AH567">_xlfn.XLOOKUP(Table1[[#This Row],[5 cm2 cell test code]:[5 cm2 cell test code]],[1]!Table1[[Test code]:[Test code]],[1]!Table1[Ionic resistance 10 mM KOH/Ohm cm2],"",0)</f>
        <v>#REF!</v>
      </c>
      <c r="AI567" s="69" t="e" cm="1">
        <f t="array" ref="AI567">_xlfn.XLOOKUP(Table1[[#This Row],[5 cm2 cell test code]:[5 cm2 cell test code]],[1]!Table1[[Test code]:[Test code]],[1]!Table1[Q_int_frac DIW 10 mM KOH],"",0)</f>
        <v>#REF!</v>
      </c>
      <c r="AJ567" s="69" t="e" cm="1">
        <f t="array" ref="AJ567">_xlfn.XLOOKUP(Table1[[#This Row],[5 cm2 cell test code]:[5 cm2 cell test code]],[1]!Table1[[Test code]:[Test code]],[1]!Table1[DIW conductivity (µS/cm)],"",0)</f>
        <v>#REF!</v>
      </c>
    </row>
    <row r="568" spans="1:36">
      <c r="A568" s="81"/>
      <c r="B568" s="207" t="s">
        <v>972</v>
      </c>
      <c r="C568" s="4" t="s">
        <v>968</v>
      </c>
      <c r="I568" s="11" t="s">
        <v>114</v>
      </c>
      <c r="J568" s="11" t="s">
        <v>869</v>
      </c>
      <c r="K568" s="211" t="s">
        <v>887</v>
      </c>
      <c r="L568" s="11" t="s">
        <v>888</v>
      </c>
      <c r="M568" s="25"/>
      <c r="O568" s="19"/>
      <c r="P568" s="27"/>
      <c r="Q568" s="4">
        <v>2.8163815315324789E-2</v>
      </c>
      <c r="U568" s="101"/>
      <c r="V568" s="101"/>
      <c r="W568" s="69" t="e" cm="1">
        <f t="array" ref="W568">_xlfn.XLOOKUP(Table1[[#This Row],[5 cm2 cell test code]:[5 cm2 cell test code]],[1]!Table1[[Test code]:[Test code]],[1]!Table1[i @ 1.8 V DIW (A/cm2)],"",0)</f>
        <v>#REF!</v>
      </c>
      <c r="X568" s="69" t="e" cm="1">
        <f t="array" ref="X568">_xlfn.XLOOKUP(Table1[[#This Row],[5 cm2 cell test code]:[5 cm2 cell test code]],[1]!Table1[[Test code]:[Test code]],[1]!Table1[i @ 1.8 V 10 mM KOH (A/cm2)],"",0)</f>
        <v>#REF!</v>
      </c>
      <c r="Y568" s="69" t="e" cm="1">
        <f t="array" ref="Y568">_xlfn.XLOOKUP(Table1[[#This Row],[5 cm2 cell test code]:[5 cm2 cell test code]],[1]!Table1[[Test code]:[Test code]],[1]!Table1[3-E ƞ at 20mAcm-2 (mV)],"",0)</f>
        <v>#REF!</v>
      </c>
      <c r="Z568" s="69" t="e" cm="1">
        <f t="array" ref="Z568">_xlfn.XLOOKUP(Table1[[#This Row],[5 cm2 cell test code]:[5 cm2 cell test code]],[1]!Table1[[Test code]:[Test code]],[1]!Table1[3-E Tafel slope (mV/dec)],"",0)</f>
        <v>#REF!</v>
      </c>
      <c r="AA568" s="69" t="e" cm="1">
        <f t="array" ref="AA568">_xlfn.XLOOKUP(Table1[[#This Row],[5 cm2 cell test code]:[5 cm2 cell test code]],[1]!Table1[[Test code]:[Test code]],[1]!Table1[E @ 100 mA/cm2 DIW/V],"",0)</f>
        <v>#REF!</v>
      </c>
      <c r="AB568" s="69" t="e" cm="1">
        <f t="array" ref="AB568">_xlfn.XLOOKUP(Table1[[#This Row],[5 cm2 cell test code]:[5 cm2 cell test code]],[1]!Table1[[Test code]:[Test code]],[1]!Table1[E @ 100 mA/cm2 10 mM KOH/V],"",0)</f>
        <v>#REF!</v>
      </c>
      <c r="AC568" s="69" t="e" cm="1">
        <f t="array" ref="AC568">_xlfn.XLOOKUP(Table1[[#This Row],[5 cm2 cell test code]:[5 cm2 cell test code]],[1]!Table1[[Test code]:[Test code]],[1]!Table1[Anode ICR/mOhm],"",0)</f>
        <v>#REF!</v>
      </c>
      <c r="AD568" s="69" t="e" cm="1">
        <f t="array" ref="AD568">_xlfn.XLOOKUP(Table1[[#This Row],[5 cm2 cell test code]:[5 cm2 cell test code]],[1]!Table1[[Test code]:[Test code]],[1]!Table1[HFR DIW/ mOhm cm2],"",0)</f>
        <v>#REF!</v>
      </c>
      <c r="AE568" s="69" t="e" cm="1">
        <f t="array" ref="AE568">_xlfn.XLOOKUP(Table1[[#This Row],[5 cm2 cell test code]:[5 cm2 cell test code]],[1]!Table1[[Test code]:[Test code]],[1]!Table1[HFR 10 mM KOH/ mOhm cm2],"",0)</f>
        <v>#REF!</v>
      </c>
      <c r="AF568" s="69" t="e" cm="1">
        <f t="array" ref="AF568">_xlfn.XLOOKUP(Table1[[#This Row],[5 cm2 cell test code]:[5 cm2 cell test code]],[1]!Table1[[Test code]:[Test code]],[1]!Table1[Ionic resistance DIW/Ohm cm2],"",0)</f>
        <v>#REF!</v>
      </c>
      <c r="AG568" s="69" t="e" cm="1">
        <f t="array" ref="AG568">_xlfn.XLOOKUP(Table1[[#This Row],[5 cm2 cell test code]:[5 cm2 cell test code]],[1]!Table1[[Test code]:[Test code]],[1]!Table1[Q_int_frac DIW],"",0)</f>
        <v>#REF!</v>
      </c>
      <c r="AH568" s="69" t="e" cm="1">
        <f t="array" ref="AH568">_xlfn.XLOOKUP(Table1[[#This Row],[5 cm2 cell test code]:[5 cm2 cell test code]],[1]!Table1[[Test code]:[Test code]],[1]!Table1[Ionic resistance 10 mM KOH/Ohm cm2],"",0)</f>
        <v>#REF!</v>
      </c>
      <c r="AI568" s="69" t="e" cm="1">
        <f t="array" ref="AI568">_xlfn.XLOOKUP(Table1[[#This Row],[5 cm2 cell test code]:[5 cm2 cell test code]],[1]!Table1[[Test code]:[Test code]],[1]!Table1[Q_int_frac DIW 10 mM KOH],"",0)</f>
        <v>#REF!</v>
      </c>
      <c r="AJ568" s="69" t="e" cm="1">
        <f t="array" ref="AJ568">_xlfn.XLOOKUP(Table1[[#This Row],[5 cm2 cell test code]:[5 cm2 cell test code]],[1]!Table1[[Test code]:[Test code]],[1]!Table1[DIW conductivity (µS/cm)],"",0)</f>
        <v>#REF!</v>
      </c>
    </row>
    <row r="569" spans="1:36">
      <c r="A569" s="81"/>
      <c r="B569" s="11" t="s">
        <v>973</v>
      </c>
      <c r="C569" s="4" t="s">
        <v>965</v>
      </c>
      <c r="I569" s="11" t="s">
        <v>114</v>
      </c>
      <c r="J569" s="11" t="s">
        <v>869</v>
      </c>
      <c r="K569" s="211" t="s">
        <v>887</v>
      </c>
      <c r="L569" s="11" t="s">
        <v>888</v>
      </c>
      <c r="O569" s="11">
        <v>0.24299999999999999</v>
      </c>
      <c r="P569" s="28">
        <v>0.89</v>
      </c>
      <c r="Q569" s="4">
        <v>3.5544479191271988E-2</v>
      </c>
      <c r="U569" s="219"/>
      <c r="V569" s="219"/>
      <c r="W569" s="220" t="e" cm="1">
        <f t="array" ref="W569">_xlfn.XLOOKUP(Table1[[#This Row],[5 cm2 cell test code]:[5 cm2 cell test code]],[1]!Table1[[Test code]:[Test code]],[1]!Table1[i @ 1.8 V DIW (A/cm2)],"",0)</f>
        <v>#REF!</v>
      </c>
      <c r="X569" s="220" t="e" cm="1">
        <f t="array" ref="X569">_xlfn.XLOOKUP(Table1[[#This Row],[5 cm2 cell test code]:[5 cm2 cell test code]],[1]!Table1[[Test code]:[Test code]],[1]!Table1[i @ 1.8 V 10 mM KOH (A/cm2)],"",0)</f>
        <v>#REF!</v>
      </c>
      <c r="Y569" s="220" t="e" cm="1">
        <f t="array" ref="Y569">_xlfn.XLOOKUP(Table1[[#This Row],[5 cm2 cell test code]:[5 cm2 cell test code]],[1]!Table1[[Test code]:[Test code]],[1]!Table1[3-E ƞ at 20mAcm-2 (mV)],"",0)</f>
        <v>#REF!</v>
      </c>
      <c r="Z569" s="220" t="e" cm="1">
        <f t="array" ref="Z569">_xlfn.XLOOKUP(Table1[[#This Row],[5 cm2 cell test code]:[5 cm2 cell test code]],[1]!Table1[[Test code]:[Test code]],[1]!Table1[3-E Tafel slope (mV/dec)],"",0)</f>
        <v>#REF!</v>
      </c>
      <c r="AA569" s="220" t="e" cm="1">
        <f t="array" ref="AA569">_xlfn.XLOOKUP(Table1[[#This Row],[5 cm2 cell test code]:[5 cm2 cell test code]],[1]!Table1[[Test code]:[Test code]],[1]!Table1[E @ 100 mA/cm2 DIW/V],"",0)</f>
        <v>#REF!</v>
      </c>
      <c r="AB569" s="220" t="e" cm="1">
        <f t="array" ref="AB569">_xlfn.XLOOKUP(Table1[[#This Row],[5 cm2 cell test code]:[5 cm2 cell test code]],[1]!Table1[[Test code]:[Test code]],[1]!Table1[E @ 100 mA/cm2 10 mM KOH/V],"",0)</f>
        <v>#REF!</v>
      </c>
      <c r="AC569" s="220" t="e" cm="1">
        <f t="array" ref="AC569">_xlfn.XLOOKUP(Table1[[#This Row],[5 cm2 cell test code]:[5 cm2 cell test code]],[1]!Table1[[Test code]:[Test code]],[1]!Table1[Anode ICR/mOhm],"",0)</f>
        <v>#REF!</v>
      </c>
      <c r="AD569" s="220" t="e" cm="1">
        <f t="array" ref="AD569">_xlfn.XLOOKUP(Table1[[#This Row],[5 cm2 cell test code]:[5 cm2 cell test code]],[1]!Table1[[Test code]:[Test code]],[1]!Table1[HFR DIW/ mOhm cm2],"",0)</f>
        <v>#REF!</v>
      </c>
      <c r="AE569" s="220" t="e" cm="1">
        <f t="array" ref="AE569">_xlfn.XLOOKUP(Table1[[#This Row],[5 cm2 cell test code]:[5 cm2 cell test code]],[1]!Table1[[Test code]:[Test code]],[1]!Table1[HFR 10 mM KOH/ mOhm cm2],"",0)</f>
        <v>#REF!</v>
      </c>
      <c r="AF569" s="220" t="e" cm="1">
        <f t="array" ref="AF569">_xlfn.XLOOKUP(Table1[[#This Row],[5 cm2 cell test code]:[5 cm2 cell test code]],[1]!Table1[[Test code]:[Test code]],[1]!Table1[Ionic resistance DIW/Ohm cm2],"",0)</f>
        <v>#REF!</v>
      </c>
      <c r="AG569" s="220" t="e" cm="1">
        <f t="array" ref="AG569">_xlfn.XLOOKUP(Table1[[#This Row],[5 cm2 cell test code]:[5 cm2 cell test code]],[1]!Table1[[Test code]:[Test code]],[1]!Table1[Q_int_frac DIW],"",0)</f>
        <v>#REF!</v>
      </c>
      <c r="AH569" s="220" t="e" cm="1">
        <f t="array" ref="AH569">_xlfn.XLOOKUP(Table1[[#This Row],[5 cm2 cell test code]:[5 cm2 cell test code]],[1]!Table1[[Test code]:[Test code]],[1]!Table1[Ionic resistance 10 mM KOH/Ohm cm2],"",0)</f>
        <v>#REF!</v>
      </c>
      <c r="AI569" s="220" t="e" cm="1">
        <f t="array" ref="AI569">_xlfn.XLOOKUP(Table1[[#This Row],[5 cm2 cell test code]:[5 cm2 cell test code]],[1]!Table1[[Test code]:[Test code]],[1]!Table1[Q_int_frac DIW 10 mM KOH],"",0)</f>
        <v>#REF!</v>
      </c>
      <c r="AJ569" s="220" t="e" cm="1">
        <f t="array" ref="AJ569">_xlfn.XLOOKUP(Table1[[#This Row],[5 cm2 cell test code]:[5 cm2 cell test code]],[1]!Table1[[Test code]:[Test code]],[1]!Table1[DIW conductivity (µS/cm)],"",0)</f>
        <v>#REF!</v>
      </c>
    </row>
    <row r="570" spans="1:36">
      <c r="A570" s="81"/>
      <c r="B570" s="11" t="s">
        <v>974</v>
      </c>
      <c r="C570" s="4" t="s">
        <v>968</v>
      </c>
      <c r="I570" s="11" t="s">
        <v>114</v>
      </c>
      <c r="J570" s="11" t="s">
        <v>869</v>
      </c>
      <c r="K570" s="211" t="s">
        <v>887</v>
      </c>
      <c r="L570" s="11" t="s">
        <v>888</v>
      </c>
      <c r="O570" s="11">
        <v>0.22900000000000001</v>
      </c>
      <c r="P570" s="28">
        <v>0.88</v>
      </c>
      <c r="Q570" s="4">
        <v>3.639435195618651E-2</v>
      </c>
      <c r="U570" s="219"/>
      <c r="V570" s="219"/>
      <c r="W570" s="220" t="e" cm="1">
        <f t="array" ref="W570">_xlfn.XLOOKUP(Table1[[#This Row],[5 cm2 cell test code]:[5 cm2 cell test code]],[1]!Table1[[Test code]:[Test code]],[1]!Table1[i @ 1.8 V DIW (A/cm2)],"",0)</f>
        <v>#REF!</v>
      </c>
      <c r="X570" s="220" t="e" cm="1">
        <f t="array" ref="X570">_xlfn.XLOOKUP(Table1[[#This Row],[5 cm2 cell test code]:[5 cm2 cell test code]],[1]!Table1[[Test code]:[Test code]],[1]!Table1[i @ 1.8 V 10 mM KOH (A/cm2)],"",0)</f>
        <v>#REF!</v>
      </c>
      <c r="Y570" s="220" t="e" cm="1">
        <f t="array" ref="Y570">_xlfn.XLOOKUP(Table1[[#This Row],[5 cm2 cell test code]:[5 cm2 cell test code]],[1]!Table1[[Test code]:[Test code]],[1]!Table1[3-E ƞ at 20mAcm-2 (mV)],"",0)</f>
        <v>#REF!</v>
      </c>
      <c r="Z570" s="220" t="e" cm="1">
        <f t="array" ref="Z570">_xlfn.XLOOKUP(Table1[[#This Row],[5 cm2 cell test code]:[5 cm2 cell test code]],[1]!Table1[[Test code]:[Test code]],[1]!Table1[3-E Tafel slope (mV/dec)],"",0)</f>
        <v>#REF!</v>
      </c>
      <c r="AA570" s="220" t="e" cm="1">
        <f t="array" ref="AA570">_xlfn.XLOOKUP(Table1[[#This Row],[5 cm2 cell test code]:[5 cm2 cell test code]],[1]!Table1[[Test code]:[Test code]],[1]!Table1[E @ 100 mA/cm2 DIW/V],"",0)</f>
        <v>#REF!</v>
      </c>
      <c r="AB570" s="220" t="e" cm="1">
        <f t="array" ref="AB570">_xlfn.XLOOKUP(Table1[[#This Row],[5 cm2 cell test code]:[5 cm2 cell test code]],[1]!Table1[[Test code]:[Test code]],[1]!Table1[E @ 100 mA/cm2 10 mM KOH/V],"",0)</f>
        <v>#REF!</v>
      </c>
      <c r="AC570" s="220" t="e" cm="1">
        <f t="array" ref="AC570">_xlfn.XLOOKUP(Table1[[#This Row],[5 cm2 cell test code]:[5 cm2 cell test code]],[1]!Table1[[Test code]:[Test code]],[1]!Table1[Anode ICR/mOhm],"",0)</f>
        <v>#REF!</v>
      </c>
      <c r="AD570" s="220" t="e" cm="1">
        <f t="array" ref="AD570">_xlfn.XLOOKUP(Table1[[#This Row],[5 cm2 cell test code]:[5 cm2 cell test code]],[1]!Table1[[Test code]:[Test code]],[1]!Table1[HFR DIW/ mOhm cm2],"",0)</f>
        <v>#REF!</v>
      </c>
      <c r="AE570" s="220" t="e" cm="1">
        <f t="array" ref="AE570">_xlfn.XLOOKUP(Table1[[#This Row],[5 cm2 cell test code]:[5 cm2 cell test code]],[1]!Table1[[Test code]:[Test code]],[1]!Table1[HFR 10 mM KOH/ mOhm cm2],"",0)</f>
        <v>#REF!</v>
      </c>
      <c r="AF570" s="220" t="e" cm="1">
        <f t="array" ref="AF570">_xlfn.XLOOKUP(Table1[[#This Row],[5 cm2 cell test code]:[5 cm2 cell test code]],[1]!Table1[[Test code]:[Test code]],[1]!Table1[Ionic resistance DIW/Ohm cm2],"",0)</f>
        <v>#REF!</v>
      </c>
      <c r="AG570" s="220" t="e" cm="1">
        <f t="array" ref="AG570">_xlfn.XLOOKUP(Table1[[#This Row],[5 cm2 cell test code]:[5 cm2 cell test code]],[1]!Table1[[Test code]:[Test code]],[1]!Table1[Q_int_frac DIW],"",0)</f>
        <v>#REF!</v>
      </c>
      <c r="AH570" s="220" t="e" cm="1">
        <f t="array" ref="AH570">_xlfn.XLOOKUP(Table1[[#This Row],[5 cm2 cell test code]:[5 cm2 cell test code]],[1]!Table1[[Test code]:[Test code]],[1]!Table1[Ionic resistance 10 mM KOH/Ohm cm2],"",0)</f>
        <v>#REF!</v>
      </c>
      <c r="AI570" s="220" t="e" cm="1">
        <f t="array" ref="AI570">_xlfn.XLOOKUP(Table1[[#This Row],[5 cm2 cell test code]:[5 cm2 cell test code]],[1]!Table1[[Test code]:[Test code]],[1]!Table1[Q_int_frac DIW 10 mM KOH],"",0)</f>
        <v>#REF!</v>
      </c>
      <c r="AJ570" s="220" t="e" cm="1">
        <f t="array" ref="AJ570">_xlfn.XLOOKUP(Table1[[#This Row],[5 cm2 cell test code]:[5 cm2 cell test code]],[1]!Table1[[Test code]:[Test code]],[1]!Table1[DIW conductivity (µS/cm)],"",0)</f>
        <v>#REF!</v>
      </c>
    </row>
    <row r="571" spans="1:36">
      <c r="A571" s="81"/>
      <c r="B571" s="207" t="s">
        <v>975</v>
      </c>
      <c r="C571" s="4" t="s">
        <v>976</v>
      </c>
      <c r="I571" s="11" t="s">
        <v>114</v>
      </c>
      <c r="J571" s="11" t="s">
        <v>869</v>
      </c>
      <c r="K571" s="211" t="s">
        <v>887</v>
      </c>
      <c r="L571" s="11" t="s">
        <v>888</v>
      </c>
      <c r="M571" s="25"/>
      <c r="O571" s="19"/>
      <c r="P571" s="27"/>
      <c r="Q571" s="4">
        <v>2.7342312120739787E-2</v>
      </c>
      <c r="U571" s="101"/>
      <c r="V571" s="101"/>
      <c r="W571" s="69" t="e" cm="1">
        <f t="array" ref="W571">_xlfn.XLOOKUP(Table1[[#This Row],[5 cm2 cell test code]:[5 cm2 cell test code]],[1]!Table1[[Test code]:[Test code]],[1]!Table1[i @ 1.8 V DIW (A/cm2)],"",0)</f>
        <v>#REF!</v>
      </c>
      <c r="X571" s="69" t="e" cm="1">
        <f t="array" ref="X571">_xlfn.XLOOKUP(Table1[[#This Row],[5 cm2 cell test code]:[5 cm2 cell test code]],[1]!Table1[[Test code]:[Test code]],[1]!Table1[i @ 1.8 V 10 mM KOH (A/cm2)],"",0)</f>
        <v>#REF!</v>
      </c>
      <c r="Y571" s="69" t="e" cm="1">
        <f t="array" ref="Y571">_xlfn.XLOOKUP(Table1[[#This Row],[5 cm2 cell test code]:[5 cm2 cell test code]],[1]!Table1[[Test code]:[Test code]],[1]!Table1[3-E ƞ at 20mAcm-2 (mV)],"",0)</f>
        <v>#REF!</v>
      </c>
      <c r="Z571" s="69" t="e" cm="1">
        <f t="array" ref="Z571">_xlfn.XLOOKUP(Table1[[#This Row],[5 cm2 cell test code]:[5 cm2 cell test code]],[1]!Table1[[Test code]:[Test code]],[1]!Table1[3-E Tafel slope (mV/dec)],"",0)</f>
        <v>#REF!</v>
      </c>
      <c r="AA571" s="69" t="e" cm="1">
        <f t="array" ref="AA571">_xlfn.XLOOKUP(Table1[[#This Row],[5 cm2 cell test code]:[5 cm2 cell test code]],[1]!Table1[[Test code]:[Test code]],[1]!Table1[E @ 100 mA/cm2 DIW/V],"",0)</f>
        <v>#REF!</v>
      </c>
      <c r="AB571" s="69" t="e" cm="1">
        <f t="array" ref="AB571">_xlfn.XLOOKUP(Table1[[#This Row],[5 cm2 cell test code]:[5 cm2 cell test code]],[1]!Table1[[Test code]:[Test code]],[1]!Table1[E @ 100 mA/cm2 10 mM KOH/V],"",0)</f>
        <v>#REF!</v>
      </c>
      <c r="AC571" s="69" t="e" cm="1">
        <f t="array" ref="AC571">_xlfn.XLOOKUP(Table1[[#This Row],[5 cm2 cell test code]:[5 cm2 cell test code]],[1]!Table1[[Test code]:[Test code]],[1]!Table1[Anode ICR/mOhm],"",0)</f>
        <v>#REF!</v>
      </c>
      <c r="AD571" s="69" t="e" cm="1">
        <f t="array" ref="AD571">_xlfn.XLOOKUP(Table1[[#This Row],[5 cm2 cell test code]:[5 cm2 cell test code]],[1]!Table1[[Test code]:[Test code]],[1]!Table1[HFR DIW/ mOhm cm2],"",0)</f>
        <v>#REF!</v>
      </c>
      <c r="AE571" s="69" t="e" cm="1">
        <f t="array" ref="AE571">_xlfn.XLOOKUP(Table1[[#This Row],[5 cm2 cell test code]:[5 cm2 cell test code]],[1]!Table1[[Test code]:[Test code]],[1]!Table1[HFR 10 mM KOH/ mOhm cm2],"",0)</f>
        <v>#REF!</v>
      </c>
      <c r="AF571" s="69" t="e" cm="1">
        <f t="array" ref="AF571">_xlfn.XLOOKUP(Table1[[#This Row],[5 cm2 cell test code]:[5 cm2 cell test code]],[1]!Table1[[Test code]:[Test code]],[1]!Table1[Ionic resistance DIW/Ohm cm2],"",0)</f>
        <v>#REF!</v>
      </c>
      <c r="AG571" s="69" t="e" cm="1">
        <f t="array" ref="AG571">_xlfn.XLOOKUP(Table1[[#This Row],[5 cm2 cell test code]:[5 cm2 cell test code]],[1]!Table1[[Test code]:[Test code]],[1]!Table1[Q_int_frac DIW],"",0)</f>
        <v>#REF!</v>
      </c>
      <c r="AH571" s="69" t="e" cm="1">
        <f t="array" ref="AH571">_xlfn.XLOOKUP(Table1[[#This Row],[5 cm2 cell test code]:[5 cm2 cell test code]],[1]!Table1[[Test code]:[Test code]],[1]!Table1[Ionic resistance 10 mM KOH/Ohm cm2],"",0)</f>
        <v>#REF!</v>
      </c>
      <c r="AI571" s="69" t="e" cm="1">
        <f t="array" ref="AI571">_xlfn.XLOOKUP(Table1[[#This Row],[5 cm2 cell test code]:[5 cm2 cell test code]],[1]!Table1[[Test code]:[Test code]],[1]!Table1[Q_int_frac DIW 10 mM KOH],"",0)</f>
        <v>#REF!</v>
      </c>
      <c r="AJ571" s="69" t="e" cm="1">
        <f t="array" ref="AJ571">_xlfn.XLOOKUP(Table1[[#This Row],[5 cm2 cell test code]:[5 cm2 cell test code]],[1]!Table1[[Test code]:[Test code]],[1]!Table1[DIW conductivity (µS/cm)],"",0)</f>
        <v>#REF!</v>
      </c>
    </row>
    <row r="572" spans="1:36">
      <c r="A572" s="81"/>
      <c r="B572" s="11" t="s">
        <v>977</v>
      </c>
      <c r="C572" s="4" t="s">
        <v>968</v>
      </c>
      <c r="I572" s="11" t="s">
        <v>114</v>
      </c>
      <c r="J572" s="11" t="s">
        <v>869</v>
      </c>
      <c r="K572" s="211" t="s">
        <v>887</v>
      </c>
      <c r="L572" s="11" t="s">
        <v>888</v>
      </c>
      <c r="O572" s="11">
        <v>0.24</v>
      </c>
      <c r="P572" s="28">
        <v>0.85</v>
      </c>
      <c r="Q572" s="4">
        <v>3.4371669248549619E-2</v>
      </c>
      <c r="U572" s="219"/>
      <c r="V572" s="219"/>
      <c r="W572" s="220" t="e" cm="1">
        <f t="array" ref="W572">_xlfn.XLOOKUP(Table1[[#This Row],[5 cm2 cell test code]:[5 cm2 cell test code]],[1]!Table1[[Test code]:[Test code]],[1]!Table1[i @ 1.8 V DIW (A/cm2)],"",0)</f>
        <v>#REF!</v>
      </c>
      <c r="X572" s="220" t="e" cm="1">
        <f t="array" ref="X572">_xlfn.XLOOKUP(Table1[[#This Row],[5 cm2 cell test code]:[5 cm2 cell test code]],[1]!Table1[[Test code]:[Test code]],[1]!Table1[i @ 1.8 V 10 mM KOH (A/cm2)],"",0)</f>
        <v>#REF!</v>
      </c>
      <c r="Y572" s="220" t="e" cm="1">
        <f t="array" ref="Y572">_xlfn.XLOOKUP(Table1[[#This Row],[5 cm2 cell test code]:[5 cm2 cell test code]],[1]!Table1[[Test code]:[Test code]],[1]!Table1[3-E ƞ at 20mAcm-2 (mV)],"",0)</f>
        <v>#REF!</v>
      </c>
      <c r="Z572" s="220" t="e" cm="1">
        <f t="array" ref="Z572">_xlfn.XLOOKUP(Table1[[#This Row],[5 cm2 cell test code]:[5 cm2 cell test code]],[1]!Table1[[Test code]:[Test code]],[1]!Table1[3-E Tafel slope (mV/dec)],"",0)</f>
        <v>#REF!</v>
      </c>
      <c r="AA572" s="220" t="e" cm="1">
        <f t="array" ref="AA572">_xlfn.XLOOKUP(Table1[[#This Row],[5 cm2 cell test code]:[5 cm2 cell test code]],[1]!Table1[[Test code]:[Test code]],[1]!Table1[E @ 100 mA/cm2 DIW/V],"",0)</f>
        <v>#REF!</v>
      </c>
      <c r="AB572" s="220" t="e" cm="1">
        <f t="array" ref="AB572">_xlfn.XLOOKUP(Table1[[#This Row],[5 cm2 cell test code]:[5 cm2 cell test code]],[1]!Table1[[Test code]:[Test code]],[1]!Table1[E @ 100 mA/cm2 10 mM KOH/V],"",0)</f>
        <v>#REF!</v>
      </c>
      <c r="AC572" s="220" t="e" cm="1">
        <f t="array" ref="AC572">_xlfn.XLOOKUP(Table1[[#This Row],[5 cm2 cell test code]:[5 cm2 cell test code]],[1]!Table1[[Test code]:[Test code]],[1]!Table1[Anode ICR/mOhm],"",0)</f>
        <v>#REF!</v>
      </c>
      <c r="AD572" s="220" t="e" cm="1">
        <f t="array" ref="AD572">_xlfn.XLOOKUP(Table1[[#This Row],[5 cm2 cell test code]:[5 cm2 cell test code]],[1]!Table1[[Test code]:[Test code]],[1]!Table1[HFR DIW/ mOhm cm2],"",0)</f>
        <v>#REF!</v>
      </c>
      <c r="AE572" s="220" t="e" cm="1">
        <f t="array" ref="AE572">_xlfn.XLOOKUP(Table1[[#This Row],[5 cm2 cell test code]:[5 cm2 cell test code]],[1]!Table1[[Test code]:[Test code]],[1]!Table1[HFR 10 mM KOH/ mOhm cm2],"",0)</f>
        <v>#REF!</v>
      </c>
      <c r="AF572" s="220" t="e" cm="1">
        <f t="array" ref="AF572">_xlfn.XLOOKUP(Table1[[#This Row],[5 cm2 cell test code]:[5 cm2 cell test code]],[1]!Table1[[Test code]:[Test code]],[1]!Table1[Ionic resistance DIW/Ohm cm2],"",0)</f>
        <v>#REF!</v>
      </c>
      <c r="AG572" s="220" t="e" cm="1">
        <f t="array" ref="AG572">_xlfn.XLOOKUP(Table1[[#This Row],[5 cm2 cell test code]:[5 cm2 cell test code]],[1]!Table1[[Test code]:[Test code]],[1]!Table1[Q_int_frac DIW],"",0)</f>
        <v>#REF!</v>
      </c>
      <c r="AH572" s="220" t="e" cm="1">
        <f t="array" ref="AH572">_xlfn.XLOOKUP(Table1[[#This Row],[5 cm2 cell test code]:[5 cm2 cell test code]],[1]!Table1[[Test code]:[Test code]],[1]!Table1[Ionic resistance 10 mM KOH/Ohm cm2],"",0)</f>
        <v>#REF!</v>
      </c>
      <c r="AI572" s="220" t="e" cm="1">
        <f t="array" ref="AI572">_xlfn.XLOOKUP(Table1[[#This Row],[5 cm2 cell test code]:[5 cm2 cell test code]],[1]!Table1[[Test code]:[Test code]],[1]!Table1[Q_int_frac DIW 10 mM KOH],"",0)</f>
        <v>#REF!</v>
      </c>
      <c r="AJ572" s="220" t="e" cm="1">
        <f t="array" ref="AJ572">_xlfn.XLOOKUP(Table1[[#This Row],[5 cm2 cell test code]:[5 cm2 cell test code]],[1]!Table1[[Test code]:[Test code]],[1]!Table1[DIW conductivity (µS/cm)],"",0)</f>
        <v>#REF!</v>
      </c>
    </row>
    <row r="573" spans="1:36">
      <c r="A573" s="81"/>
      <c r="B573" s="11" t="s">
        <v>978</v>
      </c>
      <c r="C573" s="4" t="s">
        <v>968</v>
      </c>
      <c r="I573" s="11" t="s">
        <v>114</v>
      </c>
      <c r="J573" s="11" t="s">
        <v>869</v>
      </c>
      <c r="K573" s="211" t="s">
        <v>887</v>
      </c>
      <c r="L573" s="11" t="s">
        <v>888</v>
      </c>
      <c r="O573" s="11">
        <v>0.24</v>
      </c>
      <c r="P573" s="28">
        <v>0.94</v>
      </c>
      <c r="Q573" s="4">
        <v>3.7130278533895514E-2</v>
      </c>
      <c r="U573" s="219"/>
      <c r="V573" s="219"/>
      <c r="W573" s="220" t="e" cm="1">
        <f t="array" ref="W573">_xlfn.XLOOKUP(Table1[[#This Row],[5 cm2 cell test code]:[5 cm2 cell test code]],[1]!Table1[[Test code]:[Test code]],[1]!Table1[i @ 1.8 V DIW (A/cm2)],"",0)</f>
        <v>#REF!</v>
      </c>
      <c r="X573" s="220" t="e" cm="1">
        <f t="array" ref="X573">_xlfn.XLOOKUP(Table1[[#This Row],[5 cm2 cell test code]:[5 cm2 cell test code]],[1]!Table1[[Test code]:[Test code]],[1]!Table1[i @ 1.8 V 10 mM KOH (A/cm2)],"",0)</f>
        <v>#REF!</v>
      </c>
      <c r="Y573" s="220" t="e" cm="1">
        <f t="array" ref="Y573">_xlfn.XLOOKUP(Table1[[#This Row],[5 cm2 cell test code]:[5 cm2 cell test code]],[1]!Table1[[Test code]:[Test code]],[1]!Table1[3-E ƞ at 20mAcm-2 (mV)],"",0)</f>
        <v>#REF!</v>
      </c>
      <c r="Z573" s="220" t="e" cm="1">
        <f t="array" ref="Z573">_xlfn.XLOOKUP(Table1[[#This Row],[5 cm2 cell test code]:[5 cm2 cell test code]],[1]!Table1[[Test code]:[Test code]],[1]!Table1[3-E Tafel slope (mV/dec)],"",0)</f>
        <v>#REF!</v>
      </c>
      <c r="AA573" s="220" t="e" cm="1">
        <f t="array" ref="AA573">_xlfn.XLOOKUP(Table1[[#This Row],[5 cm2 cell test code]:[5 cm2 cell test code]],[1]!Table1[[Test code]:[Test code]],[1]!Table1[E @ 100 mA/cm2 DIW/V],"",0)</f>
        <v>#REF!</v>
      </c>
      <c r="AB573" s="220" t="e" cm="1">
        <f t="array" ref="AB573">_xlfn.XLOOKUP(Table1[[#This Row],[5 cm2 cell test code]:[5 cm2 cell test code]],[1]!Table1[[Test code]:[Test code]],[1]!Table1[E @ 100 mA/cm2 10 mM KOH/V],"",0)</f>
        <v>#REF!</v>
      </c>
      <c r="AC573" s="220" t="e" cm="1">
        <f t="array" ref="AC573">_xlfn.XLOOKUP(Table1[[#This Row],[5 cm2 cell test code]:[5 cm2 cell test code]],[1]!Table1[[Test code]:[Test code]],[1]!Table1[Anode ICR/mOhm],"",0)</f>
        <v>#REF!</v>
      </c>
      <c r="AD573" s="220" t="e" cm="1">
        <f t="array" ref="AD573">_xlfn.XLOOKUP(Table1[[#This Row],[5 cm2 cell test code]:[5 cm2 cell test code]],[1]!Table1[[Test code]:[Test code]],[1]!Table1[HFR DIW/ mOhm cm2],"",0)</f>
        <v>#REF!</v>
      </c>
      <c r="AE573" s="220" t="e" cm="1">
        <f t="array" ref="AE573">_xlfn.XLOOKUP(Table1[[#This Row],[5 cm2 cell test code]:[5 cm2 cell test code]],[1]!Table1[[Test code]:[Test code]],[1]!Table1[HFR 10 mM KOH/ mOhm cm2],"",0)</f>
        <v>#REF!</v>
      </c>
      <c r="AF573" s="220" t="e" cm="1">
        <f t="array" ref="AF573">_xlfn.XLOOKUP(Table1[[#This Row],[5 cm2 cell test code]:[5 cm2 cell test code]],[1]!Table1[[Test code]:[Test code]],[1]!Table1[Ionic resistance DIW/Ohm cm2],"",0)</f>
        <v>#REF!</v>
      </c>
      <c r="AG573" s="220" t="e" cm="1">
        <f t="array" ref="AG573">_xlfn.XLOOKUP(Table1[[#This Row],[5 cm2 cell test code]:[5 cm2 cell test code]],[1]!Table1[[Test code]:[Test code]],[1]!Table1[Q_int_frac DIW],"",0)</f>
        <v>#REF!</v>
      </c>
      <c r="AH573" s="220" t="e" cm="1">
        <f t="array" ref="AH573">_xlfn.XLOOKUP(Table1[[#This Row],[5 cm2 cell test code]:[5 cm2 cell test code]],[1]!Table1[[Test code]:[Test code]],[1]!Table1[Ionic resistance 10 mM KOH/Ohm cm2],"",0)</f>
        <v>#REF!</v>
      </c>
      <c r="AI573" s="220" t="e" cm="1">
        <f t="array" ref="AI573">_xlfn.XLOOKUP(Table1[[#This Row],[5 cm2 cell test code]:[5 cm2 cell test code]],[1]!Table1[[Test code]:[Test code]],[1]!Table1[Q_int_frac DIW 10 mM KOH],"",0)</f>
        <v>#REF!</v>
      </c>
      <c r="AJ573" s="220" t="e" cm="1">
        <f t="array" ref="AJ573">_xlfn.XLOOKUP(Table1[[#This Row],[5 cm2 cell test code]:[5 cm2 cell test code]],[1]!Table1[[Test code]:[Test code]],[1]!Table1[DIW conductivity (µS/cm)],"",0)</f>
        <v>#REF!</v>
      </c>
    </row>
    <row r="574" spans="1:36">
      <c r="A574" s="81"/>
      <c r="B574" s="207" t="s">
        <v>979</v>
      </c>
      <c r="C574" s="14"/>
      <c r="I574" s="11" t="s">
        <v>114</v>
      </c>
      <c r="J574" s="11" t="s">
        <v>869</v>
      </c>
      <c r="K574" s="211" t="s">
        <v>887</v>
      </c>
      <c r="L574" s="11" t="s">
        <v>888</v>
      </c>
      <c r="M574" s="25"/>
      <c r="O574" s="19"/>
      <c r="P574" s="27"/>
      <c r="Q574" s="4">
        <v>3.0932363752100761E-2</v>
      </c>
      <c r="U574" s="101"/>
      <c r="V574" s="101"/>
      <c r="W574" s="69" t="e" cm="1">
        <f t="array" ref="W574">_xlfn.XLOOKUP(Table1[[#This Row],[5 cm2 cell test code]:[5 cm2 cell test code]],[1]!Table1[[Test code]:[Test code]],[1]!Table1[i @ 1.8 V DIW (A/cm2)],"",0)</f>
        <v>#REF!</v>
      </c>
      <c r="X574" s="69" t="e" cm="1">
        <f t="array" ref="X574">_xlfn.XLOOKUP(Table1[[#This Row],[5 cm2 cell test code]:[5 cm2 cell test code]],[1]!Table1[[Test code]:[Test code]],[1]!Table1[i @ 1.8 V 10 mM KOH (A/cm2)],"",0)</f>
        <v>#REF!</v>
      </c>
      <c r="Y574" s="69" t="e" cm="1">
        <f t="array" ref="Y574">_xlfn.XLOOKUP(Table1[[#This Row],[5 cm2 cell test code]:[5 cm2 cell test code]],[1]!Table1[[Test code]:[Test code]],[1]!Table1[3-E ƞ at 20mAcm-2 (mV)],"",0)</f>
        <v>#REF!</v>
      </c>
      <c r="Z574" s="69" t="e" cm="1">
        <f t="array" ref="Z574">_xlfn.XLOOKUP(Table1[[#This Row],[5 cm2 cell test code]:[5 cm2 cell test code]],[1]!Table1[[Test code]:[Test code]],[1]!Table1[3-E Tafel slope (mV/dec)],"",0)</f>
        <v>#REF!</v>
      </c>
      <c r="AA574" s="69" t="e" cm="1">
        <f t="array" ref="AA574">_xlfn.XLOOKUP(Table1[[#This Row],[5 cm2 cell test code]:[5 cm2 cell test code]],[1]!Table1[[Test code]:[Test code]],[1]!Table1[E @ 100 mA/cm2 DIW/V],"",0)</f>
        <v>#REF!</v>
      </c>
      <c r="AB574" s="69" t="e" cm="1">
        <f t="array" ref="AB574">_xlfn.XLOOKUP(Table1[[#This Row],[5 cm2 cell test code]:[5 cm2 cell test code]],[1]!Table1[[Test code]:[Test code]],[1]!Table1[E @ 100 mA/cm2 10 mM KOH/V],"",0)</f>
        <v>#REF!</v>
      </c>
      <c r="AC574" s="69" t="e" cm="1">
        <f t="array" ref="AC574">_xlfn.XLOOKUP(Table1[[#This Row],[5 cm2 cell test code]:[5 cm2 cell test code]],[1]!Table1[[Test code]:[Test code]],[1]!Table1[Anode ICR/mOhm],"",0)</f>
        <v>#REF!</v>
      </c>
      <c r="AD574" s="69" t="e" cm="1">
        <f t="array" ref="AD574">_xlfn.XLOOKUP(Table1[[#This Row],[5 cm2 cell test code]:[5 cm2 cell test code]],[1]!Table1[[Test code]:[Test code]],[1]!Table1[HFR DIW/ mOhm cm2],"",0)</f>
        <v>#REF!</v>
      </c>
      <c r="AE574" s="69" t="e" cm="1">
        <f t="array" ref="AE574">_xlfn.XLOOKUP(Table1[[#This Row],[5 cm2 cell test code]:[5 cm2 cell test code]],[1]!Table1[[Test code]:[Test code]],[1]!Table1[HFR 10 mM KOH/ mOhm cm2],"",0)</f>
        <v>#REF!</v>
      </c>
      <c r="AF574" s="69" t="e" cm="1">
        <f t="array" ref="AF574">_xlfn.XLOOKUP(Table1[[#This Row],[5 cm2 cell test code]:[5 cm2 cell test code]],[1]!Table1[[Test code]:[Test code]],[1]!Table1[Ionic resistance DIW/Ohm cm2],"",0)</f>
        <v>#REF!</v>
      </c>
      <c r="AG574" s="69" t="e" cm="1">
        <f t="array" ref="AG574">_xlfn.XLOOKUP(Table1[[#This Row],[5 cm2 cell test code]:[5 cm2 cell test code]],[1]!Table1[[Test code]:[Test code]],[1]!Table1[Q_int_frac DIW],"",0)</f>
        <v>#REF!</v>
      </c>
      <c r="AH574" s="69" t="e" cm="1">
        <f t="array" ref="AH574">_xlfn.XLOOKUP(Table1[[#This Row],[5 cm2 cell test code]:[5 cm2 cell test code]],[1]!Table1[[Test code]:[Test code]],[1]!Table1[Ionic resistance 10 mM KOH/Ohm cm2],"",0)</f>
        <v>#REF!</v>
      </c>
      <c r="AI574" s="69" t="e" cm="1">
        <f t="array" ref="AI574">_xlfn.XLOOKUP(Table1[[#This Row],[5 cm2 cell test code]:[5 cm2 cell test code]],[1]!Table1[[Test code]:[Test code]],[1]!Table1[Q_int_frac DIW 10 mM KOH],"",0)</f>
        <v>#REF!</v>
      </c>
      <c r="AJ574" s="69" t="e" cm="1">
        <f t="array" ref="AJ574">_xlfn.XLOOKUP(Table1[[#This Row],[5 cm2 cell test code]:[5 cm2 cell test code]],[1]!Table1[[Test code]:[Test code]],[1]!Table1[DIW conductivity (µS/cm)],"",0)</f>
        <v>#REF!</v>
      </c>
    </row>
    <row r="575" spans="1:36">
      <c r="A575" s="81"/>
      <c r="B575" s="11" t="s">
        <v>980</v>
      </c>
      <c r="C575" s="4" t="s">
        <v>968</v>
      </c>
      <c r="I575" s="11" t="s">
        <v>114</v>
      </c>
      <c r="J575" s="11" t="s">
        <v>869</v>
      </c>
      <c r="K575" s="211" t="s">
        <v>887</v>
      </c>
      <c r="L575" s="11" t="s">
        <v>888</v>
      </c>
      <c r="O575" s="11">
        <v>0.23</v>
      </c>
      <c r="P575" s="28">
        <v>0.91</v>
      </c>
      <c r="Q575">
        <v>3.2694752165409124E-2</v>
      </c>
      <c r="U575" s="219"/>
      <c r="V575" s="219"/>
      <c r="W575" s="220" t="e" cm="1">
        <f t="array" ref="W575">_xlfn.XLOOKUP(Table1[[#This Row],[5 cm2 cell test code]:[5 cm2 cell test code]],[1]!Table1[[Test code]:[Test code]],[1]!Table1[i @ 1.8 V DIW (A/cm2)],"",0)</f>
        <v>#REF!</v>
      </c>
      <c r="X575" s="220" t="e" cm="1">
        <f t="array" ref="X575">_xlfn.XLOOKUP(Table1[[#This Row],[5 cm2 cell test code]:[5 cm2 cell test code]],[1]!Table1[[Test code]:[Test code]],[1]!Table1[i @ 1.8 V 10 mM KOH (A/cm2)],"",0)</f>
        <v>#REF!</v>
      </c>
      <c r="Y575" s="220" t="e" cm="1">
        <f t="array" ref="Y575">_xlfn.XLOOKUP(Table1[[#This Row],[5 cm2 cell test code]:[5 cm2 cell test code]],[1]!Table1[[Test code]:[Test code]],[1]!Table1[3-E ƞ at 20mAcm-2 (mV)],"",0)</f>
        <v>#REF!</v>
      </c>
      <c r="Z575" s="220" t="e" cm="1">
        <f t="array" ref="Z575">_xlfn.XLOOKUP(Table1[[#This Row],[5 cm2 cell test code]:[5 cm2 cell test code]],[1]!Table1[[Test code]:[Test code]],[1]!Table1[3-E Tafel slope (mV/dec)],"",0)</f>
        <v>#REF!</v>
      </c>
      <c r="AA575" s="220" t="e" cm="1">
        <f t="array" ref="AA575">_xlfn.XLOOKUP(Table1[[#This Row],[5 cm2 cell test code]:[5 cm2 cell test code]],[1]!Table1[[Test code]:[Test code]],[1]!Table1[E @ 100 mA/cm2 DIW/V],"",0)</f>
        <v>#REF!</v>
      </c>
      <c r="AB575" s="220" t="e" cm="1">
        <f t="array" ref="AB575">_xlfn.XLOOKUP(Table1[[#This Row],[5 cm2 cell test code]:[5 cm2 cell test code]],[1]!Table1[[Test code]:[Test code]],[1]!Table1[E @ 100 mA/cm2 10 mM KOH/V],"",0)</f>
        <v>#REF!</v>
      </c>
      <c r="AC575" s="220" t="e" cm="1">
        <f t="array" ref="AC575">_xlfn.XLOOKUP(Table1[[#This Row],[5 cm2 cell test code]:[5 cm2 cell test code]],[1]!Table1[[Test code]:[Test code]],[1]!Table1[Anode ICR/mOhm],"",0)</f>
        <v>#REF!</v>
      </c>
      <c r="AD575" s="220" t="e" cm="1">
        <f t="array" ref="AD575">_xlfn.XLOOKUP(Table1[[#This Row],[5 cm2 cell test code]:[5 cm2 cell test code]],[1]!Table1[[Test code]:[Test code]],[1]!Table1[HFR DIW/ mOhm cm2],"",0)</f>
        <v>#REF!</v>
      </c>
      <c r="AE575" s="220" t="e" cm="1">
        <f t="array" ref="AE575">_xlfn.XLOOKUP(Table1[[#This Row],[5 cm2 cell test code]:[5 cm2 cell test code]],[1]!Table1[[Test code]:[Test code]],[1]!Table1[HFR 10 mM KOH/ mOhm cm2],"",0)</f>
        <v>#REF!</v>
      </c>
      <c r="AF575" s="220" t="e" cm="1">
        <f t="array" ref="AF575">_xlfn.XLOOKUP(Table1[[#This Row],[5 cm2 cell test code]:[5 cm2 cell test code]],[1]!Table1[[Test code]:[Test code]],[1]!Table1[Ionic resistance DIW/Ohm cm2],"",0)</f>
        <v>#REF!</v>
      </c>
      <c r="AG575" s="220" t="e" cm="1">
        <f t="array" ref="AG575">_xlfn.XLOOKUP(Table1[[#This Row],[5 cm2 cell test code]:[5 cm2 cell test code]],[1]!Table1[[Test code]:[Test code]],[1]!Table1[Q_int_frac DIW],"",0)</f>
        <v>#REF!</v>
      </c>
      <c r="AH575" s="220" t="e" cm="1">
        <f t="array" ref="AH575">_xlfn.XLOOKUP(Table1[[#This Row],[5 cm2 cell test code]:[5 cm2 cell test code]],[1]!Table1[[Test code]:[Test code]],[1]!Table1[Ionic resistance 10 mM KOH/Ohm cm2],"",0)</f>
        <v>#REF!</v>
      </c>
      <c r="AI575" s="220" t="e" cm="1">
        <f t="array" ref="AI575">_xlfn.XLOOKUP(Table1[[#This Row],[5 cm2 cell test code]:[5 cm2 cell test code]],[1]!Table1[[Test code]:[Test code]],[1]!Table1[Q_int_frac DIW 10 mM KOH],"",0)</f>
        <v>#REF!</v>
      </c>
      <c r="AJ575" s="220" t="e" cm="1">
        <f t="array" ref="AJ575">_xlfn.XLOOKUP(Table1[[#This Row],[5 cm2 cell test code]:[5 cm2 cell test code]],[1]!Table1[[Test code]:[Test code]],[1]!Table1[DIW conductivity (µS/cm)],"",0)</f>
        <v>#REF!</v>
      </c>
    </row>
    <row r="576" spans="1:36">
      <c r="A576" s="81"/>
      <c r="B576" s="11" t="s">
        <v>981</v>
      </c>
      <c r="C576" s="4" t="s">
        <v>968</v>
      </c>
      <c r="I576" s="11" t="s">
        <v>114</v>
      </c>
      <c r="J576" s="11" t="s">
        <v>869</v>
      </c>
      <c r="K576" s="211" t="s">
        <v>887</v>
      </c>
      <c r="L576" s="11" t="s">
        <v>888</v>
      </c>
      <c r="O576" s="11">
        <v>0.23799999999999999</v>
      </c>
      <c r="P576" s="28">
        <v>0.97</v>
      </c>
      <c r="Q576" s="4">
        <v>2.4969908138425746E-2</v>
      </c>
      <c r="U576" s="219"/>
      <c r="V576" s="219"/>
      <c r="W576" s="220" t="e" cm="1">
        <f t="array" ref="W576">_xlfn.XLOOKUP(Table1[[#This Row],[5 cm2 cell test code]:[5 cm2 cell test code]],[1]!Table1[[Test code]:[Test code]],[1]!Table1[i @ 1.8 V DIW (A/cm2)],"",0)</f>
        <v>#REF!</v>
      </c>
      <c r="X576" s="220" t="e" cm="1">
        <f t="array" ref="X576">_xlfn.XLOOKUP(Table1[[#This Row],[5 cm2 cell test code]:[5 cm2 cell test code]],[1]!Table1[[Test code]:[Test code]],[1]!Table1[i @ 1.8 V 10 mM KOH (A/cm2)],"",0)</f>
        <v>#REF!</v>
      </c>
      <c r="Y576" s="220" t="e" cm="1">
        <f t="array" ref="Y576">_xlfn.XLOOKUP(Table1[[#This Row],[5 cm2 cell test code]:[5 cm2 cell test code]],[1]!Table1[[Test code]:[Test code]],[1]!Table1[3-E ƞ at 20mAcm-2 (mV)],"",0)</f>
        <v>#REF!</v>
      </c>
      <c r="Z576" s="220" t="e" cm="1">
        <f t="array" ref="Z576">_xlfn.XLOOKUP(Table1[[#This Row],[5 cm2 cell test code]:[5 cm2 cell test code]],[1]!Table1[[Test code]:[Test code]],[1]!Table1[3-E Tafel slope (mV/dec)],"",0)</f>
        <v>#REF!</v>
      </c>
      <c r="AA576" s="220" t="e" cm="1">
        <f t="array" ref="AA576">_xlfn.XLOOKUP(Table1[[#This Row],[5 cm2 cell test code]:[5 cm2 cell test code]],[1]!Table1[[Test code]:[Test code]],[1]!Table1[E @ 100 mA/cm2 DIW/V],"",0)</f>
        <v>#REF!</v>
      </c>
      <c r="AB576" s="220" t="e" cm="1">
        <f t="array" ref="AB576">_xlfn.XLOOKUP(Table1[[#This Row],[5 cm2 cell test code]:[5 cm2 cell test code]],[1]!Table1[[Test code]:[Test code]],[1]!Table1[E @ 100 mA/cm2 10 mM KOH/V],"",0)</f>
        <v>#REF!</v>
      </c>
      <c r="AC576" s="220" t="e" cm="1">
        <f t="array" ref="AC576">_xlfn.XLOOKUP(Table1[[#This Row],[5 cm2 cell test code]:[5 cm2 cell test code]],[1]!Table1[[Test code]:[Test code]],[1]!Table1[Anode ICR/mOhm],"",0)</f>
        <v>#REF!</v>
      </c>
      <c r="AD576" s="220" t="e" cm="1">
        <f t="array" ref="AD576">_xlfn.XLOOKUP(Table1[[#This Row],[5 cm2 cell test code]:[5 cm2 cell test code]],[1]!Table1[[Test code]:[Test code]],[1]!Table1[HFR DIW/ mOhm cm2],"",0)</f>
        <v>#REF!</v>
      </c>
      <c r="AE576" s="220" t="e" cm="1">
        <f t="array" ref="AE576">_xlfn.XLOOKUP(Table1[[#This Row],[5 cm2 cell test code]:[5 cm2 cell test code]],[1]!Table1[[Test code]:[Test code]],[1]!Table1[HFR 10 mM KOH/ mOhm cm2],"",0)</f>
        <v>#REF!</v>
      </c>
      <c r="AF576" s="220" t="e" cm="1">
        <f t="array" ref="AF576">_xlfn.XLOOKUP(Table1[[#This Row],[5 cm2 cell test code]:[5 cm2 cell test code]],[1]!Table1[[Test code]:[Test code]],[1]!Table1[Ionic resistance DIW/Ohm cm2],"",0)</f>
        <v>#REF!</v>
      </c>
      <c r="AG576" s="220" t="e" cm="1">
        <f t="array" ref="AG576">_xlfn.XLOOKUP(Table1[[#This Row],[5 cm2 cell test code]:[5 cm2 cell test code]],[1]!Table1[[Test code]:[Test code]],[1]!Table1[Q_int_frac DIW],"",0)</f>
        <v>#REF!</v>
      </c>
      <c r="AH576" s="220" t="e" cm="1">
        <f t="array" ref="AH576">_xlfn.XLOOKUP(Table1[[#This Row],[5 cm2 cell test code]:[5 cm2 cell test code]],[1]!Table1[[Test code]:[Test code]],[1]!Table1[Ionic resistance 10 mM KOH/Ohm cm2],"",0)</f>
        <v>#REF!</v>
      </c>
      <c r="AI576" s="220" t="e" cm="1">
        <f t="array" ref="AI576">_xlfn.XLOOKUP(Table1[[#This Row],[5 cm2 cell test code]:[5 cm2 cell test code]],[1]!Table1[[Test code]:[Test code]],[1]!Table1[Q_int_frac DIW 10 mM KOH],"",0)</f>
        <v>#REF!</v>
      </c>
      <c r="AJ576" s="220" t="e" cm="1">
        <f t="array" ref="AJ576">_xlfn.XLOOKUP(Table1[[#This Row],[5 cm2 cell test code]:[5 cm2 cell test code]],[1]!Table1[[Test code]:[Test code]],[1]!Table1[DIW conductivity (µS/cm)],"",0)</f>
        <v>#REF!</v>
      </c>
    </row>
    <row r="577" spans="1:36">
      <c r="A577" s="81"/>
      <c r="B577" s="11" t="s">
        <v>982</v>
      </c>
      <c r="C577" s="4" t="s">
        <v>968</v>
      </c>
      <c r="I577" s="11" t="s">
        <v>114</v>
      </c>
      <c r="J577" s="11" t="s">
        <v>869</v>
      </c>
      <c r="K577" s="211" t="s">
        <v>887</v>
      </c>
      <c r="L577" s="11" t="s">
        <v>888</v>
      </c>
      <c r="O577" s="11">
        <v>0.23400000000000001</v>
      </c>
      <c r="P577" s="28">
        <v>0.86</v>
      </c>
      <c r="Q577" s="4">
        <v>2.5999999999999999E-2</v>
      </c>
      <c r="U577" s="219"/>
      <c r="V577" s="219"/>
      <c r="W577" s="220" t="e" cm="1">
        <f t="array" ref="W577">_xlfn.XLOOKUP(Table1[[#This Row],[5 cm2 cell test code]:[5 cm2 cell test code]],[1]!Table1[[Test code]:[Test code]],[1]!Table1[i @ 1.8 V DIW (A/cm2)],"",0)</f>
        <v>#REF!</v>
      </c>
      <c r="X577" s="220" t="e" cm="1">
        <f t="array" ref="X577">_xlfn.XLOOKUP(Table1[[#This Row],[5 cm2 cell test code]:[5 cm2 cell test code]],[1]!Table1[[Test code]:[Test code]],[1]!Table1[i @ 1.8 V 10 mM KOH (A/cm2)],"",0)</f>
        <v>#REF!</v>
      </c>
      <c r="Y577" s="220" t="e" cm="1">
        <f t="array" ref="Y577">_xlfn.XLOOKUP(Table1[[#This Row],[5 cm2 cell test code]:[5 cm2 cell test code]],[1]!Table1[[Test code]:[Test code]],[1]!Table1[3-E ƞ at 20mAcm-2 (mV)],"",0)</f>
        <v>#REF!</v>
      </c>
      <c r="Z577" s="220" t="e" cm="1">
        <f t="array" ref="Z577">_xlfn.XLOOKUP(Table1[[#This Row],[5 cm2 cell test code]:[5 cm2 cell test code]],[1]!Table1[[Test code]:[Test code]],[1]!Table1[3-E Tafel slope (mV/dec)],"",0)</f>
        <v>#REF!</v>
      </c>
      <c r="AA577" s="220" t="e" cm="1">
        <f t="array" ref="AA577">_xlfn.XLOOKUP(Table1[[#This Row],[5 cm2 cell test code]:[5 cm2 cell test code]],[1]!Table1[[Test code]:[Test code]],[1]!Table1[E @ 100 mA/cm2 DIW/V],"",0)</f>
        <v>#REF!</v>
      </c>
      <c r="AB577" s="220" t="e" cm="1">
        <f t="array" ref="AB577">_xlfn.XLOOKUP(Table1[[#This Row],[5 cm2 cell test code]:[5 cm2 cell test code]],[1]!Table1[[Test code]:[Test code]],[1]!Table1[E @ 100 mA/cm2 10 mM KOH/V],"",0)</f>
        <v>#REF!</v>
      </c>
      <c r="AC577" s="220" t="e" cm="1">
        <f t="array" ref="AC577">_xlfn.XLOOKUP(Table1[[#This Row],[5 cm2 cell test code]:[5 cm2 cell test code]],[1]!Table1[[Test code]:[Test code]],[1]!Table1[Anode ICR/mOhm],"",0)</f>
        <v>#REF!</v>
      </c>
      <c r="AD577" s="220" t="e" cm="1">
        <f t="array" ref="AD577">_xlfn.XLOOKUP(Table1[[#This Row],[5 cm2 cell test code]:[5 cm2 cell test code]],[1]!Table1[[Test code]:[Test code]],[1]!Table1[HFR DIW/ mOhm cm2],"",0)</f>
        <v>#REF!</v>
      </c>
      <c r="AE577" s="220" t="e" cm="1">
        <f t="array" ref="AE577">_xlfn.XLOOKUP(Table1[[#This Row],[5 cm2 cell test code]:[5 cm2 cell test code]],[1]!Table1[[Test code]:[Test code]],[1]!Table1[HFR 10 mM KOH/ mOhm cm2],"",0)</f>
        <v>#REF!</v>
      </c>
      <c r="AF577" s="220" t="e" cm="1">
        <f t="array" ref="AF577">_xlfn.XLOOKUP(Table1[[#This Row],[5 cm2 cell test code]:[5 cm2 cell test code]],[1]!Table1[[Test code]:[Test code]],[1]!Table1[Ionic resistance DIW/Ohm cm2],"",0)</f>
        <v>#REF!</v>
      </c>
      <c r="AG577" s="220" t="e" cm="1">
        <f t="array" ref="AG577">_xlfn.XLOOKUP(Table1[[#This Row],[5 cm2 cell test code]:[5 cm2 cell test code]],[1]!Table1[[Test code]:[Test code]],[1]!Table1[Q_int_frac DIW],"",0)</f>
        <v>#REF!</v>
      </c>
      <c r="AH577" s="220" t="e" cm="1">
        <f t="array" ref="AH577">_xlfn.XLOOKUP(Table1[[#This Row],[5 cm2 cell test code]:[5 cm2 cell test code]],[1]!Table1[[Test code]:[Test code]],[1]!Table1[Ionic resistance 10 mM KOH/Ohm cm2],"",0)</f>
        <v>#REF!</v>
      </c>
      <c r="AI577" s="220" t="e" cm="1">
        <f t="array" ref="AI577">_xlfn.XLOOKUP(Table1[[#This Row],[5 cm2 cell test code]:[5 cm2 cell test code]],[1]!Table1[[Test code]:[Test code]],[1]!Table1[Q_int_frac DIW 10 mM KOH],"",0)</f>
        <v>#REF!</v>
      </c>
      <c r="AJ577" s="220" t="e" cm="1">
        <f t="array" ref="AJ577">_xlfn.XLOOKUP(Table1[[#This Row],[5 cm2 cell test code]:[5 cm2 cell test code]],[1]!Table1[[Test code]:[Test code]],[1]!Table1[DIW conductivity (µS/cm)],"",0)</f>
        <v>#REF!</v>
      </c>
    </row>
    <row r="578" spans="1:36">
      <c r="A578" s="81"/>
      <c r="B578" s="207" t="s">
        <v>983</v>
      </c>
      <c r="C578" s="14"/>
      <c r="I578" s="11" t="s">
        <v>114</v>
      </c>
      <c r="J578" s="11" t="s">
        <v>869</v>
      </c>
      <c r="K578" s="211" t="s">
        <v>887</v>
      </c>
      <c r="L578" s="11" t="s">
        <v>888</v>
      </c>
      <c r="M578" s="25"/>
      <c r="O578" s="19"/>
      <c r="P578" s="27"/>
      <c r="Q578" s="14"/>
      <c r="U578" s="101"/>
      <c r="V578" s="101"/>
      <c r="W578" s="69" t="e" cm="1">
        <f t="array" ref="W578">_xlfn.XLOOKUP(Table1[[#This Row],[5 cm2 cell test code]:[5 cm2 cell test code]],[1]!Table1[[Test code]:[Test code]],[1]!Table1[i @ 1.8 V DIW (A/cm2)],"",0)</f>
        <v>#REF!</v>
      </c>
      <c r="X578" s="69" t="e" cm="1">
        <f t="array" ref="X578">_xlfn.XLOOKUP(Table1[[#This Row],[5 cm2 cell test code]:[5 cm2 cell test code]],[1]!Table1[[Test code]:[Test code]],[1]!Table1[i @ 1.8 V 10 mM KOH (A/cm2)],"",0)</f>
        <v>#REF!</v>
      </c>
      <c r="Y578" s="69" t="e" cm="1">
        <f t="array" ref="Y578">_xlfn.XLOOKUP(Table1[[#This Row],[5 cm2 cell test code]:[5 cm2 cell test code]],[1]!Table1[[Test code]:[Test code]],[1]!Table1[3-E ƞ at 20mAcm-2 (mV)],"",0)</f>
        <v>#REF!</v>
      </c>
      <c r="Z578" s="69" t="e" cm="1">
        <f t="array" ref="Z578">_xlfn.XLOOKUP(Table1[[#This Row],[5 cm2 cell test code]:[5 cm2 cell test code]],[1]!Table1[[Test code]:[Test code]],[1]!Table1[3-E Tafel slope (mV/dec)],"",0)</f>
        <v>#REF!</v>
      </c>
      <c r="AA578" s="69" t="e" cm="1">
        <f t="array" ref="AA578">_xlfn.XLOOKUP(Table1[[#This Row],[5 cm2 cell test code]:[5 cm2 cell test code]],[1]!Table1[[Test code]:[Test code]],[1]!Table1[E @ 100 mA/cm2 DIW/V],"",0)</f>
        <v>#REF!</v>
      </c>
      <c r="AB578" s="69" t="e" cm="1">
        <f t="array" ref="AB578">_xlfn.XLOOKUP(Table1[[#This Row],[5 cm2 cell test code]:[5 cm2 cell test code]],[1]!Table1[[Test code]:[Test code]],[1]!Table1[E @ 100 mA/cm2 10 mM KOH/V],"",0)</f>
        <v>#REF!</v>
      </c>
      <c r="AC578" s="69" t="e" cm="1">
        <f t="array" ref="AC578">_xlfn.XLOOKUP(Table1[[#This Row],[5 cm2 cell test code]:[5 cm2 cell test code]],[1]!Table1[[Test code]:[Test code]],[1]!Table1[Anode ICR/mOhm],"",0)</f>
        <v>#REF!</v>
      </c>
      <c r="AD578" s="69" t="e" cm="1">
        <f t="array" ref="AD578">_xlfn.XLOOKUP(Table1[[#This Row],[5 cm2 cell test code]:[5 cm2 cell test code]],[1]!Table1[[Test code]:[Test code]],[1]!Table1[HFR DIW/ mOhm cm2],"",0)</f>
        <v>#REF!</v>
      </c>
      <c r="AE578" s="69" t="e" cm="1">
        <f t="array" ref="AE578">_xlfn.XLOOKUP(Table1[[#This Row],[5 cm2 cell test code]:[5 cm2 cell test code]],[1]!Table1[[Test code]:[Test code]],[1]!Table1[HFR 10 mM KOH/ mOhm cm2],"",0)</f>
        <v>#REF!</v>
      </c>
      <c r="AF578" s="69" t="e" cm="1">
        <f t="array" ref="AF578">_xlfn.XLOOKUP(Table1[[#This Row],[5 cm2 cell test code]:[5 cm2 cell test code]],[1]!Table1[[Test code]:[Test code]],[1]!Table1[Ionic resistance DIW/Ohm cm2],"",0)</f>
        <v>#REF!</v>
      </c>
      <c r="AG578" s="69" t="e" cm="1">
        <f t="array" ref="AG578">_xlfn.XLOOKUP(Table1[[#This Row],[5 cm2 cell test code]:[5 cm2 cell test code]],[1]!Table1[[Test code]:[Test code]],[1]!Table1[Q_int_frac DIW],"",0)</f>
        <v>#REF!</v>
      </c>
      <c r="AH578" s="69" t="e" cm="1">
        <f t="array" ref="AH578">_xlfn.XLOOKUP(Table1[[#This Row],[5 cm2 cell test code]:[5 cm2 cell test code]],[1]!Table1[[Test code]:[Test code]],[1]!Table1[Ionic resistance 10 mM KOH/Ohm cm2],"",0)</f>
        <v>#REF!</v>
      </c>
      <c r="AI578" s="69" t="e" cm="1">
        <f t="array" ref="AI578">_xlfn.XLOOKUP(Table1[[#This Row],[5 cm2 cell test code]:[5 cm2 cell test code]],[1]!Table1[[Test code]:[Test code]],[1]!Table1[Q_int_frac DIW 10 mM KOH],"",0)</f>
        <v>#REF!</v>
      </c>
      <c r="AJ578" s="69" t="e" cm="1">
        <f t="array" ref="AJ578">_xlfn.XLOOKUP(Table1[[#This Row],[5 cm2 cell test code]:[5 cm2 cell test code]],[1]!Table1[[Test code]:[Test code]],[1]!Table1[DIW conductivity (µS/cm)],"",0)</f>
        <v>#REF!</v>
      </c>
    </row>
    <row r="579" spans="1:36">
      <c r="A579" s="81"/>
      <c r="B579" s="11" t="s">
        <v>984</v>
      </c>
      <c r="C579" s="4" t="s">
        <v>968</v>
      </c>
      <c r="I579" s="11" t="s">
        <v>114</v>
      </c>
      <c r="J579" s="11" t="s">
        <v>869</v>
      </c>
      <c r="K579" s="211" t="s">
        <v>887</v>
      </c>
      <c r="L579" s="11" t="s">
        <v>888</v>
      </c>
      <c r="O579" s="11">
        <v>0.247</v>
      </c>
      <c r="P579" s="28">
        <v>0.9</v>
      </c>
      <c r="Q579" s="4">
        <v>3.0700000000000002E-2</v>
      </c>
      <c r="U579" s="219"/>
      <c r="V579" s="219"/>
      <c r="W579" s="220" t="e" cm="1">
        <f t="array" ref="W579">_xlfn.XLOOKUP(Table1[[#This Row],[5 cm2 cell test code]:[5 cm2 cell test code]],[1]!Table1[[Test code]:[Test code]],[1]!Table1[i @ 1.8 V DIW (A/cm2)],"",0)</f>
        <v>#REF!</v>
      </c>
      <c r="X579" s="220" t="e" cm="1">
        <f t="array" ref="X579">_xlfn.XLOOKUP(Table1[[#This Row],[5 cm2 cell test code]:[5 cm2 cell test code]],[1]!Table1[[Test code]:[Test code]],[1]!Table1[i @ 1.8 V 10 mM KOH (A/cm2)],"",0)</f>
        <v>#REF!</v>
      </c>
      <c r="Y579" s="220" t="e" cm="1">
        <f t="array" ref="Y579">_xlfn.XLOOKUP(Table1[[#This Row],[5 cm2 cell test code]:[5 cm2 cell test code]],[1]!Table1[[Test code]:[Test code]],[1]!Table1[3-E ƞ at 20mAcm-2 (mV)],"",0)</f>
        <v>#REF!</v>
      </c>
      <c r="Z579" s="220" t="e" cm="1">
        <f t="array" ref="Z579">_xlfn.XLOOKUP(Table1[[#This Row],[5 cm2 cell test code]:[5 cm2 cell test code]],[1]!Table1[[Test code]:[Test code]],[1]!Table1[3-E Tafel slope (mV/dec)],"",0)</f>
        <v>#REF!</v>
      </c>
      <c r="AA579" s="220" t="e" cm="1">
        <f t="array" ref="AA579">_xlfn.XLOOKUP(Table1[[#This Row],[5 cm2 cell test code]:[5 cm2 cell test code]],[1]!Table1[[Test code]:[Test code]],[1]!Table1[E @ 100 mA/cm2 DIW/V],"",0)</f>
        <v>#REF!</v>
      </c>
      <c r="AB579" s="220" t="e" cm="1">
        <f t="array" ref="AB579">_xlfn.XLOOKUP(Table1[[#This Row],[5 cm2 cell test code]:[5 cm2 cell test code]],[1]!Table1[[Test code]:[Test code]],[1]!Table1[E @ 100 mA/cm2 10 mM KOH/V],"",0)</f>
        <v>#REF!</v>
      </c>
      <c r="AC579" s="220" t="e" cm="1">
        <f t="array" ref="AC579">_xlfn.XLOOKUP(Table1[[#This Row],[5 cm2 cell test code]:[5 cm2 cell test code]],[1]!Table1[[Test code]:[Test code]],[1]!Table1[Anode ICR/mOhm],"",0)</f>
        <v>#REF!</v>
      </c>
      <c r="AD579" s="220" t="e" cm="1">
        <f t="array" ref="AD579">_xlfn.XLOOKUP(Table1[[#This Row],[5 cm2 cell test code]:[5 cm2 cell test code]],[1]!Table1[[Test code]:[Test code]],[1]!Table1[HFR DIW/ mOhm cm2],"",0)</f>
        <v>#REF!</v>
      </c>
      <c r="AE579" s="220" t="e" cm="1">
        <f t="array" ref="AE579">_xlfn.XLOOKUP(Table1[[#This Row],[5 cm2 cell test code]:[5 cm2 cell test code]],[1]!Table1[[Test code]:[Test code]],[1]!Table1[HFR 10 mM KOH/ mOhm cm2],"",0)</f>
        <v>#REF!</v>
      </c>
      <c r="AF579" s="220" t="e" cm="1">
        <f t="array" ref="AF579">_xlfn.XLOOKUP(Table1[[#This Row],[5 cm2 cell test code]:[5 cm2 cell test code]],[1]!Table1[[Test code]:[Test code]],[1]!Table1[Ionic resistance DIW/Ohm cm2],"",0)</f>
        <v>#REF!</v>
      </c>
      <c r="AG579" s="220" t="e" cm="1">
        <f t="array" ref="AG579">_xlfn.XLOOKUP(Table1[[#This Row],[5 cm2 cell test code]:[5 cm2 cell test code]],[1]!Table1[[Test code]:[Test code]],[1]!Table1[Q_int_frac DIW],"",0)</f>
        <v>#REF!</v>
      </c>
      <c r="AH579" s="220" t="e" cm="1">
        <f t="array" ref="AH579">_xlfn.XLOOKUP(Table1[[#This Row],[5 cm2 cell test code]:[5 cm2 cell test code]],[1]!Table1[[Test code]:[Test code]],[1]!Table1[Ionic resistance 10 mM KOH/Ohm cm2],"",0)</f>
        <v>#REF!</v>
      </c>
      <c r="AI579" s="220" t="e" cm="1">
        <f t="array" ref="AI579">_xlfn.XLOOKUP(Table1[[#This Row],[5 cm2 cell test code]:[5 cm2 cell test code]],[1]!Table1[[Test code]:[Test code]],[1]!Table1[Q_int_frac DIW 10 mM KOH],"",0)</f>
        <v>#REF!</v>
      </c>
      <c r="AJ579" s="220" t="e" cm="1">
        <f t="array" ref="AJ579">_xlfn.XLOOKUP(Table1[[#This Row],[5 cm2 cell test code]:[5 cm2 cell test code]],[1]!Table1[[Test code]:[Test code]],[1]!Table1[DIW conductivity (µS/cm)],"",0)</f>
        <v>#REF!</v>
      </c>
    </row>
    <row r="580" spans="1:36">
      <c r="A580" s="81"/>
      <c r="B580" s="207" t="s">
        <v>985</v>
      </c>
      <c r="C580" s="14"/>
      <c r="I580" s="11" t="s">
        <v>114</v>
      </c>
      <c r="J580" s="11" t="s">
        <v>869</v>
      </c>
      <c r="K580" s="211" t="s">
        <v>887</v>
      </c>
      <c r="L580" s="11" t="s">
        <v>888</v>
      </c>
      <c r="M580" s="25"/>
      <c r="O580" s="19"/>
      <c r="P580" s="27"/>
      <c r="Q580" s="14"/>
      <c r="U580" s="101"/>
      <c r="V580" s="101"/>
      <c r="W580" s="69" t="e" cm="1">
        <f t="array" ref="W580">_xlfn.XLOOKUP(Table1[[#This Row],[5 cm2 cell test code]:[5 cm2 cell test code]],[1]!Table1[[Test code]:[Test code]],[1]!Table1[i @ 1.8 V DIW (A/cm2)],"",0)</f>
        <v>#REF!</v>
      </c>
      <c r="X580" s="69" t="e" cm="1">
        <f t="array" ref="X580">_xlfn.XLOOKUP(Table1[[#This Row],[5 cm2 cell test code]:[5 cm2 cell test code]],[1]!Table1[[Test code]:[Test code]],[1]!Table1[i @ 1.8 V 10 mM KOH (A/cm2)],"",0)</f>
        <v>#REF!</v>
      </c>
      <c r="Y580" s="69" t="e" cm="1">
        <f t="array" ref="Y580">_xlfn.XLOOKUP(Table1[[#This Row],[5 cm2 cell test code]:[5 cm2 cell test code]],[1]!Table1[[Test code]:[Test code]],[1]!Table1[3-E ƞ at 20mAcm-2 (mV)],"",0)</f>
        <v>#REF!</v>
      </c>
      <c r="Z580" s="69" t="e" cm="1">
        <f t="array" ref="Z580">_xlfn.XLOOKUP(Table1[[#This Row],[5 cm2 cell test code]:[5 cm2 cell test code]],[1]!Table1[[Test code]:[Test code]],[1]!Table1[3-E Tafel slope (mV/dec)],"",0)</f>
        <v>#REF!</v>
      </c>
      <c r="AA580" s="69" t="e" cm="1">
        <f t="array" ref="AA580">_xlfn.XLOOKUP(Table1[[#This Row],[5 cm2 cell test code]:[5 cm2 cell test code]],[1]!Table1[[Test code]:[Test code]],[1]!Table1[E @ 100 mA/cm2 DIW/V],"",0)</f>
        <v>#REF!</v>
      </c>
      <c r="AB580" s="69" t="e" cm="1">
        <f t="array" ref="AB580">_xlfn.XLOOKUP(Table1[[#This Row],[5 cm2 cell test code]:[5 cm2 cell test code]],[1]!Table1[[Test code]:[Test code]],[1]!Table1[E @ 100 mA/cm2 10 mM KOH/V],"",0)</f>
        <v>#REF!</v>
      </c>
      <c r="AC580" s="69" t="e" cm="1">
        <f t="array" ref="AC580">_xlfn.XLOOKUP(Table1[[#This Row],[5 cm2 cell test code]:[5 cm2 cell test code]],[1]!Table1[[Test code]:[Test code]],[1]!Table1[Anode ICR/mOhm],"",0)</f>
        <v>#REF!</v>
      </c>
      <c r="AD580" s="69" t="e" cm="1">
        <f t="array" ref="AD580">_xlfn.XLOOKUP(Table1[[#This Row],[5 cm2 cell test code]:[5 cm2 cell test code]],[1]!Table1[[Test code]:[Test code]],[1]!Table1[HFR DIW/ mOhm cm2],"",0)</f>
        <v>#REF!</v>
      </c>
      <c r="AE580" s="69" t="e" cm="1">
        <f t="array" ref="AE580">_xlfn.XLOOKUP(Table1[[#This Row],[5 cm2 cell test code]:[5 cm2 cell test code]],[1]!Table1[[Test code]:[Test code]],[1]!Table1[HFR 10 mM KOH/ mOhm cm2],"",0)</f>
        <v>#REF!</v>
      </c>
      <c r="AF580" s="69" t="e" cm="1">
        <f t="array" ref="AF580">_xlfn.XLOOKUP(Table1[[#This Row],[5 cm2 cell test code]:[5 cm2 cell test code]],[1]!Table1[[Test code]:[Test code]],[1]!Table1[Ionic resistance DIW/Ohm cm2],"",0)</f>
        <v>#REF!</v>
      </c>
      <c r="AG580" s="69" t="e" cm="1">
        <f t="array" ref="AG580">_xlfn.XLOOKUP(Table1[[#This Row],[5 cm2 cell test code]:[5 cm2 cell test code]],[1]!Table1[[Test code]:[Test code]],[1]!Table1[Q_int_frac DIW],"",0)</f>
        <v>#REF!</v>
      </c>
      <c r="AH580" s="69" t="e" cm="1">
        <f t="array" ref="AH580">_xlfn.XLOOKUP(Table1[[#This Row],[5 cm2 cell test code]:[5 cm2 cell test code]],[1]!Table1[[Test code]:[Test code]],[1]!Table1[Ionic resistance 10 mM KOH/Ohm cm2],"",0)</f>
        <v>#REF!</v>
      </c>
      <c r="AI580" s="69" t="e" cm="1">
        <f t="array" ref="AI580">_xlfn.XLOOKUP(Table1[[#This Row],[5 cm2 cell test code]:[5 cm2 cell test code]],[1]!Table1[[Test code]:[Test code]],[1]!Table1[Q_int_frac DIW 10 mM KOH],"",0)</f>
        <v>#REF!</v>
      </c>
      <c r="AJ580" s="69" t="e" cm="1">
        <f t="array" ref="AJ580">_xlfn.XLOOKUP(Table1[[#This Row],[5 cm2 cell test code]:[5 cm2 cell test code]],[1]!Table1[[Test code]:[Test code]],[1]!Table1[DIW conductivity (µS/cm)],"",0)</f>
        <v>#REF!</v>
      </c>
    </row>
    <row r="581" spans="1:36">
      <c r="A581" s="81"/>
      <c r="B581" s="207" t="s">
        <v>986</v>
      </c>
      <c r="C581" s="14"/>
      <c r="I581" s="11" t="s">
        <v>114</v>
      </c>
      <c r="J581" s="11" t="s">
        <v>869</v>
      </c>
      <c r="K581" s="211" t="s">
        <v>887</v>
      </c>
      <c r="L581" s="11" t="s">
        <v>888</v>
      </c>
      <c r="M581" s="25"/>
      <c r="O581" s="19"/>
      <c r="P581" s="27"/>
      <c r="Q581" s="14"/>
      <c r="U581" s="101"/>
      <c r="V581" s="101"/>
      <c r="W581" s="69" t="e" cm="1">
        <f t="array" ref="W581">_xlfn.XLOOKUP(Table1[[#This Row],[5 cm2 cell test code]:[5 cm2 cell test code]],[1]!Table1[[Test code]:[Test code]],[1]!Table1[i @ 1.8 V DIW (A/cm2)],"",0)</f>
        <v>#REF!</v>
      </c>
      <c r="X581" s="69" t="e" cm="1">
        <f t="array" ref="X581">_xlfn.XLOOKUP(Table1[[#This Row],[5 cm2 cell test code]:[5 cm2 cell test code]],[1]!Table1[[Test code]:[Test code]],[1]!Table1[i @ 1.8 V 10 mM KOH (A/cm2)],"",0)</f>
        <v>#REF!</v>
      </c>
      <c r="Y581" s="69" t="e" cm="1">
        <f t="array" ref="Y581">_xlfn.XLOOKUP(Table1[[#This Row],[5 cm2 cell test code]:[5 cm2 cell test code]],[1]!Table1[[Test code]:[Test code]],[1]!Table1[3-E ƞ at 20mAcm-2 (mV)],"",0)</f>
        <v>#REF!</v>
      </c>
      <c r="Z581" s="69" t="e" cm="1">
        <f t="array" ref="Z581">_xlfn.XLOOKUP(Table1[[#This Row],[5 cm2 cell test code]:[5 cm2 cell test code]],[1]!Table1[[Test code]:[Test code]],[1]!Table1[3-E Tafel slope (mV/dec)],"",0)</f>
        <v>#REF!</v>
      </c>
      <c r="AA581" s="69" t="e" cm="1">
        <f t="array" ref="AA581">_xlfn.XLOOKUP(Table1[[#This Row],[5 cm2 cell test code]:[5 cm2 cell test code]],[1]!Table1[[Test code]:[Test code]],[1]!Table1[E @ 100 mA/cm2 DIW/V],"",0)</f>
        <v>#REF!</v>
      </c>
      <c r="AB581" s="69" t="e" cm="1">
        <f t="array" ref="AB581">_xlfn.XLOOKUP(Table1[[#This Row],[5 cm2 cell test code]:[5 cm2 cell test code]],[1]!Table1[[Test code]:[Test code]],[1]!Table1[E @ 100 mA/cm2 10 mM KOH/V],"",0)</f>
        <v>#REF!</v>
      </c>
      <c r="AC581" s="69" t="e" cm="1">
        <f t="array" ref="AC581">_xlfn.XLOOKUP(Table1[[#This Row],[5 cm2 cell test code]:[5 cm2 cell test code]],[1]!Table1[[Test code]:[Test code]],[1]!Table1[Anode ICR/mOhm],"",0)</f>
        <v>#REF!</v>
      </c>
      <c r="AD581" s="69" t="e" cm="1">
        <f t="array" ref="AD581">_xlfn.XLOOKUP(Table1[[#This Row],[5 cm2 cell test code]:[5 cm2 cell test code]],[1]!Table1[[Test code]:[Test code]],[1]!Table1[HFR DIW/ mOhm cm2],"",0)</f>
        <v>#REF!</v>
      </c>
      <c r="AE581" s="69" t="e" cm="1">
        <f t="array" ref="AE581">_xlfn.XLOOKUP(Table1[[#This Row],[5 cm2 cell test code]:[5 cm2 cell test code]],[1]!Table1[[Test code]:[Test code]],[1]!Table1[HFR 10 mM KOH/ mOhm cm2],"",0)</f>
        <v>#REF!</v>
      </c>
      <c r="AF581" s="69" t="e" cm="1">
        <f t="array" ref="AF581">_xlfn.XLOOKUP(Table1[[#This Row],[5 cm2 cell test code]:[5 cm2 cell test code]],[1]!Table1[[Test code]:[Test code]],[1]!Table1[Ionic resistance DIW/Ohm cm2],"",0)</f>
        <v>#REF!</v>
      </c>
      <c r="AG581" s="69" t="e" cm="1">
        <f t="array" ref="AG581">_xlfn.XLOOKUP(Table1[[#This Row],[5 cm2 cell test code]:[5 cm2 cell test code]],[1]!Table1[[Test code]:[Test code]],[1]!Table1[Q_int_frac DIW],"",0)</f>
        <v>#REF!</v>
      </c>
      <c r="AH581" s="69" t="e" cm="1">
        <f t="array" ref="AH581">_xlfn.XLOOKUP(Table1[[#This Row],[5 cm2 cell test code]:[5 cm2 cell test code]],[1]!Table1[[Test code]:[Test code]],[1]!Table1[Ionic resistance 10 mM KOH/Ohm cm2],"",0)</f>
        <v>#REF!</v>
      </c>
      <c r="AI581" s="69" t="e" cm="1">
        <f t="array" ref="AI581">_xlfn.XLOOKUP(Table1[[#This Row],[5 cm2 cell test code]:[5 cm2 cell test code]],[1]!Table1[[Test code]:[Test code]],[1]!Table1[Q_int_frac DIW 10 mM KOH],"",0)</f>
        <v>#REF!</v>
      </c>
      <c r="AJ581" s="69" t="e" cm="1">
        <f t="array" ref="AJ581">_xlfn.XLOOKUP(Table1[[#This Row],[5 cm2 cell test code]:[5 cm2 cell test code]],[1]!Table1[[Test code]:[Test code]],[1]!Table1[DIW conductivity (µS/cm)],"",0)</f>
        <v>#REF!</v>
      </c>
    </row>
    <row r="582" spans="1:36">
      <c r="A582" s="81"/>
      <c r="C582" s="14"/>
      <c r="U582" s="101"/>
      <c r="V582" s="101"/>
      <c r="W582" s="69" t="e" cm="1">
        <f t="array" ref="W582">_xlfn.XLOOKUP(Table1[[#This Row],[5 cm2 cell test code]:[5 cm2 cell test code]],[1]!Table1[[Test code]:[Test code]],[1]!Table1[i @ 1.8 V DIW (A/cm2)],"",0)</f>
        <v>#REF!</v>
      </c>
      <c r="X582" s="69" t="e" cm="1">
        <f t="array" ref="X582">_xlfn.XLOOKUP(Table1[[#This Row],[5 cm2 cell test code]:[5 cm2 cell test code]],[1]!Table1[[Test code]:[Test code]],[1]!Table1[i @ 1.8 V 10 mM KOH (A/cm2)],"",0)</f>
        <v>#REF!</v>
      </c>
      <c r="Y582" s="69" t="e" cm="1">
        <f t="array" ref="Y582">_xlfn.XLOOKUP(Table1[[#This Row],[5 cm2 cell test code]:[5 cm2 cell test code]],[1]!Table1[[Test code]:[Test code]],[1]!Table1[3-E ƞ at 20mAcm-2 (mV)],"",0)</f>
        <v>#REF!</v>
      </c>
      <c r="Z582" s="69" t="e" cm="1">
        <f t="array" ref="Z582">_xlfn.XLOOKUP(Table1[[#This Row],[5 cm2 cell test code]:[5 cm2 cell test code]],[1]!Table1[[Test code]:[Test code]],[1]!Table1[3-E Tafel slope (mV/dec)],"",0)</f>
        <v>#REF!</v>
      </c>
      <c r="AA582" s="69" t="e" cm="1">
        <f t="array" ref="AA582">_xlfn.XLOOKUP(Table1[[#This Row],[5 cm2 cell test code]:[5 cm2 cell test code]],[1]!Table1[[Test code]:[Test code]],[1]!Table1[E @ 100 mA/cm2 DIW/V],"",0)</f>
        <v>#REF!</v>
      </c>
      <c r="AB582" s="69" t="e" cm="1">
        <f t="array" ref="AB582">_xlfn.XLOOKUP(Table1[[#This Row],[5 cm2 cell test code]:[5 cm2 cell test code]],[1]!Table1[[Test code]:[Test code]],[1]!Table1[E @ 100 mA/cm2 10 mM KOH/V],"",0)</f>
        <v>#REF!</v>
      </c>
      <c r="AC582" s="69" t="e" cm="1">
        <f t="array" ref="AC582">_xlfn.XLOOKUP(Table1[[#This Row],[5 cm2 cell test code]:[5 cm2 cell test code]],[1]!Table1[[Test code]:[Test code]],[1]!Table1[Anode ICR/mOhm],"",0)</f>
        <v>#REF!</v>
      </c>
      <c r="AD582" s="69" t="e" cm="1">
        <f t="array" ref="AD582">_xlfn.XLOOKUP(Table1[[#This Row],[5 cm2 cell test code]:[5 cm2 cell test code]],[1]!Table1[[Test code]:[Test code]],[1]!Table1[HFR DIW/ mOhm cm2],"",0)</f>
        <v>#REF!</v>
      </c>
      <c r="AE582" s="69" t="e" cm="1">
        <f t="array" ref="AE582">_xlfn.XLOOKUP(Table1[[#This Row],[5 cm2 cell test code]:[5 cm2 cell test code]],[1]!Table1[[Test code]:[Test code]],[1]!Table1[HFR 10 mM KOH/ mOhm cm2],"",0)</f>
        <v>#REF!</v>
      </c>
      <c r="AF582" s="69" t="e" cm="1">
        <f t="array" ref="AF582">_xlfn.XLOOKUP(Table1[[#This Row],[5 cm2 cell test code]:[5 cm2 cell test code]],[1]!Table1[[Test code]:[Test code]],[1]!Table1[Ionic resistance DIW/Ohm cm2],"",0)</f>
        <v>#REF!</v>
      </c>
      <c r="AG582" s="69" t="e" cm="1">
        <f t="array" ref="AG582">_xlfn.XLOOKUP(Table1[[#This Row],[5 cm2 cell test code]:[5 cm2 cell test code]],[1]!Table1[[Test code]:[Test code]],[1]!Table1[Q_int_frac DIW],"",0)</f>
        <v>#REF!</v>
      </c>
      <c r="AH582" s="69" t="e" cm="1">
        <f t="array" ref="AH582">_xlfn.XLOOKUP(Table1[[#This Row],[5 cm2 cell test code]:[5 cm2 cell test code]],[1]!Table1[[Test code]:[Test code]],[1]!Table1[Ionic resistance 10 mM KOH/Ohm cm2],"",0)</f>
        <v>#REF!</v>
      </c>
      <c r="AI582" s="69" t="e" cm="1">
        <f t="array" ref="AI582">_xlfn.XLOOKUP(Table1[[#This Row],[5 cm2 cell test code]:[5 cm2 cell test code]],[1]!Table1[[Test code]:[Test code]],[1]!Table1[Q_int_frac DIW 10 mM KOH],"",0)</f>
        <v>#REF!</v>
      </c>
      <c r="AJ582" s="69" t="e" cm="1">
        <f t="array" ref="AJ582">_xlfn.XLOOKUP(Table1[[#This Row],[5 cm2 cell test code]:[5 cm2 cell test code]],[1]!Table1[[Test code]:[Test code]],[1]!Table1[DIW conductivity (µS/cm)],"",0)</f>
        <v>#REF!</v>
      </c>
    </row>
    <row r="583" spans="1:36">
      <c r="A583" s="81"/>
      <c r="B583" s="11" t="s">
        <v>987</v>
      </c>
      <c r="C583" s="4" t="s">
        <v>968</v>
      </c>
      <c r="I583" s="11" t="s">
        <v>114</v>
      </c>
      <c r="J583" s="11" t="s">
        <v>869</v>
      </c>
      <c r="K583" s="211" t="s">
        <v>887</v>
      </c>
      <c r="L583" s="11" t="s">
        <v>888</v>
      </c>
      <c r="O583" s="11">
        <v>0.25700000000000001</v>
      </c>
      <c r="P583" s="28">
        <v>0.87</v>
      </c>
      <c r="Q583" s="4">
        <v>4.0000000000000001E-3</v>
      </c>
      <c r="U583" s="219"/>
      <c r="V583" s="219"/>
      <c r="W583" s="220" t="e" cm="1">
        <f t="array" ref="W583">_xlfn.XLOOKUP(Table1[[#This Row],[5 cm2 cell test code]:[5 cm2 cell test code]],[1]!Table1[[Test code]:[Test code]],[1]!Table1[i @ 1.8 V DIW (A/cm2)],"",0)</f>
        <v>#REF!</v>
      </c>
      <c r="X583" s="220" t="e" cm="1">
        <f t="array" ref="X583">_xlfn.XLOOKUP(Table1[[#This Row],[5 cm2 cell test code]:[5 cm2 cell test code]],[1]!Table1[[Test code]:[Test code]],[1]!Table1[i @ 1.8 V 10 mM KOH (A/cm2)],"",0)</f>
        <v>#REF!</v>
      </c>
      <c r="Y583" s="220" t="e" cm="1">
        <f t="array" ref="Y583">_xlfn.XLOOKUP(Table1[[#This Row],[5 cm2 cell test code]:[5 cm2 cell test code]],[1]!Table1[[Test code]:[Test code]],[1]!Table1[3-E ƞ at 20mAcm-2 (mV)],"",0)</f>
        <v>#REF!</v>
      </c>
      <c r="Z583" s="220" t="e" cm="1">
        <f t="array" ref="Z583">_xlfn.XLOOKUP(Table1[[#This Row],[5 cm2 cell test code]:[5 cm2 cell test code]],[1]!Table1[[Test code]:[Test code]],[1]!Table1[3-E Tafel slope (mV/dec)],"",0)</f>
        <v>#REF!</v>
      </c>
      <c r="AA583" s="220" t="e" cm="1">
        <f t="array" ref="AA583">_xlfn.XLOOKUP(Table1[[#This Row],[5 cm2 cell test code]:[5 cm2 cell test code]],[1]!Table1[[Test code]:[Test code]],[1]!Table1[E @ 100 mA/cm2 DIW/V],"",0)</f>
        <v>#REF!</v>
      </c>
      <c r="AB583" s="220" t="e" cm="1">
        <f t="array" ref="AB583">_xlfn.XLOOKUP(Table1[[#This Row],[5 cm2 cell test code]:[5 cm2 cell test code]],[1]!Table1[[Test code]:[Test code]],[1]!Table1[E @ 100 mA/cm2 10 mM KOH/V],"",0)</f>
        <v>#REF!</v>
      </c>
      <c r="AC583" s="220" t="e" cm="1">
        <f t="array" ref="AC583">_xlfn.XLOOKUP(Table1[[#This Row],[5 cm2 cell test code]:[5 cm2 cell test code]],[1]!Table1[[Test code]:[Test code]],[1]!Table1[Anode ICR/mOhm],"",0)</f>
        <v>#REF!</v>
      </c>
      <c r="AD583" s="220" t="e" cm="1">
        <f t="array" ref="AD583">_xlfn.XLOOKUP(Table1[[#This Row],[5 cm2 cell test code]:[5 cm2 cell test code]],[1]!Table1[[Test code]:[Test code]],[1]!Table1[HFR DIW/ mOhm cm2],"",0)</f>
        <v>#REF!</v>
      </c>
      <c r="AE583" s="220" t="e" cm="1">
        <f t="array" ref="AE583">_xlfn.XLOOKUP(Table1[[#This Row],[5 cm2 cell test code]:[5 cm2 cell test code]],[1]!Table1[[Test code]:[Test code]],[1]!Table1[HFR 10 mM KOH/ mOhm cm2],"",0)</f>
        <v>#REF!</v>
      </c>
      <c r="AF583" s="220" t="e" cm="1">
        <f t="array" ref="AF583">_xlfn.XLOOKUP(Table1[[#This Row],[5 cm2 cell test code]:[5 cm2 cell test code]],[1]!Table1[[Test code]:[Test code]],[1]!Table1[Ionic resistance DIW/Ohm cm2],"",0)</f>
        <v>#REF!</v>
      </c>
      <c r="AG583" s="220" t="e" cm="1">
        <f t="array" ref="AG583">_xlfn.XLOOKUP(Table1[[#This Row],[5 cm2 cell test code]:[5 cm2 cell test code]],[1]!Table1[[Test code]:[Test code]],[1]!Table1[Q_int_frac DIW],"",0)</f>
        <v>#REF!</v>
      </c>
      <c r="AH583" s="220" t="e" cm="1">
        <f t="array" ref="AH583">_xlfn.XLOOKUP(Table1[[#This Row],[5 cm2 cell test code]:[5 cm2 cell test code]],[1]!Table1[[Test code]:[Test code]],[1]!Table1[Ionic resistance 10 mM KOH/Ohm cm2],"",0)</f>
        <v>#REF!</v>
      </c>
      <c r="AI583" s="220" t="e" cm="1">
        <f t="array" ref="AI583">_xlfn.XLOOKUP(Table1[[#This Row],[5 cm2 cell test code]:[5 cm2 cell test code]],[1]!Table1[[Test code]:[Test code]],[1]!Table1[Q_int_frac DIW 10 mM KOH],"",0)</f>
        <v>#REF!</v>
      </c>
      <c r="AJ583" s="220" t="e" cm="1">
        <f t="array" ref="AJ583">_xlfn.XLOOKUP(Table1[[#This Row],[5 cm2 cell test code]:[5 cm2 cell test code]],[1]!Table1[[Test code]:[Test code]],[1]!Table1[DIW conductivity (µS/cm)],"",0)</f>
        <v>#REF!</v>
      </c>
    </row>
    <row r="584" spans="1:36">
      <c r="A584" s="81"/>
      <c r="B584" s="11" t="s">
        <v>988</v>
      </c>
      <c r="C584" s="4" t="s">
        <v>968</v>
      </c>
      <c r="I584" s="11" t="s">
        <v>114</v>
      </c>
      <c r="J584" s="11" t="s">
        <v>869</v>
      </c>
      <c r="K584" s="211" t="s">
        <v>887</v>
      </c>
      <c r="L584" s="11" t="s">
        <v>888</v>
      </c>
      <c r="O584" s="11">
        <v>0.255</v>
      </c>
      <c r="P584" s="28">
        <v>0.93</v>
      </c>
      <c r="Q584" s="4">
        <v>3.6999999999999998E-2</v>
      </c>
      <c r="U584" s="219"/>
      <c r="V584" s="219"/>
      <c r="W584" s="220" t="e" cm="1">
        <f t="array" ref="W584">_xlfn.XLOOKUP(Table1[[#This Row],[5 cm2 cell test code]:[5 cm2 cell test code]],[1]!Table1[[Test code]:[Test code]],[1]!Table1[i @ 1.8 V DIW (A/cm2)],"",0)</f>
        <v>#REF!</v>
      </c>
      <c r="X584" s="220" t="e" cm="1">
        <f t="array" ref="X584">_xlfn.XLOOKUP(Table1[[#This Row],[5 cm2 cell test code]:[5 cm2 cell test code]],[1]!Table1[[Test code]:[Test code]],[1]!Table1[i @ 1.8 V 10 mM KOH (A/cm2)],"",0)</f>
        <v>#REF!</v>
      </c>
      <c r="Y584" s="220" t="e" cm="1">
        <f t="array" ref="Y584">_xlfn.XLOOKUP(Table1[[#This Row],[5 cm2 cell test code]:[5 cm2 cell test code]],[1]!Table1[[Test code]:[Test code]],[1]!Table1[3-E ƞ at 20mAcm-2 (mV)],"",0)</f>
        <v>#REF!</v>
      </c>
      <c r="Z584" s="220" t="e" cm="1">
        <f t="array" ref="Z584">_xlfn.XLOOKUP(Table1[[#This Row],[5 cm2 cell test code]:[5 cm2 cell test code]],[1]!Table1[[Test code]:[Test code]],[1]!Table1[3-E Tafel slope (mV/dec)],"",0)</f>
        <v>#REF!</v>
      </c>
      <c r="AA584" s="220" t="e" cm="1">
        <f t="array" ref="AA584">_xlfn.XLOOKUP(Table1[[#This Row],[5 cm2 cell test code]:[5 cm2 cell test code]],[1]!Table1[[Test code]:[Test code]],[1]!Table1[E @ 100 mA/cm2 DIW/V],"",0)</f>
        <v>#REF!</v>
      </c>
      <c r="AB584" s="220" t="e" cm="1">
        <f t="array" ref="AB584">_xlfn.XLOOKUP(Table1[[#This Row],[5 cm2 cell test code]:[5 cm2 cell test code]],[1]!Table1[[Test code]:[Test code]],[1]!Table1[E @ 100 mA/cm2 10 mM KOH/V],"",0)</f>
        <v>#REF!</v>
      </c>
      <c r="AC584" s="220" t="e" cm="1">
        <f t="array" ref="AC584">_xlfn.XLOOKUP(Table1[[#This Row],[5 cm2 cell test code]:[5 cm2 cell test code]],[1]!Table1[[Test code]:[Test code]],[1]!Table1[Anode ICR/mOhm],"",0)</f>
        <v>#REF!</v>
      </c>
      <c r="AD584" s="220" t="e" cm="1">
        <f t="array" ref="AD584">_xlfn.XLOOKUP(Table1[[#This Row],[5 cm2 cell test code]:[5 cm2 cell test code]],[1]!Table1[[Test code]:[Test code]],[1]!Table1[HFR DIW/ mOhm cm2],"",0)</f>
        <v>#REF!</v>
      </c>
      <c r="AE584" s="220" t="e" cm="1">
        <f t="array" ref="AE584">_xlfn.XLOOKUP(Table1[[#This Row],[5 cm2 cell test code]:[5 cm2 cell test code]],[1]!Table1[[Test code]:[Test code]],[1]!Table1[HFR 10 mM KOH/ mOhm cm2],"",0)</f>
        <v>#REF!</v>
      </c>
      <c r="AF584" s="220" t="e" cm="1">
        <f t="array" ref="AF584">_xlfn.XLOOKUP(Table1[[#This Row],[5 cm2 cell test code]:[5 cm2 cell test code]],[1]!Table1[[Test code]:[Test code]],[1]!Table1[Ionic resistance DIW/Ohm cm2],"",0)</f>
        <v>#REF!</v>
      </c>
      <c r="AG584" s="220" t="e" cm="1">
        <f t="array" ref="AG584">_xlfn.XLOOKUP(Table1[[#This Row],[5 cm2 cell test code]:[5 cm2 cell test code]],[1]!Table1[[Test code]:[Test code]],[1]!Table1[Q_int_frac DIW],"",0)</f>
        <v>#REF!</v>
      </c>
      <c r="AH584" s="220" t="e" cm="1">
        <f t="array" ref="AH584">_xlfn.XLOOKUP(Table1[[#This Row],[5 cm2 cell test code]:[5 cm2 cell test code]],[1]!Table1[[Test code]:[Test code]],[1]!Table1[Ionic resistance 10 mM KOH/Ohm cm2],"",0)</f>
        <v>#REF!</v>
      </c>
      <c r="AI584" s="220" t="e" cm="1">
        <f t="array" ref="AI584">_xlfn.XLOOKUP(Table1[[#This Row],[5 cm2 cell test code]:[5 cm2 cell test code]],[1]!Table1[[Test code]:[Test code]],[1]!Table1[Q_int_frac DIW 10 mM KOH],"",0)</f>
        <v>#REF!</v>
      </c>
      <c r="AJ584" s="220" t="e" cm="1">
        <f t="array" ref="AJ584">_xlfn.XLOOKUP(Table1[[#This Row],[5 cm2 cell test code]:[5 cm2 cell test code]],[1]!Table1[[Test code]:[Test code]],[1]!Table1[DIW conductivity (µS/cm)],"",0)</f>
        <v>#REF!</v>
      </c>
    </row>
    <row r="585" spans="1:36">
      <c r="A585" s="81"/>
      <c r="B585" s="207" t="s">
        <v>989</v>
      </c>
      <c r="C585" s="14"/>
      <c r="I585" s="11" t="s">
        <v>114</v>
      </c>
      <c r="J585" s="11" t="s">
        <v>869</v>
      </c>
      <c r="K585" s="211" t="s">
        <v>887</v>
      </c>
      <c r="L585" s="11" t="s">
        <v>888</v>
      </c>
      <c r="M585" s="25"/>
      <c r="O585" s="19"/>
      <c r="P585" s="27"/>
      <c r="Q585" s="14"/>
      <c r="U585" s="101"/>
      <c r="V585" s="101"/>
      <c r="W585" s="69" t="e" cm="1">
        <f t="array" ref="W585">_xlfn.XLOOKUP(Table1[[#This Row],[5 cm2 cell test code]:[5 cm2 cell test code]],[1]!Table1[[Test code]:[Test code]],[1]!Table1[i @ 1.8 V DIW (A/cm2)],"",0)</f>
        <v>#REF!</v>
      </c>
      <c r="X585" s="69" t="e" cm="1">
        <f t="array" ref="X585">_xlfn.XLOOKUP(Table1[[#This Row],[5 cm2 cell test code]:[5 cm2 cell test code]],[1]!Table1[[Test code]:[Test code]],[1]!Table1[i @ 1.8 V 10 mM KOH (A/cm2)],"",0)</f>
        <v>#REF!</v>
      </c>
      <c r="Y585" s="69" t="e" cm="1">
        <f t="array" ref="Y585">_xlfn.XLOOKUP(Table1[[#This Row],[5 cm2 cell test code]:[5 cm2 cell test code]],[1]!Table1[[Test code]:[Test code]],[1]!Table1[3-E ƞ at 20mAcm-2 (mV)],"",0)</f>
        <v>#REF!</v>
      </c>
      <c r="Z585" s="69" t="e" cm="1">
        <f t="array" ref="Z585">_xlfn.XLOOKUP(Table1[[#This Row],[5 cm2 cell test code]:[5 cm2 cell test code]],[1]!Table1[[Test code]:[Test code]],[1]!Table1[3-E Tafel slope (mV/dec)],"",0)</f>
        <v>#REF!</v>
      </c>
      <c r="AA585" s="69" t="e" cm="1">
        <f t="array" ref="AA585">_xlfn.XLOOKUP(Table1[[#This Row],[5 cm2 cell test code]:[5 cm2 cell test code]],[1]!Table1[[Test code]:[Test code]],[1]!Table1[E @ 100 mA/cm2 DIW/V],"",0)</f>
        <v>#REF!</v>
      </c>
      <c r="AB585" s="69" t="e" cm="1">
        <f t="array" ref="AB585">_xlfn.XLOOKUP(Table1[[#This Row],[5 cm2 cell test code]:[5 cm2 cell test code]],[1]!Table1[[Test code]:[Test code]],[1]!Table1[E @ 100 mA/cm2 10 mM KOH/V],"",0)</f>
        <v>#REF!</v>
      </c>
      <c r="AC585" s="69" t="e" cm="1">
        <f t="array" ref="AC585">_xlfn.XLOOKUP(Table1[[#This Row],[5 cm2 cell test code]:[5 cm2 cell test code]],[1]!Table1[[Test code]:[Test code]],[1]!Table1[Anode ICR/mOhm],"",0)</f>
        <v>#REF!</v>
      </c>
      <c r="AD585" s="69" t="e" cm="1">
        <f t="array" ref="AD585">_xlfn.XLOOKUP(Table1[[#This Row],[5 cm2 cell test code]:[5 cm2 cell test code]],[1]!Table1[[Test code]:[Test code]],[1]!Table1[HFR DIW/ mOhm cm2],"",0)</f>
        <v>#REF!</v>
      </c>
      <c r="AE585" s="69" t="e" cm="1">
        <f t="array" ref="AE585">_xlfn.XLOOKUP(Table1[[#This Row],[5 cm2 cell test code]:[5 cm2 cell test code]],[1]!Table1[[Test code]:[Test code]],[1]!Table1[HFR 10 mM KOH/ mOhm cm2],"",0)</f>
        <v>#REF!</v>
      </c>
      <c r="AF585" s="69" t="e" cm="1">
        <f t="array" ref="AF585">_xlfn.XLOOKUP(Table1[[#This Row],[5 cm2 cell test code]:[5 cm2 cell test code]],[1]!Table1[[Test code]:[Test code]],[1]!Table1[Ionic resistance DIW/Ohm cm2],"",0)</f>
        <v>#REF!</v>
      </c>
      <c r="AG585" s="69" t="e" cm="1">
        <f t="array" ref="AG585">_xlfn.XLOOKUP(Table1[[#This Row],[5 cm2 cell test code]:[5 cm2 cell test code]],[1]!Table1[[Test code]:[Test code]],[1]!Table1[Q_int_frac DIW],"",0)</f>
        <v>#REF!</v>
      </c>
      <c r="AH585" s="69" t="e" cm="1">
        <f t="array" ref="AH585">_xlfn.XLOOKUP(Table1[[#This Row],[5 cm2 cell test code]:[5 cm2 cell test code]],[1]!Table1[[Test code]:[Test code]],[1]!Table1[Ionic resistance 10 mM KOH/Ohm cm2],"",0)</f>
        <v>#REF!</v>
      </c>
      <c r="AI585" s="69" t="e" cm="1">
        <f t="array" ref="AI585">_xlfn.XLOOKUP(Table1[[#This Row],[5 cm2 cell test code]:[5 cm2 cell test code]],[1]!Table1[[Test code]:[Test code]],[1]!Table1[Q_int_frac DIW 10 mM KOH],"",0)</f>
        <v>#REF!</v>
      </c>
      <c r="AJ585" s="69" t="e" cm="1">
        <f t="array" ref="AJ585">_xlfn.XLOOKUP(Table1[[#This Row],[5 cm2 cell test code]:[5 cm2 cell test code]],[1]!Table1[[Test code]:[Test code]],[1]!Table1[DIW conductivity (µS/cm)],"",0)</f>
        <v>#REF!</v>
      </c>
    </row>
    <row r="586" spans="1:36">
      <c r="A586" s="81"/>
      <c r="B586" s="207" t="s">
        <v>990</v>
      </c>
      <c r="C586" s="14"/>
      <c r="I586" s="11" t="s">
        <v>114</v>
      </c>
      <c r="J586" s="11" t="s">
        <v>869</v>
      </c>
      <c r="K586" s="211" t="s">
        <v>887</v>
      </c>
      <c r="L586" s="11" t="s">
        <v>888</v>
      </c>
      <c r="M586" s="25"/>
      <c r="O586" s="19"/>
      <c r="P586" s="27"/>
      <c r="Q586" s="14"/>
      <c r="U586" s="101"/>
      <c r="V586" s="101"/>
      <c r="W586" s="69" t="e" cm="1">
        <f t="array" ref="W586">_xlfn.XLOOKUP(Table1[[#This Row],[5 cm2 cell test code]:[5 cm2 cell test code]],[1]!Table1[[Test code]:[Test code]],[1]!Table1[i @ 1.8 V DIW (A/cm2)],"",0)</f>
        <v>#REF!</v>
      </c>
      <c r="X586" s="69" t="e" cm="1">
        <f t="array" ref="X586">_xlfn.XLOOKUP(Table1[[#This Row],[5 cm2 cell test code]:[5 cm2 cell test code]],[1]!Table1[[Test code]:[Test code]],[1]!Table1[i @ 1.8 V 10 mM KOH (A/cm2)],"",0)</f>
        <v>#REF!</v>
      </c>
      <c r="Y586" s="69" t="e" cm="1">
        <f t="array" ref="Y586">_xlfn.XLOOKUP(Table1[[#This Row],[5 cm2 cell test code]:[5 cm2 cell test code]],[1]!Table1[[Test code]:[Test code]],[1]!Table1[3-E ƞ at 20mAcm-2 (mV)],"",0)</f>
        <v>#REF!</v>
      </c>
      <c r="Z586" s="69" t="e" cm="1">
        <f t="array" ref="Z586">_xlfn.XLOOKUP(Table1[[#This Row],[5 cm2 cell test code]:[5 cm2 cell test code]],[1]!Table1[[Test code]:[Test code]],[1]!Table1[3-E Tafel slope (mV/dec)],"",0)</f>
        <v>#REF!</v>
      </c>
      <c r="AA586" s="69" t="e" cm="1">
        <f t="array" ref="AA586">_xlfn.XLOOKUP(Table1[[#This Row],[5 cm2 cell test code]:[5 cm2 cell test code]],[1]!Table1[[Test code]:[Test code]],[1]!Table1[E @ 100 mA/cm2 DIW/V],"",0)</f>
        <v>#REF!</v>
      </c>
      <c r="AB586" s="69" t="e" cm="1">
        <f t="array" ref="AB586">_xlfn.XLOOKUP(Table1[[#This Row],[5 cm2 cell test code]:[5 cm2 cell test code]],[1]!Table1[[Test code]:[Test code]],[1]!Table1[E @ 100 mA/cm2 10 mM KOH/V],"",0)</f>
        <v>#REF!</v>
      </c>
      <c r="AC586" s="69" t="e" cm="1">
        <f t="array" ref="AC586">_xlfn.XLOOKUP(Table1[[#This Row],[5 cm2 cell test code]:[5 cm2 cell test code]],[1]!Table1[[Test code]:[Test code]],[1]!Table1[Anode ICR/mOhm],"",0)</f>
        <v>#REF!</v>
      </c>
      <c r="AD586" s="69" t="e" cm="1">
        <f t="array" ref="AD586">_xlfn.XLOOKUP(Table1[[#This Row],[5 cm2 cell test code]:[5 cm2 cell test code]],[1]!Table1[[Test code]:[Test code]],[1]!Table1[HFR DIW/ mOhm cm2],"",0)</f>
        <v>#REF!</v>
      </c>
      <c r="AE586" s="69" t="e" cm="1">
        <f t="array" ref="AE586">_xlfn.XLOOKUP(Table1[[#This Row],[5 cm2 cell test code]:[5 cm2 cell test code]],[1]!Table1[[Test code]:[Test code]],[1]!Table1[HFR 10 mM KOH/ mOhm cm2],"",0)</f>
        <v>#REF!</v>
      </c>
      <c r="AF586" s="69" t="e" cm="1">
        <f t="array" ref="AF586">_xlfn.XLOOKUP(Table1[[#This Row],[5 cm2 cell test code]:[5 cm2 cell test code]],[1]!Table1[[Test code]:[Test code]],[1]!Table1[Ionic resistance DIW/Ohm cm2],"",0)</f>
        <v>#REF!</v>
      </c>
      <c r="AG586" s="69" t="e" cm="1">
        <f t="array" ref="AG586">_xlfn.XLOOKUP(Table1[[#This Row],[5 cm2 cell test code]:[5 cm2 cell test code]],[1]!Table1[[Test code]:[Test code]],[1]!Table1[Q_int_frac DIW],"",0)</f>
        <v>#REF!</v>
      </c>
      <c r="AH586" s="69" t="e" cm="1">
        <f t="array" ref="AH586">_xlfn.XLOOKUP(Table1[[#This Row],[5 cm2 cell test code]:[5 cm2 cell test code]],[1]!Table1[[Test code]:[Test code]],[1]!Table1[Ionic resistance 10 mM KOH/Ohm cm2],"",0)</f>
        <v>#REF!</v>
      </c>
      <c r="AI586" s="69" t="e" cm="1">
        <f t="array" ref="AI586">_xlfn.XLOOKUP(Table1[[#This Row],[5 cm2 cell test code]:[5 cm2 cell test code]],[1]!Table1[[Test code]:[Test code]],[1]!Table1[Q_int_frac DIW 10 mM KOH],"",0)</f>
        <v>#REF!</v>
      </c>
      <c r="AJ586" s="69" t="e" cm="1">
        <f t="array" ref="AJ586">_xlfn.XLOOKUP(Table1[[#This Row],[5 cm2 cell test code]:[5 cm2 cell test code]],[1]!Table1[[Test code]:[Test code]],[1]!Table1[DIW conductivity (µS/cm)],"",0)</f>
        <v>#REF!</v>
      </c>
    </row>
    <row r="587" spans="1:36">
      <c r="A587" s="81"/>
      <c r="B587" s="11" t="s">
        <v>991</v>
      </c>
      <c r="C587" s="4" t="s">
        <v>968</v>
      </c>
      <c r="I587" s="11" t="s">
        <v>114</v>
      </c>
      <c r="J587" s="11" t="s">
        <v>869</v>
      </c>
      <c r="K587" s="211" t="s">
        <v>887</v>
      </c>
      <c r="L587" s="11" t="s">
        <v>888</v>
      </c>
      <c r="O587" s="11">
        <v>0.24099999999999999</v>
      </c>
      <c r="P587" s="28">
        <v>0.82</v>
      </c>
      <c r="Q587" s="4">
        <v>2.5999999999999999E-2</v>
      </c>
      <c r="U587" s="219"/>
      <c r="V587" s="219"/>
      <c r="W587" s="220" t="e" cm="1">
        <f t="array" ref="W587">_xlfn.XLOOKUP(Table1[[#This Row],[5 cm2 cell test code]:[5 cm2 cell test code]],[1]!Table1[[Test code]:[Test code]],[1]!Table1[i @ 1.8 V DIW (A/cm2)],"",0)</f>
        <v>#REF!</v>
      </c>
      <c r="X587" s="220" t="e" cm="1">
        <f t="array" ref="X587">_xlfn.XLOOKUP(Table1[[#This Row],[5 cm2 cell test code]:[5 cm2 cell test code]],[1]!Table1[[Test code]:[Test code]],[1]!Table1[i @ 1.8 V 10 mM KOH (A/cm2)],"",0)</f>
        <v>#REF!</v>
      </c>
      <c r="Y587" s="220" t="e" cm="1">
        <f t="array" ref="Y587">_xlfn.XLOOKUP(Table1[[#This Row],[5 cm2 cell test code]:[5 cm2 cell test code]],[1]!Table1[[Test code]:[Test code]],[1]!Table1[3-E ƞ at 20mAcm-2 (mV)],"",0)</f>
        <v>#REF!</v>
      </c>
      <c r="Z587" s="220" t="e" cm="1">
        <f t="array" ref="Z587">_xlfn.XLOOKUP(Table1[[#This Row],[5 cm2 cell test code]:[5 cm2 cell test code]],[1]!Table1[[Test code]:[Test code]],[1]!Table1[3-E Tafel slope (mV/dec)],"",0)</f>
        <v>#REF!</v>
      </c>
      <c r="AA587" s="220" t="e" cm="1">
        <f t="array" ref="AA587">_xlfn.XLOOKUP(Table1[[#This Row],[5 cm2 cell test code]:[5 cm2 cell test code]],[1]!Table1[[Test code]:[Test code]],[1]!Table1[E @ 100 mA/cm2 DIW/V],"",0)</f>
        <v>#REF!</v>
      </c>
      <c r="AB587" s="220" t="e" cm="1">
        <f t="array" ref="AB587">_xlfn.XLOOKUP(Table1[[#This Row],[5 cm2 cell test code]:[5 cm2 cell test code]],[1]!Table1[[Test code]:[Test code]],[1]!Table1[E @ 100 mA/cm2 10 mM KOH/V],"",0)</f>
        <v>#REF!</v>
      </c>
      <c r="AC587" s="220" t="e" cm="1">
        <f t="array" ref="AC587">_xlfn.XLOOKUP(Table1[[#This Row],[5 cm2 cell test code]:[5 cm2 cell test code]],[1]!Table1[[Test code]:[Test code]],[1]!Table1[Anode ICR/mOhm],"",0)</f>
        <v>#REF!</v>
      </c>
      <c r="AD587" s="220" t="e" cm="1">
        <f t="array" ref="AD587">_xlfn.XLOOKUP(Table1[[#This Row],[5 cm2 cell test code]:[5 cm2 cell test code]],[1]!Table1[[Test code]:[Test code]],[1]!Table1[HFR DIW/ mOhm cm2],"",0)</f>
        <v>#REF!</v>
      </c>
      <c r="AE587" s="220" t="e" cm="1">
        <f t="array" ref="AE587">_xlfn.XLOOKUP(Table1[[#This Row],[5 cm2 cell test code]:[5 cm2 cell test code]],[1]!Table1[[Test code]:[Test code]],[1]!Table1[HFR 10 mM KOH/ mOhm cm2],"",0)</f>
        <v>#REF!</v>
      </c>
      <c r="AF587" s="220" t="e" cm="1">
        <f t="array" ref="AF587">_xlfn.XLOOKUP(Table1[[#This Row],[5 cm2 cell test code]:[5 cm2 cell test code]],[1]!Table1[[Test code]:[Test code]],[1]!Table1[Ionic resistance DIW/Ohm cm2],"",0)</f>
        <v>#REF!</v>
      </c>
      <c r="AG587" s="220" t="e" cm="1">
        <f t="array" ref="AG587">_xlfn.XLOOKUP(Table1[[#This Row],[5 cm2 cell test code]:[5 cm2 cell test code]],[1]!Table1[[Test code]:[Test code]],[1]!Table1[Q_int_frac DIW],"",0)</f>
        <v>#REF!</v>
      </c>
      <c r="AH587" s="220" t="e" cm="1">
        <f t="array" ref="AH587">_xlfn.XLOOKUP(Table1[[#This Row],[5 cm2 cell test code]:[5 cm2 cell test code]],[1]!Table1[[Test code]:[Test code]],[1]!Table1[Ionic resistance 10 mM KOH/Ohm cm2],"",0)</f>
        <v>#REF!</v>
      </c>
      <c r="AI587" s="220" t="e" cm="1">
        <f t="array" ref="AI587">_xlfn.XLOOKUP(Table1[[#This Row],[5 cm2 cell test code]:[5 cm2 cell test code]],[1]!Table1[[Test code]:[Test code]],[1]!Table1[Q_int_frac DIW 10 mM KOH],"",0)</f>
        <v>#REF!</v>
      </c>
      <c r="AJ587" s="220" t="e" cm="1">
        <f t="array" ref="AJ587">_xlfn.XLOOKUP(Table1[[#This Row],[5 cm2 cell test code]:[5 cm2 cell test code]],[1]!Table1[[Test code]:[Test code]],[1]!Table1[DIW conductivity (µS/cm)],"",0)</f>
        <v>#REF!</v>
      </c>
    </row>
    <row r="588" spans="1:36">
      <c r="A588" s="81"/>
      <c r="B588" s="11" t="s">
        <v>992</v>
      </c>
      <c r="C588" s="4" t="s">
        <v>968</v>
      </c>
      <c r="I588" s="11" t="s">
        <v>114</v>
      </c>
      <c r="J588" s="11" t="s">
        <v>869</v>
      </c>
      <c r="K588" s="211" t="s">
        <v>887</v>
      </c>
      <c r="L588" s="11" t="s">
        <v>888</v>
      </c>
      <c r="O588" s="11">
        <v>0.247</v>
      </c>
      <c r="P588" s="28">
        <v>0.8</v>
      </c>
      <c r="Q588" s="4">
        <v>2.58E-2</v>
      </c>
      <c r="U588" s="219"/>
      <c r="V588" s="219"/>
      <c r="W588" s="220" t="e" cm="1">
        <f t="array" ref="W588">_xlfn.XLOOKUP(Table1[[#This Row],[5 cm2 cell test code]:[5 cm2 cell test code]],[1]!Table1[[Test code]:[Test code]],[1]!Table1[i @ 1.8 V DIW (A/cm2)],"",0)</f>
        <v>#REF!</v>
      </c>
      <c r="X588" s="220" t="e" cm="1">
        <f t="array" ref="X588">_xlfn.XLOOKUP(Table1[[#This Row],[5 cm2 cell test code]:[5 cm2 cell test code]],[1]!Table1[[Test code]:[Test code]],[1]!Table1[i @ 1.8 V 10 mM KOH (A/cm2)],"",0)</f>
        <v>#REF!</v>
      </c>
      <c r="Y588" s="220" t="e" cm="1">
        <f t="array" ref="Y588">_xlfn.XLOOKUP(Table1[[#This Row],[5 cm2 cell test code]:[5 cm2 cell test code]],[1]!Table1[[Test code]:[Test code]],[1]!Table1[3-E ƞ at 20mAcm-2 (mV)],"",0)</f>
        <v>#REF!</v>
      </c>
      <c r="Z588" s="220" t="e" cm="1">
        <f t="array" ref="Z588">_xlfn.XLOOKUP(Table1[[#This Row],[5 cm2 cell test code]:[5 cm2 cell test code]],[1]!Table1[[Test code]:[Test code]],[1]!Table1[3-E Tafel slope (mV/dec)],"",0)</f>
        <v>#REF!</v>
      </c>
      <c r="AA588" s="220" t="e" cm="1">
        <f t="array" ref="AA588">_xlfn.XLOOKUP(Table1[[#This Row],[5 cm2 cell test code]:[5 cm2 cell test code]],[1]!Table1[[Test code]:[Test code]],[1]!Table1[E @ 100 mA/cm2 DIW/V],"",0)</f>
        <v>#REF!</v>
      </c>
      <c r="AB588" s="220" t="e" cm="1">
        <f t="array" ref="AB588">_xlfn.XLOOKUP(Table1[[#This Row],[5 cm2 cell test code]:[5 cm2 cell test code]],[1]!Table1[[Test code]:[Test code]],[1]!Table1[E @ 100 mA/cm2 10 mM KOH/V],"",0)</f>
        <v>#REF!</v>
      </c>
      <c r="AC588" s="220" t="e" cm="1">
        <f t="array" ref="AC588">_xlfn.XLOOKUP(Table1[[#This Row],[5 cm2 cell test code]:[5 cm2 cell test code]],[1]!Table1[[Test code]:[Test code]],[1]!Table1[Anode ICR/mOhm],"",0)</f>
        <v>#REF!</v>
      </c>
      <c r="AD588" s="220" t="e" cm="1">
        <f t="array" ref="AD588">_xlfn.XLOOKUP(Table1[[#This Row],[5 cm2 cell test code]:[5 cm2 cell test code]],[1]!Table1[[Test code]:[Test code]],[1]!Table1[HFR DIW/ mOhm cm2],"",0)</f>
        <v>#REF!</v>
      </c>
      <c r="AE588" s="220" t="e" cm="1">
        <f t="array" ref="AE588">_xlfn.XLOOKUP(Table1[[#This Row],[5 cm2 cell test code]:[5 cm2 cell test code]],[1]!Table1[[Test code]:[Test code]],[1]!Table1[HFR 10 mM KOH/ mOhm cm2],"",0)</f>
        <v>#REF!</v>
      </c>
      <c r="AF588" s="220" t="e" cm="1">
        <f t="array" ref="AF588">_xlfn.XLOOKUP(Table1[[#This Row],[5 cm2 cell test code]:[5 cm2 cell test code]],[1]!Table1[[Test code]:[Test code]],[1]!Table1[Ionic resistance DIW/Ohm cm2],"",0)</f>
        <v>#REF!</v>
      </c>
      <c r="AG588" s="220" t="e" cm="1">
        <f t="array" ref="AG588">_xlfn.XLOOKUP(Table1[[#This Row],[5 cm2 cell test code]:[5 cm2 cell test code]],[1]!Table1[[Test code]:[Test code]],[1]!Table1[Q_int_frac DIW],"",0)</f>
        <v>#REF!</v>
      </c>
      <c r="AH588" s="220" t="e" cm="1">
        <f t="array" ref="AH588">_xlfn.XLOOKUP(Table1[[#This Row],[5 cm2 cell test code]:[5 cm2 cell test code]],[1]!Table1[[Test code]:[Test code]],[1]!Table1[Ionic resistance 10 mM KOH/Ohm cm2],"",0)</f>
        <v>#REF!</v>
      </c>
      <c r="AI588" s="220" t="e" cm="1">
        <f t="array" ref="AI588">_xlfn.XLOOKUP(Table1[[#This Row],[5 cm2 cell test code]:[5 cm2 cell test code]],[1]!Table1[[Test code]:[Test code]],[1]!Table1[Q_int_frac DIW 10 mM KOH],"",0)</f>
        <v>#REF!</v>
      </c>
      <c r="AJ588" s="220" t="e" cm="1">
        <f t="array" ref="AJ588">_xlfn.XLOOKUP(Table1[[#This Row],[5 cm2 cell test code]:[5 cm2 cell test code]],[1]!Table1[[Test code]:[Test code]],[1]!Table1[DIW conductivity (µS/cm)],"",0)</f>
        <v>#REF!</v>
      </c>
    </row>
    <row r="589" spans="1:36">
      <c r="A589" s="81"/>
      <c r="B589" s="11" t="s">
        <v>993</v>
      </c>
      <c r="C589" s="4" t="s">
        <v>968</v>
      </c>
      <c r="I589" s="11" t="s">
        <v>114</v>
      </c>
      <c r="J589" s="11" t="s">
        <v>869</v>
      </c>
      <c r="K589" s="211" t="s">
        <v>887</v>
      </c>
      <c r="L589" s="11" t="s">
        <v>888</v>
      </c>
      <c r="O589" s="11">
        <v>0.25800000000000001</v>
      </c>
      <c r="P589" s="28">
        <v>0.94</v>
      </c>
      <c r="Q589" s="4">
        <v>0.03</v>
      </c>
      <c r="U589" s="219"/>
      <c r="V589" s="219"/>
      <c r="W589" s="220" t="e" cm="1">
        <f t="array" ref="W589">_xlfn.XLOOKUP(Table1[[#This Row],[5 cm2 cell test code]:[5 cm2 cell test code]],[1]!Table1[[Test code]:[Test code]],[1]!Table1[i @ 1.8 V DIW (A/cm2)],"",0)</f>
        <v>#REF!</v>
      </c>
      <c r="X589" s="220" t="e" cm="1">
        <f t="array" ref="X589">_xlfn.XLOOKUP(Table1[[#This Row],[5 cm2 cell test code]:[5 cm2 cell test code]],[1]!Table1[[Test code]:[Test code]],[1]!Table1[i @ 1.8 V 10 mM KOH (A/cm2)],"",0)</f>
        <v>#REF!</v>
      </c>
      <c r="Y589" s="220" t="e" cm="1">
        <f t="array" ref="Y589">_xlfn.XLOOKUP(Table1[[#This Row],[5 cm2 cell test code]:[5 cm2 cell test code]],[1]!Table1[[Test code]:[Test code]],[1]!Table1[3-E ƞ at 20mAcm-2 (mV)],"",0)</f>
        <v>#REF!</v>
      </c>
      <c r="Z589" s="220" t="e" cm="1">
        <f t="array" ref="Z589">_xlfn.XLOOKUP(Table1[[#This Row],[5 cm2 cell test code]:[5 cm2 cell test code]],[1]!Table1[[Test code]:[Test code]],[1]!Table1[3-E Tafel slope (mV/dec)],"",0)</f>
        <v>#REF!</v>
      </c>
      <c r="AA589" s="220" t="e" cm="1">
        <f t="array" ref="AA589">_xlfn.XLOOKUP(Table1[[#This Row],[5 cm2 cell test code]:[5 cm2 cell test code]],[1]!Table1[[Test code]:[Test code]],[1]!Table1[E @ 100 mA/cm2 DIW/V],"",0)</f>
        <v>#REF!</v>
      </c>
      <c r="AB589" s="220" t="e" cm="1">
        <f t="array" ref="AB589">_xlfn.XLOOKUP(Table1[[#This Row],[5 cm2 cell test code]:[5 cm2 cell test code]],[1]!Table1[[Test code]:[Test code]],[1]!Table1[E @ 100 mA/cm2 10 mM KOH/V],"",0)</f>
        <v>#REF!</v>
      </c>
      <c r="AC589" s="220" t="e" cm="1">
        <f t="array" ref="AC589">_xlfn.XLOOKUP(Table1[[#This Row],[5 cm2 cell test code]:[5 cm2 cell test code]],[1]!Table1[[Test code]:[Test code]],[1]!Table1[Anode ICR/mOhm],"",0)</f>
        <v>#REF!</v>
      </c>
      <c r="AD589" s="220" t="e" cm="1">
        <f t="array" ref="AD589">_xlfn.XLOOKUP(Table1[[#This Row],[5 cm2 cell test code]:[5 cm2 cell test code]],[1]!Table1[[Test code]:[Test code]],[1]!Table1[HFR DIW/ mOhm cm2],"",0)</f>
        <v>#REF!</v>
      </c>
      <c r="AE589" s="220" t="e" cm="1">
        <f t="array" ref="AE589">_xlfn.XLOOKUP(Table1[[#This Row],[5 cm2 cell test code]:[5 cm2 cell test code]],[1]!Table1[[Test code]:[Test code]],[1]!Table1[HFR 10 mM KOH/ mOhm cm2],"",0)</f>
        <v>#REF!</v>
      </c>
      <c r="AF589" s="220" t="e" cm="1">
        <f t="array" ref="AF589">_xlfn.XLOOKUP(Table1[[#This Row],[5 cm2 cell test code]:[5 cm2 cell test code]],[1]!Table1[[Test code]:[Test code]],[1]!Table1[Ionic resistance DIW/Ohm cm2],"",0)</f>
        <v>#REF!</v>
      </c>
      <c r="AG589" s="220" t="e" cm="1">
        <f t="array" ref="AG589">_xlfn.XLOOKUP(Table1[[#This Row],[5 cm2 cell test code]:[5 cm2 cell test code]],[1]!Table1[[Test code]:[Test code]],[1]!Table1[Q_int_frac DIW],"",0)</f>
        <v>#REF!</v>
      </c>
      <c r="AH589" s="220" t="e" cm="1">
        <f t="array" ref="AH589">_xlfn.XLOOKUP(Table1[[#This Row],[5 cm2 cell test code]:[5 cm2 cell test code]],[1]!Table1[[Test code]:[Test code]],[1]!Table1[Ionic resistance 10 mM KOH/Ohm cm2],"",0)</f>
        <v>#REF!</v>
      </c>
      <c r="AI589" s="220" t="e" cm="1">
        <f t="array" ref="AI589">_xlfn.XLOOKUP(Table1[[#This Row],[5 cm2 cell test code]:[5 cm2 cell test code]],[1]!Table1[[Test code]:[Test code]],[1]!Table1[Q_int_frac DIW 10 mM KOH],"",0)</f>
        <v>#REF!</v>
      </c>
      <c r="AJ589" s="220" t="e" cm="1">
        <f t="array" ref="AJ589">_xlfn.XLOOKUP(Table1[[#This Row],[5 cm2 cell test code]:[5 cm2 cell test code]],[1]!Table1[[Test code]:[Test code]],[1]!Table1[DIW conductivity (µS/cm)],"",0)</f>
        <v>#REF!</v>
      </c>
    </row>
    <row r="590" spans="1:36">
      <c r="A590" s="81"/>
      <c r="B590" s="11" t="s">
        <v>994</v>
      </c>
      <c r="C590" s="4" t="s">
        <v>968</v>
      </c>
      <c r="I590" s="11" t="s">
        <v>114</v>
      </c>
      <c r="J590" s="11" t="s">
        <v>869</v>
      </c>
      <c r="K590" s="211" t="s">
        <v>887</v>
      </c>
      <c r="L590" s="11" t="s">
        <v>888</v>
      </c>
      <c r="O590" s="11">
        <v>0.25900000000000001</v>
      </c>
      <c r="P590" s="28">
        <v>0.92</v>
      </c>
      <c r="Q590" s="4">
        <v>2.8000000000000001E-2</v>
      </c>
      <c r="U590" s="219"/>
      <c r="V590" s="219"/>
      <c r="W590" s="220" t="e" cm="1">
        <f t="array" ref="W590">_xlfn.XLOOKUP(Table1[[#This Row],[5 cm2 cell test code]:[5 cm2 cell test code]],[1]!Table1[[Test code]:[Test code]],[1]!Table1[i @ 1.8 V DIW (A/cm2)],"",0)</f>
        <v>#REF!</v>
      </c>
      <c r="X590" s="220" t="e" cm="1">
        <f t="array" ref="X590">_xlfn.XLOOKUP(Table1[[#This Row],[5 cm2 cell test code]:[5 cm2 cell test code]],[1]!Table1[[Test code]:[Test code]],[1]!Table1[i @ 1.8 V 10 mM KOH (A/cm2)],"",0)</f>
        <v>#REF!</v>
      </c>
      <c r="Y590" s="220" t="e" cm="1">
        <f t="array" ref="Y590">_xlfn.XLOOKUP(Table1[[#This Row],[5 cm2 cell test code]:[5 cm2 cell test code]],[1]!Table1[[Test code]:[Test code]],[1]!Table1[3-E ƞ at 20mAcm-2 (mV)],"",0)</f>
        <v>#REF!</v>
      </c>
      <c r="Z590" s="220" t="e" cm="1">
        <f t="array" ref="Z590">_xlfn.XLOOKUP(Table1[[#This Row],[5 cm2 cell test code]:[5 cm2 cell test code]],[1]!Table1[[Test code]:[Test code]],[1]!Table1[3-E Tafel slope (mV/dec)],"",0)</f>
        <v>#REF!</v>
      </c>
      <c r="AA590" s="220" t="e" cm="1">
        <f t="array" ref="AA590">_xlfn.XLOOKUP(Table1[[#This Row],[5 cm2 cell test code]:[5 cm2 cell test code]],[1]!Table1[[Test code]:[Test code]],[1]!Table1[E @ 100 mA/cm2 DIW/V],"",0)</f>
        <v>#REF!</v>
      </c>
      <c r="AB590" s="220" t="e" cm="1">
        <f t="array" ref="AB590">_xlfn.XLOOKUP(Table1[[#This Row],[5 cm2 cell test code]:[5 cm2 cell test code]],[1]!Table1[[Test code]:[Test code]],[1]!Table1[E @ 100 mA/cm2 10 mM KOH/V],"",0)</f>
        <v>#REF!</v>
      </c>
      <c r="AC590" s="220" t="e" cm="1">
        <f t="array" ref="AC590">_xlfn.XLOOKUP(Table1[[#This Row],[5 cm2 cell test code]:[5 cm2 cell test code]],[1]!Table1[[Test code]:[Test code]],[1]!Table1[Anode ICR/mOhm],"",0)</f>
        <v>#REF!</v>
      </c>
      <c r="AD590" s="220" t="e" cm="1">
        <f t="array" ref="AD590">_xlfn.XLOOKUP(Table1[[#This Row],[5 cm2 cell test code]:[5 cm2 cell test code]],[1]!Table1[[Test code]:[Test code]],[1]!Table1[HFR DIW/ mOhm cm2],"",0)</f>
        <v>#REF!</v>
      </c>
      <c r="AE590" s="220" t="e" cm="1">
        <f t="array" ref="AE590">_xlfn.XLOOKUP(Table1[[#This Row],[5 cm2 cell test code]:[5 cm2 cell test code]],[1]!Table1[[Test code]:[Test code]],[1]!Table1[HFR 10 mM KOH/ mOhm cm2],"",0)</f>
        <v>#REF!</v>
      </c>
      <c r="AF590" s="220" t="e" cm="1">
        <f t="array" ref="AF590">_xlfn.XLOOKUP(Table1[[#This Row],[5 cm2 cell test code]:[5 cm2 cell test code]],[1]!Table1[[Test code]:[Test code]],[1]!Table1[Ionic resistance DIW/Ohm cm2],"",0)</f>
        <v>#REF!</v>
      </c>
      <c r="AG590" s="220" t="e" cm="1">
        <f t="array" ref="AG590">_xlfn.XLOOKUP(Table1[[#This Row],[5 cm2 cell test code]:[5 cm2 cell test code]],[1]!Table1[[Test code]:[Test code]],[1]!Table1[Q_int_frac DIW],"",0)</f>
        <v>#REF!</v>
      </c>
      <c r="AH590" s="220" t="e" cm="1">
        <f t="array" ref="AH590">_xlfn.XLOOKUP(Table1[[#This Row],[5 cm2 cell test code]:[5 cm2 cell test code]],[1]!Table1[[Test code]:[Test code]],[1]!Table1[Ionic resistance 10 mM KOH/Ohm cm2],"",0)</f>
        <v>#REF!</v>
      </c>
      <c r="AI590" s="220" t="e" cm="1">
        <f t="array" ref="AI590">_xlfn.XLOOKUP(Table1[[#This Row],[5 cm2 cell test code]:[5 cm2 cell test code]],[1]!Table1[[Test code]:[Test code]],[1]!Table1[Q_int_frac DIW 10 mM KOH],"",0)</f>
        <v>#REF!</v>
      </c>
      <c r="AJ590" s="220" t="e" cm="1">
        <f t="array" ref="AJ590">_xlfn.XLOOKUP(Table1[[#This Row],[5 cm2 cell test code]:[5 cm2 cell test code]],[1]!Table1[[Test code]:[Test code]],[1]!Table1[DIW conductivity (µS/cm)],"",0)</f>
        <v>#REF!</v>
      </c>
    </row>
    <row r="591" spans="1:36">
      <c r="A591" s="81"/>
      <c r="B591" s="11" t="s">
        <v>995</v>
      </c>
      <c r="C591" s="4" t="s">
        <v>968</v>
      </c>
      <c r="I591" s="11" t="s">
        <v>114</v>
      </c>
      <c r="J591" s="11" t="s">
        <v>869</v>
      </c>
      <c r="K591" s="211" t="s">
        <v>887</v>
      </c>
      <c r="L591" s="11" t="s">
        <v>888</v>
      </c>
      <c r="O591" s="11">
        <v>0.23200000000000001</v>
      </c>
      <c r="P591" s="28">
        <v>1.04</v>
      </c>
      <c r="Q591" s="4">
        <v>0.03</v>
      </c>
      <c r="U591" s="219"/>
      <c r="V591" s="219"/>
      <c r="W591" s="220" t="e" cm="1">
        <f t="array" ref="W591">_xlfn.XLOOKUP(Table1[[#This Row],[5 cm2 cell test code]:[5 cm2 cell test code]],[1]!Table1[[Test code]:[Test code]],[1]!Table1[i @ 1.8 V DIW (A/cm2)],"",0)</f>
        <v>#REF!</v>
      </c>
      <c r="X591" s="220" t="e" cm="1">
        <f t="array" ref="X591">_xlfn.XLOOKUP(Table1[[#This Row],[5 cm2 cell test code]:[5 cm2 cell test code]],[1]!Table1[[Test code]:[Test code]],[1]!Table1[i @ 1.8 V 10 mM KOH (A/cm2)],"",0)</f>
        <v>#REF!</v>
      </c>
      <c r="Y591" s="220" t="e" cm="1">
        <f t="array" ref="Y591">_xlfn.XLOOKUP(Table1[[#This Row],[5 cm2 cell test code]:[5 cm2 cell test code]],[1]!Table1[[Test code]:[Test code]],[1]!Table1[3-E ƞ at 20mAcm-2 (mV)],"",0)</f>
        <v>#REF!</v>
      </c>
      <c r="Z591" s="220" t="e" cm="1">
        <f t="array" ref="Z591">_xlfn.XLOOKUP(Table1[[#This Row],[5 cm2 cell test code]:[5 cm2 cell test code]],[1]!Table1[[Test code]:[Test code]],[1]!Table1[3-E Tafel slope (mV/dec)],"",0)</f>
        <v>#REF!</v>
      </c>
      <c r="AA591" s="220" t="e" cm="1">
        <f t="array" ref="AA591">_xlfn.XLOOKUP(Table1[[#This Row],[5 cm2 cell test code]:[5 cm2 cell test code]],[1]!Table1[[Test code]:[Test code]],[1]!Table1[E @ 100 mA/cm2 DIW/V],"",0)</f>
        <v>#REF!</v>
      </c>
      <c r="AB591" s="220" t="e" cm="1">
        <f t="array" ref="AB591">_xlfn.XLOOKUP(Table1[[#This Row],[5 cm2 cell test code]:[5 cm2 cell test code]],[1]!Table1[[Test code]:[Test code]],[1]!Table1[E @ 100 mA/cm2 10 mM KOH/V],"",0)</f>
        <v>#REF!</v>
      </c>
      <c r="AC591" s="220" t="e" cm="1">
        <f t="array" ref="AC591">_xlfn.XLOOKUP(Table1[[#This Row],[5 cm2 cell test code]:[5 cm2 cell test code]],[1]!Table1[[Test code]:[Test code]],[1]!Table1[Anode ICR/mOhm],"",0)</f>
        <v>#REF!</v>
      </c>
      <c r="AD591" s="220" t="e" cm="1">
        <f t="array" ref="AD591">_xlfn.XLOOKUP(Table1[[#This Row],[5 cm2 cell test code]:[5 cm2 cell test code]],[1]!Table1[[Test code]:[Test code]],[1]!Table1[HFR DIW/ mOhm cm2],"",0)</f>
        <v>#REF!</v>
      </c>
      <c r="AE591" s="220" t="e" cm="1">
        <f t="array" ref="AE591">_xlfn.XLOOKUP(Table1[[#This Row],[5 cm2 cell test code]:[5 cm2 cell test code]],[1]!Table1[[Test code]:[Test code]],[1]!Table1[HFR 10 mM KOH/ mOhm cm2],"",0)</f>
        <v>#REF!</v>
      </c>
      <c r="AF591" s="220" t="e" cm="1">
        <f t="array" ref="AF591">_xlfn.XLOOKUP(Table1[[#This Row],[5 cm2 cell test code]:[5 cm2 cell test code]],[1]!Table1[[Test code]:[Test code]],[1]!Table1[Ionic resistance DIW/Ohm cm2],"",0)</f>
        <v>#REF!</v>
      </c>
      <c r="AG591" s="220" t="e" cm="1">
        <f t="array" ref="AG591">_xlfn.XLOOKUP(Table1[[#This Row],[5 cm2 cell test code]:[5 cm2 cell test code]],[1]!Table1[[Test code]:[Test code]],[1]!Table1[Q_int_frac DIW],"",0)</f>
        <v>#REF!</v>
      </c>
      <c r="AH591" s="220" t="e" cm="1">
        <f t="array" ref="AH591">_xlfn.XLOOKUP(Table1[[#This Row],[5 cm2 cell test code]:[5 cm2 cell test code]],[1]!Table1[[Test code]:[Test code]],[1]!Table1[Ionic resistance 10 mM KOH/Ohm cm2],"",0)</f>
        <v>#REF!</v>
      </c>
      <c r="AI591" s="220" t="e" cm="1">
        <f t="array" ref="AI591">_xlfn.XLOOKUP(Table1[[#This Row],[5 cm2 cell test code]:[5 cm2 cell test code]],[1]!Table1[[Test code]:[Test code]],[1]!Table1[Q_int_frac DIW 10 mM KOH],"",0)</f>
        <v>#REF!</v>
      </c>
      <c r="AJ591" s="220" t="e" cm="1">
        <f t="array" ref="AJ591">_xlfn.XLOOKUP(Table1[[#This Row],[5 cm2 cell test code]:[5 cm2 cell test code]],[1]!Table1[[Test code]:[Test code]],[1]!Table1[DIW conductivity (µS/cm)],"",0)</f>
        <v>#REF!</v>
      </c>
    </row>
    <row r="592" spans="1:36">
      <c r="A592" s="81"/>
      <c r="B592" s="11" t="s">
        <v>996</v>
      </c>
      <c r="C592" s="4" t="s">
        <v>968</v>
      </c>
      <c r="I592" s="11" t="s">
        <v>114</v>
      </c>
      <c r="J592" s="11" t="s">
        <v>869</v>
      </c>
      <c r="K592" s="211" t="s">
        <v>887</v>
      </c>
      <c r="L592" s="11" t="s">
        <v>888</v>
      </c>
      <c r="O592" s="11">
        <v>0.248</v>
      </c>
      <c r="P592" s="28">
        <v>0.94</v>
      </c>
      <c r="Q592" s="4">
        <v>2.4799999999999999E-2</v>
      </c>
      <c r="U592" s="219"/>
      <c r="V592" s="219"/>
      <c r="W592" s="220" t="e" cm="1">
        <f t="array" ref="W592">_xlfn.XLOOKUP(Table1[[#This Row],[5 cm2 cell test code]:[5 cm2 cell test code]],[1]!Table1[[Test code]:[Test code]],[1]!Table1[i @ 1.8 V DIW (A/cm2)],"",0)</f>
        <v>#REF!</v>
      </c>
      <c r="X592" s="220" t="e" cm="1">
        <f t="array" ref="X592">_xlfn.XLOOKUP(Table1[[#This Row],[5 cm2 cell test code]:[5 cm2 cell test code]],[1]!Table1[[Test code]:[Test code]],[1]!Table1[i @ 1.8 V 10 mM KOH (A/cm2)],"",0)</f>
        <v>#REF!</v>
      </c>
      <c r="Y592" s="220" t="e" cm="1">
        <f t="array" ref="Y592">_xlfn.XLOOKUP(Table1[[#This Row],[5 cm2 cell test code]:[5 cm2 cell test code]],[1]!Table1[[Test code]:[Test code]],[1]!Table1[3-E ƞ at 20mAcm-2 (mV)],"",0)</f>
        <v>#REF!</v>
      </c>
      <c r="Z592" s="220" t="e" cm="1">
        <f t="array" ref="Z592">_xlfn.XLOOKUP(Table1[[#This Row],[5 cm2 cell test code]:[5 cm2 cell test code]],[1]!Table1[[Test code]:[Test code]],[1]!Table1[3-E Tafel slope (mV/dec)],"",0)</f>
        <v>#REF!</v>
      </c>
      <c r="AA592" s="220" t="e" cm="1">
        <f t="array" ref="AA592">_xlfn.XLOOKUP(Table1[[#This Row],[5 cm2 cell test code]:[5 cm2 cell test code]],[1]!Table1[[Test code]:[Test code]],[1]!Table1[E @ 100 mA/cm2 DIW/V],"",0)</f>
        <v>#REF!</v>
      </c>
      <c r="AB592" s="220" t="e" cm="1">
        <f t="array" ref="AB592">_xlfn.XLOOKUP(Table1[[#This Row],[5 cm2 cell test code]:[5 cm2 cell test code]],[1]!Table1[[Test code]:[Test code]],[1]!Table1[E @ 100 mA/cm2 10 mM KOH/V],"",0)</f>
        <v>#REF!</v>
      </c>
      <c r="AC592" s="220" t="e" cm="1">
        <f t="array" ref="AC592">_xlfn.XLOOKUP(Table1[[#This Row],[5 cm2 cell test code]:[5 cm2 cell test code]],[1]!Table1[[Test code]:[Test code]],[1]!Table1[Anode ICR/mOhm],"",0)</f>
        <v>#REF!</v>
      </c>
      <c r="AD592" s="220" t="e" cm="1">
        <f t="array" ref="AD592">_xlfn.XLOOKUP(Table1[[#This Row],[5 cm2 cell test code]:[5 cm2 cell test code]],[1]!Table1[[Test code]:[Test code]],[1]!Table1[HFR DIW/ mOhm cm2],"",0)</f>
        <v>#REF!</v>
      </c>
      <c r="AE592" s="220" t="e" cm="1">
        <f t="array" ref="AE592">_xlfn.XLOOKUP(Table1[[#This Row],[5 cm2 cell test code]:[5 cm2 cell test code]],[1]!Table1[[Test code]:[Test code]],[1]!Table1[HFR 10 mM KOH/ mOhm cm2],"",0)</f>
        <v>#REF!</v>
      </c>
      <c r="AF592" s="220" t="e" cm="1">
        <f t="array" ref="AF592">_xlfn.XLOOKUP(Table1[[#This Row],[5 cm2 cell test code]:[5 cm2 cell test code]],[1]!Table1[[Test code]:[Test code]],[1]!Table1[Ionic resistance DIW/Ohm cm2],"",0)</f>
        <v>#REF!</v>
      </c>
      <c r="AG592" s="220" t="e" cm="1">
        <f t="array" ref="AG592">_xlfn.XLOOKUP(Table1[[#This Row],[5 cm2 cell test code]:[5 cm2 cell test code]],[1]!Table1[[Test code]:[Test code]],[1]!Table1[Q_int_frac DIW],"",0)</f>
        <v>#REF!</v>
      </c>
      <c r="AH592" s="220" t="e" cm="1">
        <f t="array" ref="AH592">_xlfn.XLOOKUP(Table1[[#This Row],[5 cm2 cell test code]:[5 cm2 cell test code]],[1]!Table1[[Test code]:[Test code]],[1]!Table1[Ionic resistance 10 mM KOH/Ohm cm2],"",0)</f>
        <v>#REF!</v>
      </c>
      <c r="AI592" s="220" t="e" cm="1">
        <f t="array" ref="AI592">_xlfn.XLOOKUP(Table1[[#This Row],[5 cm2 cell test code]:[5 cm2 cell test code]],[1]!Table1[[Test code]:[Test code]],[1]!Table1[Q_int_frac DIW 10 mM KOH],"",0)</f>
        <v>#REF!</v>
      </c>
      <c r="AJ592" s="220" t="e" cm="1">
        <f t="array" ref="AJ592">_xlfn.XLOOKUP(Table1[[#This Row],[5 cm2 cell test code]:[5 cm2 cell test code]],[1]!Table1[[Test code]:[Test code]],[1]!Table1[DIW conductivity (µS/cm)],"",0)</f>
        <v>#REF!</v>
      </c>
    </row>
    <row r="593" spans="1:36">
      <c r="A593" s="81"/>
      <c r="B593" s="11" t="s">
        <v>997</v>
      </c>
      <c r="C593" s="4" t="s">
        <v>968</v>
      </c>
      <c r="I593" s="11" t="s">
        <v>114</v>
      </c>
      <c r="J593" s="11" t="s">
        <v>869</v>
      </c>
      <c r="K593" s="211" t="s">
        <v>887</v>
      </c>
      <c r="L593" s="11" t="s">
        <v>888</v>
      </c>
      <c r="O593" s="11">
        <v>0.25700000000000001</v>
      </c>
      <c r="P593" s="28">
        <v>0.83</v>
      </c>
      <c r="Q593" s="4">
        <v>2.58E-2</v>
      </c>
      <c r="U593" s="219"/>
      <c r="V593" s="219"/>
      <c r="W593" s="220" t="e" cm="1">
        <f t="array" ref="W593">_xlfn.XLOOKUP(Table1[[#This Row],[5 cm2 cell test code]:[5 cm2 cell test code]],[1]!Table1[[Test code]:[Test code]],[1]!Table1[i @ 1.8 V DIW (A/cm2)],"",0)</f>
        <v>#REF!</v>
      </c>
      <c r="X593" s="220" t="e" cm="1">
        <f t="array" ref="X593">_xlfn.XLOOKUP(Table1[[#This Row],[5 cm2 cell test code]:[5 cm2 cell test code]],[1]!Table1[[Test code]:[Test code]],[1]!Table1[i @ 1.8 V 10 mM KOH (A/cm2)],"",0)</f>
        <v>#REF!</v>
      </c>
      <c r="Y593" s="220" t="e" cm="1">
        <f t="array" ref="Y593">_xlfn.XLOOKUP(Table1[[#This Row],[5 cm2 cell test code]:[5 cm2 cell test code]],[1]!Table1[[Test code]:[Test code]],[1]!Table1[3-E ƞ at 20mAcm-2 (mV)],"",0)</f>
        <v>#REF!</v>
      </c>
      <c r="Z593" s="220" t="e" cm="1">
        <f t="array" ref="Z593">_xlfn.XLOOKUP(Table1[[#This Row],[5 cm2 cell test code]:[5 cm2 cell test code]],[1]!Table1[[Test code]:[Test code]],[1]!Table1[3-E Tafel slope (mV/dec)],"",0)</f>
        <v>#REF!</v>
      </c>
      <c r="AA593" s="220" t="e" cm="1">
        <f t="array" ref="AA593">_xlfn.XLOOKUP(Table1[[#This Row],[5 cm2 cell test code]:[5 cm2 cell test code]],[1]!Table1[[Test code]:[Test code]],[1]!Table1[E @ 100 mA/cm2 DIW/V],"",0)</f>
        <v>#REF!</v>
      </c>
      <c r="AB593" s="220" t="e" cm="1">
        <f t="array" ref="AB593">_xlfn.XLOOKUP(Table1[[#This Row],[5 cm2 cell test code]:[5 cm2 cell test code]],[1]!Table1[[Test code]:[Test code]],[1]!Table1[E @ 100 mA/cm2 10 mM KOH/V],"",0)</f>
        <v>#REF!</v>
      </c>
      <c r="AC593" s="220" t="e" cm="1">
        <f t="array" ref="AC593">_xlfn.XLOOKUP(Table1[[#This Row],[5 cm2 cell test code]:[5 cm2 cell test code]],[1]!Table1[[Test code]:[Test code]],[1]!Table1[Anode ICR/mOhm],"",0)</f>
        <v>#REF!</v>
      </c>
      <c r="AD593" s="220" t="e" cm="1">
        <f t="array" ref="AD593">_xlfn.XLOOKUP(Table1[[#This Row],[5 cm2 cell test code]:[5 cm2 cell test code]],[1]!Table1[[Test code]:[Test code]],[1]!Table1[HFR DIW/ mOhm cm2],"",0)</f>
        <v>#REF!</v>
      </c>
      <c r="AE593" s="220" t="e" cm="1">
        <f t="array" ref="AE593">_xlfn.XLOOKUP(Table1[[#This Row],[5 cm2 cell test code]:[5 cm2 cell test code]],[1]!Table1[[Test code]:[Test code]],[1]!Table1[HFR 10 mM KOH/ mOhm cm2],"",0)</f>
        <v>#REF!</v>
      </c>
      <c r="AF593" s="220" t="e" cm="1">
        <f t="array" ref="AF593">_xlfn.XLOOKUP(Table1[[#This Row],[5 cm2 cell test code]:[5 cm2 cell test code]],[1]!Table1[[Test code]:[Test code]],[1]!Table1[Ionic resistance DIW/Ohm cm2],"",0)</f>
        <v>#REF!</v>
      </c>
      <c r="AG593" s="220" t="e" cm="1">
        <f t="array" ref="AG593">_xlfn.XLOOKUP(Table1[[#This Row],[5 cm2 cell test code]:[5 cm2 cell test code]],[1]!Table1[[Test code]:[Test code]],[1]!Table1[Q_int_frac DIW],"",0)</f>
        <v>#REF!</v>
      </c>
      <c r="AH593" s="220" t="e" cm="1">
        <f t="array" ref="AH593">_xlfn.XLOOKUP(Table1[[#This Row],[5 cm2 cell test code]:[5 cm2 cell test code]],[1]!Table1[[Test code]:[Test code]],[1]!Table1[Ionic resistance 10 mM KOH/Ohm cm2],"",0)</f>
        <v>#REF!</v>
      </c>
      <c r="AI593" s="220" t="e" cm="1">
        <f t="array" ref="AI593">_xlfn.XLOOKUP(Table1[[#This Row],[5 cm2 cell test code]:[5 cm2 cell test code]],[1]!Table1[[Test code]:[Test code]],[1]!Table1[Q_int_frac DIW 10 mM KOH],"",0)</f>
        <v>#REF!</v>
      </c>
      <c r="AJ593" s="220" t="e" cm="1">
        <f t="array" ref="AJ593">_xlfn.XLOOKUP(Table1[[#This Row],[5 cm2 cell test code]:[5 cm2 cell test code]],[1]!Table1[[Test code]:[Test code]],[1]!Table1[DIW conductivity (µS/cm)],"",0)</f>
        <v>#REF!</v>
      </c>
    </row>
    <row r="594" spans="1:36">
      <c r="A594" s="81"/>
      <c r="B594" s="11" t="s">
        <v>998</v>
      </c>
      <c r="C594" s="4" t="s">
        <v>968</v>
      </c>
      <c r="I594" s="11" t="s">
        <v>114</v>
      </c>
      <c r="J594" s="11" t="s">
        <v>869</v>
      </c>
      <c r="K594" s="211" t="s">
        <v>887</v>
      </c>
      <c r="L594" s="11" t="s">
        <v>888</v>
      </c>
      <c r="O594" s="11">
        <v>0.24</v>
      </c>
      <c r="P594" s="28">
        <v>0.83</v>
      </c>
      <c r="Q594" s="4">
        <v>2.5000000000000001E-2</v>
      </c>
      <c r="U594" s="219"/>
      <c r="V594" s="219"/>
      <c r="W594" s="220" t="e" cm="1">
        <f t="array" ref="W594">_xlfn.XLOOKUP(Table1[[#This Row],[5 cm2 cell test code]:[5 cm2 cell test code]],[1]!Table1[[Test code]:[Test code]],[1]!Table1[i @ 1.8 V DIW (A/cm2)],"",0)</f>
        <v>#REF!</v>
      </c>
      <c r="X594" s="220" t="e" cm="1">
        <f t="array" ref="X594">_xlfn.XLOOKUP(Table1[[#This Row],[5 cm2 cell test code]:[5 cm2 cell test code]],[1]!Table1[[Test code]:[Test code]],[1]!Table1[i @ 1.8 V 10 mM KOH (A/cm2)],"",0)</f>
        <v>#REF!</v>
      </c>
      <c r="Y594" s="220" t="e" cm="1">
        <f t="array" ref="Y594">_xlfn.XLOOKUP(Table1[[#This Row],[5 cm2 cell test code]:[5 cm2 cell test code]],[1]!Table1[[Test code]:[Test code]],[1]!Table1[3-E ƞ at 20mAcm-2 (mV)],"",0)</f>
        <v>#REF!</v>
      </c>
      <c r="Z594" s="220" t="e" cm="1">
        <f t="array" ref="Z594">_xlfn.XLOOKUP(Table1[[#This Row],[5 cm2 cell test code]:[5 cm2 cell test code]],[1]!Table1[[Test code]:[Test code]],[1]!Table1[3-E Tafel slope (mV/dec)],"",0)</f>
        <v>#REF!</v>
      </c>
      <c r="AA594" s="220" t="e" cm="1">
        <f t="array" ref="AA594">_xlfn.XLOOKUP(Table1[[#This Row],[5 cm2 cell test code]:[5 cm2 cell test code]],[1]!Table1[[Test code]:[Test code]],[1]!Table1[E @ 100 mA/cm2 DIW/V],"",0)</f>
        <v>#REF!</v>
      </c>
      <c r="AB594" s="220" t="e" cm="1">
        <f t="array" ref="AB594">_xlfn.XLOOKUP(Table1[[#This Row],[5 cm2 cell test code]:[5 cm2 cell test code]],[1]!Table1[[Test code]:[Test code]],[1]!Table1[E @ 100 mA/cm2 10 mM KOH/V],"",0)</f>
        <v>#REF!</v>
      </c>
      <c r="AC594" s="220" t="e" cm="1">
        <f t="array" ref="AC594">_xlfn.XLOOKUP(Table1[[#This Row],[5 cm2 cell test code]:[5 cm2 cell test code]],[1]!Table1[[Test code]:[Test code]],[1]!Table1[Anode ICR/mOhm],"",0)</f>
        <v>#REF!</v>
      </c>
      <c r="AD594" s="220" t="e" cm="1">
        <f t="array" ref="AD594">_xlfn.XLOOKUP(Table1[[#This Row],[5 cm2 cell test code]:[5 cm2 cell test code]],[1]!Table1[[Test code]:[Test code]],[1]!Table1[HFR DIW/ mOhm cm2],"",0)</f>
        <v>#REF!</v>
      </c>
      <c r="AE594" s="220" t="e" cm="1">
        <f t="array" ref="AE594">_xlfn.XLOOKUP(Table1[[#This Row],[5 cm2 cell test code]:[5 cm2 cell test code]],[1]!Table1[[Test code]:[Test code]],[1]!Table1[HFR 10 mM KOH/ mOhm cm2],"",0)</f>
        <v>#REF!</v>
      </c>
      <c r="AF594" s="220" t="e" cm="1">
        <f t="array" ref="AF594">_xlfn.XLOOKUP(Table1[[#This Row],[5 cm2 cell test code]:[5 cm2 cell test code]],[1]!Table1[[Test code]:[Test code]],[1]!Table1[Ionic resistance DIW/Ohm cm2],"",0)</f>
        <v>#REF!</v>
      </c>
      <c r="AG594" s="220" t="e" cm="1">
        <f t="array" ref="AG594">_xlfn.XLOOKUP(Table1[[#This Row],[5 cm2 cell test code]:[5 cm2 cell test code]],[1]!Table1[[Test code]:[Test code]],[1]!Table1[Q_int_frac DIW],"",0)</f>
        <v>#REF!</v>
      </c>
      <c r="AH594" s="220" t="e" cm="1">
        <f t="array" ref="AH594">_xlfn.XLOOKUP(Table1[[#This Row],[5 cm2 cell test code]:[5 cm2 cell test code]],[1]!Table1[[Test code]:[Test code]],[1]!Table1[Ionic resistance 10 mM KOH/Ohm cm2],"",0)</f>
        <v>#REF!</v>
      </c>
      <c r="AI594" s="220" t="e" cm="1">
        <f t="array" ref="AI594">_xlfn.XLOOKUP(Table1[[#This Row],[5 cm2 cell test code]:[5 cm2 cell test code]],[1]!Table1[[Test code]:[Test code]],[1]!Table1[Q_int_frac DIW 10 mM KOH],"",0)</f>
        <v>#REF!</v>
      </c>
      <c r="AJ594" s="220" t="e" cm="1">
        <f t="array" ref="AJ594">_xlfn.XLOOKUP(Table1[[#This Row],[5 cm2 cell test code]:[5 cm2 cell test code]],[1]!Table1[[Test code]:[Test code]],[1]!Table1[DIW conductivity (µS/cm)],"",0)</f>
        <v>#REF!</v>
      </c>
    </row>
    <row r="595" spans="1:36">
      <c r="A595" s="81"/>
      <c r="B595" s="19" t="s">
        <v>999</v>
      </c>
      <c r="C595" s="14"/>
      <c r="K595" s="210"/>
      <c r="U595" s="101"/>
      <c r="V595" s="101"/>
      <c r="W595" s="69" t="e" cm="1">
        <f t="array" ref="W595">_xlfn.XLOOKUP(Table1[[#This Row],[5 cm2 cell test code]:[5 cm2 cell test code]],[1]!Table1[[Test code]:[Test code]],[1]!Table1[i @ 1.8 V DIW (A/cm2)],"",0)</f>
        <v>#REF!</v>
      </c>
      <c r="X595" s="69" t="e" cm="1">
        <f t="array" ref="X595">_xlfn.XLOOKUP(Table1[[#This Row],[5 cm2 cell test code]:[5 cm2 cell test code]],[1]!Table1[[Test code]:[Test code]],[1]!Table1[i @ 1.8 V 10 mM KOH (A/cm2)],"",0)</f>
        <v>#REF!</v>
      </c>
      <c r="Y595" s="69" t="e" cm="1">
        <f t="array" ref="Y595">_xlfn.XLOOKUP(Table1[[#This Row],[5 cm2 cell test code]:[5 cm2 cell test code]],[1]!Table1[[Test code]:[Test code]],[1]!Table1[3-E ƞ at 20mAcm-2 (mV)],"",0)</f>
        <v>#REF!</v>
      </c>
      <c r="Z595" s="69" t="e" cm="1">
        <f t="array" ref="Z595">_xlfn.XLOOKUP(Table1[[#This Row],[5 cm2 cell test code]:[5 cm2 cell test code]],[1]!Table1[[Test code]:[Test code]],[1]!Table1[3-E Tafel slope (mV/dec)],"",0)</f>
        <v>#REF!</v>
      </c>
      <c r="AA595" s="69" t="e" cm="1">
        <f t="array" ref="AA595">_xlfn.XLOOKUP(Table1[[#This Row],[5 cm2 cell test code]:[5 cm2 cell test code]],[1]!Table1[[Test code]:[Test code]],[1]!Table1[E @ 100 mA/cm2 DIW/V],"",0)</f>
        <v>#REF!</v>
      </c>
      <c r="AB595" s="69" t="e" cm="1">
        <f t="array" ref="AB595">_xlfn.XLOOKUP(Table1[[#This Row],[5 cm2 cell test code]:[5 cm2 cell test code]],[1]!Table1[[Test code]:[Test code]],[1]!Table1[E @ 100 mA/cm2 10 mM KOH/V],"",0)</f>
        <v>#REF!</v>
      </c>
      <c r="AC595" s="69" t="e" cm="1">
        <f t="array" ref="AC595">_xlfn.XLOOKUP(Table1[[#This Row],[5 cm2 cell test code]:[5 cm2 cell test code]],[1]!Table1[[Test code]:[Test code]],[1]!Table1[Anode ICR/mOhm],"",0)</f>
        <v>#REF!</v>
      </c>
      <c r="AD595" s="69" t="e" cm="1">
        <f t="array" ref="AD595">_xlfn.XLOOKUP(Table1[[#This Row],[5 cm2 cell test code]:[5 cm2 cell test code]],[1]!Table1[[Test code]:[Test code]],[1]!Table1[HFR DIW/ mOhm cm2],"",0)</f>
        <v>#REF!</v>
      </c>
      <c r="AE595" s="69" t="e" cm="1">
        <f t="array" ref="AE595">_xlfn.XLOOKUP(Table1[[#This Row],[5 cm2 cell test code]:[5 cm2 cell test code]],[1]!Table1[[Test code]:[Test code]],[1]!Table1[HFR 10 mM KOH/ mOhm cm2],"",0)</f>
        <v>#REF!</v>
      </c>
      <c r="AF595" s="69" t="e" cm="1">
        <f t="array" ref="AF595">_xlfn.XLOOKUP(Table1[[#This Row],[5 cm2 cell test code]:[5 cm2 cell test code]],[1]!Table1[[Test code]:[Test code]],[1]!Table1[Ionic resistance DIW/Ohm cm2],"",0)</f>
        <v>#REF!</v>
      </c>
      <c r="AG595" s="69" t="e" cm="1">
        <f t="array" ref="AG595">_xlfn.XLOOKUP(Table1[[#This Row],[5 cm2 cell test code]:[5 cm2 cell test code]],[1]!Table1[[Test code]:[Test code]],[1]!Table1[Q_int_frac DIW],"",0)</f>
        <v>#REF!</v>
      </c>
      <c r="AH595" s="69" t="e" cm="1">
        <f t="array" ref="AH595">_xlfn.XLOOKUP(Table1[[#This Row],[5 cm2 cell test code]:[5 cm2 cell test code]],[1]!Table1[[Test code]:[Test code]],[1]!Table1[Ionic resistance 10 mM KOH/Ohm cm2],"",0)</f>
        <v>#REF!</v>
      </c>
      <c r="AI595" s="69" t="e" cm="1">
        <f t="array" ref="AI595">_xlfn.XLOOKUP(Table1[[#This Row],[5 cm2 cell test code]:[5 cm2 cell test code]],[1]!Table1[[Test code]:[Test code]],[1]!Table1[Q_int_frac DIW 10 mM KOH],"",0)</f>
        <v>#REF!</v>
      </c>
      <c r="AJ595" s="69" t="e" cm="1">
        <f t="array" ref="AJ595">_xlfn.XLOOKUP(Table1[[#This Row],[5 cm2 cell test code]:[5 cm2 cell test code]],[1]!Table1[[Test code]:[Test code]],[1]!Table1[DIW conductivity (µS/cm)],"",0)</f>
        <v>#REF!</v>
      </c>
    </row>
    <row r="596" spans="1:36">
      <c r="A596" s="81"/>
      <c r="B596" s="19" t="s">
        <v>1000</v>
      </c>
      <c r="C596" s="14"/>
      <c r="J596" s="212"/>
      <c r="K596" s="216"/>
      <c r="L596" s="213"/>
      <c r="U596" s="101"/>
      <c r="V596" s="101"/>
      <c r="W596" s="69" t="e" cm="1">
        <f t="array" ref="W596">_xlfn.XLOOKUP(Table1[[#This Row],[5 cm2 cell test code]:[5 cm2 cell test code]],[1]!Table1[[Test code]:[Test code]],[1]!Table1[i @ 1.8 V DIW (A/cm2)],"",0)</f>
        <v>#REF!</v>
      </c>
      <c r="X596" s="69" t="e" cm="1">
        <f t="array" ref="X596">_xlfn.XLOOKUP(Table1[[#This Row],[5 cm2 cell test code]:[5 cm2 cell test code]],[1]!Table1[[Test code]:[Test code]],[1]!Table1[i @ 1.8 V 10 mM KOH (A/cm2)],"",0)</f>
        <v>#REF!</v>
      </c>
      <c r="Y596" s="69" t="e" cm="1">
        <f t="array" ref="Y596">_xlfn.XLOOKUP(Table1[[#This Row],[5 cm2 cell test code]:[5 cm2 cell test code]],[1]!Table1[[Test code]:[Test code]],[1]!Table1[3-E ƞ at 20mAcm-2 (mV)],"",0)</f>
        <v>#REF!</v>
      </c>
      <c r="Z596" s="69" t="e" cm="1">
        <f t="array" ref="Z596">_xlfn.XLOOKUP(Table1[[#This Row],[5 cm2 cell test code]:[5 cm2 cell test code]],[1]!Table1[[Test code]:[Test code]],[1]!Table1[3-E Tafel slope (mV/dec)],"",0)</f>
        <v>#REF!</v>
      </c>
      <c r="AA596" s="69" t="e" cm="1">
        <f t="array" ref="AA596">_xlfn.XLOOKUP(Table1[[#This Row],[5 cm2 cell test code]:[5 cm2 cell test code]],[1]!Table1[[Test code]:[Test code]],[1]!Table1[E @ 100 mA/cm2 DIW/V],"",0)</f>
        <v>#REF!</v>
      </c>
      <c r="AB596" s="69" t="e" cm="1">
        <f t="array" ref="AB596">_xlfn.XLOOKUP(Table1[[#This Row],[5 cm2 cell test code]:[5 cm2 cell test code]],[1]!Table1[[Test code]:[Test code]],[1]!Table1[E @ 100 mA/cm2 10 mM KOH/V],"",0)</f>
        <v>#REF!</v>
      </c>
      <c r="AC596" s="69" t="e" cm="1">
        <f t="array" ref="AC596">_xlfn.XLOOKUP(Table1[[#This Row],[5 cm2 cell test code]:[5 cm2 cell test code]],[1]!Table1[[Test code]:[Test code]],[1]!Table1[Anode ICR/mOhm],"",0)</f>
        <v>#REF!</v>
      </c>
      <c r="AD596" s="69" t="e" cm="1">
        <f t="array" ref="AD596">_xlfn.XLOOKUP(Table1[[#This Row],[5 cm2 cell test code]:[5 cm2 cell test code]],[1]!Table1[[Test code]:[Test code]],[1]!Table1[HFR DIW/ mOhm cm2],"",0)</f>
        <v>#REF!</v>
      </c>
      <c r="AE596" s="69" t="e" cm="1">
        <f t="array" ref="AE596">_xlfn.XLOOKUP(Table1[[#This Row],[5 cm2 cell test code]:[5 cm2 cell test code]],[1]!Table1[[Test code]:[Test code]],[1]!Table1[HFR 10 mM KOH/ mOhm cm2],"",0)</f>
        <v>#REF!</v>
      </c>
      <c r="AF596" s="69" t="e" cm="1">
        <f t="array" ref="AF596">_xlfn.XLOOKUP(Table1[[#This Row],[5 cm2 cell test code]:[5 cm2 cell test code]],[1]!Table1[[Test code]:[Test code]],[1]!Table1[Ionic resistance DIW/Ohm cm2],"",0)</f>
        <v>#REF!</v>
      </c>
      <c r="AG596" s="69" t="e" cm="1">
        <f t="array" ref="AG596">_xlfn.XLOOKUP(Table1[[#This Row],[5 cm2 cell test code]:[5 cm2 cell test code]],[1]!Table1[[Test code]:[Test code]],[1]!Table1[Q_int_frac DIW],"",0)</f>
        <v>#REF!</v>
      </c>
      <c r="AH596" s="69" t="e" cm="1">
        <f t="array" ref="AH596">_xlfn.XLOOKUP(Table1[[#This Row],[5 cm2 cell test code]:[5 cm2 cell test code]],[1]!Table1[[Test code]:[Test code]],[1]!Table1[Ionic resistance 10 mM KOH/Ohm cm2],"",0)</f>
        <v>#REF!</v>
      </c>
      <c r="AI596" s="69" t="e" cm="1">
        <f t="array" ref="AI596">_xlfn.XLOOKUP(Table1[[#This Row],[5 cm2 cell test code]:[5 cm2 cell test code]],[1]!Table1[[Test code]:[Test code]],[1]!Table1[Q_int_frac DIW 10 mM KOH],"",0)</f>
        <v>#REF!</v>
      </c>
      <c r="AJ596" s="69" t="e" cm="1">
        <f t="array" ref="AJ596">_xlfn.XLOOKUP(Table1[[#This Row],[5 cm2 cell test code]:[5 cm2 cell test code]],[1]!Table1[[Test code]:[Test code]],[1]!Table1[DIW conductivity (µS/cm)],"",0)</f>
        <v>#REF!</v>
      </c>
    </row>
    <row r="597" spans="1:36">
      <c r="A597" s="81"/>
      <c r="B597" s="11" t="s">
        <v>1001</v>
      </c>
      <c r="C597" s="4" t="s">
        <v>1002</v>
      </c>
      <c r="I597" s="11" t="s">
        <v>114</v>
      </c>
      <c r="J597" s="212"/>
      <c r="K597" s="216" t="s">
        <v>887</v>
      </c>
      <c r="L597" s="11" t="s">
        <v>888</v>
      </c>
      <c r="O597" s="11">
        <v>0.253</v>
      </c>
      <c r="P597" s="28">
        <v>0.8</v>
      </c>
      <c r="Q597" s="4">
        <v>3.5700000000000003E-2</v>
      </c>
      <c r="U597" s="219"/>
      <c r="V597" s="219"/>
      <c r="W597" s="220" t="e" cm="1">
        <f t="array" ref="W597">_xlfn.XLOOKUP(Table1[[#This Row],[5 cm2 cell test code]:[5 cm2 cell test code]],[1]!Table1[[Test code]:[Test code]],[1]!Table1[i @ 1.8 V DIW (A/cm2)],"",0)</f>
        <v>#REF!</v>
      </c>
      <c r="X597" s="220" t="e" cm="1">
        <f t="array" ref="X597">_xlfn.XLOOKUP(Table1[[#This Row],[5 cm2 cell test code]:[5 cm2 cell test code]],[1]!Table1[[Test code]:[Test code]],[1]!Table1[i @ 1.8 V 10 mM KOH (A/cm2)],"",0)</f>
        <v>#REF!</v>
      </c>
      <c r="Y597" s="220" t="e" cm="1">
        <f t="array" ref="Y597">_xlfn.XLOOKUP(Table1[[#This Row],[5 cm2 cell test code]:[5 cm2 cell test code]],[1]!Table1[[Test code]:[Test code]],[1]!Table1[3-E ƞ at 20mAcm-2 (mV)],"",0)</f>
        <v>#REF!</v>
      </c>
      <c r="Z597" s="220" t="e" cm="1">
        <f t="array" ref="Z597">_xlfn.XLOOKUP(Table1[[#This Row],[5 cm2 cell test code]:[5 cm2 cell test code]],[1]!Table1[[Test code]:[Test code]],[1]!Table1[3-E Tafel slope (mV/dec)],"",0)</f>
        <v>#REF!</v>
      </c>
      <c r="AA597" s="220" t="e" cm="1">
        <f t="array" ref="AA597">_xlfn.XLOOKUP(Table1[[#This Row],[5 cm2 cell test code]:[5 cm2 cell test code]],[1]!Table1[[Test code]:[Test code]],[1]!Table1[E @ 100 mA/cm2 DIW/V],"",0)</f>
        <v>#REF!</v>
      </c>
      <c r="AB597" s="220" t="e" cm="1">
        <f t="array" ref="AB597">_xlfn.XLOOKUP(Table1[[#This Row],[5 cm2 cell test code]:[5 cm2 cell test code]],[1]!Table1[[Test code]:[Test code]],[1]!Table1[E @ 100 mA/cm2 10 mM KOH/V],"",0)</f>
        <v>#REF!</v>
      </c>
      <c r="AC597" s="220" t="e" cm="1">
        <f t="array" ref="AC597">_xlfn.XLOOKUP(Table1[[#This Row],[5 cm2 cell test code]:[5 cm2 cell test code]],[1]!Table1[[Test code]:[Test code]],[1]!Table1[Anode ICR/mOhm],"",0)</f>
        <v>#REF!</v>
      </c>
      <c r="AD597" s="220" t="e" cm="1">
        <f t="array" ref="AD597">_xlfn.XLOOKUP(Table1[[#This Row],[5 cm2 cell test code]:[5 cm2 cell test code]],[1]!Table1[[Test code]:[Test code]],[1]!Table1[HFR DIW/ mOhm cm2],"",0)</f>
        <v>#REF!</v>
      </c>
      <c r="AE597" s="220" t="e" cm="1">
        <f t="array" ref="AE597">_xlfn.XLOOKUP(Table1[[#This Row],[5 cm2 cell test code]:[5 cm2 cell test code]],[1]!Table1[[Test code]:[Test code]],[1]!Table1[HFR 10 mM KOH/ mOhm cm2],"",0)</f>
        <v>#REF!</v>
      </c>
      <c r="AF597" s="220" t="e" cm="1">
        <f t="array" ref="AF597">_xlfn.XLOOKUP(Table1[[#This Row],[5 cm2 cell test code]:[5 cm2 cell test code]],[1]!Table1[[Test code]:[Test code]],[1]!Table1[Ionic resistance DIW/Ohm cm2],"",0)</f>
        <v>#REF!</v>
      </c>
      <c r="AG597" s="220" t="e" cm="1">
        <f t="array" ref="AG597">_xlfn.XLOOKUP(Table1[[#This Row],[5 cm2 cell test code]:[5 cm2 cell test code]],[1]!Table1[[Test code]:[Test code]],[1]!Table1[Q_int_frac DIW],"",0)</f>
        <v>#REF!</v>
      </c>
      <c r="AH597" s="220" t="e" cm="1">
        <f t="array" ref="AH597">_xlfn.XLOOKUP(Table1[[#This Row],[5 cm2 cell test code]:[5 cm2 cell test code]],[1]!Table1[[Test code]:[Test code]],[1]!Table1[Ionic resistance 10 mM KOH/Ohm cm2],"",0)</f>
        <v>#REF!</v>
      </c>
      <c r="AI597" s="220" t="e" cm="1">
        <f t="array" ref="AI597">_xlfn.XLOOKUP(Table1[[#This Row],[5 cm2 cell test code]:[5 cm2 cell test code]],[1]!Table1[[Test code]:[Test code]],[1]!Table1[Q_int_frac DIW 10 mM KOH],"",0)</f>
        <v>#REF!</v>
      </c>
      <c r="AJ597" s="220" t="e" cm="1">
        <f t="array" ref="AJ597">_xlfn.XLOOKUP(Table1[[#This Row],[5 cm2 cell test code]:[5 cm2 cell test code]],[1]!Table1[[Test code]:[Test code]],[1]!Table1[DIW conductivity (µS/cm)],"",0)</f>
        <v>#REF!</v>
      </c>
    </row>
    <row r="598" spans="1:36">
      <c r="A598" s="81"/>
      <c r="B598" s="11" t="s">
        <v>1003</v>
      </c>
      <c r="C598" s="4" t="s">
        <v>1004</v>
      </c>
      <c r="I598" s="11" t="s">
        <v>114</v>
      </c>
      <c r="J598" s="212"/>
      <c r="K598" s="216" t="s">
        <v>887</v>
      </c>
      <c r="L598" s="11" t="s">
        <v>888</v>
      </c>
      <c r="O598" s="11">
        <v>0.26</v>
      </c>
      <c r="P598" s="28">
        <v>0.9</v>
      </c>
      <c r="Q598" s="4">
        <v>3.15E-2</v>
      </c>
      <c r="U598" s="219"/>
      <c r="V598" s="219"/>
      <c r="W598" s="220" t="e" cm="1">
        <f t="array" ref="W598">_xlfn.XLOOKUP(Table1[[#This Row],[5 cm2 cell test code]:[5 cm2 cell test code]],[1]!Table1[[Test code]:[Test code]],[1]!Table1[i @ 1.8 V DIW (A/cm2)],"",0)</f>
        <v>#REF!</v>
      </c>
      <c r="X598" s="220" t="e" cm="1">
        <f t="array" ref="X598">_xlfn.XLOOKUP(Table1[[#This Row],[5 cm2 cell test code]:[5 cm2 cell test code]],[1]!Table1[[Test code]:[Test code]],[1]!Table1[i @ 1.8 V 10 mM KOH (A/cm2)],"",0)</f>
        <v>#REF!</v>
      </c>
      <c r="Y598" s="220" t="e" cm="1">
        <f t="array" ref="Y598">_xlfn.XLOOKUP(Table1[[#This Row],[5 cm2 cell test code]:[5 cm2 cell test code]],[1]!Table1[[Test code]:[Test code]],[1]!Table1[3-E ƞ at 20mAcm-2 (mV)],"",0)</f>
        <v>#REF!</v>
      </c>
      <c r="Z598" s="220" t="e" cm="1">
        <f t="array" ref="Z598">_xlfn.XLOOKUP(Table1[[#This Row],[5 cm2 cell test code]:[5 cm2 cell test code]],[1]!Table1[[Test code]:[Test code]],[1]!Table1[3-E Tafel slope (mV/dec)],"",0)</f>
        <v>#REF!</v>
      </c>
      <c r="AA598" s="220" t="e" cm="1">
        <f t="array" ref="AA598">_xlfn.XLOOKUP(Table1[[#This Row],[5 cm2 cell test code]:[5 cm2 cell test code]],[1]!Table1[[Test code]:[Test code]],[1]!Table1[E @ 100 mA/cm2 DIW/V],"",0)</f>
        <v>#REF!</v>
      </c>
      <c r="AB598" s="220" t="e" cm="1">
        <f t="array" ref="AB598">_xlfn.XLOOKUP(Table1[[#This Row],[5 cm2 cell test code]:[5 cm2 cell test code]],[1]!Table1[[Test code]:[Test code]],[1]!Table1[E @ 100 mA/cm2 10 mM KOH/V],"",0)</f>
        <v>#REF!</v>
      </c>
      <c r="AC598" s="220" t="e" cm="1">
        <f t="array" ref="AC598">_xlfn.XLOOKUP(Table1[[#This Row],[5 cm2 cell test code]:[5 cm2 cell test code]],[1]!Table1[[Test code]:[Test code]],[1]!Table1[Anode ICR/mOhm],"",0)</f>
        <v>#REF!</v>
      </c>
      <c r="AD598" s="220" t="e" cm="1">
        <f t="array" ref="AD598">_xlfn.XLOOKUP(Table1[[#This Row],[5 cm2 cell test code]:[5 cm2 cell test code]],[1]!Table1[[Test code]:[Test code]],[1]!Table1[HFR DIW/ mOhm cm2],"",0)</f>
        <v>#REF!</v>
      </c>
      <c r="AE598" s="220" t="e" cm="1">
        <f t="array" ref="AE598">_xlfn.XLOOKUP(Table1[[#This Row],[5 cm2 cell test code]:[5 cm2 cell test code]],[1]!Table1[[Test code]:[Test code]],[1]!Table1[HFR 10 mM KOH/ mOhm cm2],"",0)</f>
        <v>#REF!</v>
      </c>
      <c r="AF598" s="220" t="e" cm="1">
        <f t="array" ref="AF598">_xlfn.XLOOKUP(Table1[[#This Row],[5 cm2 cell test code]:[5 cm2 cell test code]],[1]!Table1[[Test code]:[Test code]],[1]!Table1[Ionic resistance DIW/Ohm cm2],"",0)</f>
        <v>#REF!</v>
      </c>
      <c r="AG598" s="220" t="e" cm="1">
        <f t="array" ref="AG598">_xlfn.XLOOKUP(Table1[[#This Row],[5 cm2 cell test code]:[5 cm2 cell test code]],[1]!Table1[[Test code]:[Test code]],[1]!Table1[Q_int_frac DIW],"",0)</f>
        <v>#REF!</v>
      </c>
      <c r="AH598" s="220" t="e" cm="1">
        <f t="array" ref="AH598">_xlfn.XLOOKUP(Table1[[#This Row],[5 cm2 cell test code]:[5 cm2 cell test code]],[1]!Table1[[Test code]:[Test code]],[1]!Table1[Ionic resistance 10 mM KOH/Ohm cm2],"",0)</f>
        <v>#REF!</v>
      </c>
      <c r="AI598" s="220" t="e" cm="1">
        <f t="array" ref="AI598">_xlfn.XLOOKUP(Table1[[#This Row],[5 cm2 cell test code]:[5 cm2 cell test code]],[1]!Table1[[Test code]:[Test code]],[1]!Table1[Q_int_frac DIW 10 mM KOH],"",0)</f>
        <v>#REF!</v>
      </c>
      <c r="AJ598" s="220" t="e" cm="1">
        <f t="array" ref="AJ598">_xlfn.XLOOKUP(Table1[[#This Row],[5 cm2 cell test code]:[5 cm2 cell test code]],[1]!Table1[[Test code]:[Test code]],[1]!Table1[DIW conductivity (µS/cm)],"",0)</f>
        <v>#REF!</v>
      </c>
    </row>
    <row r="599" spans="1:36">
      <c r="A599" s="81"/>
      <c r="B599" s="207" t="s">
        <v>1005</v>
      </c>
      <c r="C599" s="4" t="s">
        <v>1006</v>
      </c>
      <c r="I599" s="11" t="s">
        <v>114</v>
      </c>
      <c r="J599" s="215"/>
      <c r="K599" s="216" t="s">
        <v>887</v>
      </c>
      <c r="L599" s="11" t="s">
        <v>888</v>
      </c>
      <c r="M599" s="25"/>
      <c r="O599" s="19"/>
      <c r="P599" s="27">
        <v>1.4</v>
      </c>
      <c r="Q599" s="14"/>
      <c r="U599" s="101"/>
      <c r="V599" s="101"/>
      <c r="W599" s="69" t="e" cm="1">
        <f t="array" ref="W599">_xlfn.XLOOKUP(Table1[[#This Row],[5 cm2 cell test code]:[5 cm2 cell test code]],[1]!Table1[[Test code]:[Test code]],[1]!Table1[i @ 1.8 V DIW (A/cm2)],"",0)</f>
        <v>#REF!</v>
      </c>
      <c r="X599" s="69" t="e" cm="1">
        <f t="array" ref="X599">_xlfn.XLOOKUP(Table1[[#This Row],[5 cm2 cell test code]:[5 cm2 cell test code]],[1]!Table1[[Test code]:[Test code]],[1]!Table1[i @ 1.8 V 10 mM KOH (A/cm2)],"",0)</f>
        <v>#REF!</v>
      </c>
      <c r="Y599" s="69" t="e" cm="1">
        <f t="array" ref="Y599">_xlfn.XLOOKUP(Table1[[#This Row],[5 cm2 cell test code]:[5 cm2 cell test code]],[1]!Table1[[Test code]:[Test code]],[1]!Table1[3-E ƞ at 20mAcm-2 (mV)],"",0)</f>
        <v>#REF!</v>
      </c>
      <c r="Z599" s="69" t="e" cm="1">
        <f t="array" ref="Z599">_xlfn.XLOOKUP(Table1[[#This Row],[5 cm2 cell test code]:[5 cm2 cell test code]],[1]!Table1[[Test code]:[Test code]],[1]!Table1[3-E Tafel slope (mV/dec)],"",0)</f>
        <v>#REF!</v>
      </c>
      <c r="AA599" s="69" t="e" cm="1">
        <f t="array" ref="AA599">_xlfn.XLOOKUP(Table1[[#This Row],[5 cm2 cell test code]:[5 cm2 cell test code]],[1]!Table1[[Test code]:[Test code]],[1]!Table1[E @ 100 mA/cm2 DIW/V],"",0)</f>
        <v>#REF!</v>
      </c>
      <c r="AB599" s="69" t="e" cm="1">
        <f t="array" ref="AB599">_xlfn.XLOOKUP(Table1[[#This Row],[5 cm2 cell test code]:[5 cm2 cell test code]],[1]!Table1[[Test code]:[Test code]],[1]!Table1[E @ 100 mA/cm2 10 mM KOH/V],"",0)</f>
        <v>#REF!</v>
      </c>
      <c r="AC599" s="69" t="e" cm="1">
        <f t="array" ref="AC599">_xlfn.XLOOKUP(Table1[[#This Row],[5 cm2 cell test code]:[5 cm2 cell test code]],[1]!Table1[[Test code]:[Test code]],[1]!Table1[Anode ICR/mOhm],"",0)</f>
        <v>#REF!</v>
      </c>
      <c r="AD599" s="69" t="e" cm="1">
        <f t="array" ref="AD599">_xlfn.XLOOKUP(Table1[[#This Row],[5 cm2 cell test code]:[5 cm2 cell test code]],[1]!Table1[[Test code]:[Test code]],[1]!Table1[HFR DIW/ mOhm cm2],"",0)</f>
        <v>#REF!</v>
      </c>
      <c r="AE599" s="69" t="e" cm="1">
        <f t="array" ref="AE599">_xlfn.XLOOKUP(Table1[[#This Row],[5 cm2 cell test code]:[5 cm2 cell test code]],[1]!Table1[[Test code]:[Test code]],[1]!Table1[HFR 10 mM KOH/ mOhm cm2],"",0)</f>
        <v>#REF!</v>
      </c>
      <c r="AF599" s="69" t="e" cm="1">
        <f t="array" ref="AF599">_xlfn.XLOOKUP(Table1[[#This Row],[5 cm2 cell test code]:[5 cm2 cell test code]],[1]!Table1[[Test code]:[Test code]],[1]!Table1[Ionic resistance DIW/Ohm cm2],"",0)</f>
        <v>#REF!</v>
      </c>
      <c r="AG599" s="69" t="e" cm="1">
        <f t="array" ref="AG599">_xlfn.XLOOKUP(Table1[[#This Row],[5 cm2 cell test code]:[5 cm2 cell test code]],[1]!Table1[[Test code]:[Test code]],[1]!Table1[Q_int_frac DIW],"",0)</f>
        <v>#REF!</v>
      </c>
      <c r="AH599" s="69" t="e" cm="1">
        <f t="array" ref="AH599">_xlfn.XLOOKUP(Table1[[#This Row],[5 cm2 cell test code]:[5 cm2 cell test code]],[1]!Table1[[Test code]:[Test code]],[1]!Table1[Ionic resistance 10 mM KOH/Ohm cm2],"",0)</f>
        <v>#REF!</v>
      </c>
      <c r="AI599" s="69" t="e" cm="1">
        <f t="array" ref="AI599">_xlfn.XLOOKUP(Table1[[#This Row],[5 cm2 cell test code]:[5 cm2 cell test code]],[1]!Table1[[Test code]:[Test code]],[1]!Table1[Q_int_frac DIW 10 mM KOH],"",0)</f>
        <v>#REF!</v>
      </c>
      <c r="AJ599" s="69" t="e" cm="1">
        <f t="array" ref="AJ599">_xlfn.XLOOKUP(Table1[[#This Row],[5 cm2 cell test code]:[5 cm2 cell test code]],[1]!Table1[[Test code]:[Test code]],[1]!Table1[DIW conductivity (µS/cm)],"",0)</f>
        <v>#REF!</v>
      </c>
    </row>
    <row r="600" spans="1:36">
      <c r="A600" s="81"/>
      <c r="B600" s="207" t="s">
        <v>1007</v>
      </c>
      <c r="C600" s="4" t="s">
        <v>1006</v>
      </c>
      <c r="I600" s="11" t="s">
        <v>114</v>
      </c>
      <c r="J600" s="215"/>
      <c r="K600" s="211" t="s">
        <v>887</v>
      </c>
      <c r="L600" s="11" t="s">
        <v>888</v>
      </c>
      <c r="M600" s="25"/>
      <c r="O600" s="19"/>
      <c r="P600" s="27">
        <v>0.84</v>
      </c>
      <c r="Q600" s="14"/>
      <c r="U600" s="101"/>
      <c r="V600" s="101"/>
      <c r="W600" s="69" t="e" cm="1">
        <f t="array" ref="W600">_xlfn.XLOOKUP(Table1[[#This Row],[5 cm2 cell test code]:[5 cm2 cell test code]],[1]!Table1[[Test code]:[Test code]],[1]!Table1[i @ 1.8 V DIW (A/cm2)],"",0)</f>
        <v>#REF!</v>
      </c>
      <c r="X600" s="69" t="e" cm="1">
        <f t="array" ref="X600">_xlfn.XLOOKUP(Table1[[#This Row],[5 cm2 cell test code]:[5 cm2 cell test code]],[1]!Table1[[Test code]:[Test code]],[1]!Table1[i @ 1.8 V 10 mM KOH (A/cm2)],"",0)</f>
        <v>#REF!</v>
      </c>
      <c r="Y600" s="69" t="e" cm="1">
        <f t="array" ref="Y600">_xlfn.XLOOKUP(Table1[[#This Row],[5 cm2 cell test code]:[5 cm2 cell test code]],[1]!Table1[[Test code]:[Test code]],[1]!Table1[3-E ƞ at 20mAcm-2 (mV)],"",0)</f>
        <v>#REF!</v>
      </c>
      <c r="Z600" s="69" t="e" cm="1">
        <f t="array" ref="Z600">_xlfn.XLOOKUP(Table1[[#This Row],[5 cm2 cell test code]:[5 cm2 cell test code]],[1]!Table1[[Test code]:[Test code]],[1]!Table1[3-E Tafel slope (mV/dec)],"",0)</f>
        <v>#REF!</v>
      </c>
      <c r="AA600" s="69" t="e" cm="1">
        <f t="array" ref="AA600">_xlfn.XLOOKUP(Table1[[#This Row],[5 cm2 cell test code]:[5 cm2 cell test code]],[1]!Table1[[Test code]:[Test code]],[1]!Table1[E @ 100 mA/cm2 DIW/V],"",0)</f>
        <v>#REF!</v>
      </c>
      <c r="AB600" s="69" t="e" cm="1">
        <f t="array" ref="AB600">_xlfn.XLOOKUP(Table1[[#This Row],[5 cm2 cell test code]:[5 cm2 cell test code]],[1]!Table1[[Test code]:[Test code]],[1]!Table1[E @ 100 mA/cm2 10 mM KOH/V],"",0)</f>
        <v>#REF!</v>
      </c>
      <c r="AC600" s="69" t="e" cm="1">
        <f t="array" ref="AC600">_xlfn.XLOOKUP(Table1[[#This Row],[5 cm2 cell test code]:[5 cm2 cell test code]],[1]!Table1[[Test code]:[Test code]],[1]!Table1[Anode ICR/mOhm],"",0)</f>
        <v>#REF!</v>
      </c>
      <c r="AD600" s="69" t="e" cm="1">
        <f t="array" ref="AD600">_xlfn.XLOOKUP(Table1[[#This Row],[5 cm2 cell test code]:[5 cm2 cell test code]],[1]!Table1[[Test code]:[Test code]],[1]!Table1[HFR DIW/ mOhm cm2],"",0)</f>
        <v>#REF!</v>
      </c>
      <c r="AE600" s="69" t="e" cm="1">
        <f t="array" ref="AE600">_xlfn.XLOOKUP(Table1[[#This Row],[5 cm2 cell test code]:[5 cm2 cell test code]],[1]!Table1[[Test code]:[Test code]],[1]!Table1[HFR 10 mM KOH/ mOhm cm2],"",0)</f>
        <v>#REF!</v>
      </c>
      <c r="AF600" s="69" t="e" cm="1">
        <f t="array" ref="AF600">_xlfn.XLOOKUP(Table1[[#This Row],[5 cm2 cell test code]:[5 cm2 cell test code]],[1]!Table1[[Test code]:[Test code]],[1]!Table1[Ionic resistance DIW/Ohm cm2],"",0)</f>
        <v>#REF!</v>
      </c>
      <c r="AG600" s="69" t="e" cm="1">
        <f t="array" ref="AG600">_xlfn.XLOOKUP(Table1[[#This Row],[5 cm2 cell test code]:[5 cm2 cell test code]],[1]!Table1[[Test code]:[Test code]],[1]!Table1[Q_int_frac DIW],"",0)</f>
        <v>#REF!</v>
      </c>
      <c r="AH600" s="69" t="e" cm="1">
        <f t="array" ref="AH600">_xlfn.XLOOKUP(Table1[[#This Row],[5 cm2 cell test code]:[5 cm2 cell test code]],[1]!Table1[[Test code]:[Test code]],[1]!Table1[Ionic resistance 10 mM KOH/Ohm cm2],"",0)</f>
        <v>#REF!</v>
      </c>
      <c r="AI600" s="69" t="e" cm="1">
        <f t="array" ref="AI600">_xlfn.XLOOKUP(Table1[[#This Row],[5 cm2 cell test code]:[5 cm2 cell test code]],[1]!Table1[[Test code]:[Test code]],[1]!Table1[Q_int_frac DIW 10 mM KOH],"",0)</f>
        <v>#REF!</v>
      </c>
      <c r="AJ600" s="69" t="e" cm="1">
        <f t="array" ref="AJ600">_xlfn.XLOOKUP(Table1[[#This Row],[5 cm2 cell test code]:[5 cm2 cell test code]],[1]!Table1[[Test code]:[Test code]],[1]!Table1[DIW conductivity (µS/cm)],"",0)</f>
        <v>#REF!</v>
      </c>
    </row>
    <row r="601" spans="1:36">
      <c r="A601" s="81"/>
      <c r="B601" s="11" t="s">
        <v>1008</v>
      </c>
      <c r="C601" s="4" t="s">
        <v>968</v>
      </c>
      <c r="I601" s="11" t="s">
        <v>114</v>
      </c>
      <c r="K601" s="210" t="s">
        <v>887</v>
      </c>
      <c r="L601" s="11" t="s">
        <v>888</v>
      </c>
      <c r="O601" s="11">
        <v>0.23599999999999999</v>
      </c>
      <c r="P601" s="28">
        <v>0.98</v>
      </c>
      <c r="Q601" s="4">
        <v>4.3999999999999997E-2</v>
      </c>
      <c r="U601" s="219"/>
      <c r="V601" s="219"/>
      <c r="W601" s="220" t="e" cm="1">
        <f t="array" ref="W601">_xlfn.XLOOKUP(Table1[[#This Row],[5 cm2 cell test code]:[5 cm2 cell test code]],[1]!Table1[[Test code]:[Test code]],[1]!Table1[i @ 1.8 V DIW (A/cm2)],"",0)</f>
        <v>#REF!</v>
      </c>
      <c r="X601" s="220" t="e" cm="1">
        <f t="array" ref="X601">_xlfn.XLOOKUP(Table1[[#This Row],[5 cm2 cell test code]:[5 cm2 cell test code]],[1]!Table1[[Test code]:[Test code]],[1]!Table1[i @ 1.8 V 10 mM KOH (A/cm2)],"",0)</f>
        <v>#REF!</v>
      </c>
      <c r="Y601" s="220" t="e" cm="1">
        <f t="array" ref="Y601">_xlfn.XLOOKUP(Table1[[#This Row],[5 cm2 cell test code]:[5 cm2 cell test code]],[1]!Table1[[Test code]:[Test code]],[1]!Table1[3-E ƞ at 20mAcm-2 (mV)],"",0)</f>
        <v>#REF!</v>
      </c>
      <c r="Z601" s="220" t="e" cm="1">
        <f t="array" ref="Z601">_xlfn.XLOOKUP(Table1[[#This Row],[5 cm2 cell test code]:[5 cm2 cell test code]],[1]!Table1[[Test code]:[Test code]],[1]!Table1[3-E Tafel slope (mV/dec)],"",0)</f>
        <v>#REF!</v>
      </c>
      <c r="AA601" s="220" t="e" cm="1">
        <f t="array" ref="AA601">_xlfn.XLOOKUP(Table1[[#This Row],[5 cm2 cell test code]:[5 cm2 cell test code]],[1]!Table1[[Test code]:[Test code]],[1]!Table1[E @ 100 mA/cm2 DIW/V],"",0)</f>
        <v>#REF!</v>
      </c>
      <c r="AB601" s="220" t="e" cm="1">
        <f t="array" ref="AB601">_xlfn.XLOOKUP(Table1[[#This Row],[5 cm2 cell test code]:[5 cm2 cell test code]],[1]!Table1[[Test code]:[Test code]],[1]!Table1[E @ 100 mA/cm2 10 mM KOH/V],"",0)</f>
        <v>#REF!</v>
      </c>
      <c r="AC601" s="220" t="e" cm="1">
        <f t="array" ref="AC601">_xlfn.XLOOKUP(Table1[[#This Row],[5 cm2 cell test code]:[5 cm2 cell test code]],[1]!Table1[[Test code]:[Test code]],[1]!Table1[Anode ICR/mOhm],"",0)</f>
        <v>#REF!</v>
      </c>
      <c r="AD601" s="220" t="e" cm="1">
        <f t="array" ref="AD601">_xlfn.XLOOKUP(Table1[[#This Row],[5 cm2 cell test code]:[5 cm2 cell test code]],[1]!Table1[[Test code]:[Test code]],[1]!Table1[HFR DIW/ mOhm cm2],"",0)</f>
        <v>#REF!</v>
      </c>
      <c r="AE601" s="220" t="e" cm="1">
        <f t="array" ref="AE601">_xlfn.XLOOKUP(Table1[[#This Row],[5 cm2 cell test code]:[5 cm2 cell test code]],[1]!Table1[[Test code]:[Test code]],[1]!Table1[HFR 10 mM KOH/ mOhm cm2],"",0)</f>
        <v>#REF!</v>
      </c>
      <c r="AF601" s="220" t="e" cm="1">
        <f t="array" ref="AF601">_xlfn.XLOOKUP(Table1[[#This Row],[5 cm2 cell test code]:[5 cm2 cell test code]],[1]!Table1[[Test code]:[Test code]],[1]!Table1[Ionic resistance DIW/Ohm cm2],"",0)</f>
        <v>#REF!</v>
      </c>
      <c r="AG601" s="220" t="e" cm="1">
        <f t="array" ref="AG601">_xlfn.XLOOKUP(Table1[[#This Row],[5 cm2 cell test code]:[5 cm2 cell test code]],[1]!Table1[[Test code]:[Test code]],[1]!Table1[Q_int_frac DIW],"",0)</f>
        <v>#REF!</v>
      </c>
      <c r="AH601" s="220" t="e" cm="1">
        <f t="array" ref="AH601">_xlfn.XLOOKUP(Table1[[#This Row],[5 cm2 cell test code]:[5 cm2 cell test code]],[1]!Table1[[Test code]:[Test code]],[1]!Table1[Ionic resistance 10 mM KOH/Ohm cm2],"",0)</f>
        <v>#REF!</v>
      </c>
      <c r="AI601" s="220" t="e" cm="1">
        <f t="array" ref="AI601">_xlfn.XLOOKUP(Table1[[#This Row],[5 cm2 cell test code]:[5 cm2 cell test code]],[1]!Table1[[Test code]:[Test code]],[1]!Table1[Q_int_frac DIW 10 mM KOH],"",0)</f>
        <v>#REF!</v>
      </c>
      <c r="AJ601" s="220" t="e" cm="1">
        <f t="array" ref="AJ601">_xlfn.XLOOKUP(Table1[[#This Row],[5 cm2 cell test code]:[5 cm2 cell test code]],[1]!Table1[[Test code]:[Test code]],[1]!Table1[DIW conductivity (µS/cm)],"",0)</f>
        <v>#REF!</v>
      </c>
    </row>
    <row r="602" spans="1:36">
      <c r="A602" s="81"/>
      <c r="B602" s="11" t="s">
        <v>1009</v>
      </c>
      <c r="C602" s="4" t="s">
        <v>968</v>
      </c>
      <c r="I602" s="11" t="s">
        <v>114</v>
      </c>
      <c r="J602" s="212"/>
      <c r="K602" s="211" t="s">
        <v>887</v>
      </c>
      <c r="L602" s="11" t="s">
        <v>888</v>
      </c>
      <c r="O602" s="11">
        <v>0.254</v>
      </c>
      <c r="P602" s="28">
        <v>0.82</v>
      </c>
      <c r="Q602" s="4">
        <v>3.4599999999999999E-2</v>
      </c>
      <c r="U602" s="219"/>
      <c r="V602" s="219"/>
      <c r="W602" s="220" t="e" cm="1">
        <f t="array" ref="W602">_xlfn.XLOOKUP(Table1[[#This Row],[5 cm2 cell test code]:[5 cm2 cell test code]],[1]!Table1[[Test code]:[Test code]],[1]!Table1[i @ 1.8 V DIW (A/cm2)],"",0)</f>
        <v>#REF!</v>
      </c>
      <c r="X602" s="220" t="e" cm="1">
        <f t="array" ref="X602">_xlfn.XLOOKUP(Table1[[#This Row],[5 cm2 cell test code]:[5 cm2 cell test code]],[1]!Table1[[Test code]:[Test code]],[1]!Table1[i @ 1.8 V 10 mM KOH (A/cm2)],"",0)</f>
        <v>#REF!</v>
      </c>
      <c r="Y602" s="220" t="e" cm="1">
        <f t="array" ref="Y602">_xlfn.XLOOKUP(Table1[[#This Row],[5 cm2 cell test code]:[5 cm2 cell test code]],[1]!Table1[[Test code]:[Test code]],[1]!Table1[3-E ƞ at 20mAcm-2 (mV)],"",0)</f>
        <v>#REF!</v>
      </c>
      <c r="Z602" s="220" t="e" cm="1">
        <f t="array" ref="Z602">_xlfn.XLOOKUP(Table1[[#This Row],[5 cm2 cell test code]:[5 cm2 cell test code]],[1]!Table1[[Test code]:[Test code]],[1]!Table1[3-E Tafel slope (mV/dec)],"",0)</f>
        <v>#REF!</v>
      </c>
      <c r="AA602" s="220" t="e" cm="1">
        <f t="array" ref="AA602">_xlfn.XLOOKUP(Table1[[#This Row],[5 cm2 cell test code]:[5 cm2 cell test code]],[1]!Table1[[Test code]:[Test code]],[1]!Table1[E @ 100 mA/cm2 DIW/V],"",0)</f>
        <v>#REF!</v>
      </c>
      <c r="AB602" s="220" t="e" cm="1">
        <f t="array" ref="AB602">_xlfn.XLOOKUP(Table1[[#This Row],[5 cm2 cell test code]:[5 cm2 cell test code]],[1]!Table1[[Test code]:[Test code]],[1]!Table1[E @ 100 mA/cm2 10 mM KOH/V],"",0)</f>
        <v>#REF!</v>
      </c>
      <c r="AC602" s="220" t="e" cm="1">
        <f t="array" ref="AC602">_xlfn.XLOOKUP(Table1[[#This Row],[5 cm2 cell test code]:[5 cm2 cell test code]],[1]!Table1[[Test code]:[Test code]],[1]!Table1[Anode ICR/mOhm],"",0)</f>
        <v>#REF!</v>
      </c>
      <c r="AD602" s="220" t="e" cm="1">
        <f t="array" ref="AD602">_xlfn.XLOOKUP(Table1[[#This Row],[5 cm2 cell test code]:[5 cm2 cell test code]],[1]!Table1[[Test code]:[Test code]],[1]!Table1[HFR DIW/ mOhm cm2],"",0)</f>
        <v>#REF!</v>
      </c>
      <c r="AE602" s="220" t="e" cm="1">
        <f t="array" ref="AE602">_xlfn.XLOOKUP(Table1[[#This Row],[5 cm2 cell test code]:[5 cm2 cell test code]],[1]!Table1[[Test code]:[Test code]],[1]!Table1[HFR 10 mM KOH/ mOhm cm2],"",0)</f>
        <v>#REF!</v>
      </c>
      <c r="AF602" s="220" t="e" cm="1">
        <f t="array" ref="AF602">_xlfn.XLOOKUP(Table1[[#This Row],[5 cm2 cell test code]:[5 cm2 cell test code]],[1]!Table1[[Test code]:[Test code]],[1]!Table1[Ionic resistance DIW/Ohm cm2],"",0)</f>
        <v>#REF!</v>
      </c>
      <c r="AG602" s="220" t="e" cm="1">
        <f t="array" ref="AG602">_xlfn.XLOOKUP(Table1[[#This Row],[5 cm2 cell test code]:[5 cm2 cell test code]],[1]!Table1[[Test code]:[Test code]],[1]!Table1[Q_int_frac DIW],"",0)</f>
        <v>#REF!</v>
      </c>
      <c r="AH602" s="220" t="e" cm="1">
        <f t="array" ref="AH602">_xlfn.XLOOKUP(Table1[[#This Row],[5 cm2 cell test code]:[5 cm2 cell test code]],[1]!Table1[[Test code]:[Test code]],[1]!Table1[Ionic resistance 10 mM KOH/Ohm cm2],"",0)</f>
        <v>#REF!</v>
      </c>
      <c r="AI602" s="220" t="e" cm="1">
        <f t="array" ref="AI602">_xlfn.XLOOKUP(Table1[[#This Row],[5 cm2 cell test code]:[5 cm2 cell test code]],[1]!Table1[[Test code]:[Test code]],[1]!Table1[Q_int_frac DIW 10 mM KOH],"",0)</f>
        <v>#REF!</v>
      </c>
      <c r="AJ602" s="220" t="e" cm="1">
        <f t="array" ref="AJ602">_xlfn.XLOOKUP(Table1[[#This Row],[5 cm2 cell test code]:[5 cm2 cell test code]],[1]!Table1[[Test code]:[Test code]],[1]!Table1[DIW conductivity (µS/cm)],"",0)</f>
        <v>#REF!</v>
      </c>
    </row>
    <row r="603" spans="1:36">
      <c r="A603" s="81"/>
      <c r="K603" s="217"/>
      <c r="U603" s="101"/>
      <c r="V603" s="101"/>
      <c r="W603" s="69" t="e" cm="1">
        <f t="array" ref="W603">_xlfn.XLOOKUP(Table1[[#This Row],[5 cm2 cell test code]:[5 cm2 cell test code]],[1]!Table1[[Test code]:[Test code]],[1]!Table1[i @ 1.8 V DIW (A/cm2)],"",0)</f>
        <v>#REF!</v>
      </c>
      <c r="X603" s="69" t="e" cm="1">
        <f t="array" ref="X603">_xlfn.XLOOKUP(Table1[[#This Row],[5 cm2 cell test code]:[5 cm2 cell test code]],[1]!Table1[[Test code]:[Test code]],[1]!Table1[i @ 1.8 V 10 mM KOH (A/cm2)],"",0)</f>
        <v>#REF!</v>
      </c>
      <c r="Y603" s="69" t="e" cm="1">
        <f t="array" ref="Y603">_xlfn.XLOOKUP(Table1[[#This Row],[5 cm2 cell test code]:[5 cm2 cell test code]],[1]!Table1[[Test code]:[Test code]],[1]!Table1[3-E ƞ at 20mAcm-2 (mV)],"",0)</f>
        <v>#REF!</v>
      </c>
      <c r="Z603" s="69" t="e" cm="1">
        <f t="array" ref="Z603">_xlfn.XLOOKUP(Table1[[#This Row],[5 cm2 cell test code]:[5 cm2 cell test code]],[1]!Table1[[Test code]:[Test code]],[1]!Table1[3-E Tafel slope (mV/dec)],"",0)</f>
        <v>#REF!</v>
      </c>
      <c r="AA603" s="69" t="e" cm="1">
        <f t="array" ref="AA603">_xlfn.XLOOKUP(Table1[[#This Row],[5 cm2 cell test code]:[5 cm2 cell test code]],[1]!Table1[[Test code]:[Test code]],[1]!Table1[E @ 100 mA/cm2 DIW/V],"",0)</f>
        <v>#REF!</v>
      </c>
      <c r="AB603" s="69" t="e" cm="1">
        <f t="array" ref="AB603">_xlfn.XLOOKUP(Table1[[#This Row],[5 cm2 cell test code]:[5 cm2 cell test code]],[1]!Table1[[Test code]:[Test code]],[1]!Table1[E @ 100 mA/cm2 10 mM KOH/V],"",0)</f>
        <v>#REF!</v>
      </c>
      <c r="AC603" s="69" t="e" cm="1">
        <f t="array" ref="AC603">_xlfn.XLOOKUP(Table1[[#This Row],[5 cm2 cell test code]:[5 cm2 cell test code]],[1]!Table1[[Test code]:[Test code]],[1]!Table1[Anode ICR/mOhm],"",0)</f>
        <v>#REF!</v>
      </c>
      <c r="AD603" s="69" t="e" cm="1">
        <f t="array" ref="AD603">_xlfn.XLOOKUP(Table1[[#This Row],[5 cm2 cell test code]:[5 cm2 cell test code]],[1]!Table1[[Test code]:[Test code]],[1]!Table1[HFR DIW/ mOhm cm2],"",0)</f>
        <v>#REF!</v>
      </c>
      <c r="AE603" s="69" t="e" cm="1">
        <f t="array" ref="AE603">_xlfn.XLOOKUP(Table1[[#This Row],[5 cm2 cell test code]:[5 cm2 cell test code]],[1]!Table1[[Test code]:[Test code]],[1]!Table1[HFR 10 mM KOH/ mOhm cm2],"",0)</f>
        <v>#REF!</v>
      </c>
      <c r="AF603" s="69" t="e" cm="1">
        <f t="array" ref="AF603">_xlfn.XLOOKUP(Table1[[#This Row],[5 cm2 cell test code]:[5 cm2 cell test code]],[1]!Table1[[Test code]:[Test code]],[1]!Table1[Ionic resistance DIW/Ohm cm2],"",0)</f>
        <v>#REF!</v>
      </c>
      <c r="AG603" s="69" t="e" cm="1">
        <f t="array" ref="AG603">_xlfn.XLOOKUP(Table1[[#This Row],[5 cm2 cell test code]:[5 cm2 cell test code]],[1]!Table1[[Test code]:[Test code]],[1]!Table1[Q_int_frac DIW],"",0)</f>
        <v>#REF!</v>
      </c>
      <c r="AH603" s="69" t="e" cm="1">
        <f t="array" ref="AH603">_xlfn.XLOOKUP(Table1[[#This Row],[5 cm2 cell test code]:[5 cm2 cell test code]],[1]!Table1[[Test code]:[Test code]],[1]!Table1[Ionic resistance 10 mM KOH/Ohm cm2],"",0)</f>
        <v>#REF!</v>
      </c>
      <c r="AI603" s="69" t="e" cm="1">
        <f t="array" ref="AI603">_xlfn.XLOOKUP(Table1[[#This Row],[5 cm2 cell test code]:[5 cm2 cell test code]],[1]!Table1[[Test code]:[Test code]],[1]!Table1[Q_int_frac DIW 10 mM KOH],"",0)</f>
        <v>#REF!</v>
      </c>
      <c r="AJ603" s="69" t="e" cm="1">
        <f t="array" ref="AJ603">_xlfn.XLOOKUP(Table1[[#This Row],[5 cm2 cell test code]:[5 cm2 cell test code]],[1]!Table1[[Test code]:[Test code]],[1]!Table1[DIW conductivity (µS/cm)],"",0)</f>
        <v>#REF!</v>
      </c>
    </row>
    <row r="604" spans="1:36">
      <c r="A604" s="81"/>
      <c r="U604" s="101"/>
      <c r="V604" s="101"/>
      <c r="W604" s="69" t="e" cm="1">
        <f t="array" ref="W604">_xlfn.XLOOKUP(Table1[[#This Row],[5 cm2 cell test code]:[5 cm2 cell test code]],[1]!Table1[[Test code]:[Test code]],[1]!Table1[i @ 1.8 V DIW (A/cm2)],"",0)</f>
        <v>#REF!</v>
      </c>
      <c r="X604" s="69" t="e" cm="1">
        <f t="array" ref="X604">_xlfn.XLOOKUP(Table1[[#This Row],[5 cm2 cell test code]:[5 cm2 cell test code]],[1]!Table1[[Test code]:[Test code]],[1]!Table1[i @ 1.8 V 10 mM KOH (A/cm2)],"",0)</f>
        <v>#REF!</v>
      </c>
      <c r="Y604" s="69" t="e" cm="1">
        <f t="array" ref="Y604">_xlfn.XLOOKUP(Table1[[#This Row],[5 cm2 cell test code]:[5 cm2 cell test code]],[1]!Table1[[Test code]:[Test code]],[1]!Table1[3-E ƞ at 20mAcm-2 (mV)],"",0)</f>
        <v>#REF!</v>
      </c>
      <c r="Z604" s="69" t="e" cm="1">
        <f t="array" ref="Z604">_xlfn.XLOOKUP(Table1[[#This Row],[5 cm2 cell test code]:[5 cm2 cell test code]],[1]!Table1[[Test code]:[Test code]],[1]!Table1[3-E Tafel slope (mV/dec)],"",0)</f>
        <v>#REF!</v>
      </c>
      <c r="AA604" s="69" t="e" cm="1">
        <f t="array" ref="AA604">_xlfn.XLOOKUP(Table1[[#This Row],[5 cm2 cell test code]:[5 cm2 cell test code]],[1]!Table1[[Test code]:[Test code]],[1]!Table1[E @ 100 mA/cm2 DIW/V],"",0)</f>
        <v>#REF!</v>
      </c>
      <c r="AB604" s="69" t="e" cm="1">
        <f t="array" ref="AB604">_xlfn.XLOOKUP(Table1[[#This Row],[5 cm2 cell test code]:[5 cm2 cell test code]],[1]!Table1[[Test code]:[Test code]],[1]!Table1[E @ 100 mA/cm2 10 mM KOH/V],"",0)</f>
        <v>#REF!</v>
      </c>
      <c r="AC604" s="69" t="e" cm="1">
        <f t="array" ref="AC604">_xlfn.XLOOKUP(Table1[[#This Row],[5 cm2 cell test code]:[5 cm2 cell test code]],[1]!Table1[[Test code]:[Test code]],[1]!Table1[Anode ICR/mOhm],"",0)</f>
        <v>#REF!</v>
      </c>
      <c r="AD604" s="69" t="e" cm="1">
        <f t="array" ref="AD604">_xlfn.XLOOKUP(Table1[[#This Row],[5 cm2 cell test code]:[5 cm2 cell test code]],[1]!Table1[[Test code]:[Test code]],[1]!Table1[HFR DIW/ mOhm cm2],"",0)</f>
        <v>#REF!</v>
      </c>
      <c r="AE604" s="69" t="e" cm="1">
        <f t="array" ref="AE604">_xlfn.XLOOKUP(Table1[[#This Row],[5 cm2 cell test code]:[5 cm2 cell test code]],[1]!Table1[[Test code]:[Test code]],[1]!Table1[HFR 10 mM KOH/ mOhm cm2],"",0)</f>
        <v>#REF!</v>
      </c>
      <c r="AF604" s="69" t="e" cm="1">
        <f t="array" ref="AF604">_xlfn.XLOOKUP(Table1[[#This Row],[5 cm2 cell test code]:[5 cm2 cell test code]],[1]!Table1[[Test code]:[Test code]],[1]!Table1[Ionic resistance DIW/Ohm cm2],"",0)</f>
        <v>#REF!</v>
      </c>
      <c r="AG604" s="69" t="e" cm="1">
        <f t="array" ref="AG604">_xlfn.XLOOKUP(Table1[[#This Row],[5 cm2 cell test code]:[5 cm2 cell test code]],[1]!Table1[[Test code]:[Test code]],[1]!Table1[Q_int_frac DIW],"",0)</f>
        <v>#REF!</v>
      </c>
      <c r="AH604" s="69" t="e" cm="1">
        <f t="array" ref="AH604">_xlfn.XLOOKUP(Table1[[#This Row],[5 cm2 cell test code]:[5 cm2 cell test code]],[1]!Table1[[Test code]:[Test code]],[1]!Table1[Ionic resistance 10 mM KOH/Ohm cm2],"",0)</f>
        <v>#REF!</v>
      </c>
      <c r="AI604" s="69" t="e" cm="1">
        <f t="array" ref="AI604">_xlfn.XLOOKUP(Table1[[#This Row],[5 cm2 cell test code]:[5 cm2 cell test code]],[1]!Table1[[Test code]:[Test code]],[1]!Table1[Q_int_frac DIW 10 mM KOH],"",0)</f>
        <v>#REF!</v>
      </c>
      <c r="AJ604" s="69" t="e" cm="1">
        <f t="array" ref="AJ604">_xlfn.XLOOKUP(Table1[[#This Row],[5 cm2 cell test code]:[5 cm2 cell test code]],[1]!Table1[[Test code]:[Test code]],[1]!Table1[DIW conductivity (µS/cm)],"",0)</f>
        <v>#REF!</v>
      </c>
    </row>
    <row r="605" spans="1:36">
      <c r="A605" s="81"/>
      <c r="U605" s="101"/>
      <c r="V605" s="101"/>
      <c r="W605" s="69" t="e" cm="1">
        <f t="array" ref="W605">_xlfn.XLOOKUP(Table1[[#This Row],[5 cm2 cell test code]:[5 cm2 cell test code]],[1]!Table1[[Test code]:[Test code]],[1]!Table1[i @ 1.8 V DIW (A/cm2)],"",0)</f>
        <v>#REF!</v>
      </c>
      <c r="X605" s="69" t="e" cm="1">
        <f t="array" ref="X605">_xlfn.XLOOKUP(Table1[[#This Row],[5 cm2 cell test code]:[5 cm2 cell test code]],[1]!Table1[[Test code]:[Test code]],[1]!Table1[i @ 1.8 V 10 mM KOH (A/cm2)],"",0)</f>
        <v>#REF!</v>
      </c>
      <c r="Y605" s="69" t="e" cm="1">
        <f t="array" ref="Y605">_xlfn.XLOOKUP(Table1[[#This Row],[5 cm2 cell test code]:[5 cm2 cell test code]],[1]!Table1[[Test code]:[Test code]],[1]!Table1[3-E ƞ at 20mAcm-2 (mV)],"",0)</f>
        <v>#REF!</v>
      </c>
      <c r="Z605" s="69" t="e" cm="1">
        <f t="array" ref="Z605">_xlfn.XLOOKUP(Table1[[#This Row],[5 cm2 cell test code]:[5 cm2 cell test code]],[1]!Table1[[Test code]:[Test code]],[1]!Table1[3-E Tafel slope (mV/dec)],"",0)</f>
        <v>#REF!</v>
      </c>
      <c r="AA605" s="69" t="e" cm="1">
        <f t="array" ref="AA605">_xlfn.XLOOKUP(Table1[[#This Row],[5 cm2 cell test code]:[5 cm2 cell test code]],[1]!Table1[[Test code]:[Test code]],[1]!Table1[E @ 100 mA/cm2 DIW/V],"",0)</f>
        <v>#REF!</v>
      </c>
      <c r="AB605" s="69" t="e" cm="1">
        <f t="array" ref="AB605">_xlfn.XLOOKUP(Table1[[#This Row],[5 cm2 cell test code]:[5 cm2 cell test code]],[1]!Table1[[Test code]:[Test code]],[1]!Table1[E @ 100 mA/cm2 10 mM KOH/V],"",0)</f>
        <v>#REF!</v>
      </c>
      <c r="AC605" s="69" t="e" cm="1">
        <f t="array" ref="AC605">_xlfn.XLOOKUP(Table1[[#This Row],[5 cm2 cell test code]:[5 cm2 cell test code]],[1]!Table1[[Test code]:[Test code]],[1]!Table1[Anode ICR/mOhm],"",0)</f>
        <v>#REF!</v>
      </c>
      <c r="AD605" s="69" t="e" cm="1">
        <f t="array" ref="AD605">_xlfn.XLOOKUP(Table1[[#This Row],[5 cm2 cell test code]:[5 cm2 cell test code]],[1]!Table1[[Test code]:[Test code]],[1]!Table1[HFR DIW/ mOhm cm2],"",0)</f>
        <v>#REF!</v>
      </c>
      <c r="AE605" s="69" t="e" cm="1">
        <f t="array" ref="AE605">_xlfn.XLOOKUP(Table1[[#This Row],[5 cm2 cell test code]:[5 cm2 cell test code]],[1]!Table1[[Test code]:[Test code]],[1]!Table1[HFR 10 mM KOH/ mOhm cm2],"",0)</f>
        <v>#REF!</v>
      </c>
      <c r="AF605" s="69" t="e" cm="1">
        <f t="array" ref="AF605">_xlfn.XLOOKUP(Table1[[#This Row],[5 cm2 cell test code]:[5 cm2 cell test code]],[1]!Table1[[Test code]:[Test code]],[1]!Table1[Ionic resistance DIW/Ohm cm2],"",0)</f>
        <v>#REF!</v>
      </c>
      <c r="AG605" s="69" t="e" cm="1">
        <f t="array" ref="AG605">_xlfn.XLOOKUP(Table1[[#This Row],[5 cm2 cell test code]:[5 cm2 cell test code]],[1]!Table1[[Test code]:[Test code]],[1]!Table1[Q_int_frac DIW],"",0)</f>
        <v>#REF!</v>
      </c>
      <c r="AH605" s="69" t="e" cm="1">
        <f t="array" ref="AH605">_xlfn.XLOOKUP(Table1[[#This Row],[5 cm2 cell test code]:[5 cm2 cell test code]],[1]!Table1[[Test code]:[Test code]],[1]!Table1[Ionic resistance 10 mM KOH/Ohm cm2],"",0)</f>
        <v>#REF!</v>
      </c>
      <c r="AI605" s="69" t="e" cm="1">
        <f t="array" ref="AI605">_xlfn.XLOOKUP(Table1[[#This Row],[5 cm2 cell test code]:[5 cm2 cell test code]],[1]!Table1[[Test code]:[Test code]],[1]!Table1[Q_int_frac DIW 10 mM KOH],"",0)</f>
        <v>#REF!</v>
      </c>
      <c r="AJ605" s="69" t="e" cm="1">
        <f t="array" ref="AJ605">_xlfn.XLOOKUP(Table1[[#This Row],[5 cm2 cell test code]:[5 cm2 cell test code]],[1]!Table1[[Test code]:[Test code]],[1]!Table1[DIW conductivity (µS/cm)],"",0)</f>
        <v>#REF!</v>
      </c>
    </row>
    <row r="606" spans="1:36">
      <c r="A606" s="81"/>
      <c r="U606" s="101"/>
      <c r="V606" s="101"/>
      <c r="W606" s="69" t="e" cm="1">
        <f t="array" ref="W606">_xlfn.XLOOKUP(Table1[[#This Row],[5 cm2 cell test code]:[5 cm2 cell test code]],[1]!Table1[[Test code]:[Test code]],[1]!Table1[i @ 1.8 V DIW (A/cm2)],"",0)</f>
        <v>#REF!</v>
      </c>
      <c r="X606" s="69" t="e" cm="1">
        <f t="array" ref="X606">_xlfn.XLOOKUP(Table1[[#This Row],[5 cm2 cell test code]:[5 cm2 cell test code]],[1]!Table1[[Test code]:[Test code]],[1]!Table1[i @ 1.8 V 10 mM KOH (A/cm2)],"",0)</f>
        <v>#REF!</v>
      </c>
      <c r="Y606" s="69" t="e" cm="1">
        <f t="array" ref="Y606">_xlfn.XLOOKUP(Table1[[#This Row],[5 cm2 cell test code]:[5 cm2 cell test code]],[1]!Table1[[Test code]:[Test code]],[1]!Table1[3-E ƞ at 20mAcm-2 (mV)],"",0)</f>
        <v>#REF!</v>
      </c>
      <c r="Z606" s="69" t="e" cm="1">
        <f t="array" ref="Z606">_xlfn.XLOOKUP(Table1[[#This Row],[5 cm2 cell test code]:[5 cm2 cell test code]],[1]!Table1[[Test code]:[Test code]],[1]!Table1[3-E Tafel slope (mV/dec)],"",0)</f>
        <v>#REF!</v>
      </c>
      <c r="AA606" s="69" t="e" cm="1">
        <f t="array" ref="AA606">_xlfn.XLOOKUP(Table1[[#This Row],[5 cm2 cell test code]:[5 cm2 cell test code]],[1]!Table1[[Test code]:[Test code]],[1]!Table1[E @ 100 mA/cm2 DIW/V],"",0)</f>
        <v>#REF!</v>
      </c>
      <c r="AB606" s="69" t="e" cm="1">
        <f t="array" ref="AB606">_xlfn.XLOOKUP(Table1[[#This Row],[5 cm2 cell test code]:[5 cm2 cell test code]],[1]!Table1[[Test code]:[Test code]],[1]!Table1[E @ 100 mA/cm2 10 mM KOH/V],"",0)</f>
        <v>#REF!</v>
      </c>
      <c r="AC606" s="69" t="e" cm="1">
        <f t="array" ref="AC606">_xlfn.XLOOKUP(Table1[[#This Row],[5 cm2 cell test code]:[5 cm2 cell test code]],[1]!Table1[[Test code]:[Test code]],[1]!Table1[Anode ICR/mOhm],"",0)</f>
        <v>#REF!</v>
      </c>
      <c r="AD606" s="69" t="e" cm="1">
        <f t="array" ref="AD606">_xlfn.XLOOKUP(Table1[[#This Row],[5 cm2 cell test code]:[5 cm2 cell test code]],[1]!Table1[[Test code]:[Test code]],[1]!Table1[HFR DIW/ mOhm cm2],"",0)</f>
        <v>#REF!</v>
      </c>
      <c r="AE606" s="69" t="e" cm="1">
        <f t="array" ref="AE606">_xlfn.XLOOKUP(Table1[[#This Row],[5 cm2 cell test code]:[5 cm2 cell test code]],[1]!Table1[[Test code]:[Test code]],[1]!Table1[HFR 10 mM KOH/ mOhm cm2],"",0)</f>
        <v>#REF!</v>
      </c>
      <c r="AF606" s="69" t="e" cm="1">
        <f t="array" ref="AF606">_xlfn.XLOOKUP(Table1[[#This Row],[5 cm2 cell test code]:[5 cm2 cell test code]],[1]!Table1[[Test code]:[Test code]],[1]!Table1[Ionic resistance DIW/Ohm cm2],"",0)</f>
        <v>#REF!</v>
      </c>
      <c r="AG606" s="69" t="e" cm="1">
        <f t="array" ref="AG606">_xlfn.XLOOKUP(Table1[[#This Row],[5 cm2 cell test code]:[5 cm2 cell test code]],[1]!Table1[[Test code]:[Test code]],[1]!Table1[Q_int_frac DIW],"",0)</f>
        <v>#REF!</v>
      </c>
      <c r="AH606" s="69" t="e" cm="1">
        <f t="array" ref="AH606">_xlfn.XLOOKUP(Table1[[#This Row],[5 cm2 cell test code]:[5 cm2 cell test code]],[1]!Table1[[Test code]:[Test code]],[1]!Table1[Ionic resistance 10 mM KOH/Ohm cm2],"",0)</f>
        <v>#REF!</v>
      </c>
      <c r="AI606" s="69" t="e" cm="1">
        <f t="array" ref="AI606">_xlfn.XLOOKUP(Table1[[#This Row],[5 cm2 cell test code]:[5 cm2 cell test code]],[1]!Table1[[Test code]:[Test code]],[1]!Table1[Q_int_frac DIW 10 mM KOH],"",0)</f>
        <v>#REF!</v>
      </c>
      <c r="AJ606" s="69" t="e" cm="1">
        <f t="array" ref="AJ606">_xlfn.XLOOKUP(Table1[[#This Row],[5 cm2 cell test code]:[5 cm2 cell test code]],[1]!Table1[[Test code]:[Test code]],[1]!Table1[DIW conductivity (µS/cm)],"",0)</f>
        <v>#REF!</v>
      </c>
    </row>
    <row r="607" spans="1:36">
      <c r="A607" s="81"/>
      <c r="U607" s="101"/>
      <c r="V607" s="101"/>
      <c r="W607" s="69" t="e" cm="1">
        <f t="array" ref="W607">_xlfn.XLOOKUP(Table1[[#This Row],[5 cm2 cell test code]:[5 cm2 cell test code]],[1]!Table1[[Test code]:[Test code]],[1]!Table1[i @ 1.8 V DIW (A/cm2)],"",0)</f>
        <v>#REF!</v>
      </c>
      <c r="X607" s="69" t="e" cm="1">
        <f t="array" ref="X607">_xlfn.XLOOKUP(Table1[[#This Row],[5 cm2 cell test code]:[5 cm2 cell test code]],[1]!Table1[[Test code]:[Test code]],[1]!Table1[i @ 1.8 V 10 mM KOH (A/cm2)],"",0)</f>
        <v>#REF!</v>
      </c>
      <c r="Y607" s="69" t="e" cm="1">
        <f t="array" ref="Y607">_xlfn.XLOOKUP(Table1[[#This Row],[5 cm2 cell test code]:[5 cm2 cell test code]],[1]!Table1[[Test code]:[Test code]],[1]!Table1[3-E ƞ at 20mAcm-2 (mV)],"",0)</f>
        <v>#REF!</v>
      </c>
      <c r="Z607" s="69" t="e" cm="1">
        <f t="array" ref="Z607">_xlfn.XLOOKUP(Table1[[#This Row],[5 cm2 cell test code]:[5 cm2 cell test code]],[1]!Table1[[Test code]:[Test code]],[1]!Table1[3-E Tafel slope (mV/dec)],"",0)</f>
        <v>#REF!</v>
      </c>
      <c r="AA607" s="69" t="e" cm="1">
        <f t="array" ref="AA607">_xlfn.XLOOKUP(Table1[[#This Row],[5 cm2 cell test code]:[5 cm2 cell test code]],[1]!Table1[[Test code]:[Test code]],[1]!Table1[E @ 100 mA/cm2 DIW/V],"",0)</f>
        <v>#REF!</v>
      </c>
      <c r="AB607" s="69" t="e" cm="1">
        <f t="array" ref="AB607">_xlfn.XLOOKUP(Table1[[#This Row],[5 cm2 cell test code]:[5 cm2 cell test code]],[1]!Table1[[Test code]:[Test code]],[1]!Table1[E @ 100 mA/cm2 10 mM KOH/V],"",0)</f>
        <v>#REF!</v>
      </c>
      <c r="AC607" s="69" t="e" cm="1">
        <f t="array" ref="AC607">_xlfn.XLOOKUP(Table1[[#This Row],[5 cm2 cell test code]:[5 cm2 cell test code]],[1]!Table1[[Test code]:[Test code]],[1]!Table1[Anode ICR/mOhm],"",0)</f>
        <v>#REF!</v>
      </c>
      <c r="AD607" s="69" t="e" cm="1">
        <f t="array" ref="AD607">_xlfn.XLOOKUP(Table1[[#This Row],[5 cm2 cell test code]:[5 cm2 cell test code]],[1]!Table1[[Test code]:[Test code]],[1]!Table1[HFR DIW/ mOhm cm2],"",0)</f>
        <v>#REF!</v>
      </c>
      <c r="AE607" s="69" t="e" cm="1">
        <f t="array" ref="AE607">_xlfn.XLOOKUP(Table1[[#This Row],[5 cm2 cell test code]:[5 cm2 cell test code]],[1]!Table1[[Test code]:[Test code]],[1]!Table1[HFR 10 mM KOH/ mOhm cm2],"",0)</f>
        <v>#REF!</v>
      </c>
      <c r="AF607" s="69" t="e" cm="1">
        <f t="array" ref="AF607">_xlfn.XLOOKUP(Table1[[#This Row],[5 cm2 cell test code]:[5 cm2 cell test code]],[1]!Table1[[Test code]:[Test code]],[1]!Table1[Ionic resistance DIW/Ohm cm2],"",0)</f>
        <v>#REF!</v>
      </c>
      <c r="AG607" s="69" t="e" cm="1">
        <f t="array" ref="AG607">_xlfn.XLOOKUP(Table1[[#This Row],[5 cm2 cell test code]:[5 cm2 cell test code]],[1]!Table1[[Test code]:[Test code]],[1]!Table1[Q_int_frac DIW],"",0)</f>
        <v>#REF!</v>
      </c>
      <c r="AH607" s="69" t="e" cm="1">
        <f t="array" ref="AH607">_xlfn.XLOOKUP(Table1[[#This Row],[5 cm2 cell test code]:[5 cm2 cell test code]],[1]!Table1[[Test code]:[Test code]],[1]!Table1[Ionic resistance 10 mM KOH/Ohm cm2],"",0)</f>
        <v>#REF!</v>
      </c>
      <c r="AI607" s="69" t="e" cm="1">
        <f t="array" ref="AI607">_xlfn.XLOOKUP(Table1[[#This Row],[5 cm2 cell test code]:[5 cm2 cell test code]],[1]!Table1[[Test code]:[Test code]],[1]!Table1[Q_int_frac DIW 10 mM KOH],"",0)</f>
        <v>#REF!</v>
      </c>
      <c r="AJ607" s="69" t="e" cm="1">
        <f t="array" ref="AJ607">_xlfn.XLOOKUP(Table1[[#This Row],[5 cm2 cell test code]:[5 cm2 cell test code]],[1]!Table1[[Test code]:[Test code]],[1]!Table1[DIW conductivity (µS/cm)],"",0)</f>
        <v>#REF!</v>
      </c>
    </row>
    <row r="608" spans="1:36">
      <c r="A608" s="81"/>
      <c r="U608" s="101"/>
      <c r="V608" s="101"/>
      <c r="W608" s="69" t="e" cm="1">
        <f t="array" ref="W608">_xlfn.XLOOKUP(Table1[[#This Row],[5 cm2 cell test code]:[5 cm2 cell test code]],[1]!Table1[[Test code]:[Test code]],[1]!Table1[i @ 1.8 V DIW (A/cm2)],"",0)</f>
        <v>#REF!</v>
      </c>
      <c r="X608" s="69" t="e" cm="1">
        <f t="array" ref="X608">_xlfn.XLOOKUP(Table1[[#This Row],[5 cm2 cell test code]:[5 cm2 cell test code]],[1]!Table1[[Test code]:[Test code]],[1]!Table1[i @ 1.8 V 10 mM KOH (A/cm2)],"",0)</f>
        <v>#REF!</v>
      </c>
      <c r="Y608" s="69" t="e" cm="1">
        <f t="array" ref="Y608">_xlfn.XLOOKUP(Table1[[#This Row],[5 cm2 cell test code]:[5 cm2 cell test code]],[1]!Table1[[Test code]:[Test code]],[1]!Table1[3-E ƞ at 20mAcm-2 (mV)],"",0)</f>
        <v>#REF!</v>
      </c>
      <c r="Z608" s="69" t="e" cm="1">
        <f t="array" ref="Z608">_xlfn.XLOOKUP(Table1[[#This Row],[5 cm2 cell test code]:[5 cm2 cell test code]],[1]!Table1[[Test code]:[Test code]],[1]!Table1[3-E Tafel slope (mV/dec)],"",0)</f>
        <v>#REF!</v>
      </c>
      <c r="AA608" s="69" t="e" cm="1">
        <f t="array" ref="AA608">_xlfn.XLOOKUP(Table1[[#This Row],[5 cm2 cell test code]:[5 cm2 cell test code]],[1]!Table1[[Test code]:[Test code]],[1]!Table1[E @ 100 mA/cm2 DIW/V],"",0)</f>
        <v>#REF!</v>
      </c>
      <c r="AB608" s="69" t="e" cm="1">
        <f t="array" ref="AB608">_xlfn.XLOOKUP(Table1[[#This Row],[5 cm2 cell test code]:[5 cm2 cell test code]],[1]!Table1[[Test code]:[Test code]],[1]!Table1[E @ 100 mA/cm2 10 mM KOH/V],"",0)</f>
        <v>#REF!</v>
      </c>
      <c r="AC608" s="69" t="e" cm="1">
        <f t="array" ref="AC608">_xlfn.XLOOKUP(Table1[[#This Row],[5 cm2 cell test code]:[5 cm2 cell test code]],[1]!Table1[[Test code]:[Test code]],[1]!Table1[Anode ICR/mOhm],"",0)</f>
        <v>#REF!</v>
      </c>
      <c r="AD608" s="69" t="e" cm="1">
        <f t="array" ref="AD608">_xlfn.XLOOKUP(Table1[[#This Row],[5 cm2 cell test code]:[5 cm2 cell test code]],[1]!Table1[[Test code]:[Test code]],[1]!Table1[HFR DIW/ mOhm cm2],"",0)</f>
        <v>#REF!</v>
      </c>
      <c r="AE608" s="69" t="e" cm="1">
        <f t="array" ref="AE608">_xlfn.XLOOKUP(Table1[[#This Row],[5 cm2 cell test code]:[5 cm2 cell test code]],[1]!Table1[[Test code]:[Test code]],[1]!Table1[HFR 10 mM KOH/ mOhm cm2],"",0)</f>
        <v>#REF!</v>
      </c>
      <c r="AF608" s="69" t="e" cm="1">
        <f t="array" ref="AF608">_xlfn.XLOOKUP(Table1[[#This Row],[5 cm2 cell test code]:[5 cm2 cell test code]],[1]!Table1[[Test code]:[Test code]],[1]!Table1[Ionic resistance DIW/Ohm cm2],"",0)</f>
        <v>#REF!</v>
      </c>
      <c r="AG608" s="69" t="e" cm="1">
        <f t="array" ref="AG608">_xlfn.XLOOKUP(Table1[[#This Row],[5 cm2 cell test code]:[5 cm2 cell test code]],[1]!Table1[[Test code]:[Test code]],[1]!Table1[Q_int_frac DIW],"",0)</f>
        <v>#REF!</v>
      </c>
      <c r="AH608" s="69" t="e" cm="1">
        <f t="array" ref="AH608">_xlfn.XLOOKUP(Table1[[#This Row],[5 cm2 cell test code]:[5 cm2 cell test code]],[1]!Table1[[Test code]:[Test code]],[1]!Table1[Ionic resistance 10 mM KOH/Ohm cm2],"",0)</f>
        <v>#REF!</v>
      </c>
      <c r="AI608" s="69" t="e" cm="1">
        <f t="array" ref="AI608">_xlfn.XLOOKUP(Table1[[#This Row],[5 cm2 cell test code]:[5 cm2 cell test code]],[1]!Table1[[Test code]:[Test code]],[1]!Table1[Q_int_frac DIW 10 mM KOH],"",0)</f>
        <v>#REF!</v>
      </c>
      <c r="AJ608" s="69" t="e" cm="1">
        <f t="array" ref="AJ608">_xlfn.XLOOKUP(Table1[[#This Row],[5 cm2 cell test code]:[5 cm2 cell test code]],[1]!Table1[[Test code]:[Test code]],[1]!Table1[DIW conductivity (µS/cm)],"",0)</f>
        <v>#REF!</v>
      </c>
    </row>
    <row r="609" spans="1:36">
      <c r="A609" s="81"/>
      <c r="U609" s="101"/>
      <c r="V609" s="101"/>
      <c r="W609" s="69" t="e" cm="1">
        <f t="array" ref="W609">_xlfn.XLOOKUP(Table1[[#This Row],[5 cm2 cell test code]:[5 cm2 cell test code]],[1]!Table1[[Test code]:[Test code]],[1]!Table1[i @ 1.8 V DIW (A/cm2)],"",0)</f>
        <v>#REF!</v>
      </c>
      <c r="X609" s="69" t="e" cm="1">
        <f t="array" ref="X609">_xlfn.XLOOKUP(Table1[[#This Row],[5 cm2 cell test code]:[5 cm2 cell test code]],[1]!Table1[[Test code]:[Test code]],[1]!Table1[i @ 1.8 V 10 mM KOH (A/cm2)],"",0)</f>
        <v>#REF!</v>
      </c>
      <c r="Y609" s="69" t="e" cm="1">
        <f t="array" ref="Y609">_xlfn.XLOOKUP(Table1[[#This Row],[5 cm2 cell test code]:[5 cm2 cell test code]],[1]!Table1[[Test code]:[Test code]],[1]!Table1[3-E ƞ at 20mAcm-2 (mV)],"",0)</f>
        <v>#REF!</v>
      </c>
      <c r="Z609" s="69" t="e" cm="1">
        <f t="array" ref="Z609">_xlfn.XLOOKUP(Table1[[#This Row],[5 cm2 cell test code]:[5 cm2 cell test code]],[1]!Table1[[Test code]:[Test code]],[1]!Table1[3-E Tafel slope (mV/dec)],"",0)</f>
        <v>#REF!</v>
      </c>
      <c r="AA609" s="69" t="e" cm="1">
        <f t="array" ref="AA609">_xlfn.XLOOKUP(Table1[[#This Row],[5 cm2 cell test code]:[5 cm2 cell test code]],[1]!Table1[[Test code]:[Test code]],[1]!Table1[E @ 100 mA/cm2 DIW/V],"",0)</f>
        <v>#REF!</v>
      </c>
      <c r="AB609" s="69" t="e" cm="1">
        <f t="array" ref="AB609">_xlfn.XLOOKUP(Table1[[#This Row],[5 cm2 cell test code]:[5 cm2 cell test code]],[1]!Table1[[Test code]:[Test code]],[1]!Table1[E @ 100 mA/cm2 10 mM KOH/V],"",0)</f>
        <v>#REF!</v>
      </c>
      <c r="AC609" s="69" t="e" cm="1">
        <f t="array" ref="AC609">_xlfn.XLOOKUP(Table1[[#This Row],[5 cm2 cell test code]:[5 cm2 cell test code]],[1]!Table1[[Test code]:[Test code]],[1]!Table1[Anode ICR/mOhm],"",0)</f>
        <v>#REF!</v>
      </c>
      <c r="AD609" s="69" t="e" cm="1">
        <f t="array" ref="AD609">_xlfn.XLOOKUP(Table1[[#This Row],[5 cm2 cell test code]:[5 cm2 cell test code]],[1]!Table1[[Test code]:[Test code]],[1]!Table1[HFR DIW/ mOhm cm2],"",0)</f>
        <v>#REF!</v>
      </c>
      <c r="AE609" s="69" t="e" cm="1">
        <f t="array" ref="AE609">_xlfn.XLOOKUP(Table1[[#This Row],[5 cm2 cell test code]:[5 cm2 cell test code]],[1]!Table1[[Test code]:[Test code]],[1]!Table1[HFR 10 mM KOH/ mOhm cm2],"",0)</f>
        <v>#REF!</v>
      </c>
      <c r="AF609" s="69" t="e" cm="1">
        <f t="array" ref="AF609">_xlfn.XLOOKUP(Table1[[#This Row],[5 cm2 cell test code]:[5 cm2 cell test code]],[1]!Table1[[Test code]:[Test code]],[1]!Table1[Ionic resistance DIW/Ohm cm2],"",0)</f>
        <v>#REF!</v>
      </c>
      <c r="AG609" s="69" t="e" cm="1">
        <f t="array" ref="AG609">_xlfn.XLOOKUP(Table1[[#This Row],[5 cm2 cell test code]:[5 cm2 cell test code]],[1]!Table1[[Test code]:[Test code]],[1]!Table1[Q_int_frac DIW],"",0)</f>
        <v>#REF!</v>
      </c>
      <c r="AH609" s="69" t="e" cm="1">
        <f t="array" ref="AH609">_xlfn.XLOOKUP(Table1[[#This Row],[5 cm2 cell test code]:[5 cm2 cell test code]],[1]!Table1[[Test code]:[Test code]],[1]!Table1[Ionic resistance 10 mM KOH/Ohm cm2],"",0)</f>
        <v>#REF!</v>
      </c>
      <c r="AI609" s="69" t="e" cm="1">
        <f t="array" ref="AI609">_xlfn.XLOOKUP(Table1[[#This Row],[5 cm2 cell test code]:[5 cm2 cell test code]],[1]!Table1[[Test code]:[Test code]],[1]!Table1[Q_int_frac DIW 10 mM KOH],"",0)</f>
        <v>#REF!</v>
      </c>
      <c r="AJ609" s="69" t="e" cm="1">
        <f t="array" ref="AJ609">_xlfn.XLOOKUP(Table1[[#This Row],[5 cm2 cell test code]:[5 cm2 cell test code]],[1]!Table1[[Test code]:[Test code]],[1]!Table1[DIW conductivity (µS/cm)],"",0)</f>
        <v>#REF!</v>
      </c>
    </row>
    <row r="610" spans="1:36">
      <c r="A610" s="81"/>
      <c r="U610" s="101"/>
      <c r="V610" s="101"/>
      <c r="W610" s="69" t="e" cm="1">
        <f t="array" ref="W610">_xlfn.XLOOKUP(Table1[[#This Row],[5 cm2 cell test code]:[5 cm2 cell test code]],[1]!Table1[[Test code]:[Test code]],[1]!Table1[i @ 1.8 V DIW (A/cm2)],"",0)</f>
        <v>#REF!</v>
      </c>
      <c r="X610" s="69" t="e" cm="1">
        <f t="array" ref="X610">_xlfn.XLOOKUP(Table1[[#This Row],[5 cm2 cell test code]:[5 cm2 cell test code]],[1]!Table1[[Test code]:[Test code]],[1]!Table1[i @ 1.8 V 10 mM KOH (A/cm2)],"",0)</f>
        <v>#REF!</v>
      </c>
      <c r="Y610" s="69" t="e" cm="1">
        <f t="array" ref="Y610">_xlfn.XLOOKUP(Table1[[#This Row],[5 cm2 cell test code]:[5 cm2 cell test code]],[1]!Table1[[Test code]:[Test code]],[1]!Table1[3-E ƞ at 20mAcm-2 (mV)],"",0)</f>
        <v>#REF!</v>
      </c>
      <c r="Z610" s="69" t="e" cm="1">
        <f t="array" ref="Z610">_xlfn.XLOOKUP(Table1[[#This Row],[5 cm2 cell test code]:[5 cm2 cell test code]],[1]!Table1[[Test code]:[Test code]],[1]!Table1[3-E Tafel slope (mV/dec)],"",0)</f>
        <v>#REF!</v>
      </c>
      <c r="AA610" s="69" t="e" cm="1">
        <f t="array" ref="AA610">_xlfn.XLOOKUP(Table1[[#This Row],[5 cm2 cell test code]:[5 cm2 cell test code]],[1]!Table1[[Test code]:[Test code]],[1]!Table1[E @ 100 mA/cm2 DIW/V],"",0)</f>
        <v>#REF!</v>
      </c>
      <c r="AB610" s="69" t="e" cm="1">
        <f t="array" ref="AB610">_xlfn.XLOOKUP(Table1[[#This Row],[5 cm2 cell test code]:[5 cm2 cell test code]],[1]!Table1[[Test code]:[Test code]],[1]!Table1[E @ 100 mA/cm2 10 mM KOH/V],"",0)</f>
        <v>#REF!</v>
      </c>
      <c r="AC610" s="69" t="e" cm="1">
        <f t="array" ref="AC610">_xlfn.XLOOKUP(Table1[[#This Row],[5 cm2 cell test code]:[5 cm2 cell test code]],[1]!Table1[[Test code]:[Test code]],[1]!Table1[Anode ICR/mOhm],"",0)</f>
        <v>#REF!</v>
      </c>
      <c r="AD610" s="69" t="e" cm="1">
        <f t="array" ref="AD610">_xlfn.XLOOKUP(Table1[[#This Row],[5 cm2 cell test code]:[5 cm2 cell test code]],[1]!Table1[[Test code]:[Test code]],[1]!Table1[HFR DIW/ mOhm cm2],"",0)</f>
        <v>#REF!</v>
      </c>
      <c r="AE610" s="69" t="e" cm="1">
        <f t="array" ref="AE610">_xlfn.XLOOKUP(Table1[[#This Row],[5 cm2 cell test code]:[5 cm2 cell test code]],[1]!Table1[[Test code]:[Test code]],[1]!Table1[HFR 10 mM KOH/ mOhm cm2],"",0)</f>
        <v>#REF!</v>
      </c>
      <c r="AF610" s="69" t="e" cm="1">
        <f t="array" ref="AF610">_xlfn.XLOOKUP(Table1[[#This Row],[5 cm2 cell test code]:[5 cm2 cell test code]],[1]!Table1[[Test code]:[Test code]],[1]!Table1[Ionic resistance DIW/Ohm cm2],"",0)</f>
        <v>#REF!</v>
      </c>
      <c r="AG610" s="69" t="e" cm="1">
        <f t="array" ref="AG610">_xlfn.XLOOKUP(Table1[[#This Row],[5 cm2 cell test code]:[5 cm2 cell test code]],[1]!Table1[[Test code]:[Test code]],[1]!Table1[Q_int_frac DIW],"",0)</f>
        <v>#REF!</v>
      </c>
      <c r="AH610" s="69" t="e" cm="1">
        <f t="array" ref="AH610">_xlfn.XLOOKUP(Table1[[#This Row],[5 cm2 cell test code]:[5 cm2 cell test code]],[1]!Table1[[Test code]:[Test code]],[1]!Table1[Ionic resistance 10 mM KOH/Ohm cm2],"",0)</f>
        <v>#REF!</v>
      </c>
      <c r="AI610" s="69" t="e" cm="1">
        <f t="array" ref="AI610">_xlfn.XLOOKUP(Table1[[#This Row],[5 cm2 cell test code]:[5 cm2 cell test code]],[1]!Table1[[Test code]:[Test code]],[1]!Table1[Q_int_frac DIW 10 mM KOH],"",0)</f>
        <v>#REF!</v>
      </c>
      <c r="AJ610" s="69" t="e" cm="1">
        <f t="array" ref="AJ610">_xlfn.XLOOKUP(Table1[[#This Row],[5 cm2 cell test code]:[5 cm2 cell test code]],[1]!Table1[[Test code]:[Test code]],[1]!Table1[DIW conductivity (µS/cm)],"",0)</f>
        <v>#REF!</v>
      </c>
    </row>
    <row r="611" spans="1:36">
      <c r="A611" s="81"/>
      <c r="U611" s="101"/>
      <c r="V611" s="101"/>
      <c r="W611" s="69" t="e" cm="1">
        <f t="array" ref="W611">_xlfn.XLOOKUP(Table1[[#This Row],[5 cm2 cell test code]:[5 cm2 cell test code]],[1]!Table1[[Test code]:[Test code]],[1]!Table1[i @ 1.8 V DIW (A/cm2)],"",0)</f>
        <v>#REF!</v>
      </c>
      <c r="X611" s="69" t="e" cm="1">
        <f t="array" ref="X611">_xlfn.XLOOKUP(Table1[[#This Row],[5 cm2 cell test code]:[5 cm2 cell test code]],[1]!Table1[[Test code]:[Test code]],[1]!Table1[i @ 1.8 V 10 mM KOH (A/cm2)],"",0)</f>
        <v>#REF!</v>
      </c>
      <c r="Y611" s="69" t="e" cm="1">
        <f t="array" ref="Y611">_xlfn.XLOOKUP(Table1[[#This Row],[5 cm2 cell test code]:[5 cm2 cell test code]],[1]!Table1[[Test code]:[Test code]],[1]!Table1[3-E ƞ at 20mAcm-2 (mV)],"",0)</f>
        <v>#REF!</v>
      </c>
      <c r="Z611" s="69" t="e" cm="1">
        <f t="array" ref="Z611">_xlfn.XLOOKUP(Table1[[#This Row],[5 cm2 cell test code]:[5 cm2 cell test code]],[1]!Table1[[Test code]:[Test code]],[1]!Table1[3-E Tafel slope (mV/dec)],"",0)</f>
        <v>#REF!</v>
      </c>
      <c r="AA611" s="69" t="e" cm="1">
        <f t="array" ref="AA611">_xlfn.XLOOKUP(Table1[[#This Row],[5 cm2 cell test code]:[5 cm2 cell test code]],[1]!Table1[[Test code]:[Test code]],[1]!Table1[E @ 100 mA/cm2 DIW/V],"",0)</f>
        <v>#REF!</v>
      </c>
      <c r="AB611" s="69" t="e" cm="1">
        <f t="array" ref="AB611">_xlfn.XLOOKUP(Table1[[#This Row],[5 cm2 cell test code]:[5 cm2 cell test code]],[1]!Table1[[Test code]:[Test code]],[1]!Table1[E @ 100 mA/cm2 10 mM KOH/V],"",0)</f>
        <v>#REF!</v>
      </c>
      <c r="AC611" s="69" t="e" cm="1">
        <f t="array" ref="AC611">_xlfn.XLOOKUP(Table1[[#This Row],[5 cm2 cell test code]:[5 cm2 cell test code]],[1]!Table1[[Test code]:[Test code]],[1]!Table1[Anode ICR/mOhm],"",0)</f>
        <v>#REF!</v>
      </c>
      <c r="AD611" s="69" t="e" cm="1">
        <f t="array" ref="AD611">_xlfn.XLOOKUP(Table1[[#This Row],[5 cm2 cell test code]:[5 cm2 cell test code]],[1]!Table1[[Test code]:[Test code]],[1]!Table1[HFR DIW/ mOhm cm2],"",0)</f>
        <v>#REF!</v>
      </c>
      <c r="AE611" s="69" t="e" cm="1">
        <f t="array" ref="AE611">_xlfn.XLOOKUP(Table1[[#This Row],[5 cm2 cell test code]:[5 cm2 cell test code]],[1]!Table1[[Test code]:[Test code]],[1]!Table1[HFR 10 mM KOH/ mOhm cm2],"",0)</f>
        <v>#REF!</v>
      </c>
      <c r="AF611" s="69" t="e" cm="1">
        <f t="array" ref="AF611">_xlfn.XLOOKUP(Table1[[#This Row],[5 cm2 cell test code]:[5 cm2 cell test code]],[1]!Table1[[Test code]:[Test code]],[1]!Table1[Ionic resistance DIW/Ohm cm2],"",0)</f>
        <v>#REF!</v>
      </c>
      <c r="AG611" s="69" t="e" cm="1">
        <f t="array" ref="AG611">_xlfn.XLOOKUP(Table1[[#This Row],[5 cm2 cell test code]:[5 cm2 cell test code]],[1]!Table1[[Test code]:[Test code]],[1]!Table1[Q_int_frac DIW],"",0)</f>
        <v>#REF!</v>
      </c>
      <c r="AH611" s="69" t="e" cm="1">
        <f t="array" ref="AH611">_xlfn.XLOOKUP(Table1[[#This Row],[5 cm2 cell test code]:[5 cm2 cell test code]],[1]!Table1[[Test code]:[Test code]],[1]!Table1[Ionic resistance 10 mM KOH/Ohm cm2],"",0)</f>
        <v>#REF!</v>
      </c>
      <c r="AI611" s="69" t="e" cm="1">
        <f t="array" ref="AI611">_xlfn.XLOOKUP(Table1[[#This Row],[5 cm2 cell test code]:[5 cm2 cell test code]],[1]!Table1[[Test code]:[Test code]],[1]!Table1[Q_int_frac DIW 10 mM KOH],"",0)</f>
        <v>#REF!</v>
      </c>
      <c r="AJ611" s="69" t="e" cm="1">
        <f t="array" ref="AJ611">_xlfn.XLOOKUP(Table1[[#This Row],[5 cm2 cell test code]:[5 cm2 cell test code]],[1]!Table1[[Test code]:[Test code]],[1]!Table1[DIW conductivity (µS/cm)],"",0)</f>
        <v>#REF!</v>
      </c>
    </row>
    <row r="612" spans="1:36">
      <c r="A612" s="81"/>
      <c r="U612" s="101"/>
      <c r="V612" s="101"/>
      <c r="W612" s="69" t="e" cm="1">
        <f t="array" ref="W612">_xlfn.XLOOKUP(Table1[[#This Row],[5 cm2 cell test code]:[5 cm2 cell test code]],[1]!Table1[[Test code]:[Test code]],[1]!Table1[i @ 1.8 V DIW (A/cm2)],"",0)</f>
        <v>#REF!</v>
      </c>
      <c r="X612" s="69" t="e" cm="1">
        <f t="array" ref="X612">_xlfn.XLOOKUP(Table1[[#This Row],[5 cm2 cell test code]:[5 cm2 cell test code]],[1]!Table1[[Test code]:[Test code]],[1]!Table1[i @ 1.8 V 10 mM KOH (A/cm2)],"",0)</f>
        <v>#REF!</v>
      </c>
      <c r="Y612" s="69" t="e" cm="1">
        <f t="array" ref="Y612">_xlfn.XLOOKUP(Table1[[#This Row],[5 cm2 cell test code]:[5 cm2 cell test code]],[1]!Table1[[Test code]:[Test code]],[1]!Table1[3-E ƞ at 20mAcm-2 (mV)],"",0)</f>
        <v>#REF!</v>
      </c>
      <c r="Z612" s="69" t="e" cm="1">
        <f t="array" ref="Z612">_xlfn.XLOOKUP(Table1[[#This Row],[5 cm2 cell test code]:[5 cm2 cell test code]],[1]!Table1[[Test code]:[Test code]],[1]!Table1[3-E Tafel slope (mV/dec)],"",0)</f>
        <v>#REF!</v>
      </c>
      <c r="AA612" s="69" t="e" cm="1">
        <f t="array" ref="AA612">_xlfn.XLOOKUP(Table1[[#This Row],[5 cm2 cell test code]:[5 cm2 cell test code]],[1]!Table1[[Test code]:[Test code]],[1]!Table1[E @ 100 mA/cm2 DIW/V],"",0)</f>
        <v>#REF!</v>
      </c>
      <c r="AB612" s="69" t="e" cm="1">
        <f t="array" ref="AB612">_xlfn.XLOOKUP(Table1[[#This Row],[5 cm2 cell test code]:[5 cm2 cell test code]],[1]!Table1[[Test code]:[Test code]],[1]!Table1[E @ 100 mA/cm2 10 mM KOH/V],"",0)</f>
        <v>#REF!</v>
      </c>
      <c r="AC612" s="69" t="e" cm="1">
        <f t="array" ref="AC612">_xlfn.XLOOKUP(Table1[[#This Row],[5 cm2 cell test code]:[5 cm2 cell test code]],[1]!Table1[[Test code]:[Test code]],[1]!Table1[Anode ICR/mOhm],"",0)</f>
        <v>#REF!</v>
      </c>
      <c r="AD612" s="69" t="e" cm="1">
        <f t="array" ref="AD612">_xlfn.XLOOKUP(Table1[[#This Row],[5 cm2 cell test code]:[5 cm2 cell test code]],[1]!Table1[[Test code]:[Test code]],[1]!Table1[HFR DIW/ mOhm cm2],"",0)</f>
        <v>#REF!</v>
      </c>
      <c r="AE612" s="69" t="e" cm="1">
        <f t="array" ref="AE612">_xlfn.XLOOKUP(Table1[[#This Row],[5 cm2 cell test code]:[5 cm2 cell test code]],[1]!Table1[[Test code]:[Test code]],[1]!Table1[HFR 10 mM KOH/ mOhm cm2],"",0)</f>
        <v>#REF!</v>
      </c>
      <c r="AF612" s="69" t="e" cm="1">
        <f t="array" ref="AF612">_xlfn.XLOOKUP(Table1[[#This Row],[5 cm2 cell test code]:[5 cm2 cell test code]],[1]!Table1[[Test code]:[Test code]],[1]!Table1[Ionic resistance DIW/Ohm cm2],"",0)</f>
        <v>#REF!</v>
      </c>
      <c r="AG612" s="69" t="e" cm="1">
        <f t="array" ref="AG612">_xlfn.XLOOKUP(Table1[[#This Row],[5 cm2 cell test code]:[5 cm2 cell test code]],[1]!Table1[[Test code]:[Test code]],[1]!Table1[Q_int_frac DIW],"",0)</f>
        <v>#REF!</v>
      </c>
      <c r="AH612" s="69" t="e" cm="1">
        <f t="array" ref="AH612">_xlfn.XLOOKUP(Table1[[#This Row],[5 cm2 cell test code]:[5 cm2 cell test code]],[1]!Table1[[Test code]:[Test code]],[1]!Table1[Ionic resistance 10 mM KOH/Ohm cm2],"",0)</f>
        <v>#REF!</v>
      </c>
      <c r="AI612" s="69" t="e" cm="1">
        <f t="array" ref="AI612">_xlfn.XLOOKUP(Table1[[#This Row],[5 cm2 cell test code]:[5 cm2 cell test code]],[1]!Table1[[Test code]:[Test code]],[1]!Table1[Q_int_frac DIW 10 mM KOH],"",0)</f>
        <v>#REF!</v>
      </c>
      <c r="AJ612" s="69" t="e" cm="1">
        <f t="array" ref="AJ612">_xlfn.XLOOKUP(Table1[[#This Row],[5 cm2 cell test code]:[5 cm2 cell test code]],[1]!Table1[[Test code]:[Test code]],[1]!Table1[DIW conductivity (µS/cm)],"",0)</f>
        <v>#REF!</v>
      </c>
    </row>
    <row r="613" spans="1:36">
      <c r="A613" s="81"/>
      <c r="U613" s="101"/>
      <c r="V613" s="101"/>
      <c r="W613" s="69" t="e" cm="1">
        <f t="array" ref="W613">_xlfn.XLOOKUP(Table1[[#This Row],[5 cm2 cell test code]:[5 cm2 cell test code]],[1]!Table1[[Test code]:[Test code]],[1]!Table1[i @ 1.8 V DIW (A/cm2)],"",0)</f>
        <v>#REF!</v>
      </c>
      <c r="X613" s="69" t="e" cm="1">
        <f t="array" ref="X613">_xlfn.XLOOKUP(Table1[[#This Row],[5 cm2 cell test code]:[5 cm2 cell test code]],[1]!Table1[[Test code]:[Test code]],[1]!Table1[i @ 1.8 V 10 mM KOH (A/cm2)],"",0)</f>
        <v>#REF!</v>
      </c>
      <c r="Y613" s="69" t="e" cm="1">
        <f t="array" ref="Y613">_xlfn.XLOOKUP(Table1[[#This Row],[5 cm2 cell test code]:[5 cm2 cell test code]],[1]!Table1[[Test code]:[Test code]],[1]!Table1[3-E ƞ at 20mAcm-2 (mV)],"",0)</f>
        <v>#REF!</v>
      </c>
      <c r="Z613" s="69" t="e" cm="1">
        <f t="array" ref="Z613">_xlfn.XLOOKUP(Table1[[#This Row],[5 cm2 cell test code]:[5 cm2 cell test code]],[1]!Table1[[Test code]:[Test code]],[1]!Table1[3-E Tafel slope (mV/dec)],"",0)</f>
        <v>#REF!</v>
      </c>
      <c r="AA613" s="69" t="e" cm="1">
        <f t="array" ref="AA613">_xlfn.XLOOKUP(Table1[[#This Row],[5 cm2 cell test code]:[5 cm2 cell test code]],[1]!Table1[[Test code]:[Test code]],[1]!Table1[E @ 100 mA/cm2 DIW/V],"",0)</f>
        <v>#REF!</v>
      </c>
      <c r="AB613" s="69" t="e" cm="1">
        <f t="array" ref="AB613">_xlfn.XLOOKUP(Table1[[#This Row],[5 cm2 cell test code]:[5 cm2 cell test code]],[1]!Table1[[Test code]:[Test code]],[1]!Table1[E @ 100 mA/cm2 10 mM KOH/V],"",0)</f>
        <v>#REF!</v>
      </c>
      <c r="AC613" s="69" t="e" cm="1">
        <f t="array" ref="AC613">_xlfn.XLOOKUP(Table1[[#This Row],[5 cm2 cell test code]:[5 cm2 cell test code]],[1]!Table1[[Test code]:[Test code]],[1]!Table1[Anode ICR/mOhm],"",0)</f>
        <v>#REF!</v>
      </c>
      <c r="AD613" s="69" t="e" cm="1">
        <f t="array" ref="AD613">_xlfn.XLOOKUP(Table1[[#This Row],[5 cm2 cell test code]:[5 cm2 cell test code]],[1]!Table1[[Test code]:[Test code]],[1]!Table1[HFR DIW/ mOhm cm2],"",0)</f>
        <v>#REF!</v>
      </c>
      <c r="AE613" s="69" t="e" cm="1">
        <f t="array" ref="AE613">_xlfn.XLOOKUP(Table1[[#This Row],[5 cm2 cell test code]:[5 cm2 cell test code]],[1]!Table1[[Test code]:[Test code]],[1]!Table1[HFR 10 mM KOH/ mOhm cm2],"",0)</f>
        <v>#REF!</v>
      </c>
      <c r="AF613" s="69" t="e" cm="1">
        <f t="array" ref="AF613">_xlfn.XLOOKUP(Table1[[#This Row],[5 cm2 cell test code]:[5 cm2 cell test code]],[1]!Table1[[Test code]:[Test code]],[1]!Table1[Ionic resistance DIW/Ohm cm2],"",0)</f>
        <v>#REF!</v>
      </c>
      <c r="AG613" s="69" t="e" cm="1">
        <f t="array" ref="AG613">_xlfn.XLOOKUP(Table1[[#This Row],[5 cm2 cell test code]:[5 cm2 cell test code]],[1]!Table1[[Test code]:[Test code]],[1]!Table1[Q_int_frac DIW],"",0)</f>
        <v>#REF!</v>
      </c>
      <c r="AH613" s="69" t="e" cm="1">
        <f t="array" ref="AH613">_xlfn.XLOOKUP(Table1[[#This Row],[5 cm2 cell test code]:[5 cm2 cell test code]],[1]!Table1[[Test code]:[Test code]],[1]!Table1[Ionic resistance 10 mM KOH/Ohm cm2],"",0)</f>
        <v>#REF!</v>
      </c>
      <c r="AI613" s="69" t="e" cm="1">
        <f t="array" ref="AI613">_xlfn.XLOOKUP(Table1[[#This Row],[5 cm2 cell test code]:[5 cm2 cell test code]],[1]!Table1[[Test code]:[Test code]],[1]!Table1[Q_int_frac DIW 10 mM KOH],"",0)</f>
        <v>#REF!</v>
      </c>
      <c r="AJ613" s="69" t="e" cm="1">
        <f t="array" ref="AJ613">_xlfn.XLOOKUP(Table1[[#This Row],[5 cm2 cell test code]:[5 cm2 cell test code]],[1]!Table1[[Test code]:[Test code]],[1]!Table1[DIW conductivity (µS/cm)],"",0)</f>
        <v>#REF!</v>
      </c>
    </row>
    <row r="614" spans="1:36">
      <c r="A614" s="81"/>
      <c r="U614" s="101"/>
      <c r="V614" s="101"/>
      <c r="W614" s="69" t="e" cm="1">
        <f t="array" ref="W614">_xlfn.XLOOKUP(Table1[[#This Row],[5 cm2 cell test code]:[5 cm2 cell test code]],[1]!Table1[[Test code]:[Test code]],[1]!Table1[i @ 1.8 V DIW (A/cm2)],"",0)</f>
        <v>#REF!</v>
      </c>
      <c r="X614" s="69" t="e" cm="1">
        <f t="array" ref="X614">_xlfn.XLOOKUP(Table1[[#This Row],[5 cm2 cell test code]:[5 cm2 cell test code]],[1]!Table1[[Test code]:[Test code]],[1]!Table1[i @ 1.8 V 10 mM KOH (A/cm2)],"",0)</f>
        <v>#REF!</v>
      </c>
      <c r="Y614" s="69" t="e" cm="1">
        <f t="array" ref="Y614">_xlfn.XLOOKUP(Table1[[#This Row],[5 cm2 cell test code]:[5 cm2 cell test code]],[1]!Table1[[Test code]:[Test code]],[1]!Table1[3-E ƞ at 20mAcm-2 (mV)],"",0)</f>
        <v>#REF!</v>
      </c>
      <c r="Z614" s="69" t="e" cm="1">
        <f t="array" ref="Z614">_xlfn.XLOOKUP(Table1[[#This Row],[5 cm2 cell test code]:[5 cm2 cell test code]],[1]!Table1[[Test code]:[Test code]],[1]!Table1[3-E Tafel slope (mV/dec)],"",0)</f>
        <v>#REF!</v>
      </c>
      <c r="AA614" s="69" t="e" cm="1">
        <f t="array" ref="AA614">_xlfn.XLOOKUP(Table1[[#This Row],[5 cm2 cell test code]:[5 cm2 cell test code]],[1]!Table1[[Test code]:[Test code]],[1]!Table1[E @ 100 mA/cm2 DIW/V],"",0)</f>
        <v>#REF!</v>
      </c>
      <c r="AB614" s="69" t="e" cm="1">
        <f t="array" ref="AB614">_xlfn.XLOOKUP(Table1[[#This Row],[5 cm2 cell test code]:[5 cm2 cell test code]],[1]!Table1[[Test code]:[Test code]],[1]!Table1[E @ 100 mA/cm2 10 mM KOH/V],"",0)</f>
        <v>#REF!</v>
      </c>
      <c r="AC614" s="69" t="e" cm="1">
        <f t="array" ref="AC614">_xlfn.XLOOKUP(Table1[[#This Row],[5 cm2 cell test code]:[5 cm2 cell test code]],[1]!Table1[[Test code]:[Test code]],[1]!Table1[Anode ICR/mOhm],"",0)</f>
        <v>#REF!</v>
      </c>
      <c r="AD614" s="69" t="e" cm="1">
        <f t="array" ref="AD614">_xlfn.XLOOKUP(Table1[[#This Row],[5 cm2 cell test code]:[5 cm2 cell test code]],[1]!Table1[[Test code]:[Test code]],[1]!Table1[HFR DIW/ mOhm cm2],"",0)</f>
        <v>#REF!</v>
      </c>
      <c r="AE614" s="69" t="e" cm="1">
        <f t="array" ref="AE614">_xlfn.XLOOKUP(Table1[[#This Row],[5 cm2 cell test code]:[5 cm2 cell test code]],[1]!Table1[[Test code]:[Test code]],[1]!Table1[HFR 10 mM KOH/ mOhm cm2],"",0)</f>
        <v>#REF!</v>
      </c>
      <c r="AF614" s="69" t="e" cm="1">
        <f t="array" ref="AF614">_xlfn.XLOOKUP(Table1[[#This Row],[5 cm2 cell test code]:[5 cm2 cell test code]],[1]!Table1[[Test code]:[Test code]],[1]!Table1[Ionic resistance DIW/Ohm cm2],"",0)</f>
        <v>#REF!</v>
      </c>
      <c r="AG614" s="69" t="e" cm="1">
        <f t="array" ref="AG614">_xlfn.XLOOKUP(Table1[[#This Row],[5 cm2 cell test code]:[5 cm2 cell test code]],[1]!Table1[[Test code]:[Test code]],[1]!Table1[Q_int_frac DIW],"",0)</f>
        <v>#REF!</v>
      </c>
      <c r="AH614" s="69" t="e" cm="1">
        <f t="array" ref="AH614">_xlfn.XLOOKUP(Table1[[#This Row],[5 cm2 cell test code]:[5 cm2 cell test code]],[1]!Table1[[Test code]:[Test code]],[1]!Table1[Ionic resistance 10 mM KOH/Ohm cm2],"",0)</f>
        <v>#REF!</v>
      </c>
      <c r="AI614" s="69" t="e" cm="1">
        <f t="array" ref="AI614">_xlfn.XLOOKUP(Table1[[#This Row],[5 cm2 cell test code]:[5 cm2 cell test code]],[1]!Table1[[Test code]:[Test code]],[1]!Table1[Q_int_frac DIW 10 mM KOH],"",0)</f>
        <v>#REF!</v>
      </c>
      <c r="AJ614" s="69" t="e" cm="1">
        <f t="array" ref="AJ614">_xlfn.XLOOKUP(Table1[[#This Row],[5 cm2 cell test code]:[5 cm2 cell test code]],[1]!Table1[[Test code]:[Test code]],[1]!Table1[DIW conductivity (µS/cm)],"",0)</f>
        <v>#REF!</v>
      </c>
    </row>
    <row r="615" spans="1:36">
      <c r="A615" s="81"/>
      <c r="U615" s="101"/>
      <c r="V615" s="101"/>
      <c r="W615" s="69" t="e" cm="1">
        <f t="array" ref="W615">_xlfn.XLOOKUP(Table1[[#This Row],[5 cm2 cell test code]:[5 cm2 cell test code]],[1]!Table1[[Test code]:[Test code]],[1]!Table1[i @ 1.8 V DIW (A/cm2)],"",0)</f>
        <v>#REF!</v>
      </c>
      <c r="X615" s="69" t="e" cm="1">
        <f t="array" ref="X615">_xlfn.XLOOKUP(Table1[[#This Row],[5 cm2 cell test code]:[5 cm2 cell test code]],[1]!Table1[[Test code]:[Test code]],[1]!Table1[i @ 1.8 V 10 mM KOH (A/cm2)],"",0)</f>
        <v>#REF!</v>
      </c>
      <c r="Y615" s="69" t="e" cm="1">
        <f t="array" ref="Y615">_xlfn.XLOOKUP(Table1[[#This Row],[5 cm2 cell test code]:[5 cm2 cell test code]],[1]!Table1[[Test code]:[Test code]],[1]!Table1[3-E ƞ at 20mAcm-2 (mV)],"",0)</f>
        <v>#REF!</v>
      </c>
      <c r="Z615" s="69" t="e" cm="1">
        <f t="array" ref="Z615">_xlfn.XLOOKUP(Table1[[#This Row],[5 cm2 cell test code]:[5 cm2 cell test code]],[1]!Table1[[Test code]:[Test code]],[1]!Table1[3-E Tafel slope (mV/dec)],"",0)</f>
        <v>#REF!</v>
      </c>
      <c r="AA615" s="69" t="e" cm="1">
        <f t="array" ref="AA615">_xlfn.XLOOKUP(Table1[[#This Row],[5 cm2 cell test code]:[5 cm2 cell test code]],[1]!Table1[[Test code]:[Test code]],[1]!Table1[E @ 100 mA/cm2 DIW/V],"",0)</f>
        <v>#REF!</v>
      </c>
      <c r="AB615" s="69" t="e" cm="1">
        <f t="array" ref="AB615">_xlfn.XLOOKUP(Table1[[#This Row],[5 cm2 cell test code]:[5 cm2 cell test code]],[1]!Table1[[Test code]:[Test code]],[1]!Table1[E @ 100 mA/cm2 10 mM KOH/V],"",0)</f>
        <v>#REF!</v>
      </c>
      <c r="AC615" s="69" t="e" cm="1">
        <f t="array" ref="AC615">_xlfn.XLOOKUP(Table1[[#This Row],[5 cm2 cell test code]:[5 cm2 cell test code]],[1]!Table1[[Test code]:[Test code]],[1]!Table1[Anode ICR/mOhm],"",0)</f>
        <v>#REF!</v>
      </c>
      <c r="AD615" s="69" t="e" cm="1">
        <f t="array" ref="AD615">_xlfn.XLOOKUP(Table1[[#This Row],[5 cm2 cell test code]:[5 cm2 cell test code]],[1]!Table1[[Test code]:[Test code]],[1]!Table1[HFR DIW/ mOhm cm2],"",0)</f>
        <v>#REF!</v>
      </c>
      <c r="AE615" s="69" t="e" cm="1">
        <f t="array" ref="AE615">_xlfn.XLOOKUP(Table1[[#This Row],[5 cm2 cell test code]:[5 cm2 cell test code]],[1]!Table1[[Test code]:[Test code]],[1]!Table1[HFR 10 mM KOH/ mOhm cm2],"",0)</f>
        <v>#REF!</v>
      </c>
      <c r="AF615" s="69" t="e" cm="1">
        <f t="array" ref="AF615">_xlfn.XLOOKUP(Table1[[#This Row],[5 cm2 cell test code]:[5 cm2 cell test code]],[1]!Table1[[Test code]:[Test code]],[1]!Table1[Ionic resistance DIW/Ohm cm2],"",0)</f>
        <v>#REF!</v>
      </c>
      <c r="AG615" s="69" t="e" cm="1">
        <f t="array" ref="AG615">_xlfn.XLOOKUP(Table1[[#This Row],[5 cm2 cell test code]:[5 cm2 cell test code]],[1]!Table1[[Test code]:[Test code]],[1]!Table1[Q_int_frac DIW],"",0)</f>
        <v>#REF!</v>
      </c>
      <c r="AH615" s="69" t="e" cm="1">
        <f t="array" ref="AH615">_xlfn.XLOOKUP(Table1[[#This Row],[5 cm2 cell test code]:[5 cm2 cell test code]],[1]!Table1[[Test code]:[Test code]],[1]!Table1[Ionic resistance 10 mM KOH/Ohm cm2],"",0)</f>
        <v>#REF!</v>
      </c>
      <c r="AI615" s="69" t="e" cm="1">
        <f t="array" ref="AI615">_xlfn.XLOOKUP(Table1[[#This Row],[5 cm2 cell test code]:[5 cm2 cell test code]],[1]!Table1[[Test code]:[Test code]],[1]!Table1[Q_int_frac DIW 10 mM KOH],"",0)</f>
        <v>#REF!</v>
      </c>
      <c r="AJ615" s="69" t="e" cm="1">
        <f t="array" ref="AJ615">_xlfn.XLOOKUP(Table1[[#This Row],[5 cm2 cell test code]:[5 cm2 cell test code]],[1]!Table1[[Test code]:[Test code]],[1]!Table1[DIW conductivity (µS/cm)],"",0)</f>
        <v>#REF!</v>
      </c>
    </row>
    <row r="616" spans="1:36">
      <c r="A616" s="81"/>
      <c r="U616" s="101"/>
      <c r="V616" s="101"/>
      <c r="W616" s="69" t="e" cm="1">
        <f t="array" ref="W616">_xlfn.XLOOKUP(Table1[[#This Row],[5 cm2 cell test code]:[5 cm2 cell test code]],[1]!Table1[[Test code]:[Test code]],[1]!Table1[i @ 1.8 V DIW (A/cm2)],"",0)</f>
        <v>#REF!</v>
      </c>
      <c r="X616" s="69" t="e" cm="1">
        <f t="array" ref="X616">_xlfn.XLOOKUP(Table1[[#This Row],[5 cm2 cell test code]:[5 cm2 cell test code]],[1]!Table1[[Test code]:[Test code]],[1]!Table1[i @ 1.8 V 10 mM KOH (A/cm2)],"",0)</f>
        <v>#REF!</v>
      </c>
      <c r="Y616" s="69" t="e" cm="1">
        <f t="array" ref="Y616">_xlfn.XLOOKUP(Table1[[#This Row],[5 cm2 cell test code]:[5 cm2 cell test code]],[1]!Table1[[Test code]:[Test code]],[1]!Table1[3-E ƞ at 20mAcm-2 (mV)],"",0)</f>
        <v>#REF!</v>
      </c>
      <c r="Z616" s="69" t="e" cm="1">
        <f t="array" ref="Z616">_xlfn.XLOOKUP(Table1[[#This Row],[5 cm2 cell test code]:[5 cm2 cell test code]],[1]!Table1[[Test code]:[Test code]],[1]!Table1[3-E Tafel slope (mV/dec)],"",0)</f>
        <v>#REF!</v>
      </c>
      <c r="AA616" s="69" t="e" cm="1">
        <f t="array" ref="AA616">_xlfn.XLOOKUP(Table1[[#This Row],[5 cm2 cell test code]:[5 cm2 cell test code]],[1]!Table1[[Test code]:[Test code]],[1]!Table1[E @ 100 mA/cm2 DIW/V],"",0)</f>
        <v>#REF!</v>
      </c>
      <c r="AB616" s="69" t="e" cm="1">
        <f t="array" ref="AB616">_xlfn.XLOOKUP(Table1[[#This Row],[5 cm2 cell test code]:[5 cm2 cell test code]],[1]!Table1[[Test code]:[Test code]],[1]!Table1[E @ 100 mA/cm2 10 mM KOH/V],"",0)</f>
        <v>#REF!</v>
      </c>
      <c r="AC616" s="69" t="e" cm="1">
        <f t="array" ref="AC616">_xlfn.XLOOKUP(Table1[[#This Row],[5 cm2 cell test code]:[5 cm2 cell test code]],[1]!Table1[[Test code]:[Test code]],[1]!Table1[Anode ICR/mOhm],"",0)</f>
        <v>#REF!</v>
      </c>
      <c r="AD616" s="69" t="e" cm="1">
        <f t="array" ref="AD616">_xlfn.XLOOKUP(Table1[[#This Row],[5 cm2 cell test code]:[5 cm2 cell test code]],[1]!Table1[[Test code]:[Test code]],[1]!Table1[HFR DIW/ mOhm cm2],"",0)</f>
        <v>#REF!</v>
      </c>
      <c r="AE616" s="69" t="e" cm="1">
        <f t="array" ref="AE616">_xlfn.XLOOKUP(Table1[[#This Row],[5 cm2 cell test code]:[5 cm2 cell test code]],[1]!Table1[[Test code]:[Test code]],[1]!Table1[HFR 10 mM KOH/ mOhm cm2],"",0)</f>
        <v>#REF!</v>
      </c>
      <c r="AF616" s="69" t="e" cm="1">
        <f t="array" ref="AF616">_xlfn.XLOOKUP(Table1[[#This Row],[5 cm2 cell test code]:[5 cm2 cell test code]],[1]!Table1[[Test code]:[Test code]],[1]!Table1[Ionic resistance DIW/Ohm cm2],"",0)</f>
        <v>#REF!</v>
      </c>
      <c r="AG616" s="69" t="e" cm="1">
        <f t="array" ref="AG616">_xlfn.XLOOKUP(Table1[[#This Row],[5 cm2 cell test code]:[5 cm2 cell test code]],[1]!Table1[[Test code]:[Test code]],[1]!Table1[Q_int_frac DIW],"",0)</f>
        <v>#REF!</v>
      </c>
      <c r="AH616" s="69" t="e" cm="1">
        <f t="array" ref="AH616">_xlfn.XLOOKUP(Table1[[#This Row],[5 cm2 cell test code]:[5 cm2 cell test code]],[1]!Table1[[Test code]:[Test code]],[1]!Table1[Ionic resistance 10 mM KOH/Ohm cm2],"",0)</f>
        <v>#REF!</v>
      </c>
      <c r="AI616" s="69" t="e" cm="1">
        <f t="array" ref="AI616">_xlfn.XLOOKUP(Table1[[#This Row],[5 cm2 cell test code]:[5 cm2 cell test code]],[1]!Table1[[Test code]:[Test code]],[1]!Table1[Q_int_frac DIW 10 mM KOH],"",0)</f>
        <v>#REF!</v>
      </c>
      <c r="AJ616" s="69" t="e" cm="1">
        <f t="array" ref="AJ616">_xlfn.XLOOKUP(Table1[[#This Row],[5 cm2 cell test code]:[5 cm2 cell test code]],[1]!Table1[[Test code]:[Test code]],[1]!Table1[DIW conductivity (µS/cm)],"",0)</f>
        <v>#REF!</v>
      </c>
    </row>
    <row r="617" spans="1:36">
      <c r="A617" s="81"/>
      <c r="U617" s="101"/>
      <c r="V617" s="101"/>
      <c r="W617" s="69" t="e" cm="1">
        <f t="array" ref="W617">_xlfn.XLOOKUP(Table1[[#This Row],[5 cm2 cell test code]:[5 cm2 cell test code]],[1]!Table1[[Test code]:[Test code]],[1]!Table1[i @ 1.8 V DIW (A/cm2)],"",0)</f>
        <v>#REF!</v>
      </c>
      <c r="X617" s="69" t="e" cm="1">
        <f t="array" ref="X617">_xlfn.XLOOKUP(Table1[[#This Row],[5 cm2 cell test code]:[5 cm2 cell test code]],[1]!Table1[[Test code]:[Test code]],[1]!Table1[i @ 1.8 V 10 mM KOH (A/cm2)],"",0)</f>
        <v>#REF!</v>
      </c>
      <c r="Y617" s="69" t="e" cm="1">
        <f t="array" ref="Y617">_xlfn.XLOOKUP(Table1[[#This Row],[5 cm2 cell test code]:[5 cm2 cell test code]],[1]!Table1[[Test code]:[Test code]],[1]!Table1[3-E ƞ at 20mAcm-2 (mV)],"",0)</f>
        <v>#REF!</v>
      </c>
      <c r="Z617" s="69" t="e" cm="1">
        <f t="array" ref="Z617">_xlfn.XLOOKUP(Table1[[#This Row],[5 cm2 cell test code]:[5 cm2 cell test code]],[1]!Table1[[Test code]:[Test code]],[1]!Table1[3-E Tafel slope (mV/dec)],"",0)</f>
        <v>#REF!</v>
      </c>
      <c r="AA617" s="69" t="e" cm="1">
        <f t="array" ref="AA617">_xlfn.XLOOKUP(Table1[[#This Row],[5 cm2 cell test code]:[5 cm2 cell test code]],[1]!Table1[[Test code]:[Test code]],[1]!Table1[E @ 100 mA/cm2 DIW/V],"",0)</f>
        <v>#REF!</v>
      </c>
      <c r="AB617" s="69" t="e" cm="1">
        <f t="array" ref="AB617">_xlfn.XLOOKUP(Table1[[#This Row],[5 cm2 cell test code]:[5 cm2 cell test code]],[1]!Table1[[Test code]:[Test code]],[1]!Table1[E @ 100 mA/cm2 10 mM KOH/V],"",0)</f>
        <v>#REF!</v>
      </c>
      <c r="AC617" s="69" t="e" cm="1">
        <f t="array" ref="AC617">_xlfn.XLOOKUP(Table1[[#This Row],[5 cm2 cell test code]:[5 cm2 cell test code]],[1]!Table1[[Test code]:[Test code]],[1]!Table1[Anode ICR/mOhm],"",0)</f>
        <v>#REF!</v>
      </c>
      <c r="AD617" s="69" t="e" cm="1">
        <f t="array" ref="AD617">_xlfn.XLOOKUP(Table1[[#This Row],[5 cm2 cell test code]:[5 cm2 cell test code]],[1]!Table1[[Test code]:[Test code]],[1]!Table1[HFR DIW/ mOhm cm2],"",0)</f>
        <v>#REF!</v>
      </c>
      <c r="AE617" s="69" t="e" cm="1">
        <f t="array" ref="AE617">_xlfn.XLOOKUP(Table1[[#This Row],[5 cm2 cell test code]:[5 cm2 cell test code]],[1]!Table1[[Test code]:[Test code]],[1]!Table1[HFR 10 mM KOH/ mOhm cm2],"",0)</f>
        <v>#REF!</v>
      </c>
      <c r="AF617" s="69" t="e" cm="1">
        <f t="array" ref="AF617">_xlfn.XLOOKUP(Table1[[#This Row],[5 cm2 cell test code]:[5 cm2 cell test code]],[1]!Table1[[Test code]:[Test code]],[1]!Table1[Ionic resistance DIW/Ohm cm2],"",0)</f>
        <v>#REF!</v>
      </c>
      <c r="AG617" s="69" t="e" cm="1">
        <f t="array" ref="AG617">_xlfn.XLOOKUP(Table1[[#This Row],[5 cm2 cell test code]:[5 cm2 cell test code]],[1]!Table1[[Test code]:[Test code]],[1]!Table1[Q_int_frac DIW],"",0)</f>
        <v>#REF!</v>
      </c>
      <c r="AH617" s="69" t="e" cm="1">
        <f t="array" ref="AH617">_xlfn.XLOOKUP(Table1[[#This Row],[5 cm2 cell test code]:[5 cm2 cell test code]],[1]!Table1[[Test code]:[Test code]],[1]!Table1[Ionic resistance 10 mM KOH/Ohm cm2],"",0)</f>
        <v>#REF!</v>
      </c>
      <c r="AI617" s="69" t="e" cm="1">
        <f t="array" ref="AI617">_xlfn.XLOOKUP(Table1[[#This Row],[5 cm2 cell test code]:[5 cm2 cell test code]],[1]!Table1[[Test code]:[Test code]],[1]!Table1[Q_int_frac DIW 10 mM KOH],"",0)</f>
        <v>#REF!</v>
      </c>
      <c r="AJ617" s="69" t="e" cm="1">
        <f t="array" ref="AJ617">_xlfn.XLOOKUP(Table1[[#This Row],[5 cm2 cell test code]:[5 cm2 cell test code]],[1]!Table1[[Test code]:[Test code]],[1]!Table1[DIW conductivity (µS/cm)],"",0)</f>
        <v>#REF!</v>
      </c>
    </row>
    <row r="618" spans="1:36">
      <c r="A618" s="81"/>
      <c r="U618" s="101"/>
      <c r="V618" s="101"/>
      <c r="W618" s="69" t="e" cm="1">
        <f t="array" ref="W618">_xlfn.XLOOKUP(Table1[[#This Row],[5 cm2 cell test code]:[5 cm2 cell test code]],[1]!Table1[[Test code]:[Test code]],[1]!Table1[i @ 1.8 V DIW (A/cm2)],"",0)</f>
        <v>#REF!</v>
      </c>
      <c r="X618" s="69" t="e" cm="1">
        <f t="array" ref="X618">_xlfn.XLOOKUP(Table1[[#This Row],[5 cm2 cell test code]:[5 cm2 cell test code]],[1]!Table1[[Test code]:[Test code]],[1]!Table1[i @ 1.8 V 10 mM KOH (A/cm2)],"",0)</f>
        <v>#REF!</v>
      </c>
      <c r="Y618" s="69" t="e" cm="1">
        <f t="array" ref="Y618">_xlfn.XLOOKUP(Table1[[#This Row],[5 cm2 cell test code]:[5 cm2 cell test code]],[1]!Table1[[Test code]:[Test code]],[1]!Table1[3-E ƞ at 20mAcm-2 (mV)],"",0)</f>
        <v>#REF!</v>
      </c>
      <c r="Z618" s="69" t="e" cm="1">
        <f t="array" ref="Z618">_xlfn.XLOOKUP(Table1[[#This Row],[5 cm2 cell test code]:[5 cm2 cell test code]],[1]!Table1[[Test code]:[Test code]],[1]!Table1[3-E Tafel slope (mV/dec)],"",0)</f>
        <v>#REF!</v>
      </c>
      <c r="AA618" s="69" t="e" cm="1">
        <f t="array" ref="AA618">_xlfn.XLOOKUP(Table1[[#This Row],[5 cm2 cell test code]:[5 cm2 cell test code]],[1]!Table1[[Test code]:[Test code]],[1]!Table1[E @ 100 mA/cm2 DIW/V],"",0)</f>
        <v>#REF!</v>
      </c>
      <c r="AB618" s="69" t="e" cm="1">
        <f t="array" ref="AB618">_xlfn.XLOOKUP(Table1[[#This Row],[5 cm2 cell test code]:[5 cm2 cell test code]],[1]!Table1[[Test code]:[Test code]],[1]!Table1[E @ 100 mA/cm2 10 mM KOH/V],"",0)</f>
        <v>#REF!</v>
      </c>
      <c r="AC618" s="69" t="e" cm="1">
        <f t="array" ref="AC618">_xlfn.XLOOKUP(Table1[[#This Row],[5 cm2 cell test code]:[5 cm2 cell test code]],[1]!Table1[[Test code]:[Test code]],[1]!Table1[Anode ICR/mOhm],"",0)</f>
        <v>#REF!</v>
      </c>
      <c r="AD618" s="69" t="e" cm="1">
        <f t="array" ref="AD618">_xlfn.XLOOKUP(Table1[[#This Row],[5 cm2 cell test code]:[5 cm2 cell test code]],[1]!Table1[[Test code]:[Test code]],[1]!Table1[HFR DIW/ mOhm cm2],"",0)</f>
        <v>#REF!</v>
      </c>
      <c r="AE618" s="69" t="e" cm="1">
        <f t="array" ref="AE618">_xlfn.XLOOKUP(Table1[[#This Row],[5 cm2 cell test code]:[5 cm2 cell test code]],[1]!Table1[[Test code]:[Test code]],[1]!Table1[HFR 10 mM KOH/ mOhm cm2],"",0)</f>
        <v>#REF!</v>
      </c>
      <c r="AF618" s="69" t="e" cm="1">
        <f t="array" ref="AF618">_xlfn.XLOOKUP(Table1[[#This Row],[5 cm2 cell test code]:[5 cm2 cell test code]],[1]!Table1[[Test code]:[Test code]],[1]!Table1[Ionic resistance DIW/Ohm cm2],"",0)</f>
        <v>#REF!</v>
      </c>
      <c r="AG618" s="69" t="e" cm="1">
        <f t="array" ref="AG618">_xlfn.XLOOKUP(Table1[[#This Row],[5 cm2 cell test code]:[5 cm2 cell test code]],[1]!Table1[[Test code]:[Test code]],[1]!Table1[Q_int_frac DIW],"",0)</f>
        <v>#REF!</v>
      </c>
      <c r="AH618" s="69" t="e" cm="1">
        <f t="array" ref="AH618">_xlfn.XLOOKUP(Table1[[#This Row],[5 cm2 cell test code]:[5 cm2 cell test code]],[1]!Table1[[Test code]:[Test code]],[1]!Table1[Ionic resistance 10 mM KOH/Ohm cm2],"",0)</f>
        <v>#REF!</v>
      </c>
      <c r="AI618" s="69" t="e" cm="1">
        <f t="array" ref="AI618">_xlfn.XLOOKUP(Table1[[#This Row],[5 cm2 cell test code]:[5 cm2 cell test code]],[1]!Table1[[Test code]:[Test code]],[1]!Table1[Q_int_frac DIW 10 mM KOH],"",0)</f>
        <v>#REF!</v>
      </c>
      <c r="AJ618" s="69" t="e" cm="1">
        <f t="array" ref="AJ618">_xlfn.XLOOKUP(Table1[[#This Row],[5 cm2 cell test code]:[5 cm2 cell test code]],[1]!Table1[[Test code]:[Test code]],[1]!Table1[DIW conductivity (µS/cm)],"",0)</f>
        <v>#REF!</v>
      </c>
    </row>
    <row r="619" spans="1:36">
      <c r="A619" s="81"/>
      <c r="U619" s="101"/>
      <c r="V619" s="101"/>
      <c r="W619" s="69" t="e" cm="1">
        <f t="array" ref="W619">_xlfn.XLOOKUP(Table1[[#This Row],[5 cm2 cell test code]:[5 cm2 cell test code]],[1]!Table1[[Test code]:[Test code]],[1]!Table1[i @ 1.8 V DIW (A/cm2)],"",0)</f>
        <v>#REF!</v>
      </c>
      <c r="X619" s="69" t="e" cm="1">
        <f t="array" ref="X619">_xlfn.XLOOKUP(Table1[[#This Row],[5 cm2 cell test code]:[5 cm2 cell test code]],[1]!Table1[[Test code]:[Test code]],[1]!Table1[i @ 1.8 V 10 mM KOH (A/cm2)],"",0)</f>
        <v>#REF!</v>
      </c>
      <c r="Y619" s="69" t="e" cm="1">
        <f t="array" ref="Y619">_xlfn.XLOOKUP(Table1[[#This Row],[5 cm2 cell test code]:[5 cm2 cell test code]],[1]!Table1[[Test code]:[Test code]],[1]!Table1[3-E ƞ at 20mAcm-2 (mV)],"",0)</f>
        <v>#REF!</v>
      </c>
      <c r="Z619" s="69" t="e" cm="1">
        <f t="array" ref="Z619">_xlfn.XLOOKUP(Table1[[#This Row],[5 cm2 cell test code]:[5 cm2 cell test code]],[1]!Table1[[Test code]:[Test code]],[1]!Table1[3-E Tafel slope (mV/dec)],"",0)</f>
        <v>#REF!</v>
      </c>
      <c r="AA619" s="69" t="e" cm="1">
        <f t="array" ref="AA619">_xlfn.XLOOKUP(Table1[[#This Row],[5 cm2 cell test code]:[5 cm2 cell test code]],[1]!Table1[[Test code]:[Test code]],[1]!Table1[E @ 100 mA/cm2 DIW/V],"",0)</f>
        <v>#REF!</v>
      </c>
      <c r="AB619" s="69" t="e" cm="1">
        <f t="array" ref="AB619">_xlfn.XLOOKUP(Table1[[#This Row],[5 cm2 cell test code]:[5 cm2 cell test code]],[1]!Table1[[Test code]:[Test code]],[1]!Table1[E @ 100 mA/cm2 10 mM KOH/V],"",0)</f>
        <v>#REF!</v>
      </c>
      <c r="AC619" s="69" t="e" cm="1">
        <f t="array" ref="AC619">_xlfn.XLOOKUP(Table1[[#This Row],[5 cm2 cell test code]:[5 cm2 cell test code]],[1]!Table1[[Test code]:[Test code]],[1]!Table1[Anode ICR/mOhm],"",0)</f>
        <v>#REF!</v>
      </c>
      <c r="AD619" s="69" t="e" cm="1">
        <f t="array" ref="AD619">_xlfn.XLOOKUP(Table1[[#This Row],[5 cm2 cell test code]:[5 cm2 cell test code]],[1]!Table1[[Test code]:[Test code]],[1]!Table1[HFR DIW/ mOhm cm2],"",0)</f>
        <v>#REF!</v>
      </c>
      <c r="AE619" s="69" t="e" cm="1">
        <f t="array" ref="AE619">_xlfn.XLOOKUP(Table1[[#This Row],[5 cm2 cell test code]:[5 cm2 cell test code]],[1]!Table1[[Test code]:[Test code]],[1]!Table1[HFR 10 mM KOH/ mOhm cm2],"",0)</f>
        <v>#REF!</v>
      </c>
      <c r="AF619" s="69" t="e" cm="1">
        <f t="array" ref="AF619">_xlfn.XLOOKUP(Table1[[#This Row],[5 cm2 cell test code]:[5 cm2 cell test code]],[1]!Table1[[Test code]:[Test code]],[1]!Table1[Ionic resistance DIW/Ohm cm2],"",0)</f>
        <v>#REF!</v>
      </c>
      <c r="AG619" s="69" t="e" cm="1">
        <f t="array" ref="AG619">_xlfn.XLOOKUP(Table1[[#This Row],[5 cm2 cell test code]:[5 cm2 cell test code]],[1]!Table1[[Test code]:[Test code]],[1]!Table1[Q_int_frac DIW],"",0)</f>
        <v>#REF!</v>
      </c>
      <c r="AH619" s="69" t="e" cm="1">
        <f t="array" ref="AH619">_xlfn.XLOOKUP(Table1[[#This Row],[5 cm2 cell test code]:[5 cm2 cell test code]],[1]!Table1[[Test code]:[Test code]],[1]!Table1[Ionic resistance 10 mM KOH/Ohm cm2],"",0)</f>
        <v>#REF!</v>
      </c>
      <c r="AI619" s="69" t="e" cm="1">
        <f t="array" ref="AI619">_xlfn.XLOOKUP(Table1[[#This Row],[5 cm2 cell test code]:[5 cm2 cell test code]],[1]!Table1[[Test code]:[Test code]],[1]!Table1[Q_int_frac DIW 10 mM KOH],"",0)</f>
        <v>#REF!</v>
      </c>
      <c r="AJ619" s="69" t="e" cm="1">
        <f t="array" ref="AJ619">_xlfn.XLOOKUP(Table1[[#This Row],[5 cm2 cell test code]:[5 cm2 cell test code]],[1]!Table1[[Test code]:[Test code]],[1]!Table1[DIW conductivity (µS/cm)],"",0)</f>
        <v>#REF!</v>
      </c>
    </row>
    <row r="620" spans="1:36">
      <c r="A620" s="81"/>
      <c r="U620" s="101"/>
      <c r="V620" s="101"/>
      <c r="W620" s="69" t="e" cm="1">
        <f t="array" ref="W620">_xlfn.XLOOKUP(Table1[[#This Row],[5 cm2 cell test code]:[5 cm2 cell test code]],[1]!Table1[[Test code]:[Test code]],[1]!Table1[i @ 1.8 V DIW (A/cm2)],"",0)</f>
        <v>#REF!</v>
      </c>
      <c r="X620" s="69" t="e" cm="1">
        <f t="array" ref="X620">_xlfn.XLOOKUP(Table1[[#This Row],[5 cm2 cell test code]:[5 cm2 cell test code]],[1]!Table1[[Test code]:[Test code]],[1]!Table1[i @ 1.8 V 10 mM KOH (A/cm2)],"",0)</f>
        <v>#REF!</v>
      </c>
      <c r="Y620" s="69" t="e" cm="1">
        <f t="array" ref="Y620">_xlfn.XLOOKUP(Table1[[#This Row],[5 cm2 cell test code]:[5 cm2 cell test code]],[1]!Table1[[Test code]:[Test code]],[1]!Table1[3-E ƞ at 20mAcm-2 (mV)],"",0)</f>
        <v>#REF!</v>
      </c>
      <c r="Z620" s="69" t="e" cm="1">
        <f t="array" ref="Z620">_xlfn.XLOOKUP(Table1[[#This Row],[5 cm2 cell test code]:[5 cm2 cell test code]],[1]!Table1[[Test code]:[Test code]],[1]!Table1[3-E Tafel slope (mV/dec)],"",0)</f>
        <v>#REF!</v>
      </c>
      <c r="AA620" s="69" t="e" cm="1">
        <f t="array" ref="AA620">_xlfn.XLOOKUP(Table1[[#This Row],[5 cm2 cell test code]:[5 cm2 cell test code]],[1]!Table1[[Test code]:[Test code]],[1]!Table1[E @ 100 mA/cm2 DIW/V],"",0)</f>
        <v>#REF!</v>
      </c>
      <c r="AB620" s="69" t="e" cm="1">
        <f t="array" ref="AB620">_xlfn.XLOOKUP(Table1[[#This Row],[5 cm2 cell test code]:[5 cm2 cell test code]],[1]!Table1[[Test code]:[Test code]],[1]!Table1[E @ 100 mA/cm2 10 mM KOH/V],"",0)</f>
        <v>#REF!</v>
      </c>
      <c r="AC620" s="69" t="e" cm="1">
        <f t="array" ref="AC620">_xlfn.XLOOKUP(Table1[[#This Row],[5 cm2 cell test code]:[5 cm2 cell test code]],[1]!Table1[[Test code]:[Test code]],[1]!Table1[Anode ICR/mOhm],"",0)</f>
        <v>#REF!</v>
      </c>
      <c r="AD620" s="69" t="e" cm="1">
        <f t="array" ref="AD620">_xlfn.XLOOKUP(Table1[[#This Row],[5 cm2 cell test code]:[5 cm2 cell test code]],[1]!Table1[[Test code]:[Test code]],[1]!Table1[HFR DIW/ mOhm cm2],"",0)</f>
        <v>#REF!</v>
      </c>
      <c r="AE620" s="69" t="e" cm="1">
        <f t="array" ref="AE620">_xlfn.XLOOKUP(Table1[[#This Row],[5 cm2 cell test code]:[5 cm2 cell test code]],[1]!Table1[[Test code]:[Test code]],[1]!Table1[HFR 10 mM KOH/ mOhm cm2],"",0)</f>
        <v>#REF!</v>
      </c>
      <c r="AF620" s="69" t="e" cm="1">
        <f t="array" ref="AF620">_xlfn.XLOOKUP(Table1[[#This Row],[5 cm2 cell test code]:[5 cm2 cell test code]],[1]!Table1[[Test code]:[Test code]],[1]!Table1[Ionic resistance DIW/Ohm cm2],"",0)</f>
        <v>#REF!</v>
      </c>
      <c r="AG620" s="69" t="e" cm="1">
        <f t="array" ref="AG620">_xlfn.XLOOKUP(Table1[[#This Row],[5 cm2 cell test code]:[5 cm2 cell test code]],[1]!Table1[[Test code]:[Test code]],[1]!Table1[Q_int_frac DIW],"",0)</f>
        <v>#REF!</v>
      </c>
      <c r="AH620" s="69" t="e" cm="1">
        <f t="array" ref="AH620">_xlfn.XLOOKUP(Table1[[#This Row],[5 cm2 cell test code]:[5 cm2 cell test code]],[1]!Table1[[Test code]:[Test code]],[1]!Table1[Ionic resistance 10 mM KOH/Ohm cm2],"",0)</f>
        <v>#REF!</v>
      </c>
      <c r="AI620" s="69" t="e" cm="1">
        <f t="array" ref="AI620">_xlfn.XLOOKUP(Table1[[#This Row],[5 cm2 cell test code]:[5 cm2 cell test code]],[1]!Table1[[Test code]:[Test code]],[1]!Table1[Q_int_frac DIW 10 mM KOH],"",0)</f>
        <v>#REF!</v>
      </c>
      <c r="AJ620" s="69" t="e" cm="1">
        <f t="array" ref="AJ620">_xlfn.XLOOKUP(Table1[[#This Row],[5 cm2 cell test code]:[5 cm2 cell test code]],[1]!Table1[[Test code]:[Test code]],[1]!Table1[DIW conductivity (µS/cm)],"",0)</f>
        <v>#REF!</v>
      </c>
    </row>
    <row r="621" spans="1:36">
      <c r="A621" s="81"/>
      <c r="U621" s="101"/>
      <c r="V621" s="101"/>
      <c r="W621" s="69" t="e" cm="1">
        <f t="array" ref="W621">_xlfn.XLOOKUP(Table1[[#This Row],[5 cm2 cell test code]:[5 cm2 cell test code]],[1]!Table1[[Test code]:[Test code]],[1]!Table1[i @ 1.8 V DIW (A/cm2)],"",0)</f>
        <v>#REF!</v>
      </c>
      <c r="X621" s="69" t="e" cm="1">
        <f t="array" ref="X621">_xlfn.XLOOKUP(Table1[[#This Row],[5 cm2 cell test code]:[5 cm2 cell test code]],[1]!Table1[[Test code]:[Test code]],[1]!Table1[i @ 1.8 V 10 mM KOH (A/cm2)],"",0)</f>
        <v>#REF!</v>
      </c>
      <c r="Y621" s="69" t="e" cm="1">
        <f t="array" ref="Y621">_xlfn.XLOOKUP(Table1[[#This Row],[5 cm2 cell test code]:[5 cm2 cell test code]],[1]!Table1[[Test code]:[Test code]],[1]!Table1[3-E ƞ at 20mAcm-2 (mV)],"",0)</f>
        <v>#REF!</v>
      </c>
      <c r="Z621" s="69" t="e" cm="1">
        <f t="array" ref="Z621">_xlfn.XLOOKUP(Table1[[#This Row],[5 cm2 cell test code]:[5 cm2 cell test code]],[1]!Table1[[Test code]:[Test code]],[1]!Table1[3-E Tafel slope (mV/dec)],"",0)</f>
        <v>#REF!</v>
      </c>
      <c r="AA621" s="69" t="e" cm="1">
        <f t="array" ref="AA621">_xlfn.XLOOKUP(Table1[[#This Row],[5 cm2 cell test code]:[5 cm2 cell test code]],[1]!Table1[[Test code]:[Test code]],[1]!Table1[E @ 100 mA/cm2 DIW/V],"",0)</f>
        <v>#REF!</v>
      </c>
      <c r="AB621" s="69" t="e" cm="1">
        <f t="array" ref="AB621">_xlfn.XLOOKUP(Table1[[#This Row],[5 cm2 cell test code]:[5 cm2 cell test code]],[1]!Table1[[Test code]:[Test code]],[1]!Table1[E @ 100 mA/cm2 10 mM KOH/V],"",0)</f>
        <v>#REF!</v>
      </c>
      <c r="AC621" s="69" t="e" cm="1">
        <f t="array" ref="AC621">_xlfn.XLOOKUP(Table1[[#This Row],[5 cm2 cell test code]:[5 cm2 cell test code]],[1]!Table1[[Test code]:[Test code]],[1]!Table1[Anode ICR/mOhm],"",0)</f>
        <v>#REF!</v>
      </c>
      <c r="AD621" s="69" t="e" cm="1">
        <f t="array" ref="AD621">_xlfn.XLOOKUP(Table1[[#This Row],[5 cm2 cell test code]:[5 cm2 cell test code]],[1]!Table1[[Test code]:[Test code]],[1]!Table1[HFR DIW/ mOhm cm2],"",0)</f>
        <v>#REF!</v>
      </c>
      <c r="AE621" s="69" t="e" cm="1">
        <f t="array" ref="AE621">_xlfn.XLOOKUP(Table1[[#This Row],[5 cm2 cell test code]:[5 cm2 cell test code]],[1]!Table1[[Test code]:[Test code]],[1]!Table1[HFR 10 mM KOH/ mOhm cm2],"",0)</f>
        <v>#REF!</v>
      </c>
      <c r="AF621" s="69" t="e" cm="1">
        <f t="array" ref="AF621">_xlfn.XLOOKUP(Table1[[#This Row],[5 cm2 cell test code]:[5 cm2 cell test code]],[1]!Table1[[Test code]:[Test code]],[1]!Table1[Ionic resistance DIW/Ohm cm2],"",0)</f>
        <v>#REF!</v>
      </c>
      <c r="AG621" s="69" t="e" cm="1">
        <f t="array" ref="AG621">_xlfn.XLOOKUP(Table1[[#This Row],[5 cm2 cell test code]:[5 cm2 cell test code]],[1]!Table1[[Test code]:[Test code]],[1]!Table1[Q_int_frac DIW],"",0)</f>
        <v>#REF!</v>
      </c>
      <c r="AH621" s="69" t="e" cm="1">
        <f t="array" ref="AH621">_xlfn.XLOOKUP(Table1[[#This Row],[5 cm2 cell test code]:[5 cm2 cell test code]],[1]!Table1[[Test code]:[Test code]],[1]!Table1[Ionic resistance 10 mM KOH/Ohm cm2],"",0)</f>
        <v>#REF!</v>
      </c>
      <c r="AI621" s="69" t="e" cm="1">
        <f t="array" ref="AI621">_xlfn.XLOOKUP(Table1[[#This Row],[5 cm2 cell test code]:[5 cm2 cell test code]],[1]!Table1[[Test code]:[Test code]],[1]!Table1[Q_int_frac DIW 10 mM KOH],"",0)</f>
        <v>#REF!</v>
      </c>
      <c r="AJ621" s="69" t="e" cm="1">
        <f t="array" ref="AJ621">_xlfn.XLOOKUP(Table1[[#This Row],[5 cm2 cell test code]:[5 cm2 cell test code]],[1]!Table1[[Test code]:[Test code]],[1]!Table1[DIW conductivity (µS/cm)],"",0)</f>
        <v>#REF!</v>
      </c>
    </row>
    <row r="622" spans="1:36">
      <c r="A622" s="81"/>
      <c r="U622" s="101"/>
      <c r="V622" s="101"/>
      <c r="W622" s="69" t="e" cm="1">
        <f t="array" ref="W622">_xlfn.XLOOKUP(Table1[[#This Row],[5 cm2 cell test code]:[5 cm2 cell test code]],[1]!Table1[[Test code]:[Test code]],[1]!Table1[i @ 1.8 V DIW (A/cm2)],"",0)</f>
        <v>#REF!</v>
      </c>
      <c r="X622" s="69" t="e" cm="1">
        <f t="array" ref="X622">_xlfn.XLOOKUP(Table1[[#This Row],[5 cm2 cell test code]:[5 cm2 cell test code]],[1]!Table1[[Test code]:[Test code]],[1]!Table1[i @ 1.8 V 10 mM KOH (A/cm2)],"",0)</f>
        <v>#REF!</v>
      </c>
      <c r="Y622" s="69" t="e" cm="1">
        <f t="array" ref="Y622">_xlfn.XLOOKUP(Table1[[#This Row],[5 cm2 cell test code]:[5 cm2 cell test code]],[1]!Table1[[Test code]:[Test code]],[1]!Table1[3-E ƞ at 20mAcm-2 (mV)],"",0)</f>
        <v>#REF!</v>
      </c>
      <c r="Z622" s="69" t="e" cm="1">
        <f t="array" ref="Z622">_xlfn.XLOOKUP(Table1[[#This Row],[5 cm2 cell test code]:[5 cm2 cell test code]],[1]!Table1[[Test code]:[Test code]],[1]!Table1[3-E Tafel slope (mV/dec)],"",0)</f>
        <v>#REF!</v>
      </c>
      <c r="AA622" s="69" t="e" cm="1">
        <f t="array" ref="AA622">_xlfn.XLOOKUP(Table1[[#This Row],[5 cm2 cell test code]:[5 cm2 cell test code]],[1]!Table1[[Test code]:[Test code]],[1]!Table1[E @ 100 mA/cm2 DIW/V],"",0)</f>
        <v>#REF!</v>
      </c>
      <c r="AB622" s="69" t="e" cm="1">
        <f t="array" ref="AB622">_xlfn.XLOOKUP(Table1[[#This Row],[5 cm2 cell test code]:[5 cm2 cell test code]],[1]!Table1[[Test code]:[Test code]],[1]!Table1[E @ 100 mA/cm2 10 mM KOH/V],"",0)</f>
        <v>#REF!</v>
      </c>
      <c r="AC622" s="69" t="e" cm="1">
        <f t="array" ref="AC622">_xlfn.XLOOKUP(Table1[[#This Row],[5 cm2 cell test code]:[5 cm2 cell test code]],[1]!Table1[[Test code]:[Test code]],[1]!Table1[Anode ICR/mOhm],"",0)</f>
        <v>#REF!</v>
      </c>
      <c r="AD622" s="69" t="e" cm="1">
        <f t="array" ref="AD622">_xlfn.XLOOKUP(Table1[[#This Row],[5 cm2 cell test code]:[5 cm2 cell test code]],[1]!Table1[[Test code]:[Test code]],[1]!Table1[HFR DIW/ mOhm cm2],"",0)</f>
        <v>#REF!</v>
      </c>
      <c r="AE622" s="69" t="e" cm="1">
        <f t="array" ref="AE622">_xlfn.XLOOKUP(Table1[[#This Row],[5 cm2 cell test code]:[5 cm2 cell test code]],[1]!Table1[[Test code]:[Test code]],[1]!Table1[HFR 10 mM KOH/ mOhm cm2],"",0)</f>
        <v>#REF!</v>
      </c>
      <c r="AF622" s="69" t="e" cm="1">
        <f t="array" ref="AF622">_xlfn.XLOOKUP(Table1[[#This Row],[5 cm2 cell test code]:[5 cm2 cell test code]],[1]!Table1[[Test code]:[Test code]],[1]!Table1[Ionic resistance DIW/Ohm cm2],"",0)</f>
        <v>#REF!</v>
      </c>
      <c r="AG622" s="69" t="e" cm="1">
        <f t="array" ref="AG622">_xlfn.XLOOKUP(Table1[[#This Row],[5 cm2 cell test code]:[5 cm2 cell test code]],[1]!Table1[[Test code]:[Test code]],[1]!Table1[Q_int_frac DIW],"",0)</f>
        <v>#REF!</v>
      </c>
      <c r="AH622" s="69" t="e" cm="1">
        <f t="array" ref="AH622">_xlfn.XLOOKUP(Table1[[#This Row],[5 cm2 cell test code]:[5 cm2 cell test code]],[1]!Table1[[Test code]:[Test code]],[1]!Table1[Ionic resistance 10 mM KOH/Ohm cm2],"",0)</f>
        <v>#REF!</v>
      </c>
      <c r="AI622" s="69" t="e" cm="1">
        <f t="array" ref="AI622">_xlfn.XLOOKUP(Table1[[#This Row],[5 cm2 cell test code]:[5 cm2 cell test code]],[1]!Table1[[Test code]:[Test code]],[1]!Table1[Q_int_frac DIW 10 mM KOH],"",0)</f>
        <v>#REF!</v>
      </c>
      <c r="AJ622" s="69" t="e" cm="1">
        <f t="array" ref="AJ622">_xlfn.XLOOKUP(Table1[[#This Row],[5 cm2 cell test code]:[5 cm2 cell test code]],[1]!Table1[[Test code]:[Test code]],[1]!Table1[DIW conductivity (µS/cm)],"",0)</f>
        <v>#REF!</v>
      </c>
    </row>
    <row r="623" spans="1:36">
      <c r="A623" s="81"/>
      <c r="U623" s="101"/>
      <c r="V623" s="101"/>
      <c r="W623" s="69" t="e" cm="1">
        <f t="array" ref="W623">_xlfn.XLOOKUP(Table1[[#This Row],[5 cm2 cell test code]:[5 cm2 cell test code]],[1]!Table1[[Test code]:[Test code]],[1]!Table1[i @ 1.8 V DIW (A/cm2)],"",0)</f>
        <v>#REF!</v>
      </c>
      <c r="X623" s="69" t="e" cm="1">
        <f t="array" ref="X623">_xlfn.XLOOKUP(Table1[[#This Row],[5 cm2 cell test code]:[5 cm2 cell test code]],[1]!Table1[[Test code]:[Test code]],[1]!Table1[i @ 1.8 V 10 mM KOH (A/cm2)],"",0)</f>
        <v>#REF!</v>
      </c>
      <c r="Y623" s="69" t="e" cm="1">
        <f t="array" ref="Y623">_xlfn.XLOOKUP(Table1[[#This Row],[5 cm2 cell test code]:[5 cm2 cell test code]],[1]!Table1[[Test code]:[Test code]],[1]!Table1[3-E ƞ at 20mAcm-2 (mV)],"",0)</f>
        <v>#REF!</v>
      </c>
      <c r="Z623" s="69" t="e" cm="1">
        <f t="array" ref="Z623">_xlfn.XLOOKUP(Table1[[#This Row],[5 cm2 cell test code]:[5 cm2 cell test code]],[1]!Table1[[Test code]:[Test code]],[1]!Table1[3-E Tafel slope (mV/dec)],"",0)</f>
        <v>#REF!</v>
      </c>
      <c r="AA623" s="69" t="e" cm="1">
        <f t="array" ref="AA623">_xlfn.XLOOKUP(Table1[[#This Row],[5 cm2 cell test code]:[5 cm2 cell test code]],[1]!Table1[[Test code]:[Test code]],[1]!Table1[E @ 100 mA/cm2 DIW/V],"",0)</f>
        <v>#REF!</v>
      </c>
      <c r="AB623" s="69" t="e" cm="1">
        <f t="array" ref="AB623">_xlfn.XLOOKUP(Table1[[#This Row],[5 cm2 cell test code]:[5 cm2 cell test code]],[1]!Table1[[Test code]:[Test code]],[1]!Table1[E @ 100 mA/cm2 10 mM KOH/V],"",0)</f>
        <v>#REF!</v>
      </c>
      <c r="AC623" s="69" t="e" cm="1">
        <f t="array" ref="AC623">_xlfn.XLOOKUP(Table1[[#This Row],[5 cm2 cell test code]:[5 cm2 cell test code]],[1]!Table1[[Test code]:[Test code]],[1]!Table1[Anode ICR/mOhm],"",0)</f>
        <v>#REF!</v>
      </c>
      <c r="AD623" s="69" t="e" cm="1">
        <f t="array" ref="AD623">_xlfn.XLOOKUP(Table1[[#This Row],[5 cm2 cell test code]:[5 cm2 cell test code]],[1]!Table1[[Test code]:[Test code]],[1]!Table1[HFR DIW/ mOhm cm2],"",0)</f>
        <v>#REF!</v>
      </c>
      <c r="AE623" s="69" t="e" cm="1">
        <f t="array" ref="AE623">_xlfn.XLOOKUP(Table1[[#This Row],[5 cm2 cell test code]:[5 cm2 cell test code]],[1]!Table1[[Test code]:[Test code]],[1]!Table1[HFR 10 mM KOH/ mOhm cm2],"",0)</f>
        <v>#REF!</v>
      </c>
      <c r="AF623" s="69" t="e" cm="1">
        <f t="array" ref="AF623">_xlfn.XLOOKUP(Table1[[#This Row],[5 cm2 cell test code]:[5 cm2 cell test code]],[1]!Table1[[Test code]:[Test code]],[1]!Table1[Ionic resistance DIW/Ohm cm2],"",0)</f>
        <v>#REF!</v>
      </c>
      <c r="AG623" s="69" t="e" cm="1">
        <f t="array" ref="AG623">_xlfn.XLOOKUP(Table1[[#This Row],[5 cm2 cell test code]:[5 cm2 cell test code]],[1]!Table1[[Test code]:[Test code]],[1]!Table1[Q_int_frac DIW],"",0)</f>
        <v>#REF!</v>
      </c>
      <c r="AH623" s="69" t="e" cm="1">
        <f t="array" ref="AH623">_xlfn.XLOOKUP(Table1[[#This Row],[5 cm2 cell test code]:[5 cm2 cell test code]],[1]!Table1[[Test code]:[Test code]],[1]!Table1[Ionic resistance 10 mM KOH/Ohm cm2],"",0)</f>
        <v>#REF!</v>
      </c>
      <c r="AI623" s="69" t="e" cm="1">
        <f t="array" ref="AI623">_xlfn.XLOOKUP(Table1[[#This Row],[5 cm2 cell test code]:[5 cm2 cell test code]],[1]!Table1[[Test code]:[Test code]],[1]!Table1[Q_int_frac DIW 10 mM KOH],"",0)</f>
        <v>#REF!</v>
      </c>
      <c r="AJ623" s="69" t="e" cm="1">
        <f t="array" ref="AJ623">_xlfn.XLOOKUP(Table1[[#This Row],[5 cm2 cell test code]:[5 cm2 cell test code]],[1]!Table1[[Test code]:[Test code]],[1]!Table1[DIW conductivity (µS/cm)],"",0)</f>
        <v>#REF!</v>
      </c>
    </row>
    <row r="624" spans="1:36">
      <c r="A624" s="81"/>
      <c r="U624" s="101"/>
      <c r="V624" s="101"/>
      <c r="W624" s="69" t="e" cm="1">
        <f t="array" ref="W624">_xlfn.XLOOKUP(Table1[[#This Row],[5 cm2 cell test code]:[5 cm2 cell test code]],[1]!Table1[[Test code]:[Test code]],[1]!Table1[i @ 1.8 V DIW (A/cm2)],"",0)</f>
        <v>#REF!</v>
      </c>
      <c r="X624" s="69" t="e" cm="1">
        <f t="array" ref="X624">_xlfn.XLOOKUP(Table1[[#This Row],[5 cm2 cell test code]:[5 cm2 cell test code]],[1]!Table1[[Test code]:[Test code]],[1]!Table1[i @ 1.8 V 10 mM KOH (A/cm2)],"",0)</f>
        <v>#REF!</v>
      </c>
      <c r="Y624" s="69" t="e" cm="1">
        <f t="array" ref="Y624">_xlfn.XLOOKUP(Table1[[#This Row],[5 cm2 cell test code]:[5 cm2 cell test code]],[1]!Table1[[Test code]:[Test code]],[1]!Table1[3-E ƞ at 20mAcm-2 (mV)],"",0)</f>
        <v>#REF!</v>
      </c>
      <c r="Z624" s="69" t="e" cm="1">
        <f t="array" ref="Z624">_xlfn.XLOOKUP(Table1[[#This Row],[5 cm2 cell test code]:[5 cm2 cell test code]],[1]!Table1[[Test code]:[Test code]],[1]!Table1[3-E Tafel slope (mV/dec)],"",0)</f>
        <v>#REF!</v>
      </c>
      <c r="AA624" s="69" t="e" cm="1">
        <f t="array" ref="AA624">_xlfn.XLOOKUP(Table1[[#This Row],[5 cm2 cell test code]:[5 cm2 cell test code]],[1]!Table1[[Test code]:[Test code]],[1]!Table1[E @ 100 mA/cm2 DIW/V],"",0)</f>
        <v>#REF!</v>
      </c>
      <c r="AB624" s="69" t="e" cm="1">
        <f t="array" ref="AB624">_xlfn.XLOOKUP(Table1[[#This Row],[5 cm2 cell test code]:[5 cm2 cell test code]],[1]!Table1[[Test code]:[Test code]],[1]!Table1[E @ 100 mA/cm2 10 mM KOH/V],"",0)</f>
        <v>#REF!</v>
      </c>
      <c r="AC624" s="69" t="e" cm="1">
        <f t="array" ref="AC624">_xlfn.XLOOKUP(Table1[[#This Row],[5 cm2 cell test code]:[5 cm2 cell test code]],[1]!Table1[[Test code]:[Test code]],[1]!Table1[Anode ICR/mOhm],"",0)</f>
        <v>#REF!</v>
      </c>
      <c r="AD624" s="69" t="e" cm="1">
        <f t="array" ref="AD624">_xlfn.XLOOKUP(Table1[[#This Row],[5 cm2 cell test code]:[5 cm2 cell test code]],[1]!Table1[[Test code]:[Test code]],[1]!Table1[HFR DIW/ mOhm cm2],"",0)</f>
        <v>#REF!</v>
      </c>
      <c r="AE624" s="69" t="e" cm="1">
        <f t="array" ref="AE624">_xlfn.XLOOKUP(Table1[[#This Row],[5 cm2 cell test code]:[5 cm2 cell test code]],[1]!Table1[[Test code]:[Test code]],[1]!Table1[HFR 10 mM KOH/ mOhm cm2],"",0)</f>
        <v>#REF!</v>
      </c>
      <c r="AF624" s="69" t="e" cm="1">
        <f t="array" ref="AF624">_xlfn.XLOOKUP(Table1[[#This Row],[5 cm2 cell test code]:[5 cm2 cell test code]],[1]!Table1[[Test code]:[Test code]],[1]!Table1[Ionic resistance DIW/Ohm cm2],"",0)</f>
        <v>#REF!</v>
      </c>
      <c r="AG624" s="69" t="e" cm="1">
        <f t="array" ref="AG624">_xlfn.XLOOKUP(Table1[[#This Row],[5 cm2 cell test code]:[5 cm2 cell test code]],[1]!Table1[[Test code]:[Test code]],[1]!Table1[Q_int_frac DIW],"",0)</f>
        <v>#REF!</v>
      </c>
      <c r="AH624" s="69" t="e" cm="1">
        <f t="array" ref="AH624">_xlfn.XLOOKUP(Table1[[#This Row],[5 cm2 cell test code]:[5 cm2 cell test code]],[1]!Table1[[Test code]:[Test code]],[1]!Table1[Ionic resistance 10 mM KOH/Ohm cm2],"",0)</f>
        <v>#REF!</v>
      </c>
      <c r="AI624" s="69" t="e" cm="1">
        <f t="array" ref="AI624">_xlfn.XLOOKUP(Table1[[#This Row],[5 cm2 cell test code]:[5 cm2 cell test code]],[1]!Table1[[Test code]:[Test code]],[1]!Table1[Q_int_frac DIW 10 mM KOH],"",0)</f>
        <v>#REF!</v>
      </c>
      <c r="AJ624" s="69" t="e" cm="1">
        <f t="array" ref="AJ624">_xlfn.XLOOKUP(Table1[[#This Row],[5 cm2 cell test code]:[5 cm2 cell test code]],[1]!Table1[[Test code]:[Test code]],[1]!Table1[DIW conductivity (µS/cm)],"",0)</f>
        <v>#REF!</v>
      </c>
    </row>
    <row r="625" spans="1:36">
      <c r="A625" s="81"/>
      <c r="U625" s="101"/>
      <c r="V625" s="101"/>
      <c r="W625" s="69" t="e" cm="1">
        <f t="array" ref="W625">_xlfn.XLOOKUP(Table1[[#This Row],[5 cm2 cell test code]:[5 cm2 cell test code]],[1]!Table1[[Test code]:[Test code]],[1]!Table1[i @ 1.8 V DIW (A/cm2)],"",0)</f>
        <v>#REF!</v>
      </c>
      <c r="X625" s="69" t="e" cm="1">
        <f t="array" ref="X625">_xlfn.XLOOKUP(Table1[[#This Row],[5 cm2 cell test code]:[5 cm2 cell test code]],[1]!Table1[[Test code]:[Test code]],[1]!Table1[i @ 1.8 V 10 mM KOH (A/cm2)],"",0)</f>
        <v>#REF!</v>
      </c>
      <c r="Y625" s="69" t="e" cm="1">
        <f t="array" ref="Y625">_xlfn.XLOOKUP(Table1[[#This Row],[5 cm2 cell test code]:[5 cm2 cell test code]],[1]!Table1[[Test code]:[Test code]],[1]!Table1[3-E ƞ at 20mAcm-2 (mV)],"",0)</f>
        <v>#REF!</v>
      </c>
      <c r="Z625" s="69" t="e" cm="1">
        <f t="array" ref="Z625">_xlfn.XLOOKUP(Table1[[#This Row],[5 cm2 cell test code]:[5 cm2 cell test code]],[1]!Table1[[Test code]:[Test code]],[1]!Table1[3-E Tafel slope (mV/dec)],"",0)</f>
        <v>#REF!</v>
      </c>
      <c r="AA625" s="69" t="e" cm="1">
        <f t="array" ref="AA625">_xlfn.XLOOKUP(Table1[[#This Row],[5 cm2 cell test code]:[5 cm2 cell test code]],[1]!Table1[[Test code]:[Test code]],[1]!Table1[E @ 100 mA/cm2 DIW/V],"",0)</f>
        <v>#REF!</v>
      </c>
      <c r="AB625" s="69" t="e" cm="1">
        <f t="array" ref="AB625">_xlfn.XLOOKUP(Table1[[#This Row],[5 cm2 cell test code]:[5 cm2 cell test code]],[1]!Table1[[Test code]:[Test code]],[1]!Table1[E @ 100 mA/cm2 10 mM KOH/V],"",0)</f>
        <v>#REF!</v>
      </c>
      <c r="AC625" s="69" t="e" cm="1">
        <f t="array" ref="AC625">_xlfn.XLOOKUP(Table1[[#This Row],[5 cm2 cell test code]:[5 cm2 cell test code]],[1]!Table1[[Test code]:[Test code]],[1]!Table1[Anode ICR/mOhm],"",0)</f>
        <v>#REF!</v>
      </c>
      <c r="AD625" s="69" t="e" cm="1">
        <f t="array" ref="AD625">_xlfn.XLOOKUP(Table1[[#This Row],[5 cm2 cell test code]:[5 cm2 cell test code]],[1]!Table1[[Test code]:[Test code]],[1]!Table1[HFR DIW/ mOhm cm2],"",0)</f>
        <v>#REF!</v>
      </c>
      <c r="AE625" s="69" t="e" cm="1">
        <f t="array" ref="AE625">_xlfn.XLOOKUP(Table1[[#This Row],[5 cm2 cell test code]:[5 cm2 cell test code]],[1]!Table1[[Test code]:[Test code]],[1]!Table1[HFR 10 mM KOH/ mOhm cm2],"",0)</f>
        <v>#REF!</v>
      </c>
      <c r="AF625" s="69" t="e" cm="1">
        <f t="array" ref="AF625">_xlfn.XLOOKUP(Table1[[#This Row],[5 cm2 cell test code]:[5 cm2 cell test code]],[1]!Table1[[Test code]:[Test code]],[1]!Table1[Ionic resistance DIW/Ohm cm2],"",0)</f>
        <v>#REF!</v>
      </c>
      <c r="AG625" s="69" t="e" cm="1">
        <f t="array" ref="AG625">_xlfn.XLOOKUP(Table1[[#This Row],[5 cm2 cell test code]:[5 cm2 cell test code]],[1]!Table1[[Test code]:[Test code]],[1]!Table1[Q_int_frac DIW],"",0)</f>
        <v>#REF!</v>
      </c>
      <c r="AH625" s="69" t="e" cm="1">
        <f t="array" ref="AH625">_xlfn.XLOOKUP(Table1[[#This Row],[5 cm2 cell test code]:[5 cm2 cell test code]],[1]!Table1[[Test code]:[Test code]],[1]!Table1[Ionic resistance 10 mM KOH/Ohm cm2],"",0)</f>
        <v>#REF!</v>
      </c>
      <c r="AI625" s="69" t="e" cm="1">
        <f t="array" ref="AI625">_xlfn.XLOOKUP(Table1[[#This Row],[5 cm2 cell test code]:[5 cm2 cell test code]],[1]!Table1[[Test code]:[Test code]],[1]!Table1[Q_int_frac DIW 10 mM KOH],"",0)</f>
        <v>#REF!</v>
      </c>
      <c r="AJ625" s="69" t="e" cm="1">
        <f t="array" ref="AJ625">_xlfn.XLOOKUP(Table1[[#This Row],[5 cm2 cell test code]:[5 cm2 cell test code]],[1]!Table1[[Test code]:[Test code]],[1]!Table1[DIW conductivity (µS/cm)],"",0)</f>
        <v>#REF!</v>
      </c>
    </row>
    <row r="626" spans="1:36">
      <c r="A626" s="81"/>
      <c r="U626" s="101"/>
      <c r="V626" s="101"/>
      <c r="W626" s="69" t="e" cm="1">
        <f t="array" ref="W626">_xlfn.XLOOKUP(Table1[[#This Row],[5 cm2 cell test code]:[5 cm2 cell test code]],[1]!Table1[[Test code]:[Test code]],[1]!Table1[i @ 1.8 V DIW (A/cm2)],"",0)</f>
        <v>#REF!</v>
      </c>
      <c r="X626" s="69" t="e" cm="1">
        <f t="array" ref="X626">_xlfn.XLOOKUP(Table1[[#This Row],[5 cm2 cell test code]:[5 cm2 cell test code]],[1]!Table1[[Test code]:[Test code]],[1]!Table1[i @ 1.8 V 10 mM KOH (A/cm2)],"",0)</f>
        <v>#REF!</v>
      </c>
      <c r="Y626" s="69" t="e" cm="1">
        <f t="array" ref="Y626">_xlfn.XLOOKUP(Table1[[#This Row],[5 cm2 cell test code]:[5 cm2 cell test code]],[1]!Table1[[Test code]:[Test code]],[1]!Table1[3-E ƞ at 20mAcm-2 (mV)],"",0)</f>
        <v>#REF!</v>
      </c>
      <c r="Z626" s="69" t="e" cm="1">
        <f t="array" ref="Z626">_xlfn.XLOOKUP(Table1[[#This Row],[5 cm2 cell test code]:[5 cm2 cell test code]],[1]!Table1[[Test code]:[Test code]],[1]!Table1[3-E Tafel slope (mV/dec)],"",0)</f>
        <v>#REF!</v>
      </c>
      <c r="AA626" s="69" t="e" cm="1">
        <f t="array" ref="AA626">_xlfn.XLOOKUP(Table1[[#This Row],[5 cm2 cell test code]:[5 cm2 cell test code]],[1]!Table1[[Test code]:[Test code]],[1]!Table1[E @ 100 mA/cm2 DIW/V],"",0)</f>
        <v>#REF!</v>
      </c>
      <c r="AB626" s="69" t="e" cm="1">
        <f t="array" ref="AB626">_xlfn.XLOOKUP(Table1[[#This Row],[5 cm2 cell test code]:[5 cm2 cell test code]],[1]!Table1[[Test code]:[Test code]],[1]!Table1[E @ 100 mA/cm2 10 mM KOH/V],"",0)</f>
        <v>#REF!</v>
      </c>
      <c r="AC626" s="69" t="e" cm="1">
        <f t="array" ref="AC626">_xlfn.XLOOKUP(Table1[[#This Row],[5 cm2 cell test code]:[5 cm2 cell test code]],[1]!Table1[[Test code]:[Test code]],[1]!Table1[Anode ICR/mOhm],"",0)</f>
        <v>#REF!</v>
      </c>
      <c r="AD626" s="69" t="e" cm="1">
        <f t="array" ref="AD626">_xlfn.XLOOKUP(Table1[[#This Row],[5 cm2 cell test code]:[5 cm2 cell test code]],[1]!Table1[[Test code]:[Test code]],[1]!Table1[HFR DIW/ mOhm cm2],"",0)</f>
        <v>#REF!</v>
      </c>
      <c r="AE626" s="69" t="e" cm="1">
        <f t="array" ref="AE626">_xlfn.XLOOKUP(Table1[[#This Row],[5 cm2 cell test code]:[5 cm2 cell test code]],[1]!Table1[[Test code]:[Test code]],[1]!Table1[HFR 10 mM KOH/ mOhm cm2],"",0)</f>
        <v>#REF!</v>
      </c>
      <c r="AF626" s="69" t="e" cm="1">
        <f t="array" ref="AF626">_xlfn.XLOOKUP(Table1[[#This Row],[5 cm2 cell test code]:[5 cm2 cell test code]],[1]!Table1[[Test code]:[Test code]],[1]!Table1[Ionic resistance DIW/Ohm cm2],"",0)</f>
        <v>#REF!</v>
      </c>
      <c r="AG626" s="69" t="e" cm="1">
        <f t="array" ref="AG626">_xlfn.XLOOKUP(Table1[[#This Row],[5 cm2 cell test code]:[5 cm2 cell test code]],[1]!Table1[[Test code]:[Test code]],[1]!Table1[Q_int_frac DIW],"",0)</f>
        <v>#REF!</v>
      </c>
      <c r="AH626" s="69" t="e" cm="1">
        <f t="array" ref="AH626">_xlfn.XLOOKUP(Table1[[#This Row],[5 cm2 cell test code]:[5 cm2 cell test code]],[1]!Table1[[Test code]:[Test code]],[1]!Table1[Ionic resistance 10 mM KOH/Ohm cm2],"",0)</f>
        <v>#REF!</v>
      </c>
      <c r="AI626" s="69" t="e" cm="1">
        <f t="array" ref="AI626">_xlfn.XLOOKUP(Table1[[#This Row],[5 cm2 cell test code]:[5 cm2 cell test code]],[1]!Table1[[Test code]:[Test code]],[1]!Table1[Q_int_frac DIW 10 mM KOH],"",0)</f>
        <v>#REF!</v>
      </c>
      <c r="AJ626" s="69" t="e" cm="1">
        <f t="array" ref="AJ626">_xlfn.XLOOKUP(Table1[[#This Row],[5 cm2 cell test code]:[5 cm2 cell test code]],[1]!Table1[[Test code]:[Test code]],[1]!Table1[DIW conductivity (µS/cm)],"",0)</f>
        <v>#REF!</v>
      </c>
    </row>
    <row r="627" spans="1:36">
      <c r="A627" s="81"/>
      <c r="U627" s="101"/>
      <c r="V627" s="101"/>
      <c r="W627" s="69" t="e" cm="1">
        <f t="array" ref="W627">_xlfn.XLOOKUP(Table1[[#This Row],[5 cm2 cell test code]:[5 cm2 cell test code]],[1]!Table1[[Test code]:[Test code]],[1]!Table1[i @ 1.8 V DIW (A/cm2)],"",0)</f>
        <v>#REF!</v>
      </c>
      <c r="X627" s="69" t="e" cm="1">
        <f t="array" ref="X627">_xlfn.XLOOKUP(Table1[[#This Row],[5 cm2 cell test code]:[5 cm2 cell test code]],[1]!Table1[[Test code]:[Test code]],[1]!Table1[i @ 1.8 V 10 mM KOH (A/cm2)],"",0)</f>
        <v>#REF!</v>
      </c>
      <c r="Y627" s="69" t="e" cm="1">
        <f t="array" ref="Y627">_xlfn.XLOOKUP(Table1[[#This Row],[5 cm2 cell test code]:[5 cm2 cell test code]],[1]!Table1[[Test code]:[Test code]],[1]!Table1[3-E ƞ at 20mAcm-2 (mV)],"",0)</f>
        <v>#REF!</v>
      </c>
      <c r="Z627" s="69" t="e" cm="1">
        <f t="array" ref="Z627">_xlfn.XLOOKUP(Table1[[#This Row],[5 cm2 cell test code]:[5 cm2 cell test code]],[1]!Table1[[Test code]:[Test code]],[1]!Table1[3-E Tafel slope (mV/dec)],"",0)</f>
        <v>#REF!</v>
      </c>
      <c r="AA627" s="69" t="e" cm="1">
        <f t="array" ref="AA627">_xlfn.XLOOKUP(Table1[[#This Row],[5 cm2 cell test code]:[5 cm2 cell test code]],[1]!Table1[[Test code]:[Test code]],[1]!Table1[E @ 100 mA/cm2 DIW/V],"",0)</f>
        <v>#REF!</v>
      </c>
      <c r="AB627" s="69" t="e" cm="1">
        <f t="array" ref="AB627">_xlfn.XLOOKUP(Table1[[#This Row],[5 cm2 cell test code]:[5 cm2 cell test code]],[1]!Table1[[Test code]:[Test code]],[1]!Table1[E @ 100 mA/cm2 10 mM KOH/V],"",0)</f>
        <v>#REF!</v>
      </c>
      <c r="AC627" s="69" t="e" cm="1">
        <f t="array" ref="AC627">_xlfn.XLOOKUP(Table1[[#This Row],[5 cm2 cell test code]:[5 cm2 cell test code]],[1]!Table1[[Test code]:[Test code]],[1]!Table1[Anode ICR/mOhm],"",0)</f>
        <v>#REF!</v>
      </c>
      <c r="AD627" s="69" t="e" cm="1">
        <f t="array" ref="AD627">_xlfn.XLOOKUP(Table1[[#This Row],[5 cm2 cell test code]:[5 cm2 cell test code]],[1]!Table1[[Test code]:[Test code]],[1]!Table1[HFR DIW/ mOhm cm2],"",0)</f>
        <v>#REF!</v>
      </c>
      <c r="AE627" s="69" t="e" cm="1">
        <f t="array" ref="AE627">_xlfn.XLOOKUP(Table1[[#This Row],[5 cm2 cell test code]:[5 cm2 cell test code]],[1]!Table1[[Test code]:[Test code]],[1]!Table1[HFR 10 mM KOH/ mOhm cm2],"",0)</f>
        <v>#REF!</v>
      </c>
      <c r="AF627" s="69" t="e" cm="1">
        <f t="array" ref="AF627">_xlfn.XLOOKUP(Table1[[#This Row],[5 cm2 cell test code]:[5 cm2 cell test code]],[1]!Table1[[Test code]:[Test code]],[1]!Table1[Ionic resistance DIW/Ohm cm2],"",0)</f>
        <v>#REF!</v>
      </c>
      <c r="AG627" s="69" t="e" cm="1">
        <f t="array" ref="AG627">_xlfn.XLOOKUP(Table1[[#This Row],[5 cm2 cell test code]:[5 cm2 cell test code]],[1]!Table1[[Test code]:[Test code]],[1]!Table1[Q_int_frac DIW],"",0)</f>
        <v>#REF!</v>
      </c>
      <c r="AH627" s="69" t="e" cm="1">
        <f t="array" ref="AH627">_xlfn.XLOOKUP(Table1[[#This Row],[5 cm2 cell test code]:[5 cm2 cell test code]],[1]!Table1[[Test code]:[Test code]],[1]!Table1[Ionic resistance 10 mM KOH/Ohm cm2],"",0)</f>
        <v>#REF!</v>
      </c>
      <c r="AI627" s="69" t="e" cm="1">
        <f t="array" ref="AI627">_xlfn.XLOOKUP(Table1[[#This Row],[5 cm2 cell test code]:[5 cm2 cell test code]],[1]!Table1[[Test code]:[Test code]],[1]!Table1[Q_int_frac DIW 10 mM KOH],"",0)</f>
        <v>#REF!</v>
      </c>
      <c r="AJ627" s="69" t="e" cm="1">
        <f t="array" ref="AJ627">_xlfn.XLOOKUP(Table1[[#This Row],[5 cm2 cell test code]:[5 cm2 cell test code]],[1]!Table1[[Test code]:[Test code]],[1]!Table1[DIW conductivity (µS/cm)],"",0)</f>
        <v>#REF!</v>
      </c>
    </row>
    <row r="628" spans="1:36">
      <c r="A628" s="81"/>
      <c r="U628" s="101"/>
      <c r="V628" s="101"/>
      <c r="W628" s="69" t="e" cm="1">
        <f t="array" ref="W628">_xlfn.XLOOKUP(Table1[[#This Row],[5 cm2 cell test code]:[5 cm2 cell test code]],[1]!Table1[[Test code]:[Test code]],[1]!Table1[i @ 1.8 V DIW (A/cm2)],"",0)</f>
        <v>#REF!</v>
      </c>
      <c r="X628" s="69" t="e" cm="1">
        <f t="array" ref="X628">_xlfn.XLOOKUP(Table1[[#This Row],[5 cm2 cell test code]:[5 cm2 cell test code]],[1]!Table1[[Test code]:[Test code]],[1]!Table1[i @ 1.8 V 10 mM KOH (A/cm2)],"",0)</f>
        <v>#REF!</v>
      </c>
      <c r="Y628" s="69" t="e" cm="1">
        <f t="array" ref="Y628">_xlfn.XLOOKUP(Table1[[#This Row],[5 cm2 cell test code]:[5 cm2 cell test code]],[1]!Table1[[Test code]:[Test code]],[1]!Table1[3-E ƞ at 20mAcm-2 (mV)],"",0)</f>
        <v>#REF!</v>
      </c>
      <c r="Z628" s="69" t="e" cm="1">
        <f t="array" ref="Z628">_xlfn.XLOOKUP(Table1[[#This Row],[5 cm2 cell test code]:[5 cm2 cell test code]],[1]!Table1[[Test code]:[Test code]],[1]!Table1[3-E Tafel slope (mV/dec)],"",0)</f>
        <v>#REF!</v>
      </c>
      <c r="AA628" s="69" t="e" cm="1">
        <f t="array" ref="AA628">_xlfn.XLOOKUP(Table1[[#This Row],[5 cm2 cell test code]:[5 cm2 cell test code]],[1]!Table1[[Test code]:[Test code]],[1]!Table1[E @ 100 mA/cm2 DIW/V],"",0)</f>
        <v>#REF!</v>
      </c>
      <c r="AB628" s="69" t="e" cm="1">
        <f t="array" ref="AB628">_xlfn.XLOOKUP(Table1[[#This Row],[5 cm2 cell test code]:[5 cm2 cell test code]],[1]!Table1[[Test code]:[Test code]],[1]!Table1[E @ 100 mA/cm2 10 mM KOH/V],"",0)</f>
        <v>#REF!</v>
      </c>
      <c r="AC628" s="69" t="e" cm="1">
        <f t="array" ref="AC628">_xlfn.XLOOKUP(Table1[[#This Row],[5 cm2 cell test code]:[5 cm2 cell test code]],[1]!Table1[[Test code]:[Test code]],[1]!Table1[Anode ICR/mOhm],"",0)</f>
        <v>#REF!</v>
      </c>
      <c r="AD628" s="69" t="e" cm="1">
        <f t="array" ref="AD628">_xlfn.XLOOKUP(Table1[[#This Row],[5 cm2 cell test code]:[5 cm2 cell test code]],[1]!Table1[[Test code]:[Test code]],[1]!Table1[HFR DIW/ mOhm cm2],"",0)</f>
        <v>#REF!</v>
      </c>
      <c r="AE628" s="69" t="e" cm="1">
        <f t="array" ref="AE628">_xlfn.XLOOKUP(Table1[[#This Row],[5 cm2 cell test code]:[5 cm2 cell test code]],[1]!Table1[[Test code]:[Test code]],[1]!Table1[HFR 10 mM KOH/ mOhm cm2],"",0)</f>
        <v>#REF!</v>
      </c>
      <c r="AF628" s="69" t="e" cm="1">
        <f t="array" ref="AF628">_xlfn.XLOOKUP(Table1[[#This Row],[5 cm2 cell test code]:[5 cm2 cell test code]],[1]!Table1[[Test code]:[Test code]],[1]!Table1[Ionic resistance DIW/Ohm cm2],"",0)</f>
        <v>#REF!</v>
      </c>
      <c r="AG628" s="69" t="e" cm="1">
        <f t="array" ref="AG628">_xlfn.XLOOKUP(Table1[[#This Row],[5 cm2 cell test code]:[5 cm2 cell test code]],[1]!Table1[[Test code]:[Test code]],[1]!Table1[Q_int_frac DIW],"",0)</f>
        <v>#REF!</v>
      </c>
      <c r="AH628" s="69" t="e" cm="1">
        <f t="array" ref="AH628">_xlfn.XLOOKUP(Table1[[#This Row],[5 cm2 cell test code]:[5 cm2 cell test code]],[1]!Table1[[Test code]:[Test code]],[1]!Table1[Ionic resistance 10 mM KOH/Ohm cm2],"",0)</f>
        <v>#REF!</v>
      </c>
      <c r="AI628" s="69" t="e" cm="1">
        <f t="array" ref="AI628">_xlfn.XLOOKUP(Table1[[#This Row],[5 cm2 cell test code]:[5 cm2 cell test code]],[1]!Table1[[Test code]:[Test code]],[1]!Table1[Q_int_frac DIW 10 mM KOH],"",0)</f>
        <v>#REF!</v>
      </c>
      <c r="AJ628" s="69" t="e" cm="1">
        <f t="array" ref="AJ628">_xlfn.XLOOKUP(Table1[[#This Row],[5 cm2 cell test code]:[5 cm2 cell test code]],[1]!Table1[[Test code]:[Test code]],[1]!Table1[DIW conductivity (µS/cm)],"",0)</f>
        <v>#REF!</v>
      </c>
    </row>
    <row r="629" spans="1:36">
      <c r="A629" s="81"/>
      <c r="U629" s="101"/>
      <c r="V629" s="101"/>
      <c r="W629" s="69" t="e" cm="1">
        <f t="array" ref="W629">_xlfn.XLOOKUP(Table1[[#This Row],[5 cm2 cell test code]:[5 cm2 cell test code]],[1]!Table1[[Test code]:[Test code]],[1]!Table1[i @ 1.8 V DIW (A/cm2)],"",0)</f>
        <v>#REF!</v>
      </c>
      <c r="X629" s="69" t="e" cm="1">
        <f t="array" ref="X629">_xlfn.XLOOKUP(Table1[[#This Row],[5 cm2 cell test code]:[5 cm2 cell test code]],[1]!Table1[[Test code]:[Test code]],[1]!Table1[i @ 1.8 V 10 mM KOH (A/cm2)],"",0)</f>
        <v>#REF!</v>
      </c>
      <c r="Y629" s="69" t="e" cm="1">
        <f t="array" ref="Y629">_xlfn.XLOOKUP(Table1[[#This Row],[5 cm2 cell test code]:[5 cm2 cell test code]],[1]!Table1[[Test code]:[Test code]],[1]!Table1[3-E ƞ at 20mAcm-2 (mV)],"",0)</f>
        <v>#REF!</v>
      </c>
      <c r="Z629" s="69" t="e" cm="1">
        <f t="array" ref="Z629">_xlfn.XLOOKUP(Table1[[#This Row],[5 cm2 cell test code]:[5 cm2 cell test code]],[1]!Table1[[Test code]:[Test code]],[1]!Table1[3-E Tafel slope (mV/dec)],"",0)</f>
        <v>#REF!</v>
      </c>
      <c r="AA629" s="69" t="e" cm="1">
        <f t="array" ref="AA629">_xlfn.XLOOKUP(Table1[[#This Row],[5 cm2 cell test code]:[5 cm2 cell test code]],[1]!Table1[[Test code]:[Test code]],[1]!Table1[E @ 100 mA/cm2 DIW/V],"",0)</f>
        <v>#REF!</v>
      </c>
      <c r="AB629" s="69" t="e" cm="1">
        <f t="array" ref="AB629">_xlfn.XLOOKUP(Table1[[#This Row],[5 cm2 cell test code]:[5 cm2 cell test code]],[1]!Table1[[Test code]:[Test code]],[1]!Table1[E @ 100 mA/cm2 10 mM KOH/V],"",0)</f>
        <v>#REF!</v>
      </c>
      <c r="AC629" s="69" t="e" cm="1">
        <f t="array" ref="AC629">_xlfn.XLOOKUP(Table1[[#This Row],[5 cm2 cell test code]:[5 cm2 cell test code]],[1]!Table1[[Test code]:[Test code]],[1]!Table1[Anode ICR/mOhm],"",0)</f>
        <v>#REF!</v>
      </c>
      <c r="AD629" s="69" t="e" cm="1">
        <f t="array" ref="AD629">_xlfn.XLOOKUP(Table1[[#This Row],[5 cm2 cell test code]:[5 cm2 cell test code]],[1]!Table1[[Test code]:[Test code]],[1]!Table1[HFR DIW/ mOhm cm2],"",0)</f>
        <v>#REF!</v>
      </c>
      <c r="AE629" s="69" t="e" cm="1">
        <f t="array" ref="AE629">_xlfn.XLOOKUP(Table1[[#This Row],[5 cm2 cell test code]:[5 cm2 cell test code]],[1]!Table1[[Test code]:[Test code]],[1]!Table1[HFR 10 mM KOH/ mOhm cm2],"",0)</f>
        <v>#REF!</v>
      </c>
      <c r="AF629" s="69" t="e" cm="1">
        <f t="array" ref="AF629">_xlfn.XLOOKUP(Table1[[#This Row],[5 cm2 cell test code]:[5 cm2 cell test code]],[1]!Table1[[Test code]:[Test code]],[1]!Table1[Ionic resistance DIW/Ohm cm2],"",0)</f>
        <v>#REF!</v>
      </c>
      <c r="AG629" s="69" t="e" cm="1">
        <f t="array" ref="AG629">_xlfn.XLOOKUP(Table1[[#This Row],[5 cm2 cell test code]:[5 cm2 cell test code]],[1]!Table1[[Test code]:[Test code]],[1]!Table1[Q_int_frac DIW],"",0)</f>
        <v>#REF!</v>
      </c>
      <c r="AH629" s="69" t="e" cm="1">
        <f t="array" ref="AH629">_xlfn.XLOOKUP(Table1[[#This Row],[5 cm2 cell test code]:[5 cm2 cell test code]],[1]!Table1[[Test code]:[Test code]],[1]!Table1[Ionic resistance 10 mM KOH/Ohm cm2],"",0)</f>
        <v>#REF!</v>
      </c>
      <c r="AI629" s="69" t="e" cm="1">
        <f t="array" ref="AI629">_xlfn.XLOOKUP(Table1[[#This Row],[5 cm2 cell test code]:[5 cm2 cell test code]],[1]!Table1[[Test code]:[Test code]],[1]!Table1[Q_int_frac DIW 10 mM KOH],"",0)</f>
        <v>#REF!</v>
      </c>
      <c r="AJ629" s="69" t="e" cm="1">
        <f t="array" ref="AJ629">_xlfn.XLOOKUP(Table1[[#This Row],[5 cm2 cell test code]:[5 cm2 cell test code]],[1]!Table1[[Test code]:[Test code]],[1]!Table1[DIW conductivity (µS/cm)],"",0)</f>
        <v>#REF!</v>
      </c>
    </row>
    <row r="630" spans="1:36">
      <c r="A630" s="81"/>
      <c r="U630" s="101"/>
      <c r="V630" s="101"/>
      <c r="W630" s="69" t="e" cm="1">
        <f t="array" ref="W630">_xlfn.XLOOKUP(Table1[[#This Row],[5 cm2 cell test code]:[5 cm2 cell test code]],[1]!Table1[[Test code]:[Test code]],[1]!Table1[i @ 1.8 V DIW (A/cm2)],"",0)</f>
        <v>#REF!</v>
      </c>
      <c r="X630" s="69" t="e" cm="1">
        <f t="array" ref="X630">_xlfn.XLOOKUP(Table1[[#This Row],[5 cm2 cell test code]:[5 cm2 cell test code]],[1]!Table1[[Test code]:[Test code]],[1]!Table1[i @ 1.8 V 10 mM KOH (A/cm2)],"",0)</f>
        <v>#REF!</v>
      </c>
      <c r="Y630" s="69" t="e" cm="1">
        <f t="array" ref="Y630">_xlfn.XLOOKUP(Table1[[#This Row],[5 cm2 cell test code]:[5 cm2 cell test code]],[1]!Table1[[Test code]:[Test code]],[1]!Table1[3-E ƞ at 20mAcm-2 (mV)],"",0)</f>
        <v>#REF!</v>
      </c>
      <c r="Z630" s="69" t="e" cm="1">
        <f t="array" ref="Z630">_xlfn.XLOOKUP(Table1[[#This Row],[5 cm2 cell test code]:[5 cm2 cell test code]],[1]!Table1[[Test code]:[Test code]],[1]!Table1[3-E Tafel slope (mV/dec)],"",0)</f>
        <v>#REF!</v>
      </c>
      <c r="AA630" s="69" t="e" cm="1">
        <f t="array" ref="AA630">_xlfn.XLOOKUP(Table1[[#This Row],[5 cm2 cell test code]:[5 cm2 cell test code]],[1]!Table1[[Test code]:[Test code]],[1]!Table1[E @ 100 mA/cm2 DIW/V],"",0)</f>
        <v>#REF!</v>
      </c>
      <c r="AB630" s="69" t="e" cm="1">
        <f t="array" ref="AB630">_xlfn.XLOOKUP(Table1[[#This Row],[5 cm2 cell test code]:[5 cm2 cell test code]],[1]!Table1[[Test code]:[Test code]],[1]!Table1[E @ 100 mA/cm2 10 mM KOH/V],"",0)</f>
        <v>#REF!</v>
      </c>
      <c r="AC630" s="69" t="e" cm="1">
        <f t="array" ref="AC630">_xlfn.XLOOKUP(Table1[[#This Row],[5 cm2 cell test code]:[5 cm2 cell test code]],[1]!Table1[[Test code]:[Test code]],[1]!Table1[Anode ICR/mOhm],"",0)</f>
        <v>#REF!</v>
      </c>
      <c r="AD630" s="69" t="e" cm="1">
        <f t="array" ref="AD630">_xlfn.XLOOKUP(Table1[[#This Row],[5 cm2 cell test code]:[5 cm2 cell test code]],[1]!Table1[[Test code]:[Test code]],[1]!Table1[HFR DIW/ mOhm cm2],"",0)</f>
        <v>#REF!</v>
      </c>
      <c r="AE630" s="69" t="e" cm="1">
        <f t="array" ref="AE630">_xlfn.XLOOKUP(Table1[[#This Row],[5 cm2 cell test code]:[5 cm2 cell test code]],[1]!Table1[[Test code]:[Test code]],[1]!Table1[HFR 10 mM KOH/ mOhm cm2],"",0)</f>
        <v>#REF!</v>
      </c>
      <c r="AF630" s="69" t="e" cm="1">
        <f t="array" ref="AF630">_xlfn.XLOOKUP(Table1[[#This Row],[5 cm2 cell test code]:[5 cm2 cell test code]],[1]!Table1[[Test code]:[Test code]],[1]!Table1[Ionic resistance DIW/Ohm cm2],"",0)</f>
        <v>#REF!</v>
      </c>
      <c r="AG630" s="69" t="e" cm="1">
        <f t="array" ref="AG630">_xlfn.XLOOKUP(Table1[[#This Row],[5 cm2 cell test code]:[5 cm2 cell test code]],[1]!Table1[[Test code]:[Test code]],[1]!Table1[Q_int_frac DIW],"",0)</f>
        <v>#REF!</v>
      </c>
      <c r="AH630" s="69" t="e" cm="1">
        <f t="array" ref="AH630">_xlfn.XLOOKUP(Table1[[#This Row],[5 cm2 cell test code]:[5 cm2 cell test code]],[1]!Table1[[Test code]:[Test code]],[1]!Table1[Ionic resistance 10 mM KOH/Ohm cm2],"",0)</f>
        <v>#REF!</v>
      </c>
      <c r="AI630" s="69" t="e" cm="1">
        <f t="array" ref="AI630">_xlfn.XLOOKUP(Table1[[#This Row],[5 cm2 cell test code]:[5 cm2 cell test code]],[1]!Table1[[Test code]:[Test code]],[1]!Table1[Q_int_frac DIW 10 mM KOH],"",0)</f>
        <v>#REF!</v>
      </c>
      <c r="AJ630" s="69" t="e" cm="1">
        <f t="array" ref="AJ630">_xlfn.XLOOKUP(Table1[[#This Row],[5 cm2 cell test code]:[5 cm2 cell test code]],[1]!Table1[[Test code]:[Test code]],[1]!Table1[DIW conductivity (µS/cm)],"",0)</f>
        <v>#REF!</v>
      </c>
    </row>
    <row r="631" spans="1:36">
      <c r="A631" s="81"/>
      <c r="U631" s="101"/>
      <c r="V631" s="101"/>
      <c r="W631" s="69" t="e" cm="1">
        <f t="array" ref="W631">_xlfn.XLOOKUP(Table1[[#This Row],[5 cm2 cell test code]:[5 cm2 cell test code]],[1]!Table1[[Test code]:[Test code]],[1]!Table1[i @ 1.8 V DIW (A/cm2)],"",0)</f>
        <v>#REF!</v>
      </c>
      <c r="X631" s="69" t="e" cm="1">
        <f t="array" ref="X631">_xlfn.XLOOKUP(Table1[[#This Row],[5 cm2 cell test code]:[5 cm2 cell test code]],[1]!Table1[[Test code]:[Test code]],[1]!Table1[i @ 1.8 V 10 mM KOH (A/cm2)],"",0)</f>
        <v>#REF!</v>
      </c>
      <c r="Y631" s="69" t="e" cm="1">
        <f t="array" ref="Y631">_xlfn.XLOOKUP(Table1[[#This Row],[5 cm2 cell test code]:[5 cm2 cell test code]],[1]!Table1[[Test code]:[Test code]],[1]!Table1[3-E ƞ at 20mAcm-2 (mV)],"",0)</f>
        <v>#REF!</v>
      </c>
      <c r="Z631" s="69" t="e" cm="1">
        <f t="array" ref="Z631">_xlfn.XLOOKUP(Table1[[#This Row],[5 cm2 cell test code]:[5 cm2 cell test code]],[1]!Table1[[Test code]:[Test code]],[1]!Table1[3-E Tafel slope (mV/dec)],"",0)</f>
        <v>#REF!</v>
      </c>
      <c r="AA631" s="69" t="e" cm="1">
        <f t="array" ref="AA631">_xlfn.XLOOKUP(Table1[[#This Row],[5 cm2 cell test code]:[5 cm2 cell test code]],[1]!Table1[[Test code]:[Test code]],[1]!Table1[E @ 100 mA/cm2 DIW/V],"",0)</f>
        <v>#REF!</v>
      </c>
      <c r="AB631" s="69" t="e" cm="1">
        <f t="array" ref="AB631">_xlfn.XLOOKUP(Table1[[#This Row],[5 cm2 cell test code]:[5 cm2 cell test code]],[1]!Table1[[Test code]:[Test code]],[1]!Table1[E @ 100 mA/cm2 10 mM KOH/V],"",0)</f>
        <v>#REF!</v>
      </c>
      <c r="AC631" s="69" t="e" cm="1">
        <f t="array" ref="AC631">_xlfn.XLOOKUP(Table1[[#This Row],[5 cm2 cell test code]:[5 cm2 cell test code]],[1]!Table1[[Test code]:[Test code]],[1]!Table1[Anode ICR/mOhm],"",0)</f>
        <v>#REF!</v>
      </c>
      <c r="AD631" s="69" t="e" cm="1">
        <f t="array" ref="AD631">_xlfn.XLOOKUP(Table1[[#This Row],[5 cm2 cell test code]:[5 cm2 cell test code]],[1]!Table1[[Test code]:[Test code]],[1]!Table1[HFR DIW/ mOhm cm2],"",0)</f>
        <v>#REF!</v>
      </c>
      <c r="AE631" s="69" t="e" cm="1">
        <f t="array" ref="AE631">_xlfn.XLOOKUP(Table1[[#This Row],[5 cm2 cell test code]:[5 cm2 cell test code]],[1]!Table1[[Test code]:[Test code]],[1]!Table1[HFR 10 mM KOH/ mOhm cm2],"",0)</f>
        <v>#REF!</v>
      </c>
      <c r="AF631" s="69" t="e" cm="1">
        <f t="array" ref="AF631">_xlfn.XLOOKUP(Table1[[#This Row],[5 cm2 cell test code]:[5 cm2 cell test code]],[1]!Table1[[Test code]:[Test code]],[1]!Table1[Ionic resistance DIW/Ohm cm2],"",0)</f>
        <v>#REF!</v>
      </c>
      <c r="AG631" s="69" t="e" cm="1">
        <f t="array" ref="AG631">_xlfn.XLOOKUP(Table1[[#This Row],[5 cm2 cell test code]:[5 cm2 cell test code]],[1]!Table1[[Test code]:[Test code]],[1]!Table1[Q_int_frac DIW],"",0)</f>
        <v>#REF!</v>
      </c>
      <c r="AH631" s="69" t="e" cm="1">
        <f t="array" ref="AH631">_xlfn.XLOOKUP(Table1[[#This Row],[5 cm2 cell test code]:[5 cm2 cell test code]],[1]!Table1[[Test code]:[Test code]],[1]!Table1[Ionic resistance 10 mM KOH/Ohm cm2],"",0)</f>
        <v>#REF!</v>
      </c>
      <c r="AI631" s="69" t="e" cm="1">
        <f t="array" ref="AI631">_xlfn.XLOOKUP(Table1[[#This Row],[5 cm2 cell test code]:[5 cm2 cell test code]],[1]!Table1[[Test code]:[Test code]],[1]!Table1[Q_int_frac DIW 10 mM KOH],"",0)</f>
        <v>#REF!</v>
      </c>
      <c r="AJ631" s="69" t="e" cm="1">
        <f t="array" ref="AJ631">_xlfn.XLOOKUP(Table1[[#This Row],[5 cm2 cell test code]:[5 cm2 cell test code]],[1]!Table1[[Test code]:[Test code]],[1]!Table1[DIW conductivity (µS/cm)],"",0)</f>
        <v>#REF!</v>
      </c>
    </row>
    <row r="632" spans="1:36">
      <c r="A632" s="81"/>
      <c r="U632" s="101"/>
      <c r="V632" s="101"/>
      <c r="W632" s="69" t="e" cm="1">
        <f t="array" ref="W632">_xlfn.XLOOKUP(Table1[[#This Row],[5 cm2 cell test code]:[5 cm2 cell test code]],[1]!Table1[[Test code]:[Test code]],[1]!Table1[i @ 1.8 V DIW (A/cm2)],"",0)</f>
        <v>#REF!</v>
      </c>
      <c r="X632" s="69" t="e" cm="1">
        <f t="array" ref="X632">_xlfn.XLOOKUP(Table1[[#This Row],[5 cm2 cell test code]:[5 cm2 cell test code]],[1]!Table1[[Test code]:[Test code]],[1]!Table1[i @ 1.8 V 10 mM KOH (A/cm2)],"",0)</f>
        <v>#REF!</v>
      </c>
      <c r="Y632" s="69" t="e" cm="1">
        <f t="array" ref="Y632">_xlfn.XLOOKUP(Table1[[#This Row],[5 cm2 cell test code]:[5 cm2 cell test code]],[1]!Table1[[Test code]:[Test code]],[1]!Table1[3-E ƞ at 20mAcm-2 (mV)],"",0)</f>
        <v>#REF!</v>
      </c>
      <c r="Z632" s="69" t="e" cm="1">
        <f t="array" ref="Z632">_xlfn.XLOOKUP(Table1[[#This Row],[5 cm2 cell test code]:[5 cm2 cell test code]],[1]!Table1[[Test code]:[Test code]],[1]!Table1[3-E Tafel slope (mV/dec)],"",0)</f>
        <v>#REF!</v>
      </c>
      <c r="AA632" s="69" t="e" cm="1">
        <f t="array" ref="AA632">_xlfn.XLOOKUP(Table1[[#This Row],[5 cm2 cell test code]:[5 cm2 cell test code]],[1]!Table1[[Test code]:[Test code]],[1]!Table1[E @ 100 mA/cm2 DIW/V],"",0)</f>
        <v>#REF!</v>
      </c>
      <c r="AB632" s="69" t="e" cm="1">
        <f t="array" ref="AB632">_xlfn.XLOOKUP(Table1[[#This Row],[5 cm2 cell test code]:[5 cm2 cell test code]],[1]!Table1[[Test code]:[Test code]],[1]!Table1[E @ 100 mA/cm2 10 mM KOH/V],"",0)</f>
        <v>#REF!</v>
      </c>
      <c r="AC632" s="69" t="e" cm="1">
        <f t="array" ref="AC632">_xlfn.XLOOKUP(Table1[[#This Row],[5 cm2 cell test code]:[5 cm2 cell test code]],[1]!Table1[[Test code]:[Test code]],[1]!Table1[Anode ICR/mOhm],"",0)</f>
        <v>#REF!</v>
      </c>
      <c r="AD632" s="69" t="e" cm="1">
        <f t="array" ref="AD632">_xlfn.XLOOKUP(Table1[[#This Row],[5 cm2 cell test code]:[5 cm2 cell test code]],[1]!Table1[[Test code]:[Test code]],[1]!Table1[HFR DIW/ mOhm cm2],"",0)</f>
        <v>#REF!</v>
      </c>
      <c r="AE632" s="69" t="e" cm="1">
        <f t="array" ref="AE632">_xlfn.XLOOKUP(Table1[[#This Row],[5 cm2 cell test code]:[5 cm2 cell test code]],[1]!Table1[[Test code]:[Test code]],[1]!Table1[HFR 10 mM KOH/ mOhm cm2],"",0)</f>
        <v>#REF!</v>
      </c>
      <c r="AF632" s="69" t="e" cm="1">
        <f t="array" ref="AF632">_xlfn.XLOOKUP(Table1[[#This Row],[5 cm2 cell test code]:[5 cm2 cell test code]],[1]!Table1[[Test code]:[Test code]],[1]!Table1[Ionic resistance DIW/Ohm cm2],"",0)</f>
        <v>#REF!</v>
      </c>
      <c r="AG632" s="69" t="e" cm="1">
        <f t="array" ref="AG632">_xlfn.XLOOKUP(Table1[[#This Row],[5 cm2 cell test code]:[5 cm2 cell test code]],[1]!Table1[[Test code]:[Test code]],[1]!Table1[Q_int_frac DIW],"",0)</f>
        <v>#REF!</v>
      </c>
      <c r="AH632" s="69" t="e" cm="1">
        <f t="array" ref="AH632">_xlfn.XLOOKUP(Table1[[#This Row],[5 cm2 cell test code]:[5 cm2 cell test code]],[1]!Table1[[Test code]:[Test code]],[1]!Table1[Ionic resistance 10 mM KOH/Ohm cm2],"",0)</f>
        <v>#REF!</v>
      </c>
      <c r="AI632" s="69" t="e" cm="1">
        <f t="array" ref="AI632">_xlfn.XLOOKUP(Table1[[#This Row],[5 cm2 cell test code]:[5 cm2 cell test code]],[1]!Table1[[Test code]:[Test code]],[1]!Table1[Q_int_frac DIW 10 mM KOH],"",0)</f>
        <v>#REF!</v>
      </c>
      <c r="AJ632" s="69" t="e" cm="1">
        <f t="array" ref="AJ632">_xlfn.XLOOKUP(Table1[[#This Row],[5 cm2 cell test code]:[5 cm2 cell test code]],[1]!Table1[[Test code]:[Test code]],[1]!Table1[DIW conductivity (µS/cm)],"",0)</f>
        <v>#REF!</v>
      </c>
    </row>
    <row r="633" spans="1:36">
      <c r="A633" s="81"/>
      <c r="U633" s="101"/>
      <c r="V633" s="101"/>
      <c r="W633" s="69" t="e" cm="1">
        <f t="array" ref="W633">_xlfn.XLOOKUP(Table1[[#This Row],[5 cm2 cell test code]:[5 cm2 cell test code]],[1]!Table1[[Test code]:[Test code]],[1]!Table1[i @ 1.8 V DIW (A/cm2)],"",0)</f>
        <v>#REF!</v>
      </c>
      <c r="X633" s="69" t="e" cm="1">
        <f t="array" ref="X633">_xlfn.XLOOKUP(Table1[[#This Row],[5 cm2 cell test code]:[5 cm2 cell test code]],[1]!Table1[[Test code]:[Test code]],[1]!Table1[i @ 1.8 V 10 mM KOH (A/cm2)],"",0)</f>
        <v>#REF!</v>
      </c>
      <c r="Y633" s="69" t="e" cm="1">
        <f t="array" ref="Y633">_xlfn.XLOOKUP(Table1[[#This Row],[5 cm2 cell test code]:[5 cm2 cell test code]],[1]!Table1[[Test code]:[Test code]],[1]!Table1[3-E ƞ at 20mAcm-2 (mV)],"",0)</f>
        <v>#REF!</v>
      </c>
      <c r="Z633" s="69" t="e" cm="1">
        <f t="array" ref="Z633">_xlfn.XLOOKUP(Table1[[#This Row],[5 cm2 cell test code]:[5 cm2 cell test code]],[1]!Table1[[Test code]:[Test code]],[1]!Table1[3-E Tafel slope (mV/dec)],"",0)</f>
        <v>#REF!</v>
      </c>
      <c r="AA633" s="69" t="e" cm="1">
        <f t="array" ref="AA633">_xlfn.XLOOKUP(Table1[[#This Row],[5 cm2 cell test code]:[5 cm2 cell test code]],[1]!Table1[[Test code]:[Test code]],[1]!Table1[E @ 100 mA/cm2 DIW/V],"",0)</f>
        <v>#REF!</v>
      </c>
      <c r="AB633" s="69" t="e" cm="1">
        <f t="array" ref="AB633">_xlfn.XLOOKUP(Table1[[#This Row],[5 cm2 cell test code]:[5 cm2 cell test code]],[1]!Table1[[Test code]:[Test code]],[1]!Table1[E @ 100 mA/cm2 10 mM KOH/V],"",0)</f>
        <v>#REF!</v>
      </c>
      <c r="AC633" s="69" t="e" cm="1">
        <f t="array" ref="AC633">_xlfn.XLOOKUP(Table1[[#This Row],[5 cm2 cell test code]:[5 cm2 cell test code]],[1]!Table1[[Test code]:[Test code]],[1]!Table1[Anode ICR/mOhm],"",0)</f>
        <v>#REF!</v>
      </c>
      <c r="AD633" s="69" t="e" cm="1">
        <f t="array" ref="AD633">_xlfn.XLOOKUP(Table1[[#This Row],[5 cm2 cell test code]:[5 cm2 cell test code]],[1]!Table1[[Test code]:[Test code]],[1]!Table1[HFR DIW/ mOhm cm2],"",0)</f>
        <v>#REF!</v>
      </c>
      <c r="AE633" s="69" t="e" cm="1">
        <f t="array" ref="AE633">_xlfn.XLOOKUP(Table1[[#This Row],[5 cm2 cell test code]:[5 cm2 cell test code]],[1]!Table1[[Test code]:[Test code]],[1]!Table1[HFR 10 mM KOH/ mOhm cm2],"",0)</f>
        <v>#REF!</v>
      </c>
      <c r="AF633" s="69" t="e" cm="1">
        <f t="array" ref="AF633">_xlfn.XLOOKUP(Table1[[#This Row],[5 cm2 cell test code]:[5 cm2 cell test code]],[1]!Table1[[Test code]:[Test code]],[1]!Table1[Ionic resistance DIW/Ohm cm2],"",0)</f>
        <v>#REF!</v>
      </c>
      <c r="AG633" s="69" t="e" cm="1">
        <f t="array" ref="AG633">_xlfn.XLOOKUP(Table1[[#This Row],[5 cm2 cell test code]:[5 cm2 cell test code]],[1]!Table1[[Test code]:[Test code]],[1]!Table1[Q_int_frac DIW],"",0)</f>
        <v>#REF!</v>
      </c>
      <c r="AH633" s="69" t="e" cm="1">
        <f t="array" ref="AH633">_xlfn.XLOOKUP(Table1[[#This Row],[5 cm2 cell test code]:[5 cm2 cell test code]],[1]!Table1[[Test code]:[Test code]],[1]!Table1[Ionic resistance 10 mM KOH/Ohm cm2],"",0)</f>
        <v>#REF!</v>
      </c>
      <c r="AI633" s="69" t="e" cm="1">
        <f t="array" ref="AI633">_xlfn.XLOOKUP(Table1[[#This Row],[5 cm2 cell test code]:[5 cm2 cell test code]],[1]!Table1[[Test code]:[Test code]],[1]!Table1[Q_int_frac DIW 10 mM KOH],"",0)</f>
        <v>#REF!</v>
      </c>
      <c r="AJ633" s="69" t="e" cm="1">
        <f t="array" ref="AJ633">_xlfn.XLOOKUP(Table1[[#This Row],[5 cm2 cell test code]:[5 cm2 cell test code]],[1]!Table1[[Test code]:[Test code]],[1]!Table1[DIW conductivity (µS/cm)],"",0)</f>
        <v>#REF!</v>
      </c>
    </row>
    <row r="634" spans="1:36">
      <c r="A634" s="81"/>
      <c r="U634" s="101"/>
      <c r="V634" s="101"/>
      <c r="W634" s="69" t="e" cm="1">
        <f t="array" ref="W634">_xlfn.XLOOKUP(Table1[[#This Row],[5 cm2 cell test code]:[5 cm2 cell test code]],[1]!Table1[[Test code]:[Test code]],[1]!Table1[i @ 1.8 V DIW (A/cm2)],"",0)</f>
        <v>#REF!</v>
      </c>
      <c r="X634" s="69" t="e" cm="1">
        <f t="array" ref="X634">_xlfn.XLOOKUP(Table1[[#This Row],[5 cm2 cell test code]:[5 cm2 cell test code]],[1]!Table1[[Test code]:[Test code]],[1]!Table1[i @ 1.8 V 10 mM KOH (A/cm2)],"",0)</f>
        <v>#REF!</v>
      </c>
      <c r="Y634" s="69" t="e" cm="1">
        <f t="array" ref="Y634">_xlfn.XLOOKUP(Table1[[#This Row],[5 cm2 cell test code]:[5 cm2 cell test code]],[1]!Table1[[Test code]:[Test code]],[1]!Table1[3-E ƞ at 20mAcm-2 (mV)],"",0)</f>
        <v>#REF!</v>
      </c>
      <c r="Z634" s="69" t="e" cm="1">
        <f t="array" ref="Z634">_xlfn.XLOOKUP(Table1[[#This Row],[5 cm2 cell test code]:[5 cm2 cell test code]],[1]!Table1[[Test code]:[Test code]],[1]!Table1[3-E Tafel slope (mV/dec)],"",0)</f>
        <v>#REF!</v>
      </c>
      <c r="AA634" s="69" t="e" cm="1">
        <f t="array" ref="AA634">_xlfn.XLOOKUP(Table1[[#This Row],[5 cm2 cell test code]:[5 cm2 cell test code]],[1]!Table1[[Test code]:[Test code]],[1]!Table1[E @ 100 mA/cm2 DIW/V],"",0)</f>
        <v>#REF!</v>
      </c>
      <c r="AB634" s="69" t="e" cm="1">
        <f t="array" ref="AB634">_xlfn.XLOOKUP(Table1[[#This Row],[5 cm2 cell test code]:[5 cm2 cell test code]],[1]!Table1[[Test code]:[Test code]],[1]!Table1[E @ 100 mA/cm2 10 mM KOH/V],"",0)</f>
        <v>#REF!</v>
      </c>
      <c r="AC634" s="69" t="e" cm="1">
        <f t="array" ref="AC634">_xlfn.XLOOKUP(Table1[[#This Row],[5 cm2 cell test code]:[5 cm2 cell test code]],[1]!Table1[[Test code]:[Test code]],[1]!Table1[Anode ICR/mOhm],"",0)</f>
        <v>#REF!</v>
      </c>
      <c r="AD634" s="69" t="e" cm="1">
        <f t="array" ref="AD634">_xlfn.XLOOKUP(Table1[[#This Row],[5 cm2 cell test code]:[5 cm2 cell test code]],[1]!Table1[[Test code]:[Test code]],[1]!Table1[HFR DIW/ mOhm cm2],"",0)</f>
        <v>#REF!</v>
      </c>
      <c r="AE634" s="69" t="e" cm="1">
        <f t="array" ref="AE634">_xlfn.XLOOKUP(Table1[[#This Row],[5 cm2 cell test code]:[5 cm2 cell test code]],[1]!Table1[[Test code]:[Test code]],[1]!Table1[HFR 10 mM KOH/ mOhm cm2],"",0)</f>
        <v>#REF!</v>
      </c>
      <c r="AF634" s="69" t="e" cm="1">
        <f t="array" ref="AF634">_xlfn.XLOOKUP(Table1[[#This Row],[5 cm2 cell test code]:[5 cm2 cell test code]],[1]!Table1[[Test code]:[Test code]],[1]!Table1[Ionic resistance DIW/Ohm cm2],"",0)</f>
        <v>#REF!</v>
      </c>
      <c r="AG634" s="69" t="e" cm="1">
        <f t="array" ref="AG634">_xlfn.XLOOKUP(Table1[[#This Row],[5 cm2 cell test code]:[5 cm2 cell test code]],[1]!Table1[[Test code]:[Test code]],[1]!Table1[Q_int_frac DIW],"",0)</f>
        <v>#REF!</v>
      </c>
      <c r="AH634" s="69" t="e" cm="1">
        <f t="array" ref="AH634">_xlfn.XLOOKUP(Table1[[#This Row],[5 cm2 cell test code]:[5 cm2 cell test code]],[1]!Table1[[Test code]:[Test code]],[1]!Table1[Ionic resistance 10 mM KOH/Ohm cm2],"",0)</f>
        <v>#REF!</v>
      </c>
      <c r="AI634" s="69" t="e" cm="1">
        <f t="array" ref="AI634">_xlfn.XLOOKUP(Table1[[#This Row],[5 cm2 cell test code]:[5 cm2 cell test code]],[1]!Table1[[Test code]:[Test code]],[1]!Table1[Q_int_frac DIW 10 mM KOH],"",0)</f>
        <v>#REF!</v>
      </c>
      <c r="AJ634" s="69" t="e" cm="1">
        <f t="array" ref="AJ634">_xlfn.XLOOKUP(Table1[[#This Row],[5 cm2 cell test code]:[5 cm2 cell test code]],[1]!Table1[[Test code]:[Test code]],[1]!Table1[DIW conductivity (µS/cm)],"",0)</f>
        <v>#REF!</v>
      </c>
    </row>
    <row r="635" spans="1:36">
      <c r="A635" s="81"/>
      <c r="U635" s="101"/>
      <c r="V635" s="101"/>
      <c r="W635" s="69" t="e" cm="1">
        <f t="array" ref="W635">_xlfn.XLOOKUP(Table1[[#This Row],[5 cm2 cell test code]:[5 cm2 cell test code]],[1]!Table1[[Test code]:[Test code]],[1]!Table1[i @ 1.8 V DIW (A/cm2)],"",0)</f>
        <v>#REF!</v>
      </c>
      <c r="X635" s="69" t="e" cm="1">
        <f t="array" ref="X635">_xlfn.XLOOKUP(Table1[[#This Row],[5 cm2 cell test code]:[5 cm2 cell test code]],[1]!Table1[[Test code]:[Test code]],[1]!Table1[i @ 1.8 V 10 mM KOH (A/cm2)],"",0)</f>
        <v>#REF!</v>
      </c>
      <c r="Y635" s="69" t="e" cm="1">
        <f t="array" ref="Y635">_xlfn.XLOOKUP(Table1[[#This Row],[5 cm2 cell test code]:[5 cm2 cell test code]],[1]!Table1[[Test code]:[Test code]],[1]!Table1[3-E ƞ at 20mAcm-2 (mV)],"",0)</f>
        <v>#REF!</v>
      </c>
      <c r="Z635" s="69" t="e" cm="1">
        <f t="array" ref="Z635">_xlfn.XLOOKUP(Table1[[#This Row],[5 cm2 cell test code]:[5 cm2 cell test code]],[1]!Table1[[Test code]:[Test code]],[1]!Table1[3-E Tafel slope (mV/dec)],"",0)</f>
        <v>#REF!</v>
      </c>
      <c r="AA635" s="69" t="e" cm="1">
        <f t="array" ref="AA635">_xlfn.XLOOKUP(Table1[[#This Row],[5 cm2 cell test code]:[5 cm2 cell test code]],[1]!Table1[[Test code]:[Test code]],[1]!Table1[E @ 100 mA/cm2 DIW/V],"",0)</f>
        <v>#REF!</v>
      </c>
      <c r="AB635" s="69" t="e" cm="1">
        <f t="array" ref="AB635">_xlfn.XLOOKUP(Table1[[#This Row],[5 cm2 cell test code]:[5 cm2 cell test code]],[1]!Table1[[Test code]:[Test code]],[1]!Table1[E @ 100 mA/cm2 10 mM KOH/V],"",0)</f>
        <v>#REF!</v>
      </c>
      <c r="AC635" s="69" t="e" cm="1">
        <f t="array" ref="AC635">_xlfn.XLOOKUP(Table1[[#This Row],[5 cm2 cell test code]:[5 cm2 cell test code]],[1]!Table1[[Test code]:[Test code]],[1]!Table1[Anode ICR/mOhm],"",0)</f>
        <v>#REF!</v>
      </c>
      <c r="AD635" s="69" t="e" cm="1">
        <f t="array" ref="AD635">_xlfn.XLOOKUP(Table1[[#This Row],[5 cm2 cell test code]:[5 cm2 cell test code]],[1]!Table1[[Test code]:[Test code]],[1]!Table1[HFR DIW/ mOhm cm2],"",0)</f>
        <v>#REF!</v>
      </c>
      <c r="AE635" s="69" t="e" cm="1">
        <f t="array" ref="AE635">_xlfn.XLOOKUP(Table1[[#This Row],[5 cm2 cell test code]:[5 cm2 cell test code]],[1]!Table1[[Test code]:[Test code]],[1]!Table1[HFR 10 mM KOH/ mOhm cm2],"",0)</f>
        <v>#REF!</v>
      </c>
      <c r="AF635" s="69" t="e" cm="1">
        <f t="array" ref="AF635">_xlfn.XLOOKUP(Table1[[#This Row],[5 cm2 cell test code]:[5 cm2 cell test code]],[1]!Table1[[Test code]:[Test code]],[1]!Table1[Ionic resistance DIW/Ohm cm2],"",0)</f>
        <v>#REF!</v>
      </c>
      <c r="AG635" s="69" t="e" cm="1">
        <f t="array" ref="AG635">_xlfn.XLOOKUP(Table1[[#This Row],[5 cm2 cell test code]:[5 cm2 cell test code]],[1]!Table1[[Test code]:[Test code]],[1]!Table1[Q_int_frac DIW],"",0)</f>
        <v>#REF!</v>
      </c>
      <c r="AH635" s="69" t="e" cm="1">
        <f t="array" ref="AH635">_xlfn.XLOOKUP(Table1[[#This Row],[5 cm2 cell test code]:[5 cm2 cell test code]],[1]!Table1[[Test code]:[Test code]],[1]!Table1[Ionic resistance 10 mM KOH/Ohm cm2],"",0)</f>
        <v>#REF!</v>
      </c>
      <c r="AI635" s="69" t="e" cm="1">
        <f t="array" ref="AI635">_xlfn.XLOOKUP(Table1[[#This Row],[5 cm2 cell test code]:[5 cm2 cell test code]],[1]!Table1[[Test code]:[Test code]],[1]!Table1[Q_int_frac DIW 10 mM KOH],"",0)</f>
        <v>#REF!</v>
      </c>
      <c r="AJ635" s="69" t="e" cm="1">
        <f t="array" ref="AJ635">_xlfn.XLOOKUP(Table1[[#This Row],[5 cm2 cell test code]:[5 cm2 cell test code]],[1]!Table1[[Test code]:[Test code]],[1]!Table1[DIW conductivity (µS/cm)],"",0)</f>
        <v>#REF!</v>
      </c>
    </row>
    <row r="636" spans="1:36">
      <c r="A636" s="81"/>
      <c r="U636" s="101"/>
      <c r="V636" s="101"/>
      <c r="W636" s="69" t="e" cm="1">
        <f t="array" ref="W636">_xlfn.XLOOKUP(Table1[[#This Row],[5 cm2 cell test code]:[5 cm2 cell test code]],[1]!Table1[[Test code]:[Test code]],[1]!Table1[i @ 1.8 V DIW (A/cm2)],"",0)</f>
        <v>#REF!</v>
      </c>
      <c r="X636" s="69" t="e" cm="1">
        <f t="array" ref="X636">_xlfn.XLOOKUP(Table1[[#This Row],[5 cm2 cell test code]:[5 cm2 cell test code]],[1]!Table1[[Test code]:[Test code]],[1]!Table1[i @ 1.8 V 10 mM KOH (A/cm2)],"",0)</f>
        <v>#REF!</v>
      </c>
      <c r="Y636" s="69" t="e" cm="1">
        <f t="array" ref="Y636">_xlfn.XLOOKUP(Table1[[#This Row],[5 cm2 cell test code]:[5 cm2 cell test code]],[1]!Table1[[Test code]:[Test code]],[1]!Table1[3-E ƞ at 20mAcm-2 (mV)],"",0)</f>
        <v>#REF!</v>
      </c>
      <c r="Z636" s="69" t="e" cm="1">
        <f t="array" ref="Z636">_xlfn.XLOOKUP(Table1[[#This Row],[5 cm2 cell test code]:[5 cm2 cell test code]],[1]!Table1[[Test code]:[Test code]],[1]!Table1[3-E Tafel slope (mV/dec)],"",0)</f>
        <v>#REF!</v>
      </c>
      <c r="AA636" s="69" t="e" cm="1">
        <f t="array" ref="AA636">_xlfn.XLOOKUP(Table1[[#This Row],[5 cm2 cell test code]:[5 cm2 cell test code]],[1]!Table1[[Test code]:[Test code]],[1]!Table1[E @ 100 mA/cm2 DIW/V],"",0)</f>
        <v>#REF!</v>
      </c>
      <c r="AB636" s="69" t="e" cm="1">
        <f t="array" ref="AB636">_xlfn.XLOOKUP(Table1[[#This Row],[5 cm2 cell test code]:[5 cm2 cell test code]],[1]!Table1[[Test code]:[Test code]],[1]!Table1[E @ 100 mA/cm2 10 mM KOH/V],"",0)</f>
        <v>#REF!</v>
      </c>
      <c r="AC636" s="69" t="e" cm="1">
        <f t="array" ref="AC636">_xlfn.XLOOKUP(Table1[[#This Row],[5 cm2 cell test code]:[5 cm2 cell test code]],[1]!Table1[[Test code]:[Test code]],[1]!Table1[Anode ICR/mOhm],"",0)</f>
        <v>#REF!</v>
      </c>
      <c r="AD636" s="69" t="e" cm="1">
        <f t="array" ref="AD636">_xlfn.XLOOKUP(Table1[[#This Row],[5 cm2 cell test code]:[5 cm2 cell test code]],[1]!Table1[[Test code]:[Test code]],[1]!Table1[HFR DIW/ mOhm cm2],"",0)</f>
        <v>#REF!</v>
      </c>
      <c r="AE636" s="69" t="e" cm="1">
        <f t="array" ref="AE636">_xlfn.XLOOKUP(Table1[[#This Row],[5 cm2 cell test code]:[5 cm2 cell test code]],[1]!Table1[[Test code]:[Test code]],[1]!Table1[HFR 10 mM KOH/ mOhm cm2],"",0)</f>
        <v>#REF!</v>
      </c>
      <c r="AF636" s="69" t="e" cm="1">
        <f t="array" ref="AF636">_xlfn.XLOOKUP(Table1[[#This Row],[5 cm2 cell test code]:[5 cm2 cell test code]],[1]!Table1[[Test code]:[Test code]],[1]!Table1[Ionic resistance DIW/Ohm cm2],"",0)</f>
        <v>#REF!</v>
      </c>
      <c r="AG636" s="69" t="e" cm="1">
        <f t="array" ref="AG636">_xlfn.XLOOKUP(Table1[[#This Row],[5 cm2 cell test code]:[5 cm2 cell test code]],[1]!Table1[[Test code]:[Test code]],[1]!Table1[Q_int_frac DIW],"",0)</f>
        <v>#REF!</v>
      </c>
      <c r="AH636" s="69" t="e" cm="1">
        <f t="array" ref="AH636">_xlfn.XLOOKUP(Table1[[#This Row],[5 cm2 cell test code]:[5 cm2 cell test code]],[1]!Table1[[Test code]:[Test code]],[1]!Table1[Ionic resistance 10 mM KOH/Ohm cm2],"",0)</f>
        <v>#REF!</v>
      </c>
      <c r="AI636" s="69" t="e" cm="1">
        <f t="array" ref="AI636">_xlfn.XLOOKUP(Table1[[#This Row],[5 cm2 cell test code]:[5 cm2 cell test code]],[1]!Table1[[Test code]:[Test code]],[1]!Table1[Q_int_frac DIW 10 mM KOH],"",0)</f>
        <v>#REF!</v>
      </c>
      <c r="AJ636" s="69" t="e" cm="1">
        <f t="array" ref="AJ636">_xlfn.XLOOKUP(Table1[[#This Row],[5 cm2 cell test code]:[5 cm2 cell test code]],[1]!Table1[[Test code]:[Test code]],[1]!Table1[DIW conductivity (µS/cm)],"",0)</f>
        <v>#REF!</v>
      </c>
    </row>
    <row r="637" spans="1:36">
      <c r="A637" s="81"/>
      <c r="U637" s="101"/>
      <c r="V637" s="101"/>
      <c r="W637" s="69" t="e" cm="1">
        <f t="array" ref="W637">_xlfn.XLOOKUP(Table1[[#This Row],[5 cm2 cell test code]:[5 cm2 cell test code]],[1]!Table1[[Test code]:[Test code]],[1]!Table1[i @ 1.8 V DIW (A/cm2)],"",0)</f>
        <v>#REF!</v>
      </c>
      <c r="X637" s="69" t="e" cm="1">
        <f t="array" ref="X637">_xlfn.XLOOKUP(Table1[[#This Row],[5 cm2 cell test code]:[5 cm2 cell test code]],[1]!Table1[[Test code]:[Test code]],[1]!Table1[i @ 1.8 V 10 mM KOH (A/cm2)],"",0)</f>
        <v>#REF!</v>
      </c>
      <c r="Y637" s="69" t="e" cm="1">
        <f t="array" ref="Y637">_xlfn.XLOOKUP(Table1[[#This Row],[5 cm2 cell test code]:[5 cm2 cell test code]],[1]!Table1[[Test code]:[Test code]],[1]!Table1[3-E ƞ at 20mAcm-2 (mV)],"",0)</f>
        <v>#REF!</v>
      </c>
      <c r="Z637" s="69" t="e" cm="1">
        <f t="array" ref="Z637">_xlfn.XLOOKUP(Table1[[#This Row],[5 cm2 cell test code]:[5 cm2 cell test code]],[1]!Table1[[Test code]:[Test code]],[1]!Table1[3-E Tafel slope (mV/dec)],"",0)</f>
        <v>#REF!</v>
      </c>
      <c r="AA637" s="69" t="e" cm="1">
        <f t="array" ref="AA637">_xlfn.XLOOKUP(Table1[[#This Row],[5 cm2 cell test code]:[5 cm2 cell test code]],[1]!Table1[[Test code]:[Test code]],[1]!Table1[E @ 100 mA/cm2 DIW/V],"",0)</f>
        <v>#REF!</v>
      </c>
      <c r="AB637" s="69" t="e" cm="1">
        <f t="array" ref="AB637">_xlfn.XLOOKUP(Table1[[#This Row],[5 cm2 cell test code]:[5 cm2 cell test code]],[1]!Table1[[Test code]:[Test code]],[1]!Table1[E @ 100 mA/cm2 10 mM KOH/V],"",0)</f>
        <v>#REF!</v>
      </c>
      <c r="AC637" s="69" t="e" cm="1">
        <f t="array" ref="AC637">_xlfn.XLOOKUP(Table1[[#This Row],[5 cm2 cell test code]:[5 cm2 cell test code]],[1]!Table1[[Test code]:[Test code]],[1]!Table1[Anode ICR/mOhm],"",0)</f>
        <v>#REF!</v>
      </c>
      <c r="AD637" s="69" t="e" cm="1">
        <f t="array" ref="AD637">_xlfn.XLOOKUP(Table1[[#This Row],[5 cm2 cell test code]:[5 cm2 cell test code]],[1]!Table1[[Test code]:[Test code]],[1]!Table1[HFR DIW/ mOhm cm2],"",0)</f>
        <v>#REF!</v>
      </c>
      <c r="AE637" s="69" t="e" cm="1">
        <f t="array" ref="AE637">_xlfn.XLOOKUP(Table1[[#This Row],[5 cm2 cell test code]:[5 cm2 cell test code]],[1]!Table1[[Test code]:[Test code]],[1]!Table1[HFR 10 mM KOH/ mOhm cm2],"",0)</f>
        <v>#REF!</v>
      </c>
      <c r="AF637" s="69" t="e" cm="1">
        <f t="array" ref="AF637">_xlfn.XLOOKUP(Table1[[#This Row],[5 cm2 cell test code]:[5 cm2 cell test code]],[1]!Table1[[Test code]:[Test code]],[1]!Table1[Ionic resistance DIW/Ohm cm2],"",0)</f>
        <v>#REF!</v>
      </c>
      <c r="AG637" s="69" t="e" cm="1">
        <f t="array" ref="AG637">_xlfn.XLOOKUP(Table1[[#This Row],[5 cm2 cell test code]:[5 cm2 cell test code]],[1]!Table1[[Test code]:[Test code]],[1]!Table1[Q_int_frac DIW],"",0)</f>
        <v>#REF!</v>
      </c>
      <c r="AH637" s="69" t="e" cm="1">
        <f t="array" ref="AH637">_xlfn.XLOOKUP(Table1[[#This Row],[5 cm2 cell test code]:[5 cm2 cell test code]],[1]!Table1[[Test code]:[Test code]],[1]!Table1[Ionic resistance 10 mM KOH/Ohm cm2],"",0)</f>
        <v>#REF!</v>
      </c>
      <c r="AI637" s="69" t="e" cm="1">
        <f t="array" ref="AI637">_xlfn.XLOOKUP(Table1[[#This Row],[5 cm2 cell test code]:[5 cm2 cell test code]],[1]!Table1[[Test code]:[Test code]],[1]!Table1[Q_int_frac DIW 10 mM KOH],"",0)</f>
        <v>#REF!</v>
      </c>
      <c r="AJ637" s="69" t="e" cm="1">
        <f t="array" ref="AJ637">_xlfn.XLOOKUP(Table1[[#This Row],[5 cm2 cell test code]:[5 cm2 cell test code]],[1]!Table1[[Test code]:[Test code]],[1]!Table1[DIW conductivity (µS/cm)],"",0)</f>
        <v>#REF!</v>
      </c>
    </row>
    <row r="638" spans="1:36">
      <c r="A638" s="81"/>
      <c r="U638" s="101"/>
      <c r="V638" s="101"/>
      <c r="W638" s="69" t="e" cm="1">
        <f t="array" ref="W638">_xlfn.XLOOKUP(Table1[[#This Row],[5 cm2 cell test code]:[5 cm2 cell test code]],[1]!Table1[[Test code]:[Test code]],[1]!Table1[i @ 1.8 V DIW (A/cm2)],"",0)</f>
        <v>#REF!</v>
      </c>
      <c r="X638" s="69" t="e" cm="1">
        <f t="array" ref="X638">_xlfn.XLOOKUP(Table1[[#This Row],[5 cm2 cell test code]:[5 cm2 cell test code]],[1]!Table1[[Test code]:[Test code]],[1]!Table1[i @ 1.8 V 10 mM KOH (A/cm2)],"",0)</f>
        <v>#REF!</v>
      </c>
      <c r="Y638" s="69" t="e" cm="1">
        <f t="array" ref="Y638">_xlfn.XLOOKUP(Table1[[#This Row],[5 cm2 cell test code]:[5 cm2 cell test code]],[1]!Table1[[Test code]:[Test code]],[1]!Table1[3-E ƞ at 20mAcm-2 (mV)],"",0)</f>
        <v>#REF!</v>
      </c>
      <c r="Z638" s="69" t="e" cm="1">
        <f t="array" ref="Z638">_xlfn.XLOOKUP(Table1[[#This Row],[5 cm2 cell test code]:[5 cm2 cell test code]],[1]!Table1[[Test code]:[Test code]],[1]!Table1[3-E Tafel slope (mV/dec)],"",0)</f>
        <v>#REF!</v>
      </c>
      <c r="AA638" s="69" t="e" cm="1">
        <f t="array" ref="AA638">_xlfn.XLOOKUP(Table1[[#This Row],[5 cm2 cell test code]:[5 cm2 cell test code]],[1]!Table1[[Test code]:[Test code]],[1]!Table1[E @ 100 mA/cm2 DIW/V],"",0)</f>
        <v>#REF!</v>
      </c>
      <c r="AB638" s="69" t="e" cm="1">
        <f t="array" ref="AB638">_xlfn.XLOOKUP(Table1[[#This Row],[5 cm2 cell test code]:[5 cm2 cell test code]],[1]!Table1[[Test code]:[Test code]],[1]!Table1[E @ 100 mA/cm2 10 mM KOH/V],"",0)</f>
        <v>#REF!</v>
      </c>
      <c r="AC638" s="69" t="e" cm="1">
        <f t="array" ref="AC638">_xlfn.XLOOKUP(Table1[[#This Row],[5 cm2 cell test code]:[5 cm2 cell test code]],[1]!Table1[[Test code]:[Test code]],[1]!Table1[Anode ICR/mOhm],"",0)</f>
        <v>#REF!</v>
      </c>
      <c r="AD638" s="69" t="e" cm="1">
        <f t="array" ref="AD638">_xlfn.XLOOKUP(Table1[[#This Row],[5 cm2 cell test code]:[5 cm2 cell test code]],[1]!Table1[[Test code]:[Test code]],[1]!Table1[HFR DIW/ mOhm cm2],"",0)</f>
        <v>#REF!</v>
      </c>
      <c r="AE638" s="69" t="e" cm="1">
        <f t="array" ref="AE638">_xlfn.XLOOKUP(Table1[[#This Row],[5 cm2 cell test code]:[5 cm2 cell test code]],[1]!Table1[[Test code]:[Test code]],[1]!Table1[HFR 10 mM KOH/ mOhm cm2],"",0)</f>
        <v>#REF!</v>
      </c>
      <c r="AF638" s="69" t="e" cm="1">
        <f t="array" ref="AF638">_xlfn.XLOOKUP(Table1[[#This Row],[5 cm2 cell test code]:[5 cm2 cell test code]],[1]!Table1[[Test code]:[Test code]],[1]!Table1[Ionic resistance DIW/Ohm cm2],"",0)</f>
        <v>#REF!</v>
      </c>
      <c r="AG638" s="69" t="e" cm="1">
        <f t="array" ref="AG638">_xlfn.XLOOKUP(Table1[[#This Row],[5 cm2 cell test code]:[5 cm2 cell test code]],[1]!Table1[[Test code]:[Test code]],[1]!Table1[Q_int_frac DIW],"",0)</f>
        <v>#REF!</v>
      </c>
      <c r="AH638" s="69" t="e" cm="1">
        <f t="array" ref="AH638">_xlfn.XLOOKUP(Table1[[#This Row],[5 cm2 cell test code]:[5 cm2 cell test code]],[1]!Table1[[Test code]:[Test code]],[1]!Table1[Ionic resistance 10 mM KOH/Ohm cm2],"",0)</f>
        <v>#REF!</v>
      </c>
      <c r="AI638" s="69" t="e" cm="1">
        <f t="array" ref="AI638">_xlfn.XLOOKUP(Table1[[#This Row],[5 cm2 cell test code]:[5 cm2 cell test code]],[1]!Table1[[Test code]:[Test code]],[1]!Table1[Q_int_frac DIW 10 mM KOH],"",0)</f>
        <v>#REF!</v>
      </c>
      <c r="AJ638" s="69" t="e" cm="1">
        <f t="array" ref="AJ638">_xlfn.XLOOKUP(Table1[[#This Row],[5 cm2 cell test code]:[5 cm2 cell test code]],[1]!Table1[[Test code]:[Test code]],[1]!Table1[DIW conductivity (µS/cm)],"",0)</f>
        <v>#REF!</v>
      </c>
    </row>
    <row r="639" spans="1:36">
      <c r="A639" s="81"/>
      <c r="U639" s="101"/>
      <c r="V639" s="101"/>
      <c r="W639" s="69" t="e" cm="1">
        <f t="array" ref="W639">_xlfn.XLOOKUP(Table1[[#This Row],[5 cm2 cell test code]:[5 cm2 cell test code]],[1]!Table1[[Test code]:[Test code]],[1]!Table1[i @ 1.8 V DIW (A/cm2)],"",0)</f>
        <v>#REF!</v>
      </c>
      <c r="X639" s="69" t="e" cm="1">
        <f t="array" ref="X639">_xlfn.XLOOKUP(Table1[[#This Row],[5 cm2 cell test code]:[5 cm2 cell test code]],[1]!Table1[[Test code]:[Test code]],[1]!Table1[i @ 1.8 V 10 mM KOH (A/cm2)],"",0)</f>
        <v>#REF!</v>
      </c>
      <c r="Y639" s="69" t="e" cm="1">
        <f t="array" ref="Y639">_xlfn.XLOOKUP(Table1[[#This Row],[5 cm2 cell test code]:[5 cm2 cell test code]],[1]!Table1[[Test code]:[Test code]],[1]!Table1[3-E ƞ at 20mAcm-2 (mV)],"",0)</f>
        <v>#REF!</v>
      </c>
      <c r="Z639" s="69" t="e" cm="1">
        <f t="array" ref="Z639">_xlfn.XLOOKUP(Table1[[#This Row],[5 cm2 cell test code]:[5 cm2 cell test code]],[1]!Table1[[Test code]:[Test code]],[1]!Table1[3-E Tafel slope (mV/dec)],"",0)</f>
        <v>#REF!</v>
      </c>
      <c r="AA639" s="69" t="e" cm="1">
        <f t="array" ref="AA639">_xlfn.XLOOKUP(Table1[[#This Row],[5 cm2 cell test code]:[5 cm2 cell test code]],[1]!Table1[[Test code]:[Test code]],[1]!Table1[E @ 100 mA/cm2 DIW/V],"",0)</f>
        <v>#REF!</v>
      </c>
      <c r="AB639" s="69" t="e" cm="1">
        <f t="array" ref="AB639">_xlfn.XLOOKUP(Table1[[#This Row],[5 cm2 cell test code]:[5 cm2 cell test code]],[1]!Table1[[Test code]:[Test code]],[1]!Table1[E @ 100 mA/cm2 10 mM KOH/V],"",0)</f>
        <v>#REF!</v>
      </c>
      <c r="AC639" s="69" t="e" cm="1">
        <f t="array" ref="AC639">_xlfn.XLOOKUP(Table1[[#This Row],[5 cm2 cell test code]:[5 cm2 cell test code]],[1]!Table1[[Test code]:[Test code]],[1]!Table1[Anode ICR/mOhm],"",0)</f>
        <v>#REF!</v>
      </c>
      <c r="AD639" s="69" t="e" cm="1">
        <f t="array" ref="AD639">_xlfn.XLOOKUP(Table1[[#This Row],[5 cm2 cell test code]:[5 cm2 cell test code]],[1]!Table1[[Test code]:[Test code]],[1]!Table1[HFR DIW/ mOhm cm2],"",0)</f>
        <v>#REF!</v>
      </c>
      <c r="AE639" s="69" t="e" cm="1">
        <f t="array" ref="AE639">_xlfn.XLOOKUP(Table1[[#This Row],[5 cm2 cell test code]:[5 cm2 cell test code]],[1]!Table1[[Test code]:[Test code]],[1]!Table1[HFR 10 mM KOH/ mOhm cm2],"",0)</f>
        <v>#REF!</v>
      </c>
      <c r="AF639" s="69" t="e" cm="1">
        <f t="array" ref="AF639">_xlfn.XLOOKUP(Table1[[#This Row],[5 cm2 cell test code]:[5 cm2 cell test code]],[1]!Table1[[Test code]:[Test code]],[1]!Table1[Ionic resistance DIW/Ohm cm2],"",0)</f>
        <v>#REF!</v>
      </c>
      <c r="AG639" s="69" t="e" cm="1">
        <f t="array" ref="AG639">_xlfn.XLOOKUP(Table1[[#This Row],[5 cm2 cell test code]:[5 cm2 cell test code]],[1]!Table1[[Test code]:[Test code]],[1]!Table1[Q_int_frac DIW],"",0)</f>
        <v>#REF!</v>
      </c>
      <c r="AH639" s="69" t="e" cm="1">
        <f t="array" ref="AH639">_xlfn.XLOOKUP(Table1[[#This Row],[5 cm2 cell test code]:[5 cm2 cell test code]],[1]!Table1[[Test code]:[Test code]],[1]!Table1[Ionic resistance 10 mM KOH/Ohm cm2],"",0)</f>
        <v>#REF!</v>
      </c>
      <c r="AI639" s="69" t="e" cm="1">
        <f t="array" ref="AI639">_xlfn.XLOOKUP(Table1[[#This Row],[5 cm2 cell test code]:[5 cm2 cell test code]],[1]!Table1[[Test code]:[Test code]],[1]!Table1[Q_int_frac DIW 10 mM KOH],"",0)</f>
        <v>#REF!</v>
      </c>
      <c r="AJ639" s="69" t="e" cm="1">
        <f t="array" ref="AJ639">_xlfn.XLOOKUP(Table1[[#This Row],[5 cm2 cell test code]:[5 cm2 cell test code]],[1]!Table1[[Test code]:[Test code]],[1]!Table1[DIW conductivity (µS/cm)],"",0)</f>
        <v>#REF!</v>
      </c>
    </row>
    <row r="640" spans="1:36">
      <c r="A640" s="81"/>
      <c r="U640" s="101"/>
      <c r="V640" s="101"/>
      <c r="W640" s="69" t="e" cm="1">
        <f t="array" ref="W640">_xlfn.XLOOKUP(Table1[[#This Row],[5 cm2 cell test code]:[5 cm2 cell test code]],[1]!Table1[[Test code]:[Test code]],[1]!Table1[i @ 1.8 V DIW (A/cm2)],"",0)</f>
        <v>#REF!</v>
      </c>
      <c r="X640" s="69" t="e" cm="1">
        <f t="array" ref="X640">_xlfn.XLOOKUP(Table1[[#This Row],[5 cm2 cell test code]:[5 cm2 cell test code]],[1]!Table1[[Test code]:[Test code]],[1]!Table1[i @ 1.8 V 10 mM KOH (A/cm2)],"",0)</f>
        <v>#REF!</v>
      </c>
      <c r="Y640" s="69" t="e" cm="1">
        <f t="array" ref="Y640">_xlfn.XLOOKUP(Table1[[#This Row],[5 cm2 cell test code]:[5 cm2 cell test code]],[1]!Table1[[Test code]:[Test code]],[1]!Table1[3-E ƞ at 20mAcm-2 (mV)],"",0)</f>
        <v>#REF!</v>
      </c>
      <c r="Z640" s="69" t="e" cm="1">
        <f t="array" ref="Z640">_xlfn.XLOOKUP(Table1[[#This Row],[5 cm2 cell test code]:[5 cm2 cell test code]],[1]!Table1[[Test code]:[Test code]],[1]!Table1[3-E Tafel slope (mV/dec)],"",0)</f>
        <v>#REF!</v>
      </c>
      <c r="AA640" s="69" t="e" cm="1">
        <f t="array" ref="AA640">_xlfn.XLOOKUP(Table1[[#This Row],[5 cm2 cell test code]:[5 cm2 cell test code]],[1]!Table1[[Test code]:[Test code]],[1]!Table1[E @ 100 mA/cm2 DIW/V],"",0)</f>
        <v>#REF!</v>
      </c>
      <c r="AB640" s="69" t="e" cm="1">
        <f t="array" ref="AB640">_xlfn.XLOOKUP(Table1[[#This Row],[5 cm2 cell test code]:[5 cm2 cell test code]],[1]!Table1[[Test code]:[Test code]],[1]!Table1[E @ 100 mA/cm2 10 mM KOH/V],"",0)</f>
        <v>#REF!</v>
      </c>
      <c r="AC640" s="69" t="e" cm="1">
        <f t="array" ref="AC640">_xlfn.XLOOKUP(Table1[[#This Row],[5 cm2 cell test code]:[5 cm2 cell test code]],[1]!Table1[[Test code]:[Test code]],[1]!Table1[Anode ICR/mOhm],"",0)</f>
        <v>#REF!</v>
      </c>
      <c r="AD640" s="69" t="e" cm="1">
        <f t="array" ref="AD640">_xlfn.XLOOKUP(Table1[[#This Row],[5 cm2 cell test code]:[5 cm2 cell test code]],[1]!Table1[[Test code]:[Test code]],[1]!Table1[HFR DIW/ mOhm cm2],"",0)</f>
        <v>#REF!</v>
      </c>
      <c r="AE640" s="69" t="e" cm="1">
        <f t="array" ref="AE640">_xlfn.XLOOKUP(Table1[[#This Row],[5 cm2 cell test code]:[5 cm2 cell test code]],[1]!Table1[[Test code]:[Test code]],[1]!Table1[HFR 10 mM KOH/ mOhm cm2],"",0)</f>
        <v>#REF!</v>
      </c>
      <c r="AF640" s="69" t="e" cm="1">
        <f t="array" ref="AF640">_xlfn.XLOOKUP(Table1[[#This Row],[5 cm2 cell test code]:[5 cm2 cell test code]],[1]!Table1[[Test code]:[Test code]],[1]!Table1[Ionic resistance DIW/Ohm cm2],"",0)</f>
        <v>#REF!</v>
      </c>
      <c r="AG640" s="69" t="e" cm="1">
        <f t="array" ref="AG640">_xlfn.XLOOKUP(Table1[[#This Row],[5 cm2 cell test code]:[5 cm2 cell test code]],[1]!Table1[[Test code]:[Test code]],[1]!Table1[Q_int_frac DIW],"",0)</f>
        <v>#REF!</v>
      </c>
      <c r="AH640" s="69" t="e" cm="1">
        <f t="array" ref="AH640">_xlfn.XLOOKUP(Table1[[#This Row],[5 cm2 cell test code]:[5 cm2 cell test code]],[1]!Table1[[Test code]:[Test code]],[1]!Table1[Ionic resistance 10 mM KOH/Ohm cm2],"",0)</f>
        <v>#REF!</v>
      </c>
      <c r="AI640" s="69" t="e" cm="1">
        <f t="array" ref="AI640">_xlfn.XLOOKUP(Table1[[#This Row],[5 cm2 cell test code]:[5 cm2 cell test code]],[1]!Table1[[Test code]:[Test code]],[1]!Table1[Q_int_frac DIW 10 mM KOH],"",0)</f>
        <v>#REF!</v>
      </c>
      <c r="AJ640" s="69" t="e" cm="1">
        <f t="array" ref="AJ640">_xlfn.XLOOKUP(Table1[[#This Row],[5 cm2 cell test code]:[5 cm2 cell test code]],[1]!Table1[[Test code]:[Test code]],[1]!Table1[DIW conductivity (µS/cm)],"",0)</f>
        <v>#REF!</v>
      </c>
    </row>
    <row r="641" spans="1:36">
      <c r="A641" s="81"/>
      <c r="U641" s="101"/>
      <c r="V641" s="101"/>
      <c r="W641" s="69" t="e" cm="1">
        <f t="array" ref="W641">_xlfn.XLOOKUP(Table1[[#This Row],[5 cm2 cell test code]:[5 cm2 cell test code]],[1]!Table1[[Test code]:[Test code]],[1]!Table1[i @ 1.8 V DIW (A/cm2)],"",0)</f>
        <v>#REF!</v>
      </c>
      <c r="X641" s="69" t="e" cm="1">
        <f t="array" ref="X641">_xlfn.XLOOKUP(Table1[[#This Row],[5 cm2 cell test code]:[5 cm2 cell test code]],[1]!Table1[[Test code]:[Test code]],[1]!Table1[i @ 1.8 V 10 mM KOH (A/cm2)],"",0)</f>
        <v>#REF!</v>
      </c>
      <c r="Y641" s="69" t="e" cm="1">
        <f t="array" ref="Y641">_xlfn.XLOOKUP(Table1[[#This Row],[5 cm2 cell test code]:[5 cm2 cell test code]],[1]!Table1[[Test code]:[Test code]],[1]!Table1[3-E ƞ at 20mAcm-2 (mV)],"",0)</f>
        <v>#REF!</v>
      </c>
      <c r="Z641" s="69" t="e" cm="1">
        <f t="array" ref="Z641">_xlfn.XLOOKUP(Table1[[#This Row],[5 cm2 cell test code]:[5 cm2 cell test code]],[1]!Table1[[Test code]:[Test code]],[1]!Table1[3-E Tafel slope (mV/dec)],"",0)</f>
        <v>#REF!</v>
      </c>
      <c r="AA641" s="69" t="e" cm="1">
        <f t="array" ref="AA641">_xlfn.XLOOKUP(Table1[[#This Row],[5 cm2 cell test code]:[5 cm2 cell test code]],[1]!Table1[[Test code]:[Test code]],[1]!Table1[E @ 100 mA/cm2 DIW/V],"",0)</f>
        <v>#REF!</v>
      </c>
      <c r="AB641" s="69" t="e" cm="1">
        <f t="array" ref="AB641">_xlfn.XLOOKUP(Table1[[#This Row],[5 cm2 cell test code]:[5 cm2 cell test code]],[1]!Table1[[Test code]:[Test code]],[1]!Table1[E @ 100 mA/cm2 10 mM KOH/V],"",0)</f>
        <v>#REF!</v>
      </c>
      <c r="AC641" s="69" t="e" cm="1">
        <f t="array" ref="AC641">_xlfn.XLOOKUP(Table1[[#This Row],[5 cm2 cell test code]:[5 cm2 cell test code]],[1]!Table1[[Test code]:[Test code]],[1]!Table1[Anode ICR/mOhm],"",0)</f>
        <v>#REF!</v>
      </c>
      <c r="AD641" s="69" t="e" cm="1">
        <f t="array" ref="AD641">_xlfn.XLOOKUP(Table1[[#This Row],[5 cm2 cell test code]:[5 cm2 cell test code]],[1]!Table1[[Test code]:[Test code]],[1]!Table1[HFR DIW/ mOhm cm2],"",0)</f>
        <v>#REF!</v>
      </c>
      <c r="AE641" s="69" t="e" cm="1">
        <f t="array" ref="AE641">_xlfn.XLOOKUP(Table1[[#This Row],[5 cm2 cell test code]:[5 cm2 cell test code]],[1]!Table1[[Test code]:[Test code]],[1]!Table1[HFR 10 mM KOH/ mOhm cm2],"",0)</f>
        <v>#REF!</v>
      </c>
      <c r="AF641" s="69" t="e" cm="1">
        <f t="array" ref="AF641">_xlfn.XLOOKUP(Table1[[#This Row],[5 cm2 cell test code]:[5 cm2 cell test code]],[1]!Table1[[Test code]:[Test code]],[1]!Table1[Ionic resistance DIW/Ohm cm2],"",0)</f>
        <v>#REF!</v>
      </c>
      <c r="AG641" s="69" t="e" cm="1">
        <f t="array" ref="AG641">_xlfn.XLOOKUP(Table1[[#This Row],[5 cm2 cell test code]:[5 cm2 cell test code]],[1]!Table1[[Test code]:[Test code]],[1]!Table1[Q_int_frac DIW],"",0)</f>
        <v>#REF!</v>
      </c>
      <c r="AH641" s="69" t="e" cm="1">
        <f t="array" ref="AH641">_xlfn.XLOOKUP(Table1[[#This Row],[5 cm2 cell test code]:[5 cm2 cell test code]],[1]!Table1[[Test code]:[Test code]],[1]!Table1[Ionic resistance 10 mM KOH/Ohm cm2],"",0)</f>
        <v>#REF!</v>
      </c>
      <c r="AI641" s="69" t="e" cm="1">
        <f t="array" ref="AI641">_xlfn.XLOOKUP(Table1[[#This Row],[5 cm2 cell test code]:[5 cm2 cell test code]],[1]!Table1[[Test code]:[Test code]],[1]!Table1[Q_int_frac DIW 10 mM KOH],"",0)</f>
        <v>#REF!</v>
      </c>
      <c r="AJ641" s="69" t="e" cm="1">
        <f t="array" ref="AJ641">_xlfn.XLOOKUP(Table1[[#This Row],[5 cm2 cell test code]:[5 cm2 cell test code]],[1]!Table1[[Test code]:[Test code]],[1]!Table1[DIW conductivity (µS/cm)],"",0)</f>
        <v>#REF!</v>
      </c>
    </row>
    <row r="642" spans="1:36">
      <c r="A642" s="81"/>
      <c r="U642" s="101"/>
      <c r="V642" s="101"/>
      <c r="W642" s="69" t="e" cm="1">
        <f t="array" ref="W642">_xlfn.XLOOKUP(Table1[[#This Row],[5 cm2 cell test code]:[5 cm2 cell test code]],[1]!Table1[[Test code]:[Test code]],[1]!Table1[i @ 1.8 V DIW (A/cm2)],"",0)</f>
        <v>#REF!</v>
      </c>
      <c r="X642" s="69" t="e" cm="1">
        <f t="array" ref="X642">_xlfn.XLOOKUP(Table1[[#This Row],[5 cm2 cell test code]:[5 cm2 cell test code]],[1]!Table1[[Test code]:[Test code]],[1]!Table1[i @ 1.8 V 10 mM KOH (A/cm2)],"",0)</f>
        <v>#REF!</v>
      </c>
      <c r="Y642" s="69" t="e" cm="1">
        <f t="array" ref="Y642">_xlfn.XLOOKUP(Table1[[#This Row],[5 cm2 cell test code]:[5 cm2 cell test code]],[1]!Table1[[Test code]:[Test code]],[1]!Table1[3-E ƞ at 20mAcm-2 (mV)],"",0)</f>
        <v>#REF!</v>
      </c>
      <c r="Z642" s="69" t="e" cm="1">
        <f t="array" ref="Z642">_xlfn.XLOOKUP(Table1[[#This Row],[5 cm2 cell test code]:[5 cm2 cell test code]],[1]!Table1[[Test code]:[Test code]],[1]!Table1[3-E Tafel slope (mV/dec)],"",0)</f>
        <v>#REF!</v>
      </c>
      <c r="AA642" s="69" t="e" cm="1">
        <f t="array" ref="AA642">_xlfn.XLOOKUP(Table1[[#This Row],[5 cm2 cell test code]:[5 cm2 cell test code]],[1]!Table1[[Test code]:[Test code]],[1]!Table1[E @ 100 mA/cm2 DIW/V],"",0)</f>
        <v>#REF!</v>
      </c>
      <c r="AB642" s="69" t="e" cm="1">
        <f t="array" ref="AB642">_xlfn.XLOOKUP(Table1[[#This Row],[5 cm2 cell test code]:[5 cm2 cell test code]],[1]!Table1[[Test code]:[Test code]],[1]!Table1[E @ 100 mA/cm2 10 mM KOH/V],"",0)</f>
        <v>#REF!</v>
      </c>
      <c r="AC642" s="69" t="e" cm="1">
        <f t="array" ref="AC642">_xlfn.XLOOKUP(Table1[[#This Row],[5 cm2 cell test code]:[5 cm2 cell test code]],[1]!Table1[[Test code]:[Test code]],[1]!Table1[Anode ICR/mOhm],"",0)</f>
        <v>#REF!</v>
      </c>
      <c r="AD642" s="69" t="e" cm="1">
        <f t="array" ref="AD642">_xlfn.XLOOKUP(Table1[[#This Row],[5 cm2 cell test code]:[5 cm2 cell test code]],[1]!Table1[[Test code]:[Test code]],[1]!Table1[HFR DIW/ mOhm cm2],"",0)</f>
        <v>#REF!</v>
      </c>
      <c r="AE642" s="69" t="e" cm="1">
        <f t="array" ref="AE642">_xlfn.XLOOKUP(Table1[[#This Row],[5 cm2 cell test code]:[5 cm2 cell test code]],[1]!Table1[[Test code]:[Test code]],[1]!Table1[HFR 10 mM KOH/ mOhm cm2],"",0)</f>
        <v>#REF!</v>
      </c>
      <c r="AF642" s="69" t="e" cm="1">
        <f t="array" ref="AF642">_xlfn.XLOOKUP(Table1[[#This Row],[5 cm2 cell test code]:[5 cm2 cell test code]],[1]!Table1[[Test code]:[Test code]],[1]!Table1[Ionic resistance DIW/Ohm cm2],"",0)</f>
        <v>#REF!</v>
      </c>
      <c r="AG642" s="69" t="e" cm="1">
        <f t="array" ref="AG642">_xlfn.XLOOKUP(Table1[[#This Row],[5 cm2 cell test code]:[5 cm2 cell test code]],[1]!Table1[[Test code]:[Test code]],[1]!Table1[Q_int_frac DIW],"",0)</f>
        <v>#REF!</v>
      </c>
      <c r="AH642" s="69" t="e" cm="1">
        <f t="array" ref="AH642">_xlfn.XLOOKUP(Table1[[#This Row],[5 cm2 cell test code]:[5 cm2 cell test code]],[1]!Table1[[Test code]:[Test code]],[1]!Table1[Ionic resistance 10 mM KOH/Ohm cm2],"",0)</f>
        <v>#REF!</v>
      </c>
      <c r="AI642" s="69" t="e" cm="1">
        <f t="array" ref="AI642">_xlfn.XLOOKUP(Table1[[#This Row],[5 cm2 cell test code]:[5 cm2 cell test code]],[1]!Table1[[Test code]:[Test code]],[1]!Table1[Q_int_frac DIW 10 mM KOH],"",0)</f>
        <v>#REF!</v>
      </c>
      <c r="AJ642" s="69" t="e" cm="1">
        <f t="array" ref="AJ642">_xlfn.XLOOKUP(Table1[[#This Row],[5 cm2 cell test code]:[5 cm2 cell test code]],[1]!Table1[[Test code]:[Test code]],[1]!Table1[DIW conductivity (µS/cm)],"",0)</f>
        <v>#REF!</v>
      </c>
    </row>
    <row r="643" spans="1:36">
      <c r="A643" s="81"/>
      <c r="U643" s="101"/>
      <c r="V643" s="101"/>
      <c r="W643" s="69" t="e" cm="1">
        <f t="array" ref="W643">_xlfn.XLOOKUP(Table1[[#This Row],[5 cm2 cell test code]:[5 cm2 cell test code]],[1]!Table1[[Test code]:[Test code]],[1]!Table1[i @ 1.8 V DIW (A/cm2)],"",0)</f>
        <v>#REF!</v>
      </c>
      <c r="X643" s="69" t="e" cm="1">
        <f t="array" ref="X643">_xlfn.XLOOKUP(Table1[[#This Row],[5 cm2 cell test code]:[5 cm2 cell test code]],[1]!Table1[[Test code]:[Test code]],[1]!Table1[i @ 1.8 V 10 mM KOH (A/cm2)],"",0)</f>
        <v>#REF!</v>
      </c>
      <c r="Y643" s="69" t="e" cm="1">
        <f t="array" ref="Y643">_xlfn.XLOOKUP(Table1[[#This Row],[5 cm2 cell test code]:[5 cm2 cell test code]],[1]!Table1[[Test code]:[Test code]],[1]!Table1[3-E ƞ at 20mAcm-2 (mV)],"",0)</f>
        <v>#REF!</v>
      </c>
      <c r="Z643" s="69" t="e" cm="1">
        <f t="array" ref="Z643">_xlfn.XLOOKUP(Table1[[#This Row],[5 cm2 cell test code]:[5 cm2 cell test code]],[1]!Table1[[Test code]:[Test code]],[1]!Table1[3-E Tafel slope (mV/dec)],"",0)</f>
        <v>#REF!</v>
      </c>
      <c r="AA643" s="69" t="e" cm="1">
        <f t="array" ref="AA643">_xlfn.XLOOKUP(Table1[[#This Row],[5 cm2 cell test code]:[5 cm2 cell test code]],[1]!Table1[[Test code]:[Test code]],[1]!Table1[E @ 100 mA/cm2 DIW/V],"",0)</f>
        <v>#REF!</v>
      </c>
      <c r="AB643" s="69" t="e" cm="1">
        <f t="array" ref="AB643">_xlfn.XLOOKUP(Table1[[#This Row],[5 cm2 cell test code]:[5 cm2 cell test code]],[1]!Table1[[Test code]:[Test code]],[1]!Table1[E @ 100 mA/cm2 10 mM KOH/V],"",0)</f>
        <v>#REF!</v>
      </c>
      <c r="AC643" s="69" t="e" cm="1">
        <f t="array" ref="AC643">_xlfn.XLOOKUP(Table1[[#This Row],[5 cm2 cell test code]:[5 cm2 cell test code]],[1]!Table1[[Test code]:[Test code]],[1]!Table1[Anode ICR/mOhm],"",0)</f>
        <v>#REF!</v>
      </c>
      <c r="AD643" s="69" t="e" cm="1">
        <f t="array" ref="AD643">_xlfn.XLOOKUP(Table1[[#This Row],[5 cm2 cell test code]:[5 cm2 cell test code]],[1]!Table1[[Test code]:[Test code]],[1]!Table1[HFR DIW/ mOhm cm2],"",0)</f>
        <v>#REF!</v>
      </c>
      <c r="AE643" s="69" t="e" cm="1">
        <f t="array" ref="AE643">_xlfn.XLOOKUP(Table1[[#This Row],[5 cm2 cell test code]:[5 cm2 cell test code]],[1]!Table1[[Test code]:[Test code]],[1]!Table1[HFR 10 mM KOH/ mOhm cm2],"",0)</f>
        <v>#REF!</v>
      </c>
      <c r="AF643" s="69" t="e" cm="1">
        <f t="array" ref="AF643">_xlfn.XLOOKUP(Table1[[#This Row],[5 cm2 cell test code]:[5 cm2 cell test code]],[1]!Table1[[Test code]:[Test code]],[1]!Table1[Ionic resistance DIW/Ohm cm2],"",0)</f>
        <v>#REF!</v>
      </c>
      <c r="AG643" s="69" t="e" cm="1">
        <f t="array" ref="AG643">_xlfn.XLOOKUP(Table1[[#This Row],[5 cm2 cell test code]:[5 cm2 cell test code]],[1]!Table1[[Test code]:[Test code]],[1]!Table1[Q_int_frac DIW],"",0)</f>
        <v>#REF!</v>
      </c>
      <c r="AH643" s="69" t="e" cm="1">
        <f t="array" ref="AH643">_xlfn.XLOOKUP(Table1[[#This Row],[5 cm2 cell test code]:[5 cm2 cell test code]],[1]!Table1[[Test code]:[Test code]],[1]!Table1[Ionic resistance 10 mM KOH/Ohm cm2],"",0)</f>
        <v>#REF!</v>
      </c>
      <c r="AI643" s="69" t="e" cm="1">
        <f t="array" ref="AI643">_xlfn.XLOOKUP(Table1[[#This Row],[5 cm2 cell test code]:[5 cm2 cell test code]],[1]!Table1[[Test code]:[Test code]],[1]!Table1[Q_int_frac DIW 10 mM KOH],"",0)</f>
        <v>#REF!</v>
      </c>
      <c r="AJ643" s="69" t="e" cm="1">
        <f t="array" ref="AJ643">_xlfn.XLOOKUP(Table1[[#This Row],[5 cm2 cell test code]:[5 cm2 cell test code]],[1]!Table1[[Test code]:[Test code]],[1]!Table1[DIW conductivity (µS/cm)],"",0)</f>
        <v>#REF!</v>
      </c>
    </row>
    <row r="644" spans="1:36">
      <c r="A644" s="81"/>
      <c r="U644" s="101"/>
      <c r="V644" s="101"/>
      <c r="W644" s="69" t="e" cm="1">
        <f t="array" ref="W644">_xlfn.XLOOKUP(Table1[[#This Row],[5 cm2 cell test code]:[5 cm2 cell test code]],[1]!Table1[[Test code]:[Test code]],[1]!Table1[i @ 1.8 V DIW (A/cm2)],"",0)</f>
        <v>#REF!</v>
      </c>
      <c r="X644" s="69" t="e" cm="1">
        <f t="array" ref="X644">_xlfn.XLOOKUP(Table1[[#This Row],[5 cm2 cell test code]:[5 cm2 cell test code]],[1]!Table1[[Test code]:[Test code]],[1]!Table1[i @ 1.8 V 10 mM KOH (A/cm2)],"",0)</f>
        <v>#REF!</v>
      </c>
      <c r="Y644" s="69" t="e" cm="1">
        <f t="array" ref="Y644">_xlfn.XLOOKUP(Table1[[#This Row],[5 cm2 cell test code]:[5 cm2 cell test code]],[1]!Table1[[Test code]:[Test code]],[1]!Table1[3-E ƞ at 20mAcm-2 (mV)],"",0)</f>
        <v>#REF!</v>
      </c>
      <c r="Z644" s="69" t="e" cm="1">
        <f t="array" ref="Z644">_xlfn.XLOOKUP(Table1[[#This Row],[5 cm2 cell test code]:[5 cm2 cell test code]],[1]!Table1[[Test code]:[Test code]],[1]!Table1[3-E Tafel slope (mV/dec)],"",0)</f>
        <v>#REF!</v>
      </c>
      <c r="AA644" s="69" t="e" cm="1">
        <f t="array" ref="AA644">_xlfn.XLOOKUP(Table1[[#This Row],[5 cm2 cell test code]:[5 cm2 cell test code]],[1]!Table1[[Test code]:[Test code]],[1]!Table1[E @ 100 mA/cm2 DIW/V],"",0)</f>
        <v>#REF!</v>
      </c>
      <c r="AB644" s="69" t="e" cm="1">
        <f t="array" ref="AB644">_xlfn.XLOOKUP(Table1[[#This Row],[5 cm2 cell test code]:[5 cm2 cell test code]],[1]!Table1[[Test code]:[Test code]],[1]!Table1[E @ 100 mA/cm2 10 mM KOH/V],"",0)</f>
        <v>#REF!</v>
      </c>
      <c r="AC644" s="69" t="e" cm="1">
        <f t="array" ref="AC644">_xlfn.XLOOKUP(Table1[[#This Row],[5 cm2 cell test code]:[5 cm2 cell test code]],[1]!Table1[[Test code]:[Test code]],[1]!Table1[Anode ICR/mOhm],"",0)</f>
        <v>#REF!</v>
      </c>
      <c r="AD644" s="69" t="e" cm="1">
        <f t="array" ref="AD644">_xlfn.XLOOKUP(Table1[[#This Row],[5 cm2 cell test code]:[5 cm2 cell test code]],[1]!Table1[[Test code]:[Test code]],[1]!Table1[HFR DIW/ mOhm cm2],"",0)</f>
        <v>#REF!</v>
      </c>
      <c r="AE644" s="69" t="e" cm="1">
        <f t="array" ref="AE644">_xlfn.XLOOKUP(Table1[[#This Row],[5 cm2 cell test code]:[5 cm2 cell test code]],[1]!Table1[[Test code]:[Test code]],[1]!Table1[HFR 10 mM KOH/ mOhm cm2],"",0)</f>
        <v>#REF!</v>
      </c>
      <c r="AF644" s="69" t="e" cm="1">
        <f t="array" ref="AF644">_xlfn.XLOOKUP(Table1[[#This Row],[5 cm2 cell test code]:[5 cm2 cell test code]],[1]!Table1[[Test code]:[Test code]],[1]!Table1[Ionic resistance DIW/Ohm cm2],"",0)</f>
        <v>#REF!</v>
      </c>
      <c r="AG644" s="69" t="e" cm="1">
        <f t="array" ref="AG644">_xlfn.XLOOKUP(Table1[[#This Row],[5 cm2 cell test code]:[5 cm2 cell test code]],[1]!Table1[[Test code]:[Test code]],[1]!Table1[Q_int_frac DIW],"",0)</f>
        <v>#REF!</v>
      </c>
      <c r="AH644" s="69" t="e" cm="1">
        <f t="array" ref="AH644">_xlfn.XLOOKUP(Table1[[#This Row],[5 cm2 cell test code]:[5 cm2 cell test code]],[1]!Table1[[Test code]:[Test code]],[1]!Table1[Ionic resistance 10 mM KOH/Ohm cm2],"",0)</f>
        <v>#REF!</v>
      </c>
      <c r="AI644" s="69" t="e" cm="1">
        <f t="array" ref="AI644">_xlfn.XLOOKUP(Table1[[#This Row],[5 cm2 cell test code]:[5 cm2 cell test code]],[1]!Table1[[Test code]:[Test code]],[1]!Table1[Q_int_frac DIW 10 mM KOH],"",0)</f>
        <v>#REF!</v>
      </c>
      <c r="AJ644" s="69" t="e" cm="1">
        <f t="array" ref="AJ644">_xlfn.XLOOKUP(Table1[[#This Row],[5 cm2 cell test code]:[5 cm2 cell test code]],[1]!Table1[[Test code]:[Test code]],[1]!Table1[DIW conductivity (µS/cm)],"",0)</f>
        <v>#REF!</v>
      </c>
    </row>
    <row r="645" spans="1:36">
      <c r="A645" s="81"/>
      <c r="U645" s="101"/>
      <c r="V645" s="101"/>
      <c r="W645" s="69" t="e" cm="1">
        <f t="array" ref="W645">_xlfn.XLOOKUP(Table1[[#This Row],[5 cm2 cell test code]:[5 cm2 cell test code]],[1]!Table1[[Test code]:[Test code]],[1]!Table1[i @ 1.8 V DIW (A/cm2)],"",0)</f>
        <v>#REF!</v>
      </c>
      <c r="X645" s="69" t="e" cm="1">
        <f t="array" ref="X645">_xlfn.XLOOKUP(Table1[[#This Row],[5 cm2 cell test code]:[5 cm2 cell test code]],[1]!Table1[[Test code]:[Test code]],[1]!Table1[i @ 1.8 V 10 mM KOH (A/cm2)],"",0)</f>
        <v>#REF!</v>
      </c>
      <c r="Y645" s="69" t="e" cm="1">
        <f t="array" ref="Y645">_xlfn.XLOOKUP(Table1[[#This Row],[5 cm2 cell test code]:[5 cm2 cell test code]],[1]!Table1[[Test code]:[Test code]],[1]!Table1[3-E ƞ at 20mAcm-2 (mV)],"",0)</f>
        <v>#REF!</v>
      </c>
      <c r="Z645" s="69" t="e" cm="1">
        <f t="array" ref="Z645">_xlfn.XLOOKUP(Table1[[#This Row],[5 cm2 cell test code]:[5 cm2 cell test code]],[1]!Table1[[Test code]:[Test code]],[1]!Table1[3-E Tafel slope (mV/dec)],"",0)</f>
        <v>#REF!</v>
      </c>
      <c r="AA645" s="69" t="e" cm="1">
        <f t="array" ref="AA645">_xlfn.XLOOKUP(Table1[[#This Row],[5 cm2 cell test code]:[5 cm2 cell test code]],[1]!Table1[[Test code]:[Test code]],[1]!Table1[E @ 100 mA/cm2 DIW/V],"",0)</f>
        <v>#REF!</v>
      </c>
      <c r="AB645" s="69" t="e" cm="1">
        <f t="array" ref="AB645">_xlfn.XLOOKUP(Table1[[#This Row],[5 cm2 cell test code]:[5 cm2 cell test code]],[1]!Table1[[Test code]:[Test code]],[1]!Table1[E @ 100 mA/cm2 10 mM KOH/V],"",0)</f>
        <v>#REF!</v>
      </c>
      <c r="AC645" s="69" t="e" cm="1">
        <f t="array" ref="AC645">_xlfn.XLOOKUP(Table1[[#This Row],[5 cm2 cell test code]:[5 cm2 cell test code]],[1]!Table1[[Test code]:[Test code]],[1]!Table1[Anode ICR/mOhm],"",0)</f>
        <v>#REF!</v>
      </c>
      <c r="AD645" s="69" t="e" cm="1">
        <f t="array" ref="AD645">_xlfn.XLOOKUP(Table1[[#This Row],[5 cm2 cell test code]:[5 cm2 cell test code]],[1]!Table1[[Test code]:[Test code]],[1]!Table1[HFR DIW/ mOhm cm2],"",0)</f>
        <v>#REF!</v>
      </c>
      <c r="AE645" s="69" t="e" cm="1">
        <f t="array" ref="AE645">_xlfn.XLOOKUP(Table1[[#This Row],[5 cm2 cell test code]:[5 cm2 cell test code]],[1]!Table1[[Test code]:[Test code]],[1]!Table1[HFR 10 mM KOH/ mOhm cm2],"",0)</f>
        <v>#REF!</v>
      </c>
      <c r="AF645" s="69" t="e" cm="1">
        <f t="array" ref="AF645">_xlfn.XLOOKUP(Table1[[#This Row],[5 cm2 cell test code]:[5 cm2 cell test code]],[1]!Table1[[Test code]:[Test code]],[1]!Table1[Ionic resistance DIW/Ohm cm2],"",0)</f>
        <v>#REF!</v>
      </c>
      <c r="AG645" s="69" t="e" cm="1">
        <f t="array" ref="AG645">_xlfn.XLOOKUP(Table1[[#This Row],[5 cm2 cell test code]:[5 cm2 cell test code]],[1]!Table1[[Test code]:[Test code]],[1]!Table1[Q_int_frac DIW],"",0)</f>
        <v>#REF!</v>
      </c>
      <c r="AH645" s="69" t="e" cm="1">
        <f t="array" ref="AH645">_xlfn.XLOOKUP(Table1[[#This Row],[5 cm2 cell test code]:[5 cm2 cell test code]],[1]!Table1[[Test code]:[Test code]],[1]!Table1[Ionic resistance 10 mM KOH/Ohm cm2],"",0)</f>
        <v>#REF!</v>
      </c>
      <c r="AI645" s="69" t="e" cm="1">
        <f t="array" ref="AI645">_xlfn.XLOOKUP(Table1[[#This Row],[5 cm2 cell test code]:[5 cm2 cell test code]],[1]!Table1[[Test code]:[Test code]],[1]!Table1[Q_int_frac DIW 10 mM KOH],"",0)</f>
        <v>#REF!</v>
      </c>
      <c r="AJ645" s="69" t="e" cm="1">
        <f t="array" ref="AJ645">_xlfn.XLOOKUP(Table1[[#This Row],[5 cm2 cell test code]:[5 cm2 cell test code]],[1]!Table1[[Test code]:[Test code]],[1]!Table1[DIW conductivity (µS/cm)],"",0)</f>
        <v>#REF!</v>
      </c>
    </row>
    <row r="646" spans="1:36">
      <c r="A646" s="81"/>
      <c r="U646" s="101"/>
      <c r="V646" s="101"/>
      <c r="W646" s="69" t="e" cm="1">
        <f t="array" ref="W646">_xlfn.XLOOKUP(Table1[[#This Row],[5 cm2 cell test code]:[5 cm2 cell test code]],[1]!Table1[[Test code]:[Test code]],[1]!Table1[i @ 1.8 V DIW (A/cm2)],"",0)</f>
        <v>#REF!</v>
      </c>
      <c r="X646" s="69" t="e" cm="1">
        <f t="array" ref="X646">_xlfn.XLOOKUP(Table1[[#This Row],[5 cm2 cell test code]:[5 cm2 cell test code]],[1]!Table1[[Test code]:[Test code]],[1]!Table1[i @ 1.8 V 10 mM KOH (A/cm2)],"",0)</f>
        <v>#REF!</v>
      </c>
      <c r="Y646" s="69" t="e" cm="1">
        <f t="array" ref="Y646">_xlfn.XLOOKUP(Table1[[#This Row],[5 cm2 cell test code]:[5 cm2 cell test code]],[1]!Table1[[Test code]:[Test code]],[1]!Table1[3-E ƞ at 20mAcm-2 (mV)],"",0)</f>
        <v>#REF!</v>
      </c>
      <c r="Z646" s="69" t="e" cm="1">
        <f t="array" ref="Z646">_xlfn.XLOOKUP(Table1[[#This Row],[5 cm2 cell test code]:[5 cm2 cell test code]],[1]!Table1[[Test code]:[Test code]],[1]!Table1[3-E Tafel slope (mV/dec)],"",0)</f>
        <v>#REF!</v>
      </c>
      <c r="AA646" s="69" t="e" cm="1">
        <f t="array" ref="AA646">_xlfn.XLOOKUP(Table1[[#This Row],[5 cm2 cell test code]:[5 cm2 cell test code]],[1]!Table1[[Test code]:[Test code]],[1]!Table1[E @ 100 mA/cm2 DIW/V],"",0)</f>
        <v>#REF!</v>
      </c>
      <c r="AB646" s="69" t="e" cm="1">
        <f t="array" ref="AB646">_xlfn.XLOOKUP(Table1[[#This Row],[5 cm2 cell test code]:[5 cm2 cell test code]],[1]!Table1[[Test code]:[Test code]],[1]!Table1[E @ 100 mA/cm2 10 mM KOH/V],"",0)</f>
        <v>#REF!</v>
      </c>
      <c r="AC646" s="69" t="e" cm="1">
        <f t="array" ref="AC646">_xlfn.XLOOKUP(Table1[[#This Row],[5 cm2 cell test code]:[5 cm2 cell test code]],[1]!Table1[[Test code]:[Test code]],[1]!Table1[Anode ICR/mOhm],"",0)</f>
        <v>#REF!</v>
      </c>
      <c r="AD646" s="69" t="e" cm="1">
        <f t="array" ref="AD646">_xlfn.XLOOKUP(Table1[[#This Row],[5 cm2 cell test code]:[5 cm2 cell test code]],[1]!Table1[[Test code]:[Test code]],[1]!Table1[HFR DIW/ mOhm cm2],"",0)</f>
        <v>#REF!</v>
      </c>
      <c r="AE646" s="69" t="e" cm="1">
        <f t="array" ref="AE646">_xlfn.XLOOKUP(Table1[[#This Row],[5 cm2 cell test code]:[5 cm2 cell test code]],[1]!Table1[[Test code]:[Test code]],[1]!Table1[HFR 10 mM KOH/ mOhm cm2],"",0)</f>
        <v>#REF!</v>
      </c>
      <c r="AF646" s="69" t="e" cm="1">
        <f t="array" ref="AF646">_xlfn.XLOOKUP(Table1[[#This Row],[5 cm2 cell test code]:[5 cm2 cell test code]],[1]!Table1[[Test code]:[Test code]],[1]!Table1[Ionic resistance DIW/Ohm cm2],"",0)</f>
        <v>#REF!</v>
      </c>
      <c r="AG646" s="69" t="e" cm="1">
        <f t="array" ref="AG646">_xlfn.XLOOKUP(Table1[[#This Row],[5 cm2 cell test code]:[5 cm2 cell test code]],[1]!Table1[[Test code]:[Test code]],[1]!Table1[Q_int_frac DIW],"",0)</f>
        <v>#REF!</v>
      </c>
      <c r="AH646" s="69" t="e" cm="1">
        <f t="array" ref="AH646">_xlfn.XLOOKUP(Table1[[#This Row],[5 cm2 cell test code]:[5 cm2 cell test code]],[1]!Table1[[Test code]:[Test code]],[1]!Table1[Ionic resistance 10 mM KOH/Ohm cm2],"",0)</f>
        <v>#REF!</v>
      </c>
      <c r="AI646" s="69" t="e" cm="1">
        <f t="array" ref="AI646">_xlfn.XLOOKUP(Table1[[#This Row],[5 cm2 cell test code]:[5 cm2 cell test code]],[1]!Table1[[Test code]:[Test code]],[1]!Table1[Q_int_frac DIW 10 mM KOH],"",0)</f>
        <v>#REF!</v>
      </c>
      <c r="AJ646" s="69" t="e" cm="1">
        <f t="array" ref="AJ646">_xlfn.XLOOKUP(Table1[[#This Row],[5 cm2 cell test code]:[5 cm2 cell test code]],[1]!Table1[[Test code]:[Test code]],[1]!Table1[DIW conductivity (µS/cm)],"",0)</f>
        <v>#REF!</v>
      </c>
    </row>
    <row r="647" spans="1:36">
      <c r="A647" s="81"/>
      <c r="U647" s="101"/>
      <c r="V647" s="101"/>
      <c r="W647" s="69" t="e" cm="1">
        <f t="array" ref="W647">_xlfn.XLOOKUP(Table1[[#This Row],[5 cm2 cell test code]:[5 cm2 cell test code]],[1]!Table1[[Test code]:[Test code]],[1]!Table1[i @ 1.8 V DIW (A/cm2)],"",0)</f>
        <v>#REF!</v>
      </c>
      <c r="X647" s="69" t="e" cm="1">
        <f t="array" ref="X647">_xlfn.XLOOKUP(Table1[[#This Row],[5 cm2 cell test code]:[5 cm2 cell test code]],[1]!Table1[[Test code]:[Test code]],[1]!Table1[i @ 1.8 V 10 mM KOH (A/cm2)],"",0)</f>
        <v>#REF!</v>
      </c>
      <c r="Y647" s="69" t="e" cm="1">
        <f t="array" ref="Y647">_xlfn.XLOOKUP(Table1[[#This Row],[5 cm2 cell test code]:[5 cm2 cell test code]],[1]!Table1[[Test code]:[Test code]],[1]!Table1[3-E ƞ at 20mAcm-2 (mV)],"",0)</f>
        <v>#REF!</v>
      </c>
      <c r="Z647" s="69" t="e" cm="1">
        <f t="array" ref="Z647">_xlfn.XLOOKUP(Table1[[#This Row],[5 cm2 cell test code]:[5 cm2 cell test code]],[1]!Table1[[Test code]:[Test code]],[1]!Table1[3-E Tafel slope (mV/dec)],"",0)</f>
        <v>#REF!</v>
      </c>
      <c r="AA647" s="69" t="e" cm="1">
        <f t="array" ref="AA647">_xlfn.XLOOKUP(Table1[[#This Row],[5 cm2 cell test code]:[5 cm2 cell test code]],[1]!Table1[[Test code]:[Test code]],[1]!Table1[E @ 100 mA/cm2 DIW/V],"",0)</f>
        <v>#REF!</v>
      </c>
      <c r="AB647" s="69" t="e" cm="1">
        <f t="array" ref="AB647">_xlfn.XLOOKUP(Table1[[#This Row],[5 cm2 cell test code]:[5 cm2 cell test code]],[1]!Table1[[Test code]:[Test code]],[1]!Table1[E @ 100 mA/cm2 10 mM KOH/V],"",0)</f>
        <v>#REF!</v>
      </c>
      <c r="AC647" s="69" t="e" cm="1">
        <f t="array" ref="AC647">_xlfn.XLOOKUP(Table1[[#This Row],[5 cm2 cell test code]:[5 cm2 cell test code]],[1]!Table1[[Test code]:[Test code]],[1]!Table1[Anode ICR/mOhm],"",0)</f>
        <v>#REF!</v>
      </c>
      <c r="AD647" s="69" t="e" cm="1">
        <f t="array" ref="AD647">_xlfn.XLOOKUP(Table1[[#This Row],[5 cm2 cell test code]:[5 cm2 cell test code]],[1]!Table1[[Test code]:[Test code]],[1]!Table1[HFR DIW/ mOhm cm2],"",0)</f>
        <v>#REF!</v>
      </c>
      <c r="AE647" s="69" t="e" cm="1">
        <f t="array" ref="AE647">_xlfn.XLOOKUP(Table1[[#This Row],[5 cm2 cell test code]:[5 cm2 cell test code]],[1]!Table1[[Test code]:[Test code]],[1]!Table1[HFR 10 mM KOH/ mOhm cm2],"",0)</f>
        <v>#REF!</v>
      </c>
      <c r="AF647" s="69" t="e" cm="1">
        <f t="array" ref="AF647">_xlfn.XLOOKUP(Table1[[#This Row],[5 cm2 cell test code]:[5 cm2 cell test code]],[1]!Table1[[Test code]:[Test code]],[1]!Table1[Ionic resistance DIW/Ohm cm2],"",0)</f>
        <v>#REF!</v>
      </c>
      <c r="AG647" s="69" t="e" cm="1">
        <f t="array" ref="AG647">_xlfn.XLOOKUP(Table1[[#This Row],[5 cm2 cell test code]:[5 cm2 cell test code]],[1]!Table1[[Test code]:[Test code]],[1]!Table1[Q_int_frac DIW],"",0)</f>
        <v>#REF!</v>
      </c>
      <c r="AH647" s="69" t="e" cm="1">
        <f t="array" ref="AH647">_xlfn.XLOOKUP(Table1[[#This Row],[5 cm2 cell test code]:[5 cm2 cell test code]],[1]!Table1[[Test code]:[Test code]],[1]!Table1[Ionic resistance 10 mM KOH/Ohm cm2],"",0)</f>
        <v>#REF!</v>
      </c>
      <c r="AI647" s="69" t="e" cm="1">
        <f t="array" ref="AI647">_xlfn.XLOOKUP(Table1[[#This Row],[5 cm2 cell test code]:[5 cm2 cell test code]],[1]!Table1[[Test code]:[Test code]],[1]!Table1[Q_int_frac DIW 10 mM KOH],"",0)</f>
        <v>#REF!</v>
      </c>
      <c r="AJ647" s="69" t="e" cm="1">
        <f t="array" ref="AJ647">_xlfn.XLOOKUP(Table1[[#This Row],[5 cm2 cell test code]:[5 cm2 cell test code]],[1]!Table1[[Test code]:[Test code]],[1]!Table1[DIW conductivity (µS/cm)],"",0)</f>
        <v>#REF!</v>
      </c>
    </row>
    <row r="648" spans="1:36">
      <c r="A648" s="81"/>
      <c r="U648" s="101"/>
      <c r="V648" s="101"/>
      <c r="W648" s="69" t="e" cm="1">
        <f t="array" ref="W648">_xlfn.XLOOKUP(Table1[[#This Row],[5 cm2 cell test code]:[5 cm2 cell test code]],[1]!Table1[[Test code]:[Test code]],[1]!Table1[i @ 1.8 V DIW (A/cm2)],"",0)</f>
        <v>#REF!</v>
      </c>
      <c r="X648" s="69" t="e" cm="1">
        <f t="array" ref="X648">_xlfn.XLOOKUP(Table1[[#This Row],[5 cm2 cell test code]:[5 cm2 cell test code]],[1]!Table1[[Test code]:[Test code]],[1]!Table1[i @ 1.8 V 10 mM KOH (A/cm2)],"",0)</f>
        <v>#REF!</v>
      </c>
      <c r="Y648" s="69" t="e" cm="1">
        <f t="array" ref="Y648">_xlfn.XLOOKUP(Table1[[#This Row],[5 cm2 cell test code]:[5 cm2 cell test code]],[1]!Table1[[Test code]:[Test code]],[1]!Table1[3-E ƞ at 20mAcm-2 (mV)],"",0)</f>
        <v>#REF!</v>
      </c>
      <c r="Z648" s="69" t="e" cm="1">
        <f t="array" ref="Z648">_xlfn.XLOOKUP(Table1[[#This Row],[5 cm2 cell test code]:[5 cm2 cell test code]],[1]!Table1[[Test code]:[Test code]],[1]!Table1[3-E Tafel slope (mV/dec)],"",0)</f>
        <v>#REF!</v>
      </c>
      <c r="AA648" s="69" t="e" cm="1">
        <f t="array" ref="AA648">_xlfn.XLOOKUP(Table1[[#This Row],[5 cm2 cell test code]:[5 cm2 cell test code]],[1]!Table1[[Test code]:[Test code]],[1]!Table1[E @ 100 mA/cm2 DIW/V],"",0)</f>
        <v>#REF!</v>
      </c>
      <c r="AB648" s="69" t="e" cm="1">
        <f t="array" ref="AB648">_xlfn.XLOOKUP(Table1[[#This Row],[5 cm2 cell test code]:[5 cm2 cell test code]],[1]!Table1[[Test code]:[Test code]],[1]!Table1[E @ 100 mA/cm2 10 mM KOH/V],"",0)</f>
        <v>#REF!</v>
      </c>
      <c r="AC648" s="69" t="e" cm="1">
        <f t="array" ref="AC648">_xlfn.XLOOKUP(Table1[[#This Row],[5 cm2 cell test code]:[5 cm2 cell test code]],[1]!Table1[[Test code]:[Test code]],[1]!Table1[Anode ICR/mOhm],"",0)</f>
        <v>#REF!</v>
      </c>
      <c r="AD648" s="69" t="e" cm="1">
        <f t="array" ref="AD648">_xlfn.XLOOKUP(Table1[[#This Row],[5 cm2 cell test code]:[5 cm2 cell test code]],[1]!Table1[[Test code]:[Test code]],[1]!Table1[HFR DIW/ mOhm cm2],"",0)</f>
        <v>#REF!</v>
      </c>
      <c r="AE648" s="69" t="e" cm="1">
        <f t="array" ref="AE648">_xlfn.XLOOKUP(Table1[[#This Row],[5 cm2 cell test code]:[5 cm2 cell test code]],[1]!Table1[[Test code]:[Test code]],[1]!Table1[HFR 10 mM KOH/ mOhm cm2],"",0)</f>
        <v>#REF!</v>
      </c>
      <c r="AF648" s="69" t="e" cm="1">
        <f t="array" ref="AF648">_xlfn.XLOOKUP(Table1[[#This Row],[5 cm2 cell test code]:[5 cm2 cell test code]],[1]!Table1[[Test code]:[Test code]],[1]!Table1[Ionic resistance DIW/Ohm cm2],"",0)</f>
        <v>#REF!</v>
      </c>
      <c r="AG648" s="69" t="e" cm="1">
        <f t="array" ref="AG648">_xlfn.XLOOKUP(Table1[[#This Row],[5 cm2 cell test code]:[5 cm2 cell test code]],[1]!Table1[[Test code]:[Test code]],[1]!Table1[Q_int_frac DIW],"",0)</f>
        <v>#REF!</v>
      </c>
      <c r="AH648" s="69" t="e" cm="1">
        <f t="array" ref="AH648">_xlfn.XLOOKUP(Table1[[#This Row],[5 cm2 cell test code]:[5 cm2 cell test code]],[1]!Table1[[Test code]:[Test code]],[1]!Table1[Ionic resistance 10 mM KOH/Ohm cm2],"",0)</f>
        <v>#REF!</v>
      </c>
      <c r="AI648" s="69" t="e" cm="1">
        <f t="array" ref="AI648">_xlfn.XLOOKUP(Table1[[#This Row],[5 cm2 cell test code]:[5 cm2 cell test code]],[1]!Table1[[Test code]:[Test code]],[1]!Table1[Q_int_frac DIW 10 mM KOH],"",0)</f>
        <v>#REF!</v>
      </c>
      <c r="AJ648" s="69" t="e" cm="1">
        <f t="array" ref="AJ648">_xlfn.XLOOKUP(Table1[[#This Row],[5 cm2 cell test code]:[5 cm2 cell test code]],[1]!Table1[[Test code]:[Test code]],[1]!Table1[DIW conductivity (µS/cm)],"",0)</f>
        <v>#REF!</v>
      </c>
    </row>
    <row r="649" spans="1:36">
      <c r="A649" s="81"/>
      <c r="U649" s="101"/>
      <c r="V649" s="101"/>
      <c r="W649" s="69" t="e" cm="1">
        <f t="array" ref="W649">_xlfn.XLOOKUP(Table1[[#This Row],[5 cm2 cell test code]:[5 cm2 cell test code]],[1]!Table1[[Test code]:[Test code]],[1]!Table1[i @ 1.8 V DIW (A/cm2)],"",0)</f>
        <v>#REF!</v>
      </c>
      <c r="X649" s="69" t="e" cm="1">
        <f t="array" ref="X649">_xlfn.XLOOKUP(Table1[[#This Row],[5 cm2 cell test code]:[5 cm2 cell test code]],[1]!Table1[[Test code]:[Test code]],[1]!Table1[i @ 1.8 V 10 mM KOH (A/cm2)],"",0)</f>
        <v>#REF!</v>
      </c>
      <c r="Y649" s="69" t="e" cm="1">
        <f t="array" ref="Y649">_xlfn.XLOOKUP(Table1[[#This Row],[5 cm2 cell test code]:[5 cm2 cell test code]],[1]!Table1[[Test code]:[Test code]],[1]!Table1[3-E ƞ at 20mAcm-2 (mV)],"",0)</f>
        <v>#REF!</v>
      </c>
      <c r="Z649" s="69" t="e" cm="1">
        <f t="array" ref="Z649">_xlfn.XLOOKUP(Table1[[#This Row],[5 cm2 cell test code]:[5 cm2 cell test code]],[1]!Table1[[Test code]:[Test code]],[1]!Table1[3-E Tafel slope (mV/dec)],"",0)</f>
        <v>#REF!</v>
      </c>
      <c r="AA649" s="69" t="e" cm="1">
        <f t="array" ref="AA649">_xlfn.XLOOKUP(Table1[[#This Row],[5 cm2 cell test code]:[5 cm2 cell test code]],[1]!Table1[[Test code]:[Test code]],[1]!Table1[E @ 100 mA/cm2 DIW/V],"",0)</f>
        <v>#REF!</v>
      </c>
      <c r="AB649" s="69" t="e" cm="1">
        <f t="array" ref="AB649">_xlfn.XLOOKUP(Table1[[#This Row],[5 cm2 cell test code]:[5 cm2 cell test code]],[1]!Table1[[Test code]:[Test code]],[1]!Table1[E @ 100 mA/cm2 10 mM KOH/V],"",0)</f>
        <v>#REF!</v>
      </c>
      <c r="AC649" s="69" t="e" cm="1">
        <f t="array" ref="AC649">_xlfn.XLOOKUP(Table1[[#This Row],[5 cm2 cell test code]:[5 cm2 cell test code]],[1]!Table1[[Test code]:[Test code]],[1]!Table1[Anode ICR/mOhm],"",0)</f>
        <v>#REF!</v>
      </c>
      <c r="AD649" s="69" t="e" cm="1">
        <f t="array" ref="AD649">_xlfn.XLOOKUP(Table1[[#This Row],[5 cm2 cell test code]:[5 cm2 cell test code]],[1]!Table1[[Test code]:[Test code]],[1]!Table1[HFR DIW/ mOhm cm2],"",0)</f>
        <v>#REF!</v>
      </c>
      <c r="AE649" s="69" t="e" cm="1">
        <f t="array" ref="AE649">_xlfn.XLOOKUP(Table1[[#This Row],[5 cm2 cell test code]:[5 cm2 cell test code]],[1]!Table1[[Test code]:[Test code]],[1]!Table1[HFR 10 mM KOH/ mOhm cm2],"",0)</f>
        <v>#REF!</v>
      </c>
      <c r="AF649" s="69" t="e" cm="1">
        <f t="array" ref="AF649">_xlfn.XLOOKUP(Table1[[#This Row],[5 cm2 cell test code]:[5 cm2 cell test code]],[1]!Table1[[Test code]:[Test code]],[1]!Table1[Ionic resistance DIW/Ohm cm2],"",0)</f>
        <v>#REF!</v>
      </c>
      <c r="AG649" s="69" t="e" cm="1">
        <f t="array" ref="AG649">_xlfn.XLOOKUP(Table1[[#This Row],[5 cm2 cell test code]:[5 cm2 cell test code]],[1]!Table1[[Test code]:[Test code]],[1]!Table1[Q_int_frac DIW],"",0)</f>
        <v>#REF!</v>
      </c>
      <c r="AH649" s="69" t="e" cm="1">
        <f t="array" ref="AH649">_xlfn.XLOOKUP(Table1[[#This Row],[5 cm2 cell test code]:[5 cm2 cell test code]],[1]!Table1[[Test code]:[Test code]],[1]!Table1[Ionic resistance 10 mM KOH/Ohm cm2],"",0)</f>
        <v>#REF!</v>
      </c>
      <c r="AI649" s="69" t="e" cm="1">
        <f t="array" ref="AI649">_xlfn.XLOOKUP(Table1[[#This Row],[5 cm2 cell test code]:[5 cm2 cell test code]],[1]!Table1[[Test code]:[Test code]],[1]!Table1[Q_int_frac DIW 10 mM KOH],"",0)</f>
        <v>#REF!</v>
      </c>
      <c r="AJ649" s="69" t="e" cm="1">
        <f t="array" ref="AJ649">_xlfn.XLOOKUP(Table1[[#This Row],[5 cm2 cell test code]:[5 cm2 cell test code]],[1]!Table1[[Test code]:[Test code]],[1]!Table1[DIW conductivity (µS/cm)],"",0)</f>
        <v>#REF!</v>
      </c>
    </row>
    <row r="650" spans="1:36">
      <c r="A650" s="81"/>
      <c r="U650" s="101"/>
      <c r="V650" s="101"/>
      <c r="W650" s="69" t="e" cm="1">
        <f t="array" ref="W650">_xlfn.XLOOKUP(Table1[[#This Row],[5 cm2 cell test code]:[5 cm2 cell test code]],[1]!Table1[[Test code]:[Test code]],[1]!Table1[i @ 1.8 V DIW (A/cm2)],"",0)</f>
        <v>#REF!</v>
      </c>
      <c r="X650" s="69" t="e" cm="1">
        <f t="array" ref="X650">_xlfn.XLOOKUP(Table1[[#This Row],[5 cm2 cell test code]:[5 cm2 cell test code]],[1]!Table1[[Test code]:[Test code]],[1]!Table1[i @ 1.8 V 10 mM KOH (A/cm2)],"",0)</f>
        <v>#REF!</v>
      </c>
      <c r="Y650" s="69" t="e" cm="1">
        <f t="array" ref="Y650">_xlfn.XLOOKUP(Table1[[#This Row],[5 cm2 cell test code]:[5 cm2 cell test code]],[1]!Table1[[Test code]:[Test code]],[1]!Table1[3-E ƞ at 20mAcm-2 (mV)],"",0)</f>
        <v>#REF!</v>
      </c>
      <c r="Z650" s="69" t="e" cm="1">
        <f t="array" ref="Z650">_xlfn.XLOOKUP(Table1[[#This Row],[5 cm2 cell test code]:[5 cm2 cell test code]],[1]!Table1[[Test code]:[Test code]],[1]!Table1[3-E Tafel slope (mV/dec)],"",0)</f>
        <v>#REF!</v>
      </c>
      <c r="AA650" s="69" t="e" cm="1">
        <f t="array" ref="AA650">_xlfn.XLOOKUP(Table1[[#This Row],[5 cm2 cell test code]:[5 cm2 cell test code]],[1]!Table1[[Test code]:[Test code]],[1]!Table1[E @ 100 mA/cm2 DIW/V],"",0)</f>
        <v>#REF!</v>
      </c>
      <c r="AB650" s="69" t="e" cm="1">
        <f t="array" ref="AB650">_xlfn.XLOOKUP(Table1[[#This Row],[5 cm2 cell test code]:[5 cm2 cell test code]],[1]!Table1[[Test code]:[Test code]],[1]!Table1[E @ 100 mA/cm2 10 mM KOH/V],"",0)</f>
        <v>#REF!</v>
      </c>
      <c r="AC650" s="69" t="e" cm="1">
        <f t="array" ref="AC650">_xlfn.XLOOKUP(Table1[[#This Row],[5 cm2 cell test code]:[5 cm2 cell test code]],[1]!Table1[[Test code]:[Test code]],[1]!Table1[Anode ICR/mOhm],"",0)</f>
        <v>#REF!</v>
      </c>
      <c r="AD650" s="69" t="e" cm="1">
        <f t="array" ref="AD650">_xlfn.XLOOKUP(Table1[[#This Row],[5 cm2 cell test code]:[5 cm2 cell test code]],[1]!Table1[[Test code]:[Test code]],[1]!Table1[HFR DIW/ mOhm cm2],"",0)</f>
        <v>#REF!</v>
      </c>
      <c r="AE650" s="69" t="e" cm="1">
        <f t="array" ref="AE650">_xlfn.XLOOKUP(Table1[[#This Row],[5 cm2 cell test code]:[5 cm2 cell test code]],[1]!Table1[[Test code]:[Test code]],[1]!Table1[HFR 10 mM KOH/ mOhm cm2],"",0)</f>
        <v>#REF!</v>
      </c>
      <c r="AF650" s="69" t="e" cm="1">
        <f t="array" ref="AF650">_xlfn.XLOOKUP(Table1[[#This Row],[5 cm2 cell test code]:[5 cm2 cell test code]],[1]!Table1[[Test code]:[Test code]],[1]!Table1[Ionic resistance DIW/Ohm cm2],"",0)</f>
        <v>#REF!</v>
      </c>
      <c r="AG650" s="69" t="e" cm="1">
        <f t="array" ref="AG650">_xlfn.XLOOKUP(Table1[[#This Row],[5 cm2 cell test code]:[5 cm2 cell test code]],[1]!Table1[[Test code]:[Test code]],[1]!Table1[Q_int_frac DIW],"",0)</f>
        <v>#REF!</v>
      </c>
      <c r="AH650" s="69" t="e" cm="1">
        <f t="array" ref="AH650">_xlfn.XLOOKUP(Table1[[#This Row],[5 cm2 cell test code]:[5 cm2 cell test code]],[1]!Table1[[Test code]:[Test code]],[1]!Table1[Ionic resistance 10 mM KOH/Ohm cm2],"",0)</f>
        <v>#REF!</v>
      </c>
      <c r="AI650" s="69" t="e" cm="1">
        <f t="array" ref="AI650">_xlfn.XLOOKUP(Table1[[#This Row],[5 cm2 cell test code]:[5 cm2 cell test code]],[1]!Table1[[Test code]:[Test code]],[1]!Table1[Q_int_frac DIW 10 mM KOH],"",0)</f>
        <v>#REF!</v>
      </c>
      <c r="AJ650" s="69" t="e" cm="1">
        <f t="array" ref="AJ650">_xlfn.XLOOKUP(Table1[[#This Row],[5 cm2 cell test code]:[5 cm2 cell test code]],[1]!Table1[[Test code]:[Test code]],[1]!Table1[DIW conductivity (µS/cm)],"",0)</f>
        <v>#REF!</v>
      </c>
    </row>
    <row r="651" spans="1:36">
      <c r="A651" s="81"/>
      <c r="U651" s="101"/>
      <c r="V651" s="101"/>
      <c r="W651" s="69" t="e" cm="1">
        <f t="array" ref="W651">_xlfn.XLOOKUP(Table1[[#This Row],[5 cm2 cell test code]:[5 cm2 cell test code]],[1]!Table1[[Test code]:[Test code]],[1]!Table1[i @ 1.8 V DIW (A/cm2)],"",0)</f>
        <v>#REF!</v>
      </c>
      <c r="X651" s="69" t="e" cm="1">
        <f t="array" ref="X651">_xlfn.XLOOKUP(Table1[[#This Row],[5 cm2 cell test code]:[5 cm2 cell test code]],[1]!Table1[[Test code]:[Test code]],[1]!Table1[i @ 1.8 V 10 mM KOH (A/cm2)],"",0)</f>
        <v>#REF!</v>
      </c>
      <c r="Y651" s="69" t="e" cm="1">
        <f t="array" ref="Y651">_xlfn.XLOOKUP(Table1[[#This Row],[5 cm2 cell test code]:[5 cm2 cell test code]],[1]!Table1[[Test code]:[Test code]],[1]!Table1[3-E ƞ at 20mAcm-2 (mV)],"",0)</f>
        <v>#REF!</v>
      </c>
      <c r="Z651" s="69" t="e" cm="1">
        <f t="array" ref="Z651">_xlfn.XLOOKUP(Table1[[#This Row],[5 cm2 cell test code]:[5 cm2 cell test code]],[1]!Table1[[Test code]:[Test code]],[1]!Table1[3-E Tafel slope (mV/dec)],"",0)</f>
        <v>#REF!</v>
      </c>
      <c r="AA651" s="69" t="e" cm="1">
        <f t="array" ref="AA651">_xlfn.XLOOKUP(Table1[[#This Row],[5 cm2 cell test code]:[5 cm2 cell test code]],[1]!Table1[[Test code]:[Test code]],[1]!Table1[E @ 100 mA/cm2 DIW/V],"",0)</f>
        <v>#REF!</v>
      </c>
      <c r="AB651" s="69" t="e" cm="1">
        <f t="array" ref="AB651">_xlfn.XLOOKUP(Table1[[#This Row],[5 cm2 cell test code]:[5 cm2 cell test code]],[1]!Table1[[Test code]:[Test code]],[1]!Table1[E @ 100 mA/cm2 10 mM KOH/V],"",0)</f>
        <v>#REF!</v>
      </c>
      <c r="AC651" s="69" t="e" cm="1">
        <f t="array" ref="AC651">_xlfn.XLOOKUP(Table1[[#This Row],[5 cm2 cell test code]:[5 cm2 cell test code]],[1]!Table1[[Test code]:[Test code]],[1]!Table1[Anode ICR/mOhm],"",0)</f>
        <v>#REF!</v>
      </c>
      <c r="AD651" s="69" t="e" cm="1">
        <f t="array" ref="AD651">_xlfn.XLOOKUP(Table1[[#This Row],[5 cm2 cell test code]:[5 cm2 cell test code]],[1]!Table1[[Test code]:[Test code]],[1]!Table1[HFR DIW/ mOhm cm2],"",0)</f>
        <v>#REF!</v>
      </c>
      <c r="AE651" s="69" t="e" cm="1">
        <f t="array" ref="AE651">_xlfn.XLOOKUP(Table1[[#This Row],[5 cm2 cell test code]:[5 cm2 cell test code]],[1]!Table1[[Test code]:[Test code]],[1]!Table1[HFR 10 mM KOH/ mOhm cm2],"",0)</f>
        <v>#REF!</v>
      </c>
      <c r="AF651" s="69" t="e" cm="1">
        <f t="array" ref="AF651">_xlfn.XLOOKUP(Table1[[#This Row],[5 cm2 cell test code]:[5 cm2 cell test code]],[1]!Table1[[Test code]:[Test code]],[1]!Table1[Ionic resistance DIW/Ohm cm2],"",0)</f>
        <v>#REF!</v>
      </c>
      <c r="AG651" s="69" t="e" cm="1">
        <f t="array" ref="AG651">_xlfn.XLOOKUP(Table1[[#This Row],[5 cm2 cell test code]:[5 cm2 cell test code]],[1]!Table1[[Test code]:[Test code]],[1]!Table1[Q_int_frac DIW],"",0)</f>
        <v>#REF!</v>
      </c>
      <c r="AH651" s="69" t="e" cm="1">
        <f t="array" ref="AH651">_xlfn.XLOOKUP(Table1[[#This Row],[5 cm2 cell test code]:[5 cm2 cell test code]],[1]!Table1[[Test code]:[Test code]],[1]!Table1[Ionic resistance 10 mM KOH/Ohm cm2],"",0)</f>
        <v>#REF!</v>
      </c>
      <c r="AI651" s="69" t="e" cm="1">
        <f t="array" ref="AI651">_xlfn.XLOOKUP(Table1[[#This Row],[5 cm2 cell test code]:[5 cm2 cell test code]],[1]!Table1[[Test code]:[Test code]],[1]!Table1[Q_int_frac DIW 10 mM KOH],"",0)</f>
        <v>#REF!</v>
      </c>
      <c r="AJ651" s="69" t="e" cm="1">
        <f t="array" ref="AJ651">_xlfn.XLOOKUP(Table1[[#This Row],[5 cm2 cell test code]:[5 cm2 cell test code]],[1]!Table1[[Test code]:[Test code]],[1]!Table1[DIW conductivity (µS/cm)],"",0)</f>
        <v>#REF!</v>
      </c>
    </row>
    <row r="652" spans="1:36">
      <c r="A652" s="81"/>
      <c r="U652" s="101"/>
      <c r="V652" s="101"/>
      <c r="W652" s="69" t="e" cm="1">
        <f t="array" ref="W652">_xlfn.XLOOKUP(Table1[[#This Row],[5 cm2 cell test code]:[5 cm2 cell test code]],[1]!Table1[[Test code]:[Test code]],[1]!Table1[i @ 1.8 V DIW (A/cm2)],"",0)</f>
        <v>#REF!</v>
      </c>
      <c r="X652" s="69" t="e" cm="1">
        <f t="array" ref="X652">_xlfn.XLOOKUP(Table1[[#This Row],[5 cm2 cell test code]:[5 cm2 cell test code]],[1]!Table1[[Test code]:[Test code]],[1]!Table1[i @ 1.8 V 10 mM KOH (A/cm2)],"",0)</f>
        <v>#REF!</v>
      </c>
      <c r="Y652" s="69" t="e" cm="1">
        <f t="array" ref="Y652">_xlfn.XLOOKUP(Table1[[#This Row],[5 cm2 cell test code]:[5 cm2 cell test code]],[1]!Table1[[Test code]:[Test code]],[1]!Table1[3-E ƞ at 20mAcm-2 (mV)],"",0)</f>
        <v>#REF!</v>
      </c>
      <c r="Z652" s="69" t="e" cm="1">
        <f t="array" ref="Z652">_xlfn.XLOOKUP(Table1[[#This Row],[5 cm2 cell test code]:[5 cm2 cell test code]],[1]!Table1[[Test code]:[Test code]],[1]!Table1[3-E Tafel slope (mV/dec)],"",0)</f>
        <v>#REF!</v>
      </c>
      <c r="AA652" s="69" t="e" cm="1">
        <f t="array" ref="AA652">_xlfn.XLOOKUP(Table1[[#This Row],[5 cm2 cell test code]:[5 cm2 cell test code]],[1]!Table1[[Test code]:[Test code]],[1]!Table1[E @ 100 mA/cm2 DIW/V],"",0)</f>
        <v>#REF!</v>
      </c>
      <c r="AB652" s="69" t="e" cm="1">
        <f t="array" ref="AB652">_xlfn.XLOOKUP(Table1[[#This Row],[5 cm2 cell test code]:[5 cm2 cell test code]],[1]!Table1[[Test code]:[Test code]],[1]!Table1[E @ 100 mA/cm2 10 mM KOH/V],"",0)</f>
        <v>#REF!</v>
      </c>
      <c r="AC652" s="69" t="e" cm="1">
        <f t="array" ref="AC652">_xlfn.XLOOKUP(Table1[[#This Row],[5 cm2 cell test code]:[5 cm2 cell test code]],[1]!Table1[[Test code]:[Test code]],[1]!Table1[Anode ICR/mOhm],"",0)</f>
        <v>#REF!</v>
      </c>
      <c r="AD652" s="69" t="e" cm="1">
        <f t="array" ref="AD652">_xlfn.XLOOKUP(Table1[[#This Row],[5 cm2 cell test code]:[5 cm2 cell test code]],[1]!Table1[[Test code]:[Test code]],[1]!Table1[HFR DIW/ mOhm cm2],"",0)</f>
        <v>#REF!</v>
      </c>
      <c r="AE652" s="69" t="e" cm="1">
        <f t="array" ref="AE652">_xlfn.XLOOKUP(Table1[[#This Row],[5 cm2 cell test code]:[5 cm2 cell test code]],[1]!Table1[[Test code]:[Test code]],[1]!Table1[HFR 10 mM KOH/ mOhm cm2],"",0)</f>
        <v>#REF!</v>
      </c>
      <c r="AF652" s="69" t="e" cm="1">
        <f t="array" ref="AF652">_xlfn.XLOOKUP(Table1[[#This Row],[5 cm2 cell test code]:[5 cm2 cell test code]],[1]!Table1[[Test code]:[Test code]],[1]!Table1[Ionic resistance DIW/Ohm cm2],"",0)</f>
        <v>#REF!</v>
      </c>
      <c r="AG652" s="69" t="e" cm="1">
        <f t="array" ref="AG652">_xlfn.XLOOKUP(Table1[[#This Row],[5 cm2 cell test code]:[5 cm2 cell test code]],[1]!Table1[[Test code]:[Test code]],[1]!Table1[Q_int_frac DIW],"",0)</f>
        <v>#REF!</v>
      </c>
      <c r="AH652" s="69" t="e" cm="1">
        <f t="array" ref="AH652">_xlfn.XLOOKUP(Table1[[#This Row],[5 cm2 cell test code]:[5 cm2 cell test code]],[1]!Table1[[Test code]:[Test code]],[1]!Table1[Ionic resistance 10 mM KOH/Ohm cm2],"",0)</f>
        <v>#REF!</v>
      </c>
      <c r="AI652" s="69" t="e" cm="1">
        <f t="array" ref="AI652">_xlfn.XLOOKUP(Table1[[#This Row],[5 cm2 cell test code]:[5 cm2 cell test code]],[1]!Table1[[Test code]:[Test code]],[1]!Table1[Q_int_frac DIW 10 mM KOH],"",0)</f>
        <v>#REF!</v>
      </c>
      <c r="AJ652" s="69" t="e" cm="1">
        <f t="array" ref="AJ652">_xlfn.XLOOKUP(Table1[[#This Row],[5 cm2 cell test code]:[5 cm2 cell test code]],[1]!Table1[[Test code]:[Test code]],[1]!Table1[DIW conductivity (µS/cm)],"",0)</f>
        <v>#REF!</v>
      </c>
    </row>
    <row r="653" spans="1:36">
      <c r="A653" s="81"/>
      <c r="U653" s="101"/>
      <c r="V653" s="101"/>
      <c r="W653" s="69" t="e" cm="1">
        <f t="array" ref="W653">_xlfn.XLOOKUP(Table1[[#This Row],[5 cm2 cell test code]:[5 cm2 cell test code]],[1]!Table1[[Test code]:[Test code]],[1]!Table1[i @ 1.8 V DIW (A/cm2)],"",0)</f>
        <v>#REF!</v>
      </c>
      <c r="X653" s="69" t="e" cm="1">
        <f t="array" ref="X653">_xlfn.XLOOKUP(Table1[[#This Row],[5 cm2 cell test code]:[5 cm2 cell test code]],[1]!Table1[[Test code]:[Test code]],[1]!Table1[i @ 1.8 V 10 mM KOH (A/cm2)],"",0)</f>
        <v>#REF!</v>
      </c>
      <c r="Y653" s="69" t="e" cm="1">
        <f t="array" ref="Y653">_xlfn.XLOOKUP(Table1[[#This Row],[5 cm2 cell test code]:[5 cm2 cell test code]],[1]!Table1[[Test code]:[Test code]],[1]!Table1[3-E ƞ at 20mAcm-2 (mV)],"",0)</f>
        <v>#REF!</v>
      </c>
      <c r="Z653" s="69" t="e" cm="1">
        <f t="array" ref="Z653">_xlfn.XLOOKUP(Table1[[#This Row],[5 cm2 cell test code]:[5 cm2 cell test code]],[1]!Table1[[Test code]:[Test code]],[1]!Table1[3-E Tafel slope (mV/dec)],"",0)</f>
        <v>#REF!</v>
      </c>
      <c r="AA653" s="69" t="e" cm="1">
        <f t="array" ref="AA653">_xlfn.XLOOKUP(Table1[[#This Row],[5 cm2 cell test code]:[5 cm2 cell test code]],[1]!Table1[[Test code]:[Test code]],[1]!Table1[E @ 100 mA/cm2 DIW/V],"",0)</f>
        <v>#REF!</v>
      </c>
      <c r="AB653" s="69" t="e" cm="1">
        <f t="array" ref="AB653">_xlfn.XLOOKUP(Table1[[#This Row],[5 cm2 cell test code]:[5 cm2 cell test code]],[1]!Table1[[Test code]:[Test code]],[1]!Table1[E @ 100 mA/cm2 10 mM KOH/V],"",0)</f>
        <v>#REF!</v>
      </c>
      <c r="AC653" s="69" t="e" cm="1">
        <f t="array" ref="AC653">_xlfn.XLOOKUP(Table1[[#This Row],[5 cm2 cell test code]:[5 cm2 cell test code]],[1]!Table1[[Test code]:[Test code]],[1]!Table1[Anode ICR/mOhm],"",0)</f>
        <v>#REF!</v>
      </c>
      <c r="AD653" s="69" t="e" cm="1">
        <f t="array" ref="AD653">_xlfn.XLOOKUP(Table1[[#This Row],[5 cm2 cell test code]:[5 cm2 cell test code]],[1]!Table1[[Test code]:[Test code]],[1]!Table1[HFR DIW/ mOhm cm2],"",0)</f>
        <v>#REF!</v>
      </c>
      <c r="AE653" s="69" t="e" cm="1">
        <f t="array" ref="AE653">_xlfn.XLOOKUP(Table1[[#This Row],[5 cm2 cell test code]:[5 cm2 cell test code]],[1]!Table1[[Test code]:[Test code]],[1]!Table1[HFR 10 mM KOH/ mOhm cm2],"",0)</f>
        <v>#REF!</v>
      </c>
      <c r="AF653" s="69" t="e" cm="1">
        <f t="array" ref="AF653">_xlfn.XLOOKUP(Table1[[#This Row],[5 cm2 cell test code]:[5 cm2 cell test code]],[1]!Table1[[Test code]:[Test code]],[1]!Table1[Ionic resistance DIW/Ohm cm2],"",0)</f>
        <v>#REF!</v>
      </c>
      <c r="AG653" s="69" t="e" cm="1">
        <f t="array" ref="AG653">_xlfn.XLOOKUP(Table1[[#This Row],[5 cm2 cell test code]:[5 cm2 cell test code]],[1]!Table1[[Test code]:[Test code]],[1]!Table1[Q_int_frac DIW],"",0)</f>
        <v>#REF!</v>
      </c>
      <c r="AH653" s="69" t="e" cm="1">
        <f t="array" ref="AH653">_xlfn.XLOOKUP(Table1[[#This Row],[5 cm2 cell test code]:[5 cm2 cell test code]],[1]!Table1[[Test code]:[Test code]],[1]!Table1[Ionic resistance 10 mM KOH/Ohm cm2],"",0)</f>
        <v>#REF!</v>
      </c>
      <c r="AI653" s="69" t="e" cm="1">
        <f t="array" ref="AI653">_xlfn.XLOOKUP(Table1[[#This Row],[5 cm2 cell test code]:[5 cm2 cell test code]],[1]!Table1[[Test code]:[Test code]],[1]!Table1[Q_int_frac DIW 10 mM KOH],"",0)</f>
        <v>#REF!</v>
      </c>
      <c r="AJ653" s="69" t="e" cm="1">
        <f t="array" ref="AJ653">_xlfn.XLOOKUP(Table1[[#This Row],[5 cm2 cell test code]:[5 cm2 cell test code]],[1]!Table1[[Test code]:[Test code]],[1]!Table1[DIW conductivity (µS/cm)],"",0)</f>
        <v>#REF!</v>
      </c>
    </row>
    <row r="654" spans="1:36">
      <c r="A654" s="81"/>
      <c r="U654" s="101"/>
      <c r="V654" s="101"/>
      <c r="W654" s="69" t="e" cm="1">
        <f t="array" ref="W654">_xlfn.XLOOKUP(Table1[[#This Row],[5 cm2 cell test code]:[5 cm2 cell test code]],[1]!Table1[[Test code]:[Test code]],[1]!Table1[i @ 1.8 V DIW (A/cm2)],"",0)</f>
        <v>#REF!</v>
      </c>
      <c r="X654" s="69" t="e" cm="1">
        <f t="array" ref="X654">_xlfn.XLOOKUP(Table1[[#This Row],[5 cm2 cell test code]:[5 cm2 cell test code]],[1]!Table1[[Test code]:[Test code]],[1]!Table1[i @ 1.8 V 10 mM KOH (A/cm2)],"",0)</f>
        <v>#REF!</v>
      </c>
      <c r="Y654" s="69" t="e" cm="1">
        <f t="array" ref="Y654">_xlfn.XLOOKUP(Table1[[#This Row],[5 cm2 cell test code]:[5 cm2 cell test code]],[1]!Table1[[Test code]:[Test code]],[1]!Table1[3-E ƞ at 20mAcm-2 (mV)],"",0)</f>
        <v>#REF!</v>
      </c>
      <c r="Z654" s="69" t="e" cm="1">
        <f t="array" ref="Z654">_xlfn.XLOOKUP(Table1[[#This Row],[5 cm2 cell test code]:[5 cm2 cell test code]],[1]!Table1[[Test code]:[Test code]],[1]!Table1[3-E Tafel slope (mV/dec)],"",0)</f>
        <v>#REF!</v>
      </c>
      <c r="AA654" s="69" t="e" cm="1">
        <f t="array" ref="AA654">_xlfn.XLOOKUP(Table1[[#This Row],[5 cm2 cell test code]:[5 cm2 cell test code]],[1]!Table1[[Test code]:[Test code]],[1]!Table1[E @ 100 mA/cm2 DIW/V],"",0)</f>
        <v>#REF!</v>
      </c>
      <c r="AB654" s="69" t="e" cm="1">
        <f t="array" ref="AB654">_xlfn.XLOOKUP(Table1[[#This Row],[5 cm2 cell test code]:[5 cm2 cell test code]],[1]!Table1[[Test code]:[Test code]],[1]!Table1[E @ 100 mA/cm2 10 mM KOH/V],"",0)</f>
        <v>#REF!</v>
      </c>
      <c r="AC654" s="69" t="e" cm="1">
        <f t="array" ref="AC654">_xlfn.XLOOKUP(Table1[[#This Row],[5 cm2 cell test code]:[5 cm2 cell test code]],[1]!Table1[[Test code]:[Test code]],[1]!Table1[Anode ICR/mOhm],"",0)</f>
        <v>#REF!</v>
      </c>
      <c r="AD654" s="69" t="e" cm="1">
        <f t="array" ref="AD654">_xlfn.XLOOKUP(Table1[[#This Row],[5 cm2 cell test code]:[5 cm2 cell test code]],[1]!Table1[[Test code]:[Test code]],[1]!Table1[HFR DIW/ mOhm cm2],"",0)</f>
        <v>#REF!</v>
      </c>
      <c r="AE654" s="69" t="e" cm="1">
        <f t="array" ref="AE654">_xlfn.XLOOKUP(Table1[[#This Row],[5 cm2 cell test code]:[5 cm2 cell test code]],[1]!Table1[[Test code]:[Test code]],[1]!Table1[HFR 10 mM KOH/ mOhm cm2],"",0)</f>
        <v>#REF!</v>
      </c>
      <c r="AF654" s="69" t="e" cm="1">
        <f t="array" ref="AF654">_xlfn.XLOOKUP(Table1[[#This Row],[5 cm2 cell test code]:[5 cm2 cell test code]],[1]!Table1[[Test code]:[Test code]],[1]!Table1[Ionic resistance DIW/Ohm cm2],"",0)</f>
        <v>#REF!</v>
      </c>
      <c r="AG654" s="69" t="e" cm="1">
        <f t="array" ref="AG654">_xlfn.XLOOKUP(Table1[[#This Row],[5 cm2 cell test code]:[5 cm2 cell test code]],[1]!Table1[[Test code]:[Test code]],[1]!Table1[Q_int_frac DIW],"",0)</f>
        <v>#REF!</v>
      </c>
      <c r="AH654" s="69" t="e" cm="1">
        <f t="array" ref="AH654">_xlfn.XLOOKUP(Table1[[#This Row],[5 cm2 cell test code]:[5 cm2 cell test code]],[1]!Table1[[Test code]:[Test code]],[1]!Table1[Ionic resistance 10 mM KOH/Ohm cm2],"",0)</f>
        <v>#REF!</v>
      </c>
      <c r="AI654" s="69" t="e" cm="1">
        <f t="array" ref="AI654">_xlfn.XLOOKUP(Table1[[#This Row],[5 cm2 cell test code]:[5 cm2 cell test code]],[1]!Table1[[Test code]:[Test code]],[1]!Table1[Q_int_frac DIW 10 mM KOH],"",0)</f>
        <v>#REF!</v>
      </c>
      <c r="AJ654" s="69" t="e" cm="1">
        <f t="array" ref="AJ654">_xlfn.XLOOKUP(Table1[[#This Row],[5 cm2 cell test code]:[5 cm2 cell test code]],[1]!Table1[[Test code]:[Test code]],[1]!Table1[DIW conductivity (µS/cm)],"",0)</f>
        <v>#REF!</v>
      </c>
    </row>
    <row r="655" spans="1:36">
      <c r="A655" s="81"/>
      <c r="U655" s="101"/>
      <c r="V655" s="101"/>
      <c r="W655" s="69" t="e" cm="1">
        <f t="array" ref="W655">_xlfn.XLOOKUP(Table1[[#This Row],[5 cm2 cell test code]:[5 cm2 cell test code]],[1]!Table1[[Test code]:[Test code]],[1]!Table1[i @ 1.8 V DIW (A/cm2)],"",0)</f>
        <v>#REF!</v>
      </c>
      <c r="X655" s="69" t="e" cm="1">
        <f t="array" ref="X655">_xlfn.XLOOKUP(Table1[[#This Row],[5 cm2 cell test code]:[5 cm2 cell test code]],[1]!Table1[[Test code]:[Test code]],[1]!Table1[i @ 1.8 V 10 mM KOH (A/cm2)],"",0)</f>
        <v>#REF!</v>
      </c>
      <c r="Y655" s="69" t="e" cm="1">
        <f t="array" ref="Y655">_xlfn.XLOOKUP(Table1[[#This Row],[5 cm2 cell test code]:[5 cm2 cell test code]],[1]!Table1[[Test code]:[Test code]],[1]!Table1[3-E ƞ at 20mAcm-2 (mV)],"",0)</f>
        <v>#REF!</v>
      </c>
      <c r="Z655" s="69" t="e" cm="1">
        <f t="array" ref="Z655">_xlfn.XLOOKUP(Table1[[#This Row],[5 cm2 cell test code]:[5 cm2 cell test code]],[1]!Table1[[Test code]:[Test code]],[1]!Table1[3-E Tafel slope (mV/dec)],"",0)</f>
        <v>#REF!</v>
      </c>
      <c r="AA655" s="69" t="e" cm="1">
        <f t="array" ref="AA655">_xlfn.XLOOKUP(Table1[[#This Row],[5 cm2 cell test code]:[5 cm2 cell test code]],[1]!Table1[[Test code]:[Test code]],[1]!Table1[E @ 100 mA/cm2 DIW/V],"",0)</f>
        <v>#REF!</v>
      </c>
      <c r="AB655" s="69" t="e" cm="1">
        <f t="array" ref="AB655">_xlfn.XLOOKUP(Table1[[#This Row],[5 cm2 cell test code]:[5 cm2 cell test code]],[1]!Table1[[Test code]:[Test code]],[1]!Table1[E @ 100 mA/cm2 10 mM KOH/V],"",0)</f>
        <v>#REF!</v>
      </c>
      <c r="AC655" s="69" t="e" cm="1">
        <f t="array" ref="AC655">_xlfn.XLOOKUP(Table1[[#This Row],[5 cm2 cell test code]:[5 cm2 cell test code]],[1]!Table1[[Test code]:[Test code]],[1]!Table1[Anode ICR/mOhm],"",0)</f>
        <v>#REF!</v>
      </c>
      <c r="AD655" s="69" t="e" cm="1">
        <f t="array" ref="AD655">_xlfn.XLOOKUP(Table1[[#This Row],[5 cm2 cell test code]:[5 cm2 cell test code]],[1]!Table1[[Test code]:[Test code]],[1]!Table1[HFR DIW/ mOhm cm2],"",0)</f>
        <v>#REF!</v>
      </c>
      <c r="AE655" s="69" t="e" cm="1">
        <f t="array" ref="AE655">_xlfn.XLOOKUP(Table1[[#This Row],[5 cm2 cell test code]:[5 cm2 cell test code]],[1]!Table1[[Test code]:[Test code]],[1]!Table1[HFR 10 mM KOH/ mOhm cm2],"",0)</f>
        <v>#REF!</v>
      </c>
      <c r="AF655" s="69" t="e" cm="1">
        <f t="array" ref="AF655">_xlfn.XLOOKUP(Table1[[#This Row],[5 cm2 cell test code]:[5 cm2 cell test code]],[1]!Table1[[Test code]:[Test code]],[1]!Table1[Ionic resistance DIW/Ohm cm2],"",0)</f>
        <v>#REF!</v>
      </c>
      <c r="AG655" s="69" t="e" cm="1">
        <f t="array" ref="AG655">_xlfn.XLOOKUP(Table1[[#This Row],[5 cm2 cell test code]:[5 cm2 cell test code]],[1]!Table1[[Test code]:[Test code]],[1]!Table1[Q_int_frac DIW],"",0)</f>
        <v>#REF!</v>
      </c>
      <c r="AH655" s="69" t="e" cm="1">
        <f t="array" ref="AH655">_xlfn.XLOOKUP(Table1[[#This Row],[5 cm2 cell test code]:[5 cm2 cell test code]],[1]!Table1[[Test code]:[Test code]],[1]!Table1[Ionic resistance 10 mM KOH/Ohm cm2],"",0)</f>
        <v>#REF!</v>
      </c>
      <c r="AI655" s="69" t="e" cm="1">
        <f t="array" ref="AI655">_xlfn.XLOOKUP(Table1[[#This Row],[5 cm2 cell test code]:[5 cm2 cell test code]],[1]!Table1[[Test code]:[Test code]],[1]!Table1[Q_int_frac DIW 10 mM KOH],"",0)</f>
        <v>#REF!</v>
      </c>
      <c r="AJ655" s="69" t="e" cm="1">
        <f t="array" ref="AJ655">_xlfn.XLOOKUP(Table1[[#This Row],[5 cm2 cell test code]:[5 cm2 cell test code]],[1]!Table1[[Test code]:[Test code]],[1]!Table1[DIW conductivity (µS/cm)],"",0)</f>
        <v>#REF!</v>
      </c>
    </row>
    <row r="656" spans="1:36">
      <c r="A656" s="81"/>
      <c r="U656" s="101"/>
      <c r="V656" s="101"/>
      <c r="W656" s="69" t="e" cm="1">
        <f t="array" ref="W656">_xlfn.XLOOKUP(Table1[[#This Row],[5 cm2 cell test code]:[5 cm2 cell test code]],[1]!Table1[[Test code]:[Test code]],[1]!Table1[i @ 1.8 V DIW (A/cm2)],"",0)</f>
        <v>#REF!</v>
      </c>
      <c r="X656" s="69" t="e" cm="1">
        <f t="array" ref="X656">_xlfn.XLOOKUP(Table1[[#This Row],[5 cm2 cell test code]:[5 cm2 cell test code]],[1]!Table1[[Test code]:[Test code]],[1]!Table1[i @ 1.8 V 10 mM KOH (A/cm2)],"",0)</f>
        <v>#REF!</v>
      </c>
      <c r="Y656" s="69" t="e" cm="1">
        <f t="array" ref="Y656">_xlfn.XLOOKUP(Table1[[#This Row],[5 cm2 cell test code]:[5 cm2 cell test code]],[1]!Table1[[Test code]:[Test code]],[1]!Table1[3-E ƞ at 20mAcm-2 (mV)],"",0)</f>
        <v>#REF!</v>
      </c>
      <c r="Z656" s="69" t="e" cm="1">
        <f t="array" ref="Z656">_xlfn.XLOOKUP(Table1[[#This Row],[5 cm2 cell test code]:[5 cm2 cell test code]],[1]!Table1[[Test code]:[Test code]],[1]!Table1[3-E Tafel slope (mV/dec)],"",0)</f>
        <v>#REF!</v>
      </c>
      <c r="AA656" s="69" t="e" cm="1">
        <f t="array" ref="AA656">_xlfn.XLOOKUP(Table1[[#This Row],[5 cm2 cell test code]:[5 cm2 cell test code]],[1]!Table1[[Test code]:[Test code]],[1]!Table1[E @ 100 mA/cm2 DIW/V],"",0)</f>
        <v>#REF!</v>
      </c>
      <c r="AB656" s="69" t="e" cm="1">
        <f t="array" ref="AB656">_xlfn.XLOOKUP(Table1[[#This Row],[5 cm2 cell test code]:[5 cm2 cell test code]],[1]!Table1[[Test code]:[Test code]],[1]!Table1[E @ 100 mA/cm2 10 mM KOH/V],"",0)</f>
        <v>#REF!</v>
      </c>
      <c r="AC656" s="69" t="e" cm="1">
        <f t="array" ref="AC656">_xlfn.XLOOKUP(Table1[[#This Row],[5 cm2 cell test code]:[5 cm2 cell test code]],[1]!Table1[[Test code]:[Test code]],[1]!Table1[Anode ICR/mOhm],"",0)</f>
        <v>#REF!</v>
      </c>
      <c r="AD656" s="69" t="e" cm="1">
        <f t="array" ref="AD656">_xlfn.XLOOKUP(Table1[[#This Row],[5 cm2 cell test code]:[5 cm2 cell test code]],[1]!Table1[[Test code]:[Test code]],[1]!Table1[HFR DIW/ mOhm cm2],"",0)</f>
        <v>#REF!</v>
      </c>
      <c r="AE656" s="69" t="e" cm="1">
        <f t="array" ref="AE656">_xlfn.XLOOKUP(Table1[[#This Row],[5 cm2 cell test code]:[5 cm2 cell test code]],[1]!Table1[[Test code]:[Test code]],[1]!Table1[HFR 10 mM KOH/ mOhm cm2],"",0)</f>
        <v>#REF!</v>
      </c>
      <c r="AF656" s="69" t="e" cm="1">
        <f t="array" ref="AF656">_xlfn.XLOOKUP(Table1[[#This Row],[5 cm2 cell test code]:[5 cm2 cell test code]],[1]!Table1[[Test code]:[Test code]],[1]!Table1[Ionic resistance DIW/Ohm cm2],"",0)</f>
        <v>#REF!</v>
      </c>
      <c r="AG656" s="69" t="e" cm="1">
        <f t="array" ref="AG656">_xlfn.XLOOKUP(Table1[[#This Row],[5 cm2 cell test code]:[5 cm2 cell test code]],[1]!Table1[[Test code]:[Test code]],[1]!Table1[Q_int_frac DIW],"",0)</f>
        <v>#REF!</v>
      </c>
      <c r="AH656" s="69" t="e" cm="1">
        <f t="array" ref="AH656">_xlfn.XLOOKUP(Table1[[#This Row],[5 cm2 cell test code]:[5 cm2 cell test code]],[1]!Table1[[Test code]:[Test code]],[1]!Table1[Ionic resistance 10 mM KOH/Ohm cm2],"",0)</f>
        <v>#REF!</v>
      </c>
      <c r="AI656" s="69" t="e" cm="1">
        <f t="array" ref="AI656">_xlfn.XLOOKUP(Table1[[#This Row],[5 cm2 cell test code]:[5 cm2 cell test code]],[1]!Table1[[Test code]:[Test code]],[1]!Table1[Q_int_frac DIW 10 mM KOH],"",0)</f>
        <v>#REF!</v>
      </c>
      <c r="AJ656" s="69" t="e" cm="1">
        <f t="array" ref="AJ656">_xlfn.XLOOKUP(Table1[[#This Row],[5 cm2 cell test code]:[5 cm2 cell test code]],[1]!Table1[[Test code]:[Test code]],[1]!Table1[DIW conductivity (µS/cm)],"",0)</f>
        <v>#REF!</v>
      </c>
    </row>
    <row r="657" spans="1:36">
      <c r="A657" s="81"/>
      <c r="U657" s="101"/>
      <c r="V657" s="101"/>
      <c r="W657" s="69" t="e" cm="1">
        <f t="array" ref="W657">_xlfn.XLOOKUP(Table1[[#This Row],[5 cm2 cell test code]:[5 cm2 cell test code]],[1]!Table1[[Test code]:[Test code]],[1]!Table1[i @ 1.8 V DIW (A/cm2)],"",0)</f>
        <v>#REF!</v>
      </c>
      <c r="X657" s="69" t="e" cm="1">
        <f t="array" ref="X657">_xlfn.XLOOKUP(Table1[[#This Row],[5 cm2 cell test code]:[5 cm2 cell test code]],[1]!Table1[[Test code]:[Test code]],[1]!Table1[i @ 1.8 V 10 mM KOH (A/cm2)],"",0)</f>
        <v>#REF!</v>
      </c>
      <c r="Y657" s="69" t="e" cm="1">
        <f t="array" ref="Y657">_xlfn.XLOOKUP(Table1[[#This Row],[5 cm2 cell test code]:[5 cm2 cell test code]],[1]!Table1[[Test code]:[Test code]],[1]!Table1[3-E ƞ at 20mAcm-2 (mV)],"",0)</f>
        <v>#REF!</v>
      </c>
      <c r="Z657" s="69" t="e" cm="1">
        <f t="array" ref="Z657">_xlfn.XLOOKUP(Table1[[#This Row],[5 cm2 cell test code]:[5 cm2 cell test code]],[1]!Table1[[Test code]:[Test code]],[1]!Table1[3-E Tafel slope (mV/dec)],"",0)</f>
        <v>#REF!</v>
      </c>
      <c r="AA657" s="69" t="e" cm="1">
        <f t="array" ref="AA657">_xlfn.XLOOKUP(Table1[[#This Row],[5 cm2 cell test code]:[5 cm2 cell test code]],[1]!Table1[[Test code]:[Test code]],[1]!Table1[E @ 100 mA/cm2 DIW/V],"",0)</f>
        <v>#REF!</v>
      </c>
      <c r="AB657" s="69" t="e" cm="1">
        <f t="array" ref="AB657">_xlfn.XLOOKUP(Table1[[#This Row],[5 cm2 cell test code]:[5 cm2 cell test code]],[1]!Table1[[Test code]:[Test code]],[1]!Table1[E @ 100 mA/cm2 10 mM KOH/V],"",0)</f>
        <v>#REF!</v>
      </c>
      <c r="AC657" s="69" t="e" cm="1">
        <f t="array" ref="AC657">_xlfn.XLOOKUP(Table1[[#This Row],[5 cm2 cell test code]:[5 cm2 cell test code]],[1]!Table1[[Test code]:[Test code]],[1]!Table1[Anode ICR/mOhm],"",0)</f>
        <v>#REF!</v>
      </c>
      <c r="AD657" s="69" t="e" cm="1">
        <f t="array" ref="AD657">_xlfn.XLOOKUP(Table1[[#This Row],[5 cm2 cell test code]:[5 cm2 cell test code]],[1]!Table1[[Test code]:[Test code]],[1]!Table1[HFR DIW/ mOhm cm2],"",0)</f>
        <v>#REF!</v>
      </c>
      <c r="AE657" s="69" t="e" cm="1">
        <f t="array" ref="AE657">_xlfn.XLOOKUP(Table1[[#This Row],[5 cm2 cell test code]:[5 cm2 cell test code]],[1]!Table1[[Test code]:[Test code]],[1]!Table1[HFR 10 mM KOH/ mOhm cm2],"",0)</f>
        <v>#REF!</v>
      </c>
      <c r="AF657" s="69" t="e" cm="1">
        <f t="array" ref="AF657">_xlfn.XLOOKUP(Table1[[#This Row],[5 cm2 cell test code]:[5 cm2 cell test code]],[1]!Table1[[Test code]:[Test code]],[1]!Table1[Ionic resistance DIW/Ohm cm2],"",0)</f>
        <v>#REF!</v>
      </c>
      <c r="AG657" s="69" t="e" cm="1">
        <f t="array" ref="AG657">_xlfn.XLOOKUP(Table1[[#This Row],[5 cm2 cell test code]:[5 cm2 cell test code]],[1]!Table1[[Test code]:[Test code]],[1]!Table1[Q_int_frac DIW],"",0)</f>
        <v>#REF!</v>
      </c>
      <c r="AH657" s="69" t="e" cm="1">
        <f t="array" ref="AH657">_xlfn.XLOOKUP(Table1[[#This Row],[5 cm2 cell test code]:[5 cm2 cell test code]],[1]!Table1[[Test code]:[Test code]],[1]!Table1[Ionic resistance 10 mM KOH/Ohm cm2],"",0)</f>
        <v>#REF!</v>
      </c>
      <c r="AI657" s="69" t="e" cm="1">
        <f t="array" ref="AI657">_xlfn.XLOOKUP(Table1[[#This Row],[5 cm2 cell test code]:[5 cm2 cell test code]],[1]!Table1[[Test code]:[Test code]],[1]!Table1[Q_int_frac DIW 10 mM KOH],"",0)</f>
        <v>#REF!</v>
      </c>
      <c r="AJ657" s="69" t="e" cm="1">
        <f t="array" ref="AJ657">_xlfn.XLOOKUP(Table1[[#This Row],[5 cm2 cell test code]:[5 cm2 cell test code]],[1]!Table1[[Test code]:[Test code]],[1]!Table1[DIW conductivity (µS/cm)],"",0)</f>
        <v>#REF!</v>
      </c>
    </row>
    <row r="658" spans="1:36">
      <c r="A658" s="81"/>
      <c r="U658" s="101"/>
      <c r="V658" s="101"/>
      <c r="W658" s="69" t="e" cm="1">
        <f t="array" ref="W658">_xlfn.XLOOKUP(Table1[[#This Row],[5 cm2 cell test code]:[5 cm2 cell test code]],[1]!Table1[[Test code]:[Test code]],[1]!Table1[i @ 1.8 V DIW (A/cm2)],"",0)</f>
        <v>#REF!</v>
      </c>
      <c r="X658" s="69" t="e" cm="1">
        <f t="array" ref="X658">_xlfn.XLOOKUP(Table1[[#This Row],[5 cm2 cell test code]:[5 cm2 cell test code]],[1]!Table1[[Test code]:[Test code]],[1]!Table1[i @ 1.8 V 10 mM KOH (A/cm2)],"",0)</f>
        <v>#REF!</v>
      </c>
      <c r="Y658" s="69" t="e" cm="1">
        <f t="array" ref="Y658">_xlfn.XLOOKUP(Table1[[#This Row],[5 cm2 cell test code]:[5 cm2 cell test code]],[1]!Table1[[Test code]:[Test code]],[1]!Table1[3-E ƞ at 20mAcm-2 (mV)],"",0)</f>
        <v>#REF!</v>
      </c>
      <c r="Z658" s="69" t="e" cm="1">
        <f t="array" ref="Z658">_xlfn.XLOOKUP(Table1[[#This Row],[5 cm2 cell test code]:[5 cm2 cell test code]],[1]!Table1[[Test code]:[Test code]],[1]!Table1[3-E Tafel slope (mV/dec)],"",0)</f>
        <v>#REF!</v>
      </c>
      <c r="AA658" s="69" t="e" cm="1">
        <f t="array" ref="AA658">_xlfn.XLOOKUP(Table1[[#This Row],[5 cm2 cell test code]:[5 cm2 cell test code]],[1]!Table1[[Test code]:[Test code]],[1]!Table1[E @ 100 mA/cm2 DIW/V],"",0)</f>
        <v>#REF!</v>
      </c>
      <c r="AB658" s="69" t="e" cm="1">
        <f t="array" ref="AB658">_xlfn.XLOOKUP(Table1[[#This Row],[5 cm2 cell test code]:[5 cm2 cell test code]],[1]!Table1[[Test code]:[Test code]],[1]!Table1[E @ 100 mA/cm2 10 mM KOH/V],"",0)</f>
        <v>#REF!</v>
      </c>
      <c r="AC658" s="69" t="e" cm="1">
        <f t="array" ref="AC658">_xlfn.XLOOKUP(Table1[[#This Row],[5 cm2 cell test code]:[5 cm2 cell test code]],[1]!Table1[[Test code]:[Test code]],[1]!Table1[Anode ICR/mOhm],"",0)</f>
        <v>#REF!</v>
      </c>
      <c r="AD658" s="69" t="e" cm="1">
        <f t="array" ref="AD658">_xlfn.XLOOKUP(Table1[[#This Row],[5 cm2 cell test code]:[5 cm2 cell test code]],[1]!Table1[[Test code]:[Test code]],[1]!Table1[HFR DIW/ mOhm cm2],"",0)</f>
        <v>#REF!</v>
      </c>
      <c r="AE658" s="69" t="e" cm="1">
        <f t="array" ref="AE658">_xlfn.XLOOKUP(Table1[[#This Row],[5 cm2 cell test code]:[5 cm2 cell test code]],[1]!Table1[[Test code]:[Test code]],[1]!Table1[HFR 10 mM KOH/ mOhm cm2],"",0)</f>
        <v>#REF!</v>
      </c>
      <c r="AF658" s="69" t="e" cm="1">
        <f t="array" ref="AF658">_xlfn.XLOOKUP(Table1[[#This Row],[5 cm2 cell test code]:[5 cm2 cell test code]],[1]!Table1[[Test code]:[Test code]],[1]!Table1[Ionic resistance DIW/Ohm cm2],"",0)</f>
        <v>#REF!</v>
      </c>
      <c r="AG658" s="69" t="e" cm="1">
        <f t="array" ref="AG658">_xlfn.XLOOKUP(Table1[[#This Row],[5 cm2 cell test code]:[5 cm2 cell test code]],[1]!Table1[[Test code]:[Test code]],[1]!Table1[Q_int_frac DIW],"",0)</f>
        <v>#REF!</v>
      </c>
      <c r="AH658" s="69" t="e" cm="1">
        <f t="array" ref="AH658">_xlfn.XLOOKUP(Table1[[#This Row],[5 cm2 cell test code]:[5 cm2 cell test code]],[1]!Table1[[Test code]:[Test code]],[1]!Table1[Ionic resistance 10 mM KOH/Ohm cm2],"",0)</f>
        <v>#REF!</v>
      </c>
      <c r="AI658" s="69" t="e" cm="1">
        <f t="array" ref="AI658">_xlfn.XLOOKUP(Table1[[#This Row],[5 cm2 cell test code]:[5 cm2 cell test code]],[1]!Table1[[Test code]:[Test code]],[1]!Table1[Q_int_frac DIW 10 mM KOH],"",0)</f>
        <v>#REF!</v>
      </c>
      <c r="AJ658" s="69" t="e" cm="1">
        <f t="array" ref="AJ658">_xlfn.XLOOKUP(Table1[[#This Row],[5 cm2 cell test code]:[5 cm2 cell test code]],[1]!Table1[[Test code]:[Test code]],[1]!Table1[DIW conductivity (µS/cm)],"",0)</f>
        <v>#REF!</v>
      </c>
    </row>
    <row r="659" spans="1:36">
      <c r="A659" s="81"/>
      <c r="U659" s="101"/>
      <c r="V659" s="101"/>
      <c r="W659" s="69" t="e" cm="1">
        <f t="array" ref="W659">_xlfn.XLOOKUP(Table1[[#This Row],[5 cm2 cell test code]:[5 cm2 cell test code]],[1]!Table1[[Test code]:[Test code]],[1]!Table1[i @ 1.8 V DIW (A/cm2)],"",0)</f>
        <v>#REF!</v>
      </c>
      <c r="X659" s="69" t="e" cm="1">
        <f t="array" ref="X659">_xlfn.XLOOKUP(Table1[[#This Row],[5 cm2 cell test code]:[5 cm2 cell test code]],[1]!Table1[[Test code]:[Test code]],[1]!Table1[i @ 1.8 V 10 mM KOH (A/cm2)],"",0)</f>
        <v>#REF!</v>
      </c>
      <c r="Y659" s="69" t="e" cm="1">
        <f t="array" ref="Y659">_xlfn.XLOOKUP(Table1[[#This Row],[5 cm2 cell test code]:[5 cm2 cell test code]],[1]!Table1[[Test code]:[Test code]],[1]!Table1[3-E ƞ at 20mAcm-2 (mV)],"",0)</f>
        <v>#REF!</v>
      </c>
      <c r="Z659" s="69" t="e" cm="1">
        <f t="array" ref="Z659">_xlfn.XLOOKUP(Table1[[#This Row],[5 cm2 cell test code]:[5 cm2 cell test code]],[1]!Table1[[Test code]:[Test code]],[1]!Table1[3-E Tafel slope (mV/dec)],"",0)</f>
        <v>#REF!</v>
      </c>
      <c r="AA659" s="69" t="e" cm="1">
        <f t="array" ref="AA659">_xlfn.XLOOKUP(Table1[[#This Row],[5 cm2 cell test code]:[5 cm2 cell test code]],[1]!Table1[[Test code]:[Test code]],[1]!Table1[E @ 100 mA/cm2 DIW/V],"",0)</f>
        <v>#REF!</v>
      </c>
      <c r="AB659" s="69" t="e" cm="1">
        <f t="array" ref="AB659">_xlfn.XLOOKUP(Table1[[#This Row],[5 cm2 cell test code]:[5 cm2 cell test code]],[1]!Table1[[Test code]:[Test code]],[1]!Table1[E @ 100 mA/cm2 10 mM KOH/V],"",0)</f>
        <v>#REF!</v>
      </c>
      <c r="AC659" s="69" t="e" cm="1">
        <f t="array" ref="AC659">_xlfn.XLOOKUP(Table1[[#This Row],[5 cm2 cell test code]:[5 cm2 cell test code]],[1]!Table1[[Test code]:[Test code]],[1]!Table1[Anode ICR/mOhm],"",0)</f>
        <v>#REF!</v>
      </c>
      <c r="AD659" s="69" t="e" cm="1">
        <f t="array" ref="AD659">_xlfn.XLOOKUP(Table1[[#This Row],[5 cm2 cell test code]:[5 cm2 cell test code]],[1]!Table1[[Test code]:[Test code]],[1]!Table1[HFR DIW/ mOhm cm2],"",0)</f>
        <v>#REF!</v>
      </c>
      <c r="AE659" s="69" t="e" cm="1">
        <f t="array" ref="AE659">_xlfn.XLOOKUP(Table1[[#This Row],[5 cm2 cell test code]:[5 cm2 cell test code]],[1]!Table1[[Test code]:[Test code]],[1]!Table1[HFR 10 mM KOH/ mOhm cm2],"",0)</f>
        <v>#REF!</v>
      </c>
      <c r="AF659" s="69" t="e" cm="1">
        <f t="array" ref="AF659">_xlfn.XLOOKUP(Table1[[#This Row],[5 cm2 cell test code]:[5 cm2 cell test code]],[1]!Table1[[Test code]:[Test code]],[1]!Table1[Ionic resistance DIW/Ohm cm2],"",0)</f>
        <v>#REF!</v>
      </c>
      <c r="AG659" s="69" t="e" cm="1">
        <f t="array" ref="AG659">_xlfn.XLOOKUP(Table1[[#This Row],[5 cm2 cell test code]:[5 cm2 cell test code]],[1]!Table1[[Test code]:[Test code]],[1]!Table1[Q_int_frac DIW],"",0)</f>
        <v>#REF!</v>
      </c>
      <c r="AH659" s="69" t="e" cm="1">
        <f t="array" ref="AH659">_xlfn.XLOOKUP(Table1[[#This Row],[5 cm2 cell test code]:[5 cm2 cell test code]],[1]!Table1[[Test code]:[Test code]],[1]!Table1[Ionic resistance 10 mM KOH/Ohm cm2],"",0)</f>
        <v>#REF!</v>
      </c>
      <c r="AI659" s="69" t="e" cm="1">
        <f t="array" ref="AI659">_xlfn.XLOOKUP(Table1[[#This Row],[5 cm2 cell test code]:[5 cm2 cell test code]],[1]!Table1[[Test code]:[Test code]],[1]!Table1[Q_int_frac DIW 10 mM KOH],"",0)</f>
        <v>#REF!</v>
      </c>
      <c r="AJ659" s="69" t="e" cm="1">
        <f t="array" ref="AJ659">_xlfn.XLOOKUP(Table1[[#This Row],[5 cm2 cell test code]:[5 cm2 cell test code]],[1]!Table1[[Test code]:[Test code]],[1]!Table1[DIW conductivity (µS/cm)],"",0)</f>
        <v>#REF!</v>
      </c>
    </row>
    <row r="660" spans="1:36">
      <c r="A660" s="81"/>
      <c r="U660" s="101"/>
      <c r="V660" s="101"/>
      <c r="W660" s="69" t="e" cm="1">
        <f t="array" ref="W660">_xlfn.XLOOKUP(Table1[[#This Row],[5 cm2 cell test code]:[5 cm2 cell test code]],[1]!Table1[[Test code]:[Test code]],[1]!Table1[i @ 1.8 V DIW (A/cm2)],"",0)</f>
        <v>#REF!</v>
      </c>
      <c r="X660" s="69" t="e" cm="1">
        <f t="array" ref="X660">_xlfn.XLOOKUP(Table1[[#This Row],[5 cm2 cell test code]:[5 cm2 cell test code]],[1]!Table1[[Test code]:[Test code]],[1]!Table1[i @ 1.8 V 10 mM KOH (A/cm2)],"",0)</f>
        <v>#REF!</v>
      </c>
      <c r="Y660" s="69" t="e" cm="1">
        <f t="array" ref="Y660">_xlfn.XLOOKUP(Table1[[#This Row],[5 cm2 cell test code]:[5 cm2 cell test code]],[1]!Table1[[Test code]:[Test code]],[1]!Table1[3-E ƞ at 20mAcm-2 (mV)],"",0)</f>
        <v>#REF!</v>
      </c>
      <c r="Z660" s="69" t="e" cm="1">
        <f t="array" ref="Z660">_xlfn.XLOOKUP(Table1[[#This Row],[5 cm2 cell test code]:[5 cm2 cell test code]],[1]!Table1[[Test code]:[Test code]],[1]!Table1[3-E Tafel slope (mV/dec)],"",0)</f>
        <v>#REF!</v>
      </c>
      <c r="AA660" s="69" t="e" cm="1">
        <f t="array" ref="AA660">_xlfn.XLOOKUP(Table1[[#This Row],[5 cm2 cell test code]:[5 cm2 cell test code]],[1]!Table1[[Test code]:[Test code]],[1]!Table1[E @ 100 mA/cm2 DIW/V],"",0)</f>
        <v>#REF!</v>
      </c>
      <c r="AB660" s="69" t="e" cm="1">
        <f t="array" ref="AB660">_xlfn.XLOOKUP(Table1[[#This Row],[5 cm2 cell test code]:[5 cm2 cell test code]],[1]!Table1[[Test code]:[Test code]],[1]!Table1[E @ 100 mA/cm2 10 mM KOH/V],"",0)</f>
        <v>#REF!</v>
      </c>
      <c r="AC660" s="69" t="e" cm="1">
        <f t="array" ref="AC660">_xlfn.XLOOKUP(Table1[[#This Row],[5 cm2 cell test code]:[5 cm2 cell test code]],[1]!Table1[[Test code]:[Test code]],[1]!Table1[Anode ICR/mOhm],"",0)</f>
        <v>#REF!</v>
      </c>
      <c r="AD660" s="69" t="e" cm="1">
        <f t="array" ref="AD660">_xlfn.XLOOKUP(Table1[[#This Row],[5 cm2 cell test code]:[5 cm2 cell test code]],[1]!Table1[[Test code]:[Test code]],[1]!Table1[HFR DIW/ mOhm cm2],"",0)</f>
        <v>#REF!</v>
      </c>
      <c r="AE660" s="69" t="e" cm="1">
        <f t="array" ref="AE660">_xlfn.XLOOKUP(Table1[[#This Row],[5 cm2 cell test code]:[5 cm2 cell test code]],[1]!Table1[[Test code]:[Test code]],[1]!Table1[HFR 10 mM KOH/ mOhm cm2],"",0)</f>
        <v>#REF!</v>
      </c>
      <c r="AF660" s="69" t="e" cm="1">
        <f t="array" ref="AF660">_xlfn.XLOOKUP(Table1[[#This Row],[5 cm2 cell test code]:[5 cm2 cell test code]],[1]!Table1[[Test code]:[Test code]],[1]!Table1[Ionic resistance DIW/Ohm cm2],"",0)</f>
        <v>#REF!</v>
      </c>
      <c r="AG660" s="69" t="e" cm="1">
        <f t="array" ref="AG660">_xlfn.XLOOKUP(Table1[[#This Row],[5 cm2 cell test code]:[5 cm2 cell test code]],[1]!Table1[[Test code]:[Test code]],[1]!Table1[Q_int_frac DIW],"",0)</f>
        <v>#REF!</v>
      </c>
      <c r="AH660" s="69" t="e" cm="1">
        <f t="array" ref="AH660">_xlfn.XLOOKUP(Table1[[#This Row],[5 cm2 cell test code]:[5 cm2 cell test code]],[1]!Table1[[Test code]:[Test code]],[1]!Table1[Ionic resistance 10 mM KOH/Ohm cm2],"",0)</f>
        <v>#REF!</v>
      </c>
      <c r="AI660" s="69" t="e" cm="1">
        <f t="array" ref="AI660">_xlfn.XLOOKUP(Table1[[#This Row],[5 cm2 cell test code]:[5 cm2 cell test code]],[1]!Table1[[Test code]:[Test code]],[1]!Table1[Q_int_frac DIW 10 mM KOH],"",0)</f>
        <v>#REF!</v>
      </c>
      <c r="AJ660" s="69" t="e" cm="1">
        <f t="array" ref="AJ660">_xlfn.XLOOKUP(Table1[[#This Row],[5 cm2 cell test code]:[5 cm2 cell test code]],[1]!Table1[[Test code]:[Test code]],[1]!Table1[DIW conductivity (µS/cm)],"",0)</f>
        <v>#REF!</v>
      </c>
    </row>
    <row r="661" spans="1:36">
      <c r="A661" s="81"/>
      <c r="U661" s="101"/>
      <c r="V661" s="101"/>
      <c r="W661" s="69" t="e" cm="1">
        <f t="array" ref="W661">_xlfn.XLOOKUP(Table1[[#This Row],[5 cm2 cell test code]:[5 cm2 cell test code]],[1]!Table1[[Test code]:[Test code]],[1]!Table1[i @ 1.8 V DIW (A/cm2)],"",0)</f>
        <v>#REF!</v>
      </c>
      <c r="X661" s="69" t="e" cm="1">
        <f t="array" ref="X661">_xlfn.XLOOKUP(Table1[[#This Row],[5 cm2 cell test code]:[5 cm2 cell test code]],[1]!Table1[[Test code]:[Test code]],[1]!Table1[i @ 1.8 V 10 mM KOH (A/cm2)],"",0)</f>
        <v>#REF!</v>
      </c>
      <c r="Y661" s="69" t="e" cm="1">
        <f t="array" ref="Y661">_xlfn.XLOOKUP(Table1[[#This Row],[5 cm2 cell test code]:[5 cm2 cell test code]],[1]!Table1[[Test code]:[Test code]],[1]!Table1[3-E ƞ at 20mAcm-2 (mV)],"",0)</f>
        <v>#REF!</v>
      </c>
      <c r="Z661" s="69" t="e" cm="1">
        <f t="array" ref="Z661">_xlfn.XLOOKUP(Table1[[#This Row],[5 cm2 cell test code]:[5 cm2 cell test code]],[1]!Table1[[Test code]:[Test code]],[1]!Table1[3-E Tafel slope (mV/dec)],"",0)</f>
        <v>#REF!</v>
      </c>
      <c r="AA661" s="69" t="e" cm="1">
        <f t="array" ref="AA661">_xlfn.XLOOKUP(Table1[[#This Row],[5 cm2 cell test code]:[5 cm2 cell test code]],[1]!Table1[[Test code]:[Test code]],[1]!Table1[E @ 100 mA/cm2 DIW/V],"",0)</f>
        <v>#REF!</v>
      </c>
      <c r="AB661" s="69" t="e" cm="1">
        <f t="array" ref="AB661">_xlfn.XLOOKUP(Table1[[#This Row],[5 cm2 cell test code]:[5 cm2 cell test code]],[1]!Table1[[Test code]:[Test code]],[1]!Table1[E @ 100 mA/cm2 10 mM KOH/V],"",0)</f>
        <v>#REF!</v>
      </c>
      <c r="AC661" s="69" t="e" cm="1">
        <f t="array" ref="AC661">_xlfn.XLOOKUP(Table1[[#This Row],[5 cm2 cell test code]:[5 cm2 cell test code]],[1]!Table1[[Test code]:[Test code]],[1]!Table1[Anode ICR/mOhm],"",0)</f>
        <v>#REF!</v>
      </c>
      <c r="AD661" s="69" t="e" cm="1">
        <f t="array" ref="AD661">_xlfn.XLOOKUP(Table1[[#This Row],[5 cm2 cell test code]:[5 cm2 cell test code]],[1]!Table1[[Test code]:[Test code]],[1]!Table1[HFR DIW/ mOhm cm2],"",0)</f>
        <v>#REF!</v>
      </c>
      <c r="AE661" s="69" t="e" cm="1">
        <f t="array" ref="AE661">_xlfn.XLOOKUP(Table1[[#This Row],[5 cm2 cell test code]:[5 cm2 cell test code]],[1]!Table1[[Test code]:[Test code]],[1]!Table1[HFR 10 mM KOH/ mOhm cm2],"",0)</f>
        <v>#REF!</v>
      </c>
      <c r="AF661" s="69" t="e" cm="1">
        <f t="array" ref="AF661">_xlfn.XLOOKUP(Table1[[#This Row],[5 cm2 cell test code]:[5 cm2 cell test code]],[1]!Table1[[Test code]:[Test code]],[1]!Table1[Ionic resistance DIW/Ohm cm2],"",0)</f>
        <v>#REF!</v>
      </c>
      <c r="AG661" s="69" t="e" cm="1">
        <f t="array" ref="AG661">_xlfn.XLOOKUP(Table1[[#This Row],[5 cm2 cell test code]:[5 cm2 cell test code]],[1]!Table1[[Test code]:[Test code]],[1]!Table1[Q_int_frac DIW],"",0)</f>
        <v>#REF!</v>
      </c>
      <c r="AH661" s="69" t="e" cm="1">
        <f t="array" ref="AH661">_xlfn.XLOOKUP(Table1[[#This Row],[5 cm2 cell test code]:[5 cm2 cell test code]],[1]!Table1[[Test code]:[Test code]],[1]!Table1[Ionic resistance 10 mM KOH/Ohm cm2],"",0)</f>
        <v>#REF!</v>
      </c>
      <c r="AI661" s="69" t="e" cm="1">
        <f t="array" ref="AI661">_xlfn.XLOOKUP(Table1[[#This Row],[5 cm2 cell test code]:[5 cm2 cell test code]],[1]!Table1[[Test code]:[Test code]],[1]!Table1[Q_int_frac DIW 10 mM KOH],"",0)</f>
        <v>#REF!</v>
      </c>
      <c r="AJ661" s="69" t="e" cm="1">
        <f t="array" ref="AJ661">_xlfn.XLOOKUP(Table1[[#This Row],[5 cm2 cell test code]:[5 cm2 cell test code]],[1]!Table1[[Test code]:[Test code]],[1]!Table1[DIW conductivity (µS/cm)],"",0)</f>
        <v>#REF!</v>
      </c>
    </row>
    <row r="662" spans="1:36">
      <c r="A662" s="81"/>
      <c r="U662" s="101"/>
      <c r="V662" s="101"/>
      <c r="W662" s="69" t="e" cm="1">
        <f t="array" ref="W662">_xlfn.XLOOKUP(Table1[[#This Row],[5 cm2 cell test code]:[5 cm2 cell test code]],[1]!Table1[[Test code]:[Test code]],[1]!Table1[i @ 1.8 V DIW (A/cm2)],"",0)</f>
        <v>#REF!</v>
      </c>
      <c r="X662" s="69" t="e" cm="1">
        <f t="array" ref="X662">_xlfn.XLOOKUP(Table1[[#This Row],[5 cm2 cell test code]:[5 cm2 cell test code]],[1]!Table1[[Test code]:[Test code]],[1]!Table1[i @ 1.8 V 10 mM KOH (A/cm2)],"",0)</f>
        <v>#REF!</v>
      </c>
      <c r="Y662" s="69" t="e" cm="1">
        <f t="array" ref="Y662">_xlfn.XLOOKUP(Table1[[#This Row],[5 cm2 cell test code]:[5 cm2 cell test code]],[1]!Table1[[Test code]:[Test code]],[1]!Table1[3-E ƞ at 20mAcm-2 (mV)],"",0)</f>
        <v>#REF!</v>
      </c>
      <c r="Z662" s="69" t="e" cm="1">
        <f t="array" ref="Z662">_xlfn.XLOOKUP(Table1[[#This Row],[5 cm2 cell test code]:[5 cm2 cell test code]],[1]!Table1[[Test code]:[Test code]],[1]!Table1[3-E Tafel slope (mV/dec)],"",0)</f>
        <v>#REF!</v>
      </c>
      <c r="AA662" s="69" t="e" cm="1">
        <f t="array" ref="AA662">_xlfn.XLOOKUP(Table1[[#This Row],[5 cm2 cell test code]:[5 cm2 cell test code]],[1]!Table1[[Test code]:[Test code]],[1]!Table1[E @ 100 mA/cm2 DIW/V],"",0)</f>
        <v>#REF!</v>
      </c>
      <c r="AB662" s="69" t="e" cm="1">
        <f t="array" ref="AB662">_xlfn.XLOOKUP(Table1[[#This Row],[5 cm2 cell test code]:[5 cm2 cell test code]],[1]!Table1[[Test code]:[Test code]],[1]!Table1[E @ 100 mA/cm2 10 mM KOH/V],"",0)</f>
        <v>#REF!</v>
      </c>
      <c r="AC662" s="69" t="e" cm="1">
        <f t="array" ref="AC662">_xlfn.XLOOKUP(Table1[[#This Row],[5 cm2 cell test code]:[5 cm2 cell test code]],[1]!Table1[[Test code]:[Test code]],[1]!Table1[Anode ICR/mOhm],"",0)</f>
        <v>#REF!</v>
      </c>
      <c r="AD662" s="69" t="e" cm="1">
        <f t="array" ref="AD662">_xlfn.XLOOKUP(Table1[[#This Row],[5 cm2 cell test code]:[5 cm2 cell test code]],[1]!Table1[[Test code]:[Test code]],[1]!Table1[HFR DIW/ mOhm cm2],"",0)</f>
        <v>#REF!</v>
      </c>
      <c r="AE662" s="69" t="e" cm="1">
        <f t="array" ref="AE662">_xlfn.XLOOKUP(Table1[[#This Row],[5 cm2 cell test code]:[5 cm2 cell test code]],[1]!Table1[[Test code]:[Test code]],[1]!Table1[HFR 10 mM KOH/ mOhm cm2],"",0)</f>
        <v>#REF!</v>
      </c>
      <c r="AF662" s="69" t="e" cm="1">
        <f t="array" ref="AF662">_xlfn.XLOOKUP(Table1[[#This Row],[5 cm2 cell test code]:[5 cm2 cell test code]],[1]!Table1[[Test code]:[Test code]],[1]!Table1[Ionic resistance DIW/Ohm cm2],"",0)</f>
        <v>#REF!</v>
      </c>
      <c r="AG662" s="69" t="e" cm="1">
        <f t="array" ref="AG662">_xlfn.XLOOKUP(Table1[[#This Row],[5 cm2 cell test code]:[5 cm2 cell test code]],[1]!Table1[[Test code]:[Test code]],[1]!Table1[Q_int_frac DIW],"",0)</f>
        <v>#REF!</v>
      </c>
      <c r="AH662" s="69" t="e" cm="1">
        <f t="array" ref="AH662">_xlfn.XLOOKUP(Table1[[#This Row],[5 cm2 cell test code]:[5 cm2 cell test code]],[1]!Table1[[Test code]:[Test code]],[1]!Table1[Ionic resistance 10 mM KOH/Ohm cm2],"",0)</f>
        <v>#REF!</v>
      </c>
      <c r="AI662" s="69" t="e" cm="1">
        <f t="array" ref="AI662">_xlfn.XLOOKUP(Table1[[#This Row],[5 cm2 cell test code]:[5 cm2 cell test code]],[1]!Table1[[Test code]:[Test code]],[1]!Table1[Q_int_frac DIW 10 mM KOH],"",0)</f>
        <v>#REF!</v>
      </c>
      <c r="AJ662" s="69" t="e" cm="1">
        <f t="array" ref="AJ662">_xlfn.XLOOKUP(Table1[[#This Row],[5 cm2 cell test code]:[5 cm2 cell test code]],[1]!Table1[[Test code]:[Test code]],[1]!Table1[DIW conductivity (µS/cm)],"",0)</f>
        <v>#REF!</v>
      </c>
    </row>
    <row r="663" spans="1:36">
      <c r="A663" s="81"/>
      <c r="U663" s="101"/>
      <c r="V663" s="101"/>
      <c r="W663" s="69" t="e" cm="1">
        <f t="array" ref="W663">_xlfn.XLOOKUP(Table1[[#This Row],[5 cm2 cell test code]:[5 cm2 cell test code]],[1]!Table1[[Test code]:[Test code]],[1]!Table1[i @ 1.8 V DIW (A/cm2)],"",0)</f>
        <v>#REF!</v>
      </c>
      <c r="X663" s="69" t="e" cm="1">
        <f t="array" ref="X663">_xlfn.XLOOKUP(Table1[[#This Row],[5 cm2 cell test code]:[5 cm2 cell test code]],[1]!Table1[[Test code]:[Test code]],[1]!Table1[i @ 1.8 V 10 mM KOH (A/cm2)],"",0)</f>
        <v>#REF!</v>
      </c>
      <c r="Y663" s="69" t="e" cm="1">
        <f t="array" ref="Y663">_xlfn.XLOOKUP(Table1[[#This Row],[5 cm2 cell test code]:[5 cm2 cell test code]],[1]!Table1[[Test code]:[Test code]],[1]!Table1[3-E ƞ at 20mAcm-2 (mV)],"",0)</f>
        <v>#REF!</v>
      </c>
      <c r="Z663" s="69" t="e" cm="1">
        <f t="array" ref="Z663">_xlfn.XLOOKUP(Table1[[#This Row],[5 cm2 cell test code]:[5 cm2 cell test code]],[1]!Table1[[Test code]:[Test code]],[1]!Table1[3-E Tafel slope (mV/dec)],"",0)</f>
        <v>#REF!</v>
      </c>
      <c r="AA663" s="69" t="e" cm="1">
        <f t="array" ref="AA663">_xlfn.XLOOKUP(Table1[[#This Row],[5 cm2 cell test code]:[5 cm2 cell test code]],[1]!Table1[[Test code]:[Test code]],[1]!Table1[E @ 100 mA/cm2 DIW/V],"",0)</f>
        <v>#REF!</v>
      </c>
      <c r="AB663" s="69" t="e" cm="1">
        <f t="array" ref="AB663">_xlfn.XLOOKUP(Table1[[#This Row],[5 cm2 cell test code]:[5 cm2 cell test code]],[1]!Table1[[Test code]:[Test code]],[1]!Table1[E @ 100 mA/cm2 10 mM KOH/V],"",0)</f>
        <v>#REF!</v>
      </c>
      <c r="AC663" s="69" t="e" cm="1">
        <f t="array" ref="AC663">_xlfn.XLOOKUP(Table1[[#This Row],[5 cm2 cell test code]:[5 cm2 cell test code]],[1]!Table1[[Test code]:[Test code]],[1]!Table1[Anode ICR/mOhm],"",0)</f>
        <v>#REF!</v>
      </c>
      <c r="AD663" s="69" t="e" cm="1">
        <f t="array" ref="AD663">_xlfn.XLOOKUP(Table1[[#This Row],[5 cm2 cell test code]:[5 cm2 cell test code]],[1]!Table1[[Test code]:[Test code]],[1]!Table1[HFR DIW/ mOhm cm2],"",0)</f>
        <v>#REF!</v>
      </c>
      <c r="AE663" s="69" t="e" cm="1">
        <f t="array" ref="AE663">_xlfn.XLOOKUP(Table1[[#This Row],[5 cm2 cell test code]:[5 cm2 cell test code]],[1]!Table1[[Test code]:[Test code]],[1]!Table1[HFR 10 mM KOH/ mOhm cm2],"",0)</f>
        <v>#REF!</v>
      </c>
      <c r="AF663" s="69" t="e" cm="1">
        <f t="array" ref="AF663">_xlfn.XLOOKUP(Table1[[#This Row],[5 cm2 cell test code]:[5 cm2 cell test code]],[1]!Table1[[Test code]:[Test code]],[1]!Table1[Ionic resistance DIW/Ohm cm2],"",0)</f>
        <v>#REF!</v>
      </c>
      <c r="AG663" s="69" t="e" cm="1">
        <f t="array" ref="AG663">_xlfn.XLOOKUP(Table1[[#This Row],[5 cm2 cell test code]:[5 cm2 cell test code]],[1]!Table1[[Test code]:[Test code]],[1]!Table1[Q_int_frac DIW],"",0)</f>
        <v>#REF!</v>
      </c>
      <c r="AH663" s="69" t="e" cm="1">
        <f t="array" ref="AH663">_xlfn.XLOOKUP(Table1[[#This Row],[5 cm2 cell test code]:[5 cm2 cell test code]],[1]!Table1[[Test code]:[Test code]],[1]!Table1[Ionic resistance 10 mM KOH/Ohm cm2],"",0)</f>
        <v>#REF!</v>
      </c>
      <c r="AI663" s="69" t="e" cm="1">
        <f t="array" ref="AI663">_xlfn.XLOOKUP(Table1[[#This Row],[5 cm2 cell test code]:[5 cm2 cell test code]],[1]!Table1[[Test code]:[Test code]],[1]!Table1[Q_int_frac DIW 10 mM KOH],"",0)</f>
        <v>#REF!</v>
      </c>
      <c r="AJ663" s="69" t="e" cm="1">
        <f t="array" ref="AJ663">_xlfn.XLOOKUP(Table1[[#This Row],[5 cm2 cell test code]:[5 cm2 cell test code]],[1]!Table1[[Test code]:[Test code]],[1]!Table1[DIW conductivity (µS/cm)],"",0)</f>
        <v>#REF!</v>
      </c>
    </row>
    <row r="664" spans="1:36">
      <c r="A664" s="81"/>
      <c r="U664" s="101"/>
      <c r="V664" s="101"/>
      <c r="W664" s="69" t="e" cm="1">
        <f t="array" ref="W664">_xlfn.XLOOKUP(Table1[[#This Row],[5 cm2 cell test code]:[5 cm2 cell test code]],[1]!Table1[[Test code]:[Test code]],[1]!Table1[i @ 1.8 V DIW (A/cm2)],"",0)</f>
        <v>#REF!</v>
      </c>
      <c r="X664" s="69" t="e" cm="1">
        <f t="array" ref="X664">_xlfn.XLOOKUP(Table1[[#This Row],[5 cm2 cell test code]:[5 cm2 cell test code]],[1]!Table1[[Test code]:[Test code]],[1]!Table1[i @ 1.8 V 10 mM KOH (A/cm2)],"",0)</f>
        <v>#REF!</v>
      </c>
      <c r="Y664" s="69" t="e" cm="1">
        <f t="array" ref="Y664">_xlfn.XLOOKUP(Table1[[#This Row],[5 cm2 cell test code]:[5 cm2 cell test code]],[1]!Table1[[Test code]:[Test code]],[1]!Table1[3-E ƞ at 20mAcm-2 (mV)],"",0)</f>
        <v>#REF!</v>
      </c>
      <c r="Z664" s="69" t="e" cm="1">
        <f t="array" ref="Z664">_xlfn.XLOOKUP(Table1[[#This Row],[5 cm2 cell test code]:[5 cm2 cell test code]],[1]!Table1[[Test code]:[Test code]],[1]!Table1[3-E Tafel slope (mV/dec)],"",0)</f>
        <v>#REF!</v>
      </c>
      <c r="AA664" s="69" t="e" cm="1">
        <f t="array" ref="AA664">_xlfn.XLOOKUP(Table1[[#This Row],[5 cm2 cell test code]:[5 cm2 cell test code]],[1]!Table1[[Test code]:[Test code]],[1]!Table1[E @ 100 mA/cm2 DIW/V],"",0)</f>
        <v>#REF!</v>
      </c>
      <c r="AB664" s="69" t="e" cm="1">
        <f t="array" ref="AB664">_xlfn.XLOOKUP(Table1[[#This Row],[5 cm2 cell test code]:[5 cm2 cell test code]],[1]!Table1[[Test code]:[Test code]],[1]!Table1[E @ 100 mA/cm2 10 mM KOH/V],"",0)</f>
        <v>#REF!</v>
      </c>
      <c r="AC664" s="69" t="e" cm="1">
        <f t="array" ref="AC664">_xlfn.XLOOKUP(Table1[[#This Row],[5 cm2 cell test code]:[5 cm2 cell test code]],[1]!Table1[[Test code]:[Test code]],[1]!Table1[Anode ICR/mOhm],"",0)</f>
        <v>#REF!</v>
      </c>
      <c r="AD664" s="69" t="e" cm="1">
        <f t="array" ref="AD664">_xlfn.XLOOKUP(Table1[[#This Row],[5 cm2 cell test code]:[5 cm2 cell test code]],[1]!Table1[[Test code]:[Test code]],[1]!Table1[HFR DIW/ mOhm cm2],"",0)</f>
        <v>#REF!</v>
      </c>
      <c r="AE664" s="69" t="e" cm="1">
        <f t="array" ref="AE664">_xlfn.XLOOKUP(Table1[[#This Row],[5 cm2 cell test code]:[5 cm2 cell test code]],[1]!Table1[[Test code]:[Test code]],[1]!Table1[HFR 10 mM KOH/ mOhm cm2],"",0)</f>
        <v>#REF!</v>
      </c>
      <c r="AF664" s="69" t="e" cm="1">
        <f t="array" ref="AF664">_xlfn.XLOOKUP(Table1[[#This Row],[5 cm2 cell test code]:[5 cm2 cell test code]],[1]!Table1[[Test code]:[Test code]],[1]!Table1[Ionic resistance DIW/Ohm cm2],"",0)</f>
        <v>#REF!</v>
      </c>
      <c r="AG664" s="69" t="e" cm="1">
        <f t="array" ref="AG664">_xlfn.XLOOKUP(Table1[[#This Row],[5 cm2 cell test code]:[5 cm2 cell test code]],[1]!Table1[[Test code]:[Test code]],[1]!Table1[Q_int_frac DIW],"",0)</f>
        <v>#REF!</v>
      </c>
      <c r="AH664" s="69" t="e" cm="1">
        <f t="array" ref="AH664">_xlfn.XLOOKUP(Table1[[#This Row],[5 cm2 cell test code]:[5 cm2 cell test code]],[1]!Table1[[Test code]:[Test code]],[1]!Table1[Ionic resistance 10 mM KOH/Ohm cm2],"",0)</f>
        <v>#REF!</v>
      </c>
      <c r="AI664" s="69" t="e" cm="1">
        <f t="array" ref="AI664">_xlfn.XLOOKUP(Table1[[#This Row],[5 cm2 cell test code]:[5 cm2 cell test code]],[1]!Table1[[Test code]:[Test code]],[1]!Table1[Q_int_frac DIW 10 mM KOH],"",0)</f>
        <v>#REF!</v>
      </c>
      <c r="AJ664" s="69" t="e" cm="1">
        <f t="array" ref="AJ664">_xlfn.XLOOKUP(Table1[[#This Row],[5 cm2 cell test code]:[5 cm2 cell test code]],[1]!Table1[[Test code]:[Test code]],[1]!Table1[DIW conductivity (µS/cm)],"",0)</f>
        <v>#REF!</v>
      </c>
    </row>
    <row r="665" spans="1:36">
      <c r="A665" s="81"/>
      <c r="U665" s="101"/>
      <c r="V665" s="101"/>
      <c r="W665" s="69" t="e" cm="1">
        <f t="array" ref="W665">_xlfn.XLOOKUP(Table1[[#This Row],[5 cm2 cell test code]:[5 cm2 cell test code]],[1]!Table1[[Test code]:[Test code]],[1]!Table1[i @ 1.8 V DIW (A/cm2)],"",0)</f>
        <v>#REF!</v>
      </c>
      <c r="X665" s="69" t="e" cm="1">
        <f t="array" ref="X665">_xlfn.XLOOKUP(Table1[[#This Row],[5 cm2 cell test code]:[5 cm2 cell test code]],[1]!Table1[[Test code]:[Test code]],[1]!Table1[i @ 1.8 V 10 mM KOH (A/cm2)],"",0)</f>
        <v>#REF!</v>
      </c>
      <c r="Y665" s="69" t="e" cm="1">
        <f t="array" ref="Y665">_xlfn.XLOOKUP(Table1[[#This Row],[5 cm2 cell test code]:[5 cm2 cell test code]],[1]!Table1[[Test code]:[Test code]],[1]!Table1[3-E ƞ at 20mAcm-2 (mV)],"",0)</f>
        <v>#REF!</v>
      </c>
      <c r="Z665" s="69" t="e" cm="1">
        <f t="array" ref="Z665">_xlfn.XLOOKUP(Table1[[#This Row],[5 cm2 cell test code]:[5 cm2 cell test code]],[1]!Table1[[Test code]:[Test code]],[1]!Table1[3-E Tafel slope (mV/dec)],"",0)</f>
        <v>#REF!</v>
      </c>
      <c r="AA665" s="69" t="e" cm="1">
        <f t="array" ref="AA665">_xlfn.XLOOKUP(Table1[[#This Row],[5 cm2 cell test code]:[5 cm2 cell test code]],[1]!Table1[[Test code]:[Test code]],[1]!Table1[E @ 100 mA/cm2 DIW/V],"",0)</f>
        <v>#REF!</v>
      </c>
      <c r="AB665" s="69" t="e" cm="1">
        <f t="array" ref="AB665">_xlfn.XLOOKUP(Table1[[#This Row],[5 cm2 cell test code]:[5 cm2 cell test code]],[1]!Table1[[Test code]:[Test code]],[1]!Table1[E @ 100 mA/cm2 10 mM KOH/V],"",0)</f>
        <v>#REF!</v>
      </c>
      <c r="AC665" s="69" t="e" cm="1">
        <f t="array" ref="AC665">_xlfn.XLOOKUP(Table1[[#This Row],[5 cm2 cell test code]:[5 cm2 cell test code]],[1]!Table1[[Test code]:[Test code]],[1]!Table1[Anode ICR/mOhm],"",0)</f>
        <v>#REF!</v>
      </c>
      <c r="AD665" s="69" t="e" cm="1">
        <f t="array" ref="AD665">_xlfn.XLOOKUP(Table1[[#This Row],[5 cm2 cell test code]:[5 cm2 cell test code]],[1]!Table1[[Test code]:[Test code]],[1]!Table1[HFR DIW/ mOhm cm2],"",0)</f>
        <v>#REF!</v>
      </c>
      <c r="AE665" s="69" t="e" cm="1">
        <f t="array" ref="AE665">_xlfn.XLOOKUP(Table1[[#This Row],[5 cm2 cell test code]:[5 cm2 cell test code]],[1]!Table1[[Test code]:[Test code]],[1]!Table1[HFR 10 mM KOH/ mOhm cm2],"",0)</f>
        <v>#REF!</v>
      </c>
      <c r="AF665" s="69" t="e" cm="1">
        <f t="array" ref="AF665">_xlfn.XLOOKUP(Table1[[#This Row],[5 cm2 cell test code]:[5 cm2 cell test code]],[1]!Table1[[Test code]:[Test code]],[1]!Table1[Ionic resistance DIW/Ohm cm2],"",0)</f>
        <v>#REF!</v>
      </c>
      <c r="AG665" s="69" t="e" cm="1">
        <f t="array" ref="AG665">_xlfn.XLOOKUP(Table1[[#This Row],[5 cm2 cell test code]:[5 cm2 cell test code]],[1]!Table1[[Test code]:[Test code]],[1]!Table1[Q_int_frac DIW],"",0)</f>
        <v>#REF!</v>
      </c>
      <c r="AH665" s="69" t="e" cm="1">
        <f t="array" ref="AH665">_xlfn.XLOOKUP(Table1[[#This Row],[5 cm2 cell test code]:[5 cm2 cell test code]],[1]!Table1[[Test code]:[Test code]],[1]!Table1[Ionic resistance 10 mM KOH/Ohm cm2],"",0)</f>
        <v>#REF!</v>
      </c>
      <c r="AI665" s="69" t="e" cm="1">
        <f t="array" ref="AI665">_xlfn.XLOOKUP(Table1[[#This Row],[5 cm2 cell test code]:[5 cm2 cell test code]],[1]!Table1[[Test code]:[Test code]],[1]!Table1[Q_int_frac DIW 10 mM KOH],"",0)</f>
        <v>#REF!</v>
      </c>
      <c r="AJ665" s="69" t="e" cm="1">
        <f t="array" ref="AJ665">_xlfn.XLOOKUP(Table1[[#This Row],[5 cm2 cell test code]:[5 cm2 cell test code]],[1]!Table1[[Test code]:[Test code]],[1]!Table1[DIW conductivity (µS/cm)],"",0)</f>
        <v>#REF!</v>
      </c>
    </row>
    <row r="666" spans="1:36">
      <c r="A666" s="81"/>
      <c r="U666" s="101"/>
      <c r="V666" s="101"/>
      <c r="W666" s="69" t="e" cm="1">
        <f t="array" ref="W666">_xlfn.XLOOKUP(Table1[[#This Row],[5 cm2 cell test code]:[5 cm2 cell test code]],[1]!Table1[[Test code]:[Test code]],[1]!Table1[i @ 1.8 V DIW (A/cm2)],"",0)</f>
        <v>#REF!</v>
      </c>
      <c r="X666" s="69" t="e" cm="1">
        <f t="array" ref="X666">_xlfn.XLOOKUP(Table1[[#This Row],[5 cm2 cell test code]:[5 cm2 cell test code]],[1]!Table1[[Test code]:[Test code]],[1]!Table1[i @ 1.8 V 10 mM KOH (A/cm2)],"",0)</f>
        <v>#REF!</v>
      </c>
      <c r="Y666" s="69" t="e" cm="1">
        <f t="array" ref="Y666">_xlfn.XLOOKUP(Table1[[#This Row],[5 cm2 cell test code]:[5 cm2 cell test code]],[1]!Table1[[Test code]:[Test code]],[1]!Table1[3-E ƞ at 20mAcm-2 (mV)],"",0)</f>
        <v>#REF!</v>
      </c>
      <c r="Z666" s="69" t="e" cm="1">
        <f t="array" ref="Z666">_xlfn.XLOOKUP(Table1[[#This Row],[5 cm2 cell test code]:[5 cm2 cell test code]],[1]!Table1[[Test code]:[Test code]],[1]!Table1[3-E Tafel slope (mV/dec)],"",0)</f>
        <v>#REF!</v>
      </c>
      <c r="AA666" s="69" t="e" cm="1">
        <f t="array" ref="AA666">_xlfn.XLOOKUP(Table1[[#This Row],[5 cm2 cell test code]:[5 cm2 cell test code]],[1]!Table1[[Test code]:[Test code]],[1]!Table1[E @ 100 mA/cm2 DIW/V],"",0)</f>
        <v>#REF!</v>
      </c>
      <c r="AB666" s="69" t="e" cm="1">
        <f t="array" ref="AB666">_xlfn.XLOOKUP(Table1[[#This Row],[5 cm2 cell test code]:[5 cm2 cell test code]],[1]!Table1[[Test code]:[Test code]],[1]!Table1[E @ 100 mA/cm2 10 mM KOH/V],"",0)</f>
        <v>#REF!</v>
      </c>
      <c r="AC666" s="69" t="e" cm="1">
        <f t="array" ref="AC666">_xlfn.XLOOKUP(Table1[[#This Row],[5 cm2 cell test code]:[5 cm2 cell test code]],[1]!Table1[[Test code]:[Test code]],[1]!Table1[Anode ICR/mOhm],"",0)</f>
        <v>#REF!</v>
      </c>
      <c r="AD666" s="69" t="e" cm="1">
        <f t="array" ref="AD666">_xlfn.XLOOKUP(Table1[[#This Row],[5 cm2 cell test code]:[5 cm2 cell test code]],[1]!Table1[[Test code]:[Test code]],[1]!Table1[HFR DIW/ mOhm cm2],"",0)</f>
        <v>#REF!</v>
      </c>
      <c r="AE666" s="69" t="e" cm="1">
        <f t="array" ref="AE666">_xlfn.XLOOKUP(Table1[[#This Row],[5 cm2 cell test code]:[5 cm2 cell test code]],[1]!Table1[[Test code]:[Test code]],[1]!Table1[HFR 10 mM KOH/ mOhm cm2],"",0)</f>
        <v>#REF!</v>
      </c>
      <c r="AF666" s="69" t="e" cm="1">
        <f t="array" ref="AF666">_xlfn.XLOOKUP(Table1[[#This Row],[5 cm2 cell test code]:[5 cm2 cell test code]],[1]!Table1[[Test code]:[Test code]],[1]!Table1[Ionic resistance DIW/Ohm cm2],"",0)</f>
        <v>#REF!</v>
      </c>
      <c r="AG666" s="69" t="e" cm="1">
        <f t="array" ref="AG666">_xlfn.XLOOKUP(Table1[[#This Row],[5 cm2 cell test code]:[5 cm2 cell test code]],[1]!Table1[[Test code]:[Test code]],[1]!Table1[Q_int_frac DIW],"",0)</f>
        <v>#REF!</v>
      </c>
      <c r="AH666" s="69" t="e" cm="1">
        <f t="array" ref="AH666">_xlfn.XLOOKUP(Table1[[#This Row],[5 cm2 cell test code]:[5 cm2 cell test code]],[1]!Table1[[Test code]:[Test code]],[1]!Table1[Ionic resistance 10 mM KOH/Ohm cm2],"",0)</f>
        <v>#REF!</v>
      </c>
      <c r="AI666" s="69" t="e" cm="1">
        <f t="array" ref="AI666">_xlfn.XLOOKUP(Table1[[#This Row],[5 cm2 cell test code]:[5 cm2 cell test code]],[1]!Table1[[Test code]:[Test code]],[1]!Table1[Q_int_frac DIW 10 mM KOH],"",0)</f>
        <v>#REF!</v>
      </c>
      <c r="AJ666" s="69" t="e" cm="1">
        <f t="array" ref="AJ666">_xlfn.XLOOKUP(Table1[[#This Row],[5 cm2 cell test code]:[5 cm2 cell test code]],[1]!Table1[[Test code]:[Test code]],[1]!Table1[DIW conductivity (µS/cm)],"",0)</f>
        <v>#REF!</v>
      </c>
    </row>
    <row r="667" spans="1:36">
      <c r="A667" s="81"/>
      <c r="U667" s="101"/>
      <c r="V667" s="101"/>
      <c r="W667" s="69" t="e" cm="1">
        <f t="array" ref="W667">_xlfn.XLOOKUP(Table1[[#This Row],[5 cm2 cell test code]:[5 cm2 cell test code]],[1]!Table1[[Test code]:[Test code]],[1]!Table1[i @ 1.8 V DIW (A/cm2)],"",0)</f>
        <v>#REF!</v>
      </c>
      <c r="X667" s="69" t="e" cm="1">
        <f t="array" ref="X667">_xlfn.XLOOKUP(Table1[[#This Row],[5 cm2 cell test code]:[5 cm2 cell test code]],[1]!Table1[[Test code]:[Test code]],[1]!Table1[i @ 1.8 V 10 mM KOH (A/cm2)],"",0)</f>
        <v>#REF!</v>
      </c>
      <c r="Y667" s="69" t="e" cm="1">
        <f t="array" ref="Y667">_xlfn.XLOOKUP(Table1[[#This Row],[5 cm2 cell test code]:[5 cm2 cell test code]],[1]!Table1[[Test code]:[Test code]],[1]!Table1[3-E ƞ at 20mAcm-2 (mV)],"",0)</f>
        <v>#REF!</v>
      </c>
      <c r="Z667" s="69" t="e" cm="1">
        <f t="array" ref="Z667">_xlfn.XLOOKUP(Table1[[#This Row],[5 cm2 cell test code]:[5 cm2 cell test code]],[1]!Table1[[Test code]:[Test code]],[1]!Table1[3-E Tafel slope (mV/dec)],"",0)</f>
        <v>#REF!</v>
      </c>
      <c r="AA667" s="69" t="e" cm="1">
        <f t="array" ref="AA667">_xlfn.XLOOKUP(Table1[[#This Row],[5 cm2 cell test code]:[5 cm2 cell test code]],[1]!Table1[[Test code]:[Test code]],[1]!Table1[E @ 100 mA/cm2 DIW/V],"",0)</f>
        <v>#REF!</v>
      </c>
      <c r="AB667" s="69" t="e" cm="1">
        <f t="array" ref="AB667">_xlfn.XLOOKUP(Table1[[#This Row],[5 cm2 cell test code]:[5 cm2 cell test code]],[1]!Table1[[Test code]:[Test code]],[1]!Table1[E @ 100 mA/cm2 10 mM KOH/V],"",0)</f>
        <v>#REF!</v>
      </c>
      <c r="AC667" s="69" t="e" cm="1">
        <f t="array" ref="AC667">_xlfn.XLOOKUP(Table1[[#This Row],[5 cm2 cell test code]:[5 cm2 cell test code]],[1]!Table1[[Test code]:[Test code]],[1]!Table1[Anode ICR/mOhm],"",0)</f>
        <v>#REF!</v>
      </c>
      <c r="AD667" s="69" t="e" cm="1">
        <f t="array" ref="AD667">_xlfn.XLOOKUP(Table1[[#This Row],[5 cm2 cell test code]:[5 cm2 cell test code]],[1]!Table1[[Test code]:[Test code]],[1]!Table1[HFR DIW/ mOhm cm2],"",0)</f>
        <v>#REF!</v>
      </c>
      <c r="AE667" s="69" t="e" cm="1">
        <f t="array" ref="AE667">_xlfn.XLOOKUP(Table1[[#This Row],[5 cm2 cell test code]:[5 cm2 cell test code]],[1]!Table1[[Test code]:[Test code]],[1]!Table1[HFR 10 mM KOH/ mOhm cm2],"",0)</f>
        <v>#REF!</v>
      </c>
      <c r="AF667" s="69" t="e" cm="1">
        <f t="array" ref="AF667">_xlfn.XLOOKUP(Table1[[#This Row],[5 cm2 cell test code]:[5 cm2 cell test code]],[1]!Table1[[Test code]:[Test code]],[1]!Table1[Ionic resistance DIW/Ohm cm2],"",0)</f>
        <v>#REF!</v>
      </c>
      <c r="AG667" s="69" t="e" cm="1">
        <f t="array" ref="AG667">_xlfn.XLOOKUP(Table1[[#This Row],[5 cm2 cell test code]:[5 cm2 cell test code]],[1]!Table1[[Test code]:[Test code]],[1]!Table1[Q_int_frac DIW],"",0)</f>
        <v>#REF!</v>
      </c>
      <c r="AH667" s="69" t="e" cm="1">
        <f t="array" ref="AH667">_xlfn.XLOOKUP(Table1[[#This Row],[5 cm2 cell test code]:[5 cm2 cell test code]],[1]!Table1[[Test code]:[Test code]],[1]!Table1[Ionic resistance 10 mM KOH/Ohm cm2],"",0)</f>
        <v>#REF!</v>
      </c>
      <c r="AI667" s="69" t="e" cm="1">
        <f t="array" ref="AI667">_xlfn.XLOOKUP(Table1[[#This Row],[5 cm2 cell test code]:[5 cm2 cell test code]],[1]!Table1[[Test code]:[Test code]],[1]!Table1[Q_int_frac DIW 10 mM KOH],"",0)</f>
        <v>#REF!</v>
      </c>
      <c r="AJ667" s="69" t="e" cm="1">
        <f t="array" ref="AJ667">_xlfn.XLOOKUP(Table1[[#This Row],[5 cm2 cell test code]:[5 cm2 cell test code]],[1]!Table1[[Test code]:[Test code]],[1]!Table1[DIW conductivity (µS/cm)],"",0)</f>
        <v>#REF!</v>
      </c>
    </row>
    <row r="668" spans="1:36">
      <c r="A668" s="81"/>
      <c r="U668" s="101"/>
      <c r="V668" s="101"/>
      <c r="W668" s="69" t="e" cm="1">
        <f t="array" ref="W668">_xlfn.XLOOKUP(Table1[[#This Row],[5 cm2 cell test code]:[5 cm2 cell test code]],[1]!Table1[[Test code]:[Test code]],[1]!Table1[i @ 1.8 V DIW (A/cm2)],"",0)</f>
        <v>#REF!</v>
      </c>
      <c r="X668" s="69" t="e" cm="1">
        <f t="array" ref="X668">_xlfn.XLOOKUP(Table1[[#This Row],[5 cm2 cell test code]:[5 cm2 cell test code]],[1]!Table1[[Test code]:[Test code]],[1]!Table1[i @ 1.8 V 10 mM KOH (A/cm2)],"",0)</f>
        <v>#REF!</v>
      </c>
      <c r="Y668" s="69" t="e" cm="1">
        <f t="array" ref="Y668">_xlfn.XLOOKUP(Table1[[#This Row],[5 cm2 cell test code]:[5 cm2 cell test code]],[1]!Table1[[Test code]:[Test code]],[1]!Table1[3-E ƞ at 20mAcm-2 (mV)],"",0)</f>
        <v>#REF!</v>
      </c>
      <c r="Z668" s="69" t="e" cm="1">
        <f t="array" ref="Z668">_xlfn.XLOOKUP(Table1[[#This Row],[5 cm2 cell test code]:[5 cm2 cell test code]],[1]!Table1[[Test code]:[Test code]],[1]!Table1[3-E Tafel slope (mV/dec)],"",0)</f>
        <v>#REF!</v>
      </c>
      <c r="AA668" s="69" t="e" cm="1">
        <f t="array" ref="AA668">_xlfn.XLOOKUP(Table1[[#This Row],[5 cm2 cell test code]:[5 cm2 cell test code]],[1]!Table1[[Test code]:[Test code]],[1]!Table1[E @ 100 mA/cm2 DIW/V],"",0)</f>
        <v>#REF!</v>
      </c>
      <c r="AB668" s="69" t="e" cm="1">
        <f t="array" ref="AB668">_xlfn.XLOOKUP(Table1[[#This Row],[5 cm2 cell test code]:[5 cm2 cell test code]],[1]!Table1[[Test code]:[Test code]],[1]!Table1[E @ 100 mA/cm2 10 mM KOH/V],"",0)</f>
        <v>#REF!</v>
      </c>
      <c r="AC668" s="69" t="e" cm="1">
        <f t="array" ref="AC668">_xlfn.XLOOKUP(Table1[[#This Row],[5 cm2 cell test code]:[5 cm2 cell test code]],[1]!Table1[[Test code]:[Test code]],[1]!Table1[Anode ICR/mOhm],"",0)</f>
        <v>#REF!</v>
      </c>
      <c r="AD668" s="69" t="e" cm="1">
        <f t="array" ref="AD668">_xlfn.XLOOKUP(Table1[[#This Row],[5 cm2 cell test code]:[5 cm2 cell test code]],[1]!Table1[[Test code]:[Test code]],[1]!Table1[HFR DIW/ mOhm cm2],"",0)</f>
        <v>#REF!</v>
      </c>
      <c r="AE668" s="69" t="e" cm="1">
        <f t="array" ref="AE668">_xlfn.XLOOKUP(Table1[[#This Row],[5 cm2 cell test code]:[5 cm2 cell test code]],[1]!Table1[[Test code]:[Test code]],[1]!Table1[HFR 10 mM KOH/ mOhm cm2],"",0)</f>
        <v>#REF!</v>
      </c>
      <c r="AF668" s="69" t="e" cm="1">
        <f t="array" ref="AF668">_xlfn.XLOOKUP(Table1[[#This Row],[5 cm2 cell test code]:[5 cm2 cell test code]],[1]!Table1[[Test code]:[Test code]],[1]!Table1[Ionic resistance DIW/Ohm cm2],"",0)</f>
        <v>#REF!</v>
      </c>
      <c r="AG668" s="69" t="e" cm="1">
        <f t="array" ref="AG668">_xlfn.XLOOKUP(Table1[[#This Row],[5 cm2 cell test code]:[5 cm2 cell test code]],[1]!Table1[[Test code]:[Test code]],[1]!Table1[Q_int_frac DIW],"",0)</f>
        <v>#REF!</v>
      </c>
      <c r="AH668" s="69" t="e" cm="1">
        <f t="array" ref="AH668">_xlfn.XLOOKUP(Table1[[#This Row],[5 cm2 cell test code]:[5 cm2 cell test code]],[1]!Table1[[Test code]:[Test code]],[1]!Table1[Ionic resistance 10 mM KOH/Ohm cm2],"",0)</f>
        <v>#REF!</v>
      </c>
      <c r="AI668" s="69" t="e" cm="1">
        <f t="array" ref="AI668">_xlfn.XLOOKUP(Table1[[#This Row],[5 cm2 cell test code]:[5 cm2 cell test code]],[1]!Table1[[Test code]:[Test code]],[1]!Table1[Q_int_frac DIW 10 mM KOH],"",0)</f>
        <v>#REF!</v>
      </c>
      <c r="AJ668" s="69" t="e" cm="1">
        <f t="array" ref="AJ668">_xlfn.XLOOKUP(Table1[[#This Row],[5 cm2 cell test code]:[5 cm2 cell test code]],[1]!Table1[[Test code]:[Test code]],[1]!Table1[DIW conductivity (µS/cm)],"",0)</f>
        <v>#REF!</v>
      </c>
    </row>
    <row r="669" spans="1:36">
      <c r="A669" s="81"/>
      <c r="U669" s="101"/>
      <c r="V669" s="101"/>
      <c r="W669" s="69" t="e" cm="1">
        <f t="array" ref="W669">_xlfn.XLOOKUP(Table1[[#This Row],[5 cm2 cell test code]:[5 cm2 cell test code]],[1]!Table1[[Test code]:[Test code]],[1]!Table1[i @ 1.8 V DIW (A/cm2)],"",0)</f>
        <v>#REF!</v>
      </c>
      <c r="X669" s="69" t="e" cm="1">
        <f t="array" ref="X669">_xlfn.XLOOKUP(Table1[[#This Row],[5 cm2 cell test code]:[5 cm2 cell test code]],[1]!Table1[[Test code]:[Test code]],[1]!Table1[i @ 1.8 V 10 mM KOH (A/cm2)],"",0)</f>
        <v>#REF!</v>
      </c>
      <c r="Y669" s="69" t="e" cm="1">
        <f t="array" ref="Y669">_xlfn.XLOOKUP(Table1[[#This Row],[5 cm2 cell test code]:[5 cm2 cell test code]],[1]!Table1[[Test code]:[Test code]],[1]!Table1[3-E ƞ at 20mAcm-2 (mV)],"",0)</f>
        <v>#REF!</v>
      </c>
      <c r="Z669" s="69" t="e" cm="1">
        <f t="array" ref="Z669">_xlfn.XLOOKUP(Table1[[#This Row],[5 cm2 cell test code]:[5 cm2 cell test code]],[1]!Table1[[Test code]:[Test code]],[1]!Table1[3-E Tafel slope (mV/dec)],"",0)</f>
        <v>#REF!</v>
      </c>
      <c r="AA669" s="69" t="e" cm="1">
        <f t="array" ref="AA669">_xlfn.XLOOKUP(Table1[[#This Row],[5 cm2 cell test code]:[5 cm2 cell test code]],[1]!Table1[[Test code]:[Test code]],[1]!Table1[E @ 100 mA/cm2 DIW/V],"",0)</f>
        <v>#REF!</v>
      </c>
      <c r="AB669" s="69" t="e" cm="1">
        <f t="array" ref="AB669">_xlfn.XLOOKUP(Table1[[#This Row],[5 cm2 cell test code]:[5 cm2 cell test code]],[1]!Table1[[Test code]:[Test code]],[1]!Table1[E @ 100 mA/cm2 10 mM KOH/V],"",0)</f>
        <v>#REF!</v>
      </c>
      <c r="AC669" s="69" t="e" cm="1">
        <f t="array" ref="AC669">_xlfn.XLOOKUP(Table1[[#This Row],[5 cm2 cell test code]:[5 cm2 cell test code]],[1]!Table1[[Test code]:[Test code]],[1]!Table1[Anode ICR/mOhm],"",0)</f>
        <v>#REF!</v>
      </c>
      <c r="AD669" s="69" t="e" cm="1">
        <f t="array" ref="AD669">_xlfn.XLOOKUP(Table1[[#This Row],[5 cm2 cell test code]:[5 cm2 cell test code]],[1]!Table1[[Test code]:[Test code]],[1]!Table1[HFR DIW/ mOhm cm2],"",0)</f>
        <v>#REF!</v>
      </c>
      <c r="AE669" s="69" t="e" cm="1">
        <f t="array" ref="AE669">_xlfn.XLOOKUP(Table1[[#This Row],[5 cm2 cell test code]:[5 cm2 cell test code]],[1]!Table1[[Test code]:[Test code]],[1]!Table1[HFR 10 mM KOH/ mOhm cm2],"",0)</f>
        <v>#REF!</v>
      </c>
      <c r="AF669" s="69" t="e" cm="1">
        <f t="array" ref="AF669">_xlfn.XLOOKUP(Table1[[#This Row],[5 cm2 cell test code]:[5 cm2 cell test code]],[1]!Table1[[Test code]:[Test code]],[1]!Table1[Ionic resistance DIW/Ohm cm2],"",0)</f>
        <v>#REF!</v>
      </c>
      <c r="AG669" s="69" t="e" cm="1">
        <f t="array" ref="AG669">_xlfn.XLOOKUP(Table1[[#This Row],[5 cm2 cell test code]:[5 cm2 cell test code]],[1]!Table1[[Test code]:[Test code]],[1]!Table1[Q_int_frac DIW],"",0)</f>
        <v>#REF!</v>
      </c>
      <c r="AH669" s="69" t="e" cm="1">
        <f t="array" ref="AH669">_xlfn.XLOOKUP(Table1[[#This Row],[5 cm2 cell test code]:[5 cm2 cell test code]],[1]!Table1[[Test code]:[Test code]],[1]!Table1[Ionic resistance 10 mM KOH/Ohm cm2],"",0)</f>
        <v>#REF!</v>
      </c>
      <c r="AI669" s="69" t="e" cm="1">
        <f t="array" ref="AI669">_xlfn.XLOOKUP(Table1[[#This Row],[5 cm2 cell test code]:[5 cm2 cell test code]],[1]!Table1[[Test code]:[Test code]],[1]!Table1[Q_int_frac DIW 10 mM KOH],"",0)</f>
        <v>#REF!</v>
      </c>
      <c r="AJ669" s="69" t="e" cm="1">
        <f t="array" ref="AJ669">_xlfn.XLOOKUP(Table1[[#This Row],[5 cm2 cell test code]:[5 cm2 cell test code]],[1]!Table1[[Test code]:[Test code]],[1]!Table1[DIW conductivity (µS/cm)],"",0)</f>
        <v>#REF!</v>
      </c>
    </row>
    <row r="670" spans="1:36">
      <c r="A670" s="81"/>
      <c r="U670" s="101"/>
      <c r="V670" s="101"/>
      <c r="W670" s="69" t="e" cm="1">
        <f t="array" ref="W670">_xlfn.XLOOKUP(Table1[[#This Row],[5 cm2 cell test code]:[5 cm2 cell test code]],[1]!Table1[[Test code]:[Test code]],[1]!Table1[i @ 1.8 V DIW (A/cm2)],"",0)</f>
        <v>#REF!</v>
      </c>
      <c r="X670" s="69" t="e" cm="1">
        <f t="array" ref="X670">_xlfn.XLOOKUP(Table1[[#This Row],[5 cm2 cell test code]:[5 cm2 cell test code]],[1]!Table1[[Test code]:[Test code]],[1]!Table1[i @ 1.8 V 10 mM KOH (A/cm2)],"",0)</f>
        <v>#REF!</v>
      </c>
      <c r="Y670" s="69" t="e" cm="1">
        <f t="array" ref="Y670">_xlfn.XLOOKUP(Table1[[#This Row],[5 cm2 cell test code]:[5 cm2 cell test code]],[1]!Table1[[Test code]:[Test code]],[1]!Table1[3-E ƞ at 20mAcm-2 (mV)],"",0)</f>
        <v>#REF!</v>
      </c>
      <c r="Z670" s="69" t="e" cm="1">
        <f t="array" ref="Z670">_xlfn.XLOOKUP(Table1[[#This Row],[5 cm2 cell test code]:[5 cm2 cell test code]],[1]!Table1[[Test code]:[Test code]],[1]!Table1[3-E Tafel slope (mV/dec)],"",0)</f>
        <v>#REF!</v>
      </c>
      <c r="AA670" s="69" t="e" cm="1">
        <f t="array" ref="AA670">_xlfn.XLOOKUP(Table1[[#This Row],[5 cm2 cell test code]:[5 cm2 cell test code]],[1]!Table1[[Test code]:[Test code]],[1]!Table1[E @ 100 mA/cm2 DIW/V],"",0)</f>
        <v>#REF!</v>
      </c>
      <c r="AB670" s="69" t="e" cm="1">
        <f t="array" ref="AB670">_xlfn.XLOOKUP(Table1[[#This Row],[5 cm2 cell test code]:[5 cm2 cell test code]],[1]!Table1[[Test code]:[Test code]],[1]!Table1[E @ 100 mA/cm2 10 mM KOH/V],"",0)</f>
        <v>#REF!</v>
      </c>
      <c r="AC670" s="69" t="e" cm="1">
        <f t="array" ref="AC670">_xlfn.XLOOKUP(Table1[[#This Row],[5 cm2 cell test code]:[5 cm2 cell test code]],[1]!Table1[[Test code]:[Test code]],[1]!Table1[Anode ICR/mOhm],"",0)</f>
        <v>#REF!</v>
      </c>
      <c r="AD670" s="69" t="e" cm="1">
        <f t="array" ref="AD670">_xlfn.XLOOKUP(Table1[[#This Row],[5 cm2 cell test code]:[5 cm2 cell test code]],[1]!Table1[[Test code]:[Test code]],[1]!Table1[HFR DIW/ mOhm cm2],"",0)</f>
        <v>#REF!</v>
      </c>
      <c r="AE670" s="69" t="e" cm="1">
        <f t="array" ref="AE670">_xlfn.XLOOKUP(Table1[[#This Row],[5 cm2 cell test code]:[5 cm2 cell test code]],[1]!Table1[[Test code]:[Test code]],[1]!Table1[HFR 10 mM KOH/ mOhm cm2],"",0)</f>
        <v>#REF!</v>
      </c>
      <c r="AF670" s="69" t="e" cm="1">
        <f t="array" ref="AF670">_xlfn.XLOOKUP(Table1[[#This Row],[5 cm2 cell test code]:[5 cm2 cell test code]],[1]!Table1[[Test code]:[Test code]],[1]!Table1[Ionic resistance DIW/Ohm cm2],"",0)</f>
        <v>#REF!</v>
      </c>
      <c r="AG670" s="69" t="e" cm="1">
        <f t="array" ref="AG670">_xlfn.XLOOKUP(Table1[[#This Row],[5 cm2 cell test code]:[5 cm2 cell test code]],[1]!Table1[[Test code]:[Test code]],[1]!Table1[Q_int_frac DIW],"",0)</f>
        <v>#REF!</v>
      </c>
      <c r="AH670" s="69" t="e" cm="1">
        <f t="array" ref="AH670">_xlfn.XLOOKUP(Table1[[#This Row],[5 cm2 cell test code]:[5 cm2 cell test code]],[1]!Table1[[Test code]:[Test code]],[1]!Table1[Ionic resistance 10 mM KOH/Ohm cm2],"",0)</f>
        <v>#REF!</v>
      </c>
      <c r="AI670" s="69" t="e" cm="1">
        <f t="array" ref="AI670">_xlfn.XLOOKUP(Table1[[#This Row],[5 cm2 cell test code]:[5 cm2 cell test code]],[1]!Table1[[Test code]:[Test code]],[1]!Table1[Q_int_frac DIW 10 mM KOH],"",0)</f>
        <v>#REF!</v>
      </c>
      <c r="AJ670" s="69" t="e" cm="1">
        <f t="array" ref="AJ670">_xlfn.XLOOKUP(Table1[[#This Row],[5 cm2 cell test code]:[5 cm2 cell test code]],[1]!Table1[[Test code]:[Test code]],[1]!Table1[DIW conductivity (µS/cm)],"",0)</f>
        <v>#REF!</v>
      </c>
    </row>
    <row r="671" spans="1:36">
      <c r="A671" s="81"/>
      <c r="U671" s="101"/>
      <c r="V671" s="101"/>
      <c r="W671" s="69" t="e" cm="1">
        <f t="array" ref="W671">_xlfn.XLOOKUP(Table1[[#This Row],[5 cm2 cell test code]:[5 cm2 cell test code]],[1]!Table1[[Test code]:[Test code]],[1]!Table1[i @ 1.8 V DIW (A/cm2)],"",0)</f>
        <v>#REF!</v>
      </c>
      <c r="X671" s="69" t="e" cm="1">
        <f t="array" ref="X671">_xlfn.XLOOKUP(Table1[[#This Row],[5 cm2 cell test code]:[5 cm2 cell test code]],[1]!Table1[[Test code]:[Test code]],[1]!Table1[i @ 1.8 V 10 mM KOH (A/cm2)],"",0)</f>
        <v>#REF!</v>
      </c>
      <c r="Y671" s="69" t="e" cm="1">
        <f t="array" ref="Y671">_xlfn.XLOOKUP(Table1[[#This Row],[5 cm2 cell test code]:[5 cm2 cell test code]],[1]!Table1[[Test code]:[Test code]],[1]!Table1[3-E ƞ at 20mAcm-2 (mV)],"",0)</f>
        <v>#REF!</v>
      </c>
      <c r="Z671" s="69" t="e" cm="1">
        <f t="array" ref="Z671">_xlfn.XLOOKUP(Table1[[#This Row],[5 cm2 cell test code]:[5 cm2 cell test code]],[1]!Table1[[Test code]:[Test code]],[1]!Table1[3-E Tafel slope (mV/dec)],"",0)</f>
        <v>#REF!</v>
      </c>
      <c r="AA671" s="69" t="e" cm="1">
        <f t="array" ref="AA671">_xlfn.XLOOKUP(Table1[[#This Row],[5 cm2 cell test code]:[5 cm2 cell test code]],[1]!Table1[[Test code]:[Test code]],[1]!Table1[E @ 100 mA/cm2 DIW/V],"",0)</f>
        <v>#REF!</v>
      </c>
      <c r="AB671" s="69" t="e" cm="1">
        <f t="array" ref="AB671">_xlfn.XLOOKUP(Table1[[#This Row],[5 cm2 cell test code]:[5 cm2 cell test code]],[1]!Table1[[Test code]:[Test code]],[1]!Table1[E @ 100 mA/cm2 10 mM KOH/V],"",0)</f>
        <v>#REF!</v>
      </c>
      <c r="AC671" s="69" t="e" cm="1">
        <f t="array" ref="AC671">_xlfn.XLOOKUP(Table1[[#This Row],[5 cm2 cell test code]:[5 cm2 cell test code]],[1]!Table1[[Test code]:[Test code]],[1]!Table1[Anode ICR/mOhm],"",0)</f>
        <v>#REF!</v>
      </c>
      <c r="AD671" s="69" t="e" cm="1">
        <f t="array" ref="AD671">_xlfn.XLOOKUP(Table1[[#This Row],[5 cm2 cell test code]:[5 cm2 cell test code]],[1]!Table1[[Test code]:[Test code]],[1]!Table1[HFR DIW/ mOhm cm2],"",0)</f>
        <v>#REF!</v>
      </c>
      <c r="AE671" s="69" t="e" cm="1">
        <f t="array" ref="AE671">_xlfn.XLOOKUP(Table1[[#This Row],[5 cm2 cell test code]:[5 cm2 cell test code]],[1]!Table1[[Test code]:[Test code]],[1]!Table1[HFR 10 mM KOH/ mOhm cm2],"",0)</f>
        <v>#REF!</v>
      </c>
      <c r="AF671" s="69" t="e" cm="1">
        <f t="array" ref="AF671">_xlfn.XLOOKUP(Table1[[#This Row],[5 cm2 cell test code]:[5 cm2 cell test code]],[1]!Table1[[Test code]:[Test code]],[1]!Table1[Ionic resistance DIW/Ohm cm2],"",0)</f>
        <v>#REF!</v>
      </c>
      <c r="AG671" s="69" t="e" cm="1">
        <f t="array" ref="AG671">_xlfn.XLOOKUP(Table1[[#This Row],[5 cm2 cell test code]:[5 cm2 cell test code]],[1]!Table1[[Test code]:[Test code]],[1]!Table1[Q_int_frac DIW],"",0)</f>
        <v>#REF!</v>
      </c>
      <c r="AH671" s="69" t="e" cm="1">
        <f t="array" ref="AH671">_xlfn.XLOOKUP(Table1[[#This Row],[5 cm2 cell test code]:[5 cm2 cell test code]],[1]!Table1[[Test code]:[Test code]],[1]!Table1[Ionic resistance 10 mM KOH/Ohm cm2],"",0)</f>
        <v>#REF!</v>
      </c>
      <c r="AI671" s="69" t="e" cm="1">
        <f t="array" ref="AI671">_xlfn.XLOOKUP(Table1[[#This Row],[5 cm2 cell test code]:[5 cm2 cell test code]],[1]!Table1[[Test code]:[Test code]],[1]!Table1[Q_int_frac DIW 10 mM KOH],"",0)</f>
        <v>#REF!</v>
      </c>
      <c r="AJ671" s="69" t="e" cm="1">
        <f t="array" ref="AJ671">_xlfn.XLOOKUP(Table1[[#This Row],[5 cm2 cell test code]:[5 cm2 cell test code]],[1]!Table1[[Test code]:[Test code]],[1]!Table1[DIW conductivity (µS/cm)],"",0)</f>
        <v>#REF!</v>
      </c>
    </row>
    <row r="672" spans="1:36">
      <c r="A672" s="81"/>
      <c r="U672" s="101"/>
      <c r="V672" s="101"/>
      <c r="W672" s="69" t="e" cm="1">
        <f t="array" ref="W672">_xlfn.XLOOKUP(Table1[[#This Row],[5 cm2 cell test code]:[5 cm2 cell test code]],[1]!Table1[[Test code]:[Test code]],[1]!Table1[i @ 1.8 V DIW (A/cm2)],"",0)</f>
        <v>#REF!</v>
      </c>
      <c r="X672" s="69" t="e" cm="1">
        <f t="array" ref="X672">_xlfn.XLOOKUP(Table1[[#This Row],[5 cm2 cell test code]:[5 cm2 cell test code]],[1]!Table1[[Test code]:[Test code]],[1]!Table1[i @ 1.8 V 10 mM KOH (A/cm2)],"",0)</f>
        <v>#REF!</v>
      </c>
      <c r="Y672" s="69" t="e" cm="1">
        <f t="array" ref="Y672">_xlfn.XLOOKUP(Table1[[#This Row],[5 cm2 cell test code]:[5 cm2 cell test code]],[1]!Table1[[Test code]:[Test code]],[1]!Table1[3-E ƞ at 20mAcm-2 (mV)],"",0)</f>
        <v>#REF!</v>
      </c>
      <c r="Z672" s="69" t="e" cm="1">
        <f t="array" ref="Z672">_xlfn.XLOOKUP(Table1[[#This Row],[5 cm2 cell test code]:[5 cm2 cell test code]],[1]!Table1[[Test code]:[Test code]],[1]!Table1[3-E Tafel slope (mV/dec)],"",0)</f>
        <v>#REF!</v>
      </c>
      <c r="AA672" s="69" t="e" cm="1">
        <f t="array" ref="AA672">_xlfn.XLOOKUP(Table1[[#This Row],[5 cm2 cell test code]:[5 cm2 cell test code]],[1]!Table1[[Test code]:[Test code]],[1]!Table1[E @ 100 mA/cm2 DIW/V],"",0)</f>
        <v>#REF!</v>
      </c>
      <c r="AB672" s="69" t="e" cm="1">
        <f t="array" ref="AB672">_xlfn.XLOOKUP(Table1[[#This Row],[5 cm2 cell test code]:[5 cm2 cell test code]],[1]!Table1[[Test code]:[Test code]],[1]!Table1[E @ 100 mA/cm2 10 mM KOH/V],"",0)</f>
        <v>#REF!</v>
      </c>
      <c r="AC672" s="69" t="e" cm="1">
        <f t="array" ref="AC672">_xlfn.XLOOKUP(Table1[[#This Row],[5 cm2 cell test code]:[5 cm2 cell test code]],[1]!Table1[[Test code]:[Test code]],[1]!Table1[Anode ICR/mOhm],"",0)</f>
        <v>#REF!</v>
      </c>
      <c r="AD672" s="69" t="e" cm="1">
        <f t="array" ref="AD672">_xlfn.XLOOKUP(Table1[[#This Row],[5 cm2 cell test code]:[5 cm2 cell test code]],[1]!Table1[[Test code]:[Test code]],[1]!Table1[HFR DIW/ mOhm cm2],"",0)</f>
        <v>#REF!</v>
      </c>
      <c r="AE672" s="69" t="e" cm="1">
        <f t="array" ref="AE672">_xlfn.XLOOKUP(Table1[[#This Row],[5 cm2 cell test code]:[5 cm2 cell test code]],[1]!Table1[[Test code]:[Test code]],[1]!Table1[HFR 10 mM KOH/ mOhm cm2],"",0)</f>
        <v>#REF!</v>
      </c>
      <c r="AF672" s="69" t="e" cm="1">
        <f t="array" ref="AF672">_xlfn.XLOOKUP(Table1[[#This Row],[5 cm2 cell test code]:[5 cm2 cell test code]],[1]!Table1[[Test code]:[Test code]],[1]!Table1[Ionic resistance DIW/Ohm cm2],"",0)</f>
        <v>#REF!</v>
      </c>
      <c r="AG672" s="69" t="e" cm="1">
        <f t="array" ref="AG672">_xlfn.XLOOKUP(Table1[[#This Row],[5 cm2 cell test code]:[5 cm2 cell test code]],[1]!Table1[[Test code]:[Test code]],[1]!Table1[Q_int_frac DIW],"",0)</f>
        <v>#REF!</v>
      </c>
      <c r="AH672" s="69" t="e" cm="1">
        <f t="array" ref="AH672">_xlfn.XLOOKUP(Table1[[#This Row],[5 cm2 cell test code]:[5 cm2 cell test code]],[1]!Table1[[Test code]:[Test code]],[1]!Table1[Ionic resistance 10 mM KOH/Ohm cm2],"",0)</f>
        <v>#REF!</v>
      </c>
      <c r="AI672" s="69" t="e" cm="1">
        <f t="array" ref="AI672">_xlfn.XLOOKUP(Table1[[#This Row],[5 cm2 cell test code]:[5 cm2 cell test code]],[1]!Table1[[Test code]:[Test code]],[1]!Table1[Q_int_frac DIW 10 mM KOH],"",0)</f>
        <v>#REF!</v>
      </c>
      <c r="AJ672" s="69" t="e" cm="1">
        <f t="array" ref="AJ672">_xlfn.XLOOKUP(Table1[[#This Row],[5 cm2 cell test code]:[5 cm2 cell test code]],[1]!Table1[[Test code]:[Test code]],[1]!Table1[DIW conductivity (µS/cm)],"",0)</f>
        <v>#REF!</v>
      </c>
    </row>
    <row r="673" spans="1:36">
      <c r="A673" s="81"/>
      <c r="U673" s="101"/>
      <c r="V673" s="101"/>
      <c r="W673" s="69" t="e" cm="1">
        <f t="array" ref="W673">_xlfn.XLOOKUP(Table1[[#This Row],[5 cm2 cell test code]:[5 cm2 cell test code]],[1]!Table1[[Test code]:[Test code]],[1]!Table1[i @ 1.8 V DIW (A/cm2)],"",0)</f>
        <v>#REF!</v>
      </c>
      <c r="X673" s="69" t="e" cm="1">
        <f t="array" ref="X673">_xlfn.XLOOKUP(Table1[[#This Row],[5 cm2 cell test code]:[5 cm2 cell test code]],[1]!Table1[[Test code]:[Test code]],[1]!Table1[i @ 1.8 V 10 mM KOH (A/cm2)],"",0)</f>
        <v>#REF!</v>
      </c>
      <c r="Y673" s="69" t="e" cm="1">
        <f t="array" ref="Y673">_xlfn.XLOOKUP(Table1[[#This Row],[5 cm2 cell test code]:[5 cm2 cell test code]],[1]!Table1[[Test code]:[Test code]],[1]!Table1[3-E ƞ at 20mAcm-2 (mV)],"",0)</f>
        <v>#REF!</v>
      </c>
      <c r="Z673" s="69" t="e" cm="1">
        <f t="array" ref="Z673">_xlfn.XLOOKUP(Table1[[#This Row],[5 cm2 cell test code]:[5 cm2 cell test code]],[1]!Table1[[Test code]:[Test code]],[1]!Table1[3-E Tafel slope (mV/dec)],"",0)</f>
        <v>#REF!</v>
      </c>
      <c r="AA673" s="69" t="e" cm="1">
        <f t="array" ref="AA673">_xlfn.XLOOKUP(Table1[[#This Row],[5 cm2 cell test code]:[5 cm2 cell test code]],[1]!Table1[[Test code]:[Test code]],[1]!Table1[E @ 100 mA/cm2 DIW/V],"",0)</f>
        <v>#REF!</v>
      </c>
      <c r="AB673" s="69" t="e" cm="1">
        <f t="array" ref="AB673">_xlfn.XLOOKUP(Table1[[#This Row],[5 cm2 cell test code]:[5 cm2 cell test code]],[1]!Table1[[Test code]:[Test code]],[1]!Table1[E @ 100 mA/cm2 10 mM KOH/V],"",0)</f>
        <v>#REF!</v>
      </c>
      <c r="AC673" s="69" t="e" cm="1">
        <f t="array" ref="AC673">_xlfn.XLOOKUP(Table1[[#This Row],[5 cm2 cell test code]:[5 cm2 cell test code]],[1]!Table1[[Test code]:[Test code]],[1]!Table1[Anode ICR/mOhm],"",0)</f>
        <v>#REF!</v>
      </c>
      <c r="AD673" s="69" t="e" cm="1">
        <f t="array" ref="AD673">_xlfn.XLOOKUP(Table1[[#This Row],[5 cm2 cell test code]:[5 cm2 cell test code]],[1]!Table1[[Test code]:[Test code]],[1]!Table1[HFR DIW/ mOhm cm2],"",0)</f>
        <v>#REF!</v>
      </c>
      <c r="AE673" s="69" t="e" cm="1">
        <f t="array" ref="AE673">_xlfn.XLOOKUP(Table1[[#This Row],[5 cm2 cell test code]:[5 cm2 cell test code]],[1]!Table1[[Test code]:[Test code]],[1]!Table1[HFR 10 mM KOH/ mOhm cm2],"",0)</f>
        <v>#REF!</v>
      </c>
      <c r="AF673" s="69" t="e" cm="1">
        <f t="array" ref="AF673">_xlfn.XLOOKUP(Table1[[#This Row],[5 cm2 cell test code]:[5 cm2 cell test code]],[1]!Table1[[Test code]:[Test code]],[1]!Table1[Ionic resistance DIW/Ohm cm2],"",0)</f>
        <v>#REF!</v>
      </c>
      <c r="AG673" s="69" t="e" cm="1">
        <f t="array" ref="AG673">_xlfn.XLOOKUP(Table1[[#This Row],[5 cm2 cell test code]:[5 cm2 cell test code]],[1]!Table1[[Test code]:[Test code]],[1]!Table1[Q_int_frac DIW],"",0)</f>
        <v>#REF!</v>
      </c>
      <c r="AH673" s="69" t="e" cm="1">
        <f t="array" ref="AH673">_xlfn.XLOOKUP(Table1[[#This Row],[5 cm2 cell test code]:[5 cm2 cell test code]],[1]!Table1[[Test code]:[Test code]],[1]!Table1[Ionic resistance 10 mM KOH/Ohm cm2],"",0)</f>
        <v>#REF!</v>
      </c>
      <c r="AI673" s="69" t="e" cm="1">
        <f t="array" ref="AI673">_xlfn.XLOOKUP(Table1[[#This Row],[5 cm2 cell test code]:[5 cm2 cell test code]],[1]!Table1[[Test code]:[Test code]],[1]!Table1[Q_int_frac DIW 10 mM KOH],"",0)</f>
        <v>#REF!</v>
      </c>
      <c r="AJ673" s="69" t="e" cm="1">
        <f t="array" ref="AJ673">_xlfn.XLOOKUP(Table1[[#This Row],[5 cm2 cell test code]:[5 cm2 cell test code]],[1]!Table1[[Test code]:[Test code]],[1]!Table1[DIW conductivity (µS/cm)],"",0)</f>
        <v>#REF!</v>
      </c>
    </row>
    <row r="674" spans="1:36">
      <c r="A674" s="81"/>
      <c r="U674" s="101"/>
      <c r="V674" s="101"/>
      <c r="W674" s="69" t="e" cm="1">
        <f t="array" ref="W674">_xlfn.XLOOKUP(Table1[[#This Row],[5 cm2 cell test code]:[5 cm2 cell test code]],[1]!Table1[[Test code]:[Test code]],[1]!Table1[i @ 1.8 V DIW (A/cm2)],"",0)</f>
        <v>#REF!</v>
      </c>
      <c r="X674" s="69" t="e" cm="1">
        <f t="array" ref="X674">_xlfn.XLOOKUP(Table1[[#This Row],[5 cm2 cell test code]:[5 cm2 cell test code]],[1]!Table1[[Test code]:[Test code]],[1]!Table1[i @ 1.8 V 10 mM KOH (A/cm2)],"",0)</f>
        <v>#REF!</v>
      </c>
      <c r="Y674" s="69" t="e" cm="1">
        <f t="array" ref="Y674">_xlfn.XLOOKUP(Table1[[#This Row],[5 cm2 cell test code]:[5 cm2 cell test code]],[1]!Table1[[Test code]:[Test code]],[1]!Table1[3-E ƞ at 20mAcm-2 (mV)],"",0)</f>
        <v>#REF!</v>
      </c>
      <c r="Z674" s="69" t="e" cm="1">
        <f t="array" ref="Z674">_xlfn.XLOOKUP(Table1[[#This Row],[5 cm2 cell test code]:[5 cm2 cell test code]],[1]!Table1[[Test code]:[Test code]],[1]!Table1[3-E Tafel slope (mV/dec)],"",0)</f>
        <v>#REF!</v>
      </c>
      <c r="AA674" s="69" t="e" cm="1">
        <f t="array" ref="AA674">_xlfn.XLOOKUP(Table1[[#This Row],[5 cm2 cell test code]:[5 cm2 cell test code]],[1]!Table1[[Test code]:[Test code]],[1]!Table1[E @ 100 mA/cm2 DIW/V],"",0)</f>
        <v>#REF!</v>
      </c>
      <c r="AB674" s="69" t="e" cm="1">
        <f t="array" ref="AB674">_xlfn.XLOOKUP(Table1[[#This Row],[5 cm2 cell test code]:[5 cm2 cell test code]],[1]!Table1[[Test code]:[Test code]],[1]!Table1[E @ 100 mA/cm2 10 mM KOH/V],"",0)</f>
        <v>#REF!</v>
      </c>
      <c r="AC674" s="69" t="e" cm="1">
        <f t="array" ref="AC674">_xlfn.XLOOKUP(Table1[[#This Row],[5 cm2 cell test code]:[5 cm2 cell test code]],[1]!Table1[[Test code]:[Test code]],[1]!Table1[Anode ICR/mOhm],"",0)</f>
        <v>#REF!</v>
      </c>
      <c r="AD674" s="69" t="e" cm="1">
        <f t="array" ref="AD674">_xlfn.XLOOKUP(Table1[[#This Row],[5 cm2 cell test code]:[5 cm2 cell test code]],[1]!Table1[[Test code]:[Test code]],[1]!Table1[HFR DIW/ mOhm cm2],"",0)</f>
        <v>#REF!</v>
      </c>
      <c r="AE674" s="69" t="e" cm="1">
        <f t="array" ref="AE674">_xlfn.XLOOKUP(Table1[[#This Row],[5 cm2 cell test code]:[5 cm2 cell test code]],[1]!Table1[[Test code]:[Test code]],[1]!Table1[HFR 10 mM KOH/ mOhm cm2],"",0)</f>
        <v>#REF!</v>
      </c>
      <c r="AF674" s="69" t="e" cm="1">
        <f t="array" ref="AF674">_xlfn.XLOOKUP(Table1[[#This Row],[5 cm2 cell test code]:[5 cm2 cell test code]],[1]!Table1[[Test code]:[Test code]],[1]!Table1[Ionic resistance DIW/Ohm cm2],"",0)</f>
        <v>#REF!</v>
      </c>
      <c r="AG674" s="69" t="e" cm="1">
        <f t="array" ref="AG674">_xlfn.XLOOKUP(Table1[[#This Row],[5 cm2 cell test code]:[5 cm2 cell test code]],[1]!Table1[[Test code]:[Test code]],[1]!Table1[Q_int_frac DIW],"",0)</f>
        <v>#REF!</v>
      </c>
      <c r="AH674" s="69" t="e" cm="1">
        <f t="array" ref="AH674">_xlfn.XLOOKUP(Table1[[#This Row],[5 cm2 cell test code]:[5 cm2 cell test code]],[1]!Table1[[Test code]:[Test code]],[1]!Table1[Ionic resistance 10 mM KOH/Ohm cm2],"",0)</f>
        <v>#REF!</v>
      </c>
      <c r="AI674" s="69" t="e" cm="1">
        <f t="array" ref="AI674">_xlfn.XLOOKUP(Table1[[#This Row],[5 cm2 cell test code]:[5 cm2 cell test code]],[1]!Table1[[Test code]:[Test code]],[1]!Table1[Q_int_frac DIW 10 mM KOH],"",0)</f>
        <v>#REF!</v>
      </c>
      <c r="AJ674" s="69" t="e" cm="1">
        <f t="array" ref="AJ674">_xlfn.XLOOKUP(Table1[[#This Row],[5 cm2 cell test code]:[5 cm2 cell test code]],[1]!Table1[[Test code]:[Test code]],[1]!Table1[DIW conductivity (µS/cm)],"",0)</f>
        <v>#REF!</v>
      </c>
    </row>
    <row r="675" spans="1:36">
      <c r="A675" s="81"/>
      <c r="U675" s="101"/>
      <c r="V675" s="101"/>
      <c r="W675" s="69" t="e" cm="1">
        <f t="array" ref="W675">_xlfn.XLOOKUP(Table1[[#This Row],[5 cm2 cell test code]:[5 cm2 cell test code]],[1]!Table1[[Test code]:[Test code]],[1]!Table1[i @ 1.8 V DIW (A/cm2)],"",0)</f>
        <v>#REF!</v>
      </c>
      <c r="X675" s="69" t="e" cm="1">
        <f t="array" ref="X675">_xlfn.XLOOKUP(Table1[[#This Row],[5 cm2 cell test code]:[5 cm2 cell test code]],[1]!Table1[[Test code]:[Test code]],[1]!Table1[i @ 1.8 V 10 mM KOH (A/cm2)],"",0)</f>
        <v>#REF!</v>
      </c>
      <c r="Y675" s="69" t="e" cm="1">
        <f t="array" ref="Y675">_xlfn.XLOOKUP(Table1[[#This Row],[5 cm2 cell test code]:[5 cm2 cell test code]],[1]!Table1[[Test code]:[Test code]],[1]!Table1[3-E ƞ at 20mAcm-2 (mV)],"",0)</f>
        <v>#REF!</v>
      </c>
      <c r="Z675" s="69" t="e" cm="1">
        <f t="array" ref="Z675">_xlfn.XLOOKUP(Table1[[#This Row],[5 cm2 cell test code]:[5 cm2 cell test code]],[1]!Table1[[Test code]:[Test code]],[1]!Table1[3-E Tafel slope (mV/dec)],"",0)</f>
        <v>#REF!</v>
      </c>
      <c r="AA675" s="69" t="e" cm="1">
        <f t="array" ref="AA675">_xlfn.XLOOKUP(Table1[[#This Row],[5 cm2 cell test code]:[5 cm2 cell test code]],[1]!Table1[[Test code]:[Test code]],[1]!Table1[E @ 100 mA/cm2 DIW/V],"",0)</f>
        <v>#REF!</v>
      </c>
      <c r="AB675" s="69" t="e" cm="1">
        <f t="array" ref="AB675">_xlfn.XLOOKUP(Table1[[#This Row],[5 cm2 cell test code]:[5 cm2 cell test code]],[1]!Table1[[Test code]:[Test code]],[1]!Table1[E @ 100 mA/cm2 10 mM KOH/V],"",0)</f>
        <v>#REF!</v>
      </c>
      <c r="AC675" s="69" t="e" cm="1">
        <f t="array" ref="AC675">_xlfn.XLOOKUP(Table1[[#This Row],[5 cm2 cell test code]:[5 cm2 cell test code]],[1]!Table1[[Test code]:[Test code]],[1]!Table1[Anode ICR/mOhm],"",0)</f>
        <v>#REF!</v>
      </c>
      <c r="AD675" s="69" t="e" cm="1">
        <f t="array" ref="AD675">_xlfn.XLOOKUP(Table1[[#This Row],[5 cm2 cell test code]:[5 cm2 cell test code]],[1]!Table1[[Test code]:[Test code]],[1]!Table1[HFR DIW/ mOhm cm2],"",0)</f>
        <v>#REF!</v>
      </c>
      <c r="AE675" s="69" t="e" cm="1">
        <f t="array" ref="AE675">_xlfn.XLOOKUP(Table1[[#This Row],[5 cm2 cell test code]:[5 cm2 cell test code]],[1]!Table1[[Test code]:[Test code]],[1]!Table1[HFR 10 mM KOH/ mOhm cm2],"",0)</f>
        <v>#REF!</v>
      </c>
      <c r="AF675" s="69" t="e" cm="1">
        <f t="array" ref="AF675">_xlfn.XLOOKUP(Table1[[#This Row],[5 cm2 cell test code]:[5 cm2 cell test code]],[1]!Table1[[Test code]:[Test code]],[1]!Table1[Ionic resistance DIW/Ohm cm2],"",0)</f>
        <v>#REF!</v>
      </c>
      <c r="AG675" s="69" t="e" cm="1">
        <f t="array" ref="AG675">_xlfn.XLOOKUP(Table1[[#This Row],[5 cm2 cell test code]:[5 cm2 cell test code]],[1]!Table1[[Test code]:[Test code]],[1]!Table1[Q_int_frac DIW],"",0)</f>
        <v>#REF!</v>
      </c>
      <c r="AH675" s="69" t="e" cm="1">
        <f t="array" ref="AH675">_xlfn.XLOOKUP(Table1[[#This Row],[5 cm2 cell test code]:[5 cm2 cell test code]],[1]!Table1[[Test code]:[Test code]],[1]!Table1[Ionic resistance 10 mM KOH/Ohm cm2],"",0)</f>
        <v>#REF!</v>
      </c>
      <c r="AI675" s="69" t="e" cm="1">
        <f t="array" ref="AI675">_xlfn.XLOOKUP(Table1[[#This Row],[5 cm2 cell test code]:[5 cm2 cell test code]],[1]!Table1[[Test code]:[Test code]],[1]!Table1[Q_int_frac DIW 10 mM KOH],"",0)</f>
        <v>#REF!</v>
      </c>
      <c r="AJ675" s="69" t="e" cm="1">
        <f t="array" ref="AJ675">_xlfn.XLOOKUP(Table1[[#This Row],[5 cm2 cell test code]:[5 cm2 cell test code]],[1]!Table1[[Test code]:[Test code]],[1]!Table1[DIW conductivity (µS/cm)],"",0)</f>
        <v>#REF!</v>
      </c>
    </row>
    <row r="676" spans="1:36">
      <c r="A676" s="81"/>
      <c r="U676" s="101"/>
      <c r="V676" s="101"/>
      <c r="W676" s="69" t="e" cm="1">
        <f t="array" ref="W676">_xlfn.XLOOKUP(Table1[[#This Row],[5 cm2 cell test code]:[5 cm2 cell test code]],[1]!Table1[[Test code]:[Test code]],[1]!Table1[i @ 1.8 V DIW (A/cm2)],"",0)</f>
        <v>#REF!</v>
      </c>
      <c r="X676" s="69" t="e" cm="1">
        <f t="array" ref="X676">_xlfn.XLOOKUP(Table1[[#This Row],[5 cm2 cell test code]:[5 cm2 cell test code]],[1]!Table1[[Test code]:[Test code]],[1]!Table1[i @ 1.8 V 10 mM KOH (A/cm2)],"",0)</f>
        <v>#REF!</v>
      </c>
      <c r="Y676" s="69" t="e" cm="1">
        <f t="array" ref="Y676">_xlfn.XLOOKUP(Table1[[#This Row],[5 cm2 cell test code]:[5 cm2 cell test code]],[1]!Table1[[Test code]:[Test code]],[1]!Table1[3-E ƞ at 20mAcm-2 (mV)],"",0)</f>
        <v>#REF!</v>
      </c>
      <c r="Z676" s="69" t="e" cm="1">
        <f t="array" ref="Z676">_xlfn.XLOOKUP(Table1[[#This Row],[5 cm2 cell test code]:[5 cm2 cell test code]],[1]!Table1[[Test code]:[Test code]],[1]!Table1[3-E Tafel slope (mV/dec)],"",0)</f>
        <v>#REF!</v>
      </c>
      <c r="AA676" s="69" t="e" cm="1">
        <f t="array" ref="AA676">_xlfn.XLOOKUP(Table1[[#This Row],[5 cm2 cell test code]:[5 cm2 cell test code]],[1]!Table1[[Test code]:[Test code]],[1]!Table1[E @ 100 mA/cm2 DIW/V],"",0)</f>
        <v>#REF!</v>
      </c>
      <c r="AB676" s="69" t="e" cm="1">
        <f t="array" ref="AB676">_xlfn.XLOOKUP(Table1[[#This Row],[5 cm2 cell test code]:[5 cm2 cell test code]],[1]!Table1[[Test code]:[Test code]],[1]!Table1[E @ 100 mA/cm2 10 mM KOH/V],"",0)</f>
        <v>#REF!</v>
      </c>
      <c r="AC676" s="69" t="e" cm="1">
        <f t="array" ref="AC676">_xlfn.XLOOKUP(Table1[[#This Row],[5 cm2 cell test code]:[5 cm2 cell test code]],[1]!Table1[[Test code]:[Test code]],[1]!Table1[Anode ICR/mOhm],"",0)</f>
        <v>#REF!</v>
      </c>
      <c r="AD676" s="69" t="e" cm="1">
        <f t="array" ref="AD676">_xlfn.XLOOKUP(Table1[[#This Row],[5 cm2 cell test code]:[5 cm2 cell test code]],[1]!Table1[[Test code]:[Test code]],[1]!Table1[HFR DIW/ mOhm cm2],"",0)</f>
        <v>#REF!</v>
      </c>
      <c r="AE676" s="69" t="e" cm="1">
        <f t="array" ref="AE676">_xlfn.XLOOKUP(Table1[[#This Row],[5 cm2 cell test code]:[5 cm2 cell test code]],[1]!Table1[[Test code]:[Test code]],[1]!Table1[HFR 10 mM KOH/ mOhm cm2],"",0)</f>
        <v>#REF!</v>
      </c>
      <c r="AF676" s="69" t="e" cm="1">
        <f t="array" ref="AF676">_xlfn.XLOOKUP(Table1[[#This Row],[5 cm2 cell test code]:[5 cm2 cell test code]],[1]!Table1[[Test code]:[Test code]],[1]!Table1[Ionic resistance DIW/Ohm cm2],"",0)</f>
        <v>#REF!</v>
      </c>
      <c r="AG676" s="69" t="e" cm="1">
        <f t="array" ref="AG676">_xlfn.XLOOKUP(Table1[[#This Row],[5 cm2 cell test code]:[5 cm2 cell test code]],[1]!Table1[[Test code]:[Test code]],[1]!Table1[Q_int_frac DIW],"",0)</f>
        <v>#REF!</v>
      </c>
      <c r="AH676" s="69" t="e" cm="1">
        <f t="array" ref="AH676">_xlfn.XLOOKUP(Table1[[#This Row],[5 cm2 cell test code]:[5 cm2 cell test code]],[1]!Table1[[Test code]:[Test code]],[1]!Table1[Ionic resistance 10 mM KOH/Ohm cm2],"",0)</f>
        <v>#REF!</v>
      </c>
      <c r="AI676" s="69" t="e" cm="1">
        <f t="array" ref="AI676">_xlfn.XLOOKUP(Table1[[#This Row],[5 cm2 cell test code]:[5 cm2 cell test code]],[1]!Table1[[Test code]:[Test code]],[1]!Table1[Q_int_frac DIW 10 mM KOH],"",0)</f>
        <v>#REF!</v>
      </c>
      <c r="AJ676" s="69" t="e" cm="1">
        <f t="array" ref="AJ676">_xlfn.XLOOKUP(Table1[[#This Row],[5 cm2 cell test code]:[5 cm2 cell test code]],[1]!Table1[[Test code]:[Test code]],[1]!Table1[DIW conductivity (µS/cm)],"",0)</f>
        <v>#REF!</v>
      </c>
    </row>
    <row r="677" spans="1:36">
      <c r="A677" s="81"/>
      <c r="U677" s="101"/>
      <c r="V677" s="101"/>
      <c r="W677" s="69" t="e" cm="1">
        <f t="array" ref="W677">_xlfn.XLOOKUP(Table1[[#This Row],[5 cm2 cell test code]:[5 cm2 cell test code]],[1]!Table1[[Test code]:[Test code]],[1]!Table1[i @ 1.8 V DIW (A/cm2)],"",0)</f>
        <v>#REF!</v>
      </c>
      <c r="X677" s="69" t="e" cm="1">
        <f t="array" ref="X677">_xlfn.XLOOKUP(Table1[[#This Row],[5 cm2 cell test code]:[5 cm2 cell test code]],[1]!Table1[[Test code]:[Test code]],[1]!Table1[i @ 1.8 V 10 mM KOH (A/cm2)],"",0)</f>
        <v>#REF!</v>
      </c>
      <c r="Y677" s="69" t="e" cm="1">
        <f t="array" ref="Y677">_xlfn.XLOOKUP(Table1[[#This Row],[5 cm2 cell test code]:[5 cm2 cell test code]],[1]!Table1[[Test code]:[Test code]],[1]!Table1[3-E ƞ at 20mAcm-2 (mV)],"",0)</f>
        <v>#REF!</v>
      </c>
      <c r="Z677" s="69" t="e" cm="1">
        <f t="array" ref="Z677">_xlfn.XLOOKUP(Table1[[#This Row],[5 cm2 cell test code]:[5 cm2 cell test code]],[1]!Table1[[Test code]:[Test code]],[1]!Table1[3-E Tafel slope (mV/dec)],"",0)</f>
        <v>#REF!</v>
      </c>
      <c r="AA677" s="69" t="e" cm="1">
        <f t="array" ref="AA677">_xlfn.XLOOKUP(Table1[[#This Row],[5 cm2 cell test code]:[5 cm2 cell test code]],[1]!Table1[[Test code]:[Test code]],[1]!Table1[E @ 100 mA/cm2 DIW/V],"",0)</f>
        <v>#REF!</v>
      </c>
      <c r="AB677" s="69" t="e" cm="1">
        <f t="array" ref="AB677">_xlfn.XLOOKUP(Table1[[#This Row],[5 cm2 cell test code]:[5 cm2 cell test code]],[1]!Table1[[Test code]:[Test code]],[1]!Table1[E @ 100 mA/cm2 10 mM KOH/V],"",0)</f>
        <v>#REF!</v>
      </c>
      <c r="AC677" s="69" t="e" cm="1">
        <f t="array" ref="AC677">_xlfn.XLOOKUP(Table1[[#This Row],[5 cm2 cell test code]:[5 cm2 cell test code]],[1]!Table1[[Test code]:[Test code]],[1]!Table1[Anode ICR/mOhm],"",0)</f>
        <v>#REF!</v>
      </c>
      <c r="AD677" s="69" t="e" cm="1">
        <f t="array" ref="AD677">_xlfn.XLOOKUP(Table1[[#This Row],[5 cm2 cell test code]:[5 cm2 cell test code]],[1]!Table1[[Test code]:[Test code]],[1]!Table1[HFR DIW/ mOhm cm2],"",0)</f>
        <v>#REF!</v>
      </c>
      <c r="AE677" s="69" t="e" cm="1">
        <f t="array" ref="AE677">_xlfn.XLOOKUP(Table1[[#This Row],[5 cm2 cell test code]:[5 cm2 cell test code]],[1]!Table1[[Test code]:[Test code]],[1]!Table1[HFR 10 mM KOH/ mOhm cm2],"",0)</f>
        <v>#REF!</v>
      </c>
      <c r="AF677" s="69" t="e" cm="1">
        <f t="array" ref="AF677">_xlfn.XLOOKUP(Table1[[#This Row],[5 cm2 cell test code]:[5 cm2 cell test code]],[1]!Table1[[Test code]:[Test code]],[1]!Table1[Ionic resistance DIW/Ohm cm2],"",0)</f>
        <v>#REF!</v>
      </c>
      <c r="AG677" s="69" t="e" cm="1">
        <f t="array" ref="AG677">_xlfn.XLOOKUP(Table1[[#This Row],[5 cm2 cell test code]:[5 cm2 cell test code]],[1]!Table1[[Test code]:[Test code]],[1]!Table1[Q_int_frac DIW],"",0)</f>
        <v>#REF!</v>
      </c>
      <c r="AH677" s="69" t="e" cm="1">
        <f t="array" ref="AH677">_xlfn.XLOOKUP(Table1[[#This Row],[5 cm2 cell test code]:[5 cm2 cell test code]],[1]!Table1[[Test code]:[Test code]],[1]!Table1[Ionic resistance 10 mM KOH/Ohm cm2],"",0)</f>
        <v>#REF!</v>
      </c>
      <c r="AI677" s="69" t="e" cm="1">
        <f t="array" ref="AI677">_xlfn.XLOOKUP(Table1[[#This Row],[5 cm2 cell test code]:[5 cm2 cell test code]],[1]!Table1[[Test code]:[Test code]],[1]!Table1[Q_int_frac DIW 10 mM KOH],"",0)</f>
        <v>#REF!</v>
      </c>
      <c r="AJ677" s="69" t="e" cm="1">
        <f t="array" ref="AJ677">_xlfn.XLOOKUP(Table1[[#This Row],[5 cm2 cell test code]:[5 cm2 cell test code]],[1]!Table1[[Test code]:[Test code]],[1]!Table1[DIW conductivity (µS/cm)],"",0)</f>
        <v>#REF!</v>
      </c>
    </row>
    <row r="678" spans="1:36">
      <c r="A678" s="81"/>
      <c r="U678" s="101"/>
      <c r="V678" s="101"/>
      <c r="W678" s="69" t="e" cm="1">
        <f t="array" ref="W678">_xlfn.XLOOKUP(Table1[[#This Row],[5 cm2 cell test code]:[5 cm2 cell test code]],[1]!Table1[[Test code]:[Test code]],[1]!Table1[i @ 1.8 V DIW (A/cm2)],"",0)</f>
        <v>#REF!</v>
      </c>
      <c r="X678" s="69" t="e" cm="1">
        <f t="array" ref="X678">_xlfn.XLOOKUP(Table1[[#This Row],[5 cm2 cell test code]:[5 cm2 cell test code]],[1]!Table1[[Test code]:[Test code]],[1]!Table1[i @ 1.8 V 10 mM KOH (A/cm2)],"",0)</f>
        <v>#REF!</v>
      </c>
      <c r="Y678" s="69" t="e" cm="1">
        <f t="array" ref="Y678">_xlfn.XLOOKUP(Table1[[#This Row],[5 cm2 cell test code]:[5 cm2 cell test code]],[1]!Table1[[Test code]:[Test code]],[1]!Table1[3-E ƞ at 20mAcm-2 (mV)],"",0)</f>
        <v>#REF!</v>
      </c>
      <c r="Z678" s="69" t="e" cm="1">
        <f t="array" ref="Z678">_xlfn.XLOOKUP(Table1[[#This Row],[5 cm2 cell test code]:[5 cm2 cell test code]],[1]!Table1[[Test code]:[Test code]],[1]!Table1[3-E Tafel slope (mV/dec)],"",0)</f>
        <v>#REF!</v>
      </c>
      <c r="AA678" s="69" t="e" cm="1">
        <f t="array" ref="AA678">_xlfn.XLOOKUP(Table1[[#This Row],[5 cm2 cell test code]:[5 cm2 cell test code]],[1]!Table1[[Test code]:[Test code]],[1]!Table1[E @ 100 mA/cm2 DIW/V],"",0)</f>
        <v>#REF!</v>
      </c>
      <c r="AB678" s="69" t="e" cm="1">
        <f t="array" ref="AB678">_xlfn.XLOOKUP(Table1[[#This Row],[5 cm2 cell test code]:[5 cm2 cell test code]],[1]!Table1[[Test code]:[Test code]],[1]!Table1[E @ 100 mA/cm2 10 mM KOH/V],"",0)</f>
        <v>#REF!</v>
      </c>
      <c r="AC678" s="69" t="e" cm="1">
        <f t="array" ref="AC678">_xlfn.XLOOKUP(Table1[[#This Row],[5 cm2 cell test code]:[5 cm2 cell test code]],[1]!Table1[[Test code]:[Test code]],[1]!Table1[Anode ICR/mOhm],"",0)</f>
        <v>#REF!</v>
      </c>
      <c r="AD678" s="69" t="e" cm="1">
        <f t="array" ref="AD678">_xlfn.XLOOKUP(Table1[[#This Row],[5 cm2 cell test code]:[5 cm2 cell test code]],[1]!Table1[[Test code]:[Test code]],[1]!Table1[HFR DIW/ mOhm cm2],"",0)</f>
        <v>#REF!</v>
      </c>
      <c r="AE678" s="69" t="e" cm="1">
        <f t="array" ref="AE678">_xlfn.XLOOKUP(Table1[[#This Row],[5 cm2 cell test code]:[5 cm2 cell test code]],[1]!Table1[[Test code]:[Test code]],[1]!Table1[HFR 10 mM KOH/ mOhm cm2],"",0)</f>
        <v>#REF!</v>
      </c>
      <c r="AF678" s="69" t="e" cm="1">
        <f t="array" ref="AF678">_xlfn.XLOOKUP(Table1[[#This Row],[5 cm2 cell test code]:[5 cm2 cell test code]],[1]!Table1[[Test code]:[Test code]],[1]!Table1[Ionic resistance DIW/Ohm cm2],"",0)</f>
        <v>#REF!</v>
      </c>
      <c r="AG678" s="69" t="e" cm="1">
        <f t="array" ref="AG678">_xlfn.XLOOKUP(Table1[[#This Row],[5 cm2 cell test code]:[5 cm2 cell test code]],[1]!Table1[[Test code]:[Test code]],[1]!Table1[Q_int_frac DIW],"",0)</f>
        <v>#REF!</v>
      </c>
      <c r="AH678" s="69" t="e" cm="1">
        <f t="array" ref="AH678">_xlfn.XLOOKUP(Table1[[#This Row],[5 cm2 cell test code]:[5 cm2 cell test code]],[1]!Table1[[Test code]:[Test code]],[1]!Table1[Ionic resistance 10 mM KOH/Ohm cm2],"",0)</f>
        <v>#REF!</v>
      </c>
      <c r="AI678" s="69" t="e" cm="1">
        <f t="array" ref="AI678">_xlfn.XLOOKUP(Table1[[#This Row],[5 cm2 cell test code]:[5 cm2 cell test code]],[1]!Table1[[Test code]:[Test code]],[1]!Table1[Q_int_frac DIW 10 mM KOH],"",0)</f>
        <v>#REF!</v>
      </c>
      <c r="AJ678" s="69" t="e" cm="1">
        <f t="array" ref="AJ678">_xlfn.XLOOKUP(Table1[[#This Row],[5 cm2 cell test code]:[5 cm2 cell test code]],[1]!Table1[[Test code]:[Test code]],[1]!Table1[DIW conductivity (µS/cm)],"",0)</f>
        <v>#REF!</v>
      </c>
    </row>
    <row r="679" spans="1:36">
      <c r="A679" s="81"/>
      <c r="U679" s="101"/>
      <c r="V679" s="101"/>
      <c r="W679" s="69" t="e" cm="1">
        <f t="array" ref="W679">_xlfn.XLOOKUP(Table1[[#This Row],[5 cm2 cell test code]:[5 cm2 cell test code]],[1]!Table1[[Test code]:[Test code]],[1]!Table1[i @ 1.8 V DIW (A/cm2)],"",0)</f>
        <v>#REF!</v>
      </c>
      <c r="X679" s="69" t="e" cm="1">
        <f t="array" ref="X679">_xlfn.XLOOKUP(Table1[[#This Row],[5 cm2 cell test code]:[5 cm2 cell test code]],[1]!Table1[[Test code]:[Test code]],[1]!Table1[i @ 1.8 V 10 mM KOH (A/cm2)],"",0)</f>
        <v>#REF!</v>
      </c>
      <c r="Y679" s="69" t="e" cm="1">
        <f t="array" ref="Y679">_xlfn.XLOOKUP(Table1[[#This Row],[5 cm2 cell test code]:[5 cm2 cell test code]],[1]!Table1[[Test code]:[Test code]],[1]!Table1[3-E ƞ at 20mAcm-2 (mV)],"",0)</f>
        <v>#REF!</v>
      </c>
      <c r="Z679" s="69" t="e" cm="1">
        <f t="array" ref="Z679">_xlfn.XLOOKUP(Table1[[#This Row],[5 cm2 cell test code]:[5 cm2 cell test code]],[1]!Table1[[Test code]:[Test code]],[1]!Table1[3-E Tafel slope (mV/dec)],"",0)</f>
        <v>#REF!</v>
      </c>
      <c r="AA679" s="69" t="e" cm="1">
        <f t="array" ref="AA679">_xlfn.XLOOKUP(Table1[[#This Row],[5 cm2 cell test code]:[5 cm2 cell test code]],[1]!Table1[[Test code]:[Test code]],[1]!Table1[E @ 100 mA/cm2 DIW/V],"",0)</f>
        <v>#REF!</v>
      </c>
      <c r="AB679" s="69" t="e" cm="1">
        <f t="array" ref="AB679">_xlfn.XLOOKUP(Table1[[#This Row],[5 cm2 cell test code]:[5 cm2 cell test code]],[1]!Table1[[Test code]:[Test code]],[1]!Table1[E @ 100 mA/cm2 10 mM KOH/V],"",0)</f>
        <v>#REF!</v>
      </c>
      <c r="AC679" s="69" t="e" cm="1">
        <f t="array" ref="AC679">_xlfn.XLOOKUP(Table1[[#This Row],[5 cm2 cell test code]:[5 cm2 cell test code]],[1]!Table1[[Test code]:[Test code]],[1]!Table1[Anode ICR/mOhm],"",0)</f>
        <v>#REF!</v>
      </c>
      <c r="AD679" s="69" t="e" cm="1">
        <f t="array" ref="AD679">_xlfn.XLOOKUP(Table1[[#This Row],[5 cm2 cell test code]:[5 cm2 cell test code]],[1]!Table1[[Test code]:[Test code]],[1]!Table1[HFR DIW/ mOhm cm2],"",0)</f>
        <v>#REF!</v>
      </c>
      <c r="AE679" s="69" t="e" cm="1">
        <f t="array" ref="AE679">_xlfn.XLOOKUP(Table1[[#This Row],[5 cm2 cell test code]:[5 cm2 cell test code]],[1]!Table1[[Test code]:[Test code]],[1]!Table1[HFR 10 mM KOH/ mOhm cm2],"",0)</f>
        <v>#REF!</v>
      </c>
      <c r="AF679" s="69" t="e" cm="1">
        <f t="array" ref="AF679">_xlfn.XLOOKUP(Table1[[#This Row],[5 cm2 cell test code]:[5 cm2 cell test code]],[1]!Table1[[Test code]:[Test code]],[1]!Table1[Ionic resistance DIW/Ohm cm2],"",0)</f>
        <v>#REF!</v>
      </c>
      <c r="AG679" s="69" t="e" cm="1">
        <f t="array" ref="AG679">_xlfn.XLOOKUP(Table1[[#This Row],[5 cm2 cell test code]:[5 cm2 cell test code]],[1]!Table1[[Test code]:[Test code]],[1]!Table1[Q_int_frac DIW],"",0)</f>
        <v>#REF!</v>
      </c>
      <c r="AH679" s="69" t="e" cm="1">
        <f t="array" ref="AH679">_xlfn.XLOOKUP(Table1[[#This Row],[5 cm2 cell test code]:[5 cm2 cell test code]],[1]!Table1[[Test code]:[Test code]],[1]!Table1[Ionic resistance 10 mM KOH/Ohm cm2],"",0)</f>
        <v>#REF!</v>
      </c>
      <c r="AI679" s="69" t="e" cm="1">
        <f t="array" ref="AI679">_xlfn.XLOOKUP(Table1[[#This Row],[5 cm2 cell test code]:[5 cm2 cell test code]],[1]!Table1[[Test code]:[Test code]],[1]!Table1[Q_int_frac DIW 10 mM KOH],"",0)</f>
        <v>#REF!</v>
      </c>
      <c r="AJ679" s="69" t="e" cm="1">
        <f t="array" ref="AJ679">_xlfn.XLOOKUP(Table1[[#This Row],[5 cm2 cell test code]:[5 cm2 cell test code]],[1]!Table1[[Test code]:[Test code]],[1]!Table1[DIW conductivity (µS/cm)],"",0)</f>
        <v>#REF!</v>
      </c>
    </row>
    <row r="680" spans="1:36">
      <c r="A680" s="81"/>
      <c r="U680" s="101"/>
      <c r="V680" s="101"/>
      <c r="W680" s="69" t="e" cm="1">
        <f t="array" ref="W680">_xlfn.XLOOKUP(Table1[[#This Row],[5 cm2 cell test code]:[5 cm2 cell test code]],[1]!Table1[[Test code]:[Test code]],[1]!Table1[i @ 1.8 V DIW (A/cm2)],"",0)</f>
        <v>#REF!</v>
      </c>
      <c r="X680" s="69" t="e" cm="1">
        <f t="array" ref="X680">_xlfn.XLOOKUP(Table1[[#This Row],[5 cm2 cell test code]:[5 cm2 cell test code]],[1]!Table1[[Test code]:[Test code]],[1]!Table1[i @ 1.8 V 10 mM KOH (A/cm2)],"",0)</f>
        <v>#REF!</v>
      </c>
      <c r="Y680" s="69" t="e" cm="1">
        <f t="array" ref="Y680">_xlfn.XLOOKUP(Table1[[#This Row],[5 cm2 cell test code]:[5 cm2 cell test code]],[1]!Table1[[Test code]:[Test code]],[1]!Table1[3-E ƞ at 20mAcm-2 (mV)],"",0)</f>
        <v>#REF!</v>
      </c>
      <c r="Z680" s="69" t="e" cm="1">
        <f t="array" ref="Z680">_xlfn.XLOOKUP(Table1[[#This Row],[5 cm2 cell test code]:[5 cm2 cell test code]],[1]!Table1[[Test code]:[Test code]],[1]!Table1[3-E Tafel slope (mV/dec)],"",0)</f>
        <v>#REF!</v>
      </c>
      <c r="AA680" s="69" t="e" cm="1">
        <f t="array" ref="AA680">_xlfn.XLOOKUP(Table1[[#This Row],[5 cm2 cell test code]:[5 cm2 cell test code]],[1]!Table1[[Test code]:[Test code]],[1]!Table1[E @ 100 mA/cm2 DIW/V],"",0)</f>
        <v>#REF!</v>
      </c>
      <c r="AB680" s="69" t="e" cm="1">
        <f t="array" ref="AB680">_xlfn.XLOOKUP(Table1[[#This Row],[5 cm2 cell test code]:[5 cm2 cell test code]],[1]!Table1[[Test code]:[Test code]],[1]!Table1[E @ 100 mA/cm2 10 mM KOH/V],"",0)</f>
        <v>#REF!</v>
      </c>
      <c r="AC680" s="69" t="e" cm="1">
        <f t="array" ref="AC680">_xlfn.XLOOKUP(Table1[[#This Row],[5 cm2 cell test code]:[5 cm2 cell test code]],[1]!Table1[[Test code]:[Test code]],[1]!Table1[Anode ICR/mOhm],"",0)</f>
        <v>#REF!</v>
      </c>
      <c r="AD680" s="69" t="e" cm="1">
        <f t="array" ref="AD680">_xlfn.XLOOKUP(Table1[[#This Row],[5 cm2 cell test code]:[5 cm2 cell test code]],[1]!Table1[[Test code]:[Test code]],[1]!Table1[HFR DIW/ mOhm cm2],"",0)</f>
        <v>#REF!</v>
      </c>
      <c r="AE680" s="69" t="e" cm="1">
        <f t="array" ref="AE680">_xlfn.XLOOKUP(Table1[[#This Row],[5 cm2 cell test code]:[5 cm2 cell test code]],[1]!Table1[[Test code]:[Test code]],[1]!Table1[HFR 10 mM KOH/ mOhm cm2],"",0)</f>
        <v>#REF!</v>
      </c>
      <c r="AF680" s="69" t="e" cm="1">
        <f t="array" ref="AF680">_xlfn.XLOOKUP(Table1[[#This Row],[5 cm2 cell test code]:[5 cm2 cell test code]],[1]!Table1[[Test code]:[Test code]],[1]!Table1[Ionic resistance DIW/Ohm cm2],"",0)</f>
        <v>#REF!</v>
      </c>
      <c r="AG680" s="69" t="e" cm="1">
        <f t="array" ref="AG680">_xlfn.XLOOKUP(Table1[[#This Row],[5 cm2 cell test code]:[5 cm2 cell test code]],[1]!Table1[[Test code]:[Test code]],[1]!Table1[Q_int_frac DIW],"",0)</f>
        <v>#REF!</v>
      </c>
      <c r="AH680" s="69" t="e" cm="1">
        <f t="array" ref="AH680">_xlfn.XLOOKUP(Table1[[#This Row],[5 cm2 cell test code]:[5 cm2 cell test code]],[1]!Table1[[Test code]:[Test code]],[1]!Table1[Ionic resistance 10 mM KOH/Ohm cm2],"",0)</f>
        <v>#REF!</v>
      </c>
      <c r="AI680" s="69" t="e" cm="1">
        <f t="array" ref="AI680">_xlfn.XLOOKUP(Table1[[#This Row],[5 cm2 cell test code]:[5 cm2 cell test code]],[1]!Table1[[Test code]:[Test code]],[1]!Table1[Q_int_frac DIW 10 mM KOH],"",0)</f>
        <v>#REF!</v>
      </c>
      <c r="AJ680" s="69" t="e" cm="1">
        <f t="array" ref="AJ680">_xlfn.XLOOKUP(Table1[[#This Row],[5 cm2 cell test code]:[5 cm2 cell test code]],[1]!Table1[[Test code]:[Test code]],[1]!Table1[DIW conductivity (µS/cm)],"",0)</f>
        <v>#REF!</v>
      </c>
    </row>
    <row r="681" spans="1:36">
      <c r="A681" s="81"/>
      <c r="U681" s="101"/>
      <c r="V681" s="101"/>
      <c r="W681" s="69" t="e" cm="1">
        <f t="array" ref="W681">_xlfn.XLOOKUP(Table1[[#This Row],[5 cm2 cell test code]:[5 cm2 cell test code]],[1]!Table1[[Test code]:[Test code]],[1]!Table1[i @ 1.8 V DIW (A/cm2)],"",0)</f>
        <v>#REF!</v>
      </c>
      <c r="X681" s="69" t="e" cm="1">
        <f t="array" ref="X681">_xlfn.XLOOKUP(Table1[[#This Row],[5 cm2 cell test code]:[5 cm2 cell test code]],[1]!Table1[[Test code]:[Test code]],[1]!Table1[i @ 1.8 V 10 mM KOH (A/cm2)],"",0)</f>
        <v>#REF!</v>
      </c>
      <c r="Y681" s="69" t="e" cm="1">
        <f t="array" ref="Y681">_xlfn.XLOOKUP(Table1[[#This Row],[5 cm2 cell test code]:[5 cm2 cell test code]],[1]!Table1[[Test code]:[Test code]],[1]!Table1[3-E ƞ at 20mAcm-2 (mV)],"",0)</f>
        <v>#REF!</v>
      </c>
      <c r="Z681" s="69" t="e" cm="1">
        <f t="array" ref="Z681">_xlfn.XLOOKUP(Table1[[#This Row],[5 cm2 cell test code]:[5 cm2 cell test code]],[1]!Table1[[Test code]:[Test code]],[1]!Table1[3-E Tafel slope (mV/dec)],"",0)</f>
        <v>#REF!</v>
      </c>
      <c r="AA681" s="69" t="e" cm="1">
        <f t="array" ref="AA681">_xlfn.XLOOKUP(Table1[[#This Row],[5 cm2 cell test code]:[5 cm2 cell test code]],[1]!Table1[[Test code]:[Test code]],[1]!Table1[E @ 100 mA/cm2 DIW/V],"",0)</f>
        <v>#REF!</v>
      </c>
      <c r="AB681" s="69" t="e" cm="1">
        <f t="array" ref="AB681">_xlfn.XLOOKUP(Table1[[#This Row],[5 cm2 cell test code]:[5 cm2 cell test code]],[1]!Table1[[Test code]:[Test code]],[1]!Table1[E @ 100 mA/cm2 10 mM KOH/V],"",0)</f>
        <v>#REF!</v>
      </c>
      <c r="AC681" s="69" t="e" cm="1">
        <f t="array" ref="AC681">_xlfn.XLOOKUP(Table1[[#This Row],[5 cm2 cell test code]:[5 cm2 cell test code]],[1]!Table1[[Test code]:[Test code]],[1]!Table1[Anode ICR/mOhm],"",0)</f>
        <v>#REF!</v>
      </c>
      <c r="AD681" s="69" t="e" cm="1">
        <f t="array" ref="AD681">_xlfn.XLOOKUP(Table1[[#This Row],[5 cm2 cell test code]:[5 cm2 cell test code]],[1]!Table1[[Test code]:[Test code]],[1]!Table1[HFR DIW/ mOhm cm2],"",0)</f>
        <v>#REF!</v>
      </c>
      <c r="AE681" s="69" t="e" cm="1">
        <f t="array" ref="AE681">_xlfn.XLOOKUP(Table1[[#This Row],[5 cm2 cell test code]:[5 cm2 cell test code]],[1]!Table1[[Test code]:[Test code]],[1]!Table1[HFR 10 mM KOH/ mOhm cm2],"",0)</f>
        <v>#REF!</v>
      </c>
      <c r="AF681" s="69" t="e" cm="1">
        <f t="array" ref="AF681">_xlfn.XLOOKUP(Table1[[#This Row],[5 cm2 cell test code]:[5 cm2 cell test code]],[1]!Table1[[Test code]:[Test code]],[1]!Table1[Ionic resistance DIW/Ohm cm2],"",0)</f>
        <v>#REF!</v>
      </c>
      <c r="AG681" s="69" t="e" cm="1">
        <f t="array" ref="AG681">_xlfn.XLOOKUP(Table1[[#This Row],[5 cm2 cell test code]:[5 cm2 cell test code]],[1]!Table1[[Test code]:[Test code]],[1]!Table1[Q_int_frac DIW],"",0)</f>
        <v>#REF!</v>
      </c>
      <c r="AH681" s="69" t="e" cm="1">
        <f t="array" ref="AH681">_xlfn.XLOOKUP(Table1[[#This Row],[5 cm2 cell test code]:[5 cm2 cell test code]],[1]!Table1[[Test code]:[Test code]],[1]!Table1[Ionic resistance 10 mM KOH/Ohm cm2],"",0)</f>
        <v>#REF!</v>
      </c>
      <c r="AI681" s="69" t="e" cm="1">
        <f t="array" ref="AI681">_xlfn.XLOOKUP(Table1[[#This Row],[5 cm2 cell test code]:[5 cm2 cell test code]],[1]!Table1[[Test code]:[Test code]],[1]!Table1[Q_int_frac DIW 10 mM KOH],"",0)</f>
        <v>#REF!</v>
      </c>
      <c r="AJ681" s="69" t="e" cm="1">
        <f t="array" ref="AJ681">_xlfn.XLOOKUP(Table1[[#This Row],[5 cm2 cell test code]:[5 cm2 cell test code]],[1]!Table1[[Test code]:[Test code]],[1]!Table1[DIW conductivity (µS/cm)],"",0)</f>
        <v>#REF!</v>
      </c>
    </row>
    <row r="682" spans="1:36">
      <c r="A682" s="81"/>
      <c r="U682" s="101"/>
      <c r="V682" s="101"/>
      <c r="W682" s="69" t="e" cm="1">
        <f t="array" ref="W682">_xlfn.XLOOKUP(Table1[[#This Row],[5 cm2 cell test code]:[5 cm2 cell test code]],[1]!Table1[[Test code]:[Test code]],[1]!Table1[i @ 1.8 V DIW (A/cm2)],"",0)</f>
        <v>#REF!</v>
      </c>
      <c r="X682" s="69" t="e" cm="1">
        <f t="array" ref="X682">_xlfn.XLOOKUP(Table1[[#This Row],[5 cm2 cell test code]:[5 cm2 cell test code]],[1]!Table1[[Test code]:[Test code]],[1]!Table1[i @ 1.8 V 10 mM KOH (A/cm2)],"",0)</f>
        <v>#REF!</v>
      </c>
      <c r="Y682" s="69" t="e" cm="1">
        <f t="array" ref="Y682">_xlfn.XLOOKUP(Table1[[#This Row],[5 cm2 cell test code]:[5 cm2 cell test code]],[1]!Table1[[Test code]:[Test code]],[1]!Table1[3-E ƞ at 20mAcm-2 (mV)],"",0)</f>
        <v>#REF!</v>
      </c>
      <c r="Z682" s="69" t="e" cm="1">
        <f t="array" ref="Z682">_xlfn.XLOOKUP(Table1[[#This Row],[5 cm2 cell test code]:[5 cm2 cell test code]],[1]!Table1[[Test code]:[Test code]],[1]!Table1[3-E Tafel slope (mV/dec)],"",0)</f>
        <v>#REF!</v>
      </c>
      <c r="AA682" s="69" t="e" cm="1">
        <f t="array" ref="AA682">_xlfn.XLOOKUP(Table1[[#This Row],[5 cm2 cell test code]:[5 cm2 cell test code]],[1]!Table1[[Test code]:[Test code]],[1]!Table1[E @ 100 mA/cm2 DIW/V],"",0)</f>
        <v>#REF!</v>
      </c>
      <c r="AB682" s="69" t="e" cm="1">
        <f t="array" ref="AB682">_xlfn.XLOOKUP(Table1[[#This Row],[5 cm2 cell test code]:[5 cm2 cell test code]],[1]!Table1[[Test code]:[Test code]],[1]!Table1[E @ 100 mA/cm2 10 mM KOH/V],"",0)</f>
        <v>#REF!</v>
      </c>
      <c r="AC682" s="69" t="e" cm="1">
        <f t="array" ref="AC682">_xlfn.XLOOKUP(Table1[[#This Row],[5 cm2 cell test code]:[5 cm2 cell test code]],[1]!Table1[[Test code]:[Test code]],[1]!Table1[Anode ICR/mOhm],"",0)</f>
        <v>#REF!</v>
      </c>
      <c r="AD682" s="69" t="e" cm="1">
        <f t="array" ref="AD682">_xlfn.XLOOKUP(Table1[[#This Row],[5 cm2 cell test code]:[5 cm2 cell test code]],[1]!Table1[[Test code]:[Test code]],[1]!Table1[HFR DIW/ mOhm cm2],"",0)</f>
        <v>#REF!</v>
      </c>
      <c r="AE682" s="69" t="e" cm="1">
        <f t="array" ref="AE682">_xlfn.XLOOKUP(Table1[[#This Row],[5 cm2 cell test code]:[5 cm2 cell test code]],[1]!Table1[[Test code]:[Test code]],[1]!Table1[HFR 10 mM KOH/ mOhm cm2],"",0)</f>
        <v>#REF!</v>
      </c>
      <c r="AF682" s="69" t="e" cm="1">
        <f t="array" ref="AF682">_xlfn.XLOOKUP(Table1[[#This Row],[5 cm2 cell test code]:[5 cm2 cell test code]],[1]!Table1[[Test code]:[Test code]],[1]!Table1[Ionic resistance DIW/Ohm cm2],"",0)</f>
        <v>#REF!</v>
      </c>
      <c r="AG682" s="69" t="e" cm="1">
        <f t="array" ref="AG682">_xlfn.XLOOKUP(Table1[[#This Row],[5 cm2 cell test code]:[5 cm2 cell test code]],[1]!Table1[[Test code]:[Test code]],[1]!Table1[Q_int_frac DIW],"",0)</f>
        <v>#REF!</v>
      </c>
      <c r="AH682" s="69" t="e" cm="1">
        <f t="array" ref="AH682">_xlfn.XLOOKUP(Table1[[#This Row],[5 cm2 cell test code]:[5 cm2 cell test code]],[1]!Table1[[Test code]:[Test code]],[1]!Table1[Ionic resistance 10 mM KOH/Ohm cm2],"",0)</f>
        <v>#REF!</v>
      </c>
      <c r="AI682" s="69" t="e" cm="1">
        <f t="array" ref="AI682">_xlfn.XLOOKUP(Table1[[#This Row],[5 cm2 cell test code]:[5 cm2 cell test code]],[1]!Table1[[Test code]:[Test code]],[1]!Table1[Q_int_frac DIW 10 mM KOH],"",0)</f>
        <v>#REF!</v>
      </c>
      <c r="AJ682" s="69" t="e" cm="1">
        <f t="array" ref="AJ682">_xlfn.XLOOKUP(Table1[[#This Row],[5 cm2 cell test code]:[5 cm2 cell test code]],[1]!Table1[[Test code]:[Test code]],[1]!Table1[DIW conductivity (µS/cm)],"",0)</f>
        <v>#REF!</v>
      </c>
    </row>
    <row r="683" spans="1:36">
      <c r="A683" s="81"/>
      <c r="U683" s="101"/>
      <c r="V683" s="101"/>
      <c r="W683" s="69" t="e" cm="1">
        <f t="array" ref="W683">_xlfn.XLOOKUP(Table1[[#This Row],[5 cm2 cell test code]:[5 cm2 cell test code]],[1]!Table1[[Test code]:[Test code]],[1]!Table1[i @ 1.8 V DIW (A/cm2)],"",0)</f>
        <v>#REF!</v>
      </c>
      <c r="X683" s="69" t="e" cm="1">
        <f t="array" ref="X683">_xlfn.XLOOKUP(Table1[[#This Row],[5 cm2 cell test code]:[5 cm2 cell test code]],[1]!Table1[[Test code]:[Test code]],[1]!Table1[i @ 1.8 V 10 mM KOH (A/cm2)],"",0)</f>
        <v>#REF!</v>
      </c>
      <c r="Y683" s="69" t="e" cm="1">
        <f t="array" ref="Y683">_xlfn.XLOOKUP(Table1[[#This Row],[5 cm2 cell test code]:[5 cm2 cell test code]],[1]!Table1[[Test code]:[Test code]],[1]!Table1[3-E ƞ at 20mAcm-2 (mV)],"",0)</f>
        <v>#REF!</v>
      </c>
      <c r="Z683" s="69" t="e" cm="1">
        <f t="array" ref="Z683">_xlfn.XLOOKUP(Table1[[#This Row],[5 cm2 cell test code]:[5 cm2 cell test code]],[1]!Table1[[Test code]:[Test code]],[1]!Table1[3-E Tafel slope (mV/dec)],"",0)</f>
        <v>#REF!</v>
      </c>
      <c r="AA683" s="69" t="e" cm="1">
        <f t="array" ref="AA683">_xlfn.XLOOKUP(Table1[[#This Row],[5 cm2 cell test code]:[5 cm2 cell test code]],[1]!Table1[[Test code]:[Test code]],[1]!Table1[E @ 100 mA/cm2 DIW/V],"",0)</f>
        <v>#REF!</v>
      </c>
      <c r="AB683" s="69" t="e" cm="1">
        <f t="array" ref="AB683">_xlfn.XLOOKUP(Table1[[#This Row],[5 cm2 cell test code]:[5 cm2 cell test code]],[1]!Table1[[Test code]:[Test code]],[1]!Table1[E @ 100 mA/cm2 10 mM KOH/V],"",0)</f>
        <v>#REF!</v>
      </c>
      <c r="AC683" s="69" t="e" cm="1">
        <f t="array" ref="AC683">_xlfn.XLOOKUP(Table1[[#This Row],[5 cm2 cell test code]:[5 cm2 cell test code]],[1]!Table1[[Test code]:[Test code]],[1]!Table1[Anode ICR/mOhm],"",0)</f>
        <v>#REF!</v>
      </c>
      <c r="AD683" s="69" t="e" cm="1">
        <f t="array" ref="AD683">_xlfn.XLOOKUP(Table1[[#This Row],[5 cm2 cell test code]:[5 cm2 cell test code]],[1]!Table1[[Test code]:[Test code]],[1]!Table1[HFR DIW/ mOhm cm2],"",0)</f>
        <v>#REF!</v>
      </c>
      <c r="AE683" s="69" t="e" cm="1">
        <f t="array" ref="AE683">_xlfn.XLOOKUP(Table1[[#This Row],[5 cm2 cell test code]:[5 cm2 cell test code]],[1]!Table1[[Test code]:[Test code]],[1]!Table1[HFR 10 mM KOH/ mOhm cm2],"",0)</f>
        <v>#REF!</v>
      </c>
      <c r="AF683" s="69" t="e" cm="1">
        <f t="array" ref="AF683">_xlfn.XLOOKUP(Table1[[#This Row],[5 cm2 cell test code]:[5 cm2 cell test code]],[1]!Table1[[Test code]:[Test code]],[1]!Table1[Ionic resistance DIW/Ohm cm2],"",0)</f>
        <v>#REF!</v>
      </c>
      <c r="AG683" s="69" t="e" cm="1">
        <f t="array" ref="AG683">_xlfn.XLOOKUP(Table1[[#This Row],[5 cm2 cell test code]:[5 cm2 cell test code]],[1]!Table1[[Test code]:[Test code]],[1]!Table1[Q_int_frac DIW],"",0)</f>
        <v>#REF!</v>
      </c>
      <c r="AH683" s="69" t="e" cm="1">
        <f t="array" ref="AH683">_xlfn.XLOOKUP(Table1[[#This Row],[5 cm2 cell test code]:[5 cm2 cell test code]],[1]!Table1[[Test code]:[Test code]],[1]!Table1[Ionic resistance 10 mM KOH/Ohm cm2],"",0)</f>
        <v>#REF!</v>
      </c>
      <c r="AI683" s="69" t="e" cm="1">
        <f t="array" ref="AI683">_xlfn.XLOOKUP(Table1[[#This Row],[5 cm2 cell test code]:[5 cm2 cell test code]],[1]!Table1[[Test code]:[Test code]],[1]!Table1[Q_int_frac DIW 10 mM KOH],"",0)</f>
        <v>#REF!</v>
      </c>
      <c r="AJ683" s="69" t="e" cm="1">
        <f t="array" ref="AJ683">_xlfn.XLOOKUP(Table1[[#This Row],[5 cm2 cell test code]:[5 cm2 cell test code]],[1]!Table1[[Test code]:[Test code]],[1]!Table1[DIW conductivity (µS/cm)],"",0)</f>
        <v>#REF!</v>
      </c>
    </row>
    <row r="684" spans="1:36">
      <c r="A684" s="81"/>
      <c r="U684" s="101"/>
      <c r="V684" s="101"/>
      <c r="W684" s="69" t="e" cm="1">
        <f t="array" ref="W684">_xlfn.XLOOKUP(Table1[[#This Row],[5 cm2 cell test code]:[5 cm2 cell test code]],[1]!Table1[[Test code]:[Test code]],[1]!Table1[i @ 1.8 V DIW (A/cm2)],"",0)</f>
        <v>#REF!</v>
      </c>
      <c r="X684" s="69" t="e" cm="1">
        <f t="array" ref="X684">_xlfn.XLOOKUP(Table1[[#This Row],[5 cm2 cell test code]:[5 cm2 cell test code]],[1]!Table1[[Test code]:[Test code]],[1]!Table1[i @ 1.8 V 10 mM KOH (A/cm2)],"",0)</f>
        <v>#REF!</v>
      </c>
      <c r="Y684" s="69" t="e" cm="1">
        <f t="array" ref="Y684">_xlfn.XLOOKUP(Table1[[#This Row],[5 cm2 cell test code]:[5 cm2 cell test code]],[1]!Table1[[Test code]:[Test code]],[1]!Table1[3-E ƞ at 20mAcm-2 (mV)],"",0)</f>
        <v>#REF!</v>
      </c>
      <c r="Z684" s="69" t="e" cm="1">
        <f t="array" ref="Z684">_xlfn.XLOOKUP(Table1[[#This Row],[5 cm2 cell test code]:[5 cm2 cell test code]],[1]!Table1[[Test code]:[Test code]],[1]!Table1[3-E Tafel slope (mV/dec)],"",0)</f>
        <v>#REF!</v>
      </c>
      <c r="AA684" s="69" t="e" cm="1">
        <f t="array" ref="AA684">_xlfn.XLOOKUP(Table1[[#This Row],[5 cm2 cell test code]:[5 cm2 cell test code]],[1]!Table1[[Test code]:[Test code]],[1]!Table1[E @ 100 mA/cm2 DIW/V],"",0)</f>
        <v>#REF!</v>
      </c>
      <c r="AB684" s="69" t="e" cm="1">
        <f t="array" ref="AB684">_xlfn.XLOOKUP(Table1[[#This Row],[5 cm2 cell test code]:[5 cm2 cell test code]],[1]!Table1[[Test code]:[Test code]],[1]!Table1[E @ 100 mA/cm2 10 mM KOH/V],"",0)</f>
        <v>#REF!</v>
      </c>
      <c r="AC684" s="69" t="e" cm="1">
        <f t="array" ref="AC684">_xlfn.XLOOKUP(Table1[[#This Row],[5 cm2 cell test code]:[5 cm2 cell test code]],[1]!Table1[[Test code]:[Test code]],[1]!Table1[Anode ICR/mOhm],"",0)</f>
        <v>#REF!</v>
      </c>
      <c r="AD684" s="69" t="e" cm="1">
        <f t="array" ref="AD684">_xlfn.XLOOKUP(Table1[[#This Row],[5 cm2 cell test code]:[5 cm2 cell test code]],[1]!Table1[[Test code]:[Test code]],[1]!Table1[HFR DIW/ mOhm cm2],"",0)</f>
        <v>#REF!</v>
      </c>
      <c r="AE684" s="69" t="e" cm="1">
        <f t="array" ref="AE684">_xlfn.XLOOKUP(Table1[[#This Row],[5 cm2 cell test code]:[5 cm2 cell test code]],[1]!Table1[[Test code]:[Test code]],[1]!Table1[HFR 10 mM KOH/ mOhm cm2],"",0)</f>
        <v>#REF!</v>
      </c>
      <c r="AF684" s="69" t="e" cm="1">
        <f t="array" ref="AF684">_xlfn.XLOOKUP(Table1[[#This Row],[5 cm2 cell test code]:[5 cm2 cell test code]],[1]!Table1[[Test code]:[Test code]],[1]!Table1[Ionic resistance DIW/Ohm cm2],"",0)</f>
        <v>#REF!</v>
      </c>
      <c r="AG684" s="69" t="e" cm="1">
        <f t="array" ref="AG684">_xlfn.XLOOKUP(Table1[[#This Row],[5 cm2 cell test code]:[5 cm2 cell test code]],[1]!Table1[[Test code]:[Test code]],[1]!Table1[Q_int_frac DIW],"",0)</f>
        <v>#REF!</v>
      </c>
      <c r="AH684" s="69" t="e" cm="1">
        <f t="array" ref="AH684">_xlfn.XLOOKUP(Table1[[#This Row],[5 cm2 cell test code]:[5 cm2 cell test code]],[1]!Table1[[Test code]:[Test code]],[1]!Table1[Ionic resistance 10 mM KOH/Ohm cm2],"",0)</f>
        <v>#REF!</v>
      </c>
      <c r="AI684" s="69" t="e" cm="1">
        <f t="array" ref="AI684">_xlfn.XLOOKUP(Table1[[#This Row],[5 cm2 cell test code]:[5 cm2 cell test code]],[1]!Table1[[Test code]:[Test code]],[1]!Table1[Q_int_frac DIW 10 mM KOH],"",0)</f>
        <v>#REF!</v>
      </c>
      <c r="AJ684" s="69" t="e" cm="1">
        <f t="array" ref="AJ684">_xlfn.XLOOKUP(Table1[[#This Row],[5 cm2 cell test code]:[5 cm2 cell test code]],[1]!Table1[[Test code]:[Test code]],[1]!Table1[DIW conductivity (µS/cm)],"",0)</f>
        <v>#REF!</v>
      </c>
    </row>
    <row r="685" spans="1:36">
      <c r="A685" s="81"/>
      <c r="U685" s="101"/>
      <c r="V685" s="101"/>
      <c r="W685" s="69" t="e" cm="1">
        <f t="array" ref="W685">_xlfn.XLOOKUP(Table1[[#This Row],[5 cm2 cell test code]:[5 cm2 cell test code]],[1]!Table1[[Test code]:[Test code]],[1]!Table1[i @ 1.8 V DIW (A/cm2)],"",0)</f>
        <v>#REF!</v>
      </c>
      <c r="X685" s="69" t="e" cm="1">
        <f t="array" ref="X685">_xlfn.XLOOKUP(Table1[[#This Row],[5 cm2 cell test code]:[5 cm2 cell test code]],[1]!Table1[[Test code]:[Test code]],[1]!Table1[i @ 1.8 V 10 mM KOH (A/cm2)],"",0)</f>
        <v>#REF!</v>
      </c>
      <c r="Y685" s="69" t="e" cm="1">
        <f t="array" ref="Y685">_xlfn.XLOOKUP(Table1[[#This Row],[5 cm2 cell test code]:[5 cm2 cell test code]],[1]!Table1[[Test code]:[Test code]],[1]!Table1[3-E ƞ at 20mAcm-2 (mV)],"",0)</f>
        <v>#REF!</v>
      </c>
      <c r="Z685" s="69" t="e" cm="1">
        <f t="array" ref="Z685">_xlfn.XLOOKUP(Table1[[#This Row],[5 cm2 cell test code]:[5 cm2 cell test code]],[1]!Table1[[Test code]:[Test code]],[1]!Table1[3-E Tafel slope (mV/dec)],"",0)</f>
        <v>#REF!</v>
      </c>
      <c r="AA685" s="69" t="e" cm="1">
        <f t="array" ref="AA685">_xlfn.XLOOKUP(Table1[[#This Row],[5 cm2 cell test code]:[5 cm2 cell test code]],[1]!Table1[[Test code]:[Test code]],[1]!Table1[E @ 100 mA/cm2 DIW/V],"",0)</f>
        <v>#REF!</v>
      </c>
      <c r="AB685" s="69" t="e" cm="1">
        <f t="array" ref="AB685">_xlfn.XLOOKUP(Table1[[#This Row],[5 cm2 cell test code]:[5 cm2 cell test code]],[1]!Table1[[Test code]:[Test code]],[1]!Table1[E @ 100 mA/cm2 10 mM KOH/V],"",0)</f>
        <v>#REF!</v>
      </c>
      <c r="AC685" s="69" t="e" cm="1">
        <f t="array" ref="AC685">_xlfn.XLOOKUP(Table1[[#This Row],[5 cm2 cell test code]:[5 cm2 cell test code]],[1]!Table1[[Test code]:[Test code]],[1]!Table1[Anode ICR/mOhm],"",0)</f>
        <v>#REF!</v>
      </c>
      <c r="AD685" s="69" t="e" cm="1">
        <f t="array" ref="AD685">_xlfn.XLOOKUP(Table1[[#This Row],[5 cm2 cell test code]:[5 cm2 cell test code]],[1]!Table1[[Test code]:[Test code]],[1]!Table1[HFR DIW/ mOhm cm2],"",0)</f>
        <v>#REF!</v>
      </c>
      <c r="AE685" s="69" t="e" cm="1">
        <f t="array" ref="AE685">_xlfn.XLOOKUP(Table1[[#This Row],[5 cm2 cell test code]:[5 cm2 cell test code]],[1]!Table1[[Test code]:[Test code]],[1]!Table1[HFR 10 mM KOH/ mOhm cm2],"",0)</f>
        <v>#REF!</v>
      </c>
      <c r="AF685" s="69" t="e" cm="1">
        <f t="array" ref="AF685">_xlfn.XLOOKUP(Table1[[#This Row],[5 cm2 cell test code]:[5 cm2 cell test code]],[1]!Table1[[Test code]:[Test code]],[1]!Table1[Ionic resistance DIW/Ohm cm2],"",0)</f>
        <v>#REF!</v>
      </c>
      <c r="AG685" s="69" t="e" cm="1">
        <f t="array" ref="AG685">_xlfn.XLOOKUP(Table1[[#This Row],[5 cm2 cell test code]:[5 cm2 cell test code]],[1]!Table1[[Test code]:[Test code]],[1]!Table1[Q_int_frac DIW],"",0)</f>
        <v>#REF!</v>
      </c>
      <c r="AH685" s="69" t="e" cm="1">
        <f t="array" ref="AH685">_xlfn.XLOOKUP(Table1[[#This Row],[5 cm2 cell test code]:[5 cm2 cell test code]],[1]!Table1[[Test code]:[Test code]],[1]!Table1[Ionic resistance 10 mM KOH/Ohm cm2],"",0)</f>
        <v>#REF!</v>
      </c>
      <c r="AI685" s="69" t="e" cm="1">
        <f t="array" ref="AI685">_xlfn.XLOOKUP(Table1[[#This Row],[5 cm2 cell test code]:[5 cm2 cell test code]],[1]!Table1[[Test code]:[Test code]],[1]!Table1[Q_int_frac DIW 10 mM KOH],"",0)</f>
        <v>#REF!</v>
      </c>
      <c r="AJ685" s="69" t="e" cm="1">
        <f t="array" ref="AJ685">_xlfn.XLOOKUP(Table1[[#This Row],[5 cm2 cell test code]:[5 cm2 cell test code]],[1]!Table1[[Test code]:[Test code]],[1]!Table1[DIW conductivity (µS/cm)],"",0)</f>
        <v>#REF!</v>
      </c>
    </row>
    <row r="686" spans="1:36">
      <c r="A686" s="81"/>
      <c r="U686" s="101"/>
      <c r="V686" s="101"/>
      <c r="W686" s="69" t="e" cm="1">
        <f t="array" ref="W686">_xlfn.XLOOKUP(Table1[[#This Row],[5 cm2 cell test code]:[5 cm2 cell test code]],[1]!Table1[[Test code]:[Test code]],[1]!Table1[i @ 1.8 V DIW (A/cm2)],"",0)</f>
        <v>#REF!</v>
      </c>
      <c r="X686" s="69" t="e" cm="1">
        <f t="array" ref="X686">_xlfn.XLOOKUP(Table1[[#This Row],[5 cm2 cell test code]:[5 cm2 cell test code]],[1]!Table1[[Test code]:[Test code]],[1]!Table1[i @ 1.8 V 10 mM KOH (A/cm2)],"",0)</f>
        <v>#REF!</v>
      </c>
      <c r="Y686" s="69" t="e" cm="1">
        <f t="array" ref="Y686">_xlfn.XLOOKUP(Table1[[#This Row],[5 cm2 cell test code]:[5 cm2 cell test code]],[1]!Table1[[Test code]:[Test code]],[1]!Table1[3-E ƞ at 20mAcm-2 (mV)],"",0)</f>
        <v>#REF!</v>
      </c>
      <c r="Z686" s="69" t="e" cm="1">
        <f t="array" ref="Z686">_xlfn.XLOOKUP(Table1[[#This Row],[5 cm2 cell test code]:[5 cm2 cell test code]],[1]!Table1[[Test code]:[Test code]],[1]!Table1[3-E Tafel slope (mV/dec)],"",0)</f>
        <v>#REF!</v>
      </c>
      <c r="AA686" s="69" t="e" cm="1">
        <f t="array" ref="AA686">_xlfn.XLOOKUP(Table1[[#This Row],[5 cm2 cell test code]:[5 cm2 cell test code]],[1]!Table1[[Test code]:[Test code]],[1]!Table1[E @ 100 mA/cm2 DIW/V],"",0)</f>
        <v>#REF!</v>
      </c>
      <c r="AB686" s="69" t="e" cm="1">
        <f t="array" ref="AB686">_xlfn.XLOOKUP(Table1[[#This Row],[5 cm2 cell test code]:[5 cm2 cell test code]],[1]!Table1[[Test code]:[Test code]],[1]!Table1[E @ 100 mA/cm2 10 mM KOH/V],"",0)</f>
        <v>#REF!</v>
      </c>
      <c r="AC686" s="69" t="e" cm="1">
        <f t="array" ref="AC686">_xlfn.XLOOKUP(Table1[[#This Row],[5 cm2 cell test code]:[5 cm2 cell test code]],[1]!Table1[[Test code]:[Test code]],[1]!Table1[Anode ICR/mOhm],"",0)</f>
        <v>#REF!</v>
      </c>
      <c r="AD686" s="69" t="e" cm="1">
        <f t="array" ref="AD686">_xlfn.XLOOKUP(Table1[[#This Row],[5 cm2 cell test code]:[5 cm2 cell test code]],[1]!Table1[[Test code]:[Test code]],[1]!Table1[HFR DIW/ mOhm cm2],"",0)</f>
        <v>#REF!</v>
      </c>
      <c r="AE686" s="69" t="e" cm="1">
        <f t="array" ref="AE686">_xlfn.XLOOKUP(Table1[[#This Row],[5 cm2 cell test code]:[5 cm2 cell test code]],[1]!Table1[[Test code]:[Test code]],[1]!Table1[HFR 10 mM KOH/ mOhm cm2],"",0)</f>
        <v>#REF!</v>
      </c>
      <c r="AF686" s="69" t="e" cm="1">
        <f t="array" ref="AF686">_xlfn.XLOOKUP(Table1[[#This Row],[5 cm2 cell test code]:[5 cm2 cell test code]],[1]!Table1[[Test code]:[Test code]],[1]!Table1[Ionic resistance DIW/Ohm cm2],"",0)</f>
        <v>#REF!</v>
      </c>
      <c r="AG686" s="69" t="e" cm="1">
        <f t="array" ref="AG686">_xlfn.XLOOKUP(Table1[[#This Row],[5 cm2 cell test code]:[5 cm2 cell test code]],[1]!Table1[[Test code]:[Test code]],[1]!Table1[Q_int_frac DIW],"",0)</f>
        <v>#REF!</v>
      </c>
      <c r="AH686" s="69" t="e" cm="1">
        <f t="array" ref="AH686">_xlfn.XLOOKUP(Table1[[#This Row],[5 cm2 cell test code]:[5 cm2 cell test code]],[1]!Table1[[Test code]:[Test code]],[1]!Table1[Ionic resistance 10 mM KOH/Ohm cm2],"",0)</f>
        <v>#REF!</v>
      </c>
      <c r="AI686" s="69" t="e" cm="1">
        <f t="array" ref="AI686">_xlfn.XLOOKUP(Table1[[#This Row],[5 cm2 cell test code]:[5 cm2 cell test code]],[1]!Table1[[Test code]:[Test code]],[1]!Table1[Q_int_frac DIW 10 mM KOH],"",0)</f>
        <v>#REF!</v>
      </c>
      <c r="AJ686" s="69" t="e" cm="1">
        <f t="array" ref="AJ686">_xlfn.XLOOKUP(Table1[[#This Row],[5 cm2 cell test code]:[5 cm2 cell test code]],[1]!Table1[[Test code]:[Test code]],[1]!Table1[DIW conductivity (µS/cm)],"",0)</f>
        <v>#REF!</v>
      </c>
    </row>
    <row r="687" spans="1:36">
      <c r="A687" s="81"/>
      <c r="U687" s="101"/>
      <c r="V687" s="101"/>
      <c r="W687" s="69" t="e" cm="1">
        <f t="array" ref="W687">_xlfn.XLOOKUP(Table1[[#This Row],[5 cm2 cell test code]:[5 cm2 cell test code]],[1]!Table1[[Test code]:[Test code]],[1]!Table1[i @ 1.8 V DIW (A/cm2)],"",0)</f>
        <v>#REF!</v>
      </c>
      <c r="X687" s="69" t="e" cm="1">
        <f t="array" ref="X687">_xlfn.XLOOKUP(Table1[[#This Row],[5 cm2 cell test code]:[5 cm2 cell test code]],[1]!Table1[[Test code]:[Test code]],[1]!Table1[i @ 1.8 V 10 mM KOH (A/cm2)],"",0)</f>
        <v>#REF!</v>
      </c>
      <c r="Y687" s="69" t="e" cm="1">
        <f t="array" ref="Y687">_xlfn.XLOOKUP(Table1[[#This Row],[5 cm2 cell test code]:[5 cm2 cell test code]],[1]!Table1[[Test code]:[Test code]],[1]!Table1[3-E ƞ at 20mAcm-2 (mV)],"",0)</f>
        <v>#REF!</v>
      </c>
      <c r="Z687" s="69" t="e" cm="1">
        <f t="array" ref="Z687">_xlfn.XLOOKUP(Table1[[#This Row],[5 cm2 cell test code]:[5 cm2 cell test code]],[1]!Table1[[Test code]:[Test code]],[1]!Table1[3-E Tafel slope (mV/dec)],"",0)</f>
        <v>#REF!</v>
      </c>
      <c r="AA687" s="69" t="e" cm="1">
        <f t="array" ref="AA687">_xlfn.XLOOKUP(Table1[[#This Row],[5 cm2 cell test code]:[5 cm2 cell test code]],[1]!Table1[[Test code]:[Test code]],[1]!Table1[E @ 100 mA/cm2 DIW/V],"",0)</f>
        <v>#REF!</v>
      </c>
      <c r="AB687" s="69" t="e" cm="1">
        <f t="array" ref="AB687">_xlfn.XLOOKUP(Table1[[#This Row],[5 cm2 cell test code]:[5 cm2 cell test code]],[1]!Table1[[Test code]:[Test code]],[1]!Table1[E @ 100 mA/cm2 10 mM KOH/V],"",0)</f>
        <v>#REF!</v>
      </c>
      <c r="AC687" s="69" t="e" cm="1">
        <f t="array" ref="AC687">_xlfn.XLOOKUP(Table1[[#This Row],[5 cm2 cell test code]:[5 cm2 cell test code]],[1]!Table1[[Test code]:[Test code]],[1]!Table1[Anode ICR/mOhm],"",0)</f>
        <v>#REF!</v>
      </c>
      <c r="AD687" s="69" t="e" cm="1">
        <f t="array" ref="AD687">_xlfn.XLOOKUP(Table1[[#This Row],[5 cm2 cell test code]:[5 cm2 cell test code]],[1]!Table1[[Test code]:[Test code]],[1]!Table1[HFR DIW/ mOhm cm2],"",0)</f>
        <v>#REF!</v>
      </c>
      <c r="AE687" s="69" t="e" cm="1">
        <f t="array" ref="AE687">_xlfn.XLOOKUP(Table1[[#This Row],[5 cm2 cell test code]:[5 cm2 cell test code]],[1]!Table1[[Test code]:[Test code]],[1]!Table1[HFR 10 mM KOH/ mOhm cm2],"",0)</f>
        <v>#REF!</v>
      </c>
      <c r="AF687" s="69" t="e" cm="1">
        <f t="array" ref="AF687">_xlfn.XLOOKUP(Table1[[#This Row],[5 cm2 cell test code]:[5 cm2 cell test code]],[1]!Table1[[Test code]:[Test code]],[1]!Table1[Ionic resistance DIW/Ohm cm2],"",0)</f>
        <v>#REF!</v>
      </c>
      <c r="AG687" s="69" t="e" cm="1">
        <f t="array" ref="AG687">_xlfn.XLOOKUP(Table1[[#This Row],[5 cm2 cell test code]:[5 cm2 cell test code]],[1]!Table1[[Test code]:[Test code]],[1]!Table1[Q_int_frac DIW],"",0)</f>
        <v>#REF!</v>
      </c>
      <c r="AH687" s="69" t="e" cm="1">
        <f t="array" ref="AH687">_xlfn.XLOOKUP(Table1[[#This Row],[5 cm2 cell test code]:[5 cm2 cell test code]],[1]!Table1[[Test code]:[Test code]],[1]!Table1[Ionic resistance 10 mM KOH/Ohm cm2],"",0)</f>
        <v>#REF!</v>
      </c>
      <c r="AI687" s="69" t="e" cm="1">
        <f t="array" ref="AI687">_xlfn.XLOOKUP(Table1[[#This Row],[5 cm2 cell test code]:[5 cm2 cell test code]],[1]!Table1[[Test code]:[Test code]],[1]!Table1[Q_int_frac DIW 10 mM KOH],"",0)</f>
        <v>#REF!</v>
      </c>
      <c r="AJ687" s="69" t="e" cm="1">
        <f t="array" ref="AJ687">_xlfn.XLOOKUP(Table1[[#This Row],[5 cm2 cell test code]:[5 cm2 cell test code]],[1]!Table1[[Test code]:[Test code]],[1]!Table1[DIW conductivity (µS/cm)],"",0)</f>
        <v>#REF!</v>
      </c>
    </row>
    <row r="688" spans="1:36">
      <c r="A688" s="81"/>
      <c r="U688" s="101"/>
      <c r="V688" s="101"/>
      <c r="W688" s="69" t="e" cm="1">
        <f t="array" ref="W688">_xlfn.XLOOKUP(Table1[[#This Row],[5 cm2 cell test code]:[5 cm2 cell test code]],[1]!Table1[[Test code]:[Test code]],[1]!Table1[i @ 1.8 V DIW (A/cm2)],"",0)</f>
        <v>#REF!</v>
      </c>
      <c r="X688" s="69" t="e" cm="1">
        <f t="array" ref="X688">_xlfn.XLOOKUP(Table1[[#This Row],[5 cm2 cell test code]:[5 cm2 cell test code]],[1]!Table1[[Test code]:[Test code]],[1]!Table1[i @ 1.8 V 10 mM KOH (A/cm2)],"",0)</f>
        <v>#REF!</v>
      </c>
      <c r="Y688" s="69" t="e" cm="1">
        <f t="array" ref="Y688">_xlfn.XLOOKUP(Table1[[#This Row],[5 cm2 cell test code]:[5 cm2 cell test code]],[1]!Table1[[Test code]:[Test code]],[1]!Table1[3-E ƞ at 20mAcm-2 (mV)],"",0)</f>
        <v>#REF!</v>
      </c>
      <c r="Z688" s="69" t="e" cm="1">
        <f t="array" ref="Z688">_xlfn.XLOOKUP(Table1[[#This Row],[5 cm2 cell test code]:[5 cm2 cell test code]],[1]!Table1[[Test code]:[Test code]],[1]!Table1[3-E Tafel slope (mV/dec)],"",0)</f>
        <v>#REF!</v>
      </c>
      <c r="AA688" s="69" t="e" cm="1">
        <f t="array" ref="AA688">_xlfn.XLOOKUP(Table1[[#This Row],[5 cm2 cell test code]:[5 cm2 cell test code]],[1]!Table1[[Test code]:[Test code]],[1]!Table1[E @ 100 mA/cm2 DIW/V],"",0)</f>
        <v>#REF!</v>
      </c>
      <c r="AB688" s="69" t="e" cm="1">
        <f t="array" ref="AB688">_xlfn.XLOOKUP(Table1[[#This Row],[5 cm2 cell test code]:[5 cm2 cell test code]],[1]!Table1[[Test code]:[Test code]],[1]!Table1[E @ 100 mA/cm2 10 mM KOH/V],"",0)</f>
        <v>#REF!</v>
      </c>
      <c r="AC688" s="69" t="e" cm="1">
        <f t="array" ref="AC688">_xlfn.XLOOKUP(Table1[[#This Row],[5 cm2 cell test code]:[5 cm2 cell test code]],[1]!Table1[[Test code]:[Test code]],[1]!Table1[Anode ICR/mOhm],"",0)</f>
        <v>#REF!</v>
      </c>
      <c r="AD688" s="69" t="e" cm="1">
        <f t="array" ref="AD688">_xlfn.XLOOKUP(Table1[[#This Row],[5 cm2 cell test code]:[5 cm2 cell test code]],[1]!Table1[[Test code]:[Test code]],[1]!Table1[HFR DIW/ mOhm cm2],"",0)</f>
        <v>#REF!</v>
      </c>
      <c r="AE688" s="69" t="e" cm="1">
        <f t="array" ref="AE688">_xlfn.XLOOKUP(Table1[[#This Row],[5 cm2 cell test code]:[5 cm2 cell test code]],[1]!Table1[[Test code]:[Test code]],[1]!Table1[HFR 10 mM KOH/ mOhm cm2],"",0)</f>
        <v>#REF!</v>
      </c>
      <c r="AF688" s="69" t="e" cm="1">
        <f t="array" ref="AF688">_xlfn.XLOOKUP(Table1[[#This Row],[5 cm2 cell test code]:[5 cm2 cell test code]],[1]!Table1[[Test code]:[Test code]],[1]!Table1[Ionic resistance DIW/Ohm cm2],"",0)</f>
        <v>#REF!</v>
      </c>
      <c r="AG688" s="69" t="e" cm="1">
        <f t="array" ref="AG688">_xlfn.XLOOKUP(Table1[[#This Row],[5 cm2 cell test code]:[5 cm2 cell test code]],[1]!Table1[[Test code]:[Test code]],[1]!Table1[Q_int_frac DIW],"",0)</f>
        <v>#REF!</v>
      </c>
      <c r="AH688" s="69" t="e" cm="1">
        <f t="array" ref="AH688">_xlfn.XLOOKUP(Table1[[#This Row],[5 cm2 cell test code]:[5 cm2 cell test code]],[1]!Table1[[Test code]:[Test code]],[1]!Table1[Ionic resistance 10 mM KOH/Ohm cm2],"",0)</f>
        <v>#REF!</v>
      </c>
      <c r="AI688" s="69" t="e" cm="1">
        <f t="array" ref="AI688">_xlfn.XLOOKUP(Table1[[#This Row],[5 cm2 cell test code]:[5 cm2 cell test code]],[1]!Table1[[Test code]:[Test code]],[1]!Table1[Q_int_frac DIW 10 mM KOH],"",0)</f>
        <v>#REF!</v>
      </c>
      <c r="AJ688" s="69" t="e" cm="1">
        <f t="array" ref="AJ688">_xlfn.XLOOKUP(Table1[[#This Row],[5 cm2 cell test code]:[5 cm2 cell test code]],[1]!Table1[[Test code]:[Test code]],[1]!Table1[DIW conductivity (µS/cm)],"",0)</f>
        <v>#REF!</v>
      </c>
    </row>
    <row r="689" spans="1:36">
      <c r="A689" s="81"/>
      <c r="U689" s="101"/>
      <c r="V689" s="101"/>
      <c r="W689" s="69" t="e" cm="1">
        <f t="array" ref="W689">_xlfn.XLOOKUP(Table1[[#This Row],[5 cm2 cell test code]:[5 cm2 cell test code]],[1]!Table1[[Test code]:[Test code]],[1]!Table1[i @ 1.8 V DIW (A/cm2)],"",0)</f>
        <v>#REF!</v>
      </c>
      <c r="X689" s="69" t="e" cm="1">
        <f t="array" ref="X689">_xlfn.XLOOKUP(Table1[[#This Row],[5 cm2 cell test code]:[5 cm2 cell test code]],[1]!Table1[[Test code]:[Test code]],[1]!Table1[i @ 1.8 V 10 mM KOH (A/cm2)],"",0)</f>
        <v>#REF!</v>
      </c>
      <c r="Y689" s="69" t="e" cm="1">
        <f t="array" ref="Y689">_xlfn.XLOOKUP(Table1[[#This Row],[5 cm2 cell test code]:[5 cm2 cell test code]],[1]!Table1[[Test code]:[Test code]],[1]!Table1[3-E ƞ at 20mAcm-2 (mV)],"",0)</f>
        <v>#REF!</v>
      </c>
      <c r="Z689" s="69" t="e" cm="1">
        <f t="array" ref="Z689">_xlfn.XLOOKUP(Table1[[#This Row],[5 cm2 cell test code]:[5 cm2 cell test code]],[1]!Table1[[Test code]:[Test code]],[1]!Table1[3-E Tafel slope (mV/dec)],"",0)</f>
        <v>#REF!</v>
      </c>
      <c r="AA689" s="69" t="e" cm="1">
        <f t="array" ref="AA689">_xlfn.XLOOKUP(Table1[[#This Row],[5 cm2 cell test code]:[5 cm2 cell test code]],[1]!Table1[[Test code]:[Test code]],[1]!Table1[E @ 100 mA/cm2 DIW/V],"",0)</f>
        <v>#REF!</v>
      </c>
      <c r="AB689" s="69" t="e" cm="1">
        <f t="array" ref="AB689">_xlfn.XLOOKUP(Table1[[#This Row],[5 cm2 cell test code]:[5 cm2 cell test code]],[1]!Table1[[Test code]:[Test code]],[1]!Table1[E @ 100 mA/cm2 10 mM KOH/V],"",0)</f>
        <v>#REF!</v>
      </c>
      <c r="AC689" s="69" t="e" cm="1">
        <f t="array" ref="AC689">_xlfn.XLOOKUP(Table1[[#This Row],[5 cm2 cell test code]:[5 cm2 cell test code]],[1]!Table1[[Test code]:[Test code]],[1]!Table1[Anode ICR/mOhm],"",0)</f>
        <v>#REF!</v>
      </c>
      <c r="AD689" s="69" t="e" cm="1">
        <f t="array" ref="AD689">_xlfn.XLOOKUP(Table1[[#This Row],[5 cm2 cell test code]:[5 cm2 cell test code]],[1]!Table1[[Test code]:[Test code]],[1]!Table1[HFR DIW/ mOhm cm2],"",0)</f>
        <v>#REF!</v>
      </c>
      <c r="AE689" s="69" t="e" cm="1">
        <f t="array" ref="AE689">_xlfn.XLOOKUP(Table1[[#This Row],[5 cm2 cell test code]:[5 cm2 cell test code]],[1]!Table1[[Test code]:[Test code]],[1]!Table1[HFR 10 mM KOH/ mOhm cm2],"",0)</f>
        <v>#REF!</v>
      </c>
      <c r="AF689" s="69" t="e" cm="1">
        <f t="array" ref="AF689">_xlfn.XLOOKUP(Table1[[#This Row],[5 cm2 cell test code]:[5 cm2 cell test code]],[1]!Table1[[Test code]:[Test code]],[1]!Table1[Ionic resistance DIW/Ohm cm2],"",0)</f>
        <v>#REF!</v>
      </c>
      <c r="AG689" s="69" t="e" cm="1">
        <f t="array" ref="AG689">_xlfn.XLOOKUP(Table1[[#This Row],[5 cm2 cell test code]:[5 cm2 cell test code]],[1]!Table1[[Test code]:[Test code]],[1]!Table1[Q_int_frac DIW],"",0)</f>
        <v>#REF!</v>
      </c>
      <c r="AH689" s="69" t="e" cm="1">
        <f t="array" ref="AH689">_xlfn.XLOOKUP(Table1[[#This Row],[5 cm2 cell test code]:[5 cm2 cell test code]],[1]!Table1[[Test code]:[Test code]],[1]!Table1[Ionic resistance 10 mM KOH/Ohm cm2],"",0)</f>
        <v>#REF!</v>
      </c>
      <c r="AI689" s="69" t="e" cm="1">
        <f t="array" ref="AI689">_xlfn.XLOOKUP(Table1[[#This Row],[5 cm2 cell test code]:[5 cm2 cell test code]],[1]!Table1[[Test code]:[Test code]],[1]!Table1[Q_int_frac DIW 10 mM KOH],"",0)</f>
        <v>#REF!</v>
      </c>
      <c r="AJ689" s="69" t="e" cm="1">
        <f t="array" ref="AJ689">_xlfn.XLOOKUP(Table1[[#This Row],[5 cm2 cell test code]:[5 cm2 cell test code]],[1]!Table1[[Test code]:[Test code]],[1]!Table1[DIW conductivity (µS/cm)],"",0)</f>
        <v>#REF!</v>
      </c>
    </row>
    <row r="690" spans="1:36">
      <c r="A690" s="81"/>
      <c r="U690" s="101"/>
      <c r="V690" s="101"/>
      <c r="W690" s="69" t="e" cm="1">
        <f t="array" ref="W690">_xlfn.XLOOKUP(Table1[[#This Row],[5 cm2 cell test code]:[5 cm2 cell test code]],[1]!Table1[[Test code]:[Test code]],[1]!Table1[i @ 1.8 V DIW (A/cm2)],"",0)</f>
        <v>#REF!</v>
      </c>
      <c r="X690" s="69" t="e" cm="1">
        <f t="array" ref="X690">_xlfn.XLOOKUP(Table1[[#This Row],[5 cm2 cell test code]:[5 cm2 cell test code]],[1]!Table1[[Test code]:[Test code]],[1]!Table1[i @ 1.8 V 10 mM KOH (A/cm2)],"",0)</f>
        <v>#REF!</v>
      </c>
      <c r="Y690" s="69" t="e" cm="1">
        <f t="array" ref="Y690">_xlfn.XLOOKUP(Table1[[#This Row],[5 cm2 cell test code]:[5 cm2 cell test code]],[1]!Table1[[Test code]:[Test code]],[1]!Table1[3-E ƞ at 20mAcm-2 (mV)],"",0)</f>
        <v>#REF!</v>
      </c>
      <c r="Z690" s="69" t="e" cm="1">
        <f t="array" ref="Z690">_xlfn.XLOOKUP(Table1[[#This Row],[5 cm2 cell test code]:[5 cm2 cell test code]],[1]!Table1[[Test code]:[Test code]],[1]!Table1[3-E Tafel slope (mV/dec)],"",0)</f>
        <v>#REF!</v>
      </c>
      <c r="AA690" s="69" t="e" cm="1">
        <f t="array" ref="AA690">_xlfn.XLOOKUP(Table1[[#This Row],[5 cm2 cell test code]:[5 cm2 cell test code]],[1]!Table1[[Test code]:[Test code]],[1]!Table1[E @ 100 mA/cm2 DIW/V],"",0)</f>
        <v>#REF!</v>
      </c>
      <c r="AB690" s="69" t="e" cm="1">
        <f t="array" ref="AB690">_xlfn.XLOOKUP(Table1[[#This Row],[5 cm2 cell test code]:[5 cm2 cell test code]],[1]!Table1[[Test code]:[Test code]],[1]!Table1[E @ 100 mA/cm2 10 mM KOH/V],"",0)</f>
        <v>#REF!</v>
      </c>
      <c r="AC690" s="69" t="e" cm="1">
        <f t="array" ref="AC690">_xlfn.XLOOKUP(Table1[[#This Row],[5 cm2 cell test code]:[5 cm2 cell test code]],[1]!Table1[[Test code]:[Test code]],[1]!Table1[Anode ICR/mOhm],"",0)</f>
        <v>#REF!</v>
      </c>
      <c r="AD690" s="69" t="e" cm="1">
        <f t="array" ref="AD690">_xlfn.XLOOKUP(Table1[[#This Row],[5 cm2 cell test code]:[5 cm2 cell test code]],[1]!Table1[[Test code]:[Test code]],[1]!Table1[HFR DIW/ mOhm cm2],"",0)</f>
        <v>#REF!</v>
      </c>
      <c r="AE690" s="69" t="e" cm="1">
        <f t="array" ref="AE690">_xlfn.XLOOKUP(Table1[[#This Row],[5 cm2 cell test code]:[5 cm2 cell test code]],[1]!Table1[[Test code]:[Test code]],[1]!Table1[HFR 10 mM KOH/ mOhm cm2],"",0)</f>
        <v>#REF!</v>
      </c>
      <c r="AF690" s="69" t="e" cm="1">
        <f t="array" ref="AF690">_xlfn.XLOOKUP(Table1[[#This Row],[5 cm2 cell test code]:[5 cm2 cell test code]],[1]!Table1[[Test code]:[Test code]],[1]!Table1[Ionic resistance DIW/Ohm cm2],"",0)</f>
        <v>#REF!</v>
      </c>
      <c r="AG690" s="69" t="e" cm="1">
        <f t="array" ref="AG690">_xlfn.XLOOKUP(Table1[[#This Row],[5 cm2 cell test code]:[5 cm2 cell test code]],[1]!Table1[[Test code]:[Test code]],[1]!Table1[Q_int_frac DIW],"",0)</f>
        <v>#REF!</v>
      </c>
      <c r="AH690" s="69" t="e" cm="1">
        <f t="array" ref="AH690">_xlfn.XLOOKUP(Table1[[#This Row],[5 cm2 cell test code]:[5 cm2 cell test code]],[1]!Table1[[Test code]:[Test code]],[1]!Table1[Ionic resistance 10 mM KOH/Ohm cm2],"",0)</f>
        <v>#REF!</v>
      </c>
      <c r="AI690" s="69" t="e" cm="1">
        <f t="array" ref="AI690">_xlfn.XLOOKUP(Table1[[#This Row],[5 cm2 cell test code]:[5 cm2 cell test code]],[1]!Table1[[Test code]:[Test code]],[1]!Table1[Q_int_frac DIW 10 mM KOH],"",0)</f>
        <v>#REF!</v>
      </c>
      <c r="AJ690" s="69" t="e" cm="1">
        <f t="array" ref="AJ690">_xlfn.XLOOKUP(Table1[[#This Row],[5 cm2 cell test code]:[5 cm2 cell test code]],[1]!Table1[[Test code]:[Test code]],[1]!Table1[DIW conductivity (µS/cm)],"",0)</f>
        <v>#REF!</v>
      </c>
    </row>
    <row r="691" spans="1:36">
      <c r="A691" s="81"/>
      <c r="U691" s="101"/>
      <c r="V691" s="101"/>
      <c r="W691" s="69" t="e" cm="1">
        <f t="array" ref="W691">_xlfn.XLOOKUP(Table1[[#This Row],[5 cm2 cell test code]:[5 cm2 cell test code]],[1]!Table1[[Test code]:[Test code]],[1]!Table1[i @ 1.8 V DIW (A/cm2)],"",0)</f>
        <v>#REF!</v>
      </c>
      <c r="X691" s="69" t="e" cm="1">
        <f t="array" ref="X691">_xlfn.XLOOKUP(Table1[[#This Row],[5 cm2 cell test code]:[5 cm2 cell test code]],[1]!Table1[[Test code]:[Test code]],[1]!Table1[i @ 1.8 V 10 mM KOH (A/cm2)],"",0)</f>
        <v>#REF!</v>
      </c>
      <c r="Y691" s="69" t="e" cm="1">
        <f t="array" ref="Y691">_xlfn.XLOOKUP(Table1[[#This Row],[5 cm2 cell test code]:[5 cm2 cell test code]],[1]!Table1[[Test code]:[Test code]],[1]!Table1[3-E ƞ at 20mAcm-2 (mV)],"",0)</f>
        <v>#REF!</v>
      </c>
      <c r="Z691" s="69" t="e" cm="1">
        <f t="array" ref="Z691">_xlfn.XLOOKUP(Table1[[#This Row],[5 cm2 cell test code]:[5 cm2 cell test code]],[1]!Table1[[Test code]:[Test code]],[1]!Table1[3-E Tafel slope (mV/dec)],"",0)</f>
        <v>#REF!</v>
      </c>
      <c r="AA691" s="69" t="e" cm="1">
        <f t="array" ref="AA691">_xlfn.XLOOKUP(Table1[[#This Row],[5 cm2 cell test code]:[5 cm2 cell test code]],[1]!Table1[[Test code]:[Test code]],[1]!Table1[E @ 100 mA/cm2 DIW/V],"",0)</f>
        <v>#REF!</v>
      </c>
      <c r="AB691" s="69" t="e" cm="1">
        <f t="array" ref="AB691">_xlfn.XLOOKUP(Table1[[#This Row],[5 cm2 cell test code]:[5 cm2 cell test code]],[1]!Table1[[Test code]:[Test code]],[1]!Table1[E @ 100 mA/cm2 10 mM KOH/V],"",0)</f>
        <v>#REF!</v>
      </c>
      <c r="AC691" s="69" t="e" cm="1">
        <f t="array" ref="AC691">_xlfn.XLOOKUP(Table1[[#This Row],[5 cm2 cell test code]:[5 cm2 cell test code]],[1]!Table1[[Test code]:[Test code]],[1]!Table1[Anode ICR/mOhm],"",0)</f>
        <v>#REF!</v>
      </c>
      <c r="AD691" s="69" t="e" cm="1">
        <f t="array" ref="AD691">_xlfn.XLOOKUP(Table1[[#This Row],[5 cm2 cell test code]:[5 cm2 cell test code]],[1]!Table1[[Test code]:[Test code]],[1]!Table1[HFR DIW/ mOhm cm2],"",0)</f>
        <v>#REF!</v>
      </c>
      <c r="AE691" s="69" t="e" cm="1">
        <f t="array" ref="AE691">_xlfn.XLOOKUP(Table1[[#This Row],[5 cm2 cell test code]:[5 cm2 cell test code]],[1]!Table1[[Test code]:[Test code]],[1]!Table1[HFR 10 mM KOH/ mOhm cm2],"",0)</f>
        <v>#REF!</v>
      </c>
      <c r="AF691" s="69" t="e" cm="1">
        <f t="array" ref="AF691">_xlfn.XLOOKUP(Table1[[#This Row],[5 cm2 cell test code]:[5 cm2 cell test code]],[1]!Table1[[Test code]:[Test code]],[1]!Table1[Ionic resistance DIW/Ohm cm2],"",0)</f>
        <v>#REF!</v>
      </c>
      <c r="AG691" s="69" t="e" cm="1">
        <f t="array" ref="AG691">_xlfn.XLOOKUP(Table1[[#This Row],[5 cm2 cell test code]:[5 cm2 cell test code]],[1]!Table1[[Test code]:[Test code]],[1]!Table1[Q_int_frac DIW],"",0)</f>
        <v>#REF!</v>
      </c>
      <c r="AH691" s="69" t="e" cm="1">
        <f t="array" ref="AH691">_xlfn.XLOOKUP(Table1[[#This Row],[5 cm2 cell test code]:[5 cm2 cell test code]],[1]!Table1[[Test code]:[Test code]],[1]!Table1[Ionic resistance 10 mM KOH/Ohm cm2],"",0)</f>
        <v>#REF!</v>
      </c>
      <c r="AI691" s="69" t="e" cm="1">
        <f t="array" ref="AI691">_xlfn.XLOOKUP(Table1[[#This Row],[5 cm2 cell test code]:[5 cm2 cell test code]],[1]!Table1[[Test code]:[Test code]],[1]!Table1[Q_int_frac DIW 10 mM KOH],"",0)</f>
        <v>#REF!</v>
      </c>
      <c r="AJ691" s="69" t="e" cm="1">
        <f t="array" ref="AJ691">_xlfn.XLOOKUP(Table1[[#This Row],[5 cm2 cell test code]:[5 cm2 cell test code]],[1]!Table1[[Test code]:[Test code]],[1]!Table1[DIW conductivity (µS/cm)],"",0)</f>
        <v>#REF!</v>
      </c>
    </row>
    <row r="692" spans="1:36">
      <c r="A692" s="81"/>
      <c r="U692" s="101"/>
      <c r="V692" s="101"/>
      <c r="W692" s="69" t="e" cm="1">
        <f t="array" ref="W692">_xlfn.XLOOKUP(Table1[[#This Row],[5 cm2 cell test code]:[5 cm2 cell test code]],[1]!Table1[[Test code]:[Test code]],[1]!Table1[i @ 1.8 V DIW (A/cm2)],"",0)</f>
        <v>#REF!</v>
      </c>
      <c r="X692" s="69" t="e" cm="1">
        <f t="array" ref="X692">_xlfn.XLOOKUP(Table1[[#This Row],[5 cm2 cell test code]:[5 cm2 cell test code]],[1]!Table1[[Test code]:[Test code]],[1]!Table1[i @ 1.8 V 10 mM KOH (A/cm2)],"",0)</f>
        <v>#REF!</v>
      </c>
      <c r="Y692" s="69" t="e" cm="1">
        <f t="array" ref="Y692">_xlfn.XLOOKUP(Table1[[#This Row],[5 cm2 cell test code]:[5 cm2 cell test code]],[1]!Table1[[Test code]:[Test code]],[1]!Table1[3-E ƞ at 20mAcm-2 (mV)],"",0)</f>
        <v>#REF!</v>
      </c>
      <c r="Z692" s="69" t="e" cm="1">
        <f t="array" ref="Z692">_xlfn.XLOOKUP(Table1[[#This Row],[5 cm2 cell test code]:[5 cm2 cell test code]],[1]!Table1[[Test code]:[Test code]],[1]!Table1[3-E Tafel slope (mV/dec)],"",0)</f>
        <v>#REF!</v>
      </c>
      <c r="AA692" s="69" t="e" cm="1">
        <f t="array" ref="AA692">_xlfn.XLOOKUP(Table1[[#This Row],[5 cm2 cell test code]:[5 cm2 cell test code]],[1]!Table1[[Test code]:[Test code]],[1]!Table1[E @ 100 mA/cm2 DIW/V],"",0)</f>
        <v>#REF!</v>
      </c>
      <c r="AB692" s="69" t="e" cm="1">
        <f t="array" ref="AB692">_xlfn.XLOOKUP(Table1[[#This Row],[5 cm2 cell test code]:[5 cm2 cell test code]],[1]!Table1[[Test code]:[Test code]],[1]!Table1[E @ 100 mA/cm2 10 mM KOH/V],"",0)</f>
        <v>#REF!</v>
      </c>
      <c r="AC692" s="69" t="e" cm="1">
        <f t="array" ref="AC692">_xlfn.XLOOKUP(Table1[[#This Row],[5 cm2 cell test code]:[5 cm2 cell test code]],[1]!Table1[[Test code]:[Test code]],[1]!Table1[Anode ICR/mOhm],"",0)</f>
        <v>#REF!</v>
      </c>
      <c r="AD692" s="69" t="e" cm="1">
        <f t="array" ref="AD692">_xlfn.XLOOKUP(Table1[[#This Row],[5 cm2 cell test code]:[5 cm2 cell test code]],[1]!Table1[[Test code]:[Test code]],[1]!Table1[HFR DIW/ mOhm cm2],"",0)</f>
        <v>#REF!</v>
      </c>
      <c r="AE692" s="69" t="e" cm="1">
        <f t="array" ref="AE692">_xlfn.XLOOKUP(Table1[[#This Row],[5 cm2 cell test code]:[5 cm2 cell test code]],[1]!Table1[[Test code]:[Test code]],[1]!Table1[HFR 10 mM KOH/ mOhm cm2],"",0)</f>
        <v>#REF!</v>
      </c>
      <c r="AF692" s="69" t="e" cm="1">
        <f t="array" ref="AF692">_xlfn.XLOOKUP(Table1[[#This Row],[5 cm2 cell test code]:[5 cm2 cell test code]],[1]!Table1[[Test code]:[Test code]],[1]!Table1[Ionic resistance DIW/Ohm cm2],"",0)</f>
        <v>#REF!</v>
      </c>
      <c r="AG692" s="69" t="e" cm="1">
        <f t="array" ref="AG692">_xlfn.XLOOKUP(Table1[[#This Row],[5 cm2 cell test code]:[5 cm2 cell test code]],[1]!Table1[[Test code]:[Test code]],[1]!Table1[Q_int_frac DIW],"",0)</f>
        <v>#REF!</v>
      </c>
      <c r="AH692" s="69" t="e" cm="1">
        <f t="array" ref="AH692">_xlfn.XLOOKUP(Table1[[#This Row],[5 cm2 cell test code]:[5 cm2 cell test code]],[1]!Table1[[Test code]:[Test code]],[1]!Table1[Ionic resistance 10 mM KOH/Ohm cm2],"",0)</f>
        <v>#REF!</v>
      </c>
      <c r="AI692" s="69" t="e" cm="1">
        <f t="array" ref="AI692">_xlfn.XLOOKUP(Table1[[#This Row],[5 cm2 cell test code]:[5 cm2 cell test code]],[1]!Table1[[Test code]:[Test code]],[1]!Table1[Q_int_frac DIW 10 mM KOH],"",0)</f>
        <v>#REF!</v>
      </c>
      <c r="AJ692" s="69" t="e" cm="1">
        <f t="array" ref="AJ692">_xlfn.XLOOKUP(Table1[[#This Row],[5 cm2 cell test code]:[5 cm2 cell test code]],[1]!Table1[[Test code]:[Test code]],[1]!Table1[DIW conductivity (µS/cm)],"",0)</f>
        <v>#REF!</v>
      </c>
    </row>
    <row r="693" spans="1:36">
      <c r="A693" s="81"/>
      <c r="U693" s="101"/>
      <c r="V693" s="101"/>
      <c r="W693" s="69" t="e" cm="1">
        <f t="array" ref="W693">_xlfn.XLOOKUP(Table1[[#This Row],[5 cm2 cell test code]:[5 cm2 cell test code]],[1]!Table1[[Test code]:[Test code]],[1]!Table1[i @ 1.8 V DIW (A/cm2)],"",0)</f>
        <v>#REF!</v>
      </c>
      <c r="X693" s="69" t="e" cm="1">
        <f t="array" ref="X693">_xlfn.XLOOKUP(Table1[[#This Row],[5 cm2 cell test code]:[5 cm2 cell test code]],[1]!Table1[[Test code]:[Test code]],[1]!Table1[i @ 1.8 V 10 mM KOH (A/cm2)],"",0)</f>
        <v>#REF!</v>
      </c>
      <c r="Y693" s="69" t="e" cm="1">
        <f t="array" ref="Y693">_xlfn.XLOOKUP(Table1[[#This Row],[5 cm2 cell test code]:[5 cm2 cell test code]],[1]!Table1[[Test code]:[Test code]],[1]!Table1[3-E ƞ at 20mAcm-2 (mV)],"",0)</f>
        <v>#REF!</v>
      </c>
      <c r="Z693" s="69" t="e" cm="1">
        <f t="array" ref="Z693">_xlfn.XLOOKUP(Table1[[#This Row],[5 cm2 cell test code]:[5 cm2 cell test code]],[1]!Table1[[Test code]:[Test code]],[1]!Table1[3-E Tafel slope (mV/dec)],"",0)</f>
        <v>#REF!</v>
      </c>
      <c r="AA693" s="69" t="e" cm="1">
        <f t="array" ref="AA693">_xlfn.XLOOKUP(Table1[[#This Row],[5 cm2 cell test code]:[5 cm2 cell test code]],[1]!Table1[[Test code]:[Test code]],[1]!Table1[E @ 100 mA/cm2 DIW/V],"",0)</f>
        <v>#REF!</v>
      </c>
      <c r="AB693" s="69" t="e" cm="1">
        <f t="array" ref="AB693">_xlfn.XLOOKUP(Table1[[#This Row],[5 cm2 cell test code]:[5 cm2 cell test code]],[1]!Table1[[Test code]:[Test code]],[1]!Table1[E @ 100 mA/cm2 10 mM KOH/V],"",0)</f>
        <v>#REF!</v>
      </c>
      <c r="AC693" s="69" t="e" cm="1">
        <f t="array" ref="AC693">_xlfn.XLOOKUP(Table1[[#This Row],[5 cm2 cell test code]:[5 cm2 cell test code]],[1]!Table1[[Test code]:[Test code]],[1]!Table1[Anode ICR/mOhm],"",0)</f>
        <v>#REF!</v>
      </c>
      <c r="AD693" s="69" t="e" cm="1">
        <f t="array" ref="AD693">_xlfn.XLOOKUP(Table1[[#This Row],[5 cm2 cell test code]:[5 cm2 cell test code]],[1]!Table1[[Test code]:[Test code]],[1]!Table1[HFR DIW/ mOhm cm2],"",0)</f>
        <v>#REF!</v>
      </c>
      <c r="AE693" s="69" t="e" cm="1">
        <f t="array" ref="AE693">_xlfn.XLOOKUP(Table1[[#This Row],[5 cm2 cell test code]:[5 cm2 cell test code]],[1]!Table1[[Test code]:[Test code]],[1]!Table1[HFR 10 mM KOH/ mOhm cm2],"",0)</f>
        <v>#REF!</v>
      </c>
      <c r="AF693" s="69" t="e" cm="1">
        <f t="array" ref="AF693">_xlfn.XLOOKUP(Table1[[#This Row],[5 cm2 cell test code]:[5 cm2 cell test code]],[1]!Table1[[Test code]:[Test code]],[1]!Table1[Ionic resistance DIW/Ohm cm2],"",0)</f>
        <v>#REF!</v>
      </c>
      <c r="AG693" s="69" t="e" cm="1">
        <f t="array" ref="AG693">_xlfn.XLOOKUP(Table1[[#This Row],[5 cm2 cell test code]:[5 cm2 cell test code]],[1]!Table1[[Test code]:[Test code]],[1]!Table1[Q_int_frac DIW],"",0)</f>
        <v>#REF!</v>
      </c>
      <c r="AH693" s="69" t="e" cm="1">
        <f t="array" ref="AH693">_xlfn.XLOOKUP(Table1[[#This Row],[5 cm2 cell test code]:[5 cm2 cell test code]],[1]!Table1[[Test code]:[Test code]],[1]!Table1[Ionic resistance 10 mM KOH/Ohm cm2],"",0)</f>
        <v>#REF!</v>
      </c>
      <c r="AI693" s="69" t="e" cm="1">
        <f t="array" ref="AI693">_xlfn.XLOOKUP(Table1[[#This Row],[5 cm2 cell test code]:[5 cm2 cell test code]],[1]!Table1[[Test code]:[Test code]],[1]!Table1[Q_int_frac DIW 10 mM KOH],"",0)</f>
        <v>#REF!</v>
      </c>
      <c r="AJ693" s="69" t="e" cm="1">
        <f t="array" ref="AJ693">_xlfn.XLOOKUP(Table1[[#This Row],[5 cm2 cell test code]:[5 cm2 cell test code]],[1]!Table1[[Test code]:[Test code]],[1]!Table1[DIW conductivity (µS/cm)],"",0)</f>
        <v>#REF!</v>
      </c>
    </row>
    <row r="694" spans="1:36">
      <c r="A694" s="81"/>
      <c r="U694" s="101"/>
      <c r="V694" s="101"/>
      <c r="W694" s="69" t="e" cm="1">
        <f t="array" ref="W694">_xlfn.XLOOKUP(Table1[[#This Row],[5 cm2 cell test code]:[5 cm2 cell test code]],[1]!Table1[[Test code]:[Test code]],[1]!Table1[i @ 1.8 V DIW (A/cm2)],"",0)</f>
        <v>#REF!</v>
      </c>
      <c r="X694" s="69" t="e" cm="1">
        <f t="array" ref="X694">_xlfn.XLOOKUP(Table1[[#This Row],[5 cm2 cell test code]:[5 cm2 cell test code]],[1]!Table1[[Test code]:[Test code]],[1]!Table1[i @ 1.8 V 10 mM KOH (A/cm2)],"",0)</f>
        <v>#REF!</v>
      </c>
      <c r="Y694" s="69" t="e" cm="1">
        <f t="array" ref="Y694">_xlfn.XLOOKUP(Table1[[#This Row],[5 cm2 cell test code]:[5 cm2 cell test code]],[1]!Table1[[Test code]:[Test code]],[1]!Table1[3-E ƞ at 20mAcm-2 (mV)],"",0)</f>
        <v>#REF!</v>
      </c>
      <c r="Z694" s="69" t="e" cm="1">
        <f t="array" ref="Z694">_xlfn.XLOOKUP(Table1[[#This Row],[5 cm2 cell test code]:[5 cm2 cell test code]],[1]!Table1[[Test code]:[Test code]],[1]!Table1[3-E Tafel slope (mV/dec)],"",0)</f>
        <v>#REF!</v>
      </c>
      <c r="AA694" s="69" t="e" cm="1">
        <f t="array" ref="AA694">_xlfn.XLOOKUP(Table1[[#This Row],[5 cm2 cell test code]:[5 cm2 cell test code]],[1]!Table1[[Test code]:[Test code]],[1]!Table1[E @ 100 mA/cm2 DIW/V],"",0)</f>
        <v>#REF!</v>
      </c>
      <c r="AB694" s="69" t="e" cm="1">
        <f t="array" ref="AB694">_xlfn.XLOOKUP(Table1[[#This Row],[5 cm2 cell test code]:[5 cm2 cell test code]],[1]!Table1[[Test code]:[Test code]],[1]!Table1[E @ 100 mA/cm2 10 mM KOH/V],"",0)</f>
        <v>#REF!</v>
      </c>
      <c r="AC694" s="69" t="e" cm="1">
        <f t="array" ref="AC694">_xlfn.XLOOKUP(Table1[[#This Row],[5 cm2 cell test code]:[5 cm2 cell test code]],[1]!Table1[[Test code]:[Test code]],[1]!Table1[Anode ICR/mOhm],"",0)</f>
        <v>#REF!</v>
      </c>
      <c r="AD694" s="69" t="e" cm="1">
        <f t="array" ref="AD694">_xlfn.XLOOKUP(Table1[[#This Row],[5 cm2 cell test code]:[5 cm2 cell test code]],[1]!Table1[[Test code]:[Test code]],[1]!Table1[HFR DIW/ mOhm cm2],"",0)</f>
        <v>#REF!</v>
      </c>
      <c r="AE694" s="69" t="e" cm="1">
        <f t="array" ref="AE694">_xlfn.XLOOKUP(Table1[[#This Row],[5 cm2 cell test code]:[5 cm2 cell test code]],[1]!Table1[[Test code]:[Test code]],[1]!Table1[HFR 10 mM KOH/ mOhm cm2],"",0)</f>
        <v>#REF!</v>
      </c>
      <c r="AF694" s="69" t="e" cm="1">
        <f t="array" ref="AF694">_xlfn.XLOOKUP(Table1[[#This Row],[5 cm2 cell test code]:[5 cm2 cell test code]],[1]!Table1[[Test code]:[Test code]],[1]!Table1[Ionic resistance DIW/Ohm cm2],"",0)</f>
        <v>#REF!</v>
      </c>
      <c r="AG694" s="69" t="e" cm="1">
        <f t="array" ref="AG694">_xlfn.XLOOKUP(Table1[[#This Row],[5 cm2 cell test code]:[5 cm2 cell test code]],[1]!Table1[[Test code]:[Test code]],[1]!Table1[Q_int_frac DIW],"",0)</f>
        <v>#REF!</v>
      </c>
      <c r="AH694" s="69" t="e" cm="1">
        <f t="array" ref="AH694">_xlfn.XLOOKUP(Table1[[#This Row],[5 cm2 cell test code]:[5 cm2 cell test code]],[1]!Table1[[Test code]:[Test code]],[1]!Table1[Ionic resistance 10 mM KOH/Ohm cm2],"",0)</f>
        <v>#REF!</v>
      </c>
      <c r="AI694" s="69" t="e" cm="1">
        <f t="array" ref="AI694">_xlfn.XLOOKUP(Table1[[#This Row],[5 cm2 cell test code]:[5 cm2 cell test code]],[1]!Table1[[Test code]:[Test code]],[1]!Table1[Q_int_frac DIW 10 mM KOH],"",0)</f>
        <v>#REF!</v>
      </c>
      <c r="AJ694" s="69" t="e" cm="1">
        <f t="array" ref="AJ694">_xlfn.XLOOKUP(Table1[[#This Row],[5 cm2 cell test code]:[5 cm2 cell test code]],[1]!Table1[[Test code]:[Test code]],[1]!Table1[DIW conductivity (µS/cm)],"",0)</f>
        <v>#REF!</v>
      </c>
    </row>
    <row r="695" spans="1:36">
      <c r="A695" s="81"/>
      <c r="U695" s="101"/>
      <c r="V695" s="101"/>
      <c r="W695" s="69" t="e" cm="1">
        <f t="array" ref="W695">_xlfn.XLOOKUP(Table1[[#This Row],[5 cm2 cell test code]:[5 cm2 cell test code]],[1]!Table1[[Test code]:[Test code]],[1]!Table1[i @ 1.8 V DIW (A/cm2)],"",0)</f>
        <v>#REF!</v>
      </c>
      <c r="X695" s="69" t="e" cm="1">
        <f t="array" ref="X695">_xlfn.XLOOKUP(Table1[[#This Row],[5 cm2 cell test code]:[5 cm2 cell test code]],[1]!Table1[[Test code]:[Test code]],[1]!Table1[i @ 1.8 V 10 mM KOH (A/cm2)],"",0)</f>
        <v>#REF!</v>
      </c>
      <c r="Y695" s="69" t="e" cm="1">
        <f t="array" ref="Y695">_xlfn.XLOOKUP(Table1[[#This Row],[5 cm2 cell test code]:[5 cm2 cell test code]],[1]!Table1[[Test code]:[Test code]],[1]!Table1[3-E ƞ at 20mAcm-2 (mV)],"",0)</f>
        <v>#REF!</v>
      </c>
      <c r="Z695" s="69" t="e" cm="1">
        <f t="array" ref="Z695">_xlfn.XLOOKUP(Table1[[#This Row],[5 cm2 cell test code]:[5 cm2 cell test code]],[1]!Table1[[Test code]:[Test code]],[1]!Table1[3-E Tafel slope (mV/dec)],"",0)</f>
        <v>#REF!</v>
      </c>
      <c r="AA695" s="69" t="e" cm="1">
        <f t="array" ref="AA695">_xlfn.XLOOKUP(Table1[[#This Row],[5 cm2 cell test code]:[5 cm2 cell test code]],[1]!Table1[[Test code]:[Test code]],[1]!Table1[E @ 100 mA/cm2 DIW/V],"",0)</f>
        <v>#REF!</v>
      </c>
      <c r="AB695" s="69" t="e" cm="1">
        <f t="array" ref="AB695">_xlfn.XLOOKUP(Table1[[#This Row],[5 cm2 cell test code]:[5 cm2 cell test code]],[1]!Table1[[Test code]:[Test code]],[1]!Table1[E @ 100 mA/cm2 10 mM KOH/V],"",0)</f>
        <v>#REF!</v>
      </c>
      <c r="AC695" s="69" t="e" cm="1">
        <f t="array" ref="AC695">_xlfn.XLOOKUP(Table1[[#This Row],[5 cm2 cell test code]:[5 cm2 cell test code]],[1]!Table1[[Test code]:[Test code]],[1]!Table1[Anode ICR/mOhm],"",0)</f>
        <v>#REF!</v>
      </c>
      <c r="AD695" s="69" t="e" cm="1">
        <f t="array" ref="AD695">_xlfn.XLOOKUP(Table1[[#This Row],[5 cm2 cell test code]:[5 cm2 cell test code]],[1]!Table1[[Test code]:[Test code]],[1]!Table1[HFR DIW/ mOhm cm2],"",0)</f>
        <v>#REF!</v>
      </c>
      <c r="AE695" s="69" t="e" cm="1">
        <f t="array" ref="AE695">_xlfn.XLOOKUP(Table1[[#This Row],[5 cm2 cell test code]:[5 cm2 cell test code]],[1]!Table1[[Test code]:[Test code]],[1]!Table1[HFR 10 mM KOH/ mOhm cm2],"",0)</f>
        <v>#REF!</v>
      </c>
      <c r="AF695" s="69" t="e" cm="1">
        <f t="array" ref="AF695">_xlfn.XLOOKUP(Table1[[#This Row],[5 cm2 cell test code]:[5 cm2 cell test code]],[1]!Table1[[Test code]:[Test code]],[1]!Table1[Ionic resistance DIW/Ohm cm2],"",0)</f>
        <v>#REF!</v>
      </c>
      <c r="AG695" s="69" t="e" cm="1">
        <f t="array" ref="AG695">_xlfn.XLOOKUP(Table1[[#This Row],[5 cm2 cell test code]:[5 cm2 cell test code]],[1]!Table1[[Test code]:[Test code]],[1]!Table1[Q_int_frac DIW],"",0)</f>
        <v>#REF!</v>
      </c>
      <c r="AH695" s="69" t="e" cm="1">
        <f t="array" ref="AH695">_xlfn.XLOOKUP(Table1[[#This Row],[5 cm2 cell test code]:[5 cm2 cell test code]],[1]!Table1[[Test code]:[Test code]],[1]!Table1[Ionic resistance 10 mM KOH/Ohm cm2],"",0)</f>
        <v>#REF!</v>
      </c>
      <c r="AI695" s="69" t="e" cm="1">
        <f t="array" ref="AI695">_xlfn.XLOOKUP(Table1[[#This Row],[5 cm2 cell test code]:[5 cm2 cell test code]],[1]!Table1[[Test code]:[Test code]],[1]!Table1[Q_int_frac DIW 10 mM KOH],"",0)</f>
        <v>#REF!</v>
      </c>
      <c r="AJ695" s="69" t="e" cm="1">
        <f t="array" ref="AJ695">_xlfn.XLOOKUP(Table1[[#This Row],[5 cm2 cell test code]:[5 cm2 cell test code]],[1]!Table1[[Test code]:[Test code]],[1]!Table1[DIW conductivity (µS/cm)],"",0)</f>
        <v>#REF!</v>
      </c>
    </row>
    <row r="696" spans="1:36">
      <c r="A696" s="81"/>
      <c r="U696" s="101"/>
      <c r="V696" s="101"/>
      <c r="W696" s="69" t="e" cm="1">
        <f t="array" ref="W696">_xlfn.XLOOKUP(Table1[[#This Row],[5 cm2 cell test code]:[5 cm2 cell test code]],[1]!Table1[[Test code]:[Test code]],[1]!Table1[i @ 1.8 V DIW (A/cm2)],"",0)</f>
        <v>#REF!</v>
      </c>
      <c r="X696" s="69" t="e" cm="1">
        <f t="array" ref="X696">_xlfn.XLOOKUP(Table1[[#This Row],[5 cm2 cell test code]:[5 cm2 cell test code]],[1]!Table1[[Test code]:[Test code]],[1]!Table1[i @ 1.8 V 10 mM KOH (A/cm2)],"",0)</f>
        <v>#REF!</v>
      </c>
      <c r="Y696" s="69" t="e" cm="1">
        <f t="array" ref="Y696">_xlfn.XLOOKUP(Table1[[#This Row],[5 cm2 cell test code]:[5 cm2 cell test code]],[1]!Table1[[Test code]:[Test code]],[1]!Table1[3-E ƞ at 20mAcm-2 (mV)],"",0)</f>
        <v>#REF!</v>
      </c>
      <c r="Z696" s="69" t="e" cm="1">
        <f t="array" ref="Z696">_xlfn.XLOOKUP(Table1[[#This Row],[5 cm2 cell test code]:[5 cm2 cell test code]],[1]!Table1[[Test code]:[Test code]],[1]!Table1[3-E Tafel slope (mV/dec)],"",0)</f>
        <v>#REF!</v>
      </c>
      <c r="AA696" s="69" t="e" cm="1">
        <f t="array" ref="AA696">_xlfn.XLOOKUP(Table1[[#This Row],[5 cm2 cell test code]:[5 cm2 cell test code]],[1]!Table1[[Test code]:[Test code]],[1]!Table1[E @ 100 mA/cm2 DIW/V],"",0)</f>
        <v>#REF!</v>
      </c>
      <c r="AB696" s="69" t="e" cm="1">
        <f t="array" ref="AB696">_xlfn.XLOOKUP(Table1[[#This Row],[5 cm2 cell test code]:[5 cm2 cell test code]],[1]!Table1[[Test code]:[Test code]],[1]!Table1[E @ 100 mA/cm2 10 mM KOH/V],"",0)</f>
        <v>#REF!</v>
      </c>
      <c r="AC696" s="69" t="e" cm="1">
        <f t="array" ref="AC696">_xlfn.XLOOKUP(Table1[[#This Row],[5 cm2 cell test code]:[5 cm2 cell test code]],[1]!Table1[[Test code]:[Test code]],[1]!Table1[Anode ICR/mOhm],"",0)</f>
        <v>#REF!</v>
      </c>
      <c r="AD696" s="69" t="e" cm="1">
        <f t="array" ref="AD696">_xlfn.XLOOKUP(Table1[[#This Row],[5 cm2 cell test code]:[5 cm2 cell test code]],[1]!Table1[[Test code]:[Test code]],[1]!Table1[HFR DIW/ mOhm cm2],"",0)</f>
        <v>#REF!</v>
      </c>
      <c r="AE696" s="69" t="e" cm="1">
        <f t="array" ref="AE696">_xlfn.XLOOKUP(Table1[[#This Row],[5 cm2 cell test code]:[5 cm2 cell test code]],[1]!Table1[[Test code]:[Test code]],[1]!Table1[HFR 10 mM KOH/ mOhm cm2],"",0)</f>
        <v>#REF!</v>
      </c>
      <c r="AF696" s="69" t="e" cm="1">
        <f t="array" ref="AF696">_xlfn.XLOOKUP(Table1[[#This Row],[5 cm2 cell test code]:[5 cm2 cell test code]],[1]!Table1[[Test code]:[Test code]],[1]!Table1[Ionic resistance DIW/Ohm cm2],"",0)</f>
        <v>#REF!</v>
      </c>
      <c r="AG696" s="69" t="e" cm="1">
        <f t="array" ref="AG696">_xlfn.XLOOKUP(Table1[[#This Row],[5 cm2 cell test code]:[5 cm2 cell test code]],[1]!Table1[[Test code]:[Test code]],[1]!Table1[Q_int_frac DIW],"",0)</f>
        <v>#REF!</v>
      </c>
      <c r="AH696" s="69" t="e" cm="1">
        <f t="array" ref="AH696">_xlfn.XLOOKUP(Table1[[#This Row],[5 cm2 cell test code]:[5 cm2 cell test code]],[1]!Table1[[Test code]:[Test code]],[1]!Table1[Ionic resistance 10 mM KOH/Ohm cm2],"",0)</f>
        <v>#REF!</v>
      </c>
      <c r="AI696" s="69" t="e" cm="1">
        <f t="array" ref="AI696">_xlfn.XLOOKUP(Table1[[#This Row],[5 cm2 cell test code]:[5 cm2 cell test code]],[1]!Table1[[Test code]:[Test code]],[1]!Table1[Q_int_frac DIW 10 mM KOH],"",0)</f>
        <v>#REF!</v>
      </c>
      <c r="AJ696" s="69" t="e" cm="1">
        <f t="array" ref="AJ696">_xlfn.XLOOKUP(Table1[[#This Row],[5 cm2 cell test code]:[5 cm2 cell test code]],[1]!Table1[[Test code]:[Test code]],[1]!Table1[DIW conductivity (µS/cm)],"",0)</f>
        <v>#REF!</v>
      </c>
    </row>
    <row r="697" spans="1:36">
      <c r="A697" s="81"/>
      <c r="U697" s="101"/>
      <c r="V697" s="101"/>
      <c r="W697" s="69" t="e" cm="1">
        <f t="array" ref="W697">_xlfn.XLOOKUP(Table1[[#This Row],[5 cm2 cell test code]:[5 cm2 cell test code]],[1]!Table1[[Test code]:[Test code]],[1]!Table1[i @ 1.8 V DIW (A/cm2)],"",0)</f>
        <v>#REF!</v>
      </c>
      <c r="X697" s="69" t="e" cm="1">
        <f t="array" ref="X697">_xlfn.XLOOKUP(Table1[[#This Row],[5 cm2 cell test code]:[5 cm2 cell test code]],[1]!Table1[[Test code]:[Test code]],[1]!Table1[i @ 1.8 V 10 mM KOH (A/cm2)],"",0)</f>
        <v>#REF!</v>
      </c>
      <c r="Y697" s="69" t="e" cm="1">
        <f t="array" ref="Y697">_xlfn.XLOOKUP(Table1[[#This Row],[5 cm2 cell test code]:[5 cm2 cell test code]],[1]!Table1[[Test code]:[Test code]],[1]!Table1[3-E ƞ at 20mAcm-2 (mV)],"",0)</f>
        <v>#REF!</v>
      </c>
      <c r="Z697" s="69" t="e" cm="1">
        <f t="array" ref="Z697">_xlfn.XLOOKUP(Table1[[#This Row],[5 cm2 cell test code]:[5 cm2 cell test code]],[1]!Table1[[Test code]:[Test code]],[1]!Table1[3-E Tafel slope (mV/dec)],"",0)</f>
        <v>#REF!</v>
      </c>
      <c r="AA697" s="69" t="e" cm="1">
        <f t="array" ref="AA697">_xlfn.XLOOKUP(Table1[[#This Row],[5 cm2 cell test code]:[5 cm2 cell test code]],[1]!Table1[[Test code]:[Test code]],[1]!Table1[E @ 100 mA/cm2 DIW/V],"",0)</f>
        <v>#REF!</v>
      </c>
      <c r="AB697" s="69" t="e" cm="1">
        <f t="array" ref="AB697">_xlfn.XLOOKUP(Table1[[#This Row],[5 cm2 cell test code]:[5 cm2 cell test code]],[1]!Table1[[Test code]:[Test code]],[1]!Table1[E @ 100 mA/cm2 10 mM KOH/V],"",0)</f>
        <v>#REF!</v>
      </c>
      <c r="AC697" s="69" t="e" cm="1">
        <f t="array" ref="AC697">_xlfn.XLOOKUP(Table1[[#This Row],[5 cm2 cell test code]:[5 cm2 cell test code]],[1]!Table1[[Test code]:[Test code]],[1]!Table1[Anode ICR/mOhm],"",0)</f>
        <v>#REF!</v>
      </c>
      <c r="AD697" s="69" t="e" cm="1">
        <f t="array" ref="AD697">_xlfn.XLOOKUP(Table1[[#This Row],[5 cm2 cell test code]:[5 cm2 cell test code]],[1]!Table1[[Test code]:[Test code]],[1]!Table1[HFR DIW/ mOhm cm2],"",0)</f>
        <v>#REF!</v>
      </c>
      <c r="AE697" s="69" t="e" cm="1">
        <f t="array" ref="AE697">_xlfn.XLOOKUP(Table1[[#This Row],[5 cm2 cell test code]:[5 cm2 cell test code]],[1]!Table1[[Test code]:[Test code]],[1]!Table1[HFR 10 mM KOH/ mOhm cm2],"",0)</f>
        <v>#REF!</v>
      </c>
      <c r="AF697" s="69" t="e" cm="1">
        <f t="array" ref="AF697">_xlfn.XLOOKUP(Table1[[#This Row],[5 cm2 cell test code]:[5 cm2 cell test code]],[1]!Table1[[Test code]:[Test code]],[1]!Table1[Ionic resistance DIW/Ohm cm2],"",0)</f>
        <v>#REF!</v>
      </c>
      <c r="AG697" s="69" t="e" cm="1">
        <f t="array" ref="AG697">_xlfn.XLOOKUP(Table1[[#This Row],[5 cm2 cell test code]:[5 cm2 cell test code]],[1]!Table1[[Test code]:[Test code]],[1]!Table1[Q_int_frac DIW],"",0)</f>
        <v>#REF!</v>
      </c>
      <c r="AH697" s="69" t="e" cm="1">
        <f t="array" ref="AH697">_xlfn.XLOOKUP(Table1[[#This Row],[5 cm2 cell test code]:[5 cm2 cell test code]],[1]!Table1[[Test code]:[Test code]],[1]!Table1[Ionic resistance 10 mM KOH/Ohm cm2],"",0)</f>
        <v>#REF!</v>
      </c>
      <c r="AI697" s="69" t="e" cm="1">
        <f t="array" ref="AI697">_xlfn.XLOOKUP(Table1[[#This Row],[5 cm2 cell test code]:[5 cm2 cell test code]],[1]!Table1[[Test code]:[Test code]],[1]!Table1[Q_int_frac DIW 10 mM KOH],"",0)</f>
        <v>#REF!</v>
      </c>
      <c r="AJ697" s="69" t="e" cm="1">
        <f t="array" ref="AJ697">_xlfn.XLOOKUP(Table1[[#This Row],[5 cm2 cell test code]:[5 cm2 cell test code]],[1]!Table1[[Test code]:[Test code]],[1]!Table1[DIW conductivity (µS/cm)],"",0)</f>
        <v>#REF!</v>
      </c>
    </row>
    <row r="698" spans="1:36">
      <c r="A698" s="81"/>
      <c r="U698" s="101"/>
      <c r="V698" s="101"/>
      <c r="W698" s="69" t="e" cm="1">
        <f t="array" ref="W698">_xlfn.XLOOKUP(Table1[[#This Row],[5 cm2 cell test code]:[5 cm2 cell test code]],[1]!Table1[[Test code]:[Test code]],[1]!Table1[i @ 1.8 V DIW (A/cm2)],"",0)</f>
        <v>#REF!</v>
      </c>
      <c r="X698" s="69" t="e" cm="1">
        <f t="array" ref="X698">_xlfn.XLOOKUP(Table1[[#This Row],[5 cm2 cell test code]:[5 cm2 cell test code]],[1]!Table1[[Test code]:[Test code]],[1]!Table1[i @ 1.8 V 10 mM KOH (A/cm2)],"",0)</f>
        <v>#REF!</v>
      </c>
      <c r="Y698" s="69" t="e" cm="1">
        <f t="array" ref="Y698">_xlfn.XLOOKUP(Table1[[#This Row],[5 cm2 cell test code]:[5 cm2 cell test code]],[1]!Table1[[Test code]:[Test code]],[1]!Table1[3-E ƞ at 20mAcm-2 (mV)],"",0)</f>
        <v>#REF!</v>
      </c>
      <c r="Z698" s="69" t="e" cm="1">
        <f t="array" ref="Z698">_xlfn.XLOOKUP(Table1[[#This Row],[5 cm2 cell test code]:[5 cm2 cell test code]],[1]!Table1[[Test code]:[Test code]],[1]!Table1[3-E Tafel slope (mV/dec)],"",0)</f>
        <v>#REF!</v>
      </c>
      <c r="AA698" s="69" t="e" cm="1">
        <f t="array" ref="AA698">_xlfn.XLOOKUP(Table1[[#This Row],[5 cm2 cell test code]:[5 cm2 cell test code]],[1]!Table1[[Test code]:[Test code]],[1]!Table1[E @ 100 mA/cm2 DIW/V],"",0)</f>
        <v>#REF!</v>
      </c>
      <c r="AB698" s="69" t="e" cm="1">
        <f t="array" ref="AB698">_xlfn.XLOOKUP(Table1[[#This Row],[5 cm2 cell test code]:[5 cm2 cell test code]],[1]!Table1[[Test code]:[Test code]],[1]!Table1[E @ 100 mA/cm2 10 mM KOH/V],"",0)</f>
        <v>#REF!</v>
      </c>
      <c r="AC698" s="69" t="e" cm="1">
        <f t="array" ref="AC698">_xlfn.XLOOKUP(Table1[[#This Row],[5 cm2 cell test code]:[5 cm2 cell test code]],[1]!Table1[[Test code]:[Test code]],[1]!Table1[Anode ICR/mOhm],"",0)</f>
        <v>#REF!</v>
      </c>
      <c r="AD698" s="69" t="e" cm="1">
        <f t="array" ref="AD698">_xlfn.XLOOKUP(Table1[[#This Row],[5 cm2 cell test code]:[5 cm2 cell test code]],[1]!Table1[[Test code]:[Test code]],[1]!Table1[HFR DIW/ mOhm cm2],"",0)</f>
        <v>#REF!</v>
      </c>
      <c r="AE698" s="69" t="e" cm="1">
        <f t="array" ref="AE698">_xlfn.XLOOKUP(Table1[[#This Row],[5 cm2 cell test code]:[5 cm2 cell test code]],[1]!Table1[[Test code]:[Test code]],[1]!Table1[HFR 10 mM KOH/ mOhm cm2],"",0)</f>
        <v>#REF!</v>
      </c>
      <c r="AF698" s="69" t="e" cm="1">
        <f t="array" ref="AF698">_xlfn.XLOOKUP(Table1[[#This Row],[5 cm2 cell test code]:[5 cm2 cell test code]],[1]!Table1[[Test code]:[Test code]],[1]!Table1[Ionic resistance DIW/Ohm cm2],"",0)</f>
        <v>#REF!</v>
      </c>
      <c r="AG698" s="69" t="e" cm="1">
        <f t="array" ref="AG698">_xlfn.XLOOKUP(Table1[[#This Row],[5 cm2 cell test code]:[5 cm2 cell test code]],[1]!Table1[[Test code]:[Test code]],[1]!Table1[Q_int_frac DIW],"",0)</f>
        <v>#REF!</v>
      </c>
      <c r="AH698" s="69" t="e" cm="1">
        <f t="array" ref="AH698">_xlfn.XLOOKUP(Table1[[#This Row],[5 cm2 cell test code]:[5 cm2 cell test code]],[1]!Table1[[Test code]:[Test code]],[1]!Table1[Ionic resistance 10 mM KOH/Ohm cm2],"",0)</f>
        <v>#REF!</v>
      </c>
      <c r="AI698" s="69" t="e" cm="1">
        <f t="array" ref="AI698">_xlfn.XLOOKUP(Table1[[#This Row],[5 cm2 cell test code]:[5 cm2 cell test code]],[1]!Table1[[Test code]:[Test code]],[1]!Table1[Q_int_frac DIW 10 mM KOH],"",0)</f>
        <v>#REF!</v>
      </c>
      <c r="AJ698" s="69" t="e" cm="1">
        <f t="array" ref="AJ698">_xlfn.XLOOKUP(Table1[[#This Row],[5 cm2 cell test code]:[5 cm2 cell test code]],[1]!Table1[[Test code]:[Test code]],[1]!Table1[DIW conductivity (µS/cm)],"",0)</f>
        <v>#REF!</v>
      </c>
    </row>
    <row r="699" spans="1:36">
      <c r="A699" s="81"/>
      <c r="U699" s="101"/>
      <c r="V699" s="101"/>
      <c r="W699" s="69" t="e" cm="1">
        <f t="array" ref="W699">_xlfn.XLOOKUP(Table1[[#This Row],[5 cm2 cell test code]:[5 cm2 cell test code]],[1]!Table1[[Test code]:[Test code]],[1]!Table1[i @ 1.8 V DIW (A/cm2)],"",0)</f>
        <v>#REF!</v>
      </c>
      <c r="X699" s="69" t="e" cm="1">
        <f t="array" ref="X699">_xlfn.XLOOKUP(Table1[[#This Row],[5 cm2 cell test code]:[5 cm2 cell test code]],[1]!Table1[[Test code]:[Test code]],[1]!Table1[i @ 1.8 V 10 mM KOH (A/cm2)],"",0)</f>
        <v>#REF!</v>
      </c>
      <c r="Y699" s="69" t="e" cm="1">
        <f t="array" ref="Y699">_xlfn.XLOOKUP(Table1[[#This Row],[5 cm2 cell test code]:[5 cm2 cell test code]],[1]!Table1[[Test code]:[Test code]],[1]!Table1[3-E ƞ at 20mAcm-2 (mV)],"",0)</f>
        <v>#REF!</v>
      </c>
      <c r="Z699" s="69" t="e" cm="1">
        <f t="array" ref="Z699">_xlfn.XLOOKUP(Table1[[#This Row],[5 cm2 cell test code]:[5 cm2 cell test code]],[1]!Table1[[Test code]:[Test code]],[1]!Table1[3-E Tafel slope (mV/dec)],"",0)</f>
        <v>#REF!</v>
      </c>
      <c r="AA699" s="69" t="e" cm="1">
        <f t="array" ref="AA699">_xlfn.XLOOKUP(Table1[[#This Row],[5 cm2 cell test code]:[5 cm2 cell test code]],[1]!Table1[[Test code]:[Test code]],[1]!Table1[E @ 100 mA/cm2 DIW/V],"",0)</f>
        <v>#REF!</v>
      </c>
      <c r="AB699" s="69" t="e" cm="1">
        <f t="array" ref="AB699">_xlfn.XLOOKUP(Table1[[#This Row],[5 cm2 cell test code]:[5 cm2 cell test code]],[1]!Table1[[Test code]:[Test code]],[1]!Table1[E @ 100 mA/cm2 10 mM KOH/V],"",0)</f>
        <v>#REF!</v>
      </c>
      <c r="AC699" s="69" t="e" cm="1">
        <f t="array" ref="AC699">_xlfn.XLOOKUP(Table1[[#This Row],[5 cm2 cell test code]:[5 cm2 cell test code]],[1]!Table1[[Test code]:[Test code]],[1]!Table1[Anode ICR/mOhm],"",0)</f>
        <v>#REF!</v>
      </c>
      <c r="AD699" s="69" t="e" cm="1">
        <f t="array" ref="AD699">_xlfn.XLOOKUP(Table1[[#This Row],[5 cm2 cell test code]:[5 cm2 cell test code]],[1]!Table1[[Test code]:[Test code]],[1]!Table1[HFR DIW/ mOhm cm2],"",0)</f>
        <v>#REF!</v>
      </c>
      <c r="AE699" s="69" t="e" cm="1">
        <f t="array" ref="AE699">_xlfn.XLOOKUP(Table1[[#This Row],[5 cm2 cell test code]:[5 cm2 cell test code]],[1]!Table1[[Test code]:[Test code]],[1]!Table1[HFR 10 mM KOH/ mOhm cm2],"",0)</f>
        <v>#REF!</v>
      </c>
      <c r="AF699" s="69" t="e" cm="1">
        <f t="array" ref="AF699">_xlfn.XLOOKUP(Table1[[#This Row],[5 cm2 cell test code]:[5 cm2 cell test code]],[1]!Table1[[Test code]:[Test code]],[1]!Table1[Ionic resistance DIW/Ohm cm2],"",0)</f>
        <v>#REF!</v>
      </c>
      <c r="AG699" s="69" t="e" cm="1">
        <f t="array" ref="AG699">_xlfn.XLOOKUP(Table1[[#This Row],[5 cm2 cell test code]:[5 cm2 cell test code]],[1]!Table1[[Test code]:[Test code]],[1]!Table1[Q_int_frac DIW],"",0)</f>
        <v>#REF!</v>
      </c>
      <c r="AH699" s="69" t="e" cm="1">
        <f t="array" ref="AH699">_xlfn.XLOOKUP(Table1[[#This Row],[5 cm2 cell test code]:[5 cm2 cell test code]],[1]!Table1[[Test code]:[Test code]],[1]!Table1[Ionic resistance 10 mM KOH/Ohm cm2],"",0)</f>
        <v>#REF!</v>
      </c>
      <c r="AI699" s="69" t="e" cm="1">
        <f t="array" ref="AI699">_xlfn.XLOOKUP(Table1[[#This Row],[5 cm2 cell test code]:[5 cm2 cell test code]],[1]!Table1[[Test code]:[Test code]],[1]!Table1[Q_int_frac DIW 10 mM KOH],"",0)</f>
        <v>#REF!</v>
      </c>
      <c r="AJ699" s="69" t="e" cm="1">
        <f t="array" ref="AJ699">_xlfn.XLOOKUP(Table1[[#This Row],[5 cm2 cell test code]:[5 cm2 cell test code]],[1]!Table1[[Test code]:[Test code]],[1]!Table1[DIW conductivity (µS/cm)],"",0)</f>
        <v>#REF!</v>
      </c>
    </row>
    <row r="700" spans="1:36">
      <c r="A700" s="81"/>
      <c r="U700" s="101"/>
      <c r="V700" s="101"/>
      <c r="W700" s="69" t="e" cm="1">
        <f t="array" ref="W700">_xlfn.XLOOKUP(Table1[[#This Row],[5 cm2 cell test code]:[5 cm2 cell test code]],[1]!Table1[[Test code]:[Test code]],[1]!Table1[i @ 1.8 V DIW (A/cm2)],"",0)</f>
        <v>#REF!</v>
      </c>
      <c r="X700" s="69" t="e" cm="1">
        <f t="array" ref="X700">_xlfn.XLOOKUP(Table1[[#This Row],[5 cm2 cell test code]:[5 cm2 cell test code]],[1]!Table1[[Test code]:[Test code]],[1]!Table1[i @ 1.8 V 10 mM KOH (A/cm2)],"",0)</f>
        <v>#REF!</v>
      </c>
      <c r="Y700" s="69" t="e" cm="1">
        <f t="array" ref="Y700">_xlfn.XLOOKUP(Table1[[#This Row],[5 cm2 cell test code]:[5 cm2 cell test code]],[1]!Table1[[Test code]:[Test code]],[1]!Table1[3-E ƞ at 20mAcm-2 (mV)],"",0)</f>
        <v>#REF!</v>
      </c>
      <c r="Z700" s="69" t="e" cm="1">
        <f t="array" ref="Z700">_xlfn.XLOOKUP(Table1[[#This Row],[5 cm2 cell test code]:[5 cm2 cell test code]],[1]!Table1[[Test code]:[Test code]],[1]!Table1[3-E Tafel slope (mV/dec)],"",0)</f>
        <v>#REF!</v>
      </c>
      <c r="AA700" s="69" t="e" cm="1">
        <f t="array" ref="AA700">_xlfn.XLOOKUP(Table1[[#This Row],[5 cm2 cell test code]:[5 cm2 cell test code]],[1]!Table1[[Test code]:[Test code]],[1]!Table1[E @ 100 mA/cm2 DIW/V],"",0)</f>
        <v>#REF!</v>
      </c>
      <c r="AB700" s="69" t="e" cm="1">
        <f t="array" ref="AB700">_xlfn.XLOOKUP(Table1[[#This Row],[5 cm2 cell test code]:[5 cm2 cell test code]],[1]!Table1[[Test code]:[Test code]],[1]!Table1[E @ 100 mA/cm2 10 mM KOH/V],"",0)</f>
        <v>#REF!</v>
      </c>
      <c r="AC700" s="69" t="e" cm="1">
        <f t="array" ref="AC700">_xlfn.XLOOKUP(Table1[[#This Row],[5 cm2 cell test code]:[5 cm2 cell test code]],[1]!Table1[[Test code]:[Test code]],[1]!Table1[Anode ICR/mOhm],"",0)</f>
        <v>#REF!</v>
      </c>
      <c r="AD700" s="69" t="e" cm="1">
        <f t="array" ref="AD700">_xlfn.XLOOKUP(Table1[[#This Row],[5 cm2 cell test code]:[5 cm2 cell test code]],[1]!Table1[[Test code]:[Test code]],[1]!Table1[HFR DIW/ mOhm cm2],"",0)</f>
        <v>#REF!</v>
      </c>
      <c r="AE700" s="69" t="e" cm="1">
        <f t="array" ref="AE700">_xlfn.XLOOKUP(Table1[[#This Row],[5 cm2 cell test code]:[5 cm2 cell test code]],[1]!Table1[[Test code]:[Test code]],[1]!Table1[HFR 10 mM KOH/ mOhm cm2],"",0)</f>
        <v>#REF!</v>
      </c>
      <c r="AF700" s="69" t="e" cm="1">
        <f t="array" ref="AF700">_xlfn.XLOOKUP(Table1[[#This Row],[5 cm2 cell test code]:[5 cm2 cell test code]],[1]!Table1[[Test code]:[Test code]],[1]!Table1[Ionic resistance DIW/Ohm cm2],"",0)</f>
        <v>#REF!</v>
      </c>
      <c r="AG700" s="69" t="e" cm="1">
        <f t="array" ref="AG700">_xlfn.XLOOKUP(Table1[[#This Row],[5 cm2 cell test code]:[5 cm2 cell test code]],[1]!Table1[[Test code]:[Test code]],[1]!Table1[Q_int_frac DIW],"",0)</f>
        <v>#REF!</v>
      </c>
      <c r="AH700" s="69" t="e" cm="1">
        <f t="array" ref="AH700">_xlfn.XLOOKUP(Table1[[#This Row],[5 cm2 cell test code]:[5 cm2 cell test code]],[1]!Table1[[Test code]:[Test code]],[1]!Table1[Ionic resistance 10 mM KOH/Ohm cm2],"",0)</f>
        <v>#REF!</v>
      </c>
      <c r="AI700" s="69" t="e" cm="1">
        <f t="array" ref="AI700">_xlfn.XLOOKUP(Table1[[#This Row],[5 cm2 cell test code]:[5 cm2 cell test code]],[1]!Table1[[Test code]:[Test code]],[1]!Table1[Q_int_frac DIW 10 mM KOH],"",0)</f>
        <v>#REF!</v>
      </c>
      <c r="AJ700" s="69" t="e" cm="1">
        <f t="array" ref="AJ700">_xlfn.XLOOKUP(Table1[[#This Row],[5 cm2 cell test code]:[5 cm2 cell test code]],[1]!Table1[[Test code]:[Test code]],[1]!Table1[DIW conductivity (µS/cm)],"",0)</f>
        <v>#REF!</v>
      </c>
    </row>
    <row r="701" spans="1:36">
      <c r="A701" s="81"/>
      <c r="U701" s="101"/>
      <c r="V701" s="101"/>
      <c r="W701" s="69" t="e" cm="1">
        <f t="array" ref="W701">_xlfn.XLOOKUP(Table1[[#This Row],[5 cm2 cell test code]:[5 cm2 cell test code]],[1]!Table1[[Test code]:[Test code]],[1]!Table1[i @ 1.8 V DIW (A/cm2)],"",0)</f>
        <v>#REF!</v>
      </c>
      <c r="X701" s="69" t="e" cm="1">
        <f t="array" ref="X701">_xlfn.XLOOKUP(Table1[[#This Row],[5 cm2 cell test code]:[5 cm2 cell test code]],[1]!Table1[[Test code]:[Test code]],[1]!Table1[i @ 1.8 V 10 mM KOH (A/cm2)],"",0)</f>
        <v>#REF!</v>
      </c>
      <c r="Y701" s="69" t="e" cm="1">
        <f t="array" ref="Y701">_xlfn.XLOOKUP(Table1[[#This Row],[5 cm2 cell test code]:[5 cm2 cell test code]],[1]!Table1[[Test code]:[Test code]],[1]!Table1[3-E ƞ at 20mAcm-2 (mV)],"",0)</f>
        <v>#REF!</v>
      </c>
      <c r="Z701" s="69" t="e" cm="1">
        <f t="array" ref="Z701">_xlfn.XLOOKUP(Table1[[#This Row],[5 cm2 cell test code]:[5 cm2 cell test code]],[1]!Table1[[Test code]:[Test code]],[1]!Table1[3-E Tafel slope (mV/dec)],"",0)</f>
        <v>#REF!</v>
      </c>
      <c r="AA701" s="69" t="e" cm="1">
        <f t="array" ref="AA701">_xlfn.XLOOKUP(Table1[[#This Row],[5 cm2 cell test code]:[5 cm2 cell test code]],[1]!Table1[[Test code]:[Test code]],[1]!Table1[E @ 100 mA/cm2 DIW/V],"",0)</f>
        <v>#REF!</v>
      </c>
      <c r="AB701" s="69" t="e" cm="1">
        <f t="array" ref="AB701">_xlfn.XLOOKUP(Table1[[#This Row],[5 cm2 cell test code]:[5 cm2 cell test code]],[1]!Table1[[Test code]:[Test code]],[1]!Table1[E @ 100 mA/cm2 10 mM KOH/V],"",0)</f>
        <v>#REF!</v>
      </c>
      <c r="AC701" s="69" t="e" cm="1">
        <f t="array" ref="AC701">_xlfn.XLOOKUP(Table1[[#This Row],[5 cm2 cell test code]:[5 cm2 cell test code]],[1]!Table1[[Test code]:[Test code]],[1]!Table1[Anode ICR/mOhm],"",0)</f>
        <v>#REF!</v>
      </c>
      <c r="AD701" s="69" t="e" cm="1">
        <f t="array" ref="AD701">_xlfn.XLOOKUP(Table1[[#This Row],[5 cm2 cell test code]:[5 cm2 cell test code]],[1]!Table1[[Test code]:[Test code]],[1]!Table1[HFR DIW/ mOhm cm2],"",0)</f>
        <v>#REF!</v>
      </c>
      <c r="AE701" s="69" t="e" cm="1">
        <f t="array" ref="AE701">_xlfn.XLOOKUP(Table1[[#This Row],[5 cm2 cell test code]:[5 cm2 cell test code]],[1]!Table1[[Test code]:[Test code]],[1]!Table1[HFR 10 mM KOH/ mOhm cm2],"",0)</f>
        <v>#REF!</v>
      </c>
      <c r="AF701" s="69" t="e" cm="1">
        <f t="array" ref="AF701">_xlfn.XLOOKUP(Table1[[#This Row],[5 cm2 cell test code]:[5 cm2 cell test code]],[1]!Table1[[Test code]:[Test code]],[1]!Table1[Ionic resistance DIW/Ohm cm2],"",0)</f>
        <v>#REF!</v>
      </c>
      <c r="AG701" s="69" t="e" cm="1">
        <f t="array" ref="AG701">_xlfn.XLOOKUP(Table1[[#This Row],[5 cm2 cell test code]:[5 cm2 cell test code]],[1]!Table1[[Test code]:[Test code]],[1]!Table1[Q_int_frac DIW],"",0)</f>
        <v>#REF!</v>
      </c>
      <c r="AH701" s="69" t="e" cm="1">
        <f t="array" ref="AH701">_xlfn.XLOOKUP(Table1[[#This Row],[5 cm2 cell test code]:[5 cm2 cell test code]],[1]!Table1[[Test code]:[Test code]],[1]!Table1[Ionic resistance 10 mM KOH/Ohm cm2],"",0)</f>
        <v>#REF!</v>
      </c>
      <c r="AI701" s="69" t="e" cm="1">
        <f t="array" ref="AI701">_xlfn.XLOOKUP(Table1[[#This Row],[5 cm2 cell test code]:[5 cm2 cell test code]],[1]!Table1[[Test code]:[Test code]],[1]!Table1[Q_int_frac DIW 10 mM KOH],"",0)</f>
        <v>#REF!</v>
      </c>
      <c r="AJ701" s="69" t="e" cm="1">
        <f t="array" ref="AJ701">_xlfn.XLOOKUP(Table1[[#This Row],[5 cm2 cell test code]:[5 cm2 cell test code]],[1]!Table1[[Test code]:[Test code]],[1]!Table1[DIW conductivity (µS/cm)],"",0)</f>
        <v>#REF!</v>
      </c>
    </row>
    <row r="702" spans="1:36">
      <c r="A702" s="81"/>
      <c r="U702" s="101"/>
      <c r="V702" s="101"/>
      <c r="W702" s="69" t="e" cm="1">
        <f t="array" ref="W702">_xlfn.XLOOKUP(Table1[[#This Row],[5 cm2 cell test code]:[5 cm2 cell test code]],[1]!Table1[[Test code]:[Test code]],[1]!Table1[i @ 1.8 V DIW (A/cm2)],"",0)</f>
        <v>#REF!</v>
      </c>
      <c r="X702" s="69" t="e" cm="1">
        <f t="array" ref="X702">_xlfn.XLOOKUP(Table1[[#This Row],[5 cm2 cell test code]:[5 cm2 cell test code]],[1]!Table1[[Test code]:[Test code]],[1]!Table1[i @ 1.8 V 10 mM KOH (A/cm2)],"",0)</f>
        <v>#REF!</v>
      </c>
      <c r="Y702" s="69" t="e" cm="1">
        <f t="array" ref="Y702">_xlfn.XLOOKUP(Table1[[#This Row],[5 cm2 cell test code]:[5 cm2 cell test code]],[1]!Table1[[Test code]:[Test code]],[1]!Table1[3-E ƞ at 20mAcm-2 (mV)],"",0)</f>
        <v>#REF!</v>
      </c>
      <c r="Z702" s="69" t="e" cm="1">
        <f t="array" ref="Z702">_xlfn.XLOOKUP(Table1[[#This Row],[5 cm2 cell test code]:[5 cm2 cell test code]],[1]!Table1[[Test code]:[Test code]],[1]!Table1[3-E Tafel slope (mV/dec)],"",0)</f>
        <v>#REF!</v>
      </c>
      <c r="AA702" s="69" t="e" cm="1">
        <f t="array" ref="AA702">_xlfn.XLOOKUP(Table1[[#This Row],[5 cm2 cell test code]:[5 cm2 cell test code]],[1]!Table1[[Test code]:[Test code]],[1]!Table1[E @ 100 mA/cm2 DIW/V],"",0)</f>
        <v>#REF!</v>
      </c>
      <c r="AB702" s="69" t="e" cm="1">
        <f t="array" ref="AB702">_xlfn.XLOOKUP(Table1[[#This Row],[5 cm2 cell test code]:[5 cm2 cell test code]],[1]!Table1[[Test code]:[Test code]],[1]!Table1[E @ 100 mA/cm2 10 mM KOH/V],"",0)</f>
        <v>#REF!</v>
      </c>
      <c r="AC702" s="69" t="e" cm="1">
        <f t="array" ref="AC702">_xlfn.XLOOKUP(Table1[[#This Row],[5 cm2 cell test code]:[5 cm2 cell test code]],[1]!Table1[[Test code]:[Test code]],[1]!Table1[Anode ICR/mOhm],"",0)</f>
        <v>#REF!</v>
      </c>
      <c r="AD702" s="69" t="e" cm="1">
        <f t="array" ref="AD702">_xlfn.XLOOKUP(Table1[[#This Row],[5 cm2 cell test code]:[5 cm2 cell test code]],[1]!Table1[[Test code]:[Test code]],[1]!Table1[HFR DIW/ mOhm cm2],"",0)</f>
        <v>#REF!</v>
      </c>
      <c r="AE702" s="69" t="e" cm="1">
        <f t="array" ref="AE702">_xlfn.XLOOKUP(Table1[[#This Row],[5 cm2 cell test code]:[5 cm2 cell test code]],[1]!Table1[[Test code]:[Test code]],[1]!Table1[HFR 10 mM KOH/ mOhm cm2],"",0)</f>
        <v>#REF!</v>
      </c>
      <c r="AF702" s="69" t="e" cm="1">
        <f t="array" ref="AF702">_xlfn.XLOOKUP(Table1[[#This Row],[5 cm2 cell test code]:[5 cm2 cell test code]],[1]!Table1[[Test code]:[Test code]],[1]!Table1[Ionic resistance DIW/Ohm cm2],"",0)</f>
        <v>#REF!</v>
      </c>
      <c r="AG702" s="69" t="e" cm="1">
        <f t="array" ref="AG702">_xlfn.XLOOKUP(Table1[[#This Row],[5 cm2 cell test code]:[5 cm2 cell test code]],[1]!Table1[[Test code]:[Test code]],[1]!Table1[Q_int_frac DIW],"",0)</f>
        <v>#REF!</v>
      </c>
      <c r="AH702" s="69" t="e" cm="1">
        <f t="array" ref="AH702">_xlfn.XLOOKUP(Table1[[#This Row],[5 cm2 cell test code]:[5 cm2 cell test code]],[1]!Table1[[Test code]:[Test code]],[1]!Table1[Ionic resistance 10 mM KOH/Ohm cm2],"",0)</f>
        <v>#REF!</v>
      </c>
      <c r="AI702" s="69" t="e" cm="1">
        <f t="array" ref="AI702">_xlfn.XLOOKUP(Table1[[#This Row],[5 cm2 cell test code]:[5 cm2 cell test code]],[1]!Table1[[Test code]:[Test code]],[1]!Table1[Q_int_frac DIW 10 mM KOH],"",0)</f>
        <v>#REF!</v>
      </c>
      <c r="AJ702" s="69" t="e" cm="1">
        <f t="array" ref="AJ702">_xlfn.XLOOKUP(Table1[[#This Row],[5 cm2 cell test code]:[5 cm2 cell test code]],[1]!Table1[[Test code]:[Test code]],[1]!Table1[DIW conductivity (µS/cm)],"",0)</f>
        <v>#REF!</v>
      </c>
    </row>
    <row r="703" spans="1:36">
      <c r="A703" s="81"/>
      <c r="U703" s="101"/>
      <c r="V703" s="101"/>
      <c r="W703" s="69" t="e" cm="1">
        <f t="array" ref="W703">_xlfn.XLOOKUP(Table1[[#This Row],[5 cm2 cell test code]:[5 cm2 cell test code]],[1]!Table1[[Test code]:[Test code]],[1]!Table1[i @ 1.8 V DIW (A/cm2)],"",0)</f>
        <v>#REF!</v>
      </c>
      <c r="X703" s="69" t="e" cm="1">
        <f t="array" ref="X703">_xlfn.XLOOKUP(Table1[[#This Row],[5 cm2 cell test code]:[5 cm2 cell test code]],[1]!Table1[[Test code]:[Test code]],[1]!Table1[i @ 1.8 V 10 mM KOH (A/cm2)],"",0)</f>
        <v>#REF!</v>
      </c>
      <c r="Y703" s="69" t="e" cm="1">
        <f t="array" ref="Y703">_xlfn.XLOOKUP(Table1[[#This Row],[5 cm2 cell test code]:[5 cm2 cell test code]],[1]!Table1[[Test code]:[Test code]],[1]!Table1[3-E ƞ at 20mAcm-2 (mV)],"",0)</f>
        <v>#REF!</v>
      </c>
      <c r="Z703" s="69" t="e" cm="1">
        <f t="array" ref="Z703">_xlfn.XLOOKUP(Table1[[#This Row],[5 cm2 cell test code]:[5 cm2 cell test code]],[1]!Table1[[Test code]:[Test code]],[1]!Table1[3-E Tafel slope (mV/dec)],"",0)</f>
        <v>#REF!</v>
      </c>
      <c r="AA703" s="69" t="e" cm="1">
        <f t="array" ref="AA703">_xlfn.XLOOKUP(Table1[[#This Row],[5 cm2 cell test code]:[5 cm2 cell test code]],[1]!Table1[[Test code]:[Test code]],[1]!Table1[E @ 100 mA/cm2 DIW/V],"",0)</f>
        <v>#REF!</v>
      </c>
      <c r="AB703" s="69" t="e" cm="1">
        <f t="array" ref="AB703">_xlfn.XLOOKUP(Table1[[#This Row],[5 cm2 cell test code]:[5 cm2 cell test code]],[1]!Table1[[Test code]:[Test code]],[1]!Table1[E @ 100 mA/cm2 10 mM KOH/V],"",0)</f>
        <v>#REF!</v>
      </c>
      <c r="AC703" s="69" t="e" cm="1">
        <f t="array" ref="AC703">_xlfn.XLOOKUP(Table1[[#This Row],[5 cm2 cell test code]:[5 cm2 cell test code]],[1]!Table1[[Test code]:[Test code]],[1]!Table1[Anode ICR/mOhm],"",0)</f>
        <v>#REF!</v>
      </c>
      <c r="AD703" s="69" t="e" cm="1">
        <f t="array" ref="AD703">_xlfn.XLOOKUP(Table1[[#This Row],[5 cm2 cell test code]:[5 cm2 cell test code]],[1]!Table1[[Test code]:[Test code]],[1]!Table1[HFR DIW/ mOhm cm2],"",0)</f>
        <v>#REF!</v>
      </c>
      <c r="AE703" s="69" t="e" cm="1">
        <f t="array" ref="AE703">_xlfn.XLOOKUP(Table1[[#This Row],[5 cm2 cell test code]:[5 cm2 cell test code]],[1]!Table1[[Test code]:[Test code]],[1]!Table1[HFR 10 mM KOH/ mOhm cm2],"",0)</f>
        <v>#REF!</v>
      </c>
      <c r="AF703" s="69" t="e" cm="1">
        <f t="array" ref="AF703">_xlfn.XLOOKUP(Table1[[#This Row],[5 cm2 cell test code]:[5 cm2 cell test code]],[1]!Table1[[Test code]:[Test code]],[1]!Table1[Ionic resistance DIW/Ohm cm2],"",0)</f>
        <v>#REF!</v>
      </c>
      <c r="AG703" s="69" t="e" cm="1">
        <f t="array" ref="AG703">_xlfn.XLOOKUP(Table1[[#This Row],[5 cm2 cell test code]:[5 cm2 cell test code]],[1]!Table1[[Test code]:[Test code]],[1]!Table1[Q_int_frac DIW],"",0)</f>
        <v>#REF!</v>
      </c>
      <c r="AH703" s="69" t="e" cm="1">
        <f t="array" ref="AH703">_xlfn.XLOOKUP(Table1[[#This Row],[5 cm2 cell test code]:[5 cm2 cell test code]],[1]!Table1[[Test code]:[Test code]],[1]!Table1[Ionic resistance 10 mM KOH/Ohm cm2],"",0)</f>
        <v>#REF!</v>
      </c>
      <c r="AI703" s="69" t="e" cm="1">
        <f t="array" ref="AI703">_xlfn.XLOOKUP(Table1[[#This Row],[5 cm2 cell test code]:[5 cm2 cell test code]],[1]!Table1[[Test code]:[Test code]],[1]!Table1[Q_int_frac DIW 10 mM KOH],"",0)</f>
        <v>#REF!</v>
      </c>
      <c r="AJ703" s="69" t="e" cm="1">
        <f t="array" ref="AJ703">_xlfn.XLOOKUP(Table1[[#This Row],[5 cm2 cell test code]:[5 cm2 cell test code]],[1]!Table1[[Test code]:[Test code]],[1]!Table1[DIW conductivity (µS/cm)],"",0)</f>
        <v>#REF!</v>
      </c>
    </row>
    <row r="704" spans="1:36">
      <c r="A704" s="81"/>
      <c r="U704" s="101"/>
      <c r="V704" s="101"/>
      <c r="W704" s="69" t="e" cm="1">
        <f t="array" ref="W704">_xlfn.XLOOKUP(Table1[[#This Row],[5 cm2 cell test code]:[5 cm2 cell test code]],[1]!Table1[[Test code]:[Test code]],[1]!Table1[i @ 1.8 V DIW (A/cm2)],"",0)</f>
        <v>#REF!</v>
      </c>
      <c r="X704" s="69" t="e" cm="1">
        <f t="array" ref="X704">_xlfn.XLOOKUP(Table1[[#This Row],[5 cm2 cell test code]:[5 cm2 cell test code]],[1]!Table1[[Test code]:[Test code]],[1]!Table1[i @ 1.8 V 10 mM KOH (A/cm2)],"",0)</f>
        <v>#REF!</v>
      </c>
      <c r="Y704" s="69" t="e" cm="1">
        <f t="array" ref="Y704">_xlfn.XLOOKUP(Table1[[#This Row],[5 cm2 cell test code]:[5 cm2 cell test code]],[1]!Table1[[Test code]:[Test code]],[1]!Table1[3-E ƞ at 20mAcm-2 (mV)],"",0)</f>
        <v>#REF!</v>
      </c>
      <c r="Z704" s="69" t="e" cm="1">
        <f t="array" ref="Z704">_xlfn.XLOOKUP(Table1[[#This Row],[5 cm2 cell test code]:[5 cm2 cell test code]],[1]!Table1[[Test code]:[Test code]],[1]!Table1[3-E Tafel slope (mV/dec)],"",0)</f>
        <v>#REF!</v>
      </c>
      <c r="AA704" s="69" t="e" cm="1">
        <f t="array" ref="AA704">_xlfn.XLOOKUP(Table1[[#This Row],[5 cm2 cell test code]:[5 cm2 cell test code]],[1]!Table1[[Test code]:[Test code]],[1]!Table1[E @ 100 mA/cm2 DIW/V],"",0)</f>
        <v>#REF!</v>
      </c>
      <c r="AB704" s="69" t="e" cm="1">
        <f t="array" ref="AB704">_xlfn.XLOOKUP(Table1[[#This Row],[5 cm2 cell test code]:[5 cm2 cell test code]],[1]!Table1[[Test code]:[Test code]],[1]!Table1[E @ 100 mA/cm2 10 mM KOH/V],"",0)</f>
        <v>#REF!</v>
      </c>
      <c r="AC704" s="69" t="e" cm="1">
        <f t="array" ref="AC704">_xlfn.XLOOKUP(Table1[[#This Row],[5 cm2 cell test code]:[5 cm2 cell test code]],[1]!Table1[[Test code]:[Test code]],[1]!Table1[Anode ICR/mOhm],"",0)</f>
        <v>#REF!</v>
      </c>
      <c r="AD704" s="69" t="e" cm="1">
        <f t="array" ref="AD704">_xlfn.XLOOKUP(Table1[[#This Row],[5 cm2 cell test code]:[5 cm2 cell test code]],[1]!Table1[[Test code]:[Test code]],[1]!Table1[HFR DIW/ mOhm cm2],"",0)</f>
        <v>#REF!</v>
      </c>
      <c r="AE704" s="69" t="e" cm="1">
        <f t="array" ref="AE704">_xlfn.XLOOKUP(Table1[[#This Row],[5 cm2 cell test code]:[5 cm2 cell test code]],[1]!Table1[[Test code]:[Test code]],[1]!Table1[HFR 10 mM KOH/ mOhm cm2],"",0)</f>
        <v>#REF!</v>
      </c>
      <c r="AF704" s="69" t="e" cm="1">
        <f t="array" ref="AF704">_xlfn.XLOOKUP(Table1[[#This Row],[5 cm2 cell test code]:[5 cm2 cell test code]],[1]!Table1[[Test code]:[Test code]],[1]!Table1[Ionic resistance DIW/Ohm cm2],"",0)</f>
        <v>#REF!</v>
      </c>
      <c r="AG704" s="69" t="e" cm="1">
        <f t="array" ref="AG704">_xlfn.XLOOKUP(Table1[[#This Row],[5 cm2 cell test code]:[5 cm2 cell test code]],[1]!Table1[[Test code]:[Test code]],[1]!Table1[Q_int_frac DIW],"",0)</f>
        <v>#REF!</v>
      </c>
      <c r="AH704" s="69" t="e" cm="1">
        <f t="array" ref="AH704">_xlfn.XLOOKUP(Table1[[#This Row],[5 cm2 cell test code]:[5 cm2 cell test code]],[1]!Table1[[Test code]:[Test code]],[1]!Table1[Ionic resistance 10 mM KOH/Ohm cm2],"",0)</f>
        <v>#REF!</v>
      </c>
      <c r="AI704" s="69" t="e" cm="1">
        <f t="array" ref="AI704">_xlfn.XLOOKUP(Table1[[#This Row],[5 cm2 cell test code]:[5 cm2 cell test code]],[1]!Table1[[Test code]:[Test code]],[1]!Table1[Q_int_frac DIW 10 mM KOH],"",0)</f>
        <v>#REF!</v>
      </c>
      <c r="AJ704" s="69" t="e" cm="1">
        <f t="array" ref="AJ704">_xlfn.XLOOKUP(Table1[[#This Row],[5 cm2 cell test code]:[5 cm2 cell test code]],[1]!Table1[[Test code]:[Test code]],[1]!Table1[DIW conductivity (µS/cm)],"",0)</f>
        <v>#REF!</v>
      </c>
    </row>
    <row r="705" spans="1:36">
      <c r="A705" s="81"/>
      <c r="U705" s="101"/>
      <c r="V705" s="101"/>
      <c r="W705" s="69" t="e" cm="1">
        <f t="array" ref="W705">_xlfn.XLOOKUP(Table1[[#This Row],[5 cm2 cell test code]:[5 cm2 cell test code]],[1]!Table1[[Test code]:[Test code]],[1]!Table1[i @ 1.8 V DIW (A/cm2)],"",0)</f>
        <v>#REF!</v>
      </c>
      <c r="X705" s="69" t="e" cm="1">
        <f t="array" ref="X705">_xlfn.XLOOKUP(Table1[[#This Row],[5 cm2 cell test code]:[5 cm2 cell test code]],[1]!Table1[[Test code]:[Test code]],[1]!Table1[i @ 1.8 V 10 mM KOH (A/cm2)],"",0)</f>
        <v>#REF!</v>
      </c>
      <c r="Y705" s="69" t="e" cm="1">
        <f t="array" ref="Y705">_xlfn.XLOOKUP(Table1[[#This Row],[5 cm2 cell test code]:[5 cm2 cell test code]],[1]!Table1[[Test code]:[Test code]],[1]!Table1[3-E ƞ at 20mAcm-2 (mV)],"",0)</f>
        <v>#REF!</v>
      </c>
      <c r="Z705" s="69" t="e" cm="1">
        <f t="array" ref="Z705">_xlfn.XLOOKUP(Table1[[#This Row],[5 cm2 cell test code]:[5 cm2 cell test code]],[1]!Table1[[Test code]:[Test code]],[1]!Table1[3-E Tafel slope (mV/dec)],"",0)</f>
        <v>#REF!</v>
      </c>
      <c r="AA705" s="69" t="e" cm="1">
        <f t="array" ref="AA705">_xlfn.XLOOKUP(Table1[[#This Row],[5 cm2 cell test code]:[5 cm2 cell test code]],[1]!Table1[[Test code]:[Test code]],[1]!Table1[E @ 100 mA/cm2 DIW/V],"",0)</f>
        <v>#REF!</v>
      </c>
      <c r="AB705" s="69" t="e" cm="1">
        <f t="array" ref="AB705">_xlfn.XLOOKUP(Table1[[#This Row],[5 cm2 cell test code]:[5 cm2 cell test code]],[1]!Table1[[Test code]:[Test code]],[1]!Table1[E @ 100 mA/cm2 10 mM KOH/V],"",0)</f>
        <v>#REF!</v>
      </c>
      <c r="AC705" s="69" t="e" cm="1">
        <f t="array" ref="AC705">_xlfn.XLOOKUP(Table1[[#This Row],[5 cm2 cell test code]:[5 cm2 cell test code]],[1]!Table1[[Test code]:[Test code]],[1]!Table1[Anode ICR/mOhm],"",0)</f>
        <v>#REF!</v>
      </c>
      <c r="AD705" s="69" t="e" cm="1">
        <f t="array" ref="AD705">_xlfn.XLOOKUP(Table1[[#This Row],[5 cm2 cell test code]:[5 cm2 cell test code]],[1]!Table1[[Test code]:[Test code]],[1]!Table1[HFR DIW/ mOhm cm2],"",0)</f>
        <v>#REF!</v>
      </c>
      <c r="AE705" s="69" t="e" cm="1">
        <f t="array" ref="AE705">_xlfn.XLOOKUP(Table1[[#This Row],[5 cm2 cell test code]:[5 cm2 cell test code]],[1]!Table1[[Test code]:[Test code]],[1]!Table1[HFR 10 mM KOH/ mOhm cm2],"",0)</f>
        <v>#REF!</v>
      </c>
      <c r="AF705" s="69" t="e" cm="1">
        <f t="array" ref="AF705">_xlfn.XLOOKUP(Table1[[#This Row],[5 cm2 cell test code]:[5 cm2 cell test code]],[1]!Table1[[Test code]:[Test code]],[1]!Table1[Ionic resistance DIW/Ohm cm2],"",0)</f>
        <v>#REF!</v>
      </c>
      <c r="AG705" s="69" t="e" cm="1">
        <f t="array" ref="AG705">_xlfn.XLOOKUP(Table1[[#This Row],[5 cm2 cell test code]:[5 cm2 cell test code]],[1]!Table1[[Test code]:[Test code]],[1]!Table1[Q_int_frac DIW],"",0)</f>
        <v>#REF!</v>
      </c>
      <c r="AH705" s="69" t="e" cm="1">
        <f t="array" ref="AH705">_xlfn.XLOOKUP(Table1[[#This Row],[5 cm2 cell test code]:[5 cm2 cell test code]],[1]!Table1[[Test code]:[Test code]],[1]!Table1[Ionic resistance 10 mM KOH/Ohm cm2],"",0)</f>
        <v>#REF!</v>
      </c>
      <c r="AI705" s="69" t="e" cm="1">
        <f t="array" ref="AI705">_xlfn.XLOOKUP(Table1[[#This Row],[5 cm2 cell test code]:[5 cm2 cell test code]],[1]!Table1[[Test code]:[Test code]],[1]!Table1[Q_int_frac DIW 10 mM KOH],"",0)</f>
        <v>#REF!</v>
      </c>
      <c r="AJ705" s="69" t="e" cm="1">
        <f t="array" ref="AJ705">_xlfn.XLOOKUP(Table1[[#This Row],[5 cm2 cell test code]:[5 cm2 cell test code]],[1]!Table1[[Test code]:[Test code]],[1]!Table1[DIW conductivity (µS/cm)],"",0)</f>
        <v>#REF!</v>
      </c>
    </row>
    <row r="706" spans="1:36">
      <c r="A706" s="81"/>
      <c r="U706" s="101"/>
      <c r="V706" s="101"/>
      <c r="W706" s="69" t="e" cm="1">
        <f t="array" ref="W706">_xlfn.XLOOKUP(Table1[[#This Row],[5 cm2 cell test code]:[5 cm2 cell test code]],[1]!Table1[[Test code]:[Test code]],[1]!Table1[i @ 1.8 V DIW (A/cm2)],"",0)</f>
        <v>#REF!</v>
      </c>
      <c r="X706" s="69" t="e" cm="1">
        <f t="array" ref="X706">_xlfn.XLOOKUP(Table1[[#This Row],[5 cm2 cell test code]:[5 cm2 cell test code]],[1]!Table1[[Test code]:[Test code]],[1]!Table1[i @ 1.8 V 10 mM KOH (A/cm2)],"",0)</f>
        <v>#REF!</v>
      </c>
      <c r="Y706" s="69" t="e" cm="1">
        <f t="array" ref="Y706">_xlfn.XLOOKUP(Table1[[#This Row],[5 cm2 cell test code]:[5 cm2 cell test code]],[1]!Table1[[Test code]:[Test code]],[1]!Table1[3-E ƞ at 20mAcm-2 (mV)],"",0)</f>
        <v>#REF!</v>
      </c>
      <c r="Z706" s="69" t="e" cm="1">
        <f t="array" ref="Z706">_xlfn.XLOOKUP(Table1[[#This Row],[5 cm2 cell test code]:[5 cm2 cell test code]],[1]!Table1[[Test code]:[Test code]],[1]!Table1[3-E Tafel slope (mV/dec)],"",0)</f>
        <v>#REF!</v>
      </c>
      <c r="AA706" s="69" t="e" cm="1">
        <f t="array" ref="AA706">_xlfn.XLOOKUP(Table1[[#This Row],[5 cm2 cell test code]:[5 cm2 cell test code]],[1]!Table1[[Test code]:[Test code]],[1]!Table1[E @ 100 mA/cm2 DIW/V],"",0)</f>
        <v>#REF!</v>
      </c>
      <c r="AB706" s="69" t="e" cm="1">
        <f t="array" ref="AB706">_xlfn.XLOOKUP(Table1[[#This Row],[5 cm2 cell test code]:[5 cm2 cell test code]],[1]!Table1[[Test code]:[Test code]],[1]!Table1[E @ 100 mA/cm2 10 mM KOH/V],"",0)</f>
        <v>#REF!</v>
      </c>
      <c r="AC706" s="69" t="e" cm="1">
        <f t="array" ref="AC706">_xlfn.XLOOKUP(Table1[[#This Row],[5 cm2 cell test code]:[5 cm2 cell test code]],[1]!Table1[[Test code]:[Test code]],[1]!Table1[Anode ICR/mOhm],"",0)</f>
        <v>#REF!</v>
      </c>
      <c r="AD706" s="69" t="e" cm="1">
        <f t="array" ref="AD706">_xlfn.XLOOKUP(Table1[[#This Row],[5 cm2 cell test code]:[5 cm2 cell test code]],[1]!Table1[[Test code]:[Test code]],[1]!Table1[HFR DIW/ mOhm cm2],"",0)</f>
        <v>#REF!</v>
      </c>
      <c r="AE706" s="69" t="e" cm="1">
        <f t="array" ref="AE706">_xlfn.XLOOKUP(Table1[[#This Row],[5 cm2 cell test code]:[5 cm2 cell test code]],[1]!Table1[[Test code]:[Test code]],[1]!Table1[HFR 10 mM KOH/ mOhm cm2],"",0)</f>
        <v>#REF!</v>
      </c>
      <c r="AF706" s="69" t="e" cm="1">
        <f t="array" ref="AF706">_xlfn.XLOOKUP(Table1[[#This Row],[5 cm2 cell test code]:[5 cm2 cell test code]],[1]!Table1[[Test code]:[Test code]],[1]!Table1[Ionic resistance DIW/Ohm cm2],"",0)</f>
        <v>#REF!</v>
      </c>
      <c r="AG706" s="69" t="e" cm="1">
        <f t="array" ref="AG706">_xlfn.XLOOKUP(Table1[[#This Row],[5 cm2 cell test code]:[5 cm2 cell test code]],[1]!Table1[[Test code]:[Test code]],[1]!Table1[Q_int_frac DIW],"",0)</f>
        <v>#REF!</v>
      </c>
      <c r="AH706" s="69" t="e" cm="1">
        <f t="array" ref="AH706">_xlfn.XLOOKUP(Table1[[#This Row],[5 cm2 cell test code]:[5 cm2 cell test code]],[1]!Table1[[Test code]:[Test code]],[1]!Table1[Ionic resistance 10 mM KOH/Ohm cm2],"",0)</f>
        <v>#REF!</v>
      </c>
      <c r="AI706" s="69" t="e" cm="1">
        <f t="array" ref="AI706">_xlfn.XLOOKUP(Table1[[#This Row],[5 cm2 cell test code]:[5 cm2 cell test code]],[1]!Table1[[Test code]:[Test code]],[1]!Table1[Q_int_frac DIW 10 mM KOH],"",0)</f>
        <v>#REF!</v>
      </c>
      <c r="AJ706" s="69" t="e" cm="1">
        <f t="array" ref="AJ706">_xlfn.XLOOKUP(Table1[[#This Row],[5 cm2 cell test code]:[5 cm2 cell test code]],[1]!Table1[[Test code]:[Test code]],[1]!Table1[DIW conductivity (µS/cm)],"",0)</f>
        <v>#REF!</v>
      </c>
    </row>
    <row r="707" spans="1:36">
      <c r="A707" s="81"/>
      <c r="U707" s="101"/>
      <c r="V707" s="101"/>
      <c r="W707" s="69" t="e" cm="1">
        <f t="array" ref="W707">_xlfn.XLOOKUP(Table1[[#This Row],[5 cm2 cell test code]:[5 cm2 cell test code]],[1]!Table1[[Test code]:[Test code]],[1]!Table1[i @ 1.8 V DIW (A/cm2)],"",0)</f>
        <v>#REF!</v>
      </c>
      <c r="X707" s="69" t="e" cm="1">
        <f t="array" ref="X707">_xlfn.XLOOKUP(Table1[[#This Row],[5 cm2 cell test code]:[5 cm2 cell test code]],[1]!Table1[[Test code]:[Test code]],[1]!Table1[i @ 1.8 V 10 mM KOH (A/cm2)],"",0)</f>
        <v>#REF!</v>
      </c>
      <c r="Y707" s="69" t="e" cm="1">
        <f t="array" ref="Y707">_xlfn.XLOOKUP(Table1[[#This Row],[5 cm2 cell test code]:[5 cm2 cell test code]],[1]!Table1[[Test code]:[Test code]],[1]!Table1[3-E ƞ at 20mAcm-2 (mV)],"",0)</f>
        <v>#REF!</v>
      </c>
      <c r="Z707" s="69" t="e" cm="1">
        <f t="array" ref="Z707">_xlfn.XLOOKUP(Table1[[#This Row],[5 cm2 cell test code]:[5 cm2 cell test code]],[1]!Table1[[Test code]:[Test code]],[1]!Table1[3-E Tafel slope (mV/dec)],"",0)</f>
        <v>#REF!</v>
      </c>
      <c r="AA707" s="69" t="e" cm="1">
        <f t="array" ref="AA707">_xlfn.XLOOKUP(Table1[[#This Row],[5 cm2 cell test code]:[5 cm2 cell test code]],[1]!Table1[[Test code]:[Test code]],[1]!Table1[E @ 100 mA/cm2 DIW/V],"",0)</f>
        <v>#REF!</v>
      </c>
      <c r="AB707" s="69" t="e" cm="1">
        <f t="array" ref="AB707">_xlfn.XLOOKUP(Table1[[#This Row],[5 cm2 cell test code]:[5 cm2 cell test code]],[1]!Table1[[Test code]:[Test code]],[1]!Table1[E @ 100 mA/cm2 10 mM KOH/V],"",0)</f>
        <v>#REF!</v>
      </c>
      <c r="AC707" s="69" t="e" cm="1">
        <f t="array" ref="AC707">_xlfn.XLOOKUP(Table1[[#This Row],[5 cm2 cell test code]:[5 cm2 cell test code]],[1]!Table1[[Test code]:[Test code]],[1]!Table1[Anode ICR/mOhm],"",0)</f>
        <v>#REF!</v>
      </c>
      <c r="AD707" s="69" t="e" cm="1">
        <f t="array" ref="AD707">_xlfn.XLOOKUP(Table1[[#This Row],[5 cm2 cell test code]:[5 cm2 cell test code]],[1]!Table1[[Test code]:[Test code]],[1]!Table1[HFR DIW/ mOhm cm2],"",0)</f>
        <v>#REF!</v>
      </c>
      <c r="AE707" s="69" t="e" cm="1">
        <f t="array" ref="AE707">_xlfn.XLOOKUP(Table1[[#This Row],[5 cm2 cell test code]:[5 cm2 cell test code]],[1]!Table1[[Test code]:[Test code]],[1]!Table1[HFR 10 mM KOH/ mOhm cm2],"",0)</f>
        <v>#REF!</v>
      </c>
      <c r="AF707" s="69" t="e" cm="1">
        <f t="array" ref="AF707">_xlfn.XLOOKUP(Table1[[#This Row],[5 cm2 cell test code]:[5 cm2 cell test code]],[1]!Table1[[Test code]:[Test code]],[1]!Table1[Ionic resistance DIW/Ohm cm2],"",0)</f>
        <v>#REF!</v>
      </c>
      <c r="AG707" s="69" t="e" cm="1">
        <f t="array" ref="AG707">_xlfn.XLOOKUP(Table1[[#This Row],[5 cm2 cell test code]:[5 cm2 cell test code]],[1]!Table1[[Test code]:[Test code]],[1]!Table1[Q_int_frac DIW],"",0)</f>
        <v>#REF!</v>
      </c>
      <c r="AH707" s="69" t="e" cm="1">
        <f t="array" ref="AH707">_xlfn.XLOOKUP(Table1[[#This Row],[5 cm2 cell test code]:[5 cm2 cell test code]],[1]!Table1[[Test code]:[Test code]],[1]!Table1[Ionic resistance 10 mM KOH/Ohm cm2],"",0)</f>
        <v>#REF!</v>
      </c>
      <c r="AI707" s="69" t="e" cm="1">
        <f t="array" ref="AI707">_xlfn.XLOOKUP(Table1[[#This Row],[5 cm2 cell test code]:[5 cm2 cell test code]],[1]!Table1[[Test code]:[Test code]],[1]!Table1[Q_int_frac DIW 10 mM KOH],"",0)</f>
        <v>#REF!</v>
      </c>
      <c r="AJ707" s="69" t="e" cm="1">
        <f t="array" ref="AJ707">_xlfn.XLOOKUP(Table1[[#This Row],[5 cm2 cell test code]:[5 cm2 cell test code]],[1]!Table1[[Test code]:[Test code]],[1]!Table1[DIW conductivity (µS/cm)],"",0)</f>
        <v>#REF!</v>
      </c>
    </row>
    <row r="708" spans="1:36">
      <c r="A708" s="81"/>
      <c r="U708" s="101"/>
      <c r="V708" s="101"/>
      <c r="W708" s="69" t="e" cm="1">
        <f t="array" ref="W708">_xlfn.XLOOKUP(Table1[[#This Row],[5 cm2 cell test code]:[5 cm2 cell test code]],[1]!Table1[[Test code]:[Test code]],[1]!Table1[i @ 1.8 V DIW (A/cm2)],"",0)</f>
        <v>#REF!</v>
      </c>
      <c r="X708" s="69" t="e" cm="1">
        <f t="array" ref="X708">_xlfn.XLOOKUP(Table1[[#This Row],[5 cm2 cell test code]:[5 cm2 cell test code]],[1]!Table1[[Test code]:[Test code]],[1]!Table1[i @ 1.8 V 10 mM KOH (A/cm2)],"",0)</f>
        <v>#REF!</v>
      </c>
      <c r="Y708" s="69" t="e" cm="1">
        <f t="array" ref="Y708">_xlfn.XLOOKUP(Table1[[#This Row],[5 cm2 cell test code]:[5 cm2 cell test code]],[1]!Table1[[Test code]:[Test code]],[1]!Table1[3-E ƞ at 20mAcm-2 (mV)],"",0)</f>
        <v>#REF!</v>
      </c>
      <c r="Z708" s="69" t="e" cm="1">
        <f t="array" ref="Z708">_xlfn.XLOOKUP(Table1[[#This Row],[5 cm2 cell test code]:[5 cm2 cell test code]],[1]!Table1[[Test code]:[Test code]],[1]!Table1[3-E Tafel slope (mV/dec)],"",0)</f>
        <v>#REF!</v>
      </c>
      <c r="AA708" s="69" t="e" cm="1">
        <f t="array" ref="AA708">_xlfn.XLOOKUP(Table1[[#This Row],[5 cm2 cell test code]:[5 cm2 cell test code]],[1]!Table1[[Test code]:[Test code]],[1]!Table1[E @ 100 mA/cm2 DIW/V],"",0)</f>
        <v>#REF!</v>
      </c>
      <c r="AB708" s="69" t="e" cm="1">
        <f t="array" ref="AB708">_xlfn.XLOOKUP(Table1[[#This Row],[5 cm2 cell test code]:[5 cm2 cell test code]],[1]!Table1[[Test code]:[Test code]],[1]!Table1[E @ 100 mA/cm2 10 mM KOH/V],"",0)</f>
        <v>#REF!</v>
      </c>
      <c r="AC708" s="69" t="e" cm="1">
        <f t="array" ref="AC708">_xlfn.XLOOKUP(Table1[[#This Row],[5 cm2 cell test code]:[5 cm2 cell test code]],[1]!Table1[[Test code]:[Test code]],[1]!Table1[Anode ICR/mOhm],"",0)</f>
        <v>#REF!</v>
      </c>
      <c r="AD708" s="69" t="e" cm="1">
        <f t="array" ref="AD708">_xlfn.XLOOKUP(Table1[[#This Row],[5 cm2 cell test code]:[5 cm2 cell test code]],[1]!Table1[[Test code]:[Test code]],[1]!Table1[HFR DIW/ mOhm cm2],"",0)</f>
        <v>#REF!</v>
      </c>
      <c r="AE708" s="69" t="e" cm="1">
        <f t="array" ref="AE708">_xlfn.XLOOKUP(Table1[[#This Row],[5 cm2 cell test code]:[5 cm2 cell test code]],[1]!Table1[[Test code]:[Test code]],[1]!Table1[HFR 10 mM KOH/ mOhm cm2],"",0)</f>
        <v>#REF!</v>
      </c>
      <c r="AF708" s="69" t="e" cm="1">
        <f t="array" ref="AF708">_xlfn.XLOOKUP(Table1[[#This Row],[5 cm2 cell test code]:[5 cm2 cell test code]],[1]!Table1[[Test code]:[Test code]],[1]!Table1[Ionic resistance DIW/Ohm cm2],"",0)</f>
        <v>#REF!</v>
      </c>
      <c r="AG708" s="69" t="e" cm="1">
        <f t="array" ref="AG708">_xlfn.XLOOKUP(Table1[[#This Row],[5 cm2 cell test code]:[5 cm2 cell test code]],[1]!Table1[[Test code]:[Test code]],[1]!Table1[Q_int_frac DIW],"",0)</f>
        <v>#REF!</v>
      </c>
      <c r="AH708" s="69" t="e" cm="1">
        <f t="array" ref="AH708">_xlfn.XLOOKUP(Table1[[#This Row],[5 cm2 cell test code]:[5 cm2 cell test code]],[1]!Table1[[Test code]:[Test code]],[1]!Table1[Ionic resistance 10 mM KOH/Ohm cm2],"",0)</f>
        <v>#REF!</v>
      </c>
      <c r="AI708" s="69" t="e" cm="1">
        <f t="array" ref="AI708">_xlfn.XLOOKUP(Table1[[#This Row],[5 cm2 cell test code]:[5 cm2 cell test code]],[1]!Table1[[Test code]:[Test code]],[1]!Table1[Q_int_frac DIW 10 mM KOH],"",0)</f>
        <v>#REF!</v>
      </c>
      <c r="AJ708" s="69" t="e" cm="1">
        <f t="array" ref="AJ708">_xlfn.XLOOKUP(Table1[[#This Row],[5 cm2 cell test code]:[5 cm2 cell test code]],[1]!Table1[[Test code]:[Test code]],[1]!Table1[DIW conductivity (µS/cm)],"",0)</f>
        <v>#REF!</v>
      </c>
    </row>
    <row r="709" spans="1:36">
      <c r="A709" s="81"/>
      <c r="U709" s="101"/>
      <c r="V709" s="101"/>
      <c r="W709" s="69" t="e" cm="1">
        <f t="array" ref="W709">_xlfn.XLOOKUP(Table1[[#This Row],[5 cm2 cell test code]:[5 cm2 cell test code]],[1]!Table1[[Test code]:[Test code]],[1]!Table1[i @ 1.8 V DIW (A/cm2)],"",0)</f>
        <v>#REF!</v>
      </c>
      <c r="X709" s="69" t="e" cm="1">
        <f t="array" ref="X709">_xlfn.XLOOKUP(Table1[[#This Row],[5 cm2 cell test code]:[5 cm2 cell test code]],[1]!Table1[[Test code]:[Test code]],[1]!Table1[i @ 1.8 V 10 mM KOH (A/cm2)],"",0)</f>
        <v>#REF!</v>
      </c>
      <c r="Y709" s="69" t="e" cm="1">
        <f t="array" ref="Y709">_xlfn.XLOOKUP(Table1[[#This Row],[5 cm2 cell test code]:[5 cm2 cell test code]],[1]!Table1[[Test code]:[Test code]],[1]!Table1[3-E ƞ at 20mAcm-2 (mV)],"",0)</f>
        <v>#REF!</v>
      </c>
      <c r="Z709" s="69" t="e" cm="1">
        <f t="array" ref="Z709">_xlfn.XLOOKUP(Table1[[#This Row],[5 cm2 cell test code]:[5 cm2 cell test code]],[1]!Table1[[Test code]:[Test code]],[1]!Table1[3-E Tafel slope (mV/dec)],"",0)</f>
        <v>#REF!</v>
      </c>
      <c r="AA709" s="69" t="e" cm="1">
        <f t="array" ref="AA709">_xlfn.XLOOKUP(Table1[[#This Row],[5 cm2 cell test code]:[5 cm2 cell test code]],[1]!Table1[[Test code]:[Test code]],[1]!Table1[E @ 100 mA/cm2 DIW/V],"",0)</f>
        <v>#REF!</v>
      </c>
      <c r="AB709" s="69" t="e" cm="1">
        <f t="array" ref="AB709">_xlfn.XLOOKUP(Table1[[#This Row],[5 cm2 cell test code]:[5 cm2 cell test code]],[1]!Table1[[Test code]:[Test code]],[1]!Table1[E @ 100 mA/cm2 10 mM KOH/V],"",0)</f>
        <v>#REF!</v>
      </c>
      <c r="AC709" s="69" t="e" cm="1">
        <f t="array" ref="AC709">_xlfn.XLOOKUP(Table1[[#This Row],[5 cm2 cell test code]:[5 cm2 cell test code]],[1]!Table1[[Test code]:[Test code]],[1]!Table1[Anode ICR/mOhm],"",0)</f>
        <v>#REF!</v>
      </c>
      <c r="AD709" s="69" t="e" cm="1">
        <f t="array" ref="AD709">_xlfn.XLOOKUP(Table1[[#This Row],[5 cm2 cell test code]:[5 cm2 cell test code]],[1]!Table1[[Test code]:[Test code]],[1]!Table1[HFR DIW/ mOhm cm2],"",0)</f>
        <v>#REF!</v>
      </c>
      <c r="AE709" s="69" t="e" cm="1">
        <f t="array" ref="AE709">_xlfn.XLOOKUP(Table1[[#This Row],[5 cm2 cell test code]:[5 cm2 cell test code]],[1]!Table1[[Test code]:[Test code]],[1]!Table1[HFR 10 mM KOH/ mOhm cm2],"",0)</f>
        <v>#REF!</v>
      </c>
      <c r="AF709" s="69" t="e" cm="1">
        <f t="array" ref="AF709">_xlfn.XLOOKUP(Table1[[#This Row],[5 cm2 cell test code]:[5 cm2 cell test code]],[1]!Table1[[Test code]:[Test code]],[1]!Table1[Ionic resistance DIW/Ohm cm2],"",0)</f>
        <v>#REF!</v>
      </c>
      <c r="AG709" s="69" t="e" cm="1">
        <f t="array" ref="AG709">_xlfn.XLOOKUP(Table1[[#This Row],[5 cm2 cell test code]:[5 cm2 cell test code]],[1]!Table1[[Test code]:[Test code]],[1]!Table1[Q_int_frac DIW],"",0)</f>
        <v>#REF!</v>
      </c>
      <c r="AH709" s="69" t="e" cm="1">
        <f t="array" ref="AH709">_xlfn.XLOOKUP(Table1[[#This Row],[5 cm2 cell test code]:[5 cm2 cell test code]],[1]!Table1[[Test code]:[Test code]],[1]!Table1[Ionic resistance 10 mM KOH/Ohm cm2],"",0)</f>
        <v>#REF!</v>
      </c>
      <c r="AI709" s="69" t="e" cm="1">
        <f t="array" ref="AI709">_xlfn.XLOOKUP(Table1[[#This Row],[5 cm2 cell test code]:[5 cm2 cell test code]],[1]!Table1[[Test code]:[Test code]],[1]!Table1[Q_int_frac DIW 10 mM KOH],"",0)</f>
        <v>#REF!</v>
      </c>
      <c r="AJ709" s="69" t="e" cm="1">
        <f t="array" ref="AJ709">_xlfn.XLOOKUP(Table1[[#This Row],[5 cm2 cell test code]:[5 cm2 cell test code]],[1]!Table1[[Test code]:[Test code]],[1]!Table1[DIW conductivity (µS/cm)],"",0)</f>
        <v>#REF!</v>
      </c>
    </row>
    <row r="710" spans="1:36">
      <c r="A710" s="81"/>
      <c r="U710" s="101"/>
      <c r="V710" s="101"/>
      <c r="W710" s="69" t="e" cm="1">
        <f t="array" ref="W710">_xlfn.XLOOKUP(Table1[[#This Row],[5 cm2 cell test code]:[5 cm2 cell test code]],[1]!Table1[[Test code]:[Test code]],[1]!Table1[i @ 1.8 V DIW (A/cm2)],"",0)</f>
        <v>#REF!</v>
      </c>
      <c r="X710" s="69" t="e" cm="1">
        <f t="array" ref="X710">_xlfn.XLOOKUP(Table1[[#This Row],[5 cm2 cell test code]:[5 cm2 cell test code]],[1]!Table1[[Test code]:[Test code]],[1]!Table1[i @ 1.8 V 10 mM KOH (A/cm2)],"",0)</f>
        <v>#REF!</v>
      </c>
      <c r="Y710" s="69" t="e" cm="1">
        <f t="array" ref="Y710">_xlfn.XLOOKUP(Table1[[#This Row],[5 cm2 cell test code]:[5 cm2 cell test code]],[1]!Table1[[Test code]:[Test code]],[1]!Table1[3-E ƞ at 20mAcm-2 (mV)],"",0)</f>
        <v>#REF!</v>
      </c>
      <c r="Z710" s="69" t="e" cm="1">
        <f t="array" ref="Z710">_xlfn.XLOOKUP(Table1[[#This Row],[5 cm2 cell test code]:[5 cm2 cell test code]],[1]!Table1[[Test code]:[Test code]],[1]!Table1[3-E Tafel slope (mV/dec)],"",0)</f>
        <v>#REF!</v>
      </c>
      <c r="AA710" s="69" t="e" cm="1">
        <f t="array" ref="AA710">_xlfn.XLOOKUP(Table1[[#This Row],[5 cm2 cell test code]:[5 cm2 cell test code]],[1]!Table1[[Test code]:[Test code]],[1]!Table1[E @ 100 mA/cm2 DIW/V],"",0)</f>
        <v>#REF!</v>
      </c>
      <c r="AB710" s="69" t="e" cm="1">
        <f t="array" ref="AB710">_xlfn.XLOOKUP(Table1[[#This Row],[5 cm2 cell test code]:[5 cm2 cell test code]],[1]!Table1[[Test code]:[Test code]],[1]!Table1[E @ 100 mA/cm2 10 mM KOH/V],"",0)</f>
        <v>#REF!</v>
      </c>
      <c r="AC710" s="69" t="e" cm="1">
        <f t="array" ref="AC710">_xlfn.XLOOKUP(Table1[[#This Row],[5 cm2 cell test code]:[5 cm2 cell test code]],[1]!Table1[[Test code]:[Test code]],[1]!Table1[Anode ICR/mOhm],"",0)</f>
        <v>#REF!</v>
      </c>
      <c r="AD710" s="69" t="e" cm="1">
        <f t="array" ref="AD710">_xlfn.XLOOKUP(Table1[[#This Row],[5 cm2 cell test code]:[5 cm2 cell test code]],[1]!Table1[[Test code]:[Test code]],[1]!Table1[HFR DIW/ mOhm cm2],"",0)</f>
        <v>#REF!</v>
      </c>
      <c r="AE710" s="69" t="e" cm="1">
        <f t="array" ref="AE710">_xlfn.XLOOKUP(Table1[[#This Row],[5 cm2 cell test code]:[5 cm2 cell test code]],[1]!Table1[[Test code]:[Test code]],[1]!Table1[HFR 10 mM KOH/ mOhm cm2],"",0)</f>
        <v>#REF!</v>
      </c>
      <c r="AF710" s="69" t="e" cm="1">
        <f t="array" ref="AF710">_xlfn.XLOOKUP(Table1[[#This Row],[5 cm2 cell test code]:[5 cm2 cell test code]],[1]!Table1[[Test code]:[Test code]],[1]!Table1[Ionic resistance DIW/Ohm cm2],"",0)</f>
        <v>#REF!</v>
      </c>
      <c r="AG710" s="69" t="e" cm="1">
        <f t="array" ref="AG710">_xlfn.XLOOKUP(Table1[[#This Row],[5 cm2 cell test code]:[5 cm2 cell test code]],[1]!Table1[[Test code]:[Test code]],[1]!Table1[Q_int_frac DIW],"",0)</f>
        <v>#REF!</v>
      </c>
      <c r="AH710" s="69" t="e" cm="1">
        <f t="array" ref="AH710">_xlfn.XLOOKUP(Table1[[#This Row],[5 cm2 cell test code]:[5 cm2 cell test code]],[1]!Table1[[Test code]:[Test code]],[1]!Table1[Ionic resistance 10 mM KOH/Ohm cm2],"",0)</f>
        <v>#REF!</v>
      </c>
      <c r="AI710" s="69" t="e" cm="1">
        <f t="array" ref="AI710">_xlfn.XLOOKUP(Table1[[#This Row],[5 cm2 cell test code]:[5 cm2 cell test code]],[1]!Table1[[Test code]:[Test code]],[1]!Table1[Q_int_frac DIW 10 mM KOH],"",0)</f>
        <v>#REF!</v>
      </c>
      <c r="AJ710" s="69" t="e" cm="1">
        <f t="array" ref="AJ710">_xlfn.XLOOKUP(Table1[[#This Row],[5 cm2 cell test code]:[5 cm2 cell test code]],[1]!Table1[[Test code]:[Test code]],[1]!Table1[DIW conductivity (µS/cm)],"",0)</f>
        <v>#REF!</v>
      </c>
    </row>
    <row r="711" spans="1:36">
      <c r="A711" s="81"/>
      <c r="U711" s="101"/>
      <c r="V711" s="101"/>
      <c r="W711" s="69" t="e" cm="1">
        <f t="array" ref="W711">_xlfn.XLOOKUP(Table1[[#This Row],[5 cm2 cell test code]:[5 cm2 cell test code]],[1]!Table1[[Test code]:[Test code]],[1]!Table1[i @ 1.8 V DIW (A/cm2)],"",0)</f>
        <v>#REF!</v>
      </c>
      <c r="X711" s="69" t="e" cm="1">
        <f t="array" ref="X711">_xlfn.XLOOKUP(Table1[[#This Row],[5 cm2 cell test code]:[5 cm2 cell test code]],[1]!Table1[[Test code]:[Test code]],[1]!Table1[i @ 1.8 V 10 mM KOH (A/cm2)],"",0)</f>
        <v>#REF!</v>
      </c>
      <c r="Y711" s="69" t="e" cm="1">
        <f t="array" ref="Y711">_xlfn.XLOOKUP(Table1[[#This Row],[5 cm2 cell test code]:[5 cm2 cell test code]],[1]!Table1[[Test code]:[Test code]],[1]!Table1[3-E ƞ at 20mAcm-2 (mV)],"",0)</f>
        <v>#REF!</v>
      </c>
      <c r="Z711" s="69" t="e" cm="1">
        <f t="array" ref="Z711">_xlfn.XLOOKUP(Table1[[#This Row],[5 cm2 cell test code]:[5 cm2 cell test code]],[1]!Table1[[Test code]:[Test code]],[1]!Table1[3-E Tafel slope (mV/dec)],"",0)</f>
        <v>#REF!</v>
      </c>
      <c r="AA711" s="69" t="e" cm="1">
        <f t="array" ref="AA711">_xlfn.XLOOKUP(Table1[[#This Row],[5 cm2 cell test code]:[5 cm2 cell test code]],[1]!Table1[[Test code]:[Test code]],[1]!Table1[E @ 100 mA/cm2 DIW/V],"",0)</f>
        <v>#REF!</v>
      </c>
      <c r="AB711" s="69" t="e" cm="1">
        <f t="array" ref="AB711">_xlfn.XLOOKUP(Table1[[#This Row],[5 cm2 cell test code]:[5 cm2 cell test code]],[1]!Table1[[Test code]:[Test code]],[1]!Table1[E @ 100 mA/cm2 10 mM KOH/V],"",0)</f>
        <v>#REF!</v>
      </c>
      <c r="AC711" s="69" t="e" cm="1">
        <f t="array" ref="AC711">_xlfn.XLOOKUP(Table1[[#This Row],[5 cm2 cell test code]:[5 cm2 cell test code]],[1]!Table1[[Test code]:[Test code]],[1]!Table1[Anode ICR/mOhm],"",0)</f>
        <v>#REF!</v>
      </c>
      <c r="AD711" s="69" t="e" cm="1">
        <f t="array" ref="AD711">_xlfn.XLOOKUP(Table1[[#This Row],[5 cm2 cell test code]:[5 cm2 cell test code]],[1]!Table1[[Test code]:[Test code]],[1]!Table1[HFR DIW/ mOhm cm2],"",0)</f>
        <v>#REF!</v>
      </c>
      <c r="AE711" s="69" t="e" cm="1">
        <f t="array" ref="AE711">_xlfn.XLOOKUP(Table1[[#This Row],[5 cm2 cell test code]:[5 cm2 cell test code]],[1]!Table1[[Test code]:[Test code]],[1]!Table1[HFR 10 mM KOH/ mOhm cm2],"",0)</f>
        <v>#REF!</v>
      </c>
      <c r="AF711" s="69" t="e" cm="1">
        <f t="array" ref="AF711">_xlfn.XLOOKUP(Table1[[#This Row],[5 cm2 cell test code]:[5 cm2 cell test code]],[1]!Table1[[Test code]:[Test code]],[1]!Table1[Ionic resistance DIW/Ohm cm2],"",0)</f>
        <v>#REF!</v>
      </c>
      <c r="AG711" s="69" t="e" cm="1">
        <f t="array" ref="AG711">_xlfn.XLOOKUP(Table1[[#This Row],[5 cm2 cell test code]:[5 cm2 cell test code]],[1]!Table1[[Test code]:[Test code]],[1]!Table1[Q_int_frac DIW],"",0)</f>
        <v>#REF!</v>
      </c>
      <c r="AH711" s="69" t="e" cm="1">
        <f t="array" ref="AH711">_xlfn.XLOOKUP(Table1[[#This Row],[5 cm2 cell test code]:[5 cm2 cell test code]],[1]!Table1[[Test code]:[Test code]],[1]!Table1[Ionic resistance 10 mM KOH/Ohm cm2],"",0)</f>
        <v>#REF!</v>
      </c>
      <c r="AI711" s="69" t="e" cm="1">
        <f t="array" ref="AI711">_xlfn.XLOOKUP(Table1[[#This Row],[5 cm2 cell test code]:[5 cm2 cell test code]],[1]!Table1[[Test code]:[Test code]],[1]!Table1[Q_int_frac DIW 10 mM KOH],"",0)</f>
        <v>#REF!</v>
      </c>
      <c r="AJ711" s="69" t="e" cm="1">
        <f t="array" ref="AJ711">_xlfn.XLOOKUP(Table1[[#This Row],[5 cm2 cell test code]:[5 cm2 cell test code]],[1]!Table1[[Test code]:[Test code]],[1]!Table1[DIW conductivity (µS/cm)],"",0)</f>
        <v>#REF!</v>
      </c>
    </row>
    <row r="712" spans="1:36">
      <c r="A712" s="81"/>
      <c r="U712" s="101"/>
      <c r="V712" s="101"/>
      <c r="W712" s="69" t="e" cm="1">
        <f t="array" ref="W712">_xlfn.XLOOKUP(Table1[[#This Row],[5 cm2 cell test code]:[5 cm2 cell test code]],[1]!Table1[[Test code]:[Test code]],[1]!Table1[i @ 1.8 V DIW (A/cm2)],"",0)</f>
        <v>#REF!</v>
      </c>
      <c r="X712" s="69" t="e" cm="1">
        <f t="array" ref="X712">_xlfn.XLOOKUP(Table1[[#This Row],[5 cm2 cell test code]:[5 cm2 cell test code]],[1]!Table1[[Test code]:[Test code]],[1]!Table1[i @ 1.8 V 10 mM KOH (A/cm2)],"",0)</f>
        <v>#REF!</v>
      </c>
      <c r="Y712" s="69" t="e" cm="1">
        <f t="array" ref="Y712">_xlfn.XLOOKUP(Table1[[#This Row],[5 cm2 cell test code]:[5 cm2 cell test code]],[1]!Table1[[Test code]:[Test code]],[1]!Table1[3-E ƞ at 20mAcm-2 (mV)],"",0)</f>
        <v>#REF!</v>
      </c>
      <c r="Z712" s="69" t="e" cm="1">
        <f t="array" ref="Z712">_xlfn.XLOOKUP(Table1[[#This Row],[5 cm2 cell test code]:[5 cm2 cell test code]],[1]!Table1[[Test code]:[Test code]],[1]!Table1[3-E Tafel slope (mV/dec)],"",0)</f>
        <v>#REF!</v>
      </c>
      <c r="AA712" s="69" t="e" cm="1">
        <f t="array" ref="AA712">_xlfn.XLOOKUP(Table1[[#This Row],[5 cm2 cell test code]:[5 cm2 cell test code]],[1]!Table1[[Test code]:[Test code]],[1]!Table1[E @ 100 mA/cm2 DIW/V],"",0)</f>
        <v>#REF!</v>
      </c>
      <c r="AB712" s="69" t="e" cm="1">
        <f t="array" ref="AB712">_xlfn.XLOOKUP(Table1[[#This Row],[5 cm2 cell test code]:[5 cm2 cell test code]],[1]!Table1[[Test code]:[Test code]],[1]!Table1[E @ 100 mA/cm2 10 mM KOH/V],"",0)</f>
        <v>#REF!</v>
      </c>
      <c r="AC712" s="69" t="e" cm="1">
        <f t="array" ref="AC712">_xlfn.XLOOKUP(Table1[[#This Row],[5 cm2 cell test code]:[5 cm2 cell test code]],[1]!Table1[[Test code]:[Test code]],[1]!Table1[Anode ICR/mOhm],"",0)</f>
        <v>#REF!</v>
      </c>
      <c r="AD712" s="69" t="e" cm="1">
        <f t="array" ref="AD712">_xlfn.XLOOKUP(Table1[[#This Row],[5 cm2 cell test code]:[5 cm2 cell test code]],[1]!Table1[[Test code]:[Test code]],[1]!Table1[HFR DIW/ mOhm cm2],"",0)</f>
        <v>#REF!</v>
      </c>
      <c r="AE712" s="69" t="e" cm="1">
        <f t="array" ref="AE712">_xlfn.XLOOKUP(Table1[[#This Row],[5 cm2 cell test code]:[5 cm2 cell test code]],[1]!Table1[[Test code]:[Test code]],[1]!Table1[HFR 10 mM KOH/ mOhm cm2],"",0)</f>
        <v>#REF!</v>
      </c>
      <c r="AF712" s="69" t="e" cm="1">
        <f t="array" ref="AF712">_xlfn.XLOOKUP(Table1[[#This Row],[5 cm2 cell test code]:[5 cm2 cell test code]],[1]!Table1[[Test code]:[Test code]],[1]!Table1[Ionic resistance DIW/Ohm cm2],"",0)</f>
        <v>#REF!</v>
      </c>
      <c r="AG712" s="69" t="e" cm="1">
        <f t="array" ref="AG712">_xlfn.XLOOKUP(Table1[[#This Row],[5 cm2 cell test code]:[5 cm2 cell test code]],[1]!Table1[[Test code]:[Test code]],[1]!Table1[Q_int_frac DIW],"",0)</f>
        <v>#REF!</v>
      </c>
      <c r="AH712" s="69" t="e" cm="1">
        <f t="array" ref="AH712">_xlfn.XLOOKUP(Table1[[#This Row],[5 cm2 cell test code]:[5 cm2 cell test code]],[1]!Table1[[Test code]:[Test code]],[1]!Table1[Ionic resistance 10 mM KOH/Ohm cm2],"",0)</f>
        <v>#REF!</v>
      </c>
      <c r="AI712" s="69" t="e" cm="1">
        <f t="array" ref="AI712">_xlfn.XLOOKUP(Table1[[#This Row],[5 cm2 cell test code]:[5 cm2 cell test code]],[1]!Table1[[Test code]:[Test code]],[1]!Table1[Q_int_frac DIW 10 mM KOH],"",0)</f>
        <v>#REF!</v>
      </c>
      <c r="AJ712" s="69" t="e" cm="1">
        <f t="array" ref="AJ712">_xlfn.XLOOKUP(Table1[[#This Row],[5 cm2 cell test code]:[5 cm2 cell test code]],[1]!Table1[[Test code]:[Test code]],[1]!Table1[DIW conductivity (µS/cm)],"",0)</f>
        <v>#REF!</v>
      </c>
    </row>
    <row r="713" spans="1:36">
      <c r="A713" s="81"/>
      <c r="U713" s="101"/>
      <c r="V713" s="101"/>
      <c r="W713" s="69" t="e" cm="1">
        <f t="array" ref="W713">_xlfn.XLOOKUP(Table1[[#This Row],[5 cm2 cell test code]:[5 cm2 cell test code]],[1]!Table1[[Test code]:[Test code]],[1]!Table1[i @ 1.8 V DIW (A/cm2)],"",0)</f>
        <v>#REF!</v>
      </c>
      <c r="X713" s="69" t="e" cm="1">
        <f t="array" ref="X713">_xlfn.XLOOKUP(Table1[[#This Row],[5 cm2 cell test code]:[5 cm2 cell test code]],[1]!Table1[[Test code]:[Test code]],[1]!Table1[i @ 1.8 V 10 mM KOH (A/cm2)],"",0)</f>
        <v>#REF!</v>
      </c>
      <c r="Y713" s="69" t="e" cm="1">
        <f t="array" ref="Y713">_xlfn.XLOOKUP(Table1[[#This Row],[5 cm2 cell test code]:[5 cm2 cell test code]],[1]!Table1[[Test code]:[Test code]],[1]!Table1[3-E ƞ at 20mAcm-2 (mV)],"",0)</f>
        <v>#REF!</v>
      </c>
      <c r="Z713" s="69" t="e" cm="1">
        <f t="array" ref="Z713">_xlfn.XLOOKUP(Table1[[#This Row],[5 cm2 cell test code]:[5 cm2 cell test code]],[1]!Table1[[Test code]:[Test code]],[1]!Table1[3-E Tafel slope (mV/dec)],"",0)</f>
        <v>#REF!</v>
      </c>
      <c r="AA713" s="69" t="e" cm="1">
        <f t="array" ref="AA713">_xlfn.XLOOKUP(Table1[[#This Row],[5 cm2 cell test code]:[5 cm2 cell test code]],[1]!Table1[[Test code]:[Test code]],[1]!Table1[E @ 100 mA/cm2 DIW/V],"",0)</f>
        <v>#REF!</v>
      </c>
      <c r="AB713" s="69" t="e" cm="1">
        <f t="array" ref="AB713">_xlfn.XLOOKUP(Table1[[#This Row],[5 cm2 cell test code]:[5 cm2 cell test code]],[1]!Table1[[Test code]:[Test code]],[1]!Table1[E @ 100 mA/cm2 10 mM KOH/V],"",0)</f>
        <v>#REF!</v>
      </c>
      <c r="AC713" s="69" t="e" cm="1">
        <f t="array" ref="AC713">_xlfn.XLOOKUP(Table1[[#This Row],[5 cm2 cell test code]:[5 cm2 cell test code]],[1]!Table1[[Test code]:[Test code]],[1]!Table1[Anode ICR/mOhm],"",0)</f>
        <v>#REF!</v>
      </c>
      <c r="AD713" s="69" t="e" cm="1">
        <f t="array" ref="AD713">_xlfn.XLOOKUP(Table1[[#This Row],[5 cm2 cell test code]:[5 cm2 cell test code]],[1]!Table1[[Test code]:[Test code]],[1]!Table1[HFR DIW/ mOhm cm2],"",0)</f>
        <v>#REF!</v>
      </c>
      <c r="AE713" s="69" t="e" cm="1">
        <f t="array" ref="AE713">_xlfn.XLOOKUP(Table1[[#This Row],[5 cm2 cell test code]:[5 cm2 cell test code]],[1]!Table1[[Test code]:[Test code]],[1]!Table1[HFR 10 mM KOH/ mOhm cm2],"",0)</f>
        <v>#REF!</v>
      </c>
      <c r="AF713" s="69" t="e" cm="1">
        <f t="array" ref="AF713">_xlfn.XLOOKUP(Table1[[#This Row],[5 cm2 cell test code]:[5 cm2 cell test code]],[1]!Table1[[Test code]:[Test code]],[1]!Table1[Ionic resistance DIW/Ohm cm2],"",0)</f>
        <v>#REF!</v>
      </c>
      <c r="AG713" s="69" t="e" cm="1">
        <f t="array" ref="AG713">_xlfn.XLOOKUP(Table1[[#This Row],[5 cm2 cell test code]:[5 cm2 cell test code]],[1]!Table1[[Test code]:[Test code]],[1]!Table1[Q_int_frac DIW],"",0)</f>
        <v>#REF!</v>
      </c>
      <c r="AH713" s="69" t="e" cm="1">
        <f t="array" ref="AH713">_xlfn.XLOOKUP(Table1[[#This Row],[5 cm2 cell test code]:[5 cm2 cell test code]],[1]!Table1[[Test code]:[Test code]],[1]!Table1[Ionic resistance 10 mM KOH/Ohm cm2],"",0)</f>
        <v>#REF!</v>
      </c>
      <c r="AI713" s="69" t="e" cm="1">
        <f t="array" ref="AI713">_xlfn.XLOOKUP(Table1[[#This Row],[5 cm2 cell test code]:[5 cm2 cell test code]],[1]!Table1[[Test code]:[Test code]],[1]!Table1[Q_int_frac DIW 10 mM KOH],"",0)</f>
        <v>#REF!</v>
      </c>
      <c r="AJ713" s="69" t="e" cm="1">
        <f t="array" ref="AJ713">_xlfn.XLOOKUP(Table1[[#This Row],[5 cm2 cell test code]:[5 cm2 cell test code]],[1]!Table1[[Test code]:[Test code]],[1]!Table1[DIW conductivity (µS/cm)],"",0)</f>
        <v>#REF!</v>
      </c>
    </row>
    <row r="714" spans="1:36">
      <c r="A714" s="81"/>
      <c r="U714" s="101"/>
      <c r="V714" s="101"/>
      <c r="W714" s="69" t="e" cm="1">
        <f t="array" ref="W714">_xlfn.XLOOKUP(Table1[[#This Row],[5 cm2 cell test code]:[5 cm2 cell test code]],[1]!Table1[[Test code]:[Test code]],[1]!Table1[i @ 1.8 V DIW (A/cm2)],"",0)</f>
        <v>#REF!</v>
      </c>
      <c r="X714" s="69" t="e" cm="1">
        <f t="array" ref="X714">_xlfn.XLOOKUP(Table1[[#This Row],[5 cm2 cell test code]:[5 cm2 cell test code]],[1]!Table1[[Test code]:[Test code]],[1]!Table1[i @ 1.8 V 10 mM KOH (A/cm2)],"",0)</f>
        <v>#REF!</v>
      </c>
      <c r="Y714" s="69" t="e" cm="1">
        <f t="array" ref="Y714">_xlfn.XLOOKUP(Table1[[#This Row],[5 cm2 cell test code]:[5 cm2 cell test code]],[1]!Table1[[Test code]:[Test code]],[1]!Table1[3-E ƞ at 20mAcm-2 (mV)],"",0)</f>
        <v>#REF!</v>
      </c>
      <c r="Z714" s="69" t="e" cm="1">
        <f t="array" ref="Z714">_xlfn.XLOOKUP(Table1[[#This Row],[5 cm2 cell test code]:[5 cm2 cell test code]],[1]!Table1[[Test code]:[Test code]],[1]!Table1[3-E Tafel slope (mV/dec)],"",0)</f>
        <v>#REF!</v>
      </c>
      <c r="AA714" s="69" t="e" cm="1">
        <f t="array" ref="AA714">_xlfn.XLOOKUP(Table1[[#This Row],[5 cm2 cell test code]:[5 cm2 cell test code]],[1]!Table1[[Test code]:[Test code]],[1]!Table1[E @ 100 mA/cm2 DIW/V],"",0)</f>
        <v>#REF!</v>
      </c>
      <c r="AB714" s="69" t="e" cm="1">
        <f t="array" ref="AB714">_xlfn.XLOOKUP(Table1[[#This Row],[5 cm2 cell test code]:[5 cm2 cell test code]],[1]!Table1[[Test code]:[Test code]],[1]!Table1[E @ 100 mA/cm2 10 mM KOH/V],"",0)</f>
        <v>#REF!</v>
      </c>
      <c r="AC714" s="69" t="e" cm="1">
        <f t="array" ref="AC714">_xlfn.XLOOKUP(Table1[[#This Row],[5 cm2 cell test code]:[5 cm2 cell test code]],[1]!Table1[[Test code]:[Test code]],[1]!Table1[Anode ICR/mOhm],"",0)</f>
        <v>#REF!</v>
      </c>
      <c r="AD714" s="69" t="e" cm="1">
        <f t="array" ref="AD714">_xlfn.XLOOKUP(Table1[[#This Row],[5 cm2 cell test code]:[5 cm2 cell test code]],[1]!Table1[[Test code]:[Test code]],[1]!Table1[HFR DIW/ mOhm cm2],"",0)</f>
        <v>#REF!</v>
      </c>
      <c r="AE714" s="69" t="e" cm="1">
        <f t="array" ref="AE714">_xlfn.XLOOKUP(Table1[[#This Row],[5 cm2 cell test code]:[5 cm2 cell test code]],[1]!Table1[[Test code]:[Test code]],[1]!Table1[HFR 10 mM KOH/ mOhm cm2],"",0)</f>
        <v>#REF!</v>
      </c>
      <c r="AF714" s="69" t="e" cm="1">
        <f t="array" ref="AF714">_xlfn.XLOOKUP(Table1[[#This Row],[5 cm2 cell test code]:[5 cm2 cell test code]],[1]!Table1[[Test code]:[Test code]],[1]!Table1[Ionic resistance DIW/Ohm cm2],"",0)</f>
        <v>#REF!</v>
      </c>
      <c r="AG714" s="69" t="e" cm="1">
        <f t="array" ref="AG714">_xlfn.XLOOKUP(Table1[[#This Row],[5 cm2 cell test code]:[5 cm2 cell test code]],[1]!Table1[[Test code]:[Test code]],[1]!Table1[Q_int_frac DIW],"",0)</f>
        <v>#REF!</v>
      </c>
      <c r="AH714" s="69" t="e" cm="1">
        <f t="array" ref="AH714">_xlfn.XLOOKUP(Table1[[#This Row],[5 cm2 cell test code]:[5 cm2 cell test code]],[1]!Table1[[Test code]:[Test code]],[1]!Table1[Ionic resistance 10 mM KOH/Ohm cm2],"",0)</f>
        <v>#REF!</v>
      </c>
      <c r="AI714" s="69" t="e" cm="1">
        <f t="array" ref="AI714">_xlfn.XLOOKUP(Table1[[#This Row],[5 cm2 cell test code]:[5 cm2 cell test code]],[1]!Table1[[Test code]:[Test code]],[1]!Table1[Q_int_frac DIW 10 mM KOH],"",0)</f>
        <v>#REF!</v>
      </c>
      <c r="AJ714" s="69" t="e" cm="1">
        <f t="array" ref="AJ714">_xlfn.XLOOKUP(Table1[[#This Row],[5 cm2 cell test code]:[5 cm2 cell test code]],[1]!Table1[[Test code]:[Test code]],[1]!Table1[DIW conductivity (µS/cm)],"",0)</f>
        <v>#REF!</v>
      </c>
    </row>
    <row r="715" spans="1:36">
      <c r="A715" s="81"/>
      <c r="U715" s="101"/>
      <c r="V715" s="101"/>
      <c r="W715" s="69" t="e" cm="1">
        <f t="array" ref="W715">_xlfn.XLOOKUP(Table1[[#This Row],[5 cm2 cell test code]:[5 cm2 cell test code]],[1]!Table1[[Test code]:[Test code]],[1]!Table1[i @ 1.8 V DIW (A/cm2)],"",0)</f>
        <v>#REF!</v>
      </c>
      <c r="X715" s="69" t="e" cm="1">
        <f t="array" ref="X715">_xlfn.XLOOKUP(Table1[[#This Row],[5 cm2 cell test code]:[5 cm2 cell test code]],[1]!Table1[[Test code]:[Test code]],[1]!Table1[i @ 1.8 V 10 mM KOH (A/cm2)],"",0)</f>
        <v>#REF!</v>
      </c>
      <c r="Y715" s="69" t="e" cm="1">
        <f t="array" ref="Y715">_xlfn.XLOOKUP(Table1[[#This Row],[5 cm2 cell test code]:[5 cm2 cell test code]],[1]!Table1[[Test code]:[Test code]],[1]!Table1[3-E ƞ at 20mAcm-2 (mV)],"",0)</f>
        <v>#REF!</v>
      </c>
      <c r="Z715" s="69" t="e" cm="1">
        <f t="array" ref="Z715">_xlfn.XLOOKUP(Table1[[#This Row],[5 cm2 cell test code]:[5 cm2 cell test code]],[1]!Table1[[Test code]:[Test code]],[1]!Table1[3-E Tafel slope (mV/dec)],"",0)</f>
        <v>#REF!</v>
      </c>
      <c r="AA715" s="69" t="e" cm="1">
        <f t="array" ref="AA715">_xlfn.XLOOKUP(Table1[[#This Row],[5 cm2 cell test code]:[5 cm2 cell test code]],[1]!Table1[[Test code]:[Test code]],[1]!Table1[E @ 100 mA/cm2 DIW/V],"",0)</f>
        <v>#REF!</v>
      </c>
      <c r="AB715" s="69" t="e" cm="1">
        <f t="array" ref="AB715">_xlfn.XLOOKUP(Table1[[#This Row],[5 cm2 cell test code]:[5 cm2 cell test code]],[1]!Table1[[Test code]:[Test code]],[1]!Table1[E @ 100 mA/cm2 10 mM KOH/V],"",0)</f>
        <v>#REF!</v>
      </c>
      <c r="AC715" s="69" t="e" cm="1">
        <f t="array" ref="AC715">_xlfn.XLOOKUP(Table1[[#This Row],[5 cm2 cell test code]:[5 cm2 cell test code]],[1]!Table1[[Test code]:[Test code]],[1]!Table1[Anode ICR/mOhm],"",0)</f>
        <v>#REF!</v>
      </c>
      <c r="AD715" s="69" t="e" cm="1">
        <f t="array" ref="AD715">_xlfn.XLOOKUP(Table1[[#This Row],[5 cm2 cell test code]:[5 cm2 cell test code]],[1]!Table1[[Test code]:[Test code]],[1]!Table1[HFR DIW/ mOhm cm2],"",0)</f>
        <v>#REF!</v>
      </c>
      <c r="AE715" s="69" t="e" cm="1">
        <f t="array" ref="AE715">_xlfn.XLOOKUP(Table1[[#This Row],[5 cm2 cell test code]:[5 cm2 cell test code]],[1]!Table1[[Test code]:[Test code]],[1]!Table1[HFR 10 mM KOH/ mOhm cm2],"",0)</f>
        <v>#REF!</v>
      </c>
      <c r="AF715" s="69" t="e" cm="1">
        <f t="array" ref="AF715">_xlfn.XLOOKUP(Table1[[#This Row],[5 cm2 cell test code]:[5 cm2 cell test code]],[1]!Table1[[Test code]:[Test code]],[1]!Table1[Ionic resistance DIW/Ohm cm2],"",0)</f>
        <v>#REF!</v>
      </c>
      <c r="AG715" s="69" t="e" cm="1">
        <f t="array" ref="AG715">_xlfn.XLOOKUP(Table1[[#This Row],[5 cm2 cell test code]:[5 cm2 cell test code]],[1]!Table1[[Test code]:[Test code]],[1]!Table1[Q_int_frac DIW],"",0)</f>
        <v>#REF!</v>
      </c>
      <c r="AH715" s="69" t="e" cm="1">
        <f t="array" ref="AH715">_xlfn.XLOOKUP(Table1[[#This Row],[5 cm2 cell test code]:[5 cm2 cell test code]],[1]!Table1[[Test code]:[Test code]],[1]!Table1[Ionic resistance 10 mM KOH/Ohm cm2],"",0)</f>
        <v>#REF!</v>
      </c>
      <c r="AI715" s="69" t="e" cm="1">
        <f t="array" ref="AI715">_xlfn.XLOOKUP(Table1[[#This Row],[5 cm2 cell test code]:[5 cm2 cell test code]],[1]!Table1[[Test code]:[Test code]],[1]!Table1[Q_int_frac DIW 10 mM KOH],"",0)</f>
        <v>#REF!</v>
      </c>
      <c r="AJ715" s="69" t="e" cm="1">
        <f t="array" ref="AJ715">_xlfn.XLOOKUP(Table1[[#This Row],[5 cm2 cell test code]:[5 cm2 cell test code]],[1]!Table1[[Test code]:[Test code]],[1]!Table1[DIW conductivity (µS/cm)],"",0)</f>
        <v>#REF!</v>
      </c>
    </row>
    <row r="716" spans="1:36">
      <c r="A716" s="81"/>
      <c r="U716" s="101"/>
      <c r="V716" s="101"/>
      <c r="W716" s="69" t="e" cm="1">
        <f t="array" ref="W716">_xlfn.XLOOKUP(Table1[[#This Row],[5 cm2 cell test code]:[5 cm2 cell test code]],[1]!Table1[[Test code]:[Test code]],[1]!Table1[i @ 1.8 V DIW (A/cm2)],"",0)</f>
        <v>#REF!</v>
      </c>
      <c r="X716" s="69" t="e" cm="1">
        <f t="array" ref="X716">_xlfn.XLOOKUP(Table1[[#This Row],[5 cm2 cell test code]:[5 cm2 cell test code]],[1]!Table1[[Test code]:[Test code]],[1]!Table1[i @ 1.8 V 10 mM KOH (A/cm2)],"",0)</f>
        <v>#REF!</v>
      </c>
      <c r="Y716" s="69" t="e" cm="1">
        <f t="array" ref="Y716">_xlfn.XLOOKUP(Table1[[#This Row],[5 cm2 cell test code]:[5 cm2 cell test code]],[1]!Table1[[Test code]:[Test code]],[1]!Table1[3-E ƞ at 20mAcm-2 (mV)],"",0)</f>
        <v>#REF!</v>
      </c>
      <c r="Z716" s="69" t="e" cm="1">
        <f t="array" ref="Z716">_xlfn.XLOOKUP(Table1[[#This Row],[5 cm2 cell test code]:[5 cm2 cell test code]],[1]!Table1[[Test code]:[Test code]],[1]!Table1[3-E Tafel slope (mV/dec)],"",0)</f>
        <v>#REF!</v>
      </c>
      <c r="AA716" s="69" t="e" cm="1">
        <f t="array" ref="AA716">_xlfn.XLOOKUP(Table1[[#This Row],[5 cm2 cell test code]:[5 cm2 cell test code]],[1]!Table1[[Test code]:[Test code]],[1]!Table1[E @ 100 mA/cm2 DIW/V],"",0)</f>
        <v>#REF!</v>
      </c>
      <c r="AB716" s="69" t="e" cm="1">
        <f t="array" ref="AB716">_xlfn.XLOOKUP(Table1[[#This Row],[5 cm2 cell test code]:[5 cm2 cell test code]],[1]!Table1[[Test code]:[Test code]],[1]!Table1[E @ 100 mA/cm2 10 mM KOH/V],"",0)</f>
        <v>#REF!</v>
      </c>
      <c r="AC716" s="69" t="e" cm="1">
        <f t="array" ref="AC716">_xlfn.XLOOKUP(Table1[[#This Row],[5 cm2 cell test code]:[5 cm2 cell test code]],[1]!Table1[[Test code]:[Test code]],[1]!Table1[Anode ICR/mOhm],"",0)</f>
        <v>#REF!</v>
      </c>
      <c r="AD716" s="69" t="e" cm="1">
        <f t="array" ref="AD716">_xlfn.XLOOKUP(Table1[[#This Row],[5 cm2 cell test code]:[5 cm2 cell test code]],[1]!Table1[[Test code]:[Test code]],[1]!Table1[HFR DIW/ mOhm cm2],"",0)</f>
        <v>#REF!</v>
      </c>
      <c r="AE716" s="69" t="e" cm="1">
        <f t="array" ref="AE716">_xlfn.XLOOKUP(Table1[[#This Row],[5 cm2 cell test code]:[5 cm2 cell test code]],[1]!Table1[[Test code]:[Test code]],[1]!Table1[HFR 10 mM KOH/ mOhm cm2],"",0)</f>
        <v>#REF!</v>
      </c>
      <c r="AF716" s="69" t="e" cm="1">
        <f t="array" ref="AF716">_xlfn.XLOOKUP(Table1[[#This Row],[5 cm2 cell test code]:[5 cm2 cell test code]],[1]!Table1[[Test code]:[Test code]],[1]!Table1[Ionic resistance DIW/Ohm cm2],"",0)</f>
        <v>#REF!</v>
      </c>
      <c r="AG716" s="69" t="e" cm="1">
        <f t="array" ref="AG716">_xlfn.XLOOKUP(Table1[[#This Row],[5 cm2 cell test code]:[5 cm2 cell test code]],[1]!Table1[[Test code]:[Test code]],[1]!Table1[Q_int_frac DIW],"",0)</f>
        <v>#REF!</v>
      </c>
      <c r="AH716" s="69" t="e" cm="1">
        <f t="array" ref="AH716">_xlfn.XLOOKUP(Table1[[#This Row],[5 cm2 cell test code]:[5 cm2 cell test code]],[1]!Table1[[Test code]:[Test code]],[1]!Table1[Ionic resistance 10 mM KOH/Ohm cm2],"",0)</f>
        <v>#REF!</v>
      </c>
      <c r="AI716" s="69" t="e" cm="1">
        <f t="array" ref="AI716">_xlfn.XLOOKUP(Table1[[#This Row],[5 cm2 cell test code]:[5 cm2 cell test code]],[1]!Table1[[Test code]:[Test code]],[1]!Table1[Q_int_frac DIW 10 mM KOH],"",0)</f>
        <v>#REF!</v>
      </c>
      <c r="AJ716" s="69" t="e" cm="1">
        <f t="array" ref="AJ716">_xlfn.XLOOKUP(Table1[[#This Row],[5 cm2 cell test code]:[5 cm2 cell test code]],[1]!Table1[[Test code]:[Test code]],[1]!Table1[DIW conductivity (µS/cm)],"",0)</f>
        <v>#REF!</v>
      </c>
    </row>
    <row r="717" spans="1:36">
      <c r="A717" s="81"/>
      <c r="U717" s="101"/>
      <c r="V717" s="101"/>
      <c r="W717" s="69" t="e" cm="1">
        <f t="array" ref="W717">_xlfn.XLOOKUP(Table1[[#This Row],[5 cm2 cell test code]:[5 cm2 cell test code]],[1]!Table1[[Test code]:[Test code]],[1]!Table1[i @ 1.8 V DIW (A/cm2)],"",0)</f>
        <v>#REF!</v>
      </c>
      <c r="X717" s="69" t="e" cm="1">
        <f t="array" ref="X717">_xlfn.XLOOKUP(Table1[[#This Row],[5 cm2 cell test code]:[5 cm2 cell test code]],[1]!Table1[[Test code]:[Test code]],[1]!Table1[i @ 1.8 V 10 mM KOH (A/cm2)],"",0)</f>
        <v>#REF!</v>
      </c>
      <c r="Y717" s="69" t="e" cm="1">
        <f t="array" ref="Y717">_xlfn.XLOOKUP(Table1[[#This Row],[5 cm2 cell test code]:[5 cm2 cell test code]],[1]!Table1[[Test code]:[Test code]],[1]!Table1[3-E ƞ at 20mAcm-2 (mV)],"",0)</f>
        <v>#REF!</v>
      </c>
      <c r="Z717" s="69" t="e" cm="1">
        <f t="array" ref="Z717">_xlfn.XLOOKUP(Table1[[#This Row],[5 cm2 cell test code]:[5 cm2 cell test code]],[1]!Table1[[Test code]:[Test code]],[1]!Table1[3-E Tafel slope (mV/dec)],"",0)</f>
        <v>#REF!</v>
      </c>
      <c r="AA717" s="69" t="e" cm="1">
        <f t="array" ref="AA717">_xlfn.XLOOKUP(Table1[[#This Row],[5 cm2 cell test code]:[5 cm2 cell test code]],[1]!Table1[[Test code]:[Test code]],[1]!Table1[E @ 100 mA/cm2 DIW/V],"",0)</f>
        <v>#REF!</v>
      </c>
      <c r="AB717" s="69" t="e" cm="1">
        <f t="array" ref="AB717">_xlfn.XLOOKUP(Table1[[#This Row],[5 cm2 cell test code]:[5 cm2 cell test code]],[1]!Table1[[Test code]:[Test code]],[1]!Table1[E @ 100 mA/cm2 10 mM KOH/V],"",0)</f>
        <v>#REF!</v>
      </c>
      <c r="AC717" s="69" t="e" cm="1">
        <f t="array" ref="AC717">_xlfn.XLOOKUP(Table1[[#This Row],[5 cm2 cell test code]:[5 cm2 cell test code]],[1]!Table1[[Test code]:[Test code]],[1]!Table1[Anode ICR/mOhm],"",0)</f>
        <v>#REF!</v>
      </c>
      <c r="AD717" s="69" t="e" cm="1">
        <f t="array" ref="AD717">_xlfn.XLOOKUP(Table1[[#This Row],[5 cm2 cell test code]:[5 cm2 cell test code]],[1]!Table1[[Test code]:[Test code]],[1]!Table1[HFR DIW/ mOhm cm2],"",0)</f>
        <v>#REF!</v>
      </c>
      <c r="AE717" s="69" t="e" cm="1">
        <f t="array" ref="AE717">_xlfn.XLOOKUP(Table1[[#This Row],[5 cm2 cell test code]:[5 cm2 cell test code]],[1]!Table1[[Test code]:[Test code]],[1]!Table1[HFR 10 mM KOH/ mOhm cm2],"",0)</f>
        <v>#REF!</v>
      </c>
      <c r="AF717" s="69" t="e" cm="1">
        <f t="array" ref="AF717">_xlfn.XLOOKUP(Table1[[#This Row],[5 cm2 cell test code]:[5 cm2 cell test code]],[1]!Table1[[Test code]:[Test code]],[1]!Table1[Ionic resistance DIW/Ohm cm2],"",0)</f>
        <v>#REF!</v>
      </c>
      <c r="AG717" s="69" t="e" cm="1">
        <f t="array" ref="AG717">_xlfn.XLOOKUP(Table1[[#This Row],[5 cm2 cell test code]:[5 cm2 cell test code]],[1]!Table1[[Test code]:[Test code]],[1]!Table1[Q_int_frac DIW],"",0)</f>
        <v>#REF!</v>
      </c>
      <c r="AH717" s="69" t="e" cm="1">
        <f t="array" ref="AH717">_xlfn.XLOOKUP(Table1[[#This Row],[5 cm2 cell test code]:[5 cm2 cell test code]],[1]!Table1[[Test code]:[Test code]],[1]!Table1[Ionic resistance 10 mM KOH/Ohm cm2],"",0)</f>
        <v>#REF!</v>
      </c>
      <c r="AI717" s="69" t="e" cm="1">
        <f t="array" ref="AI717">_xlfn.XLOOKUP(Table1[[#This Row],[5 cm2 cell test code]:[5 cm2 cell test code]],[1]!Table1[[Test code]:[Test code]],[1]!Table1[Q_int_frac DIW 10 mM KOH],"",0)</f>
        <v>#REF!</v>
      </c>
      <c r="AJ717" s="69" t="e" cm="1">
        <f t="array" ref="AJ717">_xlfn.XLOOKUP(Table1[[#This Row],[5 cm2 cell test code]:[5 cm2 cell test code]],[1]!Table1[[Test code]:[Test code]],[1]!Table1[DIW conductivity (µS/cm)],"",0)</f>
        <v>#REF!</v>
      </c>
    </row>
    <row r="718" spans="1:36">
      <c r="A718" s="81"/>
      <c r="U718" s="101"/>
      <c r="V718" s="101"/>
      <c r="W718" s="69" t="e" cm="1">
        <f t="array" ref="W718">_xlfn.XLOOKUP(Table1[[#This Row],[5 cm2 cell test code]:[5 cm2 cell test code]],[1]!Table1[[Test code]:[Test code]],[1]!Table1[i @ 1.8 V DIW (A/cm2)],"",0)</f>
        <v>#REF!</v>
      </c>
      <c r="X718" s="69" t="e" cm="1">
        <f t="array" ref="X718">_xlfn.XLOOKUP(Table1[[#This Row],[5 cm2 cell test code]:[5 cm2 cell test code]],[1]!Table1[[Test code]:[Test code]],[1]!Table1[i @ 1.8 V 10 mM KOH (A/cm2)],"",0)</f>
        <v>#REF!</v>
      </c>
      <c r="Y718" s="69" t="e" cm="1">
        <f t="array" ref="Y718">_xlfn.XLOOKUP(Table1[[#This Row],[5 cm2 cell test code]:[5 cm2 cell test code]],[1]!Table1[[Test code]:[Test code]],[1]!Table1[3-E ƞ at 20mAcm-2 (mV)],"",0)</f>
        <v>#REF!</v>
      </c>
      <c r="Z718" s="69" t="e" cm="1">
        <f t="array" ref="Z718">_xlfn.XLOOKUP(Table1[[#This Row],[5 cm2 cell test code]:[5 cm2 cell test code]],[1]!Table1[[Test code]:[Test code]],[1]!Table1[3-E Tafel slope (mV/dec)],"",0)</f>
        <v>#REF!</v>
      </c>
      <c r="AA718" s="69" t="e" cm="1">
        <f t="array" ref="AA718">_xlfn.XLOOKUP(Table1[[#This Row],[5 cm2 cell test code]:[5 cm2 cell test code]],[1]!Table1[[Test code]:[Test code]],[1]!Table1[E @ 100 mA/cm2 DIW/V],"",0)</f>
        <v>#REF!</v>
      </c>
      <c r="AB718" s="69" t="e" cm="1">
        <f t="array" ref="AB718">_xlfn.XLOOKUP(Table1[[#This Row],[5 cm2 cell test code]:[5 cm2 cell test code]],[1]!Table1[[Test code]:[Test code]],[1]!Table1[E @ 100 mA/cm2 10 mM KOH/V],"",0)</f>
        <v>#REF!</v>
      </c>
      <c r="AC718" s="69" t="e" cm="1">
        <f t="array" ref="AC718">_xlfn.XLOOKUP(Table1[[#This Row],[5 cm2 cell test code]:[5 cm2 cell test code]],[1]!Table1[[Test code]:[Test code]],[1]!Table1[Anode ICR/mOhm],"",0)</f>
        <v>#REF!</v>
      </c>
      <c r="AD718" s="69" t="e" cm="1">
        <f t="array" ref="AD718">_xlfn.XLOOKUP(Table1[[#This Row],[5 cm2 cell test code]:[5 cm2 cell test code]],[1]!Table1[[Test code]:[Test code]],[1]!Table1[HFR DIW/ mOhm cm2],"",0)</f>
        <v>#REF!</v>
      </c>
      <c r="AE718" s="69" t="e" cm="1">
        <f t="array" ref="AE718">_xlfn.XLOOKUP(Table1[[#This Row],[5 cm2 cell test code]:[5 cm2 cell test code]],[1]!Table1[[Test code]:[Test code]],[1]!Table1[HFR 10 mM KOH/ mOhm cm2],"",0)</f>
        <v>#REF!</v>
      </c>
      <c r="AF718" s="69" t="e" cm="1">
        <f t="array" ref="AF718">_xlfn.XLOOKUP(Table1[[#This Row],[5 cm2 cell test code]:[5 cm2 cell test code]],[1]!Table1[[Test code]:[Test code]],[1]!Table1[Ionic resistance DIW/Ohm cm2],"",0)</f>
        <v>#REF!</v>
      </c>
      <c r="AG718" s="69" t="e" cm="1">
        <f t="array" ref="AG718">_xlfn.XLOOKUP(Table1[[#This Row],[5 cm2 cell test code]:[5 cm2 cell test code]],[1]!Table1[[Test code]:[Test code]],[1]!Table1[Q_int_frac DIW],"",0)</f>
        <v>#REF!</v>
      </c>
      <c r="AH718" s="69" t="e" cm="1">
        <f t="array" ref="AH718">_xlfn.XLOOKUP(Table1[[#This Row],[5 cm2 cell test code]:[5 cm2 cell test code]],[1]!Table1[[Test code]:[Test code]],[1]!Table1[Ionic resistance 10 mM KOH/Ohm cm2],"",0)</f>
        <v>#REF!</v>
      </c>
      <c r="AI718" s="69" t="e" cm="1">
        <f t="array" ref="AI718">_xlfn.XLOOKUP(Table1[[#This Row],[5 cm2 cell test code]:[5 cm2 cell test code]],[1]!Table1[[Test code]:[Test code]],[1]!Table1[Q_int_frac DIW 10 mM KOH],"",0)</f>
        <v>#REF!</v>
      </c>
      <c r="AJ718" s="69" t="e" cm="1">
        <f t="array" ref="AJ718">_xlfn.XLOOKUP(Table1[[#This Row],[5 cm2 cell test code]:[5 cm2 cell test code]],[1]!Table1[[Test code]:[Test code]],[1]!Table1[DIW conductivity (µS/cm)],"",0)</f>
        <v>#REF!</v>
      </c>
    </row>
    <row r="719" spans="1:36">
      <c r="A719" s="81"/>
      <c r="U719" s="101"/>
      <c r="V719" s="101"/>
      <c r="W719" s="69" t="e" cm="1">
        <f t="array" ref="W719">_xlfn.XLOOKUP(Table1[[#This Row],[5 cm2 cell test code]:[5 cm2 cell test code]],[1]!Table1[[Test code]:[Test code]],[1]!Table1[i @ 1.8 V DIW (A/cm2)],"",0)</f>
        <v>#REF!</v>
      </c>
      <c r="X719" s="69" t="e" cm="1">
        <f t="array" ref="X719">_xlfn.XLOOKUP(Table1[[#This Row],[5 cm2 cell test code]:[5 cm2 cell test code]],[1]!Table1[[Test code]:[Test code]],[1]!Table1[i @ 1.8 V 10 mM KOH (A/cm2)],"",0)</f>
        <v>#REF!</v>
      </c>
      <c r="Y719" s="69" t="e" cm="1">
        <f t="array" ref="Y719">_xlfn.XLOOKUP(Table1[[#This Row],[5 cm2 cell test code]:[5 cm2 cell test code]],[1]!Table1[[Test code]:[Test code]],[1]!Table1[3-E ƞ at 20mAcm-2 (mV)],"",0)</f>
        <v>#REF!</v>
      </c>
      <c r="Z719" s="69" t="e" cm="1">
        <f t="array" ref="Z719">_xlfn.XLOOKUP(Table1[[#This Row],[5 cm2 cell test code]:[5 cm2 cell test code]],[1]!Table1[[Test code]:[Test code]],[1]!Table1[3-E Tafel slope (mV/dec)],"",0)</f>
        <v>#REF!</v>
      </c>
      <c r="AA719" s="69" t="e" cm="1">
        <f t="array" ref="AA719">_xlfn.XLOOKUP(Table1[[#This Row],[5 cm2 cell test code]:[5 cm2 cell test code]],[1]!Table1[[Test code]:[Test code]],[1]!Table1[E @ 100 mA/cm2 DIW/V],"",0)</f>
        <v>#REF!</v>
      </c>
      <c r="AB719" s="69" t="e" cm="1">
        <f t="array" ref="AB719">_xlfn.XLOOKUP(Table1[[#This Row],[5 cm2 cell test code]:[5 cm2 cell test code]],[1]!Table1[[Test code]:[Test code]],[1]!Table1[E @ 100 mA/cm2 10 mM KOH/V],"",0)</f>
        <v>#REF!</v>
      </c>
      <c r="AC719" s="69" t="e" cm="1">
        <f t="array" ref="AC719">_xlfn.XLOOKUP(Table1[[#This Row],[5 cm2 cell test code]:[5 cm2 cell test code]],[1]!Table1[[Test code]:[Test code]],[1]!Table1[Anode ICR/mOhm],"",0)</f>
        <v>#REF!</v>
      </c>
      <c r="AD719" s="69" t="e" cm="1">
        <f t="array" ref="AD719">_xlfn.XLOOKUP(Table1[[#This Row],[5 cm2 cell test code]:[5 cm2 cell test code]],[1]!Table1[[Test code]:[Test code]],[1]!Table1[HFR DIW/ mOhm cm2],"",0)</f>
        <v>#REF!</v>
      </c>
      <c r="AE719" s="69" t="e" cm="1">
        <f t="array" ref="AE719">_xlfn.XLOOKUP(Table1[[#This Row],[5 cm2 cell test code]:[5 cm2 cell test code]],[1]!Table1[[Test code]:[Test code]],[1]!Table1[HFR 10 mM KOH/ mOhm cm2],"",0)</f>
        <v>#REF!</v>
      </c>
      <c r="AF719" s="69" t="e" cm="1">
        <f t="array" ref="AF719">_xlfn.XLOOKUP(Table1[[#This Row],[5 cm2 cell test code]:[5 cm2 cell test code]],[1]!Table1[[Test code]:[Test code]],[1]!Table1[Ionic resistance DIW/Ohm cm2],"",0)</f>
        <v>#REF!</v>
      </c>
      <c r="AG719" s="69" t="e" cm="1">
        <f t="array" ref="AG719">_xlfn.XLOOKUP(Table1[[#This Row],[5 cm2 cell test code]:[5 cm2 cell test code]],[1]!Table1[[Test code]:[Test code]],[1]!Table1[Q_int_frac DIW],"",0)</f>
        <v>#REF!</v>
      </c>
      <c r="AH719" s="69" t="e" cm="1">
        <f t="array" ref="AH719">_xlfn.XLOOKUP(Table1[[#This Row],[5 cm2 cell test code]:[5 cm2 cell test code]],[1]!Table1[[Test code]:[Test code]],[1]!Table1[Ionic resistance 10 mM KOH/Ohm cm2],"",0)</f>
        <v>#REF!</v>
      </c>
      <c r="AI719" s="69" t="e" cm="1">
        <f t="array" ref="AI719">_xlfn.XLOOKUP(Table1[[#This Row],[5 cm2 cell test code]:[5 cm2 cell test code]],[1]!Table1[[Test code]:[Test code]],[1]!Table1[Q_int_frac DIW 10 mM KOH],"",0)</f>
        <v>#REF!</v>
      </c>
      <c r="AJ719" s="69" t="e" cm="1">
        <f t="array" ref="AJ719">_xlfn.XLOOKUP(Table1[[#This Row],[5 cm2 cell test code]:[5 cm2 cell test code]],[1]!Table1[[Test code]:[Test code]],[1]!Table1[DIW conductivity (µS/cm)],"",0)</f>
        <v>#REF!</v>
      </c>
    </row>
    <row r="720" spans="1:36">
      <c r="A720" s="81"/>
      <c r="U720" s="101"/>
      <c r="V720" s="101"/>
      <c r="W720" s="69" t="e" cm="1">
        <f t="array" ref="W720">_xlfn.XLOOKUP(Table1[[#This Row],[5 cm2 cell test code]:[5 cm2 cell test code]],[1]!Table1[[Test code]:[Test code]],[1]!Table1[i @ 1.8 V DIW (A/cm2)],"",0)</f>
        <v>#REF!</v>
      </c>
      <c r="X720" s="69" t="e" cm="1">
        <f t="array" ref="X720">_xlfn.XLOOKUP(Table1[[#This Row],[5 cm2 cell test code]:[5 cm2 cell test code]],[1]!Table1[[Test code]:[Test code]],[1]!Table1[i @ 1.8 V 10 mM KOH (A/cm2)],"",0)</f>
        <v>#REF!</v>
      </c>
      <c r="Y720" s="69" t="e" cm="1">
        <f t="array" ref="Y720">_xlfn.XLOOKUP(Table1[[#This Row],[5 cm2 cell test code]:[5 cm2 cell test code]],[1]!Table1[[Test code]:[Test code]],[1]!Table1[3-E ƞ at 20mAcm-2 (mV)],"",0)</f>
        <v>#REF!</v>
      </c>
      <c r="Z720" s="69" t="e" cm="1">
        <f t="array" ref="Z720">_xlfn.XLOOKUP(Table1[[#This Row],[5 cm2 cell test code]:[5 cm2 cell test code]],[1]!Table1[[Test code]:[Test code]],[1]!Table1[3-E Tafel slope (mV/dec)],"",0)</f>
        <v>#REF!</v>
      </c>
      <c r="AA720" s="69" t="e" cm="1">
        <f t="array" ref="AA720">_xlfn.XLOOKUP(Table1[[#This Row],[5 cm2 cell test code]:[5 cm2 cell test code]],[1]!Table1[[Test code]:[Test code]],[1]!Table1[E @ 100 mA/cm2 DIW/V],"",0)</f>
        <v>#REF!</v>
      </c>
      <c r="AB720" s="69" t="e" cm="1">
        <f t="array" ref="AB720">_xlfn.XLOOKUP(Table1[[#This Row],[5 cm2 cell test code]:[5 cm2 cell test code]],[1]!Table1[[Test code]:[Test code]],[1]!Table1[E @ 100 mA/cm2 10 mM KOH/V],"",0)</f>
        <v>#REF!</v>
      </c>
      <c r="AC720" s="69" t="e" cm="1">
        <f t="array" ref="AC720">_xlfn.XLOOKUP(Table1[[#This Row],[5 cm2 cell test code]:[5 cm2 cell test code]],[1]!Table1[[Test code]:[Test code]],[1]!Table1[Anode ICR/mOhm],"",0)</f>
        <v>#REF!</v>
      </c>
      <c r="AD720" s="69" t="e" cm="1">
        <f t="array" ref="AD720">_xlfn.XLOOKUP(Table1[[#This Row],[5 cm2 cell test code]:[5 cm2 cell test code]],[1]!Table1[[Test code]:[Test code]],[1]!Table1[HFR DIW/ mOhm cm2],"",0)</f>
        <v>#REF!</v>
      </c>
      <c r="AE720" s="69" t="e" cm="1">
        <f t="array" ref="AE720">_xlfn.XLOOKUP(Table1[[#This Row],[5 cm2 cell test code]:[5 cm2 cell test code]],[1]!Table1[[Test code]:[Test code]],[1]!Table1[HFR 10 mM KOH/ mOhm cm2],"",0)</f>
        <v>#REF!</v>
      </c>
      <c r="AF720" s="69" t="e" cm="1">
        <f t="array" ref="AF720">_xlfn.XLOOKUP(Table1[[#This Row],[5 cm2 cell test code]:[5 cm2 cell test code]],[1]!Table1[[Test code]:[Test code]],[1]!Table1[Ionic resistance DIW/Ohm cm2],"",0)</f>
        <v>#REF!</v>
      </c>
      <c r="AG720" s="69" t="e" cm="1">
        <f t="array" ref="AG720">_xlfn.XLOOKUP(Table1[[#This Row],[5 cm2 cell test code]:[5 cm2 cell test code]],[1]!Table1[[Test code]:[Test code]],[1]!Table1[Q_int_frac DIW],"",0)</f>
        <v>#REF!</v>
      </c>
      <c r="AH720" s="69" t="e" cm="1">
        <f t="array" ref="AH720">_xlfn.XLOOKUP(Table1[[#This Row],[5 cm2 cell test code]:[5 cm2 cell test code]],[1]!Table1[[Test code]:[Test code]],[1]!Table1[Ionic resistance 10 mM KOH/Ohm cm2],"",0)</f>
        <v>#REF!</v>
      </c>
      <c r="AI720" s="69" t="e" cm="1">
        <f t="array" ref="AI720">_xlfn.XLOOKUP(Table1[[#This Row],[5 cm2 cell test code]:[5 cm2 cell test code]],[1]!Table1[[Test code]:[Test code]],[1]!Table1[Q_int_frac DIW 10 mM KOH],"",0)</f>
        <v>#REF!</v>
      </c>
      <c r="AJ720" s="69" t="e" cm="1">
        <f t="array" ref="AJ720">_xlfn.XLOOKUP(Table1[[#This Row],[5 cm2 cell test code]:[5 cm2 cell test code]],[1]!Table1[[Test code]:[Test code]],[1]!Table1[DIW conductivity (µS/cm)],"",0)</f>
        <v>#REF!</v>
      </c>
    </row>
    <row r="721" spans="1:36">
      <c r="A721" s="81"/>
      <c r="U721" s="101"/>
      <c r="V721" s="101"/>
      <c r="W721" s="69" t="e" cm="1">
        <f t="array" ref="W721">_xlfn.XLOOKUP(Table1[[#This Row],[5 cm2 cell test code]:[5 cm2 cell test code]],[1]!Table1[[Test code]:[Test code]],[1]!Table1[i @ 1.8 V DIW (A/cm2)],"",0)</f>
        <v>#REF!</v>
      </c>
      <c r="X721" s="69" t="e" cm="1">
        <f t="array" ref="X721">_xlfn.XLOOKUP(Table1[[#This Row],[5 cm2 cell test code]:[5 cm2 cell test code]],[1]!Table1[[Test code]:[Test code]],[1]!Table1[i @ 1.8 V 10 mM KOH (A/cm2)],"",0)</f>
        <v>#REF!</v>
      </c>
      <c r="Y721" s="69" t="e" cm="1">
        <f t="array" ref="Y721">_xlfn.XLOOKUP(Table1[[#This Row],[5 cm2 cell test code]:[5 cm2 cell test code]],[1]!Table1[[Test code]:[Test code]],[1]!Table1[3-E ƞ at 20mAcm-2 (mV)],"",0)</f>
        <v>#REF!</v>
      </c>
      <c r="Z721" s="69" t="e" cm="1">
        <f t="array" ref="Z721">_xlfn.XLOOKUP(Table1[[#This Row],[5 cm2 cell test code]:[5 cm2 cell test code]],[1]!Table1[[Test code]:[Test code]],[1]!Table1[3-E Tafel slope (mV/dec)],"",0)</f>
        <v>#REF!</v>
      </c>
      <c r="AA721" s="69" t="e" cm="1">
        <f t="array" ref="AA721">_xlfn.XLOOKUP(Table1[[#This Row],[5 cm2 cell test code]:[5 cm2 cell test code]],[1]!Table1[[Test code]:[Test code]],[1]!Table1[E @ 100 mA/cm2 DIW/V],"",0)</f>
        <v>#REF!</v>
      </c>
      <c r="AB721" s="69" t="e" cm="1">
        <f t="array" ref="AB721">_xlfn.XLOOKUP(Table1[[#This Row],[5 cm2 cell test code]:[5 cm2 cell test code]],[1]!Table1[[Test code]:[Test code]],[1]!Table1[E @ 100 mA/cm2 10 mM KOH/V],"",0)</f>
        <v>#REF!</v>
      </c>
      <c r="AC721" s="69" t="e" cm="1">
        <f t="array" ref="AC721">_xlfn.XLOOKUP(Table1[[#This Row],[5 cm2 cell test code]:[5 cm2 cell test code]],[1]!Table1[[Test code]:[Test code]],[1]!Table1[Anode ICR/mOhm],"",0)</f>
        <v>#REF!</v>
      </c>
      <c r="AD721" s="69" t="e" cm="1">
        <f t="array" ref="AD721">_xlfn.XLOOKUP(Table1[[#This Row],[5 cm2 cell test code]:[5 cm2 cell test code]],[1]!Table1[[Test code]:[Test code]],[1]!Table1[HFR DIW/ mOhm cm2],"",0)</f>
        <v>#REF!</v>
      </c>
      <c r="AE721" s="69" t="e" cm="1">
        <f t="array" ref="AE721">_xlfn.XLOOKUP(Table1[[#This Row],[5 cm2 cell test code]:[5 cm2 cell test code]],[1]!Table1[[Test code]:[Test code]],[1]!Table1[HFR 10 mM KOH/ mOhm cm2],"",0)</f>
        <v>#REF!</v>
      </c>
      <c r="AF721" s="69" t="e" cm="1">
        <f t="array" ref="AF721">_xlfn.XLOOKUP(Table1[[#This Row],[5 cm2 cell test code]:[5 cm2 cell test code]],[1]!Table1[[Test code]:[Test code]],[1]!Table1[Ionic resistance DIW/Ohm cm2],"",0)</f>
        <v>#REF!</v>
      </c>
      <c r="AG721" s="69" t="e" cm="1">
        <f t="array" ref="AG721">_xlfn.XLOOKUP(Table1[[#This Row],[5 cm2 cell test code]:[5 cm2 cell test code]],[1]!Table1[[Test code]:[Test code]],[1]!Table1[Q_int_frac DIW],"",0)</f>
        <v>#REF!</v>
      </c>
      <c r="AH721" s="69" t="e" cm="1">
        <f t="array" ref="AH721">_xlfn.XLOOKUP(Table1[[#This Row],[5 cm2 cell test code]:[5 cm2 cell test code]],[1]!Table1[[Test code]:[Test code]],[1]!Table1[Ionic resistance 10 mM KOH/Ohm cm2],"",0)</f>
        <v>#REF!</v>
      </c>
      <c r="AI721" s="69" t="e" cm="1">
        <f t="array" ref="AI721">_xlfn.XLOOKUP(Table1[[#This Row],[5 cm2 cell test code]:[5 cm2 cell test code]],[1]!Table1[[Test code]:[Test code]],[1]!Table1[Q_int_frac DIW 10 mM KOH],"",0)</f>
        <v>#REF!</v>
      </c>
      <c r="AJ721" s="69" t="e" cm="1">
        <f t="array" ref="AJ721">_xlfn.XLOOKUP(Table1[[#This Row],[5 cm2 cell test code]:[5 cm2 cell test code]],[1]!Table1[[Test code]:[Test code]],[1]!Table1[DIW conductivity (µS/cm)],"",0)</f>
        <v>#REF!</v>
      </c>
    </row>
    <row r="722" spans="1:36">
      <c r="A722" s="81"/>
      <c r="U722" s="101"/>
      <c r="V722" s="101"/>
      <c r="W722" s="69" t="e" cm="1">
        <f t="array" ref="W722">_xlfn.XLOOKUP(Table1[[#This Row],[5 cm2 cell test code]:[5 cm2 cell test code]],[1]!Table1[[Test code]:[Test code]],[1]!Table1[i @ 1.8 V DIW (A/cm2)],"",0)</f>
        <v>#REF!</v>
      </c>
      <c r="X722" s="69" t="e" cm="1">
        <f t="array" ref="X722">_xlfn.XLOOKUP(Table1[[#This Row],[5 cm2 cell test code]:[5 cm2 cell test code]],[1]!Table1[[Test code]:[Test code]],[1]!Table1[i @ 1.8 V 10 mM KOH (A/cm2)],"",0)</f>
        <v>#REF!</v>
      </c>
      <c r="Y722" s="69" t="e" cm="1">
        <f t="array" ref="Y722">_xlfn.XLOOKUP(Table1[[#This Row],[5 cm2 cell test code]:[5 cm2 cell test code]],[1]!Table1[[Test code]:[Test code]],[1]!Table1[3-E ƞ at 20mAcm-2 (mV)],"",0)</f>
        <v>#REF!</v>
      </c>
      <c r="Z722" s="69" t="e" cm="1">
        <f t="array" ref="Z722">_xlfn.XLOOKUP(Table1[[#This Row],[5 cm2 cell test code]:[5 cm2 cell test code]],[1]!Table1[[Test code]:[Test code]],[1]!Table1[3-E Tafel slope (mV/dec)],"",0)</f>
        <v>#REF!</v>
      </c>
      <c r="AA722" s="69" t="e" cm="1">
        <f t="array" ref="AA722">_xlfn.XLOOKUP(Table1[[#This Row],[5 cm2 cell test code]:[5 cm2 cell test code]],[1]!Table1[[Test code]:[Test code]],[1]!Table1[E @ 100 mA/cm2 DIW/V],"",0)</f>
        <v>#REF!</v>
      </c>
      <c r="AB722" s="69" t="e" cm="1">
        <f t="array" ref="AB722">_xlfn.XLOOKUP(Table1[[#This Row],[5 cm2 cell test code]:[5 cm2 cell test code]],[1]!Table1[[Test code]:[Test code]],[1]!Table1[E @ 100 mA/cm2 10 mM KOH/V],"",0)</f>
        <v>#REF!</v>
      </c>
      <c r="AC722" s="69" t="e" cm="1">
        <f t="array" ref="AC722">_xlfn.XLOOKUP(Table1[[#This Row],[5 cm2 cell test code]:[5 cm2 cell test code]],[1]!Table1[[Test code]:[Test code]],[1]!Table1[Anode ICR/mOhm],"",0)</f>
        <v>#REF!</v>
      </c>
      <c r="AD722" s="69" t="e" cm="1">
        <f t="array" ref="AD722">_xlfn.XLOOKUP(Table1[[#This Row],[5 cm2 cell test code]:[5 cm2 cell test code]],[1]!Table1[[Test code]:[Test code]],[1]!Table1[HFR DIW/ mOhm cm2],"",0)</f>
        <v>#REF!</v>
      </c>
      <c r="AE722" s="69" t="e" cm="1">
        <f t="array" ref="AE722">_xlfn.XLOOKUP(Table1[[#This Row],[5 cm2 cell test code]:[5 cm2 cell test code]],[1]!Table1[[Test code]:[Test code]],[1]!Table1[HFR 10 mM KOH/ mOhm cm2],"",0)</f>
        <v>#REF!</v>
      </c>
      <c r="AF722" s="69" t="e" cm="1">
        <f t="array" ref="AF722">_xlfn.XLOOKUP(Table1[[#This Row],[5 cm2 cell test code]:[5 cm2 cell test code]],[1]!Table1[[Test code]:[Test code]],[1]!Table1[Ionic resistance DIW/Ohm cm2],"",0)</f>
        <v>#REF!</v>
      </c>
      <c r="AG722" s="69" t="e" cm="1">
        <f t="array" ref="AG722">_xlfn.XLOOKUP(Table1[[#This Row],[5 cm2 cell test code]:[5 cm2 cell test code]],[1]!Table1[[Test code]:[Test code]],[1]!Table1[Q_int_frac DIW],"",0)</f>
        <v>#REF!</v>
      </c>
      <c r="AH722" s="69" t="e" cm="1">
        <f t="array" ref="AH722">_xlfn.XLOOKUP(Table1[[#This Row],[5 cm2 cell test code]:[5 cm2 cell test code]],[1]!Table1[[Test code]:[Test code]],[1]!Table1[Ionic resistance 10 mM KOH/Ohm cm2],"",0)</f>
        <v>#REF!</v>
      </c>
      <c r="AI722" s="69" t="e" cm="1">
        <f t="array" ref="AI722">_xlfn.XLOOKUP(Table1[[#This Row],[5 cm2 cell test code]:[5 cm2 cell test code]],[1]!Table1[[Test code]:[Test code]],[1]!Table1[Q_int_frac DIW 10 mM KOH],"",0)</f>
        <v>#REF!</v>
      </c>
      <c r="AJ722" s="69" t="e" cm="1">
        <f t="array" ref="AJ722">_xlfn.XLOOKUP(Table1[[#This Row],[5 cm2 cell test code]:[5 cm2 cell test code]],[1]!Table1[[Test code]:[Test code]],[1]!Table1[DIW conductivity (µS/cm)],"",0)</f>
        <v>#REF!</v>
      </c>
    </row>
    <row r="723" spans="1:36">
      <c r="A723" s="81"/>
      <c r="U723" s="101"/>
      <c r="V723" s="101"/>
      <c r="W723" s="69" t="e" cm="1">
        <f t="array" ref="W723">_xlfn.XLOOKUP(Table1[[#This Row],[5 cm2 cell test code]:[5 cm2 cell test code]],[1]!Table1[[Test code]:[Test code]],[1]!Table1[i @ 1.8 V DIW (A/cm2)],"",0)</f>
        <v>#REF!</v>
      </c>
      <c r="X723" s="69" t="e" cm="1">
        <f t="array" ref="X723">_xlfn.XLOOKUP(Table1[[#This Row],[5 cm2 cell test code]:[5 cm2 cell test code]],[1]!Table1[[Test code]:[Test code]],[1]!Table1[i @ 1.8 V 10 mM KOH (A/cm2)],"",0)</f>
        <v>#REF!</v>
      </c>
      <c r="Y723" s="69" t="e" cm="1">
        <f t="array" ref="Y723">_xlfn.XLOOKUP(Table1[[#This Row],[5 cm2 cell test code]:[5 cm2 cell test code]],[1]!Table1[[Test code]:[Test code]],[1]!Table1[3-E ƞ at 20mAcm-2 (mV)],"",0)</f>
        <v>#REF!</v>
      </c>
      <c r="Z723" s="69" t="e" cm="1">
        <f t="array" ref="Z723">_xlfn.XLOOKUP(Table1[[#This Row],[5 cm2 cell test code]:[5 cm2 cell test code]],[1]!Table1[[Test code]:[Test code]],[1]!Table1[3-E Tafel slope (mV/dec)],"",0)</f>
        <v>#REF!</v>
      </c>
      <c r="AA723" s="69" t="e" cm="1">
        <f t="array" ref="AA723">_xlfn.XLOOKUP(Table1[[#This Row],[5 cm2 cell test code]:[5 cm2 cell test code]],[1]!Table1[[Test code]:[Test code]],[1]!Table1[E @ 100 mA/cm2 DIW/V],"",0)</f>
        <v>#REF!</v>
      </c>
      <c r="AB723" s="69" t="e" cm="1">
        <f t="array" ref="AB723">_xlfn.XLOOKUP(Table1[[#This Row],[5 cm2 cell test code]:[5 cm2 cell test code]],[1]!Table1[[Test code]:[Test code]],[1]!Table1[E @ 100 mA/cm2 10 mM KOH/V],"",0)</f>
        <v>#REF!</v>
      </c>
      <c r="AC723" s="69" t="e" cm="1">
        <f t="array" ref="AC723">_xlfn.XLOOKUP(Table1[[#This Row],[5 cm2 cell test code]:[5 cm2 cell test code]],[1]!Table1[[Test code]:[Test code]],[1]!Table1[Anode ICR/mOhm],"",0)</f>
        <v>#REF!</v>
      </c>
      <c r="AD723" s="69" t="e" cm="1">
        <f t="array" ref="AD723">_xlfn.XLOOKUP(Table1[[#This Row],[5 cm2 cell test code]:[5 cm2 cell test code]],[1]!Table1[[Test code]:[Test code]],[1]!Table1[HFR DIW/ mOhm cm2],"",0)</f>
        <v>#REF!</v>
      </c>
      <c r="AE723" s="69" t="e" cm="1">
        <f t="array" ref="AE723">_xlfn.XLOOKUP(Table1[[#This Row],[5 cm2 cell test code]:[5 cm2 cell test code]],[1]!Table1[[Test code]:[Test code]],[1]!Table1[HFR 10 mM KOH/ mOhm cm2],"",0)</f>
        <v>#REF!</v>
      </c>
      <c r="AF723" s="69" t="e" cm="1">
        <f t="array" ref="AF723">_xlfn.XLOOKUP(Table1[[#This Row],[5 cm2 cell test code]:[5 cm2 cell test code]],[1]!Table1[[Test code]:[Test code]],[1]!Table1[Ionic resistance DIW/Ohm cm2],"",0)</f>
        <v>#REF!</v>
      </c>
      <c r="AG723" s="69" t="e" cm="1">
        <f t="array" ref="AG723">_xlfn.XLOOKUP(Table1[[#This Row],[5 cm2 cell test code]:[5 cm2 cell test code]],[1]!Table1[[Test code]:[Test code]],[1]!Table1[Q_int_frac DIW],"",0)</f>
        <v>#REF!</v>
      </c>
      <c r="AH723" s="69" t="e" cm="1">
        <f t="array" ref="AH723">_xlfn.XLOOKUP(Table1[[#This Row],[5 cm2 cell test code]:[5 cm2 cell test code]],[1]!Table1[[Test code]:[Test code]],[1]!Table1[Ionic resistance 10 mM KOH/Ohm cm2],"",0)</f>
        <v>#REF!</v>
      </c>
      <c r="AI723" s="69" t="e" cm="1">
        <f t="array" ref="AI723">_xlfn.XLOOKUP(Table1[[#This Row],[5 cm2 cell test code]:[5 cm2 cell test code]],[1]!Table1[[Test code]:[Test code]],[1]!Table1[Q_int_frac DIW 10 mM KOH],"",0)</f>
        <v>#REF!</v>
      </c>
      <c r="AJ723" s="69" t="e" cm="1">
        <f t="array" ref="AJ723">_xlfn.XLOOKUP(Table1[[#This Row],[5 cm2 cell test code]:[5 cm2 cell test code]],[1]!Table1[[Test code]:[Test code]],[1]!Table1[DIW conductivity (µS/cm)],"",0)</f>
        <v>#REF!</v>
      </c>
    </row>
    <row r="724" spans="1:36">
      <c r="A724" s="81"/>
      <c r="U724" s="101"/>
      <c r="V724" s="101"/>
      <c r="W724" s="69" t="e" cm="1">
        <f t="array" ref="W724">_xlfn.XLOOKUP(Table1[[#This Row],[5 cm2 cell test code]:[5 cm2 cell test code]],[1]!Table1[[Test code]:[Test code]],[1]!Table1[i @ 1.8 V DIW (A/cm2)],"",0)</f>
        <v>#REF!</v>
      </c>
      <c r="X724" s="69" t="e" cm="1">
        <f t="array" ref="X724">_xlfn.XLOOKUP(Table1[[#This Row],[5 cm2 cell test code]:[5 cm2 cell test code]],[1]!Table1[[Test code]:[Test code]],[1]!Table1[i @ 1.8 V 10 mM KOH (A/cm2)],"",0)</f>
        <v>#REF!</v>
      </c>
      <c r="Y724" s="69" t="e" cm="1">
        <f t="array" ref="Y724">_xlfn.XLOOKUP(Table1[[#This Row],[5 cm2 cell test code]:[5 cm2 cell test code]],[1]!Table1[[Test code]:[Test code]],[1]!Table1[3-E ƞ at 20mAcm-2 (mV)],"",0)</f>
        <v>#REF!</v>
      </c>
      <c r="Z724" s="69" t="e" cm="1">
        <f t="array" ref="Z724">_xlfn.XLOOKUP(Table1[[#This Row],[5 cm2 cell test code]:[5 cm2 cell test code]],[1]!Table1[[Test code]:[Test code]],[1]!Table1[3-E Tafel slope (mV/dec)],"",0)</f>
        <v>#REF!</v>
      </c>
      <c r="AA724" s="69" t="e" cm="1">
        <f t="array" ref="AA724">_xlfn.XLOOKUP(Table1[[#This Row],[5 cm2 cell test code]:[5 cm2 cell test code]],[1]!Table1[[Test code]:[Test code]],[1]!Table1[E @ 100 mA/cm2 DIW/V],"",0)</f>
        <v>#REF!</v>
      </c>
      <c r="AB724" s="69" t="e" cm="1">
        <f t="array" ref="AB724">_xlfn.XLOOKUP(Table1[[#This Row],[5 cm2 cell test code]:[5 cm2 cell test code]],[1]!Table1[[Test code]:[Test code]],[1]!Table1[E @ 100 mA/cm2 10 mM KOH/V],"",0)</f>
        <v>#REF!</v>
      </c>
      <c r="AC724" s="69" t="e" cm="1">
        <f t="array" ref="AC724">_xlfn.XLOOKUP(Table1[[#This Row],[5 cm2 cell test code]:[5 cm2 cell test code]],[1]!Table1[[Test code]:[Test code]],[1]!Table1[Anode ICR/mOhm],"",0)</f>
        <v>#REF!</v>
      </c>
      <c r="AD724" s="69" t="e" cm="1">
        <f t="array" ref="AD724">_xlfn.XLOOKUP(Table1[[#This Row],[5 cm2 cell test code]:[5 cm2 cell test code]],[1]!Table1[[Test code]:[Test code]],[1]!Table1[HFR DIW/ mOhm cm2],"",0)</f>
        <v>#REF!</v>
      </c>
      <c r="AE724" s="69" t="e" cm="1">
        <f t="array" ref="AE724">_xlfn.XLOOKUP(Table1[[#This Row],[5 cm2 cell test code]:[5 cm2 cell test code]],[1]!Table1[[Test code]:[Test code]],[1]!Table1[HFR 10 mM KOH/ mOhm cm2],"",0)</f>
        <v>#REF!</v>
      </c>
      <c r="AF724" s="69" t="e" cm="1">
        <f t="array" ref="AF724">_xlfn.XLOOKUP(Table1[[#This Row],[5 cm2 cell test code]:[5 cm2 cell test code]],[1]!Table1[[Test code]:[Test code]],[1]!Table1[Ionic resistance DIW/Ohm cm2],"",0)</f>
        <v>#REF!</v>
      </c>
      <c r="AG724" s="69" t="e" cm="1">
        <f t="array" ref="AG724">_xlfn.XLOOKUP(Table1[[#This Row],[5 cm2 cell test code]:[5 cm2 cell test code]],[1]!Table1[[Test code]:[Test code]],[1]!Table1[Q_int_frac DIW],"",0)</f>
        <v>#REF!</v>
      </c>
      <c r="AH724" s="69" t="e" cm="1">
        <f t="array" ref="AH724">_xlfn.XLOOKUP(Table1[[#This Row],[5 cm2 cell test code]:[5 cm2 cell test code]],[1]!Table1[[Test code]:[Test code]],[1]!Table1[Ionic resistance 10 mM KOH/Ohm cm2],"",0)</f>
        <v>#REF!</v>
      </c>
      <c r="AI724" s="69" t="e" cm="1">
        <f t="array" ref="AI724">_xlfn.XLOOKUP(Table1[[#This Row],[5 cm2 cell test code]:[5 cm2 cell test code]],[1]!Table1[[Test code]:[Test code]],[1]!Table1[Q_int_frac DIW 10 mM KOH],"",0)</f>
        <v>#REF!</v>
      </c>
      <c r="AJ724" s="69" t="e" cm="1">
        <f t="array" ref="AJ724">_xlfn.XLOOKUP(Table1[[#This Row],[5 cm2 cell test code]:[5 cm2 cell test code]],[1]!Table1[[Test code]:[Test code]],[1]!Table1[DIW conductivity (µS/cm)],"",0)</f>
        <v>#REF!</v>
      </c>
    </row>
    <row r="725" spans="1:36">
      <c r="A725" s="81"/>
      <c r="U725" s="101"/>
      <c r="V725" s="101"/>
      <c r="W725" s="69" t="e" cm="1">
        <f t="array" ref="W725">_xlfn.XLOOKUP(Table1[[#This Row],[5 cm2 cell test code]:[5 cm2 cell test code]],[1]!Table1[[Test code]:[Test code]],[1]!Table1[i @ 1.8 V DIW (A/cm2)],"",0)</f>
        <v>#REF!</v>
      </c>
      <c r="X725" s="69" t="e" cm="1">
        <f t="array" ref="X725">_xlfn.XLOOKUP(Table1[[#This Row],[5 cm2 cell test code]:[5 cm2 cell test code]],[1]!Table1[[Test code]:[Test code]],[1]!Table1[i @ 1.8 V 10 mM KOH (A/cm2)],"",0)</f>
        <v>#REF!</v>
      </c>
      <c r="Y725" s="69" t="e" cm="1">
        <f t="array" ref="Y725">_xlfn.XLOOKUP(Table1[[#This Row],[5 cm2 cell test code]:[5 cm2 cell test code]],[1]!Table1[[Test code]:[Test code]],[1]!Table1[3-E ƞ at 20mAcm-2 (mV)],"",0)</f>
        <v>#REF!</v>
      </c>
      <c r="Z725" s="69" t="e" cm="1">
        <f t="array" ref="Z725">_xlfn.XLOOKUP(Table1[[#This Row],[5 cm2 cell test code]:[5 cm2 cell test code]],[1]!Table1[[Test code]:[Test code]],[1]!Table1[3-E Tafel slope (mV/dec)],"",0)</f>
        <v>#REF!</v>
      </c>
      <c r="AA725" s="69" t="e" cm="1">
        <f t="array" ref="AA725">_xlfn.XLOOKUP(Table1[[#This Row],[5 cm2 cell test code]:[5 cm2 cell test code]],[1]!Table1[[Test code]:[Test code]],[1]!Table1[E @ 100 mA/cm2 DIW/V],"",0)</f>
        <v>#REF!</v>
      </c>
      <c r="AB725" s="69" t="e" cm="1">
        <f t="array" ref="AB725">_xlfn.XLOOKUP(Table1[[#This Row],[5 cm2 cell test code]:[5 cm2 cell test code]],[1]!Table1[[Test code]:[Test code]],[1]!Table1[E @ 100 mA/cm2 10 mM KOH/V],"",0)</f>
        <v>#REF!</v>
      </c>
      <c r="AC725" s="69" t="e" cm="1">
        <f t="array" ref="AC725">_xlfn.XLOOKUP(Table1[[#This Row],[5 cm2 cell test code]:[5 cm2 cell test code]],[1]!Table1[[Test code]:[Test code]],[1]!Table1[Anode ICR/mOhm],"",0)</f>
        <v>#REF!</v>
      </c>
      <c r="AD725" s="69" t="e" cm="1">
        <f t="array" ref="AD725">_xlfn.XLOOKUP(Table1[[#This Row],[5 cm2 cell test code]:[5 cm2 cell test code]],[1]!Table1[[Test code]:[Test code]],[1]!Table1[HFR DIW/ mOhm cm2],"",0)</f>
        <v>#REF!</v>
      </c>
      <c r="AE725" s="69" t="e" cm="1">
        <f t="array" ref="AE725">_xlfn.XLOOKUP(Table1[[#This Row],[5 cm2 cell test code]:[5 cm2 cell test code]],[1]!Table1[[Test code]:[Test code]],[1]!Table1[HFR 10 mM KOH/ mOhm cm2],"",0)</f>
        <v>#REF!</v>
      </c>
      <c r="AF725" s="69" t="e" cm="1">
        <f t="array" ref="AF725">_xlfn.XLOOKUP(Table1[[#This Row],[5 cm2 cell test code]:[5 cm2 cell test code]],[1]!Table1[[Test code]:[Test code]],[1]!Table1[Ionic resistance DIW/Ohm cm2],"",0)</f>
        <v>#REF!</v>
      </c>
      <c r="AG725" s="69" t="e" cm="1">
        <f t="array" ref="AG725">_xlfn.XLOOKUP(Table1[[#This Row],[5 cm2 cell test code]:[5 cm2 cell test code]],[1]!Table1[[Test code]:[Test code]],[1]!Table1[Q_int_frac DIW],"",0)</f>
        <v>#REF!</v>
      </c>
      <c r="AH725" s="69" t="e" cm="1">
        <f t="array" ref="AH725">_xlfn.XLOOKUP(Table1[[#This Row],[5 cm2 cell test code]:[5 cm2 cell test code]],[1]!Table1[[Test code]:[Test code]],[1]!Table1[Ionic resistance 10 mM KOH/Ohm cm2],"",0)</f>
        <v>#REF!</v>
      </c>
      <c r="AI725" s="69" t="e" cm="1">
        <f t="array" ref="AI725">_xlfn.XLOOKUP(Table1[[#This Row],[5 cm2 cell test code]:[5 cm2 cell test code]],[1]!Table1[[Test code]:[Test code]],[1]!Table1[Q_int_frac DIW 10 mM KOH],"",0)</f>
        <v>#REF!</v>
      </c>
      <c r="AJ725" s="69" t="e" cm="1">
        <f t="array" ref="AJ725">_xlfn.XLOOKUP(Table1[[#This Row],[5 cm2 cell test code]:[5 cm2 cell test code]],[1]!Table1[[Test code]:[Test code]],[1]!Table1[DIW conductivity (µS/cm)],"",0)</f>
        <v>#REF!</v>
      </c>
    </row>
    <row r="726" spans="1:36">
      <c r="A726" s="81"/>
      <c r="U726" s="101"/>
      <c r="V726" s="101"/>
      <c r="W726" s="69" t="e" cm="1">
        <f t="array" ref="W726">_xlfn.XLOOKUP(Table1[[#This Row],[5 cm2 cell test code]:[5 cm2 cell test code]],[1]!Table1[[Test code]:[Test code]],[1]!Table1[i @ 1.8 V DIW (A/cm2)],"",0)</f>
        <v>#REF!</v>
      </c>
      <c r="X726" s="69" t="e" cm="1">
        <f t="array" ref="X726">_xlfn.XLOOKUP(Table1[[#This Row],[5 cm2 cell test code]:[5 cm2 cell test code]],[1]!Table1[[Test code]:[Test code]],[1]!Table1[i @ 1.8 V 10 mM KOH (A/cm2)],"",0)</f>
        <v>#REF!</v>
      </c>
      <c r="Y726" s="69" t="e" cm="1">
        <f t="array" ref="Y726">_xlfn.XLOOKUP(Table1[[#This Row],[5 cm2 cell test code]:[5 cm2 cell test code]],[1]!Table1[[Test code]:[Test code]],[1]!Table1[3-E ƞ at 20mAcm-2 (mV)],"",0)</f>
        <v>#REF!</v>
      </c>
      <c r="Z726" s="69" t="e" cm="1">
        <f t="array" ref="Z726">_xlfn.XLOOKUP(Table1[[#This Row],[5 cm2 cell test code]:[5 cm2 cell test code]],[1]!Table1[[Test code]:[Test code]],[1]!Table1[3-E Tafel slope (mV/dec)],"",0)</f>
        <v>#REF!</v>
      </c>
      <c r="AA726" s="69" t="e" cm="1">
        <f t="array" ref="AA726">_xlfn.XLOOKUP(Table1[[#This Row],[5 cm2 cell test code]:[5 cm2 cell test code]],[1]!Table1[[Test code]:[Test code]],[1]!Table1[E @ 100 mA/cm2 DIW/V],"",0)</f>
        <v>#REF!</v>
      </c>
      <c r="AB726" s="69" t="e" cm="1">
        <f t="array" ref="AB726">_xlfn.XLOOKUP(Table1[[#This Row],[5 cm2 cell test code]:[5 cm2 cell test code]],[1]!Table1[[Test code]:[Test code]],[1]!Table1[E @ 100 mA/cm2 10 mM KOH/V],"",0)</f>
        <v>#REF!</v>
      </c>
      <c r="AC726" s="69" t="e" cm="1">
        <f t="array" ref="AC726">_xlfn.XLOOKUP(Table1[[#This Row],[5 cm2 cell test code]:[5 cm2 cell test code]],[1]!Table1[[Test code]:[Test code]],[1]!Table1[Anode ICR/mOhm],"",0)</f>
        <v>#REF!</v>
      </c>
      <c r="AD726" s="69" t="e" cm="1">
        <f t="array" ref="AD726">_xlfn.XLOOKUP(Table1[[#This Row],[5 cm2 cell test code]:[5 cm2 cell test code]],[1]!Table1[[Test code]:[Test code]],[1]!Table1[HFR DIW/ mOhm cm2],"",0)</f>
        <v>#REF!</v>
      </c>
      <c r="AE726" s="69" t="e" cm="1">
        <f t="array" ref="AE726">_xlfn.XLOOKUP(Table1[[#This Row],[5 cm2 cell test code]:[5 cm2 cell test code]],[1]!Table1[[Test code]:[Test code]],[1]!Table1[HFR 10 mM KOH/ mOhm cm2],"",0)</f>
        <v>#REF!</v>
      </c>
      <c r="AF726" s="69" t="e" cm="1">
        <f t="array" ref="AF726">_xlfn.XLOOKUP(Table1[[#This Row],[5 cm2 cell test code]:[5 cm2 cell test code]],[1]!Table1[[Test code]:[Test code]],[1]!Table1[Ionic resistance DIW/Ohm cm2],"",0)</f>
        <v>#REF!</v>
      </c>
      <c r="AG726" s="69" t="e" cm="1">
        <f t="array" ref="AG726">_xlfn.XLOOKUP(Table1[[#This Row],[5 cm2 cell test code]:[5 cm2 cell test code]],[1]!Table1[[Test code]:[Test code]],[1]!Table1[Q_int_frac DIW],"",0)</f>
        <v>#REF!</v>
      </c>
      <c r="AH726" s="69" t="e" cm="1">
        <f t="array" ref="AH726">_xlfn.XLOOKUP(Table1[[#This Row],[5 cm2 cell test code]:[5 cm2 cell test code]],[1]!Table1[[Test code]:[Test code]],[1]!Table1[Ionic resistance 10 mM KOH/Ohm cm2],"",0)</f>
        <v>#REF!</v>
      </c>
      <c r="AI726" s="69" t="e" cm="1">
        <f t="array" ref="AI726">_xlfn.XLOOKUP(Table1[[#This Row],[5 cm2 cell test code]:[5 cm2 cell test code]],[1]!Table1[[Test code]:[Test code]],[1]!Table1[Q_int_frac DIW 10 mM KOH],"",0)</f>
        <v>#REF!</v>
      </c>
      <c r="AJ726" s="69" t="e" cm="1">
        <f t="array" ref="AJ726">_xlfn.XLOOKUP(Table1[[#This Row],[5 cm2 cell test code]:[5 cm2 cell test code]],[1]!Table1[[Test code]:[Test code]],[1]!Table1[DIW conductivity (µS/cm)],"",0)</f>
        <v>#REF!</v>
      </c>
    </row>
    <row r="727" spans="1:36">
      <c r="A727" s="81"/>
      <c r="U727" s="101"/>
      <c r="V727" s="101"/>
      <c r="W727" s="69" t="e" cm="1">
        <f t="array" ref="W727">_xlfn.XLOOKUP(Table1[[#This Row],[5 cm2 cell test code]:[5 cm2 cell test code]],[1]!Table1[[Test code]:[Test code]],[1]!Table1[i @ 1.8 V DIW (A/cm2)],"",0)</f>
        <v>#REF!</v>
      </c>
      <c r="X727" s="69" t="e" cm="1">
        <f t="array" ref="X727">_xlfn.XLOOKUP(Table1[[#This Row],[5 cm2 cell test code]:[5 cm2 cell test code]],[1]!Table1[[Test code]:[Test code]],[1]!Table1[i @ 1.8 V 10 mM KOH (A/cm2)],"",0)</f>
        <v>#REF!</v>
      </c>
      <c r="Y727" s="69" t="e" cm="1">
        <f t="array" ref="Y727">_xlfn.XLOOKUP(Table1[[#This Row],[5 cm2 cell test code]:[5 cm2 cell test code]],[1]!Table1[[Test code]:[Test code]],[1]!Table1[3-E ƞ at 20mAcm-2 (mV)],"",0)</f>
        <v>#REF!</v>
      </c>
      <c r="Z727" s="69" t="e" cm="1">
        <f t="array" ref="Z727">_xlfn.XLOOKUP(Table1[[#This Row],[5 cm2 cell test code]:[5 cm2 cell test code]],[1]!Table1[[Test code]:[Test code]],[1]!Table1[3-E Tafel slope (mV/dec)],"",0)</f>
        <v>#REF!</v>
      </c>
      <c r="AA727" s="69" t="e" cm="1">
        <f t="array" ref="AA727">_xlfn.XLOOKUP(Table1[[#This Row],[5 cm2 cell test code]:[5 cm2 cell test code]],[1]!Table1[[Test code]:[Test code]],[1]!Table1[E @ 100 mA/cm2 DIW/V],"",0)</f>
        <v>#REF!</v>
      </c>
      <c r="AB727" s="69" t="e" cm="1">
        <f t="array" ref="AB727">_xlfn.XLOOKUP(Table1[[#This Row],[5 cm2 cell test code]:[5 cm2 cell test code]],[1]!Table1[[Test code]:[Test code]],[1]!Table1[E @ 100 mA/cm2 10 mM KOH/V],"",0)</f>
        <v>#REF!</v>
      </c>
      <c r="AC727" s="69" t="e" cm="1">
        <f t="array" ref="AC727">_xlfn.XLOOKUP(Table1[[#This Row],[5 cm2 cell test code]:[5 cm2 cell test code]],[1]!Table1[[Test code]:[Test code]],[1]!Table1[Anode ICR/mOhm],"",0)</f>
        <v>#REF!</v>
      </c>
      <c r="AD727" s="69" t="e" cm="1">
        <f t="array" ref="AD727">_xlfn.XLOOKUP(Table1[[#This Row],[5 cm2 cell test code]:[5 cm2 cell test code]],[1]!Table1[[Test code]:[Test code]],[1]!Table1[HFR DIW/ mOhm cm2],"",0)</f>
        <v>#REF!</v>
      </c>
      <c r="AE727" s="69" t="e" cm="1">
        <f t="array" ref="AE727">_xlfn.XLOOKUP(Table1[[#This Row],[5 cm2 cell test code]:[5 cm2 cell test code]],[1]!Table1[[Test code]:[Test code]],[1]!Table1[HFR 10 mM KOH/ mOhm cm2],"",0)</f>
        <v>#REF!</v>
      </c>
      <c r="AF727" s="69" t="e" cm="1">
        <f t="array" ref="AF727">_xlfn.XLOOKUP(Table1[[#This Row],[5 cm2 cell test code]:[5 cm2 cell test code]],[1]!Table1[[Test code]:[Test code]],[1]!Table1[Ionic resistance DIW/Ohm cm2],"",0)</f>
        <v>#REF!</v>
      </c>
      <c r="AG727" s="69" t="e" cm="1">
        <f t="array" ref="AG727">_xlfn.XLOOKUP(Table1[[#This Row],[5 cm2 cell test code]:[5 cm2 cell test code]],[1]!Table1[[Test code]:[Test code]],[1]!Table1[Q_int_frac DIW],"",0)</f>
        <v>#REF!</v>
      </c>
      <c r="AH727" s="69" t="e" cm="1">
        <f t="array" ref="AH727">_xlfn.XLOOKUP(Table1[[#This Row],[5 cm2 cell test code]:[5 cm2 cell test code]],[1]!Table1[[Test code]:[Test code]],[1]!Table1[Ionic resistance 10 mM KOH/Ohm cm2],"",0)</f>
        <v>#REF!</v>
      </c>
      <c r="AI727" s="69" t="e" cm="1">
        <f t="array" ref="AI727">_xlfn.XLOOKUP(Table1[[#This Row],[5 cm2 cell test code]:[5 cm2 cell test code]],[1]!Table1[[Test code]:[Test code]],[1]!Table1[Q_int_frac DIW 10 mM KOH],"",0)</f>
        <v>#REF!</v>
      </c>
      <c r="AJ727" s="69" t="e" cm="1">
        <f t="array" ref="AJ727">_xlfn.XLOOKUP(Table1[[#This Row],[5 cm2 cell test code]:[5 cm2 cell test code]],[1]!Table1[[Test code]:[Test code]],[1]!Table1[DIW conductivity (µS/cm)],"",0)</f>
        <v>#REF!</v>
      </c>
    </row>
    <row r="728" spans="1:36">
      <c r="A728" s="81"/>
      <c r="U728" s="101"/>
      <c r="V728" s="101"/>
      <c r="W728" s="69" t="e" cm="1">
        <f t="array" ref="W728">_xlfn.XLOOKUP(Table1[[#This Row],[5 cm2 cell test code]:[5 cm2 cell test code]],[1]!Table1[[Test code]:[Test code]],[1]!Table1[i @ 1.8 V DIW (A/cm2)],"",0)</f>
        <v>#REF!</v>
      </c>
      <c r="X728" s="69" t="e" cm="1">
        <f t="array" ref="X728">_xlfn.XLOOKUP(Table1[[#This Row],[5 cm2 cell test code]:[5 cm2 cell test code]],[1]!Table1[[Test code]:[Test code]],[1]!Table1[i @ 1.8 V 10 mM KOH (A/cm2)],"",0)</f>
        <v>#REF!</v>
      </c>
      <c r="Y728" s="69" t="e" cm="1">
        <f t="array" ref="Y728">_xlfn.XLOOKUP(Table1[[#This Row],[5 cm2 cell test code]:[5 cm2 cell test code]],[1]!Table1[[Test code]:[Test code]],[1]!Table1[3-E ƞ at 20mAcm-2 (mV)],"",0)</f>
        <v>#REF!</v>
      </c>
      <c r="Z728" s="69" t="e" cm="1">
        <f t="array" ref="Z728">_xlfn.XLOOKUP(Table1[[#This Row],[5 cm2 cell test code]:[5 cm2 cell test code]],[1]!Table1[[Test code]:[Test code]],[1]!Table1[3-E Tafel slope (mV/dec)],"",0)</f>
        <v>#REF!</v>
      </c>
      <c r="AA728" s="69" t="e" cm="1">
        <f t="array" ref="AA728">_xlfn.XLOOKUP(Table1[[#This Row],[5 cm2 cell test code]:[5 cm2 cell test code]],[1]!Table1[[Test code]:[Test code]],[1]!Table1[E @ 100 mA/cm2 DIW/V],"",0)</f>
        <v>#REF!</v>
      </c>
      <c r="AB728" s="69" t="e" cm="1">
        <f t="array" ref="AB728">_xlfn.XLOOKUP(Table1[[#This Row],[5 cm2 cell test code]:[5 cm2 cell test code]],[1]!Table1[[Test code]:[Test code]],[1]!Table1[E @ 100 mA/cm2 10 mM KOH/V],"",0)</f>
        <v>#REF!</v>
      </c>
      <c r="AC728" s="69" t="e" cm="1">
        <f t="array" ref="AC728">_xlfn.XLOOKUP(Table1[[#This Row],[5 cm2 cell test code]:[5 cm2 cell test code]],[1]!Table1[[Test code]:[Test code]],[1]!Table1[Anode ICR/mOhm],"",0)</f>
        <v>#REF!</v>
      </c>
      <c r="AD728" s="69" t="e" cm="1">
        <f t="array" ref="AD728">_xlfn.XLOOKUP(Table1[[#This Row],[5 cm2 cell test code]:[5 cm2 cell test code]],[1]!Table1[[Test code]:[Test code]],[1]!Table1[HFR DIW/ mOhm cm2],"",0)</f>
        <v>#REF!</v>
      </c>
      <c r="AE728" s="69" t="e" cm="1">
        <f t="array" ref="AE728">_xlfn.XLOOKUP(Table1[[#This Row],[5 cm2 cell test code]:[5 cm2 cell test code]],[1]!Table1[[Test code]:[Test code]],[1]!Table1[HFR 10 mM KOH/ mOhm cm2],"",0)</f>
        <v>#REF!</v>
      </c>
      <c r="AF728" s="69" t="e" cm="1">
        <f t="array" ref="AF728">_xlfn.XLOOKUP(Table1[[#This Row],[5 cm2 cell test code]:[5 cm2 cell test code]],[1]!Table1[[Test code]:[Test code]],[1]!Table1[Ionic resistance DIW/Ohm cm2],"",0)</f>
        <v>#REF!</v>
      </c>
      <c r="AG728" s="69" t="e" cm="1">
        <f t="array" ref="AG728">_xlfn.XLOOKUP(Table1[[#This Row],[5 cm2 cell test code]:[5 cm2 cell test code]],[1]!Table1[[Test code]:[Test code]],[1]!Table1[Q_int_frac DIW],"",0)</f>
        <v>#REF!</v>
      </c>
      <c r="AH728" s="69" t="e" cm="1">
        <f t="array" ref="AH728">_xlfn.XLOOKUP(Table1[[#This Row],[5 cm2 cell test code]:[5 cm2 cell test code]],[1]!Table1[[Test code]:[Test code]],[1]!Table1[Ionic resistance 10 mM KOH/Ohm cm2],"",0)</f>
        <v>#REF!</v>
      </c>
      <c r="AI728" s="69" t="e" cm="1">
        <f t="array" ref="AI728">_xlfn.XLOOKUP(Table1[[#This Row],[5 cm2 cell test code]:[5 cm2 cell test code]],[1]!Table1[[Test code]:[Test code]],[1]!Table1[Q_int_frac DIW 10 mM KOH],"",0)</f>
        <v>#REF!</v>
      </c>
      <c r="AJ728" s="69" t="e" cm="1">
        <f t="array" ref="AJ728">_xlfn.XLOOKUP(Table1[[#This Row],[5 cm2 cell test code]:[5 cm2 cell test code]],[1]!Table1[[Test code]:[Test code]],[1]!Table1[DIW conductivity (µS/cm)],"",0)</f>
        <v>#REF!</v>
      </c>
    </row>
    <row r="729" spans="1:36">
      <c r="A729" s="81"/>
      <c r="U729" s="101"/>
      <c r="V729" s="101"/>
      <c r="W729" s="69" t="e" cm="1">
        <f t="array" ref="W729">_xlfn.XLOOKUP(Table1[[#This Row],[5 cm2 cell test code]:[5 cm2 cell test code]],[1]!Table1[[Test code]:[Test code]],[1]!Table1[i @ 1.8 V DIW (A/cm2)],"",0)</f>
        <v>#REF!</v>
      </c>
      <c r="X729" s="69" t="e" cm="1">
        <f t="array" ref="X729">_xlfn.XLOOKUP(Table1[[#This Row],[5 cm2 cell test code]:[5 cm2 cell test code]],[1]!Table1[[Test code]:[Test code]],[1]!Table1[i @ 1.8 V 10 mM KOH (A/cm2)],"",0)</f>
        <v>#REF!</v>
      </c>
      <c r="Y729" s="69" t="e" cm="1">
        <f t="array" ref="Y729">_xlfn.XLOOKUP(Table1[[#This Row],[5 cm2 cell test code]:[5 cm2 cell test code]],[1]!Table1[[Test code]:[Test code]],[1]!Table1[3-E ƞ at 20mAcm-2 (mV)],"",0)</f>
        <v>#REF!</v>
      </c>
      <c r="Z729" s="69" t="e" cm="1">
        <f t="array" ref="Z729">_xlfn.XLOOKUP(Table1[[#This Row],[5 cm2 cell test code]:[5 cm2 cell test code]],[1]!Table1[[Test code]:[Test code]],[1]!Table1[3-E Tafel slope (mV/dec)],"",0)</f>
        <v>#REF!</v>
      </c>
      <c r="AA729" s="69" t="e" cm="1">
        <f t="array" ref="AA729">_xlfn.XLOOKUP(Table1[[#This Row],[5 cm2 cell test code]:[5 cm2 cell test code]],[1]!Table1[[Test code]:[Test code]],[1]!Table1[E @ 100 mA/cm2 DIW/V],"",0)</f>
        <v>#REF!</v>
      </c>
      <c r="AB729" s="69" t="e" cm="1">
        <f t="array" ref="AB729">_xlfn.XLOOKUP(Table1[[#This Row],[5 cm2 cell test code]:[5 cm2 cell test code]],[1]!Table1[[Test code]:[Test code]],[1]!Table1[E @ 100 mA/cm2 10 mM KOH/V],"",0)</f>
        <v>#REF!</v>
      </c>
      <c r="AC729" s="69" t="e" cm="1">
        <f t="array" ref="AC729">_xlfn.XLOOKUP(Table1[[#This Row],[5 cm2 cell test code]:[5 cm2 cell test code]],[1]!Table1[[Test code]:[Test code]],[1]!Table1[Anode ICR/mOhm],"",0)</f>
        <v>#REF!</v>
      </c>
      <c r="AD729" s="69" t="e" cm="1">
        <f t="array" ref="AD729">_xlfn.XLOOKUP(Table1[[#This Row],[5 cm2 cell test code]:[5 cm2 cell test code]],[1]!Table1[[Test code]:[Test code]],[1]!Table1[HFR DIW/ mOhm cm2],"",0)</f>
        <v>#REF!</v>
      </c>
      <c r="AE729" s="69" t="e" cm="1">
        <f t="array" ref="AE729">_xlfn.XLOOKUP(Table1[[#This Row],[5 cm2 cell test code]:[5 cm2 cell test code]],[1]!Table1[[Test code]:[Test code]],[1]!Table1[HFR 10 mM KOH/ mOhm cm2],"",0)</f>
        <v>#REF!</v>
      </c>
      <c r="AF729" s="69" t="e" cm="1">
        <f t="array" ref="AF729">_xlfn.XLOOKUP(Table1[[#This Row],[5 cm2 cell test code]:[5 cm2 cell test code]],[1]!Table1[[Test code]:[Test code]],[1]!Table1[Ionic resistance DIW/Ohm cm2],"",0)</f>
        <v>#REF!</v>
      </c>
      <c r="AG729" s="69" t="e" cm="1">
        <f t="array" ref="AG729">_xlfn.XLOOKUP(Table1[[#This Row],[5 cm2 cell test code]:[5 cm2 cell test code]],[1]!Table1[[Test code]:[Test code]],[1]!Table1[Q_int_frac DIW],"",0)</f>
        <v>#REF!</v>
      </c>
      <c r="AH729" s="69" t="e" cm="1">
        <f t="array" ref="AH729">_xlfn.XLOOKUP(Table1[[#This Row],[5 cm2 cell test code]:[5 cm2 cell test code]],[1]!Table1[[Test code]:[Test code]],[1]!Table1[Ionic resistance 10 mM KOH/Ohm cm2],"",0)</f>
        <v>#REF!</v>
      </c>
      <c r="AI729" s="69" t="e" cm="1">
        <f t="array" ref="AI729">_xlfn.XLOOKUP(Table1[[#This Row],[5 cm2 cell test code]:[5 cm2 cell test code]],[1]!Table1[[Test code]:[Test code]],[1]!Table1[Q_int_frac DIW 10 mM KOH],"",0)</f>
        <v>#REF!</v>
      </c>
      <c r="AJ729" s="69" t="e" cm="1">
        <f t="array" ref="AJ729">_xlfn.XLOOKUP(Table1[[#This Row],[5 cm2 cell test code]:[5 cm2 cell test code]],[1]!Table1[[Test code]:[Test code]],[1]!Table1[DIW conductivity (µS/cm)],"",0)</f>
        <v>#REF!</v>
      </c>
    </row>
    <row r="730" spans="1:36">
      <c r="A730" s="81"/>
      <c r="U730" s="101"/>
      <c r="V730" s="101"/>
      <c r="W730" s="69" t="e" cm="1">
        <f t="array" ref="W730">_xlfn.XLOOKUP(Table1[[#This Row],[5 cm2 cell test code]:[5 cm2 cell test code]],[1]!Table1[[Test code]:[Test code]],[1]!Table1[i @ 1.8 V DIW (A/cm2)],"",0)</f>
        <v>#REF!</v>
      </c>
      <c r="X730" s="69" t="e" cm="1">
        <f t="array" ref="X730">_xlfn.XLOOKUP(Table1[[#This Row],[5 cm2 cell test code]:[5 cm2 cell test code]],[1]!Table1[[Test code]:[Test code]],[1]!Table1[i @ 1.8 V 10 mM KOH (A/cm2)],"",0)</f>
        <v>#REF!</v>
      </c>
      <c r="Y730" s="69" t="e" cm="1">
        <f t="array" ref="Y730">_xlfn.XLOOKUP(Table1[[#This Row],[5 cm2 cell test code]:[5 cm2 cell test code]],[1]!Table1[[Test code]:[Test code]],[1]!Table1[3-E ƞ at 20mAcm-2 (mV)],"",0)</f>
        <v>#REF!</v>
      </c>
      <c r="Z730" s="69" t="e" cm="1">
        <f t="array" ref="Z730">_xlfn.XLOOKUP(Table1[[#This Row],[5 cm2 cell test code]:[5 cm2 cell test code]],[1]!Table1[[Test code]:[Test code]],[1]!Table1[3-E Tafel slope (mV/dec)],"",0)</f>
        <v>#REF!</v>
      </c>
      <c r="AA730" s="69" t="e" cm="1">
        <f t="array" ref="AA730">_xlfn.XLOOKUP(Table1[[#This Row],[5 cm2 cell test code]:[5 cm2 cell test code]],[1]!Table1[[Test code]:[Test code]],[1]!Table1[E @ 100 mA/cm2 DIW/V],"",0)</f>
        <v>#REF!</v>
      </c>
      <c r="AB730" s="69" t="e" cm="1">
        <f t="array" ref="AB730">_xlfn.XLOOKUP(Table1[[#This Row],[5 cm2 cell test code]:[5 cm2 cell test code]],[1]!Table1[[Test code]:[Test code]],[1]!Table1[E @ 100 mA/cm2 10 mM KOH/V],"",0)</f>
        <v>#REF!</v>
      </c>
      <c r="AC730" s="69" t="e" cm="1">
        <f t="array" ref="AC730">_xlfn.XLOOKUP(Table1[[#This Row],[5 cm2 cell test code]:[5 cm2 cell test code]],[1]!Table1[[Test code]:[Test code]],[1]!Table1[Anode ICR/mOhm],"",0)</f>
        <v>#REF!</v>
      </c>
      <c r="AD730" s="69" t="e" cm="1">
        <f t="array" ref="AD730">_xlfn.XLOOKUP(Table1[[#This Row],[5 cm2 cell test code]:[5 cm2 cell test code]],[1]!Table1[[Test code]:[Test code]],[1]!Table1[HFR DIW/ mOhm cm2],"",0)</f>
        <v>#REF!</v>
      </c>
      <c r="AE730" s="69" t="e" cm="1">
        <f t="array" ref="AE730">_xlfn.XLOOKUP(Table1[[#This Row],[5 cm2 cell test code]:[5 cm2 cell test code]],[1]!Table1[[Test code]:[Test code]],[1]!Table1[HFR 10 mM KOH/ mOhm cm2],"",0)</f>
        <v>#REF!</v>
      </c>
      <c r="AF730" s="69" t="e" cm="1">
        <f t="array" ref="AF730">_xlfn.XLOOKUP(Table1[[#This Row],[5 cm2 cell test code]:[5 cm2 cell test code]],[1]!Table1[[Test code]:[Test code]],[1]!Table1[Ionic resistance DIW/Ohm cm2],"",0)</f>
        <v>#REF!</v>
      </c>
      <c r="AG730" s="69" t="e" cm="1">
        <f t="array" ref="AG730">_xlfn.XLOOKUP(Table1[[#This Row],[5 cm2 cell test code]:[5 cm2 cell test code]],[1]!Table1[[Test code]:[Test code]],[1]!Table1[Q_int_frac DIW],"",0)</f>
        <v>#REF!</v>
      </c>
      <c r="AH730" s="69" t="e" cm="1">
        <f t="array" ref="AH730">_xlfn.XLOOKUP(Table1[[#This Row],[5 cm2 cell test code]:[5 cm2 cell test code]],[1]!Table1[[Test code]:[Test code]],[1]!Table1[Ionic resistance 10 mM KOH/Ohm cm2],"",0)</f>
        <v>#REF!</v>
      </c>
      <c r="AI730" s="69" t="e" cm="1">
        <f t="array" ref="AI730">_xlfn.XLOOKUP(Table1[[#This Row],[5 cm2 cell test code]:[5 cm2 cell test code]],[1]!Table1[[Test code]:[Test code]],[1]!Table1[Q_int_frac DIW 10 mM KOH],"",0)</f>
        <v>#REF!</v>
      </c>
      <c r="AJ730" s="69" t="e" cm="1">
        <f t="array" ref="AJ730">_xlfn.XLOOKUP(Table1[[#This Row],[5 cm2 cell test code]:[5 cm2 cell test code]],[1]!Table1[[Test code]:[Test code]],[1]!Table1[DIW conductivity (µS/cm)],"",0)</f>
        <v>#REF!</v>
      </c>
    </row>
    <row r="731" spans="1:36">
      <c r="A731" s="81"/>
      <c r="U731" s="101"/>
      <c r="V731" s="101"/>
      <c r="W731" s="69" t="e" cm="1">
        <f t="array" ref="W731">_xlfn.XLOOKUP(Table1[[#This Row],[5 cm2 cell test code]:[5 cm2 cell test code]],[1]!Table1[[Test code]:[Test code]],[1]!Table1[i @ 1.8 V DIW (A/cm2)],"",0)</f>
        <v>#REF!</v>
      </c>
      <c r="X731" s="69" t="e" cm="1">
        <f t="array" ref="X731">_xlfn.XLOOKUP(Table1[[#This Row],[5 cm2 cell test code]:[5 cm2 cell test code]],[1]!Table1[[Test code]:[Test code]],[1]!Table1[i @ 1.8 V 10 mM KOH (A/cm2)],"",0)</f>
        <v>#REF!</v>
      </c>
      <c r="Y731" s="69" t="e" cm="1">
        <f t="array" ref="Y731">_xlfn.XLOOKUP(Table1[[#This Row],[5 cm2 cell test code]:[5 cm2 cell test code]],[1]!Table1[[Test code]:[Test code]],[1]!Table1[3-E ƞ at 20mAcm-2 (mV)],"",0)</f>
        <v>#REF!</v>
      </c>
      <c r="Z731" s="69" t="e" cm="1">
        <f t="array" ref="Z731">_xlfn.XLOOKUP(Table1[[#This Row],[5 cm2 cell test code]:[5 cm2 cell test code]],[1]!Table1[[Test code]:[Test code]],[1]!Table1[3-E Tafel slope (mV/dec)],"",0)</f>
        <v>#REF!</v>
      </c>
      <c r="AA731" s="69" t="e" cm="1">
        <f t="array" ref="AA731">_xlfn.XLOOKUP(Table1[[#This Row],[5 cm2 cell test code]:[5 cm2 cell test code]],[1]!Table1[[Test code]:[Test code]],[1]!Table1[E @ 100 mA/cm2 DIW/V],"",0)</f>
        <v>#REF!</v>
      </c>
      <c r="AB731" s="69" t="e" cm="1">
        <f t="array" ref="AB731">_xlfn.XLOOKUP(Table1[[#This Row],[5 cm2 cell test code]:[5 cm2 cell test code]],[1]!Table1[[Test code]:[Test code]],[1]!Table1[E @ 100 mA/cm2 10 mM KOH/V],"",0)</f>
        <v>#REF!</v>
      </c>
      <c r="AC731" s="69" t="e" cm="1">
        <f t="array" ref="AC731">_xlfn.XLOOKUP(Table1[[#This Row],[5 cm2 cell test code]:[5 cm2 cell test code]],[1]!Table1[[Test code]:[Test code]],[1]!Table1[Anode ICR/mOhm],"",0)</f>
        <v>#REF!</v>
      </c>
      <c r="AD731" s="69" t="e" cm="1">
        <f t="array" ref="AD731">_xlfn.XLOOKUP(Table1[[#This Row],[5 cm2 cell test code]:[5 cm2 cell test code]],[1]!Table1[[Test code]:[Test code]],[1]!Table1[HFR DIW/ mOhm cm2],"",0)</f>
        <v>#REF!</v>
      </c>
      <c r="AE731" s="69" t="e" cm="1">
        <f t="array" ref="AE731">_xlfn.XLOOKUP(Table1[[#This Row],[5 cm2 cell test code]:[5 cm2 cell test code]],[1]!Table1[[Test code]:[Test code]],[1]!Table1[HFR 10 mM KOH/ mOhm cm2],"",0)</f>
        <v>#REF!</v>
      </c>
      <c r="AF731" s="69" t="e" cm="1">
        <f t="array" ref="AF731">_xlfn.XLOOKUP(Table1[[#This Row],[5 cm2 cell test code]:[5 cm2 cell test code]],[1]!Table1[[Test code]:[Test code]],[1]!Table1[Ionic resistance DIW/Ohm cm2],"",0)</f>
        <v>#REF!</v>
      </c>
      <c r="AG731" s="69" t="e" cm="1">
        <f t="array" ref="AG731">_xlfn.XLOOKUP(Table1[[#This Row],[5 cm2 cell test code]:[5 cm2 cell test code]],[1]!Table1[[Test code]:[Test code]],[1]!Table1[Q_int_frac DIW],"",0)</f>
        <v>#REF!</v>
      </c>
      <c r="AH731" s="69" t="e" cm="1">
        <f t="array" ref="AH731">_xlfn.XLOOKUP(Table1[[#This Row],[5 cm2 cell test code]:[5 cm2 cell test code]],[1]!Table1[[Test code]:[Test code]],[1]!Table1[Ionic resistance 10 mM KOH/Ohm cm2],"",0)</f>
        <v>#REF!</v>
      </c>
      <c r="AI731" s="69" t="e" cm="1">
        <f t="array" ref="AI731">_xlfn.XLOOKUP(Table1[[#This Row],[5 cm2 cell test code]:[5 cm2 cell test code]],[1]!Table1[[Test code]:[Test code]],[1]!Table1[Q_int_frac DIW 10 mM KOH],"",0)</f>
        <v>#REF!</v>
      </c>
      <c r="AJ731" s="69" t="e" cm="1">
        <f t="array" ref="AJ731">_xlfn.XLOOKUP(Table1[[#This Row],[5 cm2 cell test code]:[5 cm2 cell test code]],[1]!Table1[[Test code]:[Test code]],[1]!Table1[DIW conductivity (µS/cm)],"",0)</f>
        <v>#REF!</v>
      </c>
    </row>
    <row r="732" spans="1:36">
      <c r="A732" s="81"/>
      <c r="U732" s="101"/>
      <c r="V732" s="101"/>
      <c r="W732" s="69" t="e" cm="1">
        <f t="array" ref="W732">_xlfn.XLOOKUP(Table1[[#This Row],[5 cm2 cell test code]:[5 cm2 cell test code]],[1]!Table1[[Test code]:[Test code]],[1]!Table1[i @ 1.8 V DIW (A/cm2)],"",0)</f>
        <v>#REF!</v>
      </c>
      <c r="X732" s="69" t="e" cm="1">
        <f t="array" ref="X732">_xlfn.XLOOKUP(Table1[[#This Row],[5 cm2 cell test code]:[5 cm2 cell test code]],[1]!Table1[[Test code]:[Test code]],[1]!Table1[i @ 1.8 V 10 mM KOH (A/cm2)],"",0)</f>
        <v>#REF!</v>
      </c>
      <c r="Y732" s="69" t="e" cm="1">
        <f t="array" ref="Y732">_xlfn.XLOOKUP(Table1[[#This Row],[5 cm2 cell test code]:[5 cm2 cell test code]],[1]!Table1[[Test code]:[Test code]],[1]!Table1[3-E ƞ at 20mAcm-2 (mV)],"",0)</f>
        <v>#REF!</v>
      </c>
      <c r="Z732" s="69" t="e" cm="1">
        <f t="array" ref="Z732">_xlfn.XLOOKUP(Table1[[#This Row],[5 cm2 cell test code]:[5 cm2 cell test code]],[1]!Table1[[Test code]:[Test code]],[1]!Table1[3-E Tafel slope (mV/dec)],"",0)</f>
        <v>#REF!</v>
      </c>
      <c r="AA732" s="69" t="e" cm="1">
        <f t="array" ref="AA732">_xlfn.XLOOKUP(Table1[[#This Row],[5 cm2 cell test code]:[5 cm2 cell test code]],[1]!Table1[[Test code]:[Test code]],[1]!Table1[E @ 100 mA/cm2 DIW/V],"",0)</f>
        <v>#REF!</v>
      </c>
      <c r="AB732" s="69" t="e" cm="1">
        <f t="array" ref="AB732">_xlfn.XLOOKUP(Table1[[#This Row],[5 cm2 cell test code]:[5 cm2 cell test code]],[1]!Table1[[Test code]:[Test code]],[1]!Table1[E @ 100 mA/cm2 10 mM KOH/V],"",0)</f>
        <v>#REF!</v>
      </c>
      <c r="AC732" s="69" t="e" cm="1">
        <f t="array" ref="AC732">_xlfn.XLOOKUP(Table1[[#This Row],[5 cm2 cell test code]:[5 cm2 cell test code]],[1]!Table1[[Test code]:[Test code]],[1]!Table1[Anode ICR/mOhm],"",0)</f>
        <v>#REF!</v>
      </c>
      <c r="AD732" s="69" t="e" cm="1">
        <f t="array" ref="AD732">_xlfn.XLOOKUP(Table1[[#This Row],[5 cm2 cell test code]:[5 cm2 cell test code]],[1]!Table1[[Test code]:[Test code]],[1]!Table1[HFR DIW/ mOhm cm2],"",0)</f>
        <v>#REF!</v>
      </c>
      <c r="AE732" s="69" t="e" cm="1">
        <f t="array" ref="AE732">_xlfn.XLOOKUP(Table1[[#This Row],[5 cm2 cell test code]:[5 cm2 cell test code]],[1]!Table1[[Test code]:[Test code]],[1]!Table1[HFR 10 mM KOH/ mOhm cm2],"",0)</f>
        <v>#REF!</v>
      </c>
      <c r="AF732" s="69" t="e" cm="1">
        <f t="array" ref="AF732">_xlfn.XLOOKUP(Table1[[#This Row],[5 cm2 cell test code]:[5 cm2 cell test code]],[1]!Table1[[Test code]:[Test code]],[1]!Table1[Ionic resistance DIW/Ohm cm2],"",0)</f>
        <v>#REF!</v>
      </c>
      <c r="AG732" s="69" t="e" cm="1">
        <f t="array" ref="AG732">_xlfn.XLOOKUP(Table1[[#This Row],[5 cm2 cell test code]:[5 cm2 cell test code]],[1]!Table1[[Test code]:[Test code]],[1]!Table1[Q_int_frac DIW],"",0)</f>
        <v>#REF!</v>
      </c>
      <c r="AH732" s="69" t="e" cm="1">
        <f t="array" ref="AH732">_xlfn.XLOOKUP(Table1[[#This Row],[5 cm2 cell test code]:[5 cm2 cell test code]],[1]!Table1[[Test code]:[Test code]],[1]!Table1[Ionic resistance 10 mM KOH/Ohm cm2],"",0)</f>
        <v>#REF!</v>
      </c>
      <c r="AI732" s="69" t="e" cm="1">
        <f t="array" ref="AI732">_xlfn.XLOOKUP(Table1[[#This Row],[5 cm2 cell test code]:[5 cm2 cell test code]],[1]!Table1[[Test code]:[Test code]],[1]!Table1[Q_int_frac DIW 10 mM KOH],"",0)</f>
        <v>#REF!</v>
      </c>
      <c r="AJ732" s="69" t="e" cm="1">
        <f t="array" ref="AJ732">_xlfn.XLOOKUP(Table1[[#This Row],[5 cm2 cell test code]:[5 cm2 cell test code]],[1]!Table1[[Test code]:[Test code]],[1]!Table1[DIW conductivity (µS/cm)],"",0)</f>
        <v>#REF!</v>
      </c>
    </row>
    <row r="733" spans="1:36">
      <c r="A733" s="81"/>
      <c r="U733" s="101"/>
      <c r="V733" s="101"/>
      <c r="W733" s="69" t="e" cm="1">
        <f t="array" ref="W733">_xlfn.XLOOKUP(Table1[[#This Row],[5 cm2 cell test code]:[5 cm2 cell test code]],[1]!Table1[[Test code]:[Test code]],[1]!Table1[i @ 1.8 V DIW (A/cm2)],"",0)</f>
        <v>#REF!</v>
      </c>
      <c r="X733" s="69" t="e" cm="1">
        <f t="array" ref="X733">_xlfn.XLOOKUP(Table1[[#This Row],[5 cm2 cell test code]:[5 cm2 cell test code]],[1]!Table1[[Test code]:[Test code]],[1]!Table1[i @ 1.8 V 10 mM KOH (A/cm2)],"",0)</f>
        <v>#REF!</v>
      </c>
      <c r="Y733" s="69" t="e" cm="1">
        <f t="array" ref="Y733">_xlfn.XLOOKUP(Table1[[#This Row],[5 cm2 cell test code]:[5 cm2 cell test code]],[1]!Table1[[Test code]:[Test code]],[1]!Table1[3-E ƞ at 20mAcm-2 (mV)],"",0)</f>
        <v>#REF!</v>
      </c>
      <c r="Z733" s="69" t="e" cm="1">
        <f t="array" ref="Z733">_xlfn.XLOOKUP(Table1[[#This Row],[5 cm2 cell test code]:[5 cm2 cell test code]],[1]!Table1[[Test code]:[Test code]],[1]!Table1[3-E Tafel slope (mV/dec)],"",0)</f>
        <v>#REF!</v>
      </c>
      <c r="AA733" s="69" t="e" cm="1">
        <f t="array" ref="AA733">_xlfn.XLOOKUP(Table1[[#This Row],[5 cm2 cell test code]:[5 cm2 cell test code]],[1]!Table1[[Test code]:[Test code]],[1]!Table1[E @ 100 mA/cm2 DIW/V],"",0)</f>
        <v>#REF!</v>
      </c>
      <c r="AB733" s="69" t="e" cm="1">
        <f t="array" ref="AB733">_xlfn.XLOOKUP(Table1[[#This Row],[5 cm2 cell test code]:[5 cm2 cell test code]],[1]!Table1[[Test code]:[Test code]],[1]!Table1[E @ 100 mA/cm2 10 mM KOH/V],"",0)</f>
        <v>#REF!</v>
      </c>
      <c r="AC733" s="69" t="e" cm="1">
        <f t="array" ref="AC733">_xlfn.XLOOKUP(Table1[[#This Row],[5 cm2 cell test code]:[5 cm2 cell test code]],[1]!Table1[[Test code]:[Test code]],[1]!Table1[Anode ICR/mOhm],"",0)</f>
        <v>#REF!</v>
      </c>
      <c r="AD733" s="69" t="e" cm="1">
        <f t="array" ref="AD733">_xlfn.XLOOKUP(Table1[[#This Row],[5 cm2 cell test code]:[5 cm2 cell test code]],[1]!Table1[[Test code]:[Test code]],[1]!Table1[HFR DIW/ mOhm cm2],"",0)</f>
        <v>#REF!</v>
      </c>
      <c r="AE733" s="69" t="e" cm="1">
        <f t="array" ref="AE733">_xlfn.XLOOKUP(Table1[[#This Row],[5 cm2 cell test code]:[5 cm2 cell test code]],[1]!Table1[[Test code]:[Test code]],[1]!Table1[HFR 10 mM KOH/ mOhm cm2],"",0)</f>
        <v>#REF!</v>
      </c>
      <c r="AF733" s="69" t="e" cm="1">
        <f t="array" ref="AF733">_xlfn.XLOOKUP(Table1[[#This Row],[5 cm2 cell test code]:[5 cm2 cell test code]],[1]!Table1[[Test code]:[Test code]],[1]!Table1[Ionic resistance DIW/Ohm cm2],"",0)</f>
        <v>#REF!</v>
      </c>
      <c r="AG733" s="69" t="e" cm="1">
        <f t="array" ref="AG733">_xlfn.XLOOKUP(Table1[[#This Row],[5 cm2 cell test code]:[5 cm2 cell test code]],[1]!Table1[[Test code]:[Test code]],[1]!Table1[Q_int_frac DIW],"",0)</f>
        <v>#REF!</v>
      </c>
      <c r="AH733" s="69" t="e" cm="1">
        <f t="array" ref="AH733">_xlfn.XLOOKUP(Table1[[#This Row],[5 cm2 cell test code]:[5 cm2 cell test code]],[1]!Table1[[Test code]:[Test code]],[1]!Table1[Ionic resistance 10 mM KOH/Ohm cm2],"",0)</f>
        <v>#REF!</v>
      </c>
      <c r="AI733" s="69" t="e" cm="1">
        <f t="array" ref="AI733">_xlfn.XLOOKUP(Table1[[#This Row],[5 cm2 cell test code]:[5 cm2 cell test code]],[1]!Table1[[Test code]:[Test code]],[1]!Table1[Q_int_frac DIW 10 mM KOH],"",0)</f>
        <v>#REF!</v>
      </c>
      <c r="AJ733" s="69" t="e" cm="1">
        <f t="array" ref="AJ733">_xlfn.XLOOKUP(Table1[[#This Row],[5 cm2 cell test code]:[5 cm2 cell test code]],[1]!Table1[[Test code]:[Test code]],[1]!Table1[DIW conductivity (µS/cm)],"",0)</f>
        <v>#REF!</v>
      </c>
    </row>
    <row r="734" spans="1:36">
      <c r="A734" s="81"/>
      <c r="U734" s="101"/>
      <c r="V734" s="101"/>
      <c r="W734" s="69" t="e" cm="1">
        <f t="array" ref="W734">_xlfn.XLOOKUP(Table1[[#This Row],[5 cm2 cell test code]:[5 cm2 cell test code]],[1]!Table1[[Test code]:[Test code]],[1]!Table1[i @ 1.8 V DIW (A/cm2)],"",0)</f>
        <v>#REF!</v>
      </c>
      <c r="X734" s="69" t="e" cm="1">
        <f t="array" ref="X734">_xlfn.XLOOKUP(Table1[[#This Row],[5 cm2 cell test code]:[5 cm2 cell test code]],[1]!Table1[[Test code]:[Test code]],[1]!Table1[i @ 1.8 V 10 mM KOH (A/cm2)],"",0)</f>
        <v>#REF!</v>
      </c>
      <c r="Y734" s="69" t="e" cm="1">
        <f t="array" ref="Y734">_xlfn.XLOOKUP(Table1[[#This Row],[5 cm2 cell test code]:[5 cm2 cell test code]],[1]!Table1[[Test code]:[Test code]],[1]!Table1[3-E ƞ at 20mAcm-2 (mV)],"",0)</f>
        <v>#REF!</v>
      </c>
      <c r="Z734" s="69" t="e" cm="1">
        <f t="array" ref="Z734">_xlfn.XLOOKUP(Table1[[#This Row],[5 cm2 cell test code]:[5 cm2 cell test code]],[1]!Table1[[Test code]:[Test code]],[1]!Table1[3-E Tafel slope (mV/dec)],"",0)</f>
        <v>#REF!</v>
      </c>
      <c r="AA734" s="69" t="e" cm="1">
        <f t="array" ref="AA734">_xlfn.XLOOKUP(Table1[[#This Row],[5 cm2 cell test code]:[5 cm2 cell test code]],[1]!Table1[[Test code]:[Test code]],[1]!Table1[E @ 100 mA/cm2 DIW/V],"",0)</f>
        <v>#REF!</v>
      </c>
      <c r="AB734" s="69" t="e" cm="1">
        <f t="array" ref="AB734">_xlfn.XLOOKUP(Table1[[#This Row],[5 cm2 cell test code]:[5 cm2 cell test code]],[1]!Table1[[Test code]:[Test code]],[1]!Table1[E @ 100 mA/cm2 10 mM KOH/V],"",0)</f>
        <v>#REF!</v>
      </c>
      <c r="AC734" s="69" t="e" cm="1">
        <f t="array" ref="AC734">_xlfn.XLOOKUP(Table1[[#This Row],[5 cm2 cell test code]:[5 cm2 cell test code]],[1]!Table1[[Test code]:[Test code]],[1]!Table1[Anode ICR/mOhm],"",0)</f>
        <v>#REF!</v>
      </c>
      <c r="AD734" s="69" t="e" cm="1">
        <f t="array" ref="AD734">_xlfn.XLOOKUP(Table1[[#This Row],[5 cm2 cell test code]:[5 cm2 cell test code]],[1]!Table1[[Test code]:[Test code]],[1]!Table1[HFR DIW/ mOhm cm2],"",0)</f>
        <v>#REF!</v>
      </c>
      <c r="AE734" s="69" t="e" cm="1">
        <f t="array" ref="AE734">_xlfn.XLOOKUP(Table1[[#This Row],[5 cm2 cell test code]:[5 cm2 cell test code]],[1]!Table1[[Test code]:[Test code]],[1]!Table1[HFR 10 mM KOH/ mOhm cm2],"",0)</f>
        <v>#REF!</v>
      </c>
      <c r="AF734" s="69" t="e" cm="1">
        <f t="array" ref="AF734">_xlfn.XLOOKUP(Table1[[#This Row],[5 cm2 cell test code]:[5 cm2 cell test code]],[1]!Table1[[Test code]:[Test code]],[1]!Table1[Ionic resistance DIW/Ohm cm2],"",0)</f>
        <v>#REF!</v>
      </c>
      <c r="AG734" s="69" t="e" cm="1">
        <f t="array" ref="AG734">_xlfn.XLOOKUP(Table1[[#This Row],[5 cm2 cell test code]:[5 cm2 cell test code]],[1]!Table1[[Test code]:[Test code]],[1]!Table1[Q_int_frac DIW],"",0)</f>
        <v>#REF!</v>
      </c>
      <c r="AH734" s="69" t="e" cm="1">
        <f t="array" ref="AH734">_xlfn.XLOOKUP(Table1[[#This Row],[5 cm2 cell test code]:[5 cm2 cell test code]],[1]!Table1[[Test code]:[Test code]],[1]!Table1[Ionic resistance 10 mM KOH/Ohm cm2],"",0)</f>
        <v>#REF!</v>
      </c>
      <c r="AI734" s="69" t="e" cm="1">
        <f t="array" ref="AI734">_xlfn.XLOOKUP(Table1[[#This Row],[5 cm2 cell test code]:[5 cm2 cell test code]],[1]!Table1[[Test code]:[Test code]],[1]!Table1[Q_int_frac DIW 10 mM KOH],"",0)</f>
        <v>#REF!</v>
      </c>
      <c r="AJ734" s="69" t="e" cm="1">
        <f t="array" ref="AJ734">_xlfn.XLOOKUP(Table1[[#This Row],[5 cm2 cell test code]:[5 cm2 cell test code]],[1]!Table1[[Test code]:[Test code]],[1]!Table1[DIW conductivity (µS/cm)],"",0)</f>
        <v>#REF!</v>
      </c>
    </row>
    <row r="735" spans="1:36">
      <c r="A735" s="81"/>
      <c r="U735" s="101"/>
      <c r="V735" s="101"/>
      <c r="W735" s="69" t="e" cm="1">
        <f t="array" ref="W735">_xlfn.XLOOKUP(Table1[[#This Row],[5 cm2 cell test code]:[5 cm2 cell test code]],[1]!Table1[[Test code]:[Test code]],[1]!Table1[i @ 1.8 V DIW (A/cm2)],"",0)</f>
        <v>#REF!</v>
      </c>
      <c r="X735" s="69" t="e" cm="1">
        <f t="array" ref="X735">_xlfn.XLOOKUP(Table1[[#This Row],[5 cm2 cell test code]:[5 cm2 cell test code]],[1]!Table1[[Test code]:[Test code]],[1]!Table1[i @ 1.8 V 10 mM KOH (A/cm2)],"",0)</f>
        <v>#REF!</v>
      </c>
      <c r="Y735" s="69" t="e" cm="1">
        <f t="array" ref="Y735">_xlfn.XLOOKUP(Table1[[#This Row],[5 cm2 cell test code]:[5 cm2 cell test code]],[1]!Table1[[Test code]:[Test code]],[1]!Table1[3-E ƞ at 20mAcm-2 (mV)],"",0)</f>
        <v>#REF!</v>
      </c>
      <c r="Z735" s="69" t="e" cm="1">
        <f t="array" ref="Z735">_xlfn.XLOOKUP(Table1[[#This Row],[5 cm2 cell test code]:[5 cm2 cell test code]],[1]!Table1[[Test code]:[Test code]],[1]!Table1[3-E Tafel slope (mV/dec)],"",0)</f>
        <v>#REF!</v>
      </c>
      <c r="AA735" s="69" t="e" cm="1">
        <f t="array" ref="AA735">_xlfn.XLOOKUP(Table1[[#This Row],[5 cm2 cell test code]:[5 cm2 cell test code]],[1]!Table1[[Test code]:[Test code]],[1]!Table1[E @ 100 mA/cm2 DIW/V],"",0)</f>
        <v>#REF!</v>
      </c>
      <c r="AB735" s="69" t="e" cm="1">
        <f t="array" ref="AB735">_xlfn.XLOOKUP(Table1[[#This Row],[5 cm2 cell test code]:[5 cm2 cell test code]],[1]!Table1[[Test code]:[Test code]],[1]!Table1[E @ 100 mA/cm2 10 mM KOH/V],"",0)</f>
        <v>#REF!</v>
      </c>
      <c r="AC735" s="69" t="e" cm="1">
        <f t="array" ref="AC735">_xlfn.XLOOKUP(Table1[[#This Row],[5 cm2 cell test code]:[5 cm2 cell test code]],[1]!Table1[[Test code]:[Test code]],[1]!Table1[Anode ICR/mOhm],"",0)</f>
        <v>#REF!</v>
      </c>
      <c r="AD735" s="69" t="e" cm="1">
        <f t="array" ref="AD735">_xlfn.XLOOKUP(Table1[[#This Row],[5 cm2 cell test code]:[5 cm2 cell test code]],[1]!Table1[[Test code]:[Test code]],[1]!Table1[HFR DIW/ mOhm cm2],"",0)</f>
        <v>#REF!</v>
      </c>
      <c r="AE735" s="69" t="e" cm="1">
        <f t="array" ref="AE735">_xlfn.XLOOKUP(Table1[[#This Row],[5 cm2 cell test code]:[5 cm2 cell test code]],[1]!Table1[[Test code]:[Test code]],[1]!Table1[HFR 10 mM KOH/ mOhm cm2],"",0)</f>
        <v>#REF!</v>
      </c>
      <c r="AF735" s="69" t="e" cm="1">
        <f t="array" ref="AF735">_xlfn.XLOOKUP(Table1[[#This Row],[5 cm2 cell test code]:[5 cm2 cell test code]],[1]!Table1[[Test code]:[Test code]],[1]!Table1[Ionic resistance DIW/Ohm cm2],"",0)</f>
        <v>#REF!</v>
      </c>
      <c r="AG735" s="69" t="e" cm="1">
        <f t="array" ref="AG735">_xlfn.XLOOKUP(Table1[[#This Row],[5 cm2 cell test code]:[5 cm2 cell test code]],[1]!Table1[[Test code]:[Test code]],[1]!Table1[Q_int_frac DIW],"",0)</f>
        <v>#REF!</v>
      </c>
      <c r="AH735" s="69" t="e" cm="1">
        <f t="array" ref="AH735">_xlfn.XLOOKUP(Table1[[#This Row],[5 cm2 cell test code]:[5 cm2 cell test code]],[1]!Table1[[Test code]:[Test code]],[1]!Table1[Ionic resistance 10 mM KOH/Ohm cm2],"",0)</f>
        <v>#REF!</v>
      </c>
      <c r="AI735" s="69" t="e" cm="1">
        <f t="array" ref="AI735">_xlfn.XLOOKUP(Table1[[#This Row],[5 cm2 cell test code]:[5 cm2 cell test code]],[1]!Table1[[Test code]:[Test code]],[1]!Table1[Q_int_frac DIW 10 mM KOH],"",0)</f>
        <v>#REF!</v>
      </c>
      <c r="AJ735" s="69" t="e" cm="1">
        <f t="array" ref="AJ735">_xlfn.XLOOKUP(Table1[[#This Row],[5 cm2 cell test code]:[5 cm2 cell test code]],[1]!Table1[[Test code]:[Test code]],[1]!Table1[DIW conductivity (µS/cm)],"",0)</f>
        <v>#REF!</v>
      </c>
    </row>
    <row r="736" spans="1:36">
      <c r="A736" s="81"/>
      <c r="U736" s="101"/>
      <c r="V736" s="101"/>
      <c r="W736" s="69" t="e" cm="1">
        <f t="array" ref="W736">_xlfn.XLOOKUP(Table1[[#This Row],[5 cm2 cell test code]:[5 cm2 cell test code]],[1]!Table1[[Test code]:[Test code]],[1]!Table1[i @ 1.8 V DIW (A/cm2)],"",0)</f>
        <v>#REF!</v>
      </c>
      <c r="X736" s="69" t="e" cm="1">
        <f t="array" ref="X736">_xlfn.XLOOKUP(Table1[[#This Row],[5 cm2 cell test code]:[5 cm2 cell test code]],[1]!Table1[[Test code]:[Test code]],[1]!Table1[i @ 1.8 V 10 mM KOH (A/cm2)],"",0)</f>
        <v>#REF!</v>
      </c>
      <c r="Y736" s="69" t="e" cm="1">
        <f t="array" ref="Y736">_xlfn.XLOOKUP(Table1[[#This Row],[5 cm2 cell test code]:[5 cm2 cell test code]],[1]!Table1[[Test code]:[Test code]],[1]!Table1[3-E ƞ at 20mAcm-2 (mV)],"",0)</f>
        <v>#REF!</v>
      </c>
      <c r="Z736" s="69" t="e" cm="1">
        <f t="array" ref="Z736">_xlfn.XLOOKUP(Table1[[#This Row],[5 cm2 cell test code]:[5 cm2 cell test code]],[1]!Table1[[Test code]:[Test code]],[1]!Table1[3-E Tafel slope (mV/dec)],"",0)</f>
        <v>#REF!</v>
      </c>
      <c r="AA736" s="69" t="e" cm="1">
        <f t="array" ref="AA736">_xlfn.XLOOKUP(Table1[[#This Row],[5 cm2 cell test code]:[5 cm2 cell test code]],[1]!Table1[[Test code]:[Test code]],[1]!Table1[E @ 100 mA/cm2 DIW/V],"",0)</f>
        <v>#REF!</v>
      </c>
      <c r="AB736" s="69" t="e" cm="1">
        <f t="array" ref="AB736">_xlfn.XLOOKUP(Table1[[#This Row],[5 cm2 cell test code]:[5 cm2 cell test code]],[1]!Table1[[Test code]:[Test code]],[1]!Table1[E @ 100 mA/cm2 10 mM KOH/V],"",0)</f>
        <v>#REF!</v>
      </c>
      <c r="AC736" s="69" t="e" cm="1">
        <f t="array" ref="AC736">_xlfn.XLOOKUP(Table1[[#This Row],[5 cm2 cell test code]:[5 cm2 cell test code]],[1]!Table1[[Test code]:[Test code]],[1]!Table1[Anode ICR/mOhm],"",0)</f>
        <v>#REF!</v>
      </c>
      <c r="AD736" s="69" t="e" cm="1">
        <f t="array" ref="AD736">_xlfn.XLOOKUP(Table1[[#This Row],[5 cm2 cell test code]:[5 cm2 cell test code]],[1]!Table1[[Test code]:[Test code]],[1]!Table1[HFR DIW/ mOhm cm2],"",0)</f>
        <v>#REF!</v>
      </c>
      <c r="AE736" s="69" t="e" cm="1">
        <f t="array" ref="AE736">_xlfn.XLOOKUP(Table1[[#This Row],[5 cm2 cell test code]:[5 cm2 cell test code]],[1]!Table1[[Test code]:[Test code]],[1]!Table1[HFR 10 mM KOH/ mOhm cm2],"",0)</f>
        <v>#REF!</v>
      </c>
      <c r="AF736" s="69" t="e" cm="1">
        <f t="array" ref="AF736">_xlfn.XLOOKUP(Table1[[#This Row],[5 cm2 cell test code]:[5 cm2 cell test code]],[1]!Table1[[Test code]:[Test code]],[1]!Table1[Ionic resistance DIW/Ohm cm2],"",0)</f>
        <v>#REF!</v>
      </c>
      <c r="AG736" s="69" t="e" cm="1">
        <f t="array" ref="AG736">_xlfn.XLOOKUP(Table1[[#This Row],[5 cm2 cell test code]:[5 cm2 cell test code]],[1]!Table1[[Test code]:[Test code]],[1]!Table1[Q_int_frac DIW],"",0)</f>
        <v>#REF!</v>
      </c>
      <c r="AH736" s="69" t="e" cm="1">
        <f t="array" ref="AH736">_xlfn.XLOOKUP(Table1[[#This Row],[5 cm2 cell test code]:[5 cm2 cell test code]],[1]!Table1[[Test code]:[Test code]],[1]!Table1[Ionic resistance 10 mM KOH/Ohm cm2],"",0)</f>
        <v>#REF!</v>
      </c>
      <c r="AI736" s="69" t="e" cm="1">
        <f t="array" ref="AI736">_xlfn.XLOOKUP(Table1[[#This Row],[5 cm2 cell test code]:[5 cm2 cell test code]],[1]!Table1[[Test code]:[Test code]],[1]!Table1[Q_int_frac DIW 10 mM KOH],"",0)</f>
        <v>#REF!</v>
      </c>
      <c r="AJ736" s="69" t="e" cm="1">
        <f t="array" ref="AJ736">_xlfn.XLOOKUP(Table1[[#This Row],[5 cm2 cell test code]:[5 cm2 cell test code]],[1]!Table1[[Test code]:[Test code]],[1]!Table1[DIW conductivity (µS/cm)],"",0)</f>
        <v>#REF!</v>
      </c>
    </row>
    <row r="737" spans="1:36">
      <c r="A737" s="81"/>
      <c r="U737" s="101"/>
      <c r="V737" s="101"/>
      <c r="W737" s="69" t="e" cm="1">
        <f t="array" ref="W737">_xlfn.XLOOKUP(Table1[[#This Row],[5 cm2 cell test code]:[5 cm2 cell test code]],[1]!Table1[[Test code]:[Test code]],[1]!Table1[i @ 1.8 V DIW (A/cm2)],"",0)</f>
        <v>#REF!</v>
      </c>
      <c r="X737" s="69" t="e" cm="1">
        <f t="array" ref="X737">_xlfn.XLOOKUP(Table1[[#This Row],[5 cm2 cell test code]:[5 cm2 cell test code]],[1]!Table1[[Test code]:[Test code]],[1]!Table1[i @ 1.8 V 10 mM KOH (A/cm2)],"",0)</f>
        <v>#REF!</v>
      </c>
      <c r="Y737" s="69" t="e" cm="1">
        <f t="array" ref="Y737">_xlfn.XLOOKUP(Table1[[#This Row],[5 cm2 cell test code]:[5 cm2 cell test code]],[1]!Table1[[Test code]:[Test code]],[1]!Table1[3-E ƞ at 20mAcm-2 (mV)],"",0)</f>
        <v>#REF!</v>
      </c>
      <c r="Z737" s="69" t="e" cm="1">
        <f t="array" ref="Z737">_xlfn.XLOOKUP(Table1[[#This Row],[5 cm2 cell test code]:[5 cm2 cell test code]],[1]!Table1[[Test code]:[Test code]],[1]!Table1[3-E Tafel slope (mV/dec)],"",0)</f>
        <v>#REF!</v>
      </c>
      <c r="AA737" s="69" t="e" cm="1">
        <f t="array" ref="AA737">_xlfn.XLOOKUP(Table1[[#This Row],[5 cm2 cell test code]:[5 cm2 cell test code]],[1]!Table1[[Test code]:[Test code]],[1]!Table1[E @ 100 mA/cm2 DIW/V],"",0)</f>
        <v>#REF!</v>
      </c>
      <c r="AB737" s="69" t="e" cm="1">
        <f t="array" ref="AB737">_xlfn.XLOOKUP(Table1[[#This Row],[5 cm2 cell test code]:[5 cm2 cell test code]],[1]!Table1[[Test code]:[Test code]],[1]!Table1[E @ 100 mA/cm2 10 mM KOH/V],"",0)</f>
        <v>#REF!</v>
      </c>
      <c r="AC737" s="69" t="e" cm="1">
        <f t="array" ref="AC737">_xlfn.XLOOKUP(Table1[[#This Row],[5 cm2 cell test code]:[5 cm2 cell test code]],[1]!Table1[[Test code]:[Test code]],[1]!Table1[Anode ICR/mOhm],"",0)</f>
        <v>#REF!</v>
      </c>
      <c r="AD737" s="69" t="e" cm="1">
        <f t="array" ref="AD737">_xlfn.XLOOKUP(Table1[[#This Row],[5 cm2 cell test code]:[5 cm2 cell test code]],[1]!Table1[[Test code]:[Test code]],[1]!Table1[HFR DIW/ mOhm cm2],"",0)</f>
        <v>#REF!</v>
      </c>
      <c r="AE737" s="69" t="e" cm="1">
        <f t="array" ref="AE737">_xlfn.XLOOKUP(Table1[[#This Row],[5 cm2 cell test code]:[5 cm2 cell test code]],[1]!Table1[[Test code]:[Test code]],[1]!Table1[HFR 10 mM KOH/ mOhm cm2],"",0)</f>
        <v>#REF!</v>
      </c>
      <c r="AF737" s="69" t="e" cm="1">
        <f t="array" ref="AF737">_xlfn.XLOOKUP(Table1[[#This Row],[5 cm2 cell test code]:[5 cm2 cell test code]],[1]!Table1[[Test code]:[Test code]],[1]!Table1[Ionic resistance DIW/Ohm cm2],"",0)</f>
        <v>#REF!</v>
      </c>
      <c r="AG737" s="69" t="e" cm="1">
        <f t="array" ref="AG737">_xlfn.XLOOKUP(Table1[[#This Row],[5 cm2 cell test code]:[5 cm2 cell test code]],[1]!Table1[[Test code]:[Test code]],[1]!Table1[Q_int_frac DIW],"",0)</f>
        <v>#REF!</v>
      </c>
      <c r="AH737" s="69" t="e" cm="1">
        <f t="array" ref="AH737">_xlfn.XLOOKUP(Table1[[#This Row],[5 cm2 cell test code]:[5 cm2 cell test code]],[1]!Table1[[Test code]:[Test code]],[1]!Table1[Ionic resistance 10 mM KOH/Ohm cm2],"",0)</f>
        <v>#REF!</v>
      </c>
      <c r="AI737" s="69" t="e" cm="1">
        <f t="array" ref="AI737">_xlfn.XLOOKUP(Table1[[#This Row],[5 cm2 cell test code]:[5 cm2 cell test code]],[1]!Table1[[Test code]:[Test code]],[1]!Table1[Q_int_frac DIW 10 mM KOH],"",0)</f>
        <v>#REF!</v>
      </c>
      <c r="AJ737" s="69" t="e" cm="1">
        <f t="array" ref="AJ737">_xlfn.XLOOKUP(Table1[[#This Row],[5 cm2 cell test code]:[5 cm2 cell test code]],[1]!Table1[[Test code]:[Test code]],[1]!Table1[DIW conductivity (µS/cm)],"",0)</f>
        <v>#REF!</v>
      </c>
    </row>
    <row r="738" spans="1:36">
      <c r="A738" s="81"/>
      <c r="U738" s="101"/>
      <c r="V738" s="101"/>
      <c r="W738" s="69" t="e" cm="1">
        <f t="array" ref="W738">_xlfn.XLOOKUP(Table1[[#This Row],[5 cm2 cell test code]:[5 cm2 cell test code]],[1]!Table1[[Test code]:[Test code]],[1]!Table1[i @ 1.8 V DIW (A/cm2)],"",0)</f>
        <v>#REF!</v>
      </c>
      <c r="X738" s="69" t="e" cm="1">
        <f t="array" ref="X738">_xlfn.XLOOKUP(Table1[[#This Row],[5 cm2 cell test code]:[5 cm2 cell test code]],[1]!Table1[[Test code]:[Test code]],[1]!Table1[i @ 1.8 V 10 mM KOH (A/cm2)],"",0)</f>
        <v>#REF!</v>
      </c>
      <c r="Y738" s="69" t="e" cm="1">
        <f t="array" ref="Y738">_xlfn.XLOOKUP(Table1[[#This Row],[5 cm2 cell test code]:[5 cm2 cell test code]],[1]!Table1[[Test code]:[Test code]],[1]!Table1[3-E ƞ at 20mAcm-2 (mV)],"",0)</f>
        <v>#REF!</v>
      </c>
      <c r="Z738" s="69" t="e" cm="1">
        <f t="array" ref="Z738">_xlfn.XLOOKUP(Table1[[#This Row],[5 cm2 cell test code]:[5 cm2 cell test code]],[1]!Table1[[Test code]:[Test code]],[1]!Table1[3-E Tafel slope (mV/dec)],"",0)</f>
        <v>#REF!</v>
      </c>
      <c r="AA738" s="69" t="e" cm="1">
        <f t="array" ref="AA738">_xlfn.XLOOKUP(Table1[[#This Row],[5 cm2 cell test code]:[5 cm2 cell test code]],[1]!Table1[[Test code]:[Test code]],[1]!Table1[E @ 100 mA/cm2 DIW/V],"",0)</f>
        <v>#REF!</v>
      </c>
      <c r="AB738" s="69" t="e" cm="1">
        <f t="array" ref="AB738">_xlfn.XLOOKUP(Table1[[#This Row],[5 cm2 cell test code]:[5 cm2 cell test code]],[1]!Table1[[Test code]:[Test code]],[1]!Table1[E @ 100 mA/cm2 10 mM KOH/V],"",0)</f>
        <v>#REF!</v>
      </c>
      <c r="AC738" s="69" t="e" cm="1">
        <f t="array" ref="AC738">_xlfn.XLOOKUP(Table1[[#This Row],[5 cm2 cell test code]:[5 cm2 cell test code]],[1]!Table1[[Test code]:[Test code]],[1]!Table1[Anode ICR/mOhm],"",0)</f>
        <v>#REF!</v>
      </c>
      <c r="AD738" s="69" t="e" cm="1">
        <f t="array" ref="AD738">_xlfn.XLOOKUP(Table1[[#This Row],[5 cm2 cell test code]:[5 cm2 cell test code]],[1]!Table1[[Test code]:[Test code]],[1]!Table1[HFR DIW/ mOhm cm2],"",0)</f>
        <v>#REF!</v>
      </c>
      <c r="AE738" s="69" t="e" cm="1">
        <f t="array" ref="AE738">_xlfn.XLOOKUP(Table1[[#This Row],[5 cm2 cell test code]:[5 cm2 cell test code]],[1]!Table1[[Test code]:[Test code]],[1]!Table1[HFR 10 mM KOH/ mOhm cm2],"",0)</f>
        <v>#REF!</v>
      </c>
      <c r="AF738" s="69" t="e" cm="1">
        <f t="array" ref="AF738">_xlfn.XLOOKUP(Table1[[#This Row],[5 cm2 cell test code]:[5 cm2 cell test code]],[1]!Table1[[Test code]:[Test code]],[1]!Table1[Ionic resistance DIW/Ohm cm2],"",0)</f>
        <v>#REF!</v>
      </c>
      <c r="AG738" s="69" t="e" cm="1">
        <f t="array" ref="AG738">_xlfn.XLOOKUP(Table1[[#This Row],[5 cm2 cell test code]:[5 cm2 cell test code]],[1]!Table1[[Test code]:[Test code]],[1]!Table1[Q_int_frac DIW],"",0)</f>
        <v>#REF!</v>
      </c>
      <c r="AH738" s="69" t="e" cm="1">
        <f t="array" ref="AH738">_xlfn.XLOOKUP(Table1[[#This Row],[5 cm2 cell test code]:[5 cm2 cell test code]],[1]!Table1[[Test code]:[Test code]],[1]!Table1[Ionic resistance 10 mM KOH/Ohm cm2],"",0)</f>
        <v>#REF!</v>
      </c>
      <c r="AI738" s="69" t="e" cm="1">
        <f t="array" ref="AI738">_xlfn.XLOOKUP(Table1[[#This Row],[5 cm2 cell test code]:[5 cm2 cell test code]],[1]!Table1[[Test code]:[Test code]],[1]!Table1[Q_int_frac DIW 10 mM KOH],"",0)</f>
        <v>#REF!</v>
      </c>
      <c r="AJ738" s="69" t="e" cm="1">
        <f t="array" ref="AJ738">_xlfn.XLOOKUP(Table1[[#This Row],[5 cm2 cell test code]:[5 cm2 cell test code]],[1]!Table1[[Test code]:[Test code]],[1]!Table1[DIW conductivity (µS/cm)],"",0)</f>
        <v>#REF!</v>
      </c>
    </row>
    <row r="739" spans="1:36">
      <c r="A739" s="81"/>
      <c r="U739" s="101"/>
      <c r="V739" s="101"/>
      <c r="W739" s="69" t="e" cm="1">
        <f t="array" ref="W739">_xlfn.XLOOKUP(Table1[[#This Row],[5 cm2 cell test code]:[5 cm2 cell test code]],[1]!Table1[[Test code]:[Test code]],[1]!Table1[i @ 1.8 V DIW (A/cm2)],"",0)</f>
        <v>#REF!</v>
      </c>
      <c r="X739" s="69" t="e" cm="1">
        <f t="array" ref="X739">_xlfn.XLOOKUP(Table1[[#This Row],[5 cm2 cell test code]:[5 cm2 cell test code]],[1]!Table1[[Test code]:[Test code]],[1]!Table1[i @ 1.8 V 10 mM KOH (A/cm2)],"",0)</f>
        <v>#REF!</v>
      </c>
      <c r="Y739" s="69" t="e" cm="1">
        <f t="array" ref="Y739">_xlfn.XLOOKUP(Table1[[#This Row],[5 cm2 cell test code]:[5 cm2 cell test code]],[1]!Table1[[Test code]:[Test code]],[1]!Table1[3-E ƞ at 20mAcm-2 (mV)],"",0)</f>
        <v>#REF!</v>
      </c>
      <c r="Z739" s="69" t="e" cm="1">
        <f t="array" ref="Z739">_xlfn.XLOOKUP(Table1[[#This Row],[5 cm2 cell test code]:[5 cm2 cell test code]],[1]!Table1[[Test code]:[Test code]],[1]!Table1[3-E Tafel slope (mV/dec)],"",0)</f>
        <v>#REF!</v>
      </c>
      <c r="AA739" s="69" t="e" cm="1">
        <f t="array" ref="AA739">_xlfn.XLOOKUP(Table1[[#This Row],[5 cm2 cell test code]:[5 cm2 cell test code]],[1]!Table1[[Test code]:[Test code]],[1]!Table1[E @ 100 mA/cm2 DIW/V],"",0)</f>
        <v>#REF!</v>
      </c>
      <c r="AB739" s="69" t="e" cm="1">
        <f t="array" ref="AB739">_xlfn.XLOOKUP(Table1[[#This Row],[5 cm2 cell test code]:[5 cm2 cell test code]],[1]!Table1[[Test code]:[Test code]],[1]!Table1[E @ 100 mA/cm2 10 mM KOH/V],"",0)</f>
        <v>#REF!</v>
      </c>
      <c r="AC739" s="69" t="e" cm="1">
        <f t="array" ref="AC739">_xlfn.XLOOKUP(Table1[[#This Row],[5 cm2 cell test code]:[5 cm2 cell test code]],[1]!Table1[[Test code]:[Test code]],[1]!Table1[Anode ICR/mOhm],"",0)</f>
        <v>#REF!</v>
      </c>
      <c r="AD739" s="69" t="e" cm="1">
        <f t="array" ref="AD739">_xlfn.XLOOKUP(Table1[[#This Row],[5 cm2 cell test code]:[5 cm2 cell test code]],[1]!Table1[[Test code]:[Test code]],[1]!Table1[HFR DIW/ mOhm cm2],"",0)</f>
        <v>#REF!</v>
      </c>
      <c r="AE739" s="69" t="e" cm="1">
        <f t="array" ref="AE739">_xlfn.XLOOKUP(Table1[[#This Row],[5 cm2 cell test code]:[5 cm2 cell test code]],[1]!Table1[[Test code]:[Test code]],[1]!Table1[HFR 10 mM KOH/ mOhm cm2],"",0)</f>
        <v>#REF!</v>
      </c>
      <c r="AF739" s="69" t="e" cm="1">
        <f t="array" ref="AF739">_xlfn.XLOOKUP(Table1[[#This Row],[5 cm2 cell test code]:[5 cm2 cell test code]],[1]!Table1[[Test code]:[Test code]],[1]!Table1[Ionic resistance DIW/Ohm cm2],"",0)</f>
        <v>#REF!</v>
      </c>
      <c r="AG739" s="69" t="e" cm="1">
        <f t="array" ref="AG739">_xlfn.XLOOKUP(Table1[[#This Row],[5 cm2 cell test code]:[5 cm2 cell test code]],[1]!Table1[[Test code]:[Test code]],[1]!Table1[Q_int_frac DIW],"",0)</f>
        <v>#REF!</v>
      </c>
      <c r="AH739" s="69" t="e" cm="1">
        <f t="array" ref="AH739">_xlfn.XLOOKUP(Table1[[#This Row],[5 cm2 cell test code]:[5 cm2 cell test code]],[1]!Table1[[Test code]:[Test code]],[1]!Table1[Ionic resistance 10 mM KOH/Ohm cm2],"",0)</f>
        <v>#REF!</v>
      </c>
      <c r="AI739" s="69" t="e" cm="1">
        <f t="array" ref="AI739">_xlfn.XLOOKUP(Table1[[#This Row],[5 cm2 cell test code]:[5 cm2 cell test code]],[1]!Table1[[Test code]:[Test code]],[1]!Table1[Q_int_frac DIW 10 mM KOH],"",0)</f>
        <v>#REF!</v>
      </c>
      <c r="AJ739" s="69" t="e" cm="1">
        <f t="array" ref="AJ739">_xlfn.XLOOKUP(Table1[[#This Row],[5 cm2 cell test code]:[5 cm2 cell test code]],[1]!Table1[[Test code]:[Test code]],[1]!Table1[DIW conductivity (µS/cm)],"",0)</f>
        <v>#REF!</v>
      </c>
    </row>
    <row r="740" spans="1:36">
      <c r="A740" s="81"/>
      <c r="U740" s="101"/>
      <c r="V740" s="101"/>
      <c r="W740" s="69" t="e" cm="1">
        <f t="array" ref="W740">_xlfn.XLOOKUP(Table1[[#This Row],[5 cm2 cell test code]:[5 cm2 cell test code]],[1]!Table1[[Test code]:[Test code]],[1]!Table1[i @ 1.8 V DIW (A/cm2)],"",0)</f>
        <v>#REF!</v>
      </c>
      <c r="X740" s="69" t="e" cm="1">
        <f t="array" ref="X740">_xlfn.XLOOKUP(Table1[[#This Row],[5 cm2 cell test code]:[5 cm2 cell test code]],[1]!Table1[[Test code]:[Test code]],[1]!Table1[i @ 1.8 V 10 mM KOH (A/cm2)],"",0)</f>
        <v>#REF!</v>
      </c>
      <c r="Y740" s="69" t="e" cm="1">
        <f t="array" ref="Y740">_xlfn.XLOOKUP(Table1[[#This Row],[5 cm2 cell test code]:[5 cm2 cell test code]],[1]!Table1[[Test code]:[Test code]],[1]!Table1[3-E ƞ at 20mAcm-2 (mV)],"",0)</f>
        <v>#REF!</v>
      </c>
      <c r="Z740" s="69" t="e" cm="1">
        <f t="array" ref="Z740">_xlfn.XLOOKUP(Table1[[#This Row],[5 cm2 cell test code]:[5 cm2 cell test code]],[1]!Table1[[Test code]:[Test code]],[1]!Table1[3-E Tafel slope (mV/dec)],"",0)</f>
        <v>#REF!</v>
      </c>
      <c r="AA740" s="69" t="e" cm="1">
        <f t="array" ref="AA740">_xlfn.XLOOKUP(Table1[[#This Row],[5 cm2 cell test code]:[5 cm2 cell test code]],[1]!Table1[[Test code]:[Test code]],[1]!Table1[E @ 100 mA/cm2 DIW/V],"",0)</f>
        <v>#REF!</v>
      </c>
      <c r="AB740" s="69" t="e" cm="1">
        <f t="array" ref="AB740">_xlfn.XLOOKUP(Table1[[#This Row],[5 cm2 cell test code]:[5 cm2 cell test code]],[1]!Table1[[Test code]:[Test code]],[1]!Table1[E @ 100 mA/cm2 10 mM KOH/V],"",0)</f>
        <v>#REF!</v>
      </c>
      <c r="AC740" s="69" t="e" cm="1">
        <f t="array" ref="AC740">_xlfn.XLOOKUP(Table1[[#This Row],[5 cm2 cell test code]:[5 cm2 cell test code]],[1]!Table1[[Test code]:[Test code]],[1]!Table1[Anode ICR/mOhm],"",0)</f>
        <v>#REF!</v>
      </c>
      <c r="AD740" s="69" t="e" cm="1">
        <f t="array" ref="AD740">_xlfn.XLOOKUP(Table1[[#This Row],[5 cm2 cell test code]:[5 cm2 cell test code]],[1]!Table1[[Test code]:[Test code]],[1]!Table1[HFR DIW/ mOhm cm2],"",0)</f>
        <v>#REF!</v>
      </c>
      <c r="AE740" s="69" t="e" cm="1">
        <f t="array" ref="AE740">_xlfn.XLOOKUP(Table1[[#This Row],[5 cm2 cell test code]:[5 cm2 cell test code]],[1]!Table1[[Test code]:[Test code]],[1]!Table1[HFR 10 mM KOH/ mOhm cm2],"",0)</f>
        <v>#REF!</v>
      </c>
      <c r="AF740" s="69" t="e" cm="1">
        <f t="array" ref="AF740">_xlfn.XLOOKUP(Table1[[#This Row],[5 cm2 cell test code]:[5 cm2 cell test code]],[1]!Table1[[Test code]:[Test code]],[1]!Table1[Ionic resistance DIW/Ohm cm2],"",0)</f>
        <v>#REF!</v>
      </c>
      <c r="AG740" s="69" t="e" cm="1">
        <f t="array" ref="AG740">_xlfn.XLOOKUP(Table1[[#This Row],[5 cm2 cell test code]:[5 cm2 cell test code]],[1]!Table1[[Test code]:[Test code]],[1]!Table1[Q_int_frac DIW],"",0)</f>
        <v>#REF!</v>
      </c>
      <c r="AH740" s="69" t="e" cm="1">
        <f t="array" ref="AH740">_xlfn.XLOOKUP(Table1[[#This Row],[5 cm2 cell test code]:[5 cm2 cell test code]],[1]!Table1[[Test code]:[Test code]],[1]!Table1[Ionic resistance 10 mM KOH/Ohm cm2],"",0)</f>
        <v>#REF!</v>
      </c>
      <c r="AI740" s="69" t="e" cm="1">
        <f t="array" ref="AI740">_xlfn.XLOOKUP(Table1[[#This Row],[5 cm2 cell test code]:[5 cm2 cell test code]],[1]!Table1[[Test code]:[Test code]],[1]!Table1[Q_int_frac DIW 10 mM KOH],"",0)</f>
        <v>#REF!</v>
      </c>
      <c r="AJ740" s="69" t="e" cm="1">
        <f t="array" ref="AJ740">_xlfn.XLOOKUP(Table1[[#This Row],[5 cm2 cell test code]:[5 cm2 cell test code]],[1]!Table1[[Test code]:[Test code]],[1]!Table1[DIW conductivity (µS/cm)],"",0)</f>
        <v>#REF!</v>
      </c>
    </row>
    <row r="741" spans="1:36">
      <c r="A741" s="81"/>
      <c r="U741" s="101"/>
      <c r="V741" s="101"/>
      <c r="W741" s="69" t="e" cm="1">
        <f t="array" ref="W741">_xlfn.XLOOKUP(Table1[[#This Row],[5 cm2 cell test code]:[5 cm2 cell test code]],[1]!Table1[[Test code]:[Test code]],[1]!Table1[i @ 1.8 V DIW (A/cm2)],"",0)</f>
        <v>#REF!</v>
      </c>
      <c r="X741" s="69" t="e" cm="1">
        <f t="array" ref="X741">_xlfn.XLOOKUP(Table1[[#This Row],[5 cm2 cell test code]:[5 cm2 cell test code]],[1]!Table1[[Test code]:[Test code]],[1]!Table1[i @ 1.8 V 10 mM KOH (A/cm2)],"",0)</f>
        <v>#REF!</v>
      </c>
      <c r="Y741" s="69" t="e" cm="1">
        <f t="array" ref="Y741">_xlfn.XLOOKUP(Table1[[#This Row],[5 cm2 cell test code]:[5 cm2 cell test code]],[1]!Table1[[Test code]:[Test code]],[1]!Table1[3-E ƞ at 20mAcm-2 (mV)],"",0)</f>
        <v>#REF!</v>
      </c>
      <c r="Z741" s="69" t="e" cm="1">
        <f t="array" ref="Z741">_xlfn.XLOOKUP(Table1[[#This Row],[5 cm2 cell test code]:[5 cm2 cell test code]],[1]!Table1[[Test code]:[Test code]],[1]!Table1[3-E Tafel slope (mV/dec)],"",0)</f>
        <v>#REF!</v>
      </c>
      <c r="AA741" s="69" t="e" cm="1">
        <f t="array" ref="AA741">_xlfn.XLOOKUP(Table1[[#This Row],[5 cm2 cell test code]:[5 cm2 cell test code]],[1]!Table1[[Test code]:[Test code]],[1]!Table1[E @ 100 mA/cm2 DIW/V],"",0)</f>
        <v>#REF!</v>
      </c>
      <c r="AB741" s="69" t="e" cm="1">
        <f t="array" ref="AB741">_xlfn.XLOOKUP(Table1[[#This Row],[5 cm2 cell test code]:[5 cm2 cell test code]],[1]!Table1[[Test code]:[Test code]],[1]!Table1[E @ 100 mA/cm2 10 mM KOH/V],"",0)</f>
        <v>#REF!</v>
      </c>
      <c r="AC741" s="69" t="e" cm="1">
        <f t="array" ref="AC741">_xlfn.XLOOKUP(Table1[[#This Row],[5 cm2 cell test code]:[5 cm2 cell test code]],[1]!Table1[[Test code]:[Test code]],[1]!Table1[Anode ICR/mOhm],"",0)</f>
        <v>#REF!</v>
      </c>
      <c r="AD741" s="69" t="e" cm="1">
        <f t="array" ref="AD741">_xlfn.XLOOKUP(Table1[[#This Row],[5 cm2 cell test code]:[5 cm2 cell test code]],[1]!Table1[[Test code]:[Test code]],[1]!Table1[HFR DIW/ mOhm cm2],"",0)</f>
        <v>#REF!</v>
      </c>
      <c r="AE741" s="69" t="e" cm="1">
        <f t="array" ref="AE741">_xlfn.XLOOKUP(Table1[[#This Row],[5 cm2 cell test code]:[5 cm2 cell test code]],[1]!Table1[[Test code]:[Test code]],[1]!Table1[HFR 10 mM KOH/ mOhm cm2],"",0)</f>
        <v>#REF!</v>
      </c>
      <c r="AF741" s="69" t="e" cm="1">
        <f t="array" ref="AF741">_xlfn.XLOOKUP(Table1[[#This Row],[5 cm2 cell test code]:[5 cm2 cell test code]],[1]!Table1[[Test code]:[Test code]],[1]!Table1[Ionic resistance DIW/Ohm cm2],"",0)</f>
        <v>#REF!</v>
      </c>
      <c r="AG741" s="69" t="e" cm="1">
        <f t="array" ref="AG741">_xlfn.XLOOKUP(Table1[[#This Row],[5 cm2 cell test code]:[5 cm2 cell test code]],[1]!Table1[[Test code]:[Test code]],[1]!Table1[Q_int_frac DIW],"",0)</f>
        <v>#REF!</v>
      </c>
      <c r="AH741" s="69" t="e" cm="1">
        <f t="array" ref="AH741">_xlfn.XLOOKUP(Table1[[#This Row],[5 cm2 cell test code]:[5 cm2 cell test code]],[1]!Table1[[Test code]:[Test code]],[1]!Table1[Ionic resistance 10 mM KOH/Ohm cm2],"",0)</f>
        <v>#REF!</v>
      </c>
      <c r="AI741" s="69" t="e" cm="1">
        <f t="array" ref="AI741">_xlfn.XLOOKUP(Table1[[#This Row],[5 cm2 cell test code]:[5 cm2 cell test code]],[1]!Table1[[Test code]:[Test code]],[1]!Table1[Q_int_frac DIW 10 mM KOH],"",0)</f>
        <v>#REF!</v>
      </c>
      <c r="AJ741" s="69" t="e" cm="1">
        <f t="array" ref="AJ741">_xlfn.XLOOKUP(Table1[[#This Row],[5 cm2 cell test code]:[5 cm2 cell test code]],[1]!Table1[[Test code]:[Test code]],[1]!Table1[DIW conductivity (µS/cm)],"",0)</f>
        <v>#REF!</v>
      </c>
    </row>
    <row r="742" spans="1:36">
      <c r="A742" s="81"/>
      <c r="U742" s="101"/>
      <c r="V742" s="101"/>
      <c r="W742" s="69" t="e" cm="1">
        <f t="array" ref="W742">_xlfn.XLOOKUP(Table1[[#This Row],[5 cm2 cell test code]:[5 cm2 cell test code]],[1]!Table1[[Test code]:[Test code]],[1]!Table1[i @ 1.8 V DIW (A/cm2)],"",0)</f>
        <v>#REF!</v>
      </c>
      <c r="X742" s="69" t="e" cm="1">
        <f t="array" ref="X742">_xlfn.XLOOKUP(Table1[[#This Row],[5 cm2 cell test code]:[5 cm2 cell test code]],[1]!Table1[[Test code]:[Test code]],[1]!Table1[i @ 1.8 V 10 mM KOH (A/cm2)],"",0)</f>
        <v>#REF!</v>
      </c>
      <c r="Y742" s="69" t="e" cm="1">
        <f t="array" ref="Y742">_xlfn.XLOOKUP(Table1[[#This Row],[5 cm2 cell test code]:[5 cm2 cell test code]],[1]!Table1[[Test code]:[Test code]],[1]!Table1[3-E ƞ at 20mAcm-2 (mV)],"",0)</f>
        <v>#REF!</v>
      </c>
      <c r="Z742" s="69" t="e" cm="1">
        <f t="array" ref="Z742">_xlfn.XLOOKUP(Table1[[#This Row],[5 cm2 cell test code]:[5 cm2 cell test code]],[1]!Table1[[Test code]:[Test code]],[1]!Table1[3-E Tafel slope (mV/dec)],"",0)</f>
        <v>#REF!</v>
      </c>
      <c r="AA742" s="69" t="e" cm="1">
        <f t="array" ref="AA742">_xlfn.XLOOKUP(Table1[[#This Row],[5 cm2 cell test code]:[5 cm2 cell test code]],[1]!Table1[[Test code]:[Test code]],[1]!Table1[E @ 100 mA/cm2 DIW/V],"",0)</f>
        <v>#REF!</v>
      </c>
      <c r="AB742" s="69" t="e" cm="1">
        <f t="array" ref="AB742">_xlfn.XLOOKUP(Table1[[#This Row],[5 cm2 cell test code]:[5 cm2 cell test code]],[1]!Table1[[Test code]:[Test code]],[1]!Table1[E @ 100 mA/cm2 10 mM KOH/V],"",0)</f>
        <v>#REF!</v>
      </c>
      <c r="AC742" s="69" t="e" cm="1">
        <f t="array" ref="AC742">_xlfn.XLOOKUP(Table1[[#This Row],[5 cm2 cell test code]:[5 cm2 cell test code]],[1]!Table1[[Test code]:[Test code]],[1]!Table1[Anode ICR/mOhm],"",0)</f>
        <v>#REF!</v>
      </c>
      <c r="AD742" s="69" t="e" cm="1">
        <f t="array" ref="AD742">_xlfn.XLOOKUP(Table1[[#This Row],[5 cm2 cell test code]:[5 cm2 cell test code]],[1]!Table1[[Test code]:[Test code]],[1]!Table1[HFR DIW/ mOhm cm2],"",0)</f>
        <v>#REF!</v>
      </c>
      <c r="AE742" s="69" t="e" cm="1">
        <f t="array" ref="AE742">_xlfn.XLOOKUP(Table1[[#This Row],[5 cm2 cell test code]:[5 cm2 cell test code]],[1]!Table1[[Test code]:[Test code]],[1]!Table1[HFR 10 mM KOH/ mOhm cm2],"",0)</f>
        <v>#REF!</v>
      </c>
      <c r="AF742" s="69" t="e" cm="1">
        <f t="array" ref="AF742">_xlfn.XLOOKUP(Table1[[#This Row],[5 cm2 cell test code]:[5 cm2 cell test code]],[1]!Table1[[Test code]:[Test code]],[1]!Table1[Ionic resistance DIW/Ohm cm2],"",0)</f>
        <v>#REF!</v>
      </c>
      <c r="AG742" s="69" t="e" cm="1">
        <f t="array" ref="AG742">_xlfn.XLOOKUP(Table1[[#This Row],[5 cm2 cell test code]:[5 cm2 cell test code]],[1]!Table1[[Test code]:[Test code]],[1]!Table1[Q_int_frac DIW],"",0)</f>
        <v>#REF!</v>
      </c>
      <c r="AH742" s="69" t="e" cm="1">
        <f t="array" ref="AH742">_xlfn.XLOOKUP(Table1[[#This Row],[5 cm2 cell test code]:[5 cm2 cell test code]],[1]!Table1[[Test code]:[Test code]],[1]!Table1[Ionic resistance 10 mM KOH/Ohm cm2],"",0)</f>
        <v>#REF!</v>
      </c>
      <c r="AI742" s="69" t="e" cm="1">
        <f t="array" ref="AI742">_xlfn.XLOOKUP(Table1[[#This Row],[5 cm2 cell test code]:[5 cm2 cell test code]],[1]!Table1[[Test code]:[Test code]],[1]!Table1[Q_int_frac DIW 10 mM KOH],"",0)</f>
        <v>#REF!</v>
      </c>
      <c r="AJ742" s="69" t="e" cm="1">
        <f t="array" ref="AJ742">_xlfn.XLOOKUP(Table1[[#This Row],[5 cm2 cell test code]:[5 cm2 cell test code]],[1]!Table1[[Test code]:[Test code]],[1]!Table1[DIW conductivity (µS/cm)],"",0)</f>
        <v>#REF!</v>
      </c>
    </row>
    <row r="743" spans="1:36">
      <c r="A743" s="81"/>
      <c r="U743" s="101"/>
      <c r="V743" s="101"/>
      <c r="W743" s="69" t="e" cm="1">
        <f t="array" ref="W743">_xlfn.XLOOKUP(Table1[[#This Row],[5 cm2 cell test code]:[5 cm2 cell test code]],[1]!Table1[[Test code]:[Test code]],[1]!Table1[i @ 1.8 V DIW (A/cm2)],"",0)</f>
        <v>#REF!</v>
      </c>
      <c r="X743" s="69" t="e" cm="1">
        <f t="array" ref="X743">_xlfn.XLOOKUP(Table1[[#This Row],[5 cm2 cell test code]:[5 cm2 cell test code]],[1]!Table1[[Test code]:[Test code]],[1]!Table1[i @ 1.8 V 10 mM KOH (A/cm2)],"",0)</f>
        <v>#REF!</v>
      </c>
      <c r="Y743" s="69" t="e" cm="1">
        <f t="array" ref="Y743">_xlfn.XLOOKUP(Table1[[#This Row],[5 cm2 cell test code]:[5 cm2 cell test code]],[1]!Table1[[Test code]:[Test code]],[1]!Table1[3-E ƞ at 20mAcm-2 (mV)],"",0)</f>
        <v>#REF!</v>
      </c>
      <c r="Z743" s="69" t="e" cm="1">
        <f t="array" ref="Z743">_xlfn.XLOOKUP(Table1[[#This Row],[5 cm2 cell test code]:[5 cm2 cell test code]],[1]!Table1[[Test code]:[Test code]],[1]!Table1[3-E Tafel slope (mV/dec)],"",0)</f>
        <v>#REF!</v>
      </c>
      <c r="AA743" s="69" t="e" cm="1">
        <f t="array" ref="AA743">_xlfn.XLOOKUP(Table1[[#This Row],[5 cm2 cell test code]:[5 cm2 cell test code]],[1]!Table1[[Test code]:[Test code]],[1]!Table1[E @ 100 mA/cm2 DIW/V],"",0)</f>
        <v>#REF!</v>
      </c>
      <c r="AB743" s="69" t="e" cm="1">
        <f t="array" ref="AB743">_xlfn.XLOOKUP(Table1[[#This Row],[5 cm2 cell test code]:[5 cm2 cell test code]],[1]!Table1[[Test code]:[Test code]],[1]!Table1[E @ 100 mA/cm2 10 mM KOH/V],"",0)</f>
        <v>#REF!</v>
      </c>
      <c r="AC743" s="69" t="e" cm="1">
        <f t="array" ref="AC743">_xlfn.XLOOKUP(Table1[[#This Row],[5 cm2 cell test code]:[5 cm2 cell test code]],[1]!Table1[[Test code]:[Test code]],[1]!Table1[Anode ICR/mOhm],"",0)</f>
        <v>#REF!</v>
      </c>
      <c r="AD743" s="69" t="e" cm="1">
        <f t="array" ref="AD743">_xlfn.XLOOKUP(Table1[[#This Row],[5 cm2 cell test code]:[5 cm2 cell test code]],[1]!Table1[[Test code]:[Test code]],[1]!Table1[HFR DIW/ mOhm cm2],"",0)</f>
        <v>#REF!</v>
      </c>
      <c r="AE743" s="69" t="e" cm="1">
        <f t="array" ref="AE743">_xlfn.XLOOKUP(Table1[[#This Row],[5 cm2 cell test code]:[5 cm2 cell test code]],[1]!Table1[[Test code]:[Test code]],[1]!Table1[HFR 10 mM KOH/ mOhm cm2],"",0)</f>
        <v>#REF!</v>
      </c>
      <c r="AF743" s="69" t="e" cm="1">
        <f t="array" ref="AF743">_xlfn.XLOOKUP(Table1[[#This Row],[5 cm2 cell test code]:[5 cm2 cell test code]],[1]!Table1[[Test code]:[Test code]],[1]!Table1[Ionic resistance DIW/Ohm cm2],"",0)</f>
        <v>#REF!</v>
      </c>
      <c r="AG743" s="69" t="e" cm="1">
        <f t="array" ref="AG743">_xlfn.XLOOKUP(Table1[[#This Row],[5 cm2 cell test code]:[5 cm2 cell test code]],[1]!Table1[[Test code]:[Test code]],[1]!Table1[Q_int_frac DIW],"",0)</f>
        <v>#REF!</v>
      </c>
      <c r="AH743" s="69" t="e" cm="1">
        <f t="array" ref="AH743">_xlfn.XLOOKUP(Table1[[#This Row],[5 cm2 cell test code]:[5 cm2 cell test code]],[1]!Table1[[Test code]:[Test code]],[1]!Table1[Ionic resistance 10 mM KOH/Ohm cm2],"",0)</f>
        <v>#REF!</v>
      </c>
      <c r="AI743" s="69" t="e" cm="1">
        <f t="array" ref="AI743">_xlfn.XLOOKUP(Table1[[#This Row],[5 cm2 cell test code]:[5 cm2 cell test code]],[1]!Table1[[Test code]:[Test code]],[1]!Table1[Q_int_frac DIW 10 mM KOH],"",0)</f>
        <v>#REF!</v>
      </c>
      <c r="AJ743" s="69" t="e" cm="1">
        <f t="array" ref="AJ743">_xlfn.XLOOKUP(Table1[[#This Row],[5 cm2 cell test code]:[5 cm2 cell test code]],[1]!Table1[[Test code]:[Test code]],[1]!Table1[DIW conductivity (µS/cm)],"",0)</f>
        <v>#REF!</v>
      </c>
    </row>
    <row r="744" spans="1:36">
      <c r="A744" s="81"/>
      <c r="U744" s="101"/>
      <c r="V744" s="101"/>
      <c r="W744" s="69" t="e" cm="1">
        <f t="array" ref="W744">_xlfn.XLOOKUP(Table1[[#This Row],[5 cm2 cell test code]:[5 cm2 cell test code]],[1]!Table1[[Test code]:[Test code]],[1]!Table1[i @ 1.8 V DIW (A/cm2)],"",0)</f>
        <v>#REF!</v>
      </c>
      <c r="X744" s="69" t="e" cm="1">
        <f t="array" ref="X744">_xlfn.XLOOKUP(Table1[[#This Row],[5 cm2 cell test code]:[5 cm2 cell test code]],[1]!Table1[[Test code]:[Test code]],[1]!Table1[i @ 1.8 V 10 mM KOH (A/cm2)],"",0)</f>
        <v>#REF!</v>
      </c>
      <c r="Y744" s="69" t="e" cm="1">
        <f t="array" ref="Y744">_xlfn.XLOOKUP(Table1[[#This Row],[5 cm2 cell test code]:[5 cm2 cell test code]],[1]!Table1[[Test code]:[Test code]],[1]!Table1[3-E ƞ at 20mAcm-2 (mV)],"",0)</f>
        <v>#REF!</v>
      </c>
      <c r="Z744" s="69" t="e" cm="1">
        <f t="array" ref="Z744">_xlfn.XLOOKUP(Table1[[#This Row],[5 cm2 cell test code]:[5 cm2 cell test code]],[1]!Table1[[Test code]:[Test code]],[1]!Table1[3-E Tafel slope (mV/dec)],"",0)</f>
        <v>#REF!</v>
      </c>
      <c r="AA744" s="69" t="e" cm="1">
        <f t="array" ref="AA744">_xlfn.XLOOKUP(Table1[[#This Row],[5 cm2 cell test code]:[5 cm2 cell test code]],[1]!Table1[[Test code]:[Test code]],[1]!Table1[E @ 100 mA/cm2 DIW/V],"",0)</f>
        <v>#REF!</v>
      </c>
      <c r="AB744" s="69" t="e" cm="1">
        <f t="array" ref="AB744">_xlfn.XLOOKUP(Table1[[#This Row],[5 cm2 cell test code]:[5 cm2 cell test code]],[1]!Table1[[Test code]:[Test code]],[1]!Table1[E @ 100 mA/cm2 10 mM KOH/V],"",0)</f>
        <v>#REF!</v>
      </c>
      <c r="AC744" s="69" t="e" cm="1">
        <f t="array" ref="AC744">_xlfn.XLOOKUP(Table1[[#This Row],[5 cm2 cell test code]:[5 cm2 cell test code]],[1]!Table1[[Test code]:[Test code]],[1]!Table1[Anode ICR/mOhm],"",0)</f>
        <v>#REF!</v>
      </c>
      <c r="AD744" s="69" t="e" cm="1">
        <f t="array" ref="AD744">_xlfn.XLOOKUP(Table1[[#This Row],[5 cm2 cell test code]:[5 cm2 cell test code]],[1]!Table1[[Test code]:[Test code]],[1]!Table1[HFR DIW/ mOhm cm2],"",0)</f>
        <v>#REF!</v>
      </c>
      <c r="AE744" s="69" t="e" cm="1">
        <f t="array" ref="AE744">_xlfn.XLOOKUP(Table1[[#This Row],[5 cm2 cell test code]:[5 cm2 cell test code]],[1]!Table1[[Test code]:[Test code]],[1]!Table1[HFR 10 mM KOH/ mOhm cm2],"",0)</f>
        <v>#REF!</v>
      </c>
      <c r="AF744" s="69" t="e" cm="1">
        <f t="array" ref="AF744">_xlfn.XLOOKUP(Table1[[#This Row],[5 cm2 cell test code]:[5 cm2 cell test code]],[1]!Table1[[Test code]:[Test code]],[1]!Table1[Ionic resistance DIW/Ohm cm2],"",0)</f>
        <v>#REF!</v>
      </c>
      <c r="AG744" s="69" t="e" cm="1">
        <f t="array" ref="AG744">_xlfn.XLOOKUP(Table1[[#This Row],[5 cm2 cell test code]:[5 cm2 cell test code]],[1]!Table1[[Test code]:[Test code]],[1]!Table1[Q_int_frac DIW],"",0)</f>
        <v>#REF!</v>
      </c>
      <c r="AH744" s="69" t="e" cm="1">
        <f t="array" ref="AH744">_xlfn.XLOOKUP(Table1[[#This Row],[5 cm2 cell test code]:[5 cm2 cell test code]],[1]!Table1[[Test code]:[Test code]],[1]!Table1[Ionic resistance 10 mM KOH/Ohm cm2],"",0)</f>
        <v>#REF!</v>
      </c>
      <c r="AI744" s="69" t="e" cm="1">
        <f t="array" ref="AI744">_xlfn.XLOOKUP(Table1[[#This Row],[5 cm2 cell test code]:[5 cm2 cell test code]],[1]!Table1[[Test code]:[Test code]],[1]!Table1[Q_int_frac DIW 10 mM KOH],"",0)</f>
        <v>#REF!</v>
      </c>
      <c r="AJ744" s="69" t="e" cm="1">
        <f t="array" ref="AJ744">_xlfn.XLOOKUP(Table1[[#This Row],[5 cm2 cell test code]:[5 cm2 cell test code]],[1]!Table1[[Test code]:[Test code]],[1]!Table1[DIW conductivity (µS/cm)],"",0)</f>
        <v>#REF!</v>
      </c>
    </row>
    <row r="745" spans="1:36">
      <c r="A745" s="81"/>
      <c r="U745" s="101"/>
      <c r="V745" s="101"/>
      <c r="W745" s="69" t="e" cm="1">
        <f t="array" ref="W745">_xlfn.XLOOKUP(Table1[[#This Row],[5 cm2 cell test code]:[5 cm2 cell test code]],[1]!Table1[[Test code]:[Test code]],[1]!Table1[i @ 1.8 V DIW (A/cm2)],"",0)</f>
        <v>#REF!</v>
      </c>
      <c r="X745" s="69" t="e" cm="1">
        <f t="array" ref="X745">_xlfn.XLOOKUP(Table1[[#This Row],[5 cm2 cell test code]:[5 cm2 cell test code]],[1]!Table1[[Test code]:[Test code]],[1]!Table1[i @ 1.8 V 10 mM KOH (A/cm2)],"",0)</f>
        <v>#REF!</v>
      </c>
      <c r="Y745" s="69" t="e" cm="1">
        <f t="array" ref="Y745">_xlfn.XLOOKUP(Table1[[#This Row],[5 cm2 cell test code]:[5 cm2 cell test code]],[1]!Table1[[Test code]:[Test code]],[1]!Table1[3-E ƞ at 20mAcm-2 (mV)],"",0)</f>
        <v>#REF!</v>
      </c>
      <c r="Z745" s="69" t="e" cm="1">
        <f t="array" ref="Z745">_xlfn.XLOOKUP(Table1[[#This Row],[5 cm2 cell test code]:[5 cm2 cell test code]],[1]!Table1[[Test code]:[Test code]],[1]!Table1[3-E Tafel slope (mV/dec)],"",0)</f>
        <v>#REF!</v>
      </c>
      <c r="AA745" s="69" t="e" cm="1">
        <f t="array" ref="AA745">_xlfn.XLOOKUP(Table1[[#This Row],[5 cm2 cell test code]:[5 cm2 cell test code]],[1]!Table1[[Test code]:[Test code]],[1]!Table1[E @ 100 mA/cm2 DIW/V],"",0)</f>
        <v>#REF!</v>
      </c>
      <c r="AB745" s="69" t="e" cm="1">
        <f t="array" ref="AB745">_xlfn.XLOOKUP(Table1[[#This Row],[5 cm2 cell test code]:[5 cm2 cell test code]],[1]!Table1[[Test code]:[Test code]],[1]!Table1[E @ 100 mA/cm2 10 mM KOH/V],"",0)</f>
        <v>#REF!</v>
      </c>
      <c r="AC745" s="69" t="e" cm="1">
        <f t="array" ref="AC745">_xlfn.XLOOKUP(Table1[[#This Row],[5 cm2 cell test code]:[5 cm2 cell test code]],[1]!Table1[[Test code]:[Test code]],[1]!Table1[Anode ICR/mOhm],"",0)</f>
        <v>#REF!</v>
      </c>
      <c r="AD745" s="69" t="e" cm="1">
        <f t="array" ref="AD745">_xlfn.XLOOKUP(Table1[[#This Row],[5 cm2 cell test code]:[5 cm2 cell test code]],[1]!Table1[[Test code]:[Test code]],[1]!Table1[HFR DIW/ mOhm cm2],"",0)</f>
        <v>#REF!</v>
      </c>
      <c r="AE745" s="69" t="e" cm="1">
        <f t="array" ref="AE745">_xlfn.XLOOKUP(Table1[[#This Row],[5 cm2 cell test code]:[5 cm2 cell test code]],[1]!Table1[[Test code]:[Test code]],[1]!Table1[HFR 10 mM KOH/ mOhm cm2],"",0)</f>
        <v>#REF!</v>
      </c>
      <c r="AF745" s="69" t="e" cm="1">
        <f t="array" ref="AF745">_xlfn.XLOOKUP(Table1[[#This Row],[5 cm2 cell test code]:[5 cm2 cell test code]],[1]!Table1[[Test code]:[Test code]],[1]!Table1[Ionic resistance DIW/Ohm cm2],"",0)</f>
        <v>#REF!</v>
      </c>
      <c r="AG745" s="69" t="e" cm="1">
        <f t="array" ref="AG745">_xlfn.XLOOKUP(Table1[[#This Row],[5 cm2 cell test code]:[5 cm2 cell test code]],[1]!Table1[[Test code]:[Test code]],[1]!Table1[Q_int_frac DIW],"",0)</f>
        <v>#REF!</v>
      </c>
      <c r="AH745" s="69" t="e" cm="1">
        <f t="array" ref="AH745">_xlfn.XLOOKUP(Table1[[#This Row],[5 cm2 cell test code]:[5 cm2 cell test code]],[1]!Table1[[Test code]:[Test code]],[1]!Table1[Ionic resistance 10 mM KOH/Ohm cm2],"",0)</f>
        <v>#REF!</v>
      </c>
      <c r="AI745" s="69" t="e" cm="1">
        <f t="array" ref="AI745">_xlfn.XLOOKUP(Table1[[#This Row],[5 cm2 cell test code]:[5 cm2 cell test code]],[1]!Table1[[Test code]:[Test code]],[1]!Table1[Q_int_frac DIW 10 mM KOH],"",0)</f>
        <v>#REF!</v>
      </c>
      <c r="AJ745" s="69" t="e" cm="1">
        <f t="array" ref="AJ745">_xlfn.XLOOKUP(Table1[[#This Row],[5 cm2 cell test code]:[5 cm2 cell test code]],[1]!Table1[[Test code]:[Test code]],[1]!Table1[DIW conductivity (µS/cm)],"",0)</f>
        <v>#REF!</v>
      </c>
    </row>
    <row r="746" spans="1:36">
      <c r="A746" s="81"/>
      <c r="U746" s="101"/>
      <c r="V746" s="101"/>
      <c r="W746" s="69" t="e" cm="1">
        <f t="array" ref="W746">_xlfn.XLOOKUP(Table1[[#This Row],[5 cm2 cell test code]:[5 cm2 cell test code]],[1]!Table1[[Test code]:[Test code]],[1]!Table1[i @ 1.8 V DIW (A/cm2)],"",0)</f>
        <v>#REF!</v>
      </c>
      <c r="X746" s="69" t="e" cm="1">
        <f t="array" ref="X746">_xlfn.XLOOKUP(Table1[[#This Row],[5 cm2 cell test code]:[5 cm2 cell test code]],[1]!Table1[[Test code]:[Test code]],[1]!Table1[i @ 1.8 V 10 mM KOH (A/cm2)],"",0)</f>
        <v>#REF!</v>
      </c>
      <c r="Y746" s="69" t="e" cm="1">
        <f t="array" ref="Y746">_xlfn.XLOOKUP(Table1[[#This Row],[5 cm2 cell test code]:[5 cm2 cell test code]],[1]!Table1[[Test code]:[Test code]],[1]!Table1[3-E ƞ at 20mAcm-2 (mV)],"",0)</f>
        <v>#REF!</v>
      </c>
      <c r="Z746" s="69" t="e" cm="1">
        <f t="array" ref="Z746">_xlfn.XLOOKUP(Table1[[#This Row],[5 cm2 cell test code]:[5 cm2 cell test code]],[1]!Table1[[Test code]:[Test code]],[1]!Table1[3-E Tafel slope (mV/dec)],"",0)</f>
        <v>#REF!</v>
      </c>
      <c r="AA746" s="69" t="e" cm="1">
        <f t="array" ref="AA746">_xlfn.XLOOKUP(Table1[[#This Row],[5 cm2 cell test code]:[5 cm2 cell test code]],[1]!Table1[[Test code]:[Test code]],[1]!Table1[E @ 100 mA/cm2 DIW/V],"",0)</f>
        <v>#REF!</v>
      </c>
      <c r="AB746" s="69" t="e" cm="1">
        <f t="array" ref="AB746">_xlfn.XLOOKUP(Table1[[#This Row],[5 cm2 cell test code]:[5 cm2 cell test code]],[1]!Table1[[Test code]:[Test code]],[1]!Table1[E @ 100 mA/cm2 10 mM KOH/V],"",0)</f>
        <v>#REF!</v>
      </c>
      <c r="AC746" s="69" t="e" cm="1">
        <f t="array" ref="AC746">_xlfn.XLOOKUP(Table1[[#This Row],[5 cm2 cell test code]:[5 cm2 cell test code]],[1]!Table1[[Test code]:[Test code]],[1]!Table1[Anode ICR/mOhm],"",0)</f>
        <v>#REF!</v>
      </c>
      <c r="AD746" s="69" t="e" cm="1">
        <f t="array" ref="AD746">_xlfn.XLOOKUP(Table1[[#This Row],[5 cm2 cell test code]:[5 cm2 cell test code]],[1]!Table1[[Test code]:[Test code]],[1]!Table1[HFR DIW/ mOhm cm2],"",0)</f>
        <v>#REF!</v>
      </c>
      <c r="AE746" s="69" t="e" cm="1">
        <f t="array" ref="AE746">_xlfn.XLOOKUP(Table1[[#This Row],[5 cm2 cell test code]:[5 cm2 cell test code]],[1]!Table1[[Test code]:[Test code]],[1]!Table1[HFR 10 mM KOH/ mOhm cm2],"",0)</f>
        <v>#REF!</v>
      </c>
      <c r="AF746" s="69" t="e" cm="1">
        <f t="array" ref="AF746">_xlfn.XLOOKUP(Table1[[#This Row],[5 cm2 cell test code]:[5 cm2 cell test code]],[1]!Table1[[Test code]:[Test code]],[1]!Table1[Ionic resistance DIW/Ohm cm2],"",0)</f>
        <v>#REF!</v>
      </c>
      <c r="AG746" s="69" t="e" cm="1">
        <f t="array" ref="AG746">_xlfn.XLOOKUP(Table1[[#This Row],[5 cm2 cell test code]:[5 cm2 cell test code]],[1]!Table1[[Test code]:[Test code]],[1]!Table1[Q_int_frac DIW],"",0)</f>
        <v>#REF!</v>
      </c>
      <c r="AH746" s="69" t="e" cm="1">
        <f t="array" ref="AH746">_xlfn.XLOOKUP(Table1[[#This Row],[5 cm2 cell test code]:[5 cm2 cell test code]],[1]!Table1[[Test code]:[Test code]],[1]!Table1[Ionic resistance 10 mM KOH/Ohm cm2],"",0)</f>
        <v>#REF!</v>
      </c>
      <c r="AI746" s="69" t="e" cm="1">
        <f t="array" ref="AI746">_xlfn.XLOOKUP(Table1[[#This Row],[5 cm2 cell test code]:[5 cm2 cell test code]],[1]!Table1[[Test code]:[Test code]],[1]!Table1[Q_int_frac DIW 10 mM KOH],"",0)</f>
        <v>#REF!</v>
      </c>
      <c r="AJ746" s="69" t="e" cm="1">
        <f t="array" ref="AJ746">_xlfn.XLOOKUP(Table1[[#This Row],[5 cm2 cell test code]:[5 cm2 cell test code]],[1]!Table1[[Test code]:[Test code]],[1]!Table1[DIW conductivity (µS/cm)],"",0)</f>
        <v>#REF!</v>
      </c>
    </row>
    <row r="747" spans="1:36">
      <c r="A747" s="81"/>
      <c r="U747" s="101"/>
      <c r="V747" s="101"/>
      <c r="W747" s="69" t="e" cm="1">
        <f t="array" ref="W747">_xlfn.XLOOKUP(Table1[[#This Row],[5 cm2 cell test code]:[5 cm2 cell test code]],[1]!Table1[[Test code]:[Test code]],[1]!Table1[i @ 1.8 V DIW (A/cm2)],"",0)</f>
        <v>#REF!</v>
      </c>
      <c r="X747" s="69" t="e" cm="1">
        <f t="array" ref="X747">_xlfn.XLOOKUP(Table1[[#This Row],[5 cm2 cell test code]:[5 cm2 cell test code]],[1]!Table1[[Test code]:[Test code]],[1]!Table1[i @ 1.8 V 10 mM KOH (A/cm2)],"",0)</f>
        <v>#REF!</v>
      </c>
      <c r="Y747" s="69" t="e" cm="1">
        <f t="array" ref="Y747">_xlfn.XLOOKUP(Table1[[#This Row],[5 cm2 cell test code]:[5 cm2 cell test code]],[1]!Table1[[Test code]:[Test code]],[1]!Table1[3-E ƞ at 20mAcm-2 (mV)],"",0)</f>
        <v>#REF!</v>
      </c>
      <c r="Z747" s="69" t="e" cm="1">
        <f t="array" ref="Z747">_xlfn.XLOOKUP(Table1[[#This Row],[5 cm2 cell test code]:[5 cm2 cell test code]],[1]!Table1[[Test code]:[Test code]],[1]!Table1[3-E Tafel slope (mV/dec)],"",0)</f>
        <v>#REF!</v>
      </c>
      <c r="AA747" s="69" t="e" cm="1">
        <f t="array" ref="AA747">_xlfn.XLOOKUP(Table1[[#This Row],[5 cm2 cell test code]:[5 cm2 cell test code]],[1]!Table1[[Test code]:[Test code]],[1]!Table1[E @ 100 mA/cm2 DIW/V],"",0)</f>
        <v>#REF!</v>
      </c>
      <c r="AB747" s="69" t="e" cm="1">
        <f t="array" ref="AB747">_xlfn.XLOOKUP(Table1[[#This Row],[5 cm2 cell test code]:[5 cm2 cell test code]],[1]!Table1[[Test code]:[Test code]],[1]!Table1[E @ 100 mA/cm2 10 mM KOH/V],"",0)</f>
        <v>#REF!</v>
      </c>
      <c r="AC747" s="69" t="e" cm="1">
        <f t="array" ref="AC747">_xlfn.XLOOKUP(Table1[[#This Row],[5 cm2 cell test code]:[5 cm2 cell test code]],[1]!Table1[[Test code]:[Test code]],[1]!Table1[Anode ICR/mOhm],"",0)</f>
        <v>#REF!</v>
      </c>
      <c r="AD747" s="69" t="e" cm="1">
        <f t="array" ref="AD747">_xlfn.XLOOKUP(Table1[[#This Row],[5 cm2 cell test code]:[5 cm2 cell test code]],[1]!Table1[[Test code]:[Test code]],[1]!Table1[HFR DIW/ mOhm cm2],"",0)</f>
        <v>#REF!</v>
      </c>
      <c r="AE747" s="69" t="e" cm="1">
        <f t="array" ref="AE747">_xlfn.XLOOKUP(Table1[[#This Row],[5 cm2 cell test code]:[5 cm2 cell test code]],[1]!Table1[[Test code]:[Test code]],[1]!Table1[HFR 10 mM KOH/ mOhm cm2],"",0)</f>
        <v>#REF!</v>
      </c>
      <c r="AF747" s="69" t="e" cm="1">
        <f t="array" ref="AF747">_xlfn.XLOOKUP(Table1[[#This Row],[5 cm2 cell test code]:[5 cm2 cell test code]],[1]!Table1[[Test code]:[Test code]],[1]!Table1[Ionic resistance DIW/Ohm cm2],"",0)</f>
        <v>#REF!</v>
      </c>
      <c r="AG747" s="69" t="e" cm="1">
        <f t="array" ref="AG747">_xlfn.XLOOKUP(Table1[[#This Row],[5 cm2 cell test code]:[5 cm2 cell test code]],[1]!Table1[[Test code]:[Test code]],[1]!Table1[Q_int_frac DIW],"",0)</f>
        <v>#REF!</v>
      </c>
      <c r="AH747" s="69" t="e" cm="1">
        <f t="array" ref="AH747">_xlfn.XLOOKUP(Table1[[#This Row],[5 cm2 cell test code]:[5 cm2 cell test code]],[1]!Table1[[Test code]:[Test code]],[1]!Table1[Ionic resistance 10 mM KOH/Ohm cm2],"",0)</f>
        <v>#REF!</v>
      </c>
      <c r="AI747" s="69" t="e" cm="1">
        <f t="array" ref="AI747">_xlfn.XLOOKUP(Table1[[#This Row],[5 cm2 cell test code]:[5 cm2 cell test code]],[1]!Table1[[Test code]:[Test code]],[1]!Table1[Q_int_frac DIW 10 mM KOH],"",0)</f>
        <v>#REF!</v>
      </c>
      <c r="AJ747" s="69" t="e" cm="1">
        <f t="array" ref="AJ747">_xlfn.XLOOKUP(Table1[[#This Row],[5 cm2 cell test code]:[5 cm2 cell test code]],[1]!Table1[[Test code]:[Test code]],[1]!Table1[DIW conductivity (µS/cm)],"",0)</f>
        <v>#REF!</v>
      </c>
    </row>
    <row r="748" spans="1:36">
      <c r="A748" s="81"/>
      <c r="U748" s="101"/>
      <c r="V748" s="101"/>
      <c r="W748" s="69" t="e" cm="1">
        <f t="array" ref="W748">_xlfn.XLOOKUP(Table1[[#This Row],[5 cm2 cell test code]:[5 cm2 cell test code]],[1]!Table1[[Test code]:[Test code]],[1]!Table1[i @ 1.8 V DIW (A/cm2)],"",0)</f>
        <v>#REF!</v>
      </c>
      <c r="X748" s="69" t="e" cm="1">
        <f t="array" ref="X748">_xlfn.XLOOKUP(Table1[[#This Row],[5 cm2 cell test code]:[5 cm2 cell test code]],[1]!Table1[[Test code]:[Test code]],[1]!Table1[i @ 1.8 V 10 mM KOH (A/cm2)],"",0)</f>
        <v>#REF!</v>
      </c>
      <c r="Y748" s="69" t="e" cm="1">
        <f t="array" ref="Y748">_xlfn.XLOOKUP(Table1[[#This Row],[5 cm2 cell test code]:[5 cm2 cell test code]],[1]!Table1[[Test code]:[Test code]],[1]!Table1[3-E ƞ at 20mAcm-2 (mV)],"",0)</f>
        <v>#REF!</v>
      </c>
      <c r="Z748" s="69" t="e" cm="1">
        <f t="array" ref="Z748">_xlfn.XLOOKUP(Table1[[#This Row],[5 cm2 cell test code]:[5 cm2 cell test code]],[1]!Table1[[Test code]:[Test code]],[1]!Table1[3-E Tafel slope (mV/dec)],"",0)</f>
        <v>#REF!</v>
      </c>
      <c r="AA748" s="69" t="e" cm="1">
        <f t="array" ref="AA748">_xlfn.XLOOKUP(Table1[[#This Row],[5 cm2 cell test code]:[5 cm2 cell test code]],[1]!Table1[[Test code]:[Test code]],[1]!Table1[E @ 100 mA/cm2 DIW/V],"",0)</f>
        <v>#REF!</v>
      </c>
      <c r="AB748" s="69" t="e" cm="1">
        <f t="array" ref="AB748">_xlfn.XLOOKUP(Table1[[#This Row],[5 cm2 cell test code]:[5 cm2 cell test code]],[1]!Table1[[Test code]:[Test code]],[1]!Table1[E @ 100 mA/cm2 10 mM KOH/V],"",0)</f>
        <v>#REF!</v>
      </c>
      <c r="AC748" s="69" t="e" cm="1">
        <f t="array" ref="AC748">_xlfn.XLOOKUP(Table1[[#This Row],[5 cm2 cell test code]:[5 cm2 cell test code]],[1]!Table1[[Test code]:[Test code]],[1]!Table1[Anode ICR/mOhm],"",0)</f>
        <v>#REF!</v>
      </c>
      <c r="AD748" s="69" t="e" cm="1">
        <f t="array" ref="AD748">_xlfn.XLOOKUP(Table1[[#This Row],[5 cm2 cell test code]:[5 cm2 cell test code]],[1]!Table1[[Test code]:[Test code]],[1]!Table1[HFR DIW/ mOhm cm2],"",0)</f>
        <v>#REF!</v>
      </c>
      <c r="AE748" s="69" t="e" cm="1">
        <f t="array" ref="AE748">_xlfn.XLOOKUP(Table1[[#This Row],[5 cm2 cell test code]:[5 cm2 cell test code]],[1]!Table1[[Test code]:[Test code]],[1]!Table1[HFR 10 mM KOH/ mOhm cm2],"",0)</f>
        <v>#REF!</v>
      </c>
      <c r="AF748" s="69" t="e" cm="1">
        <f t="array" ref="AF748">_xlfn.XLOOKUP(Table1[[#This Row],[5 cm2 cell test code]:[5 cm2 cell test code]],[1]!Table1[[Test code]:[Test code]],[1]!Table1[Ionic resistance DIW/Ohm cm2],"",0)</f>
        <v>#REF!</v>
      </c>
      <c r="AG748" s="69" t="e" cm="1">
        <f t="array" ref="AG748">_xlfn.XLOOKUP(Table1[[#This Row],[5 cm2 cell test code]:[5 cm2 cell test code]],[1]!Table1[[Test code]:[Test code]],[1]!Table1[Q_int_frac DIW],"",0)</f>
        <v>#REF!</v>
      </c>
      <c r="AH748" s="69" t="e" cm="1">
        <f t="array" ref="AH748">_xlfn.XLOOKUP(Table1[[#This Row],[5 cm2 cell test code]:[5 cm2 cell test code]],[1]!Table1[[Test code]:[Test code]],[1]!Table1[Ionic resistance 10 mM KOH/Ohm cm2],"",0)</f>
        <v>#REF!</v>
      </c>
      <c r="AI748" s="69" t="e" cm="1">
        <f t="array" ref="AI748">_xlfn.XLOOKUP(Table1[[#This Row],[5 cm2 cell test code]:[5 cm2 cell test code]],[1]!Table1[[Test code]:[Test code]],[1]!Table1[Q_int_frac DIW 10 mM KOH],"",0)</f>
        <v>#REF!</v>
      </c>
      <c r="AJ748" s="69" t="e" cm="1">
        <f t="array" ref="AJ748">_xlfn.XLOOKUP(Table1[[#This Row],[5 cm2 cell test code]:[5 cm2 cell test code]],[1]!Table1[[Test code]:[Test code]],[1]!Table1[DIW conductivity (µS/cm)],"",0)</f>
        <v>#REF!</v>
      </c>
    </row>
    <row r="749" spans="1:36">
      <c r="A749" s="81"/>
      <c r="U749" s="101"/>
      <c r="V749" s="101"/>
      <c r="W749" s="69" t="e" cm="1">
        <f t="array" ref="W749">_xlfn.XLOOKUP(Table1[[#This Row],[5 cm2 cell test code]:[5 cm2 cell test code]],[1]!Table1[[Test code]:[Test code]],[1]!Table1[i @ 1.8 V DIW (A/cm2)],"",0)</f>
        <v>#REF!</v>
      </c>
      <c r="X749" s="69" t="e" cm="1">
        <f t="array" ref="X749">_xlfn.XLOOKUP(Table1[[#This Row],[5 cm2 cell test code]:[5 cm2 cell test code]],[1]!Table1[[Test code]:[Test code]],[1]!Table1[i @ 1.8 V 10 mM KOH (A/cm2)],"",0)</f>
        <v>#REF!</v>
      </c>
      <c r="Y749" s="69" t="e" cm="1">
        <f t="array" ref="Y749">_xlfn.XLOOKUP(Table1[[#This Row],[5 cm2 cell test code]:[5 cm2 cell test code]],[1]!Table1[[Test code]:[Test code]],[1]!Table1[3-E ƞ at 20mAcm-2 (mV)],"",0)</f>
        <v>#REF!</v>
      </c>
      <c r="Z749" s="69" t="e" cm="1">
        <f t="array" ref="Z749">_xlfn.XLOOKUP(Table1[[#This Row],[5 cm2 cell test code]:[5 cm2 cell test code]],[1]!Table1[[Test code]:[Test code]],[1]!Table1[3-E Tafel slope (mV/dec)],"",0)</f>
        <v>#REF!</v>
      </c>
      <c r="AA749" s="69" t="e" cm="1">
        <f t="array" ref="AA749">_xlfn.XLOOKUP(Table1[[#This Row],[5 cm2 cell test code]:[5 cm2 cell test code]],[1]!Table1[[Test code]:[Test code]],[1]!Table1[E @ 100 mA/cm2 DIW/V],"",0)</f>
        <v>#REF!</v>
      </c>
      <c r="AB749" s="69" t="e" cm="1">
        <f t="array" ref="AB749">_xlfn.XLOOKUP(Table1[[#This Row],[5 cm2 cell test code]:[5 cm2 cell test code]],[1]!Table1[[Test code]:[Test code]],[1]!Table1[E @ 100 mA/cm2 10 mM KOH/V],"",0)</f>
        <v>#REF!</v>
      </c>
      <c r="AC749" s="69" t="e" cm="1">
        <f t="array" ref="AC749">_xlfn.XLOOKUP(Table1[[#This Row],[5 cm2 cell test code]:[5 cm2 cell test code]],[1]!Table1[[Test code]:[Test code]],[1]!Table1[Anode ICR/mOhm],"",0)</f>
        <v>#REF!</v>
      </c>
      <c r="AD749" s="69" t="e" cm="1">
        <f t="array" ref="AD749">_xlfn.XLOOKUP(Table1[[#This Row],[5 cm2 cell test code]:[5 cm2 cell test code]],[1]!Table1[[Test code]:[Test code]],[1]!Table1[HFR DIW/ mOhm cm2],"",0)</f>
        <v>#REF!</v>
      </c>
      <c r="AE749" s="69" t="e" cm="1">
        <f t="array" ref="AE749">_xlfn.XLOOKUP(Table1[[#This Row],[5 cm2 cell test code]:[5 cm2 cell test code]],[1]!Table1[[Test code]:[Test code]],[1]!Table1[HFR 10 mM KOH/ mOhm cm2],"",0)</f>
        <v>#REF!</v>
      </c>
      <c r="AF749" s="69" t="e" cm="1">
        <f t="array" ref="AF749">_xlfn.XLOOKUP(Table1[[#This Row],[5 cm2 cell test code]:[5 cm2 cell test code]],[1]!Table1[[Test code]:[Test code]],[1]!Table1[Ionic resistance DIW/Ohm cm2],"",0)</f>
        <v>#REF!</v>
      </c>
      <c r="AG749" s="69" t="e" cm="1">
        <f t="array" ref="AG749">_xlfn.XLOOKUP(Table1[[#This Row],[5 cm2 cell test code]:[5 cm2 cell test code]],[1]!Table1[[Test code]:[Test code]],[1]!Table1[Q_int_frac DIW],"",0)</f>
        <v>#REF!</v>
      </c>
      <c r="AH749" s="69" t="e" cm="1">
        <f t="array" ref="AH749">_xlfn.XLOOKUP(Table1[[#This Row],[5 cm2 cell test code]:[5 cm2 cell test code]],[1]!Table1[[Test code]:[Test code]],[1]!Table1[Ionic resistance 10 mM KOH/Ohm cm2],"",0)</f>
        <v>#REF!</v>
      </c>
      <c r="AI749" s="69" t="e" cm="1">
        <f t="array" ref="AI749">_xlfn.XLOOKUP(Table1[[#This Row],[5 cm2 cell test code]:[5 cm2 cell test code]],[1]!Table1[[Test code]:[Test code]],[1]!Table1[Q_int_frac DIW 10 mM KOH],"",0)</f>
        <v>#REF!</v>
      </c>
      <c r="AJ749" s="69" t="e" cm="1">
        <f t="array" ref="AJ749">_xlfn.XLOOKUP(Table1[[#This Row],[5 cm2 cell test code]:[5 cm2 cell test code]],[1]!Table1[[Test code]:[Test code]],[1]!Table1[DIW conductivity (µS/cm)],"",0)</f>
        <v>#REF!</v>
      </c>
    </row>
    <row r="750" spans="1:36">
      <c r="A750" s="81"/>
      <c r="U750" s="101"/>
      <c r="V750" s="101"/>
      <c r="W750" s="69" t="e" cm="1">
        <f t="array" ref="W750">_xlfn.XLOOKUP(Table1[[#This Row],[5 cm2 cell test code]:[5 cm2 cell test code]],[1]!Table1[[Test code]:[Test code]],[1]!Table1[i @ 1.8 V DIW (A/cm2)],"",0)</f>
        <v>#REF!</v>
      </c>
      <c r="X750" s="69" t="e" cm="1">
        <f t="array" ref="X750">_xlfn.XLOOKUP(Table1[[#This Row],[5 cm2 cell test code]:[5 cm2 cell test code]],[1]!Table1[[Test code]:[Test code]],[1]!Table1[i @ 1.8 V 10 mM KOH (A/cm2)],"",0)</f>
        <v>#REF!</v>
      </c>
      <c r="Y750" s="69" t="e" cm="1">
        <f t="array" ref="Y750">_xlfn.XLOOKUP(Table1[[#This Row],[5 cm2 cell test code]:[5 cm2 cell test code]],[1]!Table1[[Test code]:[Test code]],[1]!Table1[3-E ƞ at 20mAcm-2 (mV)],"",0)</f>
        <v>#REF!</v>
      </c>
      <c r="Z750" s="69" t="e" cm="1">
        <f t="array" ref="Z750">_xlfn.XLOOKUP(Table1[[#This Row],[5 cm2 cell test code]:[5 cm2 cell test code]],[1]!Table1[[Test code]:[Test code]],[1]!Table1[3-E Tafel slope (mV/dec)],"",0)</f>
        <v>#REF!</v>
      </c>
      <c r="AA750" s="69" t="e" cm="1">
        <f t="array" ref="AA750">_xlfn.XLOOKUP(Table1[[#This Row],[5 cm2 cell test code]:[5 cm2 cell test code]],[1]!Table1[[Test code]:[Test code]],[1]!Table1[E @ 100 mA/cm2 DIW/V],"",0)</f>
        <v>#REF!</v>
      </c>
      <c r="AB750" s="69" t="e" cm="1">
        <f t="array" ref="AB750">_xlfn.XLOOKUP(Table1[[#This Row],[5 cm2 cell test code]:[5 cm2 cell test code]],[1]!Table1[[Test code]:[Test code]],[1]!Table1[E @ 100 mA/cm2 10 mM KOH/V],"",0)</f>
        <v>#REF!</v>
      </c>
      <c r="AC750" s="69" t="e" cm="1">
        <f t="array" ref="AC750">_xlfn.XLOOKUP(Table1[[#This Row],[5 cm2 cell test code]:[5 cm2 cell test code]],[1]!Table1[[Test code]:[Test code]],[1]!Table1[Anode ICR/mOhm],"",0)</f>
        <v>#REF!</v>
      </c>
      <c r="AD750" s="69" t="e" cm="1">
        <f t="array" ref="AD750">_xlfn.XLOOKUP(Table1[[#This Row],[5 cm2 cell test code]:[5 cm2 cell test code]],[1]!Table1[[Test code]:[Test code]],[1]!Table1[HFR DIW/ mOhm cm2],"",0)</f>
        <v>#REF!</v>
      </c>
      <c r="AE750" s="69" t="e" cm="1">
        <f t="array" ref="AE750">_xlfn.XLOOKUP(Table1[[#This Row],[5 cm2 cell test code]:[5 cm2 cell test code]],[1]!Table1[[Test code]:[Test code]],[1]!Table1[HFR 10 mM KOH/ mOhm cm2],"",0)</f>
        <v>#REF!</v>
      </c>
      <c r="AF750" s="69" t="e" cm="1">
        <f t="array" ref="AF750">_xlfn.XLOOKUP(Table1[[#This Row],[5 cm2 cell test code]:[5 cm2 cell test code]],[1]!Table1[[Test code]:[Test code]],[1]!Table1[Ionic resistance DIW/Ohm cm2],"",0)</f>
        <v>#REF!</v>
      </c>
      <c r="AG750" s="69" t="e" cm="1">
        <f t="array" ref="AG750">_xlfn.XLOOKUP(Table1[[#This Row],[5 cm2 cell test code]:[5 cm2 cell test code]],[1]!Table1[[Test code]:[Test code]],[1]!Table1[Q_int_frac DIW],"",0)</f>
        <v>#REF!</v>
      </c>
      <c r="AH750" s="69" t="e" cm="1">
        <f t="array" ref="AH750">_xlfn.XLOOKUP(Table1[[#This Row],[5 cm2 cell test code]:[5 cm2 cell test code]],[1]!Table1[[Test code]:[Test code]],[1]!Table1[Ionic resistance 10 mM KOH/Ohm cm2],"",0)</f>
        <v>#REF!</v>
      </c>
      <c r="AI750" s="69" t="e" cm="1">
        <f t="array" ref="AI750">_xlfn.XLOOKUP(Table1[[#This Row],[5 cm2 cell test code]:[5 cm2 cell test code]],[1]!Table1[[Test code]:[Test code]],[1]!Table1[Q_int_frac DIW 10 mM KOH],"",0)</f>
        <v>#REF!</v>
      </c>
      <c r="AJ750" s="69" t="e" cm="1">
        <f t="array" ref="AJ750">_xlfn.XLOOKUP(Table1[[#This Row],[5 cm2 cell test code]:[5 cm2 cell test code]],[1]!Table1[[Test code]:[Test code]],[1]!Table1[DIW conductivity (µS/cm)],"",0)</f>
        <v>#REF!</v>
      </c>
    </row>
    <row r="751" spans="1:36">
      <c r="A751" s="81"/>
      <c r="U751" s="101"/>
      <c r="V751" s="101"/>
      <c r="W751" s="69" t="e" cm="1">
        <f t="array" ref="W751">_xlfn.XLOOKUP(Table1[[#This Row],[5 cm2 cell test code]:[5 cm2 cell test code]],[1]!Table1[[Test code]:[Test code]],[1]!Table1[i @ 1.8 V DIW (A/cm2)],"",0)</f>
        <v>#REF!</v>
      </c>
      <c r="X751" s="69" t="e" cm="1">
        <f t="array" ref="X751">_xlfn.XLOOKUP(Table1[[#This Row],[5 cm2 cell test code]:[5 cm2 cell test code]],[1]!Table1[[Test code]:[Test code]],[1]!Table1[i @ 1.8 V 10 mM KOH (A/cm2)],"",0)</f>
        <v>#REF!</v>
      </c>
      <c r="Y751" s="69" t="e" cm="1">
        <f t="array" ref="Y751">_xlfn.XLOOKUP(Table1[[#This Row],[5 cm2 cell test code]:[5 cm2 cell test code]],[1]!Table1[[Test code]:[Test code]],[1]!Table1[3-E ƞ at 20mAcm-2 (mV)],"",0)</f>
        <v>#REF!</v>
      </c>
      <c r="Z751" s="69" t="e" cm="1">
        <f t="array" ref="Z751">_xlfn.XLOOKUP(Table1[[#This Row],[5 cm2 cell test code]:[5 cm2 cell test code]],[1]!Table1[[Test code]:[Test code]],[1]!Table1[3-E Tafel slope (mV/dec)],"",0)</f>
        <v>#REF!</v>
      </c>
      <c r="AA751" s="69" t="e" cm="1">
        <f t="array" ref="AA751">_xlfn.XLOOKUP(Table1[[#This Row],[5 cm2 cell test code]:[5 cm2 cell test code]],[1]!Table1[[Test code]:[Test code]],[1]!Table1[E @ 100 mA/cm2 DIW/V],"",0)</f>
        <v>#REF!</v>
      </c>
      <c r="AB751" s="69" t="e" cm="1">
        <f t="array" ref="AB751">_xlfn.XLOOKUP(Table1[[#This Row],[5 cm2 cell test code]:[5 cm2 cell test code]],[1]!Table1[[Test code]:[Test code]],[1]!Table1[E @ 100 mA/cm2 10 mM KOH/V],"",0)</f>
        <v>#REF!</v>
      </c>
      <c r="AC751" s="69" t="e" cm="1">
        <f t="array" ref="AC751">_xlfn.XLOOKUP(Table1[[#This Row],[5 cm2 cell test code]:[5 cm2 cell test code]],[1]!Table1[[Test code]:[Test code]],[1]!Table1[Anode ICR/mOhm],"",0)</f>
        <v>#REF!</v>
      </c>
      <c r="AD751" s="69" t="e" cm="1">
        <f t="array" ref="AD751">_xlfn.XLOOKUP(Table1[[#This Row],[5 cm2 cell test code]:[5 cm2 cell test code]],[1]!Table1[[Test code]:[Test code]],[1]!Table1[HFR DIW/ mOhm cm2],"",0)</f>
        <v>#REF!</v>
      </c>
      <c r="AE751" s="69" t="e" cm="1">
        <f t="array" ref="AE751">_xlfn.XLOOKUP(Table1[[#This Row],[5 cm2 cell test code]:[5 cm2 cell test code]],[1]!Table1[[Test code]:[Test code]],[1]!Table1[HFR 10 mM KOH/ mOhm cm2],"",0)</f>
        <v>#REF!</v>
      </c>
      <c r="AF751" s="69" t="e" cm="1">
        <f t="array" ref="AF751">_xlfn.XLOOKUP(Table1[[#This Row],[5 cm2 cell test code]:[5 cm2 cell test code]],[1]!Table1[[Test code]:[Test code]],[1]!Table1[Ionic resistance DIW/Ohm cm2],"",0)</f>
        <v>#REF!</v>
      </c>
      <c r="AG751" s="69" t="e" cm="1">
        <f t="array" ref="AG751">_xlfn.XLOOKUP(Table1[[#This Row],[5 cm2 cell test code]:[5 cm2 cell test code]],[1]!Table1[[Test code]:[Test code]],[1]!Table1[Q_int_frac DIW],"",0)</f>
        <v>#REF!</v>
      </c>
      <c r="AH751" s="69" t="e" cm="1">
        <f t="array" ref="AH751">_xlfn.XLOOKUP(Table1[[#This Row],[5 cm2 cell test code]:[5 cm2 cell test code]],[1]!Table1[[Test code]:[Test code]],[1]!Table1[Ionic resistance 10 mM KOH/Ohm cm2],"",0)</f>
        <v>#REF!</v>
      </c>
      <c r="AI751" s="69" t="e" cm="1">
        <f t="array" ref="AI751">_xlfn.XLOOKUP(Table1[[#This Row],[5 cm2 cell test code]:[5 cm2 cell test code]],[1]!Table1[[Test code]:[Test code]],[1]!Table1[Q_int_frac DIW 10 mM KOH],"",0)</f>
        <v>#REF!</v>
      </c>
      <c r="AJ751" s="69" t="e" cm="1">
        <f t="array" ref="AJ751">_xlfn.XLOOKUP(Table1[[#This Row],[5 cm2 cell test code]:[5 cm2 cell test code]],[1]!Table1[[Test code]:[Test code]],[1]!Table1[DIW conductivity (µS/cm)],"",0)</f>
        <v>#REF!</v>
      </c>
    </row>
    <row r="752" spans="1:36">
      <c r="A752" s="81"/>
      <c r="U752" s="101"/>
      <c r="V752" s="101"/>
      <c r="W752" s="69" t="e" cm="1">
        <f t="array" ref="W752">_xlfn.XLOOKUP(Table1[[#This Row],[5 cm2 cell test code]:[5 cm2 cell test code]],[1]!Table1[[Test code]:[Test code]],[1]!Table1[i @ 1.8 V DIW (A/cm2)],"",0)</f>
        <v>#REF!</v>
      </c>
      <c r="X752" s="69" t="e" cm="1">
        <f t="array" ref="X752">_xlfn.XLOOKUP(Table1[[#This Row],[5 cm2 cell test code]:[5 cm2 cell test code]],[1]!Table1[[Test code]:[Test code]],[1]!Table1[i @ 1.8 V 10 mM KOH (A/cm2)],"",0)</f>
        <v>#REF!</v>
      </c>
      <c r="Y752" s="69" t="e" cm="1">
        <f t="array" ref="Y752">_xlfn.XLOOKUP(Table1[[#This Row],[5 cm2 cell test code]:[5 cm2 cell test code]],[1]!Table1[[Test code]:[Test code]],[1]!Table1[3-E ƞ at 20mAcm-2 (mV)],"",0)</f>
        <v>#REF!</v>
      </c>
      <c r="Z752" s="69" t="e" cm="1">
        <f t="array" ref="Z752">_xlfn.XLOOKUP(Table1[[#This Row],[5 cm2 cell test code]:[5 cm2 cell test code]],[1]!Table1[[Test code]:[Test code]],[1]!Table1[3-E Tafel slope (mV/dec)],"",0)</f>
        <v>#REF!</v>
      </c>
      <c r="AA752" s="69" t="e" cm="1">
        <f t="array" ref="AA752">_xlfn.XLOOKUP(Table1[[#This Row],[5 cm2 cell test code]:[5 cm2 cell test code]],[1]!Table1[[Test code]:[Test code]],[1]!Table1[E @ 100 mA/cm2 DIW/V],"",0)</f>
        <v>#REF!</v>
      </c>
      <c r="AB752" s="69" t="e" cm="1">
        <f t="array" ref="AB752">_xlfn.XLOOKUP(Table1[[#This Row],[5 cm2 cell test code]:[5 cm2 cell test code]],[1]!Table1[[Test code]:[Test code]],[1]!Table1[E @ 100 mA/cm2 10 mM KOH/V],"",0)</f>
        <v>#REF!</v>
      </c>
      <c r="AC752" s="69" t="e" cm="1">
        <f t="array" ref="AC752">_xlfn.XLOOKUP(Table1[[#This Row],[5 cm2 cell test code]:[5 cm2 cell test code]],[1]!Table1[[Test code]:[Test code]],[1]!Table1[Anode ICR/mOhm],"",0)</f>
        <v>#REF!</v>
      </c>
      <c r="AD752" s="69" t="e" cm="1">
        <f t="array" ref="AD752">_xlfn.XLOOKUP(Table1[[#This Row],[5 cm2 cell test code]:[5 cm2 cell test code]],[1]!Table1[[Test code]:[Test code]],[1]!Table1[HFR DIW/ mOhm cm2],"",0)</f>
        <v>#REF!</v>
      </c>
      <c r="AE752" s="69" t="e" cm="1">
        <f t="array" ref="AE752">_xlfn.XLOOKUP(Table1[[#This Row],[5 cm2 cell test code]:[5 cm2 cell test code]],[1]!Table1[[Test code]:[Test code]],[1]!Table1[HFR 10 mM KOH/ mOhm cm2],"",0)</f>
        <v>#REF!</v>
      </c>
      <c r="AF752" s="69" t="e" cm="1">
        <f t="array" ref="AF752">_xlfn.XLOOKUP(Table1[[#This Row],[5 cm2 cell test code]:[5 cm2 cell test code]],[1]!Table1[[Test code]:[Test code]],[1]!Table1[Ionic resistance DIW/Ohm cm2],"",0)</f>
        <v>#REF!</v>
      </c>
      <c r="AG752" s="69" t="e" cm="1">
        <f t="array" ref="AG752">_xlfn.XLOOKUP(Table1[[#This Row],[5 cm2 cell test code]:[5 cm2 cell test code]],[1]!Table1[[Test code]:[Test code]],[1]!Table1[Q_int_frac DIW],"",0)</f>
        <v>#REF!</v>
      </c>
      <c r="AH752" s="69" t="e" cm="1">
        <f t="array" ref="AH752">_xlfn.XLOOKUP(Table1[[#This Row],[5 cm2 cell test code]:[5 cm2 cell test code]],[1]!Table1[[Test code]:[Test code]],[1]!Table1[Ionic resistance 10 mM KOH/Ohm cm2],"",0)</f>
        <v>#REF!</v>
      </c>
      <c r="AI752" s="69" t="e" cm="1">
        <f t="array" ref="AI752">_xlfn.XLOOKUP(Table1[[#This Row],[5 cm2 cell test code]:[5 cm2 cell test code]],[1]!Table1[[Test code]:[Test code]],[1]!Table1[Q_int_frac DIW 10 mM KOH],"",0)</f>
        <v>#REF!</v>
      </c>
      <c r="AJ752" s="69" t="e" cm="1">
        <f t="array" ref="AJ752">_xlfn.XLOOKUP(Table1[[#This Row],[5 cm2 cell test code]:[5 cm2 cell test code]],[1]!Table1[[Test code]:[Test code]],[1]!Table1[DIW conductivity (µS/cm)],"",0)</f>
        <v>#REF!</v>
      </c>
    </row>
    <row r="753" spans="1:36">
      <c r="A753" s="81"/>
      <c r="U753" s="101"/>
      <c r="V753" s="101"/>
      <c r="W753" s="69" t="e" cm="1">
        <f t="array" ref="W753">_xlfn.XLOOKUP(Table1[[#This Row],[5 cm2 cell test code]:[5 cm2 cell test code]],[1]!Table1[[Test code]:[Test code]],[1]!Table1[i @ 1.8 V DIW (A/cm2)],"",0)</f>
        <v>#REF!</v>
      </c>
      <c r="X753" s="69" t="e" cm="1">
        <f t="array" ref="X753">_xlfn.XLOOKUP(Table1[[#This Row],[5 cm2 cell test code]:[5 cm2 cell test code]],[1]!Table1[[Test code]:[Test code]],[1]!Table1[i @ 1.8 V 10 mM KOH (A/cm2)],"",0)</f>
        <v>#REF!</v>
      </c>
      <c r="Y753" s="69" t="e" cm="1">
        <f t="array" ref="Y753">_xlfn.XLOOKUP(Table1[[#This Row],[5 cm2 cell test code]:[5 cm2 cell test code]],[1]!Table1[[Test code]:[Test code]],[1]!Table1[3-E ƞ at 20mAcm-2 (mV)],"",0)</f>
        <v>#REF!</v>
      </c>
      <c r="Z753" s="69" t="e" cm="1">
        <f t="array" ref="Z753">_xlfn.XLOOKUP(Table1[[#This Row],[5 cm2 cell test code]:[5 cm2 cell test code]],[1]!Table1[[Test code]:[Test code]],[1]!Table1[3-E Tafel slope (mV/dec)],"",0)</f>
        <v>#REF!</v>
      </c>
      <c r="AA753" s="69" t="e" cm="1">
        <f t="array" ref="AA753">_xlfn.XLOOKUP(Table1[[#This Row],[5 cm2 cell test code]:[5 cm2 cell test code]],[1]!Table1[[Test code]:[Test code]],[1]!Table1[E @ 100 mA/cm2 DIW/V],"",0)</f>
        <v>#REF!</v>
      </c>
      <c r="AB753" s="69" t="e" cm="1">
        <f t="array" ref="AB753">_xlfn.XLOOKUP(Table1[[#This Row],[5 cm2 cell test code]:[5 cm2 cell test code]],[1]!Table1[[Test code]:[Test code]],[1]!Table1[E @ 100 mA/cm2 10 mM KOH/V],"",0)</f>
        <v>#REF!</v>
      </c>
      <c r="AC753" s="69" t="e" cm="1">
        <f t="array" ref="AC753">_xlfn.XLOOKUP(Table1[[#This Row],[5 cm2 cell test code]:[5 cm2 cell test code]],[1]!Table1[[Test code]:[Test code]],[1]!Table1[Anode ICR/mOhm],"",0)</f>
        <v>#REF!</v>
      </c>
      <c r="AD753" s="69" t="e" cm="1">
        <f t="array" ref="AD753">_xlfn.XLOOKUP(Table1[[#This Row],[5 cm2 cell test code]:[5 cm2 cell test code]],[1]!Table1[[Test code]:[Test code]],[1]!Table1[HFR DIW/ mOhm cm2],"",0)</f>
        <v>#REF!</v>
      </c>
      <c r="AE753" s="69" t="e" cm="1">
        <f t="array" ref="AE753">_xlfn.XLOOKUP(Table1[[#This Row],[5 cm2 cell test code]:[5 cm2 cell test code]],[1]!Table1[[Test code]:[Test code]],[1]!Table1[HFR 10 mM KOH/ mOhm cm2],"",0)</f>
        <v>#REF!</v>
      </c>
      <c r="AF753" s="69" t="e" cm="1">
        <f t="array" ref="AF753">_xlfn.XLOOKUP(Table1[[#This Row],[5 cm2 cell test code]:[5 cm2 cell test code]],[1]!Table1[[Test code]:[Test code]],[1]!Table1[Ionic resistance DIW/Ohm cm2],"",0)</f>
        <v>#REF!</v>
      </c>
      <c r="AG753" s="69" t="e" cm="1">
        <f t="array" ref="AG753">_xlfn.XLOOKUP(Table1[[#This Row],[5 cm2 cell test code]:[5 cm2 cell test code]],[1]!Table1[[Test code]:[Test code]],[1]!Table1[Q_int_frac DIW],"",0)</f>
        <v>#REF!</v>
      </c>
      <c r="AH753" s="69" t="e" cm="1">
        <f t="array" ref="AH753">_xlfn.XLOOKUP(Table1[[#This Row],[5 cm2 cell test code]:[5 cm2 cell test code]],[1]!Table1[[Test code]:[Test code]],[1]!Table1[Ionic resistance 10 mM KOH/Ohm cm2],"",0)</f>
        <v>#REF!</v>
      </c>
      <c r="AI753" s="69" t="e" cm="1">
        <f t="array" ref="AI753">_xlfn.XLOOKUP(Table1[[#This Row],[5 cm2 cell test code]:[5 cm2 cell test code]],[1]!Table1[[Test code]:[Test code]],[1]!Table1[Q_int_frac DIW 10 mM KOH],"",0)</f>
        <v>#REF!</v>
      </c>
      <c r="AJ753" s="69" t="e" cm="1">
        <f t="array" ref="AJ753">_xlfn.XLOOKUP(Table1[[#This Row],[5 cm2 cell test code]:[5 cm2 cell test code]],[1]!Table1[[Test code]:[Test code]],[1]!Table1[DIW conductivity (µS/cm)],"",0)</f>
        <v>#REF!</v>
      </c>
    </row>
    <row r="754" spans="1:36">
      <c r="A754" s="81"/>
      <c r="U754" s="101"/>
      <c r="V754" s="101"/>
      <c r="W754" s="69" t="e" cm="1">
        <f t="array" ref="W754">_xlfn.XLOOKUP(Table1[[#This Row],[5 cm2 cell test code]:[5 cm2 cell test code]],[1]!Table1[[Test code]:[Test code]],[1]!Table1[i @ 1.8 V DIW (A/cm2)],"",0)</f>
        <v>#REF!</v>
      </c>
      <c r="X754" s="69" t="e" cm="1">
        <f t="array" ref="X754">_xlfn.XLOOKUP(Table1[[#This Row],[5 cm2 cell test code]:[5 cm2 cell test code]],[1]!Table1[[Test code]:[Test code]],[1]!Table1[i @ 1.8 V 10 mM KOH (A/cm2)],"",0)</f>
        <v>#REF!</v>
      </c>
      <c r="Y754" s="69" t="e" cm="1">
        <f t="array" ref="Y754">_xlfn.XLOOKUP(Table1[[#This Row],[5 cm2 cell test code]:[5 cm2 cell test code]],[1]!Table1[[Test code]:[Test code]],[1]!Table1[3-E ƞ at 20mAcm-2 (mV)],"",0)</f>
        <v>#REF!</v>
      </c>
      <c r="Z754" s="69" t="e" cm="1">
        <f t="array" ref="Z754">_xlfn.XLOOKUP(Table1[[#This Row],[5 cm2 cell test code]:[5 cm2 cell test code]],[1]!Table1[[Test code]:[Test code]],[1]!Table1[3-E Tafel slope (mV/dec)],"",0)</f>
        <v>#REF!</v>
      </c>
      <c r="AA754" s="69" t="e" cm="1">
        <f t="array" ref="AA754">_xlfn.XLOOKUP(Table1[[#This Row],[5 cm2 cell test code]:[5 cm2 cell test code]],[1]!Table1[[Test code]:[Test code]],[1]!Table1[E @ 100 mA/cm2 DIW/V],"",0)</f>
        <v>#REF!</v>
      </c>
      <c r="AB754" s="69" t="e" cm="1">
        <f t="array" ref="AB754">_xlfn.XLOOKUP(Table1[[#This Row],[5 cm2 cell test code]:[5 cm2 cell test code]],[1]!Table1[[Test code]:[Test code]],[1]!Table1[E @ 100 mA/cm2 10 mM KOH/V],"",0)</f>
        <v>#REF!</v>
      </c>
      <c r="AC754" s="69" t="e" cm="1">
        <f t="array" ref="AC754">_xlfn.XLOOKUP(Table1[[#This Row],[5 cm2 cell test code]:[5 cm2 cell test code]],[1]!Table1[[Test code]:[Test code]],[1]!Table1[Anode ICR/mOhm],"",0)</f>
        <v>#REF!</v>
      </c>
      <c r="AD754" s="69" t="e" cm="1">
        <f t="array" ref="AD754">_xlfn.XLOOKUP(Table1[[#This Row],[5 cm2 cell test code]:[5 cm2 cell test code]],[1]!Table1[[Test code]:[Test code]],[1]!Table1[HFR DIW/ mOhm cm2],"",0)</f>
        <v>#REF!</v>
      </c>
      <c r="AE754" s="69" t="e" cm="1">
        <f t="array" ref="AE754">_xlfn.XLOOKUP(Table1[[#This Row],[5 cm2 cell test code]:[5 cm2 cell test code]],[1]!Table1[[Test code]:[Test code]],[1]!Table1[HFR 10 mM KOH/ mOhm cm2],"",0)</f>
        <v>#REF!</v>
      </c>
      <c r="AF754" s="69" t="e" cm="1">
        <f t="array" ref="AF754">_xlfn.XLOOKUP(Table1[[#This Row],[5 cm2 cell test code]:[5 cm2 cell test code]],[1]!Table1[[Test code]:[Test code]],[1]!Table1[Ionic resistance DIW/Ohm cm2],"",0)</f>
        <v>#REF!</v>
      </c>
      <c r="AG754" s="69" t="e" cm="1">
        <f t="array" ref="AG754">_xlfn.XLOOKUP(Table1[[#This Row],[5 cm2 cell test code]:[5 cm2 cell test code]],[1]!Table1[[Test code]:[Test code]],[1]!Table1[Q_int_frac DIW],"",0)</f>
        <v>#REF!</v>
      </c>
      <c r="AH754" s="69" t="e" cm="1">
        <f t="array" ref="AH754">_xlfn.XLOOKUP(Table1[[#This Row],[5 cm2 cell test code]:[5 cm2 cell test code]],[1]!Table1[[Test code]:[Test code]],[1]!Table1[Ionic resistance 10 mM KOH/Ohm cm2],"",0)</f>
        <v>#REF!</v>
      </c>
      <c r="AI754" s="69" t="e" cm="1">
        <f t="array" ref="AI754">_xlfn.XLOOKUP(Table1[[#This Row],[5 cm2 cell test code]:[5 cm2 cell test code]],[1]!Table1[[Test code]:[Test code]],[1]!Table1[Q_int_frac DIW 10 mM KOH],"",0)</f>
        <v>#REF!</v>
      </c>
      <c r="AJ754" s="69" t="e" cm="1">
        <f t="array" ref="AJ754">_xlfn.XLOOKUP(Table1[[#This Row],[5 cm2 cell test code]:[5 cm2 cell test code]],[1]!Table1[[Test code]:[Test code]],[1]!Table1[DIW conductivity (µS/cm)],"",0)</f>
        <v>#REF!</v>
      </c>
    </row>
    <row r="755" spans="1:36">
      <c r="A755" s="81"/>
      <c r="U755" s="101"/>
      <c r="V755" s="101"/>
      <c r="W755" s="69" t="e" cm="1">
        <f t="array" ref="W755">_xlfn.XLOOKUP(Table1[[#This Row],[5 cm2 cell test code]:[5 cm2 cell test code]],[1]!Table1[[Test code]:[Test code]],[1]!Table1[i @ 1.8 V DIW (A/cm2)],"",0)</f>
        <v>#REF!</v>
      </c>
      <c r="X755" s="69" t="e" cm="1">
        <f t="array" ref="X755">_xlfn.XLOOKUP(Table1[[#This Row],[5 cm2 cell test code]:[5 cm2 cell test code]],[1]!Table1[[Test code]:[Test code]],[1]!Table1[i @ 1.8 V 10 mM KOH (A/cm2)],"",0)</f>
        <v>#REF!</v>
      </c>
      <c r="Y755" s="69" t="e" cm="1">
        <f t="array" ref="Y755">_xlfn.XLOOKUP(Table1[[#This Row],[5 cm2 cell test code]:[5 cm2 cell test code]],[1]!Table1[[Test code]:[Test code]],[1]!Table1[3-E ƞ at 20mAcm-2 (mV)],"",0)</f>
        <v>#REF!</v>
      </c>
      <c r="Z755" s="69" t="e" cm="1">
        <f t="array" ref="Z755">_xlfn.XLOOKUP(Table1[[#This Row],[5 cm2 cell test code]:[5 cm2 cell test code]],[1]!Table1[[Test code]:[Test code]],[1]!Table1[3-E Tafel slope (mV/dec)],"",0)</f>
        <v>#REF!</v>
      </c>
      <c r="AA755" s="69" t="e" cm="1">
        <f t="array" ref="AA755">_xlfn.XLOOKUP(Table1[[#This Row],[5 cm2 cell test code]:[5 cm2 cell test code]],[1]!Table1[[Test code]:[Test code]],[1]!Table1[E @ 100 mA/cm2 DIW/V],"",0)</f>
        <v>#REF!</v>
      </c>
      <c r="AB755" s="69" t="e" cm="1">
        <f t="array" ref="AB755">_xlfn.XLOOKUP(Table1[[#This Row],[5 cm2 cell test code]:[5 cm2 cell test code]],[1]!Table1[[Test code]:[Test code]],[1]!Table1[E @ 100 mA/cm2 10 mM KOH/V],"",0)</f>
        <v>#REF!</v>
      </c>
      <c r="AC755" s="69" t="e" cm="1">
        <f t="array" ref="AC755">_xlfn.XLOOKUP(Table1[[#This Row],[5 cm2 cell test code]:[5 cm2 cell test code]],[1]!Table1[[Test code]:[Test code]],[1]!Table1[Anode ICR/mOhm],"",0)</f>
        <v>#REF!</v>
      </c>
      <c r="AD755" s="69" t="e" cm="1">
        <f t="array" ref="AD755">_xlfn.XLOOKUP(Table1[[#This Row],[5 cm2 cell test code]:[5 cm2 cell test code]],[1]!Table1[[Test code]:[Test code]],[1]!Table1[HFR DIW/ mOhm cm2],"",0)</f>
        <v>#REF!</v>
      </c>
      <c r="AE755" s="69" t="e" cm="1">
        <f t="array" ref="AE755">_xlfn.XLOOKUP(Table1[[#This Row],[5 cm2 cell test code]:[5 cm2 cell test code]],[1]!Table1[[Test code]:[Test code]],[1]!Table1[HFR 10 mM KOH/ mOhm cm2],"",0)</f>
        <v>#REF!</v>
      </c>
      <c r="AF755" s="69" t="e" cm="1">
        <f t="array" ref="AF755">_xlfn.XLOOKUP(Table1[[#This Row],[5 cm2 cell test code]:[5 cm2 cell test code]],[1]!Table1[[Test code]:[Test code]],[1]!Table1[Ionic resistance DIW/Ohm cm2],"",0)</f>
        <v>#REF!</v>
      </c>
      <c r="AG755" s="69" t="e" cm="1">
        <f t="array" ref="AG755">_xlfn.XLOOKUP(Table1[[#This Row],[5 cm2 cell test code]:[5 cm2 cell test code]],[1]!Table1[[Test code]:[Test code]],[1]!Table1[Q_int_frac DIW],"",0)</f>
        <v>#REF!</v>
      </c>
      <c r="AH755" s="69" t="e" cm="1">
        <f t="array" ref="AH755">_xlfn.XLOOKUP(Table1[[#This Row],[5 cm2 cell test code]:[5 cm2 cell test code]],[1]!Table1[[Test code]:[Test code]],[1]!Table1[Ionic resistance 10 mM KOH/Ohm cm2],"",0)</f>
        <v>#REF!</v>
      </c>
      <c r="AI755" s="69" t="e" cm="1">
        <f t="array" ref="AI755">_xlfn.XLOOKUP(Table1[[#This Row],[5 cm2 cell test code]:[5 cm2 cell test code]],[1]!Table1[[Test code]:[Test code]],[1]!Table1[Q_int_frac DIW 10 mM KOH],"",0)</f>
        <v>#REF!</v>
      </c>
      <c r="AJ755" s="69" t="e" cm="1">
        <f t="array" ref="AJ755">_xlfn.XLOOKUP(Table1[[#This Row],[5 cm2 cell test code]:[5 cm2 cell test code]],[1]!Table1[[Test code]:[Test code]],[1]!Table1[DIW conductivity (µS/cm)],"",0)</f>
        <v>#REF!</v>
      </c>
    </row>
    <row r="756" spans="1:36">
      <c r="A756" s="81"/>
      <c r="U756" s="101"/>
      <c r="V756" s="101"/>
      <c r="W756" s="69" t="e" cm="1">
        <f t="array" ref="W756">_xlfn.XLOOKUP(Table1[[#This Row],[5 cm2 cell test code]:[5 cm2 cell test code]],[1]!Table1[[Test code]:[Test code]],[1]!Table1[i @ 1.8 V DIW (A/cm2)],"",0)</f>
        <v>#REF!</v>
      </c>
      <c r="X756" s="69" t="e" cm="1">
        <f t="array" ref="X756">_xlfn.XLOOKUP(Table1[[#This Row],[5 cm2 cell test code]:[5 cm2 cell test code]],[1]!Table1[[Test code]:[Test code]],[1]!Table1[i @ 1.8 V 10 mM KOH (A/cm2)],"",0)</f>
        <v>#REF!</v>
      </c>
      <c r="Y756" s="69" t="e" cm="1">
        <f t="array" ref="Y756">_xlfn.XLOOKUP(Table1[[#This Row],[5 cm2 cell test code]:[5 cm2 cell test code]],[1]!Table1[[Test code]:[Test code]],[1]!Table1[3-E ƞ at 20mAcm-2 (mV)],"",0)</f>
        <v>#REF!</v>
      </c>
      <c r="Z756" s="69" t="e" cm="1">
        <f t="array" ref="Z756">_xlfn.XLOOKUP(Table1[[#This Row],[5 cm2 cell test code]:[5 cm2 cell test code]],[1]!Table1[[Test code]:[Test code]],[1]!Table1[3-E Tafel slope (mV/dec)],"",0)</f>
        <v>#REF!</v>
      </c>
      <c r="AA756" s="69" t="e" cm="1">
        <f t="array" ref="AA756">_xlfn.XLOOKUP(Table1[[#This Row],[5 cm2 cell test code]:[5 cm2 cell test code]],[1]!Table1[[Test code]:[Test code]],[1]!Table1[E @ 100 mA/cm2 DIW/V],"",0)</f>
        <v>#REF!</v>
      </c>
      <c r="AB756" s="69" t="e" cm="1">
        <f t="array" ref="AB756">_xlfn.XLOOKUP(Table1[[#This Row],[5 cm2 cell test code]:[5 cm2 cell test code]],[1]!Table1[[Test code]:[Test code]],[1]!Table1[E @ 100 mA/cm2 10 mM KOH/V],"",0)</f>
        <v>#REF!</v>
      </c>
      <c r="AC756" s="69" t="e" cm="1">
        <f t="array" ref="AC756">_xlfn.XLOOKUP(Table1[[#This Row],[5 cm2 cell test code]:[5 cm2 cell test code]],[1]!Table1[[Test code]:[Test code]],[1]!Table1[Anode ICR/mOhm],"",0)</f>
        <v>#REF!</v>
      </c>
      <c r="AD756" s="69" t="e" cm="1">
        <f t="array" ref="AD756">_xlfn.XLOOKUP(Table1[[#This Row],[5 cm2 cell test code]:[5 cm2 cell test code]],[1]!Table1[[Test code]:[Test code]],[1]!Table1[HFR DIW/ mOhm cm2],"",0)</f>
        <v>#REF!</v>
      </c>
      <c r="AE756" s="69" t="e" cm="1">
        <f t="array" ref="AE756">_xlfn.XLOOKUP(Table1[[#This Row],[5 cm2 cell test code]:[5 cm2 cell test code]],[1]!Table1[[Test code]:[Test code]],[1]!Table1[HFR 10 mM KOH/ mOhm cm2],"",0)</f>
        <v>#REF!</v>
      </c>
      <c r="AF756" s="69" t="e" cm="1">
        <f t="array" ref="AF756">_xlfn.XLOOKUP(Table1[[#This Row],[5 cm2 cell test code]:[5 cm2 cell test code]],[1]!Table1[[Test code]:[Test code]],[1]!Table1[Ionic resistance DIW/Ohm cm2],"",0)</f>
        <v>#REF!</v>
      </c>
      <c r="AG756" s="69" t="e" cm="1">
        <f t="array" ref="AG756">_xlfn.XLOOKUP(Table1[[#This Row],[5 cm2 cell test code]:[5 cm2 cell test code]],[1]!Table1[[Test code]:[Test code]],[1]!Table1[Q_int_frac DIW],"",0)</f>
        <v>#REF!</v>
      </c>
      <c r="AH756" s="69" t="e" cm="1">
        <f t="array" ref="AH756">_xlfn.XLOOKUP(Table1[[#This Row],[5 cm2 cell test code]:[5 cm2 cell test code]],[1]!Table1[[Test code]:[Test code]],[1]!Table1[Ionic resistance 10 mM KOH/Ohm cm2],"",0)</f>
        <v>#REF!</v>
      </c>
      <c r="AI756" s="69" t="e" cm="1">
        <f t="array" ref="AI756">_xlfn.XLOOKUP(Table1[[#This Row],[5 cm2 cell test code]:[5 cm2 cell test code]],[1]!Table1[[Test code]:[Test code]],[1]!Table1[Q_int_frac DIW 10 mM KOH],"",0)</f>
        <v>#REF!</v>
      </c>
      <c r="AJ756" s="69" t="e" cm="1">
        <f t="array" ref="AJ756">_xlfn.XLOOKUP(Table1[[#This Row],[5 cm2 cell test code]:[5 cm2 cell test code]],[1]!Table1[[Test code]:[Test code]],[1]!Table1[DIW conductivity (µS/cm)],"",0)</f>
        <v>#REF!</v>
      </c>
    </row>
    <row r="757" spans="1:36">
      <c r="A757" s="81"/>
      <c r="U757" s="101"/>
      <c r="V757" s="101"/>
      <c r="W757" s="69" t="e" cm="1">
        <f t="array" ref="W757">_xlfn.XLOOKUP(Table1[[#This Row],[5 cm2 cell test code]:[5 cm2 cell test code]],[1]!Table1[[Test code]:[Test code]],[1]!Table1[i @ 1.8 V DIW (A/cm2)],"",0)</f>
        <v>#REF!</v>
      </c>
      <c r="X757" s="69" t="e" cm="1">
        <f t="array" ref="X757">_xlfn.XLOOKUP(Table1[[#This Row],[5 cm2 cell test code]:[5 cm2 cell test code]],[1]!Table1[[Test code]:[Test code]],[1]!Table1[i @ 1.8 V 10 mM KOH (A/cm2)],"",0)</f>
        <v>#REF!</v>
      </c>
      <c r="Y757" s="69" t="e" cm="1">
        <f t="array" ref="Y757">_xlfn.XLOOKUP(Table1[[#This Row],[5 cm2 cell test code]:[5 cm2 cell test code]],[1]!Table1[[Test code]:[Test code]],[1]!Table1[3-E ƞ at 20mAcm-2 (mV)],"",0)</f>
        <v>#REF!</v>
      </c>
      <c r="Z757" s="69" t="e" cm="1">
        <f t="array" ref="Z757">_xlfn.XLOOKUP(Table1[[#This Row],[5 cm2 cell test code]:[5 cm2 cell test code]],[1]!Table1[[Test code]:[Test code]],[1]!Table1[3-E Tafel slope (mV/dec)],"",0)</f>
        <v>#REF!</v>
      </c>
      <c r="AA757" s="69" t="e" cm="1">
        <f t="array" ref="AA757">_xlfn.XLOOKUP(Table1[[#This Row],[5 cm2 cell test code]:[5 cm2 cell test code]],[1]!Table1[[Test code]:[Test code]],[1]!Table1[E @ 100 mA/cm2 DIW/V],"",0)</f>
        <v>#REF!</v>
      </c>
      <c r="AB757" s="69" t="e" cm="1">
        <f t="array" ref="AB757">_xlfn.XLOOKUP(Table1[[#This Row],[5 cm2 cell test code]:[5 cm2 cell test code]],[1]!Table1[[Test code]:[Test code]],[1]!Table1[E @ 100 mA/cm2 10 mM KOH/V],"",0)</f>
        <v>#REF!</v>
      </c>
      <c r="AC757" s="69" t="e" cm="1">
        <f t="array" ref="AC757">_xlfn.XLOOKUP(Table1[[#This Row],[5 cm2 cell test code]:[5 cm2 cell test code]],[1]!Table1[[Test code]:[Test code]],[1]!Table1[Anode ICR/mOhm],"",0)</f>
        <v>#REF!</v>
      </c>
      <c r="AD757" s="69" t="e" cm="1">
        <f t="array" ref="AD757">_xlfn.XLOOKUP(Table1[[#This Row],[5 cm2 cell test code]:[5 cm2 cell test code]],[1]!Table1[[Test code]:[Test code]],[1]!Table1[HFR DIW/ mOhm cm2],"",0)</f>
        <v>#REF!</v>
      </c>
      <c r="AE757" s="69" t="e" cm="1">
        <f t="array" ref="AE757">_xlfn.XLOOKUP(Table1[[#This Row],[5 cm2 cell test code]:[5 cm2 cell test code]],[1]!Table1[[Test code]:[Test code]],[1]!Table1[HFR 10 mM KOH/ mOhm cm2],"",0)</f>
        <v>#REF!</v>
      </c>
      <c r="AF757" s="69" t="e" cm="1">
        <f t="array" ref="AF757">_xlfn.XLOOKUP(Table1[[#This Row],[5 cm2 cell test code]:[5 cm2 cell test code]],[1]!Table1[[Test code]:[Test code]],[1]!Table1[Ionic resistance DIW/Ohm cm2],"",0)</f>
        <v>#REF!</v>
      </c>
      <c r="AG757" s="69" t="e" cm="1">
        <f t="array" ref="AG757">_xlfn.XLOOKUP(Table1[[#This Row],[5 cm2 cell test code]:[5 cm2 cell test code]],[1]!Table1[[Test code]:[Test code]],[1]!Table1[Q_int_frac DIW],"",0)</f>
        <v>#REF!</v>
      </c>
      <c r="AH757" s="69" t="e" cm="1">
        <f t="array" ref="AH757">_xlfn.XLOOKUP(Table1[[#This Row],[5 cm2 cell test code]:[5 cm2 cell test code]],[1]!Table1[[Test code]:[Test code]],[1]!Table1[Ionic resistance 10 mM KOH/Ohm cm2],"",0)</f>
        <v>#REF!</v>
      </c>
      <c r="AI757" s="69" t="e" cm="1">
        <f t="array" ref="AI757">_xlfn.XLOOKUP(Table1[[#This Row],[5 cm2 cell test code]:[5 cm2 cell test code]],[1]!Table1[[Test code]:[Test code]],[1]!Table1[Q_int_frac DIW 10 mM KOH],"",0)</f>
        <v>#REF!</v>
      </c>
      <c r="AJ757" s="69" t="e" cm="1">
        <f t="array" ref="AJ757">_xlfn.XLOOKUP(Table1[[#This Row],[5 cm2 cell test code]:[5 cm2 cell test code]],[1]!Table1[[Test code]:[Test code]],[1]!Table1[DIW conductivity (µS/cm)],"",0)</f>
        <v>#REF!</v>
      </c>
    </row>
    <row r="758" spans="1:36">
      <c r="A758" s="81"/>
      <c r="U758" s="101"/>
      <c r="V758" s="101"/>
      <c r="W758" s="69" t="e" cm="1">
        <f t="array" ref="W758">_xlfn.XLOOKUP(Table1[[#This Row],[5 cm2 cell test code]:[5 cm2 cell test code]],[1]!Table1[[Test code]:[Test code]],[1]!Table1[i @ 1.8 V DIW (A/cm2)],"",0)</f>
        <v>#REF!</v>
      </c>
      <c r="X758" s="69" t="e" cm="1">
        <f t="array" ref="X758">_xlfn.XLOOKUP(Table1[[#This Row],[5 cm2 cell test code]:[5 cm2 cell test code]],[1]!Table1[[Test code]:[Test code]],[1]!Table1[i @ 1.8 V 10 mM KOH (A/cm2)],"",0)</f>
        <v>#REF!</v>
      </c>
      <c r="Y758" s="69" t="e" cm="1">
        <f t="array" ref="Y758">_xlfn.XLOOKUP(Table1[[#This Row],[5 cm2 cell test code]:[5 cm2 cell test code]],[1]!Table1[[Test code]:[Test code]],[1]!Table1[3-E ƞ at 20mAcm-2 (mV)],"",0)</f>
        <v>#REF!</v>
      </c>
      <c r="Z758" s="69" t="e" cm="1">
        <f t="array" ref="Z758">_xlfn.XLOOKUP(Table1[[#This Row],[5 cm2 cell test code]:[5 cm2 cell test code]],[1]!Table1[[Test code]:[Test code]],[1]!Table1[3-E Tafel slope (mV/dec)],"",0)</f>
        <v>#REF!</v>
      </c>
      <c r="AA758" s="69" t="e" cm="1">
        <f t="array" ref="AA758">_xlfn.XLOOKUP(Table1[[#This Row],[5 cm2 cell test code]:[5 cm2 cell test code]],[1]!Table1[[Test code]:[Test code]],[1]!Table1[E @ 100 mA/cm2 DIW/V],"",0)</f>
        <v>#REF!</v>
      </c>
      <c r="AB758" s="69" t="e" cm="1">
        <f t="array" ref="AB758">_xlfn.XLOOKUP(Table1[[#This Row],[5 cm2 cell test code]:[5 cm2 cell test code]],[1]!Table1[[Test code]:[Test code]],[1]!Table1[E @ 100 mA/cm2 10 mM KOH/V],"",0)</f>
        <v>#REF!</v>
      </c>
      <c r="AC758" s="69" t="e" cm="1">
        <f t="array" ref="AC758">_xlfn.XLOOKUP(Table1[[#This Row],[5 cm2 cell test code]:[5 cm2 cell test code]],[1]!Table1[[Test code]:[Test code]],[1]!Table1[Anode ICR/mOhm],"",0)</f>
        <v>#REF!</v>
      </c>
      <c r="AD758" s="69" t="e" cm="1">
        <f t="array" ref="AD758">_xlfn.XLOOKUP(Table1[[#This Row],[5 cm2 cell test code]:[5 cm2 cell test code]],[1]!Table1[[Test code]:[Test code]],[1]!Table1[HFR DIW/ mOhm cm2],"",0)</f>
        <v>#REF!</v>
      </c>
      <c r="AE758" s="69" t="e" cm="1">
        <f t="array" ref="AE758">_xlfn.XLOOKUP(Table1[[#This Row],[5 cm2 cell test code]:[5 cm2 cell test code]],[1]!Table1[[Test code]:[Test code]],[1]!Table1[HFR 10 mM KOH/ mOhm cm2],"",0)</f>
        <v>#REF!</v>
      </c>
      <c r="AF758" s="69" t="e" cm="1">
        <f t="array" ref="AF758">_xlfn.XLOOKUP(Table1[[#This Row],[5 cm2 cell test code]:[5 cm2 cell test code]],[1]!Table1[[Test code]:[Test code]],[1]!Table1[Ionic resistance DIW/Ohm cm2],"",0)</f>
        <v>#REF!</v>
      </c>
      <c r="AG758" s="69" t="e" cm="1">
        <f t="array" ref="AG758">_xlfn.XLOOKUP(Table1[[#This Row],[5 cm2 cell test code]:[5 cm2 cell test code]],[1]!Table1[[Test code]:[Test code]],[1]!Table1[Q_int_frac DIW],"",0)</f>
        <v>#REF!</v>
      </c>
      <c r="AH758" s="69" t="e" cm="1">
        <f t="array" ref="AH758">_xlfn.XLOOKUP(Table1[[#This Row],[5 cm2 cell test code]:[5 cm2 cell test code]],[1]!Table1[[Test code]:[Test code]],[1]!Table1[Ionic resistance 10 mM KOH/Ohm cm2],"",0)</f>
        <v>#REF!</v>
      </c>
      <c r="AI758" s="69" t="e" cm="1">
        <f t="array" ref="AI758">_xlfn.XLOOKUP(Table1[[#This Row],[5 cm2 cell test code]:[5 cm2 cell test code]],[1]!Table1[[Test code]:[Test code]],[1]!Table1[Q_int_frac DIW 10 mM KOH],"",0)</f>
        <v>#REF!</v>
      </c>
      <c r="AJ758" s="69" t="e" cm="1">
        <f t="array" ref="AJ758">_xlfn.XLOOKUP(Table1[[#This Row],[5 cm2 cell test code]:[5 cm2 cell test code]],[1]!Table1[[Test code]:[Test code]],[1]!Table1[DIW conductivity (µS/cm)],"",0)</f>
        <v>#REF!</v>
      </c>
    </row>
    <row r="759" spans="1:36">
      <c r="A759" s="81"/>
      <c r="U759" s="101"/>
      <c r="V759" s="101"/>
      <c r="W759" s="69" t="e" cm="1">
        <f t="array" ref="W759">_xlfn.XLOOKUP(Table1[[#This Row],[5 cm2 cell test code]:[5 cm2 cell test code]],[1]!Table1[[Test code]:[Test code]],[1]!Table1[i @ 1.8 V DIW (A/cm2)],"",0)</f>
        <v>#REF!</v>
      </c>
      <c r="X759" s="69" t="e" cm="1">
        <f t="array" ref="X759">_xlfn.XLOOKUP(Table1[[#This Row],[5 cm2 cell test code]:[5 cm2 cell test code]],[1]!Table1[[Test code]:[Test code]],[1]!Table1[i @ 1.8 V 10 mM KOH (A/cm2)],"",0)</f>
        <v>#REF!</v>
      </c>
      <c r="Y759" s="69" t="e" cm="1">
        <f t="array" ref="Y759">_xlfn.XLOOKUP(Table1[[#This Row],[5 cm2 cell test code]:[5 cm2 cell test code]],[1]!Table1[[Test code]:[Test code]],[1]!Table1[3-E ƞ at 20mAcm-2 (mV)],"",0)</f>
        <v>#REF!</v>
      </c>
      <c r="Z759" s="69" t="e" cm="1">
        <f t="array" ref="Z759">_xlfn.XLOOKUP(Table1[[#This Row],[5 cm2 cell test code]:[5 cm2 cell test code]],[1]!Table1[[Test code]:[Test code]],[1]!Table1[3-E Tafel slope (mV/dec)],"",0)</f>
        <v>#REF!</v>
      </c>
      <c r="AA759" s="69" t="e" cm="1">
        <f t="array" ref="AA759">_xlfn.XLOOKUP(Table1[[#This Row],[5 cm2 cell test code]:[5 cm2 cell test code]],[1]!Table1[[Test code]:[Test code]],[1]!Table1[E @ 100 mA/cm2 DIW/V],"",0)</f>
        <v>#REF!</v>
      </c>
      <c r="AB759" s="69" t="e" cm="1">
        <f t="array" ref="AB759">_xlfn.XLOOKUP(Table1[[#This Row],[5 cm2 cell test code]:[5 cm2 cell test code]],[1]!Table1[[Test code]:[Test code]],[1]!Table1[E @ 100 mA/cm2 10 mM KOH/V],"",0)</f>
        <v>#REF!</v>
      </c>
      <c r="AC759" s="69" t="e" cm="1">
        <f t="array" ref="AC759">_xlfn.XLOOKUP(Table1[[#This Row],[5 cm2 cell test code]:[5 cm2 cell test code]],[1]!Table1[[Test code]:[Test code]],[1]!Table1[Anode ICR/mOhm],"",0)</f>
        <v>#REF!</v>
      </c>
      <c r="AD759" s="69" t="e" cm="1">
        <f t="array" ref="AD759">_xlfn.XLOOKUP(Table1[[#This Row],[5 cm2 cell test code]:[5 cm2 cell test code]],[1]!Table1[[Test code]:[Test code]],[1]!Table1[HFR DIW/ mOhm cm2],"",0)</f>
        <v>#REF!</v>
      </c>
      <c r="AE759" s="69" t="e" cm="1">
        <f t="array" ref="AE759">_xlfn.XLOOKUP(Table1[[#This Row],[5 cm2 cell test code]:[5 cm2 cell test code]],[1]!Table1[[Test code]:[Test code]],[1]!Table1[HFR 10 mM KOH/ mOhm cm2],"",0)</f>
        <v>#REF!</v>
      </c>
      <c r="AF759" s="69" t="e" cm="1">
        <f t="array" ref="AF759">_xlfn.XLOOKUP(Table1[[#This Row],[5 cm2 cell test code]:[5 cm2 cell test code]],[1]!Table1[[Test code]:[Test code]],[1]!Table1[Ionic resistance DIW/Ohm cm2],"",0)</f>
        <v>#REF!</v>
      </c>
      <c r="AG759" s="69" t="e" cm="1">
        <f t="array" ref="AG759">_xlfn.XLOOKUP(Table1[[#This Row],[5 cm2 cell test code]:[5 cm2 cell test code]],[1]!Table1[[Test code]:[Test code]],[1]!Table1[Q_int_frac DIW],"",0)</f>
        <v>#REF!</v>
      </c>
      <c r="AH759" s="69" t="e" cm="1">
        <f t="array" ref="AH759">_xlfn.XLOOKUP(Table1[[#This Row],[5 cm2 cell test code]:[5 cm2 cell test code]],[1]!Table1[[Test code]:[Test code]],[1]!Table1[Ionic resistance 10 mM KOH/Ohm cm2],"",0)</f>
        <v>#REF!</v>
      </c>
      <c r="AI759" s="69" t="e" cm="1">
        <f t="array" ref="AI759">_xlfn.XLOOKUP(Table1[[#This Row],[5 cm2 cell test code]:[5 cm2 cell test code]],[1]!Table1[[Test code]:[Test code]],[1]!Table1[Q_int_frac DIW 10 mM KOH],"",0)</f>
        <v>#REF!</v>
      </c>
      <c r="AJ759" s="69" t="e" cm="1">
        <f t="array" ref="AJ759">_xlfn.XLOOKUP(Table1[[#This Row],[5 cm2 cell test code]:[5 cm2 cell test code]],[1]!Table1[[Test code]:[Test code]],[1]!Table1[DIW conductivity (µS/cm)],"",0)</f>
        <v>#REF!</v>
      </c>
    </row>
    <row r="760" spans="1:36">
      <c r="A760" s="81"/>
      <c r="U760" s="101"/>
      <c r="V760" s="101"/>
      <c r="W760" s="69" t="e" cm="1">
        <f t="array" ref="W760">_xlfn.XLOOKUP(Table1[[#This Row],[5 cm2 cell test code]:[5 cm2 cell test code]],[1]!Table1[[Test code]:[Test code]],[1]!Table1[i @ 1.8 V DIW (A/cm2)],"",0)</f>
        <v>#REF!</v>
      </c>
      <c r="X760" s="69" t="e" cm="1">
        <f t="array" ref="X760">_xlfn.XLOOKUP(Table1[[#This Row],[5 cm2 cell test code]:[5 cm2 cell test code]],[1]!Table1[[Test code]:[Test code]],[1]!Table1[i @ 1.8 V 10 mM KOH (A/cm2)],"",0)</f>
        <v>#REF!</v>
      </c>
      <c r="Y760" s="69" t="e" cm="1">
        <f t="array" ref="Y760">_xlfn.XLOOKUP(Table1[[#This Row],[5 cm2 cell test code]:[5 cm2 cell test code]],[1]!Table1[[Test code]:[Test code]],[1]!Table1[3-E ƞ at 20mAcm-2 (mV)],"",0)</f>
        <v>#REF!</v>
      </c>
      <c r="Z760" s="69" t="e" cm="1">
        <f t="array" ref="Z760">_xlfn.XLOOKUP(Table1[[#This Row],[5 cm2 cell test code]:[5 cm2 cell test code]],[1]!Table1[[Test code]:[Test code]],[1]!Table1[3-E Tafel slope (mV/dec)],"",0)</f>
        <v>#REF!</v>
      </c>
      <c r="AA760" s="69" t="e" cm="1">
        <f t="array" ref="AA760">_xlfn.XLOOKUP(Table1[[#This Row],[5 cm2 cell test code]:[5 cm2 cell test code]],[1]!Table1[[Test code]:[Test code]],[1]!Table1[E @ 100 mA/cm2 DIW/V],"",0)</f>
        <v>#REF!</v>
      </c>
      <c r="AB760" s="69" t="e" cm="1">
        <f t="array" ref="AB760">_xlfn.XLOOKUP(Table1[[#This Row],[5 cm2 cell test code]:[5 cm2 cell test code]],[1]!Table1[[Test code]:[Test code]],[1]!Table1[E @ 100 mA/cm2 10 mM KOH/V],"",0)</f>
        <v>#REF!</v>
      </c>
      <c r="AC760" s="69" t="e" cm="1">
        <f t="array" ref="AC760">_xlfn.XLOOKUP(Table1[[#This Row],[5 cm2 cell test code]:[5 cm2 cell test code]],[1]!Table1[[Test code]:[Test code]],[1]!Table1[Anode ICR/mOhm],"",0)</f>
        <v>#REF!</v>
      </c>
      <c r="AD760" s="69" t="e" cm="1">
        <f t="array" ref="AD760">_xlfn.XLOOKUP(Table1[[#This Row],[5 cm2 cell test code]:[5 cm2 cell test code]],[1]!Table1[[Test code]:[Test code]],[1]!Table1[HFR DIW/ mOhm cm2],"",0)</f>
        <v>#REF!</v>
      </c>
      <c r="AE760" s="69" t="e" cm="1">
        <f t="array" ref="AE760">_xlfn.XLOOKUP(Table1[[#This Row],[5 cm2 cell test code]:[5 cm2 cell test code]],[1]!Table1[[Test code]:[Test code]],[1]!Table1[HFR 10 mM KOH/ mOhm cm2],"",0)</f>
        <v>#REF!</v>
      </c>
      <c r="AF760" s="69" t="e" cm="1">
        <f t="array" ref="AF760">_xlfn.XLOOKUP(Table1[[#This Row],[5 cm2 cell test code]:[5 cm2 cell test code]],[1]!Table1[[Test code]:[Test code]],[1]!Table1[Ionic resistance DIW/Ohm cm2],"",0)</f>
        <v>#REF!</v>
      </c>
      <c r="AG760" s="69" t="e" cm="1">
        <f t="array" ref="AG760">_xlfn.XLOOKUP(Table1[[#This Row],[5 cm2 cell test code]:[5 cm2 cell test code]],[1]!Table1[[Test code]:[Test code]],[1]!Table1[Q_int_frac DIW],"",0)</f>
        <v>#REF!</v>
      </c>
      <c r="AH760" s="69" t="e" cm="1">
        <f t="array" ref="AH760">_xlfn.XLOOKUP(Table1[[#This Row],[5 cm2 cell test code]:[5 cm2 cell test code]],[1]!Table1[[Test code]:[Test code]],[1]!Table1[Ionic resistance 10 mM KOH/Ohm cm2],"",0)</f>
        <v>#REF!</v>
      </c>
      <c r="AI760" s="69" t="e" cm="1">
        <f t="array" ref="AI760">_xlfn.XLOOKUP(Table1[[#This Row],[5 cm2 cell test code]:[5 cm2 cell test code]],[1]!Table1[[Test code]:[Test code]],[1]!Table1[Q_int_frac DIW 10 mM KOH],"",0)</f>
        <v>#REF!</v>
      </c>
      <c r="AJ760" s="69" t="e" cm="1">
        <f t="array" ref="AJ760">_xlfn.XLOOKUP(Table1[[#This Row],[5 cm2 cell test code]:[5 cm2 cell test code]],[1]!Table1[[Test code]:[Test code]],[1]!Table1[DIW conductivity (µS/cm)],"",0)</f>
        <v>#REF!</v>
      </c>
    </row>
    <row r="761" spans="1:36">
      <c r="A761" s="81"/>
      <c r="U761" s="101"/>
      <c r="V761" s="101"/>
      <c r="W761" s="69" t="e" cm="1">
        <f t="array" ref="W761">_xlfn.XLOOKUP(Table1[[#This Row],[5 cm2 cell test code]:[5 cm2 cell test code]],[1]!Table1[[Test code]:[Test code]],[1]!Table1[i @ 1.8 V DIW (A/cm2)],"",0)</f>
        <v>#REF!</v>
      </c>
      <c r="X761" s="69" t="e" cm="1">
        <f t="array" ref="X761">_xlfn.XLOOKUP(Table1[[#This Row],[5 cm2 cell test code]:[5 cm2 cell test code]],[1]!Table1[[Test code]:[Test code]],[1]!Table1[i @ 1.8 V 10 mM KOH (A/cm2)],"",0)</f>
        <v>#REF!</v>
      </c>
      <c r="Y761" s="69" t="e" cm="1">
        <f t="array" ref="Y761">_xlfn.XLOOKUP(Table1[[#This Row],[5 cm2 cell test code]:[5 cm2 cell test code]],[1]!Table1[[Test code]:[Test code]],[1]!Table1[3-E ƞ at 20mAcm-2 (mV)],"",0)</f>
        <v>#REF!</v>
      </c>
      <c r="Z761" s="69" t="e" cm="1">
        <f t="array" ref="Z761">_xlfn.XLOOKUP(Table1[[#This Row],[5 cm2 cell test code]:[5 cm2 cell test code]],[1]!Table1[[Test code]:[Test code]],[1]!Table1[3-E Tafel slope (mV/dec)],"",0)</f>
        <v>#REF!</v>
      </c>
      <c r="AA761" s="69" t="e" cm="1">
        <f t="array" ref="AA761">_xlfn.XLOOKUP(Table1[[#This Row],[5 cm2 cell test code]:[5 cm2 cell test code]],[1]!Table1[[Test code]:[Test code]],[1]!Table1[E @ 100 mA/cm2 DIW/V],"",0)</f>
        <v>#REF!</v>
      </c>
      <c r="AB761" s="69" t="e" cm="1">
        <f t="array" ref="AB761">_xlfn.XLOOKUP(Table1[[#This Row],[5 cm2 cell test code]:[5 cm2 cell test code]],[1]!Table1[[Test code]:[Test code]],[1]!Table1[E @ 100 mA/cm2 10 mM KOH/V],"",0)</f>
        <v>#REF!</v>
      </c>
      <c r="AC761" s="69" t="e" cm="1">
        <f t="array" ref="AC761">_xlfn.XLOOKUP(Table1[[#This Row],[5 cm2 cell test code]:[5 cm2 cell test code]],[1]!Table1[[Test code]:[Test code]],[1]!Table1[Anode ICR/mOhm],"",0)</f>
        <v>#REF!</v>
      </c>
      <c r="AD761" s="69" t="e" cm="1">
        <f t="array" ref="AD761">_xlfn.XLOOKUP(Table1[[#This Row],[5 cm2 cell test code]:[5 cm2 cell test code]],[1]!Table1[[Test code]:[Test code]],[1]!Table1[HFR DIW/ mOhm cm2],"",0)</f>
        <v>#REF!</v>
      </c>
      <c r="AE761" s="69" t="e" cm="1">
        <f t="array" ref="AE761">_xlfn.XLOOKUP(Table1[[#This Row],[5 cm2 cell test code]:[5 cm2 cell test code]],[1]!Table1[[Test code]:[Test code]],[1]!Table1[HFR 10 mM KOH/ mOhm cm2],"",0)</f>
        <v>#REF!</v>
      </c>
      <c r="AF761" s="69" t="e" cm="1">
        <f t="array" ref="AF761">_xlfn.XLOOKUP(Table1[[#This Row],[5 cm2 cell test code]:[5 cm2 cell test code]],[1]!Table1[[Test code]:[Test code]],[1]!Table1[Ionic resistance DIW/Ohm cm2],"",0)</f>
        <v>#REF!</v>
      </c>
      <c r="AG761" s="69" t="e" cm="1">
        <f t="array" ref="AG761">_xlfn.XLOOKUP(Table1[[#This Row],[5 cm2 cell test code]:[5 cm2 cell test code]],[1]!Table1[[Test code]:[Test code]],[1]!Table1[Q_int_frac DIW],"",0)</f>
        <v>#REF!</v>
      </c>
      <c r="AH761" s="69" t="e" cm="1">
        <f t="array" ref="AH761">_xlfn.XLOOKUP(Table1[[#This Row],[5 cm2 cell test code]:[5 cm2 cell test code]],[1]!Table1[[Test code]:[Test code]],[1]!Table1[Ionic resistance 10 mM KOH/Ohm cm2],"",0)</f>
        <v>#REF!</v>
      </c>
      <c r="AI761" s="69" t="e" cm="1">
        <f t="array" ref="AI761">_xlfn.XLOOKUP(Table1[[#This Row],[5 cm2 cell test code]:[5 cm2 cell test code]],[1]!Table1[[Test code]:[Test code]],[1]!Table1[Q_int_frac DIW 10 mM KOH],"",0)</f>
        <v>#REF!</v>
      </c>
      <c r="AJ761" s="69" t="e" cm="1">
        <f t="array" ref="AJ761">_xlfn.XLOOKUP(Table1[[#This Row],[5 cm2 cell test code]:[5 cm2 cell test code]],[1]!Table1[[Test code]:[Test code]],[1]!Table1[DIW conductivity (µS/cm)],"",0)</f>
        <v>#REF!</v>
      </c>
    </row>
    <row r="762" spans="1:36">
      <c r="A762" s="81"/>
      <c r="U762" s="101"/>
      <c r="V762" s="101"/>
      <c r="W762" s="69" t="e" cm="1">
        <f t="array" ref="W762">_xlfn.XLOOKUP(Table1[[#This Row],[5 cm2 cell test code]:[5 cm2 cell test code]],[1]!Table1[[Test code]:[Test code]],[1]!Table1[i @ 1.8 V DIW (A/cm2)],"",0)</f>
        <v>#REF!</v>
      </c>
      <c r="X762" s="69" t="e" cm="1">
        <f t="array" ref="X762">_xlfn.XLOOKUP(Table1[[#This Row],[5 cm2 cell test code]:[5 cm2 cell test code]],[1]!Table1[[Test code]:[Test code]],[1]!Table1[i @ 1.8 V 10 mM KOH (A/cm2)],"",0)</f>
        <v>#REF!</v>
      </c>
      <c r="Y762" s="69" t="e" cm="1">
        <f t="array" ref="Y762">_xlfn.XLOOKUP(Table1[[#This Row],[5 cm2 cell test code]:[5 cm2 cell test code]],[1]!Table1[[Test code]:[Test code]],[1]!Table1[3-E ƞ at 20mAcm-2 (mV)],"",0)</f>
        <v>#REF!</v>
      </c>
      <c r="Z762" s="69" t="e" cm="1">
        <f t="array" ref="Z762">_xlfn.XLOOKUP(Table1[[#This Row],[5 cm2 cell test code]:[5 cm2 cell test code]],[1]!Table1[[Test code]:[Test code]],[1]!Table1[3-E Tafel slope (mV/dec)],"",0)</f>
        <v>#REF!</v>
      </c>
      <c r="AA762" s="69" t="e" cm="1">
        <f t="array" ref="AA762">_xlfn.XLOOKUP(Table1[[#This Row],[5 cm2 cell test code]:[5 cm2 cell test code]],[1]!Table1[[Test code]:[Test code]],[1]!Table1[E @ 100 mA/cm2 DIW/V],"",0)</f>
        <v>#REF!</v>
      </c>
      <c r="AB762" s="69" t="e" cm="1">
        <f t="array" ref="AB762">_xlfn.XLOOKUP(Table1[[#This Row],[5 cm2 cell test code]:[5 cm2 cell test code]],[1]!Table1[[Test code]:[Test code]],[1]!Table1[E @ 100 mA/cm2 10 mM KOH/V],"",0)</f>
        <v>#REF!</v>
      </c>
      <c r="AC762" s="69" t="e" cm="1">
        <f t="array" ref="AC762">_xlfn.XLOOKUP(Table1[[#This Row],[5 cm2 cell test code]:[5 cm2 cell test code]],[1]!Table1[[Test code]:[Test code]],[1]!Table1[Anode ICR/mOhm],"",0)</f>
        <v>#REF!</v>
      </c>
      <c r="AD762" s="69" t="e" cm="1">
        <f t="array" ref="AD762">_xlfn.XLOOKUP(Table1[[#This Row],[5 cm2 cell test code]:[5 cm2 cell test code]],[1]!Table1[[Test code]:[Test code]],[1]!Table1[HFR DIW/ mOhm cm2],"",0)</f>
        <v>#REF!</v>
      </c>
      <c r="AE762" s="69" t="e" cm="1">
        <f t="array" ref="AE762">_xlfn.XLOOKUP(Table1[[#This Row],[5 cm2 cell test code]:[5 cm2 cell test code]],[1]!Table1[[Test code]:[Test code]],[1]!Table1[HFR 10 mM KOH/ mOhm cm2],"",0)</f>
        <v>#REF!</v>
      </c>
      <c r="AF762" s="69" t="e" cm="1">
        <f t="array" ref="AF762">_xlfn.XLOOKUP(Table1[[#This Row],[5 cm2 cell test code]:[5 cm2 cell test code]],[1]!Table1[[Test code]:[Test code]],[1]!Table1[Ionic resistance DIW/Ohm cm2],"",0)</f>
        <v>#REF!</v>
      </c>
      <c r="AG762" s="69" t="e" cm="1">
        <f t="array" ref="AG762">_xlfn.XLOOKUP(Table1[[#This Row],[5 cm2 cell test code]:[5 cm2 cell test code]],[1]!Table1[[Test code]:[Test code]],[1]!Table1[Q_int_frac DIW],"",0)</f>
        <v>#REF!</v>
      </c>
      <c r="AH762" s="69" t="e" cm="1">
        <f t="array" ref="AH762">_xlfn.XLOOKUP(Table1[[#This Row],[5 cm2 cell test code]:[5 cm2 cell test code]],[1]!Table1[[Test code]:[Test code]],[1]!Table1[Ionic resistance 10 mM KOH/Ohm cm2],"",0)</f>
        <v>#REF!</v>
      </c>
      <c r="AI762" s="69" t="e" cm="1">
        <f t="array" ref="AI762">_xlfn.XLOOKUP(Table1[[#This Row],[5 cm2 cell test code]:[5 cm2 cell test code]],[1]!Table1[[Test code]:[Test code]],[1]!Table1[Q_int_frac DIW 10 mM KOH],"",0)</f>
        <v>#REF!</v>
      </c>
      <c r="AJ762" s="69" t="e" cm="1">
        <f t="array" ref="AJ762">_xlfn.XLOOKUP(Table1[[#This Row],[5 cm2 cell test code]:[5 cm2 cell test code]],[1]!Table1[[Test code]:[Test code]],[1]!Table1[DIW conductivity (µS/cm)],"",0)</f>
        <v>#REF!</v>
      </c>
    </row>
    <row r="763" spans="1:36">
      <c r="A763" s="81"/>
      <c r="U763" s="101"/>
      <c r="V763" s="101"/>
      <c r="W763" s="69" t="e" cm="1">
        <f t="array" ref="W763">_xlfn.XLOOKUP(Table1[[#This Row],[5 cm2 cell test code]:[5 cm2 cell test code]],[1]!Table1[[Test code]:[Test code]],[1]!Table1[i @ 1.8 V DIW (A/cm2)],"",0)</f>
        <v>#REF!</v>
      </c>
      <c r="X763" s="69" t="e" cm="1">
        <f t="array" ref="X763">_xlfn.XLOOKUP(Table1[[#This Row],[5 cm2 cell test code]:[5 cm2 cell test code]],[1]!Table1[[Test code]:[Test code]],[1]!Table1[i @ 1.8 V 10 mM KOH (A/cm2)],"",0)</f>
        <v>#REF!</v>
      </c>
      <c r="Y763" s="69" t="e" cm="1">
        <f t="array" ref="Y763">_xlfn.XLOOKUP(Table1[[#This Row],[5 cm2 cell test code]:[5 cm2 cell test code]],[1]!Table1[[Test code]:[Test code]],[1]!Table1[3-E ƞ at 20mAcm-2 (mV)],"",0)</f>
        <v>#REF!</v>
      </c>
      <c r="Z763" s="69" t="e" cm="1">
        <f t="array" ref="Z763">_xlfn.XLOOKUP(Table1[[#This Row],[5 cm2 cell test code]:[5 cm2 cell test code]],[1]!Table1[[Test code]:[Test code]],[1]!Table1[3-E Tafel slope (mV/dec)],"",0)</f>
        <v>#REF!</v>
      </c>
      <c r="AA763" s="69" t="e" cm="1">
        <f t="array" ref="AA763">_xlfn.XLOOKUP(Table1[[#This Row],[5 cm2 cell test code]:[5 cm2 cell test code]],[1]!Table1[[Test code]:[Test code]],[1]!Table1[E @ 100 mA/cm2 DIW/V],"",0)</f>
        <v>#REF!</v>
      </c>
      <c r="AB763" s="69" t="e" cm="1">
        <f t="array" ref="AB763">_xlfn.XLOOKUP(Table1[[#This Row],[5 cm2 cell test code]:[5 cm2 cell test code]],[1]!Table1[[Test code]:[Test code]],[1]!Table1[E @ 100 mA/cm2 10 mM KOH/V],"",0)</f>
        <v>#REF!</v>
      </c>
      <c r="AC763" s="69" t="e" cm="1">
        <f t="array" ref="AC763">_xlfn.XLOOKUP(Table1[[#This Row],[5 cm2 cell test code]:[5 cm2 cell test code]],[1]!Table1[[Test code]:[Test code]],[1]!Table1[Anode ICR/mOhm],"",0)</f>
        <v>#REF!</v>
      </c>
      <c r="AD763" s="69" t="e" cm="1">
        <f t="array" ref="AD763">_xlfn.XLOOKUP(Table1[[#This Row],[5 cm2 cell test code]:[5 cm2 cell test code]],[1]!Table1[[Test code]:[Test code]],[1]!Table1[HFR DIW/ mOhm cm2],"",0)</f>
        <v>#REF!</v>
      </c>
      <c r="AE763" s="69" t="e" cm="1">
        <f t="array" ref="AE763">_xlfn.XLOOKUP(Table1[[#This Row],[5 cm2 cell test code]:[5 cm2 cell test code]],[1]!Table1[[Test code]:[Test code]],[1]!Table1[HFR 10 mM KOH/ mOhm cm2],"",0)</f>
        <v>#REF!</v>
      </c>
      <c r="AF763" s="69" t="e" cm="1">
        <f t="array" ref="AF763">_xlfn.XLOOKUP(Table1[[#This Row],[5 cm2 cell test code]:[5 cm2 cell test code]],[1]!Table1[[Test code]:[Test code]],[1]!Table1[Ionic resistance DIW/Ohm cm2],"",0)</f>
        <v>#REF!</v>
      </c>
      <c r="AG763" s="69" t="e" cm="1">
        <f t="array" ref="AG763">_xlfn.XLOOKUP(Table1[[#This Row],[5 cm2 cell test code]:[5 cm2 cell test code]],[1]!Table1[[Test code]:[Test code]],[1]!Table1[Q_int_frac DIW],"",0)</f>
        <v>#REF!</v>
      </c>
      <c r="AH763" s="69" t="e" cm="1">
        <f t="array" ref="AH763">_xlfn.XLOOKUP(Table1[[#This Row],[5 cm2 cell test code]:[5 cm2 cell test code]],[1]!Table1[[Test code]:[Test code]],[1]!Table1[Ionic resistance 10 mM KOH/Ohm cm2],"",0)</f>
        <v>#REF!</v>
      </c>
      <c r="AI763" s="69" t="e" cm="1">
        <f t="array" ref="AI763">_xlfn.XLOOKUP(Table1[[#This Row],[5 cm2 cell test code]:[5 cm2 cell test code]],[1]!Table1[[Test code]:[Test code]],[1]!Table1[Q_int_frac DIW 10 mM KOH],"",0)</f>
        <v>#REF!</v>
      </c>
      <c r="AJ763" s="69" t="e" cm="1">
        <f t="array" ref="AJ763">_xlfn.XLOOKUP(Table1[[#This Row],[5 cm2 cell test code]:[5 cm2 cell test code]],[1]!Table1[[Test code]:[Test code]],[1]!Table1[DIW conductivity (µS/cm)],"",0)</f>
        <v>#REF!</v>
      </c>
    </row>
    <row r="764" spans="1:36">
      <c r="A764" s="81"/>
      <c r="U764" s="101"/>
      <c r="V764" s="101"/>
      <c r="W764" s="69" t="e" cm="1">
        <f t="array" ref="W764">_xlfn.XLOOKUP(Table1[[#This Row],[5 cm2 cell test code]:[5 cm2 cell test code]],[1]!Table1[[Test code]:[Test code]],[1]!Table1[i @ 1.8 V DIW (A/cm2)],"",0)</f>
        <v>#REF!</v>
      </c>
      <c r="X764" s="69" t="e" cm="1">
        <f t="array" ref="X764">_xlfn.XLOOKUP(Table1[[#This Row],[5 cm2 cell test code]:[5 cm2 cell test code]],[1]!Table1[[Test code]:[Test code]],[1]!Table1[i @ 1.8 V 10 mM KOH (A/cm2)],"",0)</f>
        <v>#REF!</v>
      </c>
      <c r="Y764" s="69" t="e" cm="1">
        <f t="array" ref="Y764">_xlfn.XLOOKUP(Table1[[#This Row],[5 cm2 cell test code]:[5 cm2 cell test code]],[1]!Table1[[Test code]:[Test code]],[1]!Table1[3-E ƞ at 20mAcm-2 (mV)],"",0)</f>
        <v>#REF!</v>
      </c>
      <c r="Z764" s="69" t="e" cm="1">
        <f t="array" ref="Z764">_xlfn.XLOOKUP(Table1[[#This Row],[5 cm2 cell test code]:[5 cm2 cell test code]],[1]!Table1[[Test code]:[Test code]],[1]!Table1[3-E Tafel slope (mV/dec)],"",0)</f>
        <v>#REF!</v>
      </c>
      <c r="AA764" s="69" t="e" cm="1">
        <f t="array" ref="AA764">_xlfn.XLOOKUP(Table1[[#This Row],[5 cm2 cell test code]:[5 cm2 cell test code]],[1]!Table1[[Test code]:[Test code]],[1]!Table1[E @ 100 mA/cm2 DIW/V],"",0)</f>
        <v>#REF!</v>
      </c>
      <c r="AB764" s="69" t="e" cm="1">
        <f t="array" ref="AB764">_xlfn.XLOOKUP(Table1[[#This Row],[5 cm2 cell test code]:[5 cm2 cell test code]],[1]!Table1[[Test code]:[Test code]],[1]!Table1[E @ 100 mA/cm2 10 mM KOH/V],"",0)</f>
        <v>#REF!</v>
      </c>
      <c r="AC764" s="69" t="e" cm="1">
        <f t="array" ref="AC764">_xlfn.XLOOKUP(Table1[[#This Row],[5 cm2 cell test code]:[5 cm2 cell test code]],[1]!Table1[[Test code]:[Test code]],[1]!Table1[Anode ICR/mOhm],"",0)</f>
        <v>#REF!</v>
      </c>
      <c r="AD764" s="69" t="e" cm="1">
        <f t="array" ref="AD764">_xlfn.XLOOKUP(Table1[[#This Row],[5 cm2 cell test code]:[5 cm2 cell test code]],[1]!Table1[[Test code]:[Test code]],[1]!Table1[HFR DIW/ mOhm cm2],"",0)</f>
        <v>#REF!</v>
      </c>
      <c r="AE764" s="69" t="e" cm="1">
        <f t="array" ref="AE764">_xlfn.XLOOKUP(Table1[[#This Row],[5 cm2 cell test code]:[5 cm2 cell test code]],[1]!Table1[[Test code]:[Test code]],[1]!Table1[HFR 10 mM KOH/ mOhm cm2],"",0)</f>
        <v>#REF!</v>
      </c>
      <c r="AF764" s="69" t="e" cm="1">
        <f t="array" ref="AF764">_xlfn.XLOOKUP(Table1[[#This Row],[5 cm2 cell test code]:[5 cm2 cell test code]],[1]!Table1[[Test code]:[Test code]],[1]!Table1[Ionic resistance DIW/Ohm cm2],"",0)</f>
        <v>#REF!</v>
      </c>
      <c r="AG764" s="69" t="e" cm="1">
        <f t="array" ref="AG764">_xlfn.XLOOKUP(Table1[[#This Row],[5 cm2 cell test code]:[5 cm2 cell test code]],[1]!Table1[[Test code]:[Test code]],[1]!Table1[Q_int_frac DIW],"",0)</f>
        <v>#REF!</v>
      </c>
      <c r="AH764" s="69" t="e" cm="1">
        <f t="array" ref="AH764">_xlfn.XLOOKUP(Table1[[#This Row],[5 cm2 cell test code]:[5 cm2 cell test code]],[1]!Table1[[Test code]:[Test code]],[1]!Table1[Ionic resistance 10 mM KOH/Ohm cm2],"",0)</f>
        <v>#REF!</v>
      </c>
      <c r="AI764" s="69" t="e" cm="1">
        <f t="array" ref="AI764">_xlfn.XLOOKUP(Table1[[#This Row],[5 cm2 cell test code]:[5 cm2 cell test code]],[1]!Table1[[Test code]:[Test code]],[1]!Table1[Q_int_frac DIW 10 mM KOH],"",0)</f>
        <v>#REF!</v>
      </c>
      <c r="AJ764" s="69" t="e" cm="1">
        <f t="array" ref="AJ764">_xlfn.XLOOKUP(Table1[[#This Row],[5 cm2 cell test code]:[5 cm2 cell test code]],[1]!Table1[[Test code]:[Test code]],[1]!Table1[DIW conductivity (µS/cm)],"",0)</f>
        <v>#REF!</v>
      </c>
    </row>
    <row r="765" spans="1:36">
      <c r="A765" s="81"/>
      <c r="U765" s="101"/>
      <c r="V765" s="101"/>
      <c r="W765" s="69" t="e" cm="1">
        <f t="array" ref="W765">_xlfn.XLOOKUP(Table1[[#This Row],[5 cm2 cell test code]:[5 cm2 cell test code]],[1]!Table1[[Test code]:[Test code]],[1]!Table1[i @ 1.8 V DIW (A/cm2)],"",0)</f>
        <v>#REF!</v>
      </c>
      <c r="X765" s="69" t="e" cm="1">
        <f t="array" ref="X765">_xlfn.XLOOKUP(Table1[[#This Row],[5 cm2 cell test code]:[5 cm2 cell test code]],[1]!Table1[[Test code]:[Test code]],[1]!Table1[i @ 1.8 V 10 mM KOH (A/cm2)],"",0)</f>
        <v>#REF!</v>
      </c>
      <c r="Y765" s="69" t="e" cm="1">
        <f t="array" ref="Y765">_xlfn.XLOOKUP(Table1[[#This Row],[5 cm2 cell test code]:[5 cm2 cell test code]],[1]!Table1[[Test code]:[Test code]],[1]!Table1[3-E ƞ at 20mAcm-2 (mV)],"",0)</f>
        <v>#REF!</v>
      </c>
      <c r="Z765" s="69" t="e" cm="1">
        <f t="array" ref="Z765">_xlfn.XLOOKUP(Table1[[#This Row],[5 cm2 cell test code]:[5 cm2 cell test code]],[1]!Table1[[Test code]:[Test code]],[1]!Table1[3-E Tafel slope (mV/dec)],"",0)</f>
        <v>#REF!</v>
      </c>
      <c r="AA765" s="69" t="e" cm="1">
        <f t="array" ref="AA765">_xlfn.XLOOKUP(Table1[[#This Row],[5 cm2 cell test code]:[5 cm2 cell test code]],[1]!Table1[[Test code]:[Test code]],[1]!Table1[E @ 100 mA/cm2 DIW/V],"",0)</f>
        <v>#REF!</v>
      </c>
      <c r="AB765" s="69" t="e" cm="1">
        <f t="array" ref="AB765">_xlfn.XLOOKUP(Table1[[#This Row],[5 cm2 cell test code]:[5 cm2 cell test code]],[1]!Table1[[Test code]:[Test code]],[1]!Table1[E @ 100 mA/cm2 10 mM KOH/V],"",0)</f>
        <v>#REF!</v>
      </c>
      <c r="AC765" s="69" t="e" cm="1">
        <f t="array" ref="AC765">_xlfn.XLOOKUP(Table1[[#This Row],[5 cm2 cell test code]:[5 cm2 cell test code]],[1]!Table1[[Test code]:[Test code]],[1]!Table1[Anode ICR/mOhm],"",0)</f>
        <v>#REF!</v>
      </c>
      <c r="AD765" s="69" t="e" cm="1">
        <f t="array" ref="AD765">_xlfn.XLOOKUP(Table1[[#This Row],[5 cm2 cell test code]:[5 cm2 cell test code]],[1]!Table1[[Test code]:[Test code]],[1]!Table1[HFR DIW/ mOhm cm2],"",0)</f>
        <v>#REF!</v>
      </c>
      <c r="AE765" s="69" t="e" cm="1">
        <f t="array" ref="AE765">_xlfn.XLOOKUP(Table1[[#This Row],[5 cm2 cell test code]:[5 cm2 cell test code]],[1]!Table1[[Test code]:[Test code]],[1]!Table1[HFR 10 mM KOH/ mOhm cm2],"",0)</f>
        <v>#REF!</v>
      </c>
      <c r="AF765" s="69" t="e" cm="1">
        <f t="array" ref="AF765">_xlfn.XLOOKUP(Table1[[#This Row],[5 cm2 cell test code]:[5 cm2 cell test code]],[1]!Table1[[Test code]:[Test code]],[1]!Table1[Ionic resistance DIW/Ohm cm2],"",0)</f>
        <v>#REF!</v>
      </c>
      <c r="AG765" s="69" t="e" cm="1">
        <f t="array" ref="AG765">_xlfn.XLOOKUP(Table1[[#This Row],[5 cm2 cell test code]:[5 cm2 cell test code]],[1]!Table1[[Test code]:[Test code]],[1]!Table1[Q_int_frac DIW],"",0)</f>
        <v>#REF!</v>
      </c>
      <c r="AH765" s="69" t="e" cm="1">
        <f t="array" ref="AH765">_xlfn.XLOOKUP(Table1[[#This Row],[5 cm2 cell test code]:[5 cm2 cell test code]],[1]!Table1[[Test code]:[Test code]],[1]!Table1[Ionic resistance 10 mM KOH/Ohm cm2],"",0)</f>
        <v>#REF!</v>
      </c>
      <c r="AI765" s="69" t="e" cm="1">
        <f t="array" ref="AI765">_xlfn.XLOOKUP(Table1[[#This Row],[5 cm2 cell test code]:[5 cm2 cell test code]],[1]!Table1[[Test code]:[Test code]],[1]!Table1[Q_int_frac DIW 10 mM KOH],"",0)</f>
        <v>#REF!</v>
      </c>
      <c r="AJ765" s="69" t="e" cm="1">
        <f t="array" ref="AJ765">_xlfn.XLOOKUP(Table1[[#This Row],[5 cm2 cell test code]:[5 cm2 cell test code]],[1]!Table1[[Test code]:[Test code]],[1]!Table1[DIW conductivity (µS/cm)],"",0)</f>
        <v>#REF!</v>
      </c>
    </row>
    <row r="766" spans="1:36">
      <c r="A766" s="81"/>
      <c r="U766" s="101"/>
      <c r="V766" s="101"/>
      <c r="W766" s="69" t="e" cm="1">
        <f t="array" ref="W766">_xlfn.XLOOKUP(Table1[[#This Row],[5 cm2 cell test code]:[5 cm2 cell test code]],[1]!Table1[[Test code]:[Test code]],[1]!Table1[i @ 1.8 V DIW (A/cm2)],"",0)</f>
        <v>#REF!</v>
      </c>
      <c r="X766" s="69" t="e" cm="1">
        <f t="array" ref="X766">_xlfn.XLOOKUP(Table1[[#This Row],[5 cm2 cell test code]:[5 cm2 cell test code]],[1]!Table1[[Test code]:[Test code]],[1]!Table1[i @ 1.8 V 10 mM KOH (A/cm2)],"",0)</f>
        <v>#REF!</v>
      </c>
      <c r="Y766" s="69" t="e" cm="1">
        <f t="array" ref="Y766">_xlfn.XLOOKUP(Table1[[#This Row],[5 cm2 cell test code]:[5 cm2 cell test code]],[1]!Table1[[Test code]:[Test code]],[1]!Table1[3-E ƞ at 20mAcm-2 (mV)],"",0)</f>
        <v>#REF!</v>
      </c>
      <c r="Z766" s="69" t="e" cm="1">
        <f t="array" ref="Z766">_xlfn.XLOOKUP(Table1[[#This Row],[5 cm2 cell test code]:[5 cm2 cell test code]],[1]!Table1[[Test code]:[Test code]],[1]!Table1[3-E Tafel slope (mV/dec)],"",0)</f>
        <v>#REF!</v>
      </c>
      <c r="AA766" s="69" t="e" cm="1">
        <f t="array" ref="AA766">_xlfn.XLOOKUP(Table1[[#This Row],[5 cm2 cell test code]:[5 cm2 cell test code]],[1]!Table1[[Test code]:[Test code]],[1]!Table1[E @ 100 mA/cm2 DIW/V],"",0)</f>
        <v>#REF!</v>
      </c>
      <c r="AB766" s="69" t="e" cm="1">
        <f t="array" ref="AB766">_xlfn.XLOOKUP(Table1[[#This Row],[5 cm2 cell test code]:[5 cm2 cell test code]],[1]!Table1[[Test code]:[Test code]],[1]!Table1[E @ 100 mA/cm2 10 mM KOH/V],"",0)</f>
        <v>#REF!</v>
      </c>
      <c r="AC766" s="69" t="e" cm="1">
        <f t="array" ref="AC766">_xlfn.XLOOKUP(Table1[[#This Row],[5 cm2 cell test code]:[5 cm2 cell test code]],[1]!Table1[[Test code]:[Test code]],[1]!Table1[Anode ICR/mOhm],"",0)</f>
        <v>#REF!</v>
      </c>
      <c r="AD766" s="69" t="e" cm="1">
        <f t="array" ref="AD766">_xlfn.XLOOKUP(Table1[[#This Row],[5 cm2 cell test code]:[5 cm2 cell test code]],[1]!Table1[[Test code]:[Test code]],[1]!Table1[HFR DIW/ mOhm cm2],"",0)</f>
        <v>#REF!</v>
      </c>
      <c r="AE766" s="69" t="e" cm="1">
        <f t="array" ref="AE766">_xlfn.XLOOKUP(Table1[[#This Row],[5 cm2 cell test code]:[5 cm2 cell test code]],[1]!Table1[[Test code]:[Test code]],[1]!Table1[HFR 10 mM KOH/ mOhm cm2],"",0)</f>
        <v>#REF!</v>
      </c>
      <c r="AF766" s="69" t="e" cm="1">
        <f t="array" ref="AF766">_xlfn.XLOOKUP(Table1[[#This Row],[5 cm2 cell test code]:[5 cm2 cell test code]],[1]!Table1[[Test code]:[Test code]],[1]!Table1[Ionic resistance DIW/Ohm cm2],"",0)</f>
        <v>#REF!</v>
      </c>
      <c r="AG766" s="69" t="e" cm="1">
        <f t="array" ref="AG766">_xlfn.XLOOKUP(Table1[[#This Row],[5 cm2 cell test code]:[5 cm2 cell test code]],[1]!Table1[[Test code]:[Test code]],[1]!Table1[Q_int_frac DIW],"",0)</f>
        <v>#REF!</v>
      </c>
      <c r="AH766" s="69" t="e" cm="1">
        <f t="array" ref="AH766">_xlfn.XLOOKUP(Table1[[#This Row],[5 cm2 cell test code]:[5 cm2 cell test code]],[1]!Table1[[Test code]:[Test code]],[1]!Table1[Ionic resistance 10 mM KOH/Ohm cm2],"",0)</f>
        <v>#REF!</v>
      </c>
      <c r="AI766" s="69" t="e" cm="1">
        <f t="array" ref="AI766">_xlfn.XLOOKUP(Table1[[#This Row],[5 cm2 cell test code]:[5 cm2 cell test code]],[1]!Table1[[Test code]:[Test code]],[1]!Table1[Q_int_frac DIW 10 mM KOH],"",0)</f>
        <v>#REF!</v>
      </c>
      <c r="AJ766" s="69" t="e" cm="1">
        <f t="array" ref="AJ766">_xlfn.XLOOKUP(Table1[[#This Row],[5 cm2 cell test code]:[5 cm2 cell test code]],[1]!Table1[[Test code]:[Test code]],[1]!Table1[DIW conductivity (µS/cm)],"",0)</f>
        <v>#REF!</v>
      </c>
    </row>
    <row r="767" spans="1:36">
      <c r="A767" s="81"/>
      <c r="U767" s="101"/>
      <c r="V767" s="101"/>
      <c r="W767" s="69" t="e" cm="1">
        <f t="array" ref="W767">_xlfn.XLOOKUP(Table1[[#This Row],[5 cm2 cell test code]:[5 cm2 cell test code]],[1]!Table1[[Test code]:[Test code]],[1]!Table1[i @ 1.8 V DIW (A/cm2)],"",0)</f>
        <v>#REF!</v>
      </c>
      <c r="X767" s="69" t="e" cm="1">
        <f t="array" ref="X767">_xlfn.XLOOKUP(Table1[[#This Row],[5 cm2 cell test code]:[5 cm2 cell test code]],[1]!Table1[[Test code]:[Test code]],[1]!Table1[i @ 1.8 V 10 mM KOH (A/cm2)],"",0)</f>
        <v>#REF!</v>
      </c>
      <c r="Y767" s="69" t="e" cm="1">
        <f t="array" ref="Y767">_xlfn.XLOOKUP(Table1[[#This Row],[5 cm2 cell test code]:[5 cm2 cell test code]],[1]!Table1[[Test code]:[Test code]],[1]!Table1[3-E ƞ at 20mAcm-2 (mV)],"",0)</f>
        <v>#REF!</v>
      </c>
      <c r="Z767" s="69" t="e" cm="1">
        <f t="array" ref="Z767">_xlfn.XLOOKUP(Table1[[#This Row],[5 cm2 cell test code]:[5 cm2 cell test code]],[1]!Table1[[Test code]:[Test code]],[1]!Table1[3-E Tafel slope (mV/dec)],"",0)</f>
        <v>#REF!</v>
      </c>
      <c r="AA767" s="69" t="e" cm="1">
        <f t="array" ref="AA767">_xlfn.XLOOKUP(Table1[[#This Row],[5 cm2 cell test code]:[5 cm2 cell test code]],[1]!Table1[[Test code]:[Test code]],[1]!Table1[E @ 100 mA/cm2 DIW/V],"",0)</f>
        <v>#REF!</v>
      </c>
      <c r="AB767" s="69" t="e" cm="1">
        <f t="array" ref="AB767">_xlfn.XLOOKUP(Table1[[#This Row],[5 cm2 cell test code]:[5 cm2 cell test code]],[1]!Table1[[Test code]:[Test code]],[1]!Table1[E @ 100 mA/cm2 10 mM KOH/V],"",0)</f>
        <v>#REF!</v>
      </c>
      <c r="AC767" s="69" t="e" cm="1">
        <f t="array" ref="AC767">_xlfn.XLOOKUP(Table1[[#This Row],[5 cm2 cell test code]:[5 cm2 cell test code]],[1]!Table1[[Test code]:[Test code]],[1]!Table1[Anode ICR/mOhm],"",0)</f>
        <v>#REF!</v>
      </c>
      <c r="AD767" s="69" t="e" cm="1">
        <f t="array" ref="AD767">_xlfn.XLOOKUP(Table1[[#This Row],[5 cm2 cell test code]:[5 cm2 cell test code]],[1]!Table1[[Test code]:[Test code]],[1]!Table1[HFR DIW/ mOhm cm2],"",0)</f>
        <v>#REF!</v>
      </c>
      <c r="AE767" s="69" t="e" cm="1">
        <f t="array" ref="AE767">_xlfn.XLOOKUP(Table1[[#This Row],[5 cm2 cell test code]:[5 cm2 cell test code]],[1]!Table1[[Test code]:[Test code]],[1]!Table1[HFR 10 mM KOH/ mOhm cm2],"",0)</f>
        <v>#REF!</v>
      </c>
      <c r="AF767" s="69" t="e" cm="1">
        <f t="array" ref="AF767">_xlfn.XLOOKUP(Table1[[#This Row],[5 cm2 cell test code]:[5 cm2 cell test code]],[1]!Table1[[Test code]:[Test code]],[1]!Table1[Ionic resistance DIW/Ohm cm2],"",0)</f>
        <v>#REF!</v>
      </c>
      <c r="AG767" s="69" t="e" cm="1">
        <f t="array" ref="AG767">_xlfn.XLOOKUP(Table1[[#This Row],[5 cm2 cell test code]:[5 cm2 cell test code]],[1]!Table1[[Test code]:[Test code]],[1]!Table1[Q_int_frac DIW],"",0)</f>
        <v>#REF!</v>
      </c>
      <c r="AH767" s="69" t="e" cm="1">
        <f t="array" ref="AH767">_xlfn.XLOOKUP(Table1[[#This Row],[5 cm2 cell test code]:[5 cm2 cell test code]],[1]!Table1[[Test code]:[Test code]],[1]!Table1[Ionic resistance 10 mM KOH/Ohm cm2],"",0)</f>
        <v>#REF!</v>
      </c>
      <c r="AI767" s="69" t="e" cm="1">
        <f t="array" ref="AI767">_xlfn.XLOOKUP(Table1[[#This Row],[5 cm2 cell test code]:[5 cm2 cell test code]],[1]!Table1[[Test code]:[Test code]],[1]!Table1[Q_int_frac DIW 10 mM KOH],"",0)</f>
        <v>#REF!</v>
      </c>
      <c r="AJ767" s="69" t="e" cm="1">
        <f t="array" ref="AJ767">_xlfn.XLOOKUP(Table1[[#This Row],[5 cm2 cell test code]:[5 cm2 cell test code]],[1]!Table1[[Test code]:[Test code]],[1]!Table1[DIW conductivity (µS/cm)],"",0)</f>
        <v>#REF!</v>
      </c>
    </row>
    <row r="768" spans="1:36">
      <c r="A768" s="81"/>
      <c r="U768" s="101"/>
      <c r="V768" s="101"/>
      <c r="W768" s="69" t="e" cm="1">
        <f t="array" ref="W768">_xlfn.XLOOKUP(Table1[[#This Row],[5 cm2 cell test code]:[5 cm2 cell test code]],[1]!Table1[[Test code]:[Test code]],[1]!Table1[i @ 1.8 V DIW (A/cm2)],"",0)</f>
        <v>#REF!</v>
      </c>
      <c r="X768" s="69" t="e" cm="1">
        <f t="array" ref="X768">_xlfn.XLOOKUP(Table1[[#This Row],[5 cm2 cell test code]:[5 cm2 cell test code]],[1]!Table1[[Test code]:[Test code]],[1]!Table1[i @ 1.8 V 10 mM KOH (A/cm2)],"",0)</f>
        <v>#REF!</v>
      </c>
      <c r="Y768" s="69" t="e" cm="1">
        <f t="array" ref="Y768">_xlfn.XLOOKUP(Table1[[#This Row],[5 cm2 cell test code]:[5 cm2 cell test code]],[1]!Table1[[Test code]:[Test code]],[1]!Table1[3-E ƞ at 20mAcm-2 (mV)],"",0)</f>
        <v>#REF!</v>
      </c>
      <c r="Z768" s="69" t="e" cm="1">
        <f t="array" ref="Z768">_xlfn.XLOOKUP(Table1[[#This Row],[5 cm2 cell test code]:[5 cm2 cell test code]],[1]!Table1[[Test code]:[Test code]],[1]!Table1[3-E Tafel slope (mV/dec)],"",0)</f>
        <v>#REF!</v>
      </c>
      <c r="AA768" s="69" t="e" cm="1">
        <f t="array" ref="AA768">_xlfn.XLOOKUP(Table1[[#This Row],[5 cm2 cell test code]:[5 cm2 cell test code]],[1]!Table1[[Test code]:[Test code]],[1]!Table1[E @ 100 mA/cm2 DIW/V],"",0)</f>
        <v>#REF!</v>
      </c>
      <c r="AB768" s="69" t="e" cm="1">
        <f t="array" ref="AB768">_xlfn.XLOOKUP(Table1[[#This Row],[5 cm2 cell test code]:[5 cm2 cell test code]],[1]!Table1[[Test code]:[Test code]],[1]!Table1[E @ 100 mA/cm2 10 mM KOH/V],"",0)</f>
        <v>#REF!</v>
      </c>
      <c r="AC768" s="69" t="e" cm="1">
        <f t="array" ref="AC768">_xlfn.XLOOKUP(Table1[[#This Row],[5 cm2 cell test code]:[5 cm2 cell test code]],[1]!Table1[[Test code]:[Test code]],[1]!Table1[Anode ICR/mOhm],"",0)</f>
        <v>#REF!</v>
      </c>
      <c r="AD768" s="69" t="e" cm="1">
        <f t="array" ref="AD768">_xlfn.XLOOKUP(Table1[[#This Row],[5 cm2 cell test code]:[5 cm2 cell test code]],[1]!Table1[[Test code]:[Test code]],[1]!Table1[HFR DIW/ mOhm cm2],"",0)</f>
        <v>#REF!</v>
      </c>
      <c r="AE768" s="69" t="e" cm="1">
        <f t="array" ref="AE768">_xlfn.XLOOKUP(Table1[[#This Row],[5 cm2 cell test code]:[5 cm2 cell test code]],[1]!Table1[[Test code]:[Test code]],[1]!Table1[HFR 10 mM KOH/ mOhm cm2],"",0)</f>
        <v>#REF!</v>
      </c>
      <c r="AF768" s="69" t="e" cm="1">
        <f t="array" ref="AF768">_xlfn.XLOOKUP(Table1[[#This Row],[5 cm2 cell test code]:[5 cm2 cell test code]],[1]!Table1[[Test code]:[Test code]],[1]!Table1[Ionic resistance DIW/Ohm cm2],"",0)</f>
        <v>#REF!</v>
      </c>
      <c r="AG768" s="69" t="e" cm="1">
        <f t="array" ref="AG768">_xlfn.XLOOKUP(Table1[[#This Row],[5 cm2 cell test code]:[5 cm2 cell test code]],[1]!Table1[[Test code]:[Test code]],[1]!Table1[Q_int_frac DIW],"",0)</f>
        <v>#REF!</v>
      </c>
      <c r="AH768" s="69" t="e" cm="1">
        <f t="array" ref="AH768">_xlfn.XLOOKUP(Table1[[#This Row],[5 cm2 cell test code]:[5 cm2 cell test code]],[1]!Table1[[Test code]:[Test code]],[1]!Table1[Ionic resistance 10 mM KOH/Ohm cm2],"",0)</f>
        <v>#REF!</v>
      </c>
      <c r="AI768" s="69" t="e" cm="1">
        <f t="array" ref="AI768">_xlfn.XLOOKUP(Table1[[#This Row],[5 cm2 cell test code]:[5 cm2 cell test code]],[1]!Table1[[Test code]:[Test code]],[1]!Table1[Q_int_frac DIW 10 mM KOH],"",0)</f>
        <v>#REF!</v>
      </c>
      <c r="AJ768" s="69" t="e" cm="1">
        <f t="array" ref="AJ768">_xlfn.XLOOKUP(Table1[[#This Row],[5 cm2 cell test code]:[5 cm2 cell test code]],[1]!Table1[[Test code]:[Test code]],[1]!Table1[DIW conductivity (µS/cm)],"",0)</f>
        <v>#REF!</v>
      </c>
    </row>
    <row r="769" spans="1:36">
      <c r="A769" s="81"/>
      <c r="U769" s="101"/>
      <c r="V769" s="101"/>
      <c r="W769" s="69" t="e" cm="1">
        <f t="array" ref="W769">_xlfn.XLOOKUP(Table1[[#This Row],[5 cm2 cell test code]:[5 cm2 cell test code]],[1]!Table1[[Test code]:[Test code]],[1]!Table1[i @ 1.8 V DIW (A/cm2)],"",0)</f>
        <v>#REF!</v>
      </c>
      <c r="X769" s="69" t="e" cm="1">
        <f t="array" ref="X769">_xlfn.XLOOKUP(Table1[[#This Row],[5 cm2 cell test code]:[5 cm2 cell test code]],[1]!Table1[[Test code]:[Test code]],[1]!Table1[i @ 1.8 V 10 mM KOH (A/cm2)],"",0)</f>
        <v>#REF!</v>
      </c>
      <c r="Y769" s="69" t="e" cm="1">
        <f t="array" ref="Y769">_xlfn.XLOOKUP(Table1[[#This Row],[5 cm2 cell test code]:[5 cm2 cell test code]],[1]!Table1[[Test code]:[Test code]],[1]!Table1[3-E ƞ at 20mAcm-2 (mV)],"",0)</f>
        <v>#REF!</v>
      </c>
      <c r="Z769" s="69" t="e" cm="1">
        <f t="array" ref="Z769">_xlfn.XLOOKUP(Table1[[#This Row],[5 cm2 cell test code]:[5 cm2 cell test code]],[1]!Table1[[Test code]:[Test code]],[1]!Table1[3-E Tafel slope (mV/dec)],"",0)</f>
        <v>#REF!</v>
      </c>
      <c r="AA769" s="69" t="e" cm="1">
        <f t="array" ref="AA769">_xlfn.XLOOKUP(Table1[[#This Row],[5 cm2 cell test code]:[5 cm2 cell test code]],[1]!Table1[[Test code]:[Test code]],[1]!Table1[E @ 100 mA/cm2 DIW/V],"",0)</f>
        <v>#REF!</v>
      </c>
      <c r="AB769" s="69" t="e" cm="1">
        <f t="array" ref="AB769">_xlfn.XLOOKUP(Table1[[#This Row],[5 cm2 cell test code]:[5 cm2 cell test code]],[1]!Table1[[Test code]:[Test code]],[1]!Table1[E @ 100 mA/cm2 10 mM KOH/V],"",0)</f>
        <v>#REF!</v>
      </c>
      <c r="AC769" s="69" t="e" cm="1">
        <f t="array" ref="AC769">_xlfn.XLOOKUP(Table1[[#This Row],[5 cm2 cell test code]:[5 cm2 cell test code]],[1]!Table1[[Test code]:[Test code]],[1]!Table1[Anode ICR/mOhm],"",0)</f>
        <v>#REF!</v>
      </c>
      <c r="AD769" s="69" t="e" cm="1">
        <f t="array" ref="AD769">_xlfn.XLOOKUP(Table1[[#This Row],[5 cm2 cell test code]:[5 cm2 cell test code]],[1]!Table1[[Test code]:[Test code]],[1]!Table1[HFR DIW/ mOhm cm2],"",0)</f>
        <v>#REF!</v>
      </c>
      <c r="AE769" s="69" t="e" cm="1">
        <f t="array" ref="AE769">_xlfn.XLOOKUP(Table1[[#This Row],[5 cm2 cell test code]:[5 cm2 cell test code]],[1]!Table1[[Test code]:[Test code]],[1]!Table1[HFR 10 mM KOH/ mOhm cm2],"",0)</f>
        <v>#REF!</v>
      </c>
      <c r="AF769" s="69" t="e" cm="1">
        <f t="array" ref="AF769">_xlfn.XLOOKUP(Table1[[#This Row],[5 cm2 cell test code]:[5 cm2 cell test code]],[1]!Table1[[Test code]:[Test code]],[1]!Table1[Ionic resistance DIW/Ohm cm2],"",0)</f>
        <v>#REF!</v>
      </c>
      <c r="AG769" s="69" t="e" cm="1">
        <f t="array" ref="AG769">_xlfn.XLOOKUP(Table1[[#This Row],[5 cm2 cell test code]:[5 cm2 cell test code]],[1]!Table1[[Test code]:[Test code]],[1]!Table1[Q_int_frac DIW],"",0)</f>
        <v>#REF!</v>
      </c>
      <c r="AH769" s="69" t="e" cm="1">
        <f t="array" ref="AH769">_xlfn.XLOOKUP(Table1[[#This Row],[5 cm2 cell test code]:[5 cm2 cell test code]],[1]!Table1[[Test code]:[Test code]],[1]!Table1[Ionic resistance 10 mM KOH/Ohm cm2],"",0)</f>
        <v>#REF!</v>
      </c>
      <c r="AI769" s="69" t="e" cm="1">
        <f t="array" ref="AI769">_xlfn.XLOOKUP(Table1[[#This Row],[5 cm2 cell test code]:[5 cm2 cell test code]],[1]!Table1[[Test code]:[Test code]],[1]!Table1[Q_int_frac DIW 10 mM KOH],"",0)</f>
        <v>#REF!</v>
      </c>
      <c r="AJ769" s="69" t="e" cm="1">
        <f t="array" ref="AJ769">_xlfn.XLOOKUP(Table1[[#This Row],[5 cm2 cell test code]:[5 cm2 cell test code]],[1]!Table1[[Test code]:[Test code]],[1]!Table1[DIW conductivity (µS/cm)],"",0)</f>
        <v>#REF!</v>
      </c>
    </row>
    <row r="770" spans="1:36">
      <c r="A770" s="81"/>
      <c r="U770" s="101"/>
      <c r="V770" s="101"/>
      <c r="W770" s="69" t="e" cm="1">
        <f t="array" ref="W770">_xlfn.XLOOKUP(Table1[[#This Row],[5 cm2 cell test code]:[5 cm2 cell test code]],[1]!Table1[[Test code]:[Test code]],[1]!Table1[i @ 1.8 V DIW (A/cm2)],"",0)</f>
        <v>#REF!</v>
      </c>
      <c r="X770" s="69" t="e" cm="1">
        <f t="array" ref="X770">_xlfn.XLOOKUP(Table1[[#This Row],[5 cm2 cell test code]:[5 cm2 cell test code]],[1]!Table1[[Test code]:[Test code]],[1]!Table1[i @ 1.8 V 10 mM KOH (A/cm2)],"",0)</f>
        <v>#REF!</v>
      </c>
      <c r="Y770" s="69" t="e" cm="1">
        <f t="array" ref="Y770">_xlfn.XLOOKUP(Table1[[#This Row],[5 cm2 cell test code]:[5 cm2 cell test code]],[1]!Table1[[Test code]:[Test code]],[1]!Table1[3-E ƞ at 20mAcm-2 (mV)],"",0)</f>
        <v>#REF!</v>
      </c>
      <c r="Z770" s="69" t="e" cm="1">
        <f t="array" ref="Z770">_xlfn.XLOOKUP(Table1[[#This Row],[5 cm2 cell test code]:[5 cm2 cell test code]],[1]!Table1[[Test code]:[Test code]],[1]!Table1[3-E Tafel slope (mV/dec)],"",0)</f>
        <v>#REF!</v>
      </c>
      <c r="AA770" s="69" t="e" cm="1">
        <f t="array" ref="AA770">_xlfn.XLOOKUP(Table1[[#This Row],[5 cm2 cell test code]:[5 cm2 cell test code]],[1]!Table1[[Test code]:[Test code]],[1]!Table1[E @ 100 mA/cm2 DIW/V],"",0)</f>
        <v>#REF!</v>
      </c>
      <c r="AB770" s="69" t="e" cm="1">
        <f t="array" ref="AB770">_xlfn.XLOOKUP(Table1[[#This Row],[5 cm2 cell test code]:[5 cm2 cell test code]],[1]!Table1[[Test code]:[Test code]],[1]!Table1[E @ 100 mA/cm2 10 mM KOH/V],"",0)</f>
        <v>#REF!</v>
      </c>
      <c r="AC770" s="69" t="e" cm="1">
        <f t="array" ref="AC770">_xlfn.XLOOKUP(Table1[[#This Row],[5 cm2 cell test code]:[5 cm2 cell test code]],[1]!Table1[[Test code]:[Test code]],[1]!Table1[Anode ICR/mOhm],"",0)</f>
        <v>#REF!</v>
      </c>
      <c r="AD770" s="69" t="e" cm="1">
        <f t="array" ref="AD770">_xlfn.XLOOKUP(Table1[[#This Row],[5 cm2 cell test code]:[5 cm2 cell test code]],[1]!Table1[[Test code]:[Test code]],[1]!Table1[HFR DIW/ mOhm cm2],"",0)</f>
        <v>#REF!</v>
      </c>
      <c r="AE770" s="69" t="e" cm="1">
        <f t="array" ref="AE770">_xlfn.XLOOKUP(Table1[[#This Row],[5 cm2 cell test code]:[5 cm2 cell test code]],[1]!Table1[[Test code]:[Test code]],[1]!Table1[HFR 10 mM KOH/ mOhm cm2],"",0)</f>
        <v>#REF!</v>
      </c>
      <c r="AF770" s="69" t="e" cm="1">
        <f t="array" ref="AF770">_xlfn.XLOOKUP(Table1[[#This Row],[5 cm2 cell test code]:[5 cm2 cell test code]],[1]!Table1[[Test code]:[Test code]],[1]!Table1[Ionic resistance DIW/Ohm cm2],"",0)</f>
        <v>#REF!</v>
      </c>
      <c r="AG770" s="69" t="e" cm="1">
        <f t="array" ref="AG770">_xlfn.XLOOKUP(Table1[[#This Row],[5 cm2 cell test code]:[5 cm2 cell test code]],[1]!Table1[[Test code]:[Test code]],[1]!Table1[Q_int_frac DIW],"",0)</f>
        <v>#REF!</v>
      </c>
      <c r="AH770" s="69" t="e" cm="1">
        <f t="array" ref="AH770">_xlfn.XLOOKUP(Table1[[#This Row],[5 cm2 cell test code]:[5 cm2 cell test code]],[1]!Table1[[Test code]:[Test code]],[1]!Table1[Ionic resistance 10 mM KOH/Ohm cm2],"",0)</f>
        <v>#REF!</v>
      </c>
      <c r="AI770" s="69" t="e" cm="1">
        <f t="array" ref="AI770">_xlfn.XLOOKUP(Table1[[#This Row],[5 cm2 cell test code]:[5 cm2 cell test code]],[1]!Table1[[Test code]:[Test code]],[1]!Table1[Q_int_frac DIW 10 mM KOH],"",0)</f>
        <v>#REF!</v>
      </c>
      <c r="AJ770" s="69" t="e" cm="1">
        <f t="array" ref="AJ770">_xlfn.XLOOKUP(Table1[[#This Row],[5 cm2 cell test code]:[5 cm2 cell test code]],[1]!Table1[[Test code]:[Test code]],[1]!Table1[DIW conductivity (µS/cm)],"",0)</f>
        <v>#REF!</v>
      </c>
    </row>
    <row r="771" spans="1:36">
      <c r="A771" s="81"/>
      <c r="U771" s="101"/>
      <c r="V771" s="101"/>
      <c r="W771" s="69" t="e" cm="1">
        <f t="array" ref="W771">_xlfn.XLOOKUP(Table1[[#This Row],[5 cm2 cell test code]:[5 cm2 cell test code]],[1]!Table1[[Test code]:[Test code]],[1]!Table1[i @ 1.8 V DIW (A/cm2)],"",0)</f>
        <v>#REF!</v>
      </c>
      <c r="X771" s="69" t="e" cm="1">
        <f t="array" ref="X771">_xlfn.XLOOKUP(Table1[[#This Row],[5 cm2 cell test code]:[5 cm2 cell test code]],[1]!Table1[[Test code]:[Test code]],[1]!Table1[i @ 1.8 V 10 mM KOH (A/cm2)],"",0)</f>
        <v>#REF!</v>
      </c>
      <c r="Y771" s="69" t="e" cm="1">
        <f t="array" ref="Y771">_xlfn.XLOOKUP(Table1[[#This Row],[5 cm2 cell test code]:[5 cm2 cell test code]],[1]!Table1[[Test code]:[Test code]],[1]!Table1[3-E ƞ at 20mAcm-2 (mV)],"",0)</f>
        <v>#REF!</v>
      </c>
      <c r="Z771" s="69" t="e" cm="1">
        <f t="array" ref="Z771">_xlfn.XLOOKUP(Table1[[#This Row],[5 cm2 cell test code]:[5 cm2 cell test code]],[1]!Table1[[Test code]:[Test code]],[1]!Table1[3-E Tafel slope (mV/dec)],"",0)</f>
        <v>#REF!</v>
      </c>
      <c r="AA771" s="69" t="e" cm="1">
        <f t="array" ref="AA771">_xlfn.XLOOKUP(Table1[[#This Row],[5 cm2 cell test code]:[5 cm2 cell test code]],[1]!Table1[[Test code]:[Test code]],[1]!Table1[E @ 100 mA/cm2 DIW/V],"",0)</f>
        <v>#REF!</v>
      </c>
      <c r="AB771" s="69" t="e" cm="1">
        <f t="array" ref="AB771">_xlfn.XLOOKUP(Table1[[#This Row],[5 cm2 cell test code]:[5 cm2 cell test code]],[1]!Table1[[Test code]:[Test code]],[1]!Table1[E @ 100 mA/cm2 10 mM KOH/V],"",0)</f>
        <v>#REF!</v>
      </c>
      <c r="AC771" s="69" t="e" cm="1">
        <f t="array" ref="AC771">_xlfn.XLOOKUP(Table1[[#This Row],[5 cm2 cell test code]:[5 cm2 cell test code]],[1]!Table1[[Test code]:[Test code]],[1]!Table1[Anode ICR/mOhm],"",0)</f>
        <v>#REF!</v>
      </c>
      <c r="AD771" s="69" t="e" cm="1">
        <f t="array" ref="AD771">_xlfn.XLOOKUP(Table1[[#This Row],[5 cm2 cell test code]:[5 cm2 cell test code]],[1]!Table1[[Test code]:[Test code]],[1]!Table1[HFR DIW/ mOhm cm2],"",0)</f>
        <v>#REF!</v>
      </c>
      <c r="AE771" s="69" t="e" cm="1">
        <f t="array" ref="AE771">_xlfn.XLOOKUP(Table1[[#This Row],[5 cm2 cell test code]:[5 cm2 cell test code]],[1]!Table1[[Test code]:[Test code]],[1]!Table1[HFR 10 mM KOH/ mOhm cm2],"",0)</f>
        <v>#REF!</v>
      </c>
      <c r="AF771" s="69" t="e" cm="1">
        <f t="array" ref="AF771">_xlfn.XLOOKUP(Table1[[#This Row],[5 cm2 cell test code]:[5 cm2 cell test code]],[1]!Table1[[Test code]:[Test code]],[1]!Table1[Ionic resistance DIW/Ohm cm2],"",0)</f>
        <v>#REF!</v>
      </c>
      <c r="AG771" s="69" t="e" cm="1">
        <f t="array" ref="AG771">_xlfn.XLOOKUP(Table1[[#This Row],[5 cm2 cell test code]:[5 cm2 cell test code]],[1]!Table1[[Test code]:[Test code]],[1]!Table1[Q_int_frac DIW],"",0)</f>
        <v>#REF!</v>
      </c>
      <c r="AH771" s="69" t="e" cm="1">
        <f t="array" ref="AH771">_xlfn.XLOOKUP(Table1[[#This Row],[5 cm2 cell test code]:[5 cm2 cell test code]],[1]!Table1[[Test code]:[Test code]],[1]!Table1[Ionic resistance 10 mM KOH/Ohm cm2],"",0)</f>
        <v>#REF!</v>
      </c>
      <c r="AI771" s="69" t="e" cm="1">
        <f t="array" ref="AI771">_xlfn.XLOOKUP(Table1[[#This Row],[5 cm2 cell test code]:[5 cm2 cell test code]],[1]!Table1[[Test code]:[Test code]],[1]!Table1[Q_int_frac DIW 10 mM KOH],"",0)</f>
        <v>#REF!</v>
      </c>
      <c r="AJ771" s="69" t="e" cm="1">
        <f t="array" ref="AJ771">_xlfn.XLOOKUP(Table1[[#This Row],[5 cm2 cell test code]:[5 cm2 cell test code]],[1]!Table1[[Test code]:[Test code]],[1]!Table1[DIW conductivity (µS/cm)],"",0)</f>
        <v>#REF!</v>
      </c>
    </row>
    <row r="772" spans="1:36">
      <c r="A772" s="81"/>
      <c r="U772" s="101"/>
      <c r="V772" s="101"/>
      <c r="W772" s="69" t="e" cm="1">
        <f t="array" ref="W772">_xlfn.XLOOKUP(Table1[[#This Row],[5 cm2 cell test code]:[5 cm2 cell test code]],[1]!Table1[[Test code]:[Test code]],[1]!Table1[i @ 1.8 V DIW (A/cm2)],"",0)</f>
        <v>#REF!</v>
      </c>
      <c r="X772" s="69" t="e" cm="1">
        <f t="array" ref="X772">_xlfn.XLOOKUP(Table1[[#This Row],[5 cm2 cell test code]:[5 cm2 cell test code]],[1]!Table1[[Test code]:[Test code]],[1]!Table1[i @ 1.8 V 10 mM KOH (A/cm2)],"",0)</f>
        <v>#REF!</v>
      </c>
      <c r="Y772" s="69" t="e" cm="1">
        <f t="array" ref="Y772">_xlfn.XLOOKUP(Table1[[#This Row],[5 cm2 cell test code]:[5 cm2 cell test code]],[1]!Table1[[Test code]:[Test code]],[1]!Table1[3-E ƞ at 20mAcm-2 (mV)],"",0)</f>
        <v>#REF!</v>
      </c>
      <c r="Z772" s="69" t="e" cm="1">
        <f t="array" ref="Z772">_xlfn.XLOOKUP(Table1[[#This Row],[5 cm2 cell test code]:[5 cm2 cell test code]],[1]!Table1[[Test code]:[Test code]],[1]!Table1[3-E Tafel slope (mV/dec)],"",0)</f>
        <v>#REF!</v>
      </c>
      <c r="AA772" s="69" t="e" cm="1">
        <f t="array" ref="AA772">_xlfn.XLOOKUP(Table1[[#This Row],[5 cm2 cell test code]:[5 cm2 cell test code]],[1]!Table1[[Test code]:[Test code]],[1]!Table1[E @ 100 mA/cm2 DIW/V],"",0)</f>
        <v>#REF!</v>
      </c>
      <c r="AB772" s="69" t="e" cm="1">
        <f t="array" ref="AB772">_xlfn.XLOOKUP(Table1[[#This Row],[5 cm2 cell test code]:[5 cm2 cell test code]],[1]!Table1[[Test code]:[Test code]],[1]!Table1[E @ 100 mA/cm2 10 mM KOH/V],"",0)</f>
        <v>#REF!</v>
      </c>
      <c r="AC772" s="69" t="e" cm="1">
        <f t="array" ref="AC772">_xlfn.XLOOKUP(Table1[[#This Row],[5 cm2 cell test code]:[5 cm2 cell test code]],[1]!Table1[[Test code]:[Test code]],[1]!Table1[Anode ICR/mOhm],"",0)</f>
        <v>#REF!</v>
      </c>
      <c r="AD772" s="69" t="e" cm="1">
        <f t="array" ref="AD772">_xlfn.XLOOKUP(Table1[[#This Row],[5 cm2 cell test code]:[5 cm2 cell test code]],[1]!Table1[[Test code]:[Test code]],[1]!Table1[HFR DIW/ mOhm cm2],"",0)</f>
        <v>#REF!</v>
      </c>
      <c r="AE772" s="69" t="e" cm="1">
        <f t="array" ref="AE772">_xlfn.XLOOKUP(Table1[[#This Row],[5 cm2 cell test code]:[5 cm2 cell test code]],[1]!Table1[[Test code]:[Test code]],[1]!Table1[HFR 10 mM KOH/ mOhm cm2],"",0)</f>
        <v>#REF!</v>
      </c>
      <c r="AF772" s="69" t="e" cm="1">
        <f t="array" ref="AF772">_xlfn.XLOOKUP(Table1[[#This Row],[5 cm2 cell test code]:[5 cm2 cell test code]],[1]!Table1[[Test code]:[Test code]],[1]!Table1[Ionic resistance DIW/Ohm cm2],"",0)</f>
        <v>#REF!</v>
      </c>
      <c r="AG772" s="69" t="e" cm="1">
        <f t="array" ref="AG772">_xlfn.XLOOKUP(Table1[[#This Row],[5 cm2 cell test code]:[5 cm2 cell test code]],[1]!Table1[[Test code]:[Test code]],[1]!Table1[Q_int_frac DIW],"",0)</f>
        <v>#REF!</v>
      </c>
      <c r="AH772" s="69" t="e" cm="1">
        <f t="array" ref="AH772">_xlfn.XLOOKUP(Table1[[#This Row],[5 cm2 cell test code]:[5 cm2 cell test code]],[1]!Table1[[Test code]:[Test code]],[1]!Table1[Ionic resistance 10 mM KOH/Ohm cm2],"",0)</f>
        <v>#REF!</v>
      </c>
      <c r="AI772" s="69" t="e" cm="1">
        <f t="array" ref="AI772">_xlfn.XLOOKUP(Table1[[#This Row],[5 cm2 cell test code]:[5 cm2 cell test code]],[1]!Table1[[Test code]:[Test code]],[1]!Table1[Q_int_frac DIW 10 mM KOH],"",0)</f>
        <v>#REF!</v>
      </c>
      <c r="AJ772" s="69" t="e" cm="1">
        <f t="array" ref="AJ772">_xlfn.XLOOKUP(Table1[[#This Row],[5 cm2 cell test code]:[5 cm2 cell test code]],[1]!Table1[[Test code]:[Test code]],[1]!Table1[DIW conductivity (µS/cm)],"",0)</f>
        <v>#REF!</v>
      </c>
    </row>
    <row r="773" spans="1:36">
      <c r="A773" s="81"/>
      <c r="U773" s="101"/>
      <c r="V773" s="101"/>
      <c r="W773" s="69" t="e" cm="1">
        <f t="array" ref="W773">_xlfn.XLOOKUP(Table1[[#This Row],[5 cm2 cell test code]:[5 cm2 cell test code]],[1]!Table1[[Test code]:[Test code]],[1]!Table1[i @ 1.8 V DIW (A/cm2)],"",0)</f>
        <v>#REF!</v>
      </c>
      <c r="X773" s="69" t="e" cm="1">
        <f t="array" ref="X773">_xlfn.XLOOKUP(Table1[[#This Row],[5 cm2 cell test code]:[5 cm2 cell test code]],[1]!Table1[[Test code]:[Test code]],[1]!Table1[i @ 1.8 V 10 mM KOH (A/cm2)],"",0)</f>
        <v>#REF!</v>
      </c>
      <c r="Y773" s="69" t="e" cm="1">
        <f t="array" ref="Y773">_xlfn.XLOOKUP(Table1[[#This Row],[5 cm2 cell test code]:[5 cm2 cell test code]],[1]!Table1[[Test code]:[Test code]],[1]!Table1[3-E ƞ at 20mAcm-2 (mV)],"",0)</f>
        <v>#REF!</v>
      </c>
      <c r="Z773" s="69" t="e" cm="1">
        <f t="array" ref="Z773">_xlfn.XLOOKUP(Table1[[#This Row],[5 cm2 cell test code]:[5 cm2 cell test code]],[1]!Table1[[Test code]:[Test code]],[1]!Table1[3-E Tafel slope (mV/dec)],"",0)</f>
        <v>#REF!</v>
      </c>
      <c r="AA773" s="69" t="e" cm="1">
        <f t="array" ref="AA773">_xlfn.XLOOKUP(Table1[[#This Row],[5 cm2 cell test code]:[5 cm2 cell test code]],[1]!Table1[[Test code]:[Test code]],[1]!Table1[E @ 100 mA/cm2 DIW/V],"",0)</f>
        <v>#REF!</v>
      </c>
      <c r="AB773" s="69" t="e" cm="1">
        <f t="array" ref="AB773">_xlfn.XLOOKUP(Table1[[#This Row],[5 cm2 cell test code]:[5 cm2 cell test code]],[1]!Table1[[Test code]:[Test code]],[1]!Table1[E @ 100 mA/cm2 10 mM KOH/V],"",0)</f>
        <v>#REF!</v>
      </c>
      <c r="AC773" s="69" t="e" cm="1">
        <f t="array" ref="AC773">_xlfn.XLOOKUP(Table1[[#This Row],[5 cm2 cell test code]:[5 cm2 cell test code]],[1]!Table1[[Test code]:[Test code]],[1]!Table1[Anode ICR/mOhm],"",0)</f>
        <v>#REF!</v>
      </c>
      <c r="AD773" s="69" t="e" cm="1">
        <f t="array" ref="AD773">_xlfn.XLOOKUP(Table1[[#This Row],[5 cm2 cell test code]:[5 cm2 cell test code]],[1]!Table1[[Test code]:[Test code]],[1]!Table1[HFR DIW/ mOhm cm2],"",0)</f>
        <v>#REF!</v>
      </c>
      <c r="AE773" s="69" t="e" cm="1">
        <f t="array" ref="AE773">_xlfn.XLOOKUP(Table1[[#This Row],[5 cm2 cell test code]:[5 cm2 cell test code]],[1]!Table1[[Test code]:[Test code]],[1]!Table1[HFR 10 mM KOH/ mOhm cm2],"",0)</f>
        <v>#REF!</v>
      </c>
      <c r="AF773" s="69" t="e" cm="1">
        <f t="array" ref="AF773">_xlfn.XLOOKUP(Table1[[#This Row],[5 cm2 cell test code]:[5 cm2 cell test code]],[1]!Table1[[Test code]:[Test code]],[1]!Table1[Ionic resistance DIW/Ohm cm2],"",0)</f>
        <v>#REF!</v>
      </c>
      <c r="AG773" s="69" t="e" cm="1">
        <f t="array" ref="AG773">_xlfn.XLOOKUP(Table1[[#This Row],[5 cm2 cell test code]:[5 cm2 cell test code]],[1]!Table1[[Test code]:[Test code]],[1]!Table1[Q_int_frac DIW],"",0)</f>
        <v>#REF!</v>
      </c>
      <c r="AH773" s="69" t="e" cm="1">
        <f t="array" ref="AH773">_xlfn.XLOOKUP(Table1[[#This Row],[5 cm2 cell test code]:[5 cm2 cell test code]],[1]!Table1[[Test code]:[Test code]],[1]!Table1[Ionic resistance 10 mM KOH/Ohm cm2],"",0)</f>
        <v>#REF!</v>
      </c>
      <c r="AI773" s="69" t="e" cm="1">
        <f t="array" ref="AI773">_xlfn.XLOOKUP(Table1[[#This Row],[5 cm2 cell test code]:[5 cm2 cell test code]],[1]!Table1[[Test code]:[Test code]],[1]!Table1[Q_int_frac DIW 10 mM KOH],"",0)</f>
        <v>#REF!</v>
      </c>
      <c r="AJ773" s="69" t="e" cm="1">
        <f t="array" ref="AJ773">_xlfn.XLOOKUP(Table1[[#This Row],[5 cm2 cell test code]:[5 cm2 cell test code]],[1]!Table1[[Test code]:[Test code]],[1]!Table1[DIW conductivity (µS/cm)],"",0)</f>
        <v>#REF!</v>
      </c>
    </row>
    <row r="774" spans="1:36">
      <c r="A774" s="81"/>
      <c r="U774" s="101"/>
      <c r="V774" s="101"/>
      <c r="W774" s="69" t="e" cm="1">
        <f t="array" ref="W774">_xlfn.XLOOKUP(Table1[[#This Row],[5 cm2 cell test code]:[5 cm2 cell test code]],[1]!Table1[[Test code]:[Test code]],[1]!Table1[i @ 1.8 V DIW (A/cm2)],"",0)</f>
        <v>#REF!</v>
      </c>
      <c r="X774" s="69" t="e" cm="1">
        <f t="array" ref="X774">_xlfn.XLOOKUP(Table1[[#This Row],[5 cm2 cell test code]:[5 cm2 cell test code]],[1]!Table1[[Test code]:[Test code]],[1]!Table1[i @ 1.8 V 10 mM KOH (A/cm2)],"",0)</f>
        <v>#REF!</v>
      </c>
      <c r="Y774" s="69" t="e" cm="1">
        <f t="array" ref="Y774">_xlfn.XLOOKUP(Table1[[#This Row],[5 cm2 cell test code]:[5 cm2 cell test code]],[1]!Table1[[Test code]:[Test code]],[1]!Table1[3-E ƞ at 20mAcm-2 (mV)],"",0)</f>
        <v>#REF!</v>
      </c>
      <c r="Z774" s="69" t="e" cm="1">
        <f t="array" ref="Z774">_xlfn.XLOOKUP(Table1[[#This Row],[5 cm2 cell test code]:[5 cm2 cell test code]],[1]!Table1[[Test code]:[Test code]],[1]!Table1[3-E Tafel slope (mV/dec)],"",0)</f>
        <v>#REF!</v>
      </c>
      <c r="AA774" s="69" t="e" cm="1">
        <f t="array" ref="AA774">_xlfn.XLOOKUP(Table1[[#This Row],[5 cm2 cell test code]:[5 cm2 cell test code]],[1]!Table1[[Test code]:[Test code]],[1]!Table1[E @ 100 mA/cm2 DIW/V],"",0)</f>
        <v>#REF!</v>
      </c>
      <c r="AB774" s="69" t="e" cm="1">
        <f t="array" ref="AB774">_xlfn.XLOOKUP(Table1[[#This Row],[5 cm2 cell test code]:[5 cm2 cell test code]],[1]!Table1[[Test code]:[Test code]],[1]!Table1[E @ 100 mA/cm2 10 mM KOH/V],"",0)</f>
        <v>#REF!</v>
      </c>
      <c r="AC774" s="69" t="e" cm="1">
        <f t="array" ref="AC774">_xlfn.XLOOKUP(Table1[[#This Row],[5 cm2 cell test code]:[5 cm2 cell test code]],[1]!Table1[[Test code]:[Test code]],[1]!Table1[Anode ICR/mOhm],"",0)</f>
        <v>#REF!</v>
      </c>
      <c r="AD774" s="69" t="e" cm="1">
        <f t="array" ref="AD774">_xlfn.XLOOKUP(Table1[[#This Row],[5 cm2 cell test code]:[5 cm2 cell test code]],[1]!Table1[[Test code]:[Test code]],[1]!Table1[HFR DIW/ mOhm cm2],"",0)</f>
        <v>#REF!</v>
      </c>
      <c r="AE774" s="69" t="e" cm="1">
        <f t="array" ref="AE774">_xlfn.XLOOKUP(Table1[[#This Row],[5 cm2 cell test code]:[5 cm2 cell test code]],[1]!Table1[[Test code]:[Test code]],[1]!Table1[HFR 10 mM KOH/ mOhm cm2],"",0)</f>
        <v>#REF!</v>
      </c>
      <c r="AF774" s="69" t="e" cm="1">
        <f t="array" ref="AF774">_xlfn.XLOOKUP(Table1[[#This Row],[5 cm2 cell test code]:[5 cm2 cell test code]],[1]!Table1[[Test code]:[Test code]],[1]!Table1[Ionic resistance DIW/Ohm cm2],"",0)</f>
        <v>#REF!</v>
      </c>
      <c r="AG774" s="69" t="e" cm="1">
        <f t="array" ref="AG774">_xlfn.XLOOKUP(Table1[[#This Row],[5 cm2 cell test code]:[5 cm2 cell test code]],[1]!Table1[[Test code]:[Test code]],[1]!Table1[Q_int_frac DIW],"",0)</f>
        <v>#REF!</v>
      </c>
      <c r="AH774" s="69" t="e" cm="1">
        <f t="array" ref="AH774">_xlfn.XLOOKUP(Table1[[#This Row],[5 cm2 cell test code]:[5 cm2 cell test code]],[1]!Table1[[Test code]:[Test code]],[1]!Table1[Ionic resistance 10 mM KOH/Ohm cm2],"",0)</f>
        <v>#REF!</v>
      </c>
      <c r="AI774" s="69" t="e" cm="1">
        <f t="array" ref="AI774">_xlfn.XLOOKUP(Table1[[#This Row],[5 cm2 cell test code]:[5 cm2 cell test code]],[1]!Table1[[Test code]:[Test code]],[1]!Table1[Q_int_frac DIW 10 mM KOH],"",0)</f>
        <v>#REF!</v>
      </c>
      <c r="AJ774" s="69" t="e" cm="1">
        <f t="array" ref="AJ774">_xlfn.XLOOKUP(Table1[[#This Row],[5 cm2 cell test code]:[5 cm2 cell test code]],[1]!Table1[[Test code]:[Test code]],[1]!Table1[DIW conductivity (µS/cm)],"",0)</f>
        <v>#REF!</v>
      </c>
    </row>
    <row r="775" spans="1:36">
      <c r="A775" s="81"/>
      <c r="U775" s="101"/>
      <c r="V775" s="101"/>
      <c r="W775" s="69" t="e" cm="1">
        <f t="array" ref="W775">_xlfn.XLOOKUP(Table1[[#This Row],[5 cm2 cell test code]:[5 cm2 cell test code]],[1]!Table1[[Test code]:[Test code]],[1]!Table1[i @ 1.8 V DIW (A/cm2)],"",0)</f>
        <v>#REF!</v>
      </c>
      <c r="X775" s="69" t="e" cm="1">
        <f t="array" ref="X775">_xlfn.XLOOKUP(Table1[[#This Row],[5 cm2 cell test code]:[5 cm2 cell test code]],[1]!Table1[[Test code]:[Test code]],[1]!Table1[i @ 1.8 V 10 mM KOH (A/cm2)],"",0)</f>
        <v>#REF!</v>
      </c>
      <c r="Y775" s="69" t="e" cm="1">
        <f t="array" ref="Y775">_xlfn.XLOOKUP(Table1[[#This Row],[5 cm2 cell test code]:[5 cm2 cell test code]],[1]!Table1[[Test code]:[Test code]],[1]!Table1[3-E ƞ at 20mAcm-2 (mV)],"",0)</f>
        <v>#REF!</v>
      </c>
      <c r="Z775" s="69" t="e" cm="1">
        <f t="array" ref="Z775">_xlfn.XLOOKUP(Table1[[#This Row],[5 cm2 cell test code]:[5 cm2 cell test code]],[1]!Table1[[Test code]:[Test code]],[1]!Table1[3-E Tafel slope (mV/dec)],"",0)</f>
        <v>#REF!</v>
      </c>
      <c r="AA775" s="69" t="e" cm="1">
        <f t="array" ref="AA775">_xlfn.XLOOKUP(Table1[[#This Row],[5 cm2 cell test code]:[5 cm2 cell test code]],[1]!Table1[[Test code]:[Test code]],[1]!Table1[E @ 100 mA/cm2 DIW/V],"",0)</f>
        <v>#REF!</v>
      </c>
      <c r="AB775" s="69" t="e" cm="1">
        <f t="array" ref="AB775">_xlfn.XLOOKUP(Table1[[#This Row],[5 cm2 cell test code]:[5 cm2 cell test code]],[1]!Table1[[Test code]:[Test code]],[1]!Table1[E @ 100 mA/cm2 10 mM KOH/V],"",0)</f>
        <v>#REF!</v>
      </c>
      <c r="AC775" s="69" t="e" cm="1">
        <f t="array" ref="AC775">_xlfn.XLOOKUP(Table1[[#This Row],[5 cm2 cell test code]:[5 cm2 cell test code]],[1]!Table1[[Test code]:[Test code]],[1]!Table1[Anode ICR/mOhm],"",0)</f>
        <v>#REF!</v>
      </c>
      <c r="AD775" s="69" t="e" cm="1">
        <f t="array" ref="AD775">_xlfn.XLOOKUP(Table1[[#This Row],[5 cm2 cell test code]:[5 cm2 cell test code]],[1]!Table1[[Test code]:[Test code]],[1]!Table1[HFR DIW/ mOhm cm2],"",0)</f>
        <v>#REF!</v>
      </c>
      <c r="AE775" s="69" t="e" cm="1">
        <f t="array" ref="AE775">_xlfn.XLOOKUP(Table1[[#This Row],[5 cm2 cell test code]:[5 cm2 cell test code]],[1]!Table1[[Test code]:[Test code]],[1]!Table1[HFR 10 mM KOH/ mOhm cm2],"",0)</f>
        <v>#REF!</v>
      </c>
      <c r="AF775" s="69" t="e" cm="1">
        <f t="array" ref="AF775">_xlfn.XLOOKUP(Table1[[#This Row],[5 cm2 cell test code]:[5 cm2 cell test code]],[1]!Table1[[Test code]:[Test code]],[1]!Table1[Ionic resistance DIW/Ohm cm2],"",0)</f>
        <v>#REF!</v>
      </c>
      <c r="AG775" s="69" t="e" cm="1">
        <f t="array" ref="AG775">_xlfn.XLOOKUP(Table1[[#This Row],[5 cm2 cell test code]:[5 cm2 cell test code]],[1]!Table1[[Test code]:[Test code]],[1]!Table1[Q_int_frac DIW],"",0)</f>
        <v>#REF!</v>
      </c>
      <c r="AH775" s="69" t="e" cm="1">
        <f t="array" ref="AH775">_xlfn.XLOOKUP(Table1[[#This Row],[5 cm2 cell test code]:[5 cm2 cell test code]],[1]!Table1[[Test code]:[Test code]],[1]!Table1[Ionic resistance 10 mM KOH/Ohm cm2],"",0)</f>
        <v>#REF!</v>
      </c>
      <c r="AI775" s="69" t="e" cm="1">
        <f t="array" ref="AI775">_xlfn.XLOOKUP(Table1[[#This Row],[5 cm2 cell test code]:[5 cm2 cell test code]],[1]!Table1[[Test code]:[Test code]],[1]!Table1[Q_int_frac DIW 10 mM KOH],"",0)</f>
        <v>#REF!</v>
      </c>
      <c r="AJ775" s="69" t="e" cm="1">
        <f t="array" ref="AJ775">_xlfn.XLOOKUP(Table1[[#This Row],[5 cm2 cell test code]:[5 cm2 cell test code]],[1]!Table1[[Test code]:[Test code]],[1]!Table1[DIW conductivity (µS/cm)],"",0)</f>
        <v>#REF!</v>
      </c>
    </row>
    <row r="776" spans="1:36">
      <c r="A776" s="81"/>
      <c r="U776" s="101"/>
      <c r="V776" s="101"/>
      <c r="W776" s="69" t="e" cm="1">
        <f t="array" ref="W776">_xlfn.XLOOKUP(Table1[[#This Row],[5 cm2 cell test code]:[5 cm2 cell test code]],[1]!Table1[[Test code]:[Test code]],[1]!Table1[i @ 1.8 V DIW (A/cm2)],"",0)</f>
        <v>#REF!</v>
      </c>
      <c r="X776" s="69" t="e" cm="1">
        <f t="array" ref="X776">_xlfn.XLOOKUP(Table1[[#This Row],[5 cm2 cell test code]:[5 cm2 cell test code]],[1]!Table1[[Test code]:[Test code]],[1]!Table1[i @ 1.8 V 10 mM KOH (A/cm2)],"",0)</f>
        <v>#REF!</v>
      </c>
      <c r="Y776" s="69" t="e" cm="1">
        <f t="array" ref="Y776">_xlfn.XLOOKUP(Table1[[#This Row],[5 cm2 cell test code]:[5 cm2 cell test code]],[1]!Table1[[Test code]:[Test code]],[1]!Table1[3-E ƞ at 20mAcm-2 (mV)],"",0)</f>
        <v>#REF!</v>
      </c>
      <c r="Z776" s="69" t="e" cm="1">
        <f t="array" ref="Z776">_xlfn.XLOOKUP(Table1[[#This Row],[5 cm2 cell test code]:[5 cm2 cell test code]],[1]!Table1[[Test code]:[Test code]],[1]!Table1[3-E Tafel slope (mV/dec)],"",0)</f>
        <v>#REF!</v>
      </c>
      <c r="AA776" s="69" t="e" cm="1">
        <f t="array" ref="AA776">_xlfn.XLOOKUP(Table1[[#This Row],[5 cm2 cell test code]:[5 cm2 cell test code]],[1]!Table1[[Test code]:[Test code]],[1]!Table1[E @ 100 mA/cm2 DIW/V],"",0)</f>
        <v>#REF!</v>
      </c>
      <c r="AB776" s="69" t="e" cm="1">
        <f t="array" ref="AB776">_xlfn.XLOOKUP(Table1[[#This Row],[5 cm2 cell test code]:[5 cm2 cell test code]],[1]!Table1[[Test code]:[Test code]],[1]!Table1[E @ 100 mA/cm2 10 mM KOH/V],"",0)</f>
        <v>#REF!</v>
      </c>
      <c r="AC776" s="69" t="e" cm="1">
        <f t="array" ref="AC776">_xlfn.XLOOKUP(Table1[[#This Row],[5 cm2 cell test code]:[5 cm2 cell test code]],[1]!Table1[[Test code]:[Test code]],[1]!Table1[Anode ICR/mOhm],"",0)</f>
        <v>#REF!</v>
      </c>
      <c r="AD776" s="69" t="e" cm="1">
        <f t="array" ref="AD776">_xlfn.XLOOKUP(Table1[[#This Row],[5 cm2 cell test code]:[5 cm2 cell test code]],[1]!Table1[[Test code]:[Test code]],[1]!Table1[HFR DIW/ mOhm cm2],"",0)</f>
        <v>#REF!</v>
      </c>
      <c r="AE776" s="69" t="e" cm="1">
        <f t="array" ref="AE776">_xlfn.XLOOKUP(Table1[[#This Row],[5 cm2 cell test code]:[5 cm2 cell test code]],[1]!Table1[[Test code]:[Test code]],[1]!Table1[HFR 10 mM KOH/ mOhm cm2],"",0)</f>
        <v>#REF!</v>
      </c>
      <c r="AF776" s="69" t="e" cm="1">
        <f t="array" ref="AF776">_xlfn.XLOOKUP(Table1[[#This Row],[5 cm2 cell test code]:[5 cm2 cell test code]],[1]!Table1[[Test code]:[Test code]],[1]!Table1[Ionic resistance DIW/Ohm cm2],"",0)</f>
        <v>#REF!</v>
      </c>
      <c r="AG776" s="69" t="e" cm="1">
        <f t="array" ref="AG776">_xlfn.XLOOKUP(Table1[[#This Row],[5 cm2 cell test code]:[5 cm2 cell test code]],[1]!Table1[[Test code]:[Test code]],[1]!Table1[Q_int_frac DIW],"",0)</f>
        <v>#REF!</v>
      </c>
      <c r="AH776" s="69" t="e" cm="1">
        <f t="array" ref="AH776">_xlfn.XLOOKUP(Table1[[#This Row],[5 cm2 cell test code]:[5 cm2 cell test code]],[1]!Table1[[Test code]:[Test code]],[1]!Table1[Ionic resistance 10 mM KOH/Ohm cm2],"",0)</f>
        <v>#REF!</v>
      </c>
      <c r="AI776" s="69" t="e" cm="1">
        <f t="array" ref="AI776">_xlfn.XLOOKUP(Table1[[#This Row],[5 cm2 cell test code]:[5 cm2 cell test code]],[1]!Table1[[Test code]:[Test code]],[1]!Table1[Q_int_frac DIW 10 mM KOH],"",0)</f>
        <v>#REF!</v>
      </c>
      <c r="AJ776" s="69" t="e" cm="1">
        <f t="array" ref="AJ776">_xlfn.XLOOKUP(Table1[[#This Row],[5 cm2 cell test code]:[5 cm2 cell test code]],[1]!Table1[[Test code]:[Test code]],[1]!Table1[DIW conductivity (µS/cm)],"",0)</f>
        <v>#REF!</v>
      </c>
    </row>
    <row r="777" spans="1:36">
      <c r="A777" s="81"/>
      <c r="U777" s="101"/>
      <c r="V777" s="101"/>
      <c r="W777" s="69" t="e" cm="1">
        <f t="array" ref="W777">_xlfn.XLOOKUP(Table1[[#This Row],[5 cm2 cell test code]:[5 cm2 cell test code]],[1]!Table1[[Test code]:[Test code]],[1]!Table1[i @ 1.8 V DIW (A/cm2)],"",0)</f>
        <v>#REF!</v>
      </c>
      <c r="X777" s="69" t="e" cm="1">
        <f t="array" ref="X777">_xlfn.XLOOKUP(Table1[[#This Row],[5 cm2 cell test code]:[5 cm2 cell test code]],[1]!Table1[[Test code]:[Test code]],[1]!Table1[i @ 1.8 V 10 mM KOH (A/cm2)],"",0)</f>
        <v>#REF!</v>
      </c>
      <c r="Y777" s="69" t="e" cm="1">
        <f t="array" ref="Y777">_xlfn.XLOOKUP(Table1[[#This Row],[5 cm2 cell test code]:[5 cm2 cell test code]],[1]!Table1[[Test code]:[Test code]],[1]!Table1[3-E ƞ at 20mAcm-2 (mV)],"",0)</f>
        <v>#REF!</v>
      </c>
      <c r="Z777" s="69" t="e" cm="1">
        <f t="array" ref="Z777">_xlfn.XLOOKUP(Table1[[#This Row],[5 cm2 cell test code]:[5 cm2 cell test code]],[1]!Table1[[Test code]:[Test code]],[1]!Table1[3-E Tafel slope (mV/dec)],"",0)</f>
        <v>#REF!</v>
      </c>
      <c r="AA777" s="69" t="e" cm="1">
        <f t="array" ref="AA777">_xlfn.XLOOKUP(Table1[[#This Row],[5 cm2 cell test code]:[5 cm2 cell test code]],[1]!Table1[[Test code]:[Test code]],[1]!Table1[E @ 100 mA/cm2 DIW/V],"",0)</f>
        <v>#REF!</v>
      </c>
      <c r="AB777" s="69" t="e" cm="1">
        <f t="array" ref="AB777">_xlfn.XLOOKUP(Table1[[#This Row],[5 cm2 cell test code]:[5 cm2 cell test code]],[1]!Table1[[Test code]:[Test code]],[1]!Table1[E @ 100 mA/cm2 10 mM KOH/V],"",0)</f>
        <v>#REF!</v>
      </c>
      <c r="AC777" s="69" t="e" cm="1">
        <f t="array" ref="AC777">_xlfn.XLOOKUP(Table1[[#This Row],[5 cm2 cell test code]:[5 cm2 cell test code]],[1]!Table1[[Test code]:[Test code]],[1]!Table1[Anode ICR/mOhm],"",0)</f>
        <v>#REF!</v>
      </c>
      <c r="AD777" s="69" t="e" cm="1">
        <f t="array" ref="AD777">_xlfn.XLOOKUP(Table1[[#This Row],[5 cm2 cell test code]:[5 cm2 cell test code]],[1]!Table1[[Test code]:[Test code]],[1]!Table1[HFR DIW/ mOhm cm2],"",0)</f>
        <v>#REF!</v>
      </c>
      <c r="AE777" s="69" t="e" cm="1">
        <f t="array" ref="AE777">_xlfn.XLOOKUP(Table1[[#This Row],[5 cm2 cell test code]:[5 cm2 cell test code]],[1]!Table1[[Test code]:[Test code]],[1]!Table1[HFR 10 mM KOH/ mOhm cm2],"",0)</f>
        <v>#REF!</v>
      </c>
      <c r="AF777" s="69" t="e" cm="1">
        <f t="array" ref="AF777">_xlfn.XLOOKUP(Table1[[#This Row],[5 cm2 cell test code]:[5 cm2 cell test code]],[1]!Table1[[Test code]:[Test code]],[1]!Table1[Ionic resistance DIW/Ohm cm2],"",0)</f>
        <v>#REF!</v>
      </c>
      <c r="AG777" s="69" t="e" cm="1">
        <f t="array" ref="AG777">_xlfn.XLOOKUP(Table1[[#This Row],[5 cm2 cell test code]:[5 cm2 cell test code]],[1]!Table1[[Test code]:[Test code]],[1]!Table1[Q_int_frac DIW],"",0)</f>
        <v>#REF!</v>
      </c>
      <c r="AH777" s="69" t="e" cm="1">
        <f t="array" ref="AH777">_xlfn.XLOOKUP(Table1[[#This Row],[5 cm2 cell test code]:[5 cm2 cell test code]],[1]!Table1[[Test code]:[Test code]],[1]!Table1[Ionic resistance 10 mM KOH/Ohm cm2],"",0)</f>
        <v>#REF!</v>
      </c>
      <c r="AI777" s="69" t="e" cm="1">
        <f t="array" ref="AI777">_xlfn.XLOOKUP(Table1[[#This Row],[5 cm2 cell test code]:[5 cm2 cell test code]],[1]!Table1[[Test code]:[Test code]],[1]!Table1[Q_int_frac DIW 10 mM KOH],"",0)</f>
        <v>#REF!</v>
      </c>
      <c r="AJ777" s="69" t="e" cm="1">
        <f t="array" ref="AJ777">_xlfn.XLOOKUP(Table1[[#This Row],[5 cm2 cell test code]:[5 cm2 cell test code]],[1]!Table1[[Test code]:[Test code]],[1]!Table1[DIW conductivity (µS/cm)],"",0)</f>
        <v>#REF!</v>
      </c>
    </row>
    <row r="778" spans="1:36">
      <c r="A778" s="81"/>
      <c r="U778" s="101"/>
      <c r="V778" s="101"/>
      <c r="W778" s="69" t="e" cm="1">
        <f t="array" ref="W778">_xlfn.XLOOKUP(Table1[[#This Row],[5 cm2 cell test code]:[5 cm2 cell test code]],[1]!Table1[[Test code]:[Test code]],[1]!Table1[i @ 1.8 V DIW (A/cm2)],"",0)</f>
        <v>#REF!</v>
      </c>
      <c r="X778" s="69" t="e" cm="1">
        <f t="array" ref="X778">_xlfn.XLOOKUP(Table1[[#This Row],[5 cm2 cell test code]:[5 cm2 cell test code]],[1]!Table1[[Test code]:[Test code]],[1]!Table1[i @ 1.8 V 10 mM KOH (A/cm2)],"",0)</f>
        <v>#REF!</v>
      </c>
      <c r="Y778" s="69" t="e" cm="1">
        <f t="array" ref="Y778">_xlfn.XLOOKUP(Table1[[#This Row],[5 cm2 cell test code]:[5 cm2 cell test code]],[1]!Table1[[Test code]:[Test code]],[1]!Table1[3-E ƞ at 20mAcm-2 (mV)],"",0)</f>
        <v>#REF!</v>
      </c>
      <c r="Z778" s="69" t="e" cm="1">
        <f t="array" ref="Z778">_xlfn.XLOOKUP(Table1[[#This Row],[5 cm2 cell test code]:[5 cm2 cell test code]],[1]!Table1[[Test code]:[Test code]],[1]!Table1[3-E Tafel slope (mV/dec)],"",0)</f>
        <v>#REF!</v>
      </c>
      <c r="AA778" s="69" t="e" cm="1">
        <f t="array" ref="AA778">_xlfn.XLOOKUP(Table1[[#This Row],[5 cm2 cell test code]:[5 cm2 cell test code]],[1]!Table1[[Test code]:[Test code]],[1]!Table1[E @ 100 mA/cm2 DIW/V],"",0)</f>
        <v>#REF!</v>
      </c>
      <c r="AB778" s="69" t="e" cm="1">
        <f t="array" ref="AB778">_xlfn.XLOOKUP(Table1[[#This Row],[5 cm2 cell test code]:[5 cm2 cell test code]],[1]!Table1[[Test code]:[Test code]],[1]!Table1[E @ 100 mA/cm2 10 mM KOH/V],"",0)</f>
        <v>#REF!</v>
      </c>
      <c r="AC778" s="69" t="e" cm="1">
        <f t="array" ref="AC778">_xlfn.XLOOKUP(Table1[[#This Row],[5 cm2 cell test code]:[5 cm2 cell test code]],[1]!Table1[[Test code]:[Test code]],[1]!Table1[Anode ICR/mOhm],"",0)</f>
        <v>#REF!</v>
      </c>
      <c r="AD778" s="69" t="e" cm="1">
        <f t="array" ref="AD778">_xlfn.XLOOKUP(Table1[[#This Row],[5 cm2 cell test code]:[5 cm2 cell test code]],[1]!Table1[[Test code]:[Test code]],[1]!Table1[HFR DIW/ mOhm cm2],"",0)</f>
        <v>#REF!</v>
      </c>
      <c r="AE778" s="69" t="e" cm="1">
        <f t="array" ref="AE778">_xlfn.XLOOKUP(Table1[[#This Row],[5 cm2 cell test code]:[5 cm2 cell test code]],[1]!Table1[[Test code]:[Test code]],[1]!Table1[HFR 10 mM KOH/ mOhm cm2],"",0)</f>
        <v>#REF!</v>
      </c>
      <c r="AF778" s="69" t="e" cm="1">
        <f t="array" ref="AF778">_xlfn.XLOOKUP(Table1[[#This Row],[5 cm2 cell test code]:[5 cm2 cell test code]],[1]!Table1[[Test code]:[Test code]],[1]!Table1[Ionic resistance DIW/Ohm cm2],"",0)</f>
        <v>#REF!</v>
      </c>
      <c r="AG778" s="69" t="e" cm="1">
        <f t="array" ref="AG778">_xlfn.XLOOKUP(Table1[[#This Row],[5 cm2 cell test code]:[5 cm2 cell test code]],[1]!Table1[[Test code]:[Test code]],[1]!Table1[Q_int_frac DIW],"",0)</f>
        <v>#REF!</v>
      </c>
      <c r="AH778" s="69" t="e" cm="1">
        <f t="array" ref="AH778">_xlfn.XLOOKUP(Table1[[#This Row],[5 cm2 cell test code]:[5 cm2 cell test code]],[1]!Table1[[Test code]:[Test code]],[1]!Table1[Ionic resistance 10 mM KOH/Ohm cm2],"",0)</f>
        <v>#REF!</v>
      </c>
      <c r="AI778" s="69" t="e" cm="1">
        <f t="array" ref="AI778">_xlfn.XLOOKUP(Table1[[#This Row],[5 cm2 cell test code]:[5 cm2 cell test code]],[1]!Table1[[Test code]:[Test code]],[1]!Table1[Q_int_frac DIW 10 mM KOH],"",0)</f>
        <v>#REF!</v>
      </c>
      <c r="AJ778" s="69" t="e" cm="1">
        <f t="array" ref="AJ778">_xlfn.XLOOKUP(Table1[[#This Row],[5 cm2 cell test code]:[5 cm2 cell test code]],[1]!Table1[[Test code]:[Test code]],[1]!Table1[DIW conductivity (µS/cm)],"",0)</f>
        <v>#REF!</v>
      </c>
    </row>
    <row r="779" spans="1:36">
      <c r="A779" s="81"/>
      <c r="U779" s="101"/>
      <c r="V779" s="101"/>
      <c r="W779" s="69" t="e" cm="1">
        <f t="array" ref="W779">_xlfn.XLOOKUP(Table1[[#This Row],[5 cm2 cell test code]:[5 cm2 cell test code]],[1]!Table1[[Test code]:[Test code]],[1]!Table1[i @ 1.8 V DIW (A/cm2)],"",0)</f>
        <v>#REF!</v>
      </c>
      <c r="X779" s="69" t="e" cm="1">
        <f t="array" ref="X779">_xlfn.XLOOKUP(Table1[[#This Row],[5 cm2 cell test code]:[5 cm2 cell test code]],[1]!Table1[[Test code]:[Test code]],[1]!Table1[i @ 1.8 V 10 mM KOH (A/cm2)],"",0)</f>
        <v>#REF!</v>
      </c>
      <c r="Y779" s="69" t="e" cm="1">
        <f t="array" ref="Y779">_xlfn.XLOOKUP(Table1[[#This Row],[5 cm2 cell test code]:[5 cm2 cell test code]],[1]!Table1[[Test code]:[Test code]],[1]!Table1[3-E ƞ at 20mAcm-2 (mV)],"",0)</f>
        <v>#REF!</v>
      </c>
      <c r="Z779" s="69" t="e" cm="1">
        <f t="array" ref="Z779">_xlfn.XLOOKUP(Table1[[#This Row],[5 cm2 cell test code]:[5 cm2 cell test code]],[1]!Table1[[Test code]:[Test code]],[1]!Table1[3-E Tafel slope (mV/dec)],"",0)</f>
        <v>#REF!</v>
      </c>
      <c r="AA779" s="69" t="e" cm="1">
        <f t="array" ref="AA779">_xlfn.XLOOKUP(Table1[[#This Row],[5 cm2 cell test code]:[5 cm2 cell test code]],[1]!Table1[[Test code]:[Test code]],[1]!Table1[E @ 100 mA/cm2 DIW/V],"",0)</f>
        <v>#REF!</v>
      </c>
      <c r="AB779" s="69" t="e" cm="1">
        <f t="array" ref="AB779">_xlfn.XLOOKUP(Table1[[#This Row],[5 cm2 cell test code]:[5 cm2 cell test code]],[1]!Table1[[Test code]:[Test code]],[1]!Table1[E @ 100 mA/cm2 10 mM KOH/V],"",0)</f>
        <v>#REF!</v>
      </c>
      <c r="AC779" s="69" t="e" cm="1">
        <f t="array" ref="AC779">_xlfn.XLOOKUP(Table1[[#This Row],[5 cm2 cell test code]:[5 cm2 cell test code]],[1]!Table1[[Test code]:[Test code]],[1]!Table1[Anode ICR/mOhm],"",0)</f>
        <v>#REF!</v>
      </c>
      <c r="AD779" s="69" t="e" cm="1">
        <f t="array" ref="AD779">_xlfn.XLOOKUP(Table1[[#This Row],[5 cm2 cell test code]:[5 cm2 cell test code]],[1]!Table1[[Test code]:[Test code]],[1]!Table1[HFR DIW/ mOhm cm2],"",0)</f>
        <v>#REF!</v>
      </c>
      <c r="AE779" s="69" t="e" cm="1">
        <f t="array" ref="AE779">_xlfn.XLOOKUP(Table1[[#This Row],[5 cm2 cell test code]:[5 cm2 cell test code]],[1]!Table1[[Test code]:[Test code]],[1]!Table1[HFR 10 mM KOH/ mOhm cm2],"",0)</f>
        <v>#REF!</v>
      </c>
      <c r="AF779" s="69" t="e" cm="1">
        <f t="array" ref="AF779">_xlfn.XLOOKUP(Table1[[#This Row],[5 cm2 cell test code]:[5 cm2 cell test code]],[1]!Table1[[Test code]:[Test code]],[1]!Table1[Ionic resistance DIW/Ohm cm2],"",0)</f>
        <v>#REF!</v>
      </c>
      <c r="AG779" s="69" t="e" cm="1">
        <f t="array" ref="AG779">_xlfn.XLOOKUP(Table1[[#This Row],[5 cm2 cell test code]:[5 cm2 cell test code]],[1]!Table1[[Test code]:[Test code]],[1]!Table1[Q_int_frac DIW],"",0)</f>
        <v>#REF!</v>
      </c>
      <c r="AH779" s="69" t="e" cm="1">
        <f t="array" ref="AH779">_xlfn.XLOOKUP(Table1[[#This Row],[5 cm2 cell test code]:[5 cm2 cell test code]],[1]!Table1[[Test code]:[Test code]],[1]!Table1[Ionic resistance 10 mM KOH/Ohm cm2],"",0)</f>
        <v>#REF!</v>
      </c>
      <c r="AI779" s="69" t="e" cm="1">
        <f t="array" ref="AI779">_xlfn.XLOOKUP(Table1[[#This Row],[5 cm2 cell test code]:[5 cm2 cell test code]],[1]!Table1[[Test code]:[Test code]],[1]!Table1[Q_int_frac DIW 10 mM KOH],"",0)</f>
        <v>#REF!</v>
      </c>
      <c r="AJ779" s="69" t="e" cm="1">
        <f t="array" ref="AJ779">_xlfn.XLOOKUP(Table1[[#This Row],[5 cm2 cell test code]:[5 cm2 cell test code]],[1]!Table1[[Test code]:[Test code]],[1]!Table1[DIW conductivity (µS/cm)],"",0)</f>
        <v>#REF!</v>
      </c>
    </row>
    <row r="780" spans="1:36">
      <c r="A780" s="81"/>
      <c r="U780" s="101"/>
      <c r="V780" s="101"/>
      <c r="W780" s="69" t="e" cm="1">
        <f t="array" ref="W780">_xlfn.XLOOKUP(Table1[[#This Row],[5 cm2 cell test code]:[5 cm2 cell test code]],[1]!Table1[[Test code]:[Test code]],[1]!Table1[i @ 1.8 V DIW (A/cm2)],"",0)</f>
        <v>#REF!</v>
      </c>
      <c r="X780" s="69" t="e" cm="1">
        <f t="array" ref="X780">_xlfn.XLOOKUP(Table1[[#This Row],[5 cm2 cell test code]:[5 cm2 cell test code]],[1]!Table1[[Test code]:[Test code]],[1]!Table1[i @ 1.8 V 10 mM KOH (A/cm2)],"",0)</f>
        <v>#REF!</v>
      </c>
      <c r="Y780" s="69" t="e" cm="1">
        <f t="array" ref="Y780">_xlfn.XLOOKUP(Table1[[#This Row],[5 cm2 cell test code]:[5 cm2 cell test code]],[1]!Table1[[Test code]:[Test code]],[1]!Table1[3-E ƞ at 20mAcm-2 (mV)],"",0)</f>
        <v>#REF!</v>
      </c>
      <c r="Z780" s="69" t="e" cm="1">
        <f t="array" ref="Z780">_xlfn.XLOOKUP(Table1[[#This Row],[5 cm2 cell test code]:[5 cm2 cell test code]],[1]!Table1[[Test code]:[Test code]],[1]!Table1[3-E Tafel slope (mV/dec)],"",0)</f>
        <v>#REF!</v>
      </c>
      <c r="AA780" s="69" t="e" cm="1">
        <f t="array" ref="AA780">_xlfn.XLOOKUP(Table1[[#This Row],[5 cm2 cell test code]:[5 cm2 cell test code]],[1]!Table1[[Test code]:[Test code]],[1]!Table1[E @ 100 mA/cm2 DIW/V],"",0)</f>
        <v>#REF!</v>
      </c>
      <c r="AB780" s="69" t="e" cm="1">
        <f t="array" ref="AB780">_xlfn.XLOOKUP(Table1[[#This Row],[5 cm2 cell test code]:[5 cm2 cell test code]],[1]!Table1[[Test code]:[Test code]],[1]!Table1[E @ 100 mA/cm2 10 mM KOH/V],"",0)</f>
        <v>#REF!</v>
      </c>
      <c r="AC780" s="69" t="e" cm="1">
        <f t="array" ref="AC780">_xlfn.XLOOKUP(Table1[[#This Row],[5 cm2 cell test code]:[5 cm2 cell test code]],[1]!Table1[[Test code]:[Test code]],[1]!Table1[Anode ICR/mOhm],"",0)</f>
        <v>#REF!</v>
      </c>
      <c r="AD780" s="69" t="e" cm="1">
        <f t="array" ref="AD780">_xlfn.XLOOKUP(Table1[[#This Row],[5 cm2 cell test code]:[5 cm2 cell test code]],[1]!Table1[[Test code]:[Test code]],[1]!Table1[HFR DIW/ mOhm cm2],"",0)</f>
        <v>#REF!</v>
      </c>
      <c r="AE780" s="69" t="e" cm="1">
        <f t="array" ref="AE780">_xlfn.XLOOKUP(Table1[[#This Row],[5 cm2 cell test code]:[5 cm2 cell test code]],[1]!Table1[[Test code]:[Test code]],[1]!Table1[HFR 10 mM KOH/ mOhm cm2],"",0)</f>
        <v>#REF!</v>
      </c>
      <c r="AF780" s="69" t="e" cm="1">
        <f t="array" ref="AF780">_xlfn.XLOOKUP(Table1[[#This Row],[5 cm2 cell test code]:[5 cm2 cell test code]],[1]!Table1[[Test code]:[Test code]],[1]!Table1[Ionic resistance DIW/Ohm cm2],"",0)</f>
        <v>#REF!</v>
      </c>
      <c r="AG780" s="69" t="e" cm="1">
        <f t="array" ref="AG780">_xlfn.XLOOKUP(Table1[[#This Row],[5 cm2 cell test code]:[5 cm2 cell test code]],[1]!Table1[[Test code]:[Test code]],[1]!Table1[Q_int_frac DIW],"",0)</f>
        <v>#REF!</v>
      </c>
      <c r="AH780" s="69" t="e" cm="1">
        <f t="array" ref="AH780">_xlfn.XLOOKUP(Table1[[#This Row],[5 cm2 cell test code]:[5 cm2 cell test code]],[1]!Table1[[Test code]:[Test code]],[1]!Table1[Ionic resistance 10 mM KOH/Ohm cm2],"",0)</f>
        <v>#REF!</v>
      </c>
      <c r="AI780" s="69" t="e" cm="1">
        <f t="array" ref="AI780">_xlfn.XLOOKUP(Table1[[#This Row],[5 cm2 cell test code]:[5 cm2 cell test code]],[1]!Table1[[Test code]:[Test code]],[1]!Table1[Q_int_frac DIW 10 mM KOH],"",0)</f>
        <v>#REF!</v>
      </c>
      <c r="AJ780" s="69" t="e" cm="1">
        <f t="array" ref="AJ780">_xlfn.XLOOKUP(Table1[[#This Row],[5 cm2 cell test code]:[5 cm2 cell test code]],[1]!Table1[[Test code]:[Test code]],[1]!Table1[DIW conductivity (µS/cm)],"",0)</f>
        <v>#REF!</v>
      </c>
    </row>
    <row r="781" spans="1:36">
      <c r="A781" s="81"/>
      <c r="U781" s="101"/>
      <c r="V781" s="101"/>
      <c r="W781" s="69" t="e" cm="1">
        <f t="array" ref="W781">_xlfn.XLOOKUP(Table1[[#This Row],[5 cm2 cell test code]:[5 cm2 cell test code]],[1]!Table1[[Test code]:[Test code]],[1]!Table1[i @ 1.8 V DIW (A/cm2)],"",0)</f>
        <v>#REF!</v>
      </c>
      <c r="X781" s="69" t="e" cm="1">
        <f t="array" ref="X781">_xlfn.XLOOKUP(Table1[[#This Row],[5 cm2 cell test code]:[5 cm2 cell test code]],[1]!Table1[[Test code]:[Test code]],[1]!Table1[i @ 1.8 V 10 mM KOH (A/cm2)],"",0)</f>
        <v>#REF!</v>
      </c>
      <c r="Y781" s="69" t="e" cm="1">
        <f t="array" ref="Y781">_xlfn.XLOOKUP(Table1[[#This Row],[5 cm2 cell test code]:[5 cm2 cell test code]],[1]!Table1[[Test code]:[Test code]],[1]!Table1[3-E ƞ at 20mAcm-2 (mV)],"",0)</f>
        <v>#REF!</v>
      </c>
      <c r="Z781" s="69" t="e" cm="1">
        <f t="array" ref="Z781">_xlfn.XLOOKUP(Table1[[#This Row],[5 cm2 cell test code]:[5 cm2 cell test code]],[1]!Table1[[Test code]:[Test code]],[1]!Table1[3-E Tafel slope (mV/dec)],"",0)</f>
        <v>#REF!</v>
      </c>
      <c r="AA781" s="69" t="e" cm="1">
        <f t="array" ref="AA781">_xlfn.XLOOKUP(Table1[[#This Row],[5 cm2 cell test code]:[5 cm2 cell test code]],[1]!Table1[[Test code]:[Test code]],[1]!Table1[E @ 100 mA/cm2 DIW/V],"",0)</f>
        <v>#REF!</v>
      </c>
      <c r="AB781" s="69" t="e" cm="1">
        <f t="array" ref="AB781">_xlfn.XLOOKUP(Table1[[#This Row],[5 cm2 cell test code]:[5 cm2 cell test code]],[1]!Table1[[Test code]:[Test code]],[1]!Table1[E @ 100 mA/cm2 10 mM KOH/V],"",0)</f>
        <v>#REF!</v>
      </c>
      <c r="AC781" s="69" t="e" cm="1">
        <f t="array" ref="AC781">_xlfn.XLOOKUP(Table1[[#This Row],[5 cm2 cell test code]:[5 cm2 cell test code]],[1]!Table1[[Test code]:[Test code]],[1]!Table1[Anode ICR/mOhm],"",0)</f>
        <v>#REF!</v>
      </c>
      <c r="AD781" s="69" t="e" cm="1">
        <f t="array" ref="AD781">_xlfn.XLOOKUP(Table1[[#This Row],[5 cm2 cell test code]:[5 cm2 cell test code]],[1]!Table1[[Test code]:[Test code]],[1]!Table1[HFR DIW/ mOhm cm2],"",0)</f>
        <v>#REF!</v>
      </c>
      <c r="AE781" s="69" t="e" cm="1">
        <f t="array" ref="AE781">_xlfn.XLOOKUP(Table1[[#This Row],[5 cm2 cell test code]:[5 cm2 cell test code]],[1]!Table1[[Test code]:[Test code]],[1]!Table1[HFR 10 mM KOH/ mOhm cm2],"",0)</f>
        <v>#REF!</v>
      </c>
      <c r="AF781" s="69" t="e" cm="1">
        <f t="array" ref="AF781">_xlfn.XLOOKUP(Table1[[#This Row],[5 cm2 cell test code]:[5 cm2 cell test code]],[1]!Table1[[Test code]:[Test code]],[1]!Table1[Ionic resistance DIW/Ohm cm2],"",0)</f>
        <v>#REF!</v>
      </c>
      <c r="AG781" s="69" t="e" cm="1">
        <f t="array" ref="AG781">_xlfn.XLOOKUP(Table1[[#This Row],[5 cm2 cell test code]:[5 cm2 cell test code]],[1]!Table1[[Test code]:[Test code]],[1]!Table1[Q_int_frac DIW],"",0)</f>
        <v>#REF!</v>
      </c>
      <c r="AH781" s="69" t="e" cm="1">
        <f t="array" ref="AH781">_xlfn.XLOOKUP(Table1[[#This Row],[5 cm2 cell test code]:[5 cm2 cell test code]],[1]!Table1[[Test code]:[Test code]],[1]!Table1[Ionic resistance 10 mM KOH/Ohm cm2],"",0)</f>
        <v>#REF!</v>
      </c>
      <c r="AI781" s="69" t="e" cm="1">
        <f t="array" ref="AI781">_xlfn.XLOOKUP(Table1[[#This Row],[5 cm2 cell test code]:[5 cm2 cell test code]],[1]!Table1[[Test code]:[Test code]],[1]!Table1[Q_int_frac DIW 10 mM KOH],"",0)</f>
        <v>#REF!</v>
      </c>
      <c r="AJ781" s="69" t="e" cm="1">
        <f t="array" ref="AJ781">_xlfn.XLOOKUP(Table1[[#This Row],[5 cm2 cell test code]:[5 cm2 cell test code]],[1]!Table1[[Test code]:[Test code]],[1]!Table1[DIW conductivity (µS/cm)],"",0)</f>
        <v>#REF!</v>
      </c>
    </row>
    <row r="782" spans="1:36">
      <c r="A782" s="81"/>
      <c r="U782" s="101"/>
      <c r="V782" s="101"/>
      <c r="W782" s="69" t="e" cm="1">
        <f t="array" ref="W782">_xlfn.XLOOKUP(Table1[[#This Row],[5 cm2 cell test code]:[5 cm2 cell test code]],[1]!Table1[[Test code]:[Test code]],[1]!Table1[i @ 1.8 V DIW (A/cm2)],"",0)</f>
        <v>#REF!</v>
      </c>
      <c r="X782" s="69" t="e" cm="1">
        <f t="array" ref="X782">_xlfn.XLOOKUP(Table1[[#This Row],[5 cm2 cell test code]:[5 cm2 cell test code]],[1]!Table1[[Test code]:[Test code]],[1]!Table1[i @ 1.8 V 10 mM KOH (A/cm2)],"",0)</f>
        <v>#REF!</v>
      </c>
      <c r="Y782" s="69" t="e" cm="1">
        <f t="array" ref="Y782">_xlfn.XLOOKUP(Table1[[#This Row],[5 cm2 cell test code]:[5 cm2 cell test code]],[1]!Table1[[Test code]:[Test code]],[1]!Table1[3-E ƞ at 20mAcm-2 (mV)],"",0)</f>
        <v>#REF!</v>
      </c>
      <c r="Z782" s="69" t="e" cm="1">
        <f t="array" ref="Z782">_xlfn.XLOOKUP(Table1[[#This Row],[5 cm2 cell test code]:[5 cm2 cell test code]],[1]!Table1[[Test code]:[Test code]],[1]!Table1[3-E Tafel slope (mV/dec)],"",0)</f>
        <v>#REF!</v>
      </c>
      <c r="AA782" s="69" t="e" cm="1">
        <f t="array" ref="AA782">_xlfn.XLOOKUP(Table1[[#This Row],[5 cm2 cell test code]:[5 cm2 cell test code]],[1]!Table1[[Test code]:[Test code]],[1]!Table1[E @ 100 mA/cm2 DIW/V],"",0)</f>
        <v>#REF!</v>
      </c>
      <c r="AB782" s="69" t="e" cm="1">
        <f t="array" ref="AB782">_xlfn.XLOOKUP(Table1[[#This Row],[5 cm2 cell test code]:[5 cm2 cell test code]],[1]!Table1[[Test code]:[Test code]],[1]!Table1[E @ 100 mA/cm2 10 mM KOH/V],"",0)</f>
        <v>#REF!</v>
      </c>
      <c r="AC782" s="69" t="e" cm="1">
        <f t="array" ref="AC782">_xlfn.XLOOKUP(Table1[[#This Row],[5 cm2 cell test code]:[5 cm2 cell test code]],[1]!Table1[[Test code]:[Test code]],[1]!Table1[Anode ICR/mOhm],"",0)</f>
        <v>#REF!</v>
      </c>
      <c r="AD782" s="69" t="e" cm="1">
        <f t="array" ref="AD782">_xlfn.XLOOKUP(Table1[[#This Row],[5 cm2 cell test code]:[5 cm2 cell test code]],[1]!Table1[[Test code]:[Test code]],[1]!Table1[HFR DIW/ mOhm cm2],"",0)</f>
        <v>#REF!</v>
      </c>
      <c r="AE782" s="69" t="e" cm="1">
        <f t="array" ref="AE782">_xlfn.XLOOKUP(Table1[[#This Row],[5 cm2 cell test code]:[5 cm2 cell test code]],[1]!Table1[[Test code]:[Test code]],[1]!Table1[HFR 10 mM KOH/ mOhm cm2],"",0)</f>
        <v>#REF!</v>
      </c>
      <c r="AF782" s="69" t="e" cm="1">
        <f t="array" ref="AF782">_xlfn.XLOOKUP(Table1[[#This Row],[5 cm2 cell test code]:[5 cm2 cell test code]],[1]!Table1[[Test code]:[Test code]],[1]!Table1[Ionic resistance DIW/Ohm cm2],"",0)</f>
        <v>#REF!</v>
      </c>
      <c r="AG782" s="69" t="e" cm="1">
        <f t="array" ref="AG782">_xlfn.XLOOKUP(Table1[[#This Row],[5 cm2 cell test code]:[5 cm2 cell test code]],[1]!Table1[[Test code]:[Test code]],[1]!Table1[Q_int_frac DIW],"",0)</f>
        <v>#REF!</v>
      </c>
      <c r="AH782" s="69" t="e" cm="1">
        <f t="array" ref="AH782">_xlfn.XLOOKUP(Table1[[#This Row],[5 cm2 cell test code]:[5 cm2 cell test code]],[1]!Table1[[Test code]:[Test code]],[1]!Table1[Ionic resistance 10 mM KOH/Ohm cm2],"",0)</f>
        <v>#REF!</v>
      </c>
      <c r="AI782" s="69" t="e" cm="1">
        <f t="array" ref="AI782">_xlfn.XLOOKUP(Table1[[#This Row],[5 cm2 cell test code]:[5 cm2 cell test code]],[1]!Table1[[Test code]:[Test code]],[1]!Table1[Q_int_frac DIW 10 mM KOH],"",0)</f>
        <v>#REF!</v>
      </c>
      <c r="AJ782" s="69" t="e" cm="1">
        <f t="array" ref="AJ782">_xlfn.XLOOKUP(Table1[[#This Row],[5 cm2 cell test code]:[5 cm2 cell test code]],[1]!Table1[[Test code]:[Test code]],[1]!Table1[DIW conductivity (µS/cm)],"",0)</f>
        <v>#REF!</v>
      </c>
    </row>
    <row r="783" spans="1:36">
      <c r="A783" s="81"/>
      <c r="U783" s="101"/>
      <c r="V783" s="101"/>
      <c r="W783" s="69" t="e" cm="1">
        <f t="array" ref="W783">_xlfn.XLOOKUP(Table1[[#This Row],[5 cm2 cell test code]:[5 cm2 cell test code]],[1]!Table1[[Test code]:[Test code]],[1]!Table1[i @ 1.8 V DIW (A/cm2)],"",0)</f>
        <v>#REF!</v>
      </c>
      <c r="X783" s="69" t="e" cm="1">
        <f t="array" ref="X783">_xlfn.XLOOKUP(Table1[[#This Row],[5 cm2 cell test code]:[5 cm2 cell test code]],[1]!Table1[[Test code]:[Test code]],[1]!Table1[i @ 1.8 V 10 mM KOH (A/cm2)],"",0)</f>
        <v>#REF!</v>
      </c>
      <c r="Y783" s="69" t="e" cm="1">
        <f t="array" ref="Y783">_xlfn.XLOOKUP(Table1[[#This Row],[5 cm2 cell test code]:[5 cm2 cell test code]],[1]!Table1[[Test code]:[Test code]],[1]!Table1[3-E ƞ at 20mAcm-2 (mV)],"",0)</f>
        <v>#REF!</v>
      </c>
      <c r="Z783" s="69" t="e" cm="1">
        <f t="array" ref="Z783">_xlfn.XLOOKUP(Table1[[#This Row],[5 cm2 cell test code]:[5 cm2 cell test code]],[1]!Table1[[Test code]:[Test code]],[1]!Table1[3-E Tafel slope (mV/dec)],"",0)</f>
        <v>#REF!</v>
      </c>
      <c r="AA783" s="69" t="e" cm="1">
        <f t="array" ref="AA783">_xlfn.XLOOKUP(Table1[[#This Row],[5 cm2 cell test code]:[5 cm2 cell test code]],[1]!Table1[[Test code]:[Test code]],[1]!Table1[E @ 100 mA/cm2 DIW/V],"",0)</f>
        <v>#REF!</v>
      </c>
      <c r="AB783" s="69" t="e" cm="1">
        <f t="array" ref="AB783">_xlfn.XLOOKUP(Table1[[#This Row],[5 cm2 cell test code]:[5 cm2 cell test code]],[1]!Table1[[Test code]:[Test code]],[1]!Table1[E @ 100 mA/cm2 10 mM KOH/V],"",0)</f>
        <v>#REF!</v>
      </c>
      <c r="AC783" s="69" t="e" cm="1">
        <f t="array" ref="AC783">_xlfn.XLOOKUP(Table1[[#This Row],[5 cm2 cell test code]:[5 cm2 cell test code]],[1]!Table1[[Test code]:[Test code]],[1]!Table1[Anode ICR/mOhm],"",0)</f>
        <v>#REF!</v>
      </c>
      <c r="AD783" s="69" t="e" cm="1">
        <f t="array" ref="AD783">_xlfn.XLOOKUP(Table1[[#This Row],[5 cm2 cell test code]:[5 cm2 cell test code]],[1]!Table1[[Test code]:[Test code]],[1]!Table1[HFR DIW/ mOhm cm2],"",0)</f>
        <v>#REF!</v>
      </c>
      <c r="AE783" s="69" t="e" cm="1">
        <f t="array" ref="AE783">_xlfn.XLOOKUP(Table1[[#This Row],[5 cm2 cell test code]:[5 cm2 cell test code]],[1]!Table1[[Test code]:[Test code]],[1]!Table1[HFR 10 mM KOH/ mOhm cm2],"",0)</f>
        <v>#REF!</v>
      </c>
      <c r="AF783" s="69" t="e" cm="1">
        <f t="array" ref="AF783">_xlfn.XLOOKUP(Table1[[#This Row],[5 cm2 cell test code]:[5 cm2 cell test code]],[1]!Table1[[Test code]:[Test code]],[1]!Table1[Ionic resistance DIW/Ohm cm2],"",0)</f>
        <v>#REF!</v>
      </c>
      <c r="AG783" s="69" t="e" cm="1">
        <f t="array" ref="AG783">_xlfn.XLOOKUP(Table1[[#This Row],[5 cm2 cell test code]:[5 cm2 cell test code]],[1]!Table1[[Test code]:[Test code]],[1]!Table1[Q_int_frac DIW],"",0)</f>
        <v>#REF!</v>
      </c>
      <c r="AH783" s="69" t="e" cm="1">
        <f t="array" ref="AH783">_xlfn.XLOOKUP(Table1[[#This Row],[5 cm2 cell test code]:[5 cm2 cell test code]],[1]!Table1[[Test code]:[Test code]],[1]!Table1[Ionic resistance 10 mM KOH/Ohm cm2],"",0)</f>
        <v>#REF!</v>
      </c>
      <c r="AI783" s="69" t="e" cm="1">
        <f t="array" ref="AI783">_xlfn.XLOOKUP(Table1[[#This Row],[5 cm2 cell test code]:[5 cm2 cell test code]],[1]!Table1[[Test code]:[Test code]],[1]!Table1[Q_int_frac DIW 10 mM KOH],"",0)</f>
        <v>#REF!</v>
      </c>
      <c r="AJ783" s="69" t="e" cm="1">
        <f t="array" ref="AJ783">_xlfn.XLOOKUP(Table1[[#This Row],[5 cm2 cell test code]:[5 cm2 cell test code]],[1]!Table1[[Test code]:[Test code]],[1]!Table1[DIW conductivity (µS/cm)],"",0)</f>
        <v>#REF!</v>
      </c>
    </row>
    <row r="784" spans="1:36">
      <c r="A784" s="81"/>
      <c r="U784" s="101"/>
      <c r="V784" s="101"/>
      <c r="W784" s="69" t="e" cm="1">
        <f t="array" ref="W784">_xlfn.XLOOKUP(Table1[[#This Row],[5 cm2 cell test code]:[5 cm2 cell test code]],[1]!Table1[[Test code]:[Test code]],[1]!Table1[i @ 1.8 V DIW (A/cm2)],"",0)</f>
        <v>#REF!</v>
      </c>
      <c r="X784" s="69" t="e" cm="1">
        <f t="array" ref="X784">_xlfn.XLOOKUP(Table1[[#This Row],[5 cm2 cell test code]:[5 cm2 cell test code]],[1]!Table1[[Test code]:[Test code]],[1]!Table1[i @ 1.8 V 10 mM KOH (A/cm2)],"",0)</f>
        <v>#REF!</v>
      </c>
      <c r="Y784" s="69" t="e" cm="1">
        <f t="array" ref="Y784">_xlfn.XLOOKUP(Table1[[#This Row],[5 cm2 cell test code]:[5 cm2 cell test code]],[1]!Table1[[Test code]:[Test code]],[1]!Table1[3-E ƞ at 20mAcm-2 (mV)],"",0)</f>
        <v>#REF!</v>
      </c>
      <c r="Z784" s="69" t="e" cm="1">
        <f t="array" ref="Z784">_xlfn.XLOOKUP(Table1[[#This Row],[5 cm2 cell test code]:[5 cm2 cell test code]],[1]!Table1[[Test code]:[Test code]],[1]!Table1[3-E Tafel slope (mV/dec)],"",0)</f>
        <v>#REF!</v>
      </c>
      <c r="AA784" s="69" t="e" cm="1">
        <f t="array" ref="AA784">_xlfn.XLOOKUP(Table1[[#This Row],[5 cm2 cell test code]:[5 cm2 cell test code]],[1]!Table1[[Test code]:[Test code]],[1]!Table1[E @ 100 mA/cm2 DIW/V],"",0)</f>
        <v>#REF!</v>
      </c>
      <c r="AB784" s="69" t="e" cm="1">
        <f t="array" ref="AB784">_xlfn.XLOOKUP(Table1[[#This Row],[5 cm2 cell test code]:[5 cm2 cell test code]],[1]!Table1[[Test code]:[Test code]],[1]!Table1[E @ 100 mA/cm2 10 mM KOH/V],"",0)</f>
        <v>#REF!</v>
      </c>
      <c r="AC784" s="69" t="e" cm="1">
        <f t="array" ref="AC784">_xlfn.XLOOKUP(Table1[[#This Row],[5 cm2 cell test code]:[5 cm2 cell test code]],[1]!Table1[[Test code]:[Test code]],[1]!Table1[Anode ICR/mOhm],"",0)</f>
        <v>#REF!</v>
      </c>
      <c r="AD784" s="69" t="e" cm="1">
        <f t="array" ref="AD784">_xlfn.XLOOKUP(Table1[[#This Row],[5 cm2 cell test code]:[5 cm2 cell test code]],[1]!Table1[[Test code]:[Test code]],[1]!Table1[HFR DIW/ mOhm cm2],"",0)</f>
        <v>#REF!</v>
      </c>
      <c r="AE784" s="69" t="e" cm="1">
        <f t="array" ref="AE784">_xlfn.XLOOKUP(Table1[[#This Row],[5 cm2 cell test code]:[5 cm2 cell test code]],[1]!Table1[[Test code]:[Test code]],[1]!Table1[HFR 10 mM KOH/ mOhm cm2],"",0)</f>
        <v>#REF!</v>
      </c>
      <c r="AF784" s="69" t="e" cm="1">
        <f t="array" ref="AF784">_xlfn.XLOOKUP(Table1[[#This Row],[5 cm2 cell test code]:[5 cm2 cell test code]],[1]!Table1[[Test code]:[Test code]],[1]!Table1[Ionic resistance DIW/Ohm cm2],"",0)</f>
        <v>#REF!</v>
      </c>
      <c r="AG784" s="69" t="e" cm="1">
        <f t="array" ref="AG784">_xlfn.XLOOKUP(Table1[[#This Row],[5 cm2 cell test code]:[5 cm2 cell test code]],[1]!Table1[[Test code]:[Test code]],[1]!Table1[Q_int_frac DIW],"",0)</f>
        <v>#REF!</v>
      </c>
      <c r="AH784" s="69" t="e" cm="1">
        <f t="array" ref="AH784">_xlfn.XLOOKUP(Table1[[#This Row],[5 cm2 cell test code]:[5 cm2 cell test code]],[1]!Table1[[Test code]:[Test code]],[1]!Table1[Ionic resistance 10 mM KOH/Ohm cm2],"",0)</f>
        <v>#REF!</v>
      </c>
      <c r="AI784" s="69" t="e" cm="1">
        <f t="array" ref="AI784">_xlfn.XLOOKUP(Table1[[#This Row],[5 cm2 cell test code]:[5 cm2 cell test code]],[1]!Table1[[Test code]:[Test code]],[1]!Table1[Q_int_frac DIW 10 mM KOH],"",0)</f>
        <v>#REF!</v>
      </c>
      <c r="AJ784" s="69" t="e" cm="1">
        <f t="array" ref="AJ784">_xlfn.XLOOKUP(Table1[[#This Row],[5 cm2 cell test code]:[5 cm2 cell test code]],[1]!Table1[[Test code]:[Test code]],[1]!Table1[DIW conductivity (µS/cm)],"",0)</f>
        <v>#REF!</v>
      </c>
    </row>
    <row r="785" spans="1:36">
      <c r="A785" s="81"/>
      <c r="U785" s="101"/>
      <c r="V785" s="101"/>
      <c r="W785" s="69" t="e" cm="1">
        <f t="array" ref="W785">_xlfn.XLOOKUP(Table1[[#This Row],[5 cm2 cell test code]:[5 cm2 cell test code]],[1]!Table1[[Test code]:[Test code]],[1]!Table1[i @ 1.8 V DIW (A/cm2)],"",0)</f>
        <v>#REF!</v>
      </c>
      <c r="X785" s="69" t="e" cm="1">
        <f t="array" ref="X785">_xlfn.XLOOKUP(Table1[[#This Row],[5 cm2 cell test code]:[5 cm2 cell test code]],[1]!Table1[[Test code]:[Test code]],[1]!Table1[i @ 1.8 V 10 mM KOH (A/cm2)],"",0)</f>
        <v>#REF!</v>
      </c>
      <c r="Y785" s="69" t="e" cm="1">
        <f t="array" ref="Y785">_xlfn.XLOOKUP(Table1[[#This Row],[5 cm2 cell test code]:[5 cm2 cell test code]],[1]!Table1[[Test code]:[Test code]],[1]!Table1[3-E ƞ at 20mAcm-2 (mV)],"",0)</f>
        <v>#REF!</v>
      </c>
      <c r="Z785" s="69" t="e" cm="1">
        <f t="array" ref="Z785">_xlfn.XLOOKUP(Table1[[#This Row],[5 cm2 cell test code]:[5 cm2 cell test code]],[1]!Table1[[Test code]:[Test code]],[1]!Table1[3-E Tafel slope (mV/dec)],"",0)</f>
        <v>#REF!</v>
      </c>
      <c r="AA785" s="69" t="e" cm="1">
        <f t="array" ref="AA785">_xlfn.XLOOKUP(Table1[[#This Row],[5 cm2 cell test code]:[5 cm2 cell test code]],[1]!Table1[[Test code]:[Test code]],[1]!Table1[E @ 100 mA/cm2 DIW/V],"",0)</f>
        <v>#REF!</v>
      </c>
      <c r="AB785" s="69" t="e" cm="1">
        <f t="array" ref="AB785">_xlfn.XLOOKUP(Table1[[#This Row],[5 cm2 cell test code]:[5 cm2 cell test code]],[1]!Table1[[Test code]:[Test code]],[1]!Table1[E @ 100 mA/cm2 10 mM KOH/V],"",0)</f>
        <v>#REF!</v>
      </c>
      <c r="AC785" s="69" t="e" cm="1">
        <f t="array" ref="AC785">_xlfn.XLOOKUP(Table1[[#This Row],[5 cm2 cell test code]:[5 cm2 cell test code]],[1]!Table1[[Test code]:[Test code]],[1]!Table1[Anode ICR/mOhm],"",0)</f>
        <v>#REF!</v>
      </c>
      <c r="AD785" s="69" t="e" cm="1">
        <f t="array" ref="AD785">_xlfn.XLOOKUP(Table1[[#This Row],[5 cm2 cell test code]:[5 cm2 cell test code]],[1]!Table1[[Test code]:[Test code]],[1]!Table1[HFR DIW/ mOhm cm2],"",0)</f>
        <v>#REF!</v>
      </c>
      <c r="AE785" s="69" t="e" cm="1">
        <f t="array" ref="AE785">_xlfn.XLOOKUP(Table1[[#This Row],[5 cm2 cell test code]:[5 cm2 cell test code]],[1]!Table1[[Test code]:[Test code]],[1]!Table1[HFR 10 mM KOH/ mOhm cm2],"",0)</f>
        <v>#REF!</v>
      </c>
      <c r="AF785" s="69" t="e" cm="1">
        <f t="array" ref="AF785">_xlfn.XLOOKUP(Table1[[#This Row],[5 cm2 cell test code]:[5 cm2 cell test code]],[1]!Table1[[Test code]:[Test code]],[1]!Table1[Ionic resistance DIW/Ohm cm2],"",0)</f>
        <v>#REF!</v>
      </c>
      <c r="AG785" s="69" t="e" cm="1">
        <f t="array" ref="AG785">_xlfn.XLOOKUP(Table1[[#This Row],[5 cm2 cell test code]:[5 cm2 cell test code]],[1]!Table1[[Test code]:[Test code]],[1]!Table1[Q_int_frac DIW],"",0)</f>
        <v>#REF!</v>
      </c>
      <c r="AH785" s="69" t="e" cm="1">
        <f t="array" ref="AH785">_xlfn.XLOOKUP(Table1[[#This Row],[5 cm2 cell test code]:[5 cm2 cell test code]],[1]!Table1[[Test code]:[Test code]],[1]!Table1[Ionic resistance 10 mM KOH/Ohm cm2],"",0)</f>
        <v>#REF!</v>
      </c>
      <c r="AI785" s="69" t="e" cm="1">
        <f t="array" ref="AI785">_xlfn.XLOOKUP(Table1[[#This Row],[5 cm2 cell test code]:[5 cm2 cell test code]],[1]!Table1[[Test code]:[Test code]],[1]!Table1[Q_int_frac DIW 10 mM KOH],"",0)</f>
        <v>#REF!</v>
      </c>
      <c r="AJ785" s="69" t="e" cm="1">
        <f t="array" ref="AJ785">_xlfn.XLOOKUP(Table1[[#This Row],[5 cm2 cell test code]:[5 cm2 cell test code]],[1]!Table1[[Test code]:[Test code]],[1]!Table1[DIW conductivity (µS/cm)],"",0)</f>
        <v>#REF!</v>
      </c>
    </row>
    <row r="786" spans="1:36">
      <c r="A786" s="81"/>
      <c r="U786" s="101"/>
      <c r="V786" s="101"/>
      <c r="W786" s="69" t="e" cm="1">
        <f t="array" ref="W786">_xlfn.XLOOKUP(Table1[[#This Row],[5 cm2 cell test code]:[5 cm2 cell test code]],[1]!Table1[[Test code]:[Test code]],[1]!Table1[i @ 1.8 V DIW (A/cm2)],"",0)</f>
        <v>#REF!</v>
      </c>
      <c r="X786" s="69" t="e" cm="1">
        <f t="array" ref="X786">_xlfn.XLOOKUP(Table1[[#This Row],[5 cm2 cell test code]:[5 cm2 cell test code]],[1]!Table1[[Test code]:[Test code]],[1]!Table1[i @ 1.8 V 10 mM KOH (A/cm2)],"",0)</f>
        <v>#REF!</v>
      </c>
      <c r="Y786" s="69" t="e" cm="1">
        <f t="array" ref="Y786">_xlfn.XLOOKUP(Table1[[#This Row],[5 cm2 cell test code]:[5 cm2 cell test code]],[1]!Table1[[Test code]:[Test code]],[1]!Table1[3-E ƞ at 20mAcm-2 (mV)],"",0)</f>
        <v>#REF!</v>
      </c>
      <c r="Z786" s="69" t="e" cm="1">
        <f t="array" ref="Z786">_xlfn.XLOOKUP(Table1[[#This Row],[5 cm2 cell test code]:[5 cm2 cell test code]],[1]!Table1[[Test code]:[Test code]],[1]!Table1[3-E Tafel slope (mV/dec)],"",0)</f>
        <v>#REF!</v>
      </c>
      <c r="AA786" s="69" t="e" cm="1">
        <f t="array" ref="AA786">_xlfn.XLOOKUP(Table1[[#This Row],[5 cm2 cell test code]:[5 cm2 cell test code]],[1]!Table1[[Test code]:[Test code]],[1]!Table1[E @ 100 mA/cm2 DIW/V],"",0)</f>
        <v>#REF!</v>
      </c>
      <c r="AB786" s="69" t="e" cm="1">
        <f t="array" ref="AB786">_xlfn.XLOOKUP(Table1[[#This Row],[5 cm2 cell test code]:[5 cm2 cell test code]],[1]!Table1[[Test code]:[Test code]],[1]!Table1[E @ 100 mA/cm2 10 mM KOH/V],"",0)</f>
        <v>#REF!</v>
      </c>
      <c r="AC786" s="69" t="e" cm="1">
        <f t="array" ref="AC786">_xlfn.XLOOKUP(Table1[[#This Row],[5 cm2 cell test code]:[5 cm2 cell test code]],[1]!Table1[[Test code]:[Test code]],[1]!Table1[Anode ICR/mOhm],"",0)</f>
        <v>#REF!</v>
      </c>
      <c r="AD786" s="69" t="e" cm="1">
        <f t="array" ref="AD786">_xlfn.XLOOKUP(Table1[[#This Row],[5 cm2 cell test code]:[5 cm2 cell test code]],[1]!Table1[[Test code]:[Test code]],[1]!Table1[HFR DIW/ mOhm cm2],"",0)</f>
        <v>#REF!</v>
      </c>
      <c r="AE786" s="69" t="e" cm="1">
        <f t="array" ref="AE786">_xlfn.XLOOKUP(Table1[[#This Row],[5 cm2 cell test code]:[5 cm2 cell test code]],[1]!Table1[[Test code]:[Test code]],[1]!Table1[HFR 10 mM KOH/ mOhm cm2],"",0)</f>
        <v>#REF!</v>
      </c>
      <c r="AF786" s="69" t="e" cm="1">
        <f t="array" ref="AF786">_xlfn.XLOOKUP(Table1[[#This Row],[5 cm2 cell test code]:[5 cm2 cell test code]],[1]!Table1[[Test code]:[Test code]],[1]!Table1[Ionic resistance DIW/Ohm cm2],"",0)</f>
        <v>#REF!</v>
      </c>
      <c r="AG786" s="69" t="e" cm="1">
        <f t="array" ref="AG786">_xlfn.XLOOKUP(Table1[[#This Row],[5 cm2 cell test code]:[5 cm2 cell test code]],[1]!Table1[[Test code]:[Test code]],[1]!Table1[Q_int_frac DIW],"",0)</f>
        <v>#REF!</v>
      </c>
      <c r="AH786" s="69" t="e" cm="1">
        <f t="array" ref="AH786">_xlfn.XLOOKUP(Table1[[#This Row],[5 cm2 cell test code]:[5 cm2 cell test code]],[1]!Table1[[Test code]:[Test code]],[1]!Table1[Ionic resistance 10 mM KOH/Ohm cm2],"",0)</f>
        <v>#REF!</v>
      </c>
      <c r="AI786" s="69" t="e" cm="1">
        <f t="array" ref="AI786">_xlfn.XLOOKUP(Table1[[#This Row],[5 cm2 cell test code]:[5 cm2 cell test code]],[1]!Table1[[Test code]:[Test code]],[1]!Table1[Q_int_frac DIW 10 mM KOH],"",0)</f>
        <v>#REF!</v>
      </c>
      <c r="AJ786" s="69" t="e" cm="1">
        <f t="array" ref="AJ786">_xlfn.XLOOKUP(Table1[[#This Row],[5 cm2 cell test code]:[5 cm2 cell test code]],[1]!Table1[[Test code]:[Test code]],[1]!Table1[DIW conductivity (µS/cm)],"",0)</f>
        <v>#REF!</v>
      </c>
    </row>
    <row r="787" spans="1:36">
      <c r="A787" s="81"/>
      <c r="U787" s="101"/>
      <c r="V787" s="101"/>
      <c r="W787" s="69" t="e" cm="1">
        <f t="array" ref="W787">_xlfn.XLOOKUP(Table1[[#This Row],[5 cm2 cell test code]:[5 cm2 cell test code]],[1]!Table1[[Test code]:[Test code]],[1]!Table1[i @ 1.8 V DIW (A/cm2)],"",0)</f>
        <v>#REF!</v>
      </c>
      <c r="X787" s="69" t="e" cm="1">
        <f t="array" ref="X787">_xlfn.XLOOKUP(Table1[[#This Row],[5 cm2 cell test code]:[5 cm2 cell test code]],[1]!Table1[[Test code]:[Test code]],[1]!Table1[i @ 1.8 V 10 mM KOH (A/cm2)],"",0)</f>
        <v>#REF!</v>
      </c>
      <c r="Y787" s="69" t="e" cm="1">
        <f t="array" ref="Y787">_xlfn.XLOOKUP(Table1[[#This Row],[5 cm2 cell test code]:[5 cm2 cell test code]],[1]!Table1[[Test code]:[Test code]],[1]!Table1[3-E ƞ at 20mAcm-2 (mV)],"",0)</f>
        <v>#REF!</v>
      </c>
      <c r="Z787" s="69" t="e" cm="1">
        <f t="array" ref="Z787">_xlfn.XLOOKUP(Table1[[#This Row],[5 cm2 cell test code]:[5 cm2 cell test code]],[1]!Table1[[Test code]:[Test code]],[1]!Table1[3-E Tafel slope (mV/dec)],"",0)</f>
        <v>#REF!</v>
      </c>
      <c r="AA787" s="69" t="e" cm="1">
        <f t="array" ref="AA787">_xlfn.XLOOKUP(Table1[[#This Row],[5 cm2 cell test code]:[5 cm2 cell test code]],[1]!Table1[[Test code]:[Test code]],[1]!Table1[E @ 100 mA/cm2 DIW/V],"",0)</f>
        <v>#REF!</v>
      </c>
      <c r="AB787" s="69" t="e" cm="1">
        <f t="array" ref="AB787">_xlfn.XLOOKUP(Table1[[#This Row],[5 cm2 cell test code]:[5 cm2 cell test code]],[1]!Table1[[Test code]:[Test code]],[1]!Table1[E @ 100 mA/cm2 10 mM KOH/V],"",0)</f>
        <v>#REF!</v>
      </c>
      <c r="AC787" s="69" t="e" cm="1">
        <f t="array" ref="AC787">_xlfn.XLOOKUP(Table1[[#This Row],[5 cm2 cell test code]:[5 cm2 cell test code]],[1]!Table1[[Test code]:[Test code]],[1]!Table1[Anode ICR/mOhm],"",0)</f>
        <v>#REF!</v>
      </c>
      <c r="AD787" s="69" t="e" cm="1">
        <f t="array" ref="AD787">_xlfn.XLOOKUP(Table1[[#This Row],[5 cm2 cell test code]:[5 cm2 cell test code]],[1]!Table1[[Test code]:[Test code]],[1]!Table1[HFR DIW/ mOhm cm2],"",0)</f>
        <v>#REF!</v>
      </c>
      <c r="AE787" s="69" t="e" cm="1">
        <f t="array" ref="AE787">_xlfn.XLOOKUP(Table1[[#This Row],[5 cm2 cell test code]:[5 cm2 cell test code]],[1]!Table1[[Test code]:[Test code]],[1]!Table1[HFR 10 mM KOH/ mOhm cm2],"",0)</f>
        <v>#REF!</v>
      </c>
      <c r="AF787" s="69" t="e" cm="1">
        <f t="array" ref="AF787">_xlfn.XLOOKUP(Table1[[#This Row],[5 cm2 cell test code]:[5 cm2 cell test code]],[1]!Table1[[Test code]:[Test code]],[1]!Table1[Ionic resistance DIW/Ohm cm2],"",0)</f>
        <v>#REF!</v>
      </c>
      <c r="AG787" s="69" t="e" cm="1">
        <f t="array" ref="AG787">_xlfn.XLOOKUP(Table1[[#This Row],[5 cm2 cell test code]:[5 cm2 cell test code]],[1]!Table1[[Test code]:[Test code]],[1]!Table1[Q_int_frac DIW],"",0)</f>
        <v>#REF!</v>
      </c>
      <c r="AH787" s="69" t="e" cm="1">
        <f t="array" ref="AH787">_xlfn.XLOOKUP(Table1[[#This Row],[5 cm2 cell test code]:[5 cm2 cell test code]],[1]!Table1[[Test code]:[Test code]],[1]!Table1[Ionic resistance 10 mM KOH/Ohm cm2],"",0)</f>
        <v>#REF!</v>
      </c>
      <c r="AI787" s="69" t="e" cm="1">
        <f t="array" ref="AI787">_xlfn.XLOOKUP(Table1[[#This Row],[5 cm2 cell test code]:[5 cm2 cell test code]],[1]!Table1[[Test code]:[Test code]],[1]!Table1[Q_int_frac DIW 10 mM KOH],"",0)</f>
        <v>#REF!</v>
      </c>
      <c r="AJ787" s="69" t="e" cm="1">
        <f t="array" ref="AJ787">_xlfn.XLOOKUP(Table1[[#This Row],[5 cm2 cell test code]:[5 cm2 cell test code]],[1]!Table1[[Test code]:[Test code]],[1]!Table1[DIW conductivity (µS/cm)],"",0)</f>
        <v>#REF!</v>
      </c>
    </row>
    <row r="788" spans="1:36">
      <c r="A788" s="81"/>
      <c r="U788" s="101"/>
      <c r="V788" s="101"/>
      <c r="W788" s="69" t="e" cm="1">
        <f t="array" ref="W788">_xlfn.XLOOKUP(Table1[[#This Row],[5 cm2 cell test code]:[5 cm2 cell test code]],[1]!Table1[[Test code]:[Test code]],[1]!Table1[i @ 1.8 V DIW (A/cm2)],"",0)</f>
        <v>#REF!</v>
      </c>
      <c r="X788" s="69" t="e" cm="1">
        <f t="array" ref="X788">_xlfn.XLOOKUP(Table1[[#This Row],[5 cm2 cell test code]:[5 cm2 cell test code]],[1]!Table1[[Test code]:[Test code]],[1]!Table1[i @ 1.8 V 10 mM KOH (A/cm2)],"",0)</f>
        <v>#REF!</v>
      </c>
      <c r="Y788" s="69" t="e" cm="1">
        <f t="array" ref="Y788">_xlfn.XLOOKUP(Table1[[#This Row],[5 cm2 cell test code]:[5 cm2 cell test code]],[1]!Table1[[Test code]:[Test code]],[1]!Table1[3-E ƞ at 20mAcm-2 (mV)],"",0)</f>
        <v>#REF!</v>
      </c>
      <c r="Z788" s="69" t="e" cm="1">
        <f t="array" ref="Z788">_xlfn.XLOOKUP(Table1[[#This Row],[5 cm2 cell test code]:[5 cm2 cell test code]],[1]!Table1[[Test code]:[Test code]],[1]!Table1[3-E Tafel slope (mV/dec)],"",0)</f>
        <v>#REF!</v>
      </c>
      <c r="AA788" s="69" t="e" cm="1">
        <f t="array" ref="AA788">_xlfn.XLOOKUP(Table1[[#This Row],[5 cm2 cell test code]:[5 cm2 cell test code]],[1]!Table1[[Test code]:[Test code]],[1]!Table1[E @ 100 mA/cm2 DIW/V],"",0)</f>
        <v>#REF!</v>
      </c>
      <c r="AB788" s="69" t="e" cm="1">
        <f t="array" ref="AB788">_xlfn.XLOOKUP(Table1[[#This Row],[5 cm2 cell test code]:[5 cm2 cell test code]],[1]!Table1[[Test code]:[Test code]],[1]!Table1[E @ 100 mA/cm2 10 mM KOH/V],"",0)</f>
        <v>#REF!</v>
      </c>
      <c r="AC788" s="69" t="e" cm="1">
        <f t="array" ref="AC788">_xlfn.XLOOKUP(Table1[[#This Row],[5 cm2 cell test code]:[5 cm2 cell test code]],[1]!Table1[[Test code]:[Test code]],[1]!Table1[Anode ICR/mOhm],"",0)</f>
        <v>#REF!</v>
      </c>
      <c r="AD788" s="69" t="e" cm="1">
        <f t="array" ref="AD788">_xlfn.XLOOKUP(Table1[[#This Row],[5 cm2 cell test code]:[5 cm2 cell test code]],[1]!Table1[[Test code]:[Test code]],[1]!Table1[HFR DIW/ mOhm cm2],"",0)</f>
        <v>#REF!</v>
      </c>
      <c r="AE788" s="69" t="e" cm="1">
        <f t="array" ref="AE788">_xlfn.XLOOKUP(Table1[[#This Row],[5 cm2 cell test code]:[5 cm2 cell test code]],[1]!Table1[[Test code]:[Test code]],[1]!Table1[HFR 10 mM KOH/ mOhm cm2],"",0)</f>
        <v>#REF!</v>
      </c>
      <c r="AF788" s="69" t="e" cm="1">
        <f t="array" ref="AF788">_xlfn.XLOOKUP(Table1[[#This Row],[5 cm2 cell test code]:[5 cm2 cell test code]],[1]!Table1[[Test code]:[Test code]],[1]!Table1[Ionic resistance DIW/Ohm cm2],"",0)</f>
        <v>#REF!</v>
      </c>
      <c r="AG788" s="69" t="e" cm="1">
        <f t="array" ref="AG788">_xlfn.XLOOKUP(Table1[[#This Row],[5 cm2 cell test code]:[5 cm2 cell test code]],[1]!Table1[[Test code]:[Test code]],[1]!Table1[Q_int_frac DIW],"",0)</f>
        <v>#REF!</v>
      </c>
      <c r="AH788" s="69" t="e" cm="1">
        <f t="array" ref="AH788">_xlfn.XLOOKUP(Table1[[#This Row],[5 cm2 cell test code]:[5 cm2 cell test code]],[1]!Table1[[Test code]:[Test code]],[1]!Table1[Ionic resistance 10 mM KOH/Ohm cm2],"",0)</f>
        <v>#REF!</v>
      </c>
      <c r="AI788" s="69" t="e" cm="1">
        <f t="array" ref="AI788">_xlfn.XLOOKUP(Table1[[#This Row],[5 cm2 cell test code]:[5 cm2 cell test code]],[1]!Table1[[Test code]:[Test code]],[1]!Table1[Q_int_frac DIW 10 mM KOH],"",0)</f>
        <v>#REF!</v>
      </c>
      <c r="AJ788" s="69" t="e" cm="1">
        <f t="array" ref="AJ788">_xlfn.XLOOKUP(Table1[[#This Row],[5 cm2 cell test code]:[5 cm2 cell test code]],[1]!Table1[[Test code]:[Test code]],[1]!Table1[DIW conductivity (µS/cm)],"",0)</f>
        <v>#REF!</v>
      </c>
    </row>
    <row r="789" spans="1:36">
      <c r="A789" s="81"/>
      <c r="U789" s="101"/>
      <c r="V789" s="101"/>
      <c r="W789" s="69" t="e" cm="1">
        <f t="array" ref="W789">_xlfn.XLOOKUP(Table1[[#This Row],[5 cm2 cell test code]:[5 cm2 cell test code]],[1]!Table1[[Test code]:[Test code]],[1]!Table1[i @ 1.8 V DIW (A/cm2)],"",0)</f>
        <v>#REF!</v>
      </c>
      <c r="X789" s="69" t="e" cm="1">
        <f t="array" ref="X789">_xlfn.XLOOKUP(Table1[[#This Row],[5 cm2 cell test code]:[5 cm2 cell test code]],[1]!Table1[[Test code]:[Test code]],[1]!Table1[i @ 1.8 V 10 mM KOH (A/cm2)],"",0)</f>
        <v>#REF!</v>
      </c>
      <c r="Y789" s="69" t="e" cm="1">
        <f t="array" ref="Y789">_xlfn.XLOOKUP(Table1[[#This Row],[5 cm2 cell test code]:[5 cm2 cell test code]],[1]!Table1[[Test code]:[Test code]],[1]!Table1[3-E ƞ at 20mAcm-2 (mV)],"",0)</f>
        <v>#REF!</v>
      </c>
      <c r="Z789" s="69" t="e" cm="1">
        <f t="array" ref="Z789">_xlfn.XLOOKUP(Table1[[#This Row],[5 cm2 cell test code]:[5 cm2 cell test code]],[1]!Table1[[Test code]:[Test code]],[1]!Table1[3-E Tafel slope (mV/dec)],"",0)</f>
        <v>#REF!</v>
      </c>
      <c r="AA789" s="69" t="e" cm="1">
        <f t="array" ref="AA789">_xlfn.XLOOKUP(Table1[[#This Row],[5 cm2 cell test code]:[5 cm2 cell test code]],[1]!Table1[[Test code]:[Test code]],[1]!Table1[E @ 100 mA/cm2 DIW/V],"",0)</f>
        <v>#REF!</v>
      </c>
      <c r="AB789" s="69" t="e" cm="1">
        <f t="array" ref="AB789">_xlfn.XLOOKUP(Table1[[#This Row],[5 cm2 cell test code]:[5 cm2 cell test code]],[1]!Table1[[Test code]:[Test code]],[1]!Table1[E @ 100 mA/cm2 10 mM KOH/V],"",0)</f>
        <v>#REF!</v>
      </c>
      <c r="AC789" s="69" t="e" cm="1">
        <f t="array" ref="AC789">_xlfn.XLOOKUP(Table1[[#This Row],[5 cm2 cell test code]:[5 cm2 cell test code]],[1]!Table1[[Test code]:[Test code]],[1]!Table1[Anode ICR/mOhm],"",0)</f>
        <v>#REF!</v>
      </c>
      <c r="AD789" s="69" t="e" cm="1">
        <f t="array" ref="AD789">_xlfn.XLOOKUP(Table1[[#This Row],[5 cm2 cell test code]:[5 cm2 cell test code]],[1]!Table1[[Test code]:[Test code]],[1]!Table1[HFR DIW/ mOhm cm2],"",0)</f>
        <v>#REF!</v>
      </c>
      <c r="AE789" s="69" t="e" cm="1">
        <f t="array" ref="AE789">_xlfn.XLOOKUP(Table1[[#This Row],[5 cm2 cell test code]:[5 cm2 cell test code]],[1]!Table1[[Test code]:[Test code]],[1]!Table1[HFR 10 mM KOH/ mOhm cm2],"",0)</f>
        <v>#REF!</v>
      </c>
      <c r="AF789" s="69" t="e" cm="1">
        <f t="array" ref="AF789">_xlfn.XLOOKUP(Table1[[#This Row],[5 cm2 cell test code]:[5 cm2 cell test code]],[1]!Table1[[Test code]:[Test code]],[1]!Table1[Ionic resistance DIW/Ohm cm2],"",0)</f>
        <v>#REF!</v>
      </c>
      <c r="AG789" s="69" t="e" cm="1">
        <f t="array" ref="AG789">_xlfn.XLOOKUP(Table1[[#This Row],[5 cm2 cell test code]:[5 cm2 cell test code]],[1]!Table1[[Test code]:[Test code]],[1]!Table1[Q_int_frac DIW],"",0)</f>
        <v>#REF!</v>
      </c>
      <c r="AH789" s="69" t="e" cm="1">
        <f t="array" ref="AH789">_xlfn.XLOOKUP(Table1[[#This Row],[5 cm2 cell test code]:[5 cm2 cell test code]],[1]!Table1[[Test code]:[Test code]],[1]!Table1[Ionic resistance 10 mM KOH/Ohm cm2],"",0)</f>
        <v>#REF!</v>
      </c>
      <c r="AI789" s="69" t="e" cm="1">
        <f t="array" ref="AI789">_xlfn.XLOOKUP(Table1[[#This Row],[5 cm2 cell test code]:[5 cm2 cell test code]],[1]!Table1[[Test code]:[Test code]],[1]!Table1[Q_int_frac DIW 10 mM KOH],"",0)</f>
        <v>#REF!</v>
      </c>
      <c r="AJ789" s="69" t="e" cm="1">
        <f t="array" ref="AJ789">_xlfn.XLOOKUP(Table1[[#This Row],[5 cm2 cell test code]:[5 cm2 cell test code]],[1]!Table1[[Test code]:[Test code]],[1]!Table1[DIW conductivity (µS/cm)],"",0)</f>
        <v>#REF!</v>
      </c>
    </row>
    <row r="790" spans="1:36">
      <c r="A790" s="81"/>
      <c r="U790" s="101"/>
      <c r="V790" s="101"/>
      <c r="W790" s="69" t="e" cm="1">
        <f t="array" ref="W790">_xlfn.XLOOKUP(Table1[[#This Row],[5 cm2 cell test code]:[5 cm2 cell test code]],[1]!Table1[[Test code]:[Test code]],[1]!Table1[i @ 1.8 V DIW (A/cm2)],"",0)</f>
        <v>#REF!</v>
      </c>
      <c r="X790" s="69" t="e" cm="1">
        <f t="array" ref="X790">_xlfn.XLOOKUP(Table1[[#This Row],[5 cm2 cell test code]:[5 cm2 cell test code]],[1]!Table1[[Test code]:[Test code]],[1]!Table1[i @ 1.8 V 10 mM KOH (A/cm2)],"",0)</f>
        <v>#REF!</v>
      </c>
      <c r="Y790" s="69" t="e" cm="1">
        <f t="array" ref="Y790">_xlfn.XLOOKUP(Table1[[#This Row],[5 cm2 cell test code]:[5 cm2 cell test code]],[1]!Table1[[Test code]:[Test code]],[1]!Table1[3-E ƞ at 20mAcm-2 (mV)],"",0)</f>
        <v>#REF!</v>
      </c>
      <c r="Z790" s="69" t="e" cm="1">
        <f t="array" ref="Z790">_xlfn.XLOOKUP(Table1[[#This Row],[5 cm2 cell test code]:[5 cm2 cell test code]],[1]!Table1[[Test code]:[Test code]],[1]!Table1[3-E Tafel slope (mV/dec)],"",0)</f>
        <v>#REF!</v>
      </c>
      <c r="AA790" s="69" t="e" cm="1">
        <f t="array" ref="AA790">_xlfn.XLOOKUP(Table1[[#This Row],[5 cm2 cell test code]:[5 cm2 cell test code]],[1]!Table1[[Test code]:[Test code]],[1]!Table1[E @ 100 mA/cm2 DIW/V],"",0)</f>
        <v>#REF!</v>
      </c>
      <c r="AB790" s="69" t="e" cm="1">
        <f t="array" ref="AB790">_xlfn.XLOOKUP(Table1[[#This Row],[5 cm2 cell test code]:[5 cm2 cell test code]],[1]!Table1[[Test code]:[Test code]],[1]!Table1[E @ 100 mA/cm2 10 mM KOH/V],"",0)</f>
        <v>#REF!</v>
      </c>
      <c r="AC790" s="69" t="e" cm="1">
        <f t="array" ref="AC790">_xlfn.XLOOKUP(Table1[[#This Row],[5 cm2 cell test code]:[5 cm2 cell test code]],[1]!Table1[[Test code]:[Test code]],[1]!Table1[Anode ICR/mOhm],"",0)</f>
        <v>#REF!</v>
      </c>
      <c r="AD790" s="69" t="e" cm="1">
        <f t="array" ref="AD790">_xlfn.XLOOKUP(Table1[[#This Row],[5 cm2 cell test code]:[5 cm2 cell test code]],[1]!Table1[[Test code]:[Test code]],[1]!Table1[HFR DIW/ mOhm cm2],"",0)</f>
        <v>#REF!</v>
      </c>
      <c r="AE790" s="69" t="e" cm="1">
        <f t="array" ref="AE790">_xlfn.XLOOKUP(Table1[[#This Row],[5 cm2 cell test code]:[5 cm2 cell test code]],[1]!Table1[[Test code]:[Test code]],[1]!Table1[HFR 10 mM KOH/ mOhm cm2],"",0)</f>
        <v>#REF!</v>
      </c>
      <c r="AF790" s="69" t="e" cm="1">
        <f t="array" ref="AF790">_xlfn.XLOOKUP(Table1[[#This Row],[5 cm2 cell test code]:[5 cm2 cell test code]],[1]!Table1[[Test code]:[Test code]],[1]!Table1[Ionic resistance DIW/Ohm cm2],"",0)</f>
        <v>#REF!</v>
      </c>
      <c r="AG790" s="69" t="e" cm="1">
        <f t="array" ref="AG790">_xlfn.XLOOKUP(Table1[[#This Row],[5 cm2 cell test code]:[5 cm2 cell test code]],[1]!Table1[[Test code]:[Test code]],[1]!Table1[Q_int_frac DIW],"",0)</f>
        <v>#REF!</v>
      </c>
      <c r="AH790" s="69" t="e" cm="1">
        <f t="array" ref="AH790">_xlfn.XLOOKUP(Table1[[#This Row],[5 cm2 cell test code]:[5 cm2 cell test code]],[1]!Table1[[Test code]:[Test code]],[1]!Table1[Ionic resistance 10 mM KOH/Ohm cm2],"",0)</f>
        <v>#REF!</v>
      </c>
      <c r="AI790" s="69" t="e" cm="1">
        <f t="array" ref="AI790">_xlfn.XLOOKUP(Table1[[#This Row],[5 cm2 cell test code]:[5 cm2 cell test code]],[1]!Table1[[Test code]:[Test code]],[1]!Table1[Q_int_frac DIW 10 mM KOH],"",0)</f>
        <v>#REF!</v>
      </c>
      <c r="AJ790" s="69" t="e" cm="1">
        <f t="array" ref="AJ790">_xlfn.XLOOKUP(Table1[[#This Row],[5 cm2 cell test code]:[5 cm2 cell test code]],[1]!Table1[[Test code]:[Test code]],[1]!Table1[DIW conductivity (µS/cm)],"",0)</f>
        <v>#REF!</v>
      </c>
    </row>
    <row r="791" spans="1:36">
      <c r="A791" s="81"/>
      <c r="U791" s="101"/>
      <c r="V791" s="101"/>
      <c r="W791" s="69" t="e" cm="1">
        <f t="array" ref="W791">_xlfn.XLOOKUP(Table1[[#This Row],[5 cm2 cell test code]:[5 cm2 cell test code]],[1]!Table1[[Test code]:[Test code]],[1]!Table1[i @ 1.8 V DIW (A/cm2)],"",0)</f>
        <v>#REF!</v>
      </c>
      <c r="X791" s="69" t="e" cm="1">
        <f t="array" ref="X791">_xlfn.XLOOKUP(Table1[[#This Row],[5 cm2 cell test code]:[5 cm2 cell test code]],[1]!Table1[[Test code]:[Test code]],[1]!Table1[i @ 1.8 V 10 mM KOH (A/cm2)],"",0)</f>
        <v>#REF!</v>
      </c>
      <c r="Y791" s="69" t="e" cm="1">
        <f t="array" ref="Y791">_xlfn.XLOOKUP(Table1[[#This Row],[5 cm2 cell test code]:[5 cm2 cell test code]],[1]!Table1[[Test code]:[Test code]],[1]!Table1[3-E ƞ at 20mAcm-2 (mV)],"",0)</f>
        <v>#REF!</v>
      </c>
      <c r="Z791" s="69" t="e" cm="1">
        <f t="array" ref="Z791">_xlfn.XLOOKUP(Table1[[#This Row],[5 cm2 cell test code]:[5 cm2 cell test code]],[1]!Table1[[Test code]:[Test code]],[1]!Table1[3-E Tafel slope (mV/dec)],"",0)</f>
        <v>#REF!</v>
      </c>
      <c r="AA791" s="69" t="e" cm="1">
        <f t="array" ref="AA791">_xlfn.XLOOKUP(Table1[[#This Row],[5 cm2 cell test code]:[5 cm2 cell test code]],[1]!Table1[[Test code]:[Test code]],[1]!Table1[E @ 100 mA/cm2 DIW/V],"",0)</f>
        <v>#REF!</v>
      </c>
      <c r="AB791" s="69" t="e" cm="1">
        <f t="array" ref="AB791">_xlfn.XLOOKUP(Table1[[#This Row],[5 cm2 cell test code]:[5 cm2 cell test code]],[1]!Table1[[Test code]:[Test code]],[1]!Table1[E @ 100 mA/cm2 10 mM KOH/V],"",0)</f>
        <v>#REF!</v>
      </c>
      <c r="AC791" s="69" t="e" cm="1">
        <f t="array" ref="AC791">_xlfn.XLOOKUP(Table1[[#This Row],[5 cm2 cell test code]:[5 cm2 cell test code]],[1]!Table1[[Test code]:[Test code]],[1]!Table1[Anode ICR/mOhm],"",0)</f>
        <v>#REF!</v>
      </c>
      <c r="AD791" s="69" t="e" cm="1">
        <f t="array" ref="AD791">_xlfn.XLOOKUP(Table1[[#This Row],[5 cm2 cell test code]:[5 cm2 cell test code]],[1]!Table1[[Test code]:[Test code]],[1]!Table1[HFR DIW/ mOhm cm2],"",0)</f>
        <v>#REF!</v>
      </c>
      <c r="AE791" s="69" t="e" cm="1">
        <f t="array" ref="AE791">_xlfn.XLOOKUP(Table1[[#This Row],[5 cm2 cell test code]:[5 cm2 cell test code]],[1]!Table1[[Test code]:[Test code]],[1]!Table1[HFR 10 mM KOH/ mOhm cm2],"",0)</f>
        <v>#REF!</v>
      </c>
      <c r="AF791" s="69" t="e" cm="1">
        <f t="array" ref="AF791">_xlfn.XLOOKUP(Table1[[#This Row],[5 cm2 cell test code]:[5 cm2 cell test code]],[1]!Table1[[Test code]:[Test code]],[1]!Table1[Ionic resistance DIW/Ohm cm2],"",0)</f>
        <v>#REF!</v>
      </c>
      <c r="AG791" s="69" t="e" cm="1">
        <f t="array" ref="AG791">_xlfn.XLOOKUP(Table1[[#This Row],[5 cm2 cell test code]:[5 cm2 cell test code]],[1]!Table1[[Test code]:[Test code]],[1]!Table1[Q_int_frac DIW],"",0)</f>
        <v>#REF!</v>
      </c>
      <c r="AH791" s="69" t="e" cm="1">
        <f t="array" ref="AH791">_xlfn.XLOOKUP(Table1[[#This Row],[5 cm2 cell test code]:[5 cm2 cell test code]],[1]!Table1[[Test code]:[Test code]],[1]!Table1[Ionic resistance 10 mM KOH/Ohm cm2],"",0)</f>
        <v>#REF!</v>
      </c>
      <c r="AI791" s="69" t="e" cm="1">
        <f t="array" ref="AI791">_xlfn.XLOOKUP(Table1[[#This Row],[5 cm2 cell test code]:[5 cm2 cell test code]],[1]!Table1[[Test code]:[Test code]],[1]!Table1[Q_int_frac DIW 10 mM KOH],"",0)</f>
        <v>#REF!</v>
      </c>
      <c r="AJ791" s="69" t="e" cm="1">
        <f t="array" ref="AJ791">_xlfn.XLOOKUP(Table1[[#This Row],[5 cm2 cell test code]:[5 cm2 cell test code]],[1]!Table1[[Test code]:[Test code]],[1]!Table1[DIW conductivity (µS/cm)],"",0)</f>
        <v>#REF!</v>
      </c>
    </row>
    <row r="792" spans="1:36">
      <c r="A792" s="81"/>
      <c r="U792" s="101"/>
      <c r="V792" s="101"/>
      <c r="W792" s="69" t="e" cm="1">
        <f t="array" ref="W792">_xlfn.XLOOKUP(Table1[[#This Row],[5 cm2 cell test code]:[5 cm2 cell test code]],[1]!Table1[[Test code]:[Test code]],[1]!Table1[i @ 1.8 V DIW (A/cm2)],"",0)</f>
        <v>#REF!</v>
      </c>
      <c r="X792" s="69" t="e" cm="1">
        <f t="array" ref="X792">_xlfn.XLOOKUP(Table1[[#This Row],[5 cm2 cell test code]:[5 cm2 cell test code]],[1]!Table1[[Test code]:[Test code]],[1]!Table1[i @ 1.8 V 10 mM KOH (A/cm2)],"",0)</f>
        <v>#REF!</v>
      </c>
      <c r="Y792" s="69" t="e" cm="1">
        <f t="array" ref="Y792">_xlfn.XLOOKUP(Table1[[#This Row],[5 cm2 cell test code]:[5 cm2 cell test code]],[1]!Table1[[Test code]:[Test code]],[1]!Table1[3-E ƞ at 20mAcm-2 (mV)],"",0)</f>
        <v>#REF!</v>
      </c>
      <c r="Z792" s="69" t="e" cm="1">
        <f t="array" ref="Z792">_xlfn.XLOOKUP(Table1[[#This Row],[5 cm2 cell test code]:[5 cm2 cell test code]],[1]!Table1[[Test code]:[Test code]],[1]!Table1[3-E Tafel slope (mV/dec)],"",0)</f>
        <v>#REF!</v>
      </c>
      <c r="AA792" s="69" t="e" cm="1">
        <f t="array" ref="AA792">_xlfn.XLOOKUP(Table1[[#This Row],[5 cm2 cell test code]:[5 cm2 cell test code]],[1]!Table1[[Test code]:[Test code]],[1]!Table1[E @ 100 mA/cm2 DIW/V],"",0)</f>
        <v>#REF!</v>
      </c>
      <c r="AB792" s="69" t="e" cm="1">
        <f t="array" ref="AB792">_xlfn.XLOOKUP(Table1[[#This Row],[5 cm2 cell test code]:[5 cm2 cell test code]],[1]!Table1[[Test code]:[Test code]],[1]!Table1[E @ 100 mA/cm2 10 mM KOH/V],"",0)</f>
        <v>#REF!</v>
      </c>
      <c r="AC792" s="69" t="e" cm="1">
        <f t="array" ref="AC792">_xlfn.XLOOKUP(Table1[[#This Row],[5 cm2 cell test code]:[5 cm2 cell test code]],[1]!Table1[[Test code]:[Test code]],[1]!Table1[Anode ICR/mOhm],"",0)</f>
        <v>#REF!</v>
      </c>
      <c r="AD792" s="69" t="e" cm="1">
        <f t="array" ref="AD792">_xlfn.XLOOKUP(Table1[[#This Row],[5 cm2 cell test code]:[5 cm2 cell test code]],[1]!Table1[[Test code]:[Test code]],[1]!Table1[HFR DIW/ mOhm cm2],"",0)</f>
        <v>#REF!</v>
      </c>
      <c r="AE792" s="69" t="e" cm="1">
        <f t="array" ref="AE792">_xlfn.XLOOKUP(Table1[[#This Row],[5 cm2 cell test code]:[5 cm2 cell test code]],[1]!Table1[[Test code]:[Test code]],[1]!Table1[HFR 10 mM KOH/ mOhm cm2],"",0)</f>
        <v>#REF!</v>
      </c>
      <c r="AF792" s="69" t="e" cm="1">
        <f t="array" ref="AF792">_xlfn.XLOOKUP(Table1[[#This Row],[5 cm2 cell test code]:[5 cm2 cell test code]],[1]!Table1[[Test code]:[Test code]],[1]!Table1[Ionic resistance DIW/Ohm cm2],"",0)</f>
        <v>#REF!</v>
      </c>
      <c r="AG792" s="69" t="e" cm="1">
        <f t="array" ref="AG792">_xlfn.XLOOKUP(Table1[[#This Row],[5 cm2 cell test code]:[5 cm2 cell test code]],[1]!Table1[[Test code]:[Test code]],[1]!Table1[Q_int_frac DIW],"",0)</f>
        <v>#REF!</v>
      </c>
      <c r="AH792" s="69" t="e" cm="1">
        <f t="array" ref="AH792">_xlfn.XLOOKUP(Table1[[#This Row],[5 cm2 cell test code]:[5 cm2 cell test code]],[1]!Table1[[Test code]:[Test code]],[1]!Table1[Ionic resistance 10 mM KOH/Ohm cm2],"",0)</f>
        <v>#REF!</v>
      </c>
      <c r="AI792" s="69" t="e" cm="1">
        <f t="array" ref="AI792">_xlfn.XLOOKUP(Table1[[#This Row],[5 cm2 cell test code]:[5 cm2 cell test code]],[1]!Table1[[Test code]:[Test code]],[1]!Table1[Q_int_frac DIW 10 mM KOH],"",0)</f>
        <v>#REF!</v>
      </c>
      <c r="AJ792" s="69" t="e" cm="1">
        <f t="array" ref="AJ792">_xlfn.XLOOKUP(Table1[[#This Row],[5 cm2 cell test code]:[5 cm2 cell test code]],[1]!Table1[[Test code]:[Test code]],[1]!Table1[DIW conductivity (µS/cm)],"",0)</f>
        <v>#REF!</v>
      </c>
    </row>
    <row r="793" spans="1:36">
      <c r="A793" s="81"/>
      <c r="U793" s="101"/>
      <c r="V793" s="101"/>
      <c r="W793" s="69" t="e" cm="1">
        <f t="array" ref="W793">_xlfn.XLOOKUP(Table1[[#This Row],[5 cm2 cell test code]:[5 cm2 cell test code]],[1]!Table1[[Test code]:[Test code]],[1]!Table1[i @ 1.8 V DIW (A/cm2)],"",0)</f>
        <v>#REF!</v>
      </c>
      <c r="X793" s="69" t="e" cm="1">
        <f t="array" ref="X793">_xlfn.XLOOKUP(Table1[[#This Row],[5 cm2 cell test code]:[5 cm2 cell test code]],[1]!Table1[[Test code]:[Test code]],[1]!Table1[i @ 1.8 V 10 mM KOH (A/cm2)],"",0)</f>
        <v>#REF!</v>
      </c>
      <c r="Y793" s="69" t="e" cm="1">
        <f t="array" ref="Y793">_xlfn.XLOOKUP(Table1[[#This Row],[5 cm2 cell test code]:[5 cm2 cell test code]],[1]!Table1[[Test code]:[Test code]],[1]!Table1[3-E ƞ at 20mAcm-2 (mV)],"",0)</f>
        <v>#REF!</v>
      </c>
      <c r="Z793" s="69" t="e" cm="1">
        <f t="array" ref="Z793">_xlfn.XLOOKUP(Table1[[#This Row],[5 cm2 cell test code]:[5 cm2 cell test code]],[1]!Table1[[Test code]:[Test code]],[1]!Table1[3-E Tafel slope (mV/dec)],"",0)</f>
        <v>#REF!</v>
      </c>
      <c r="AA793" s="69" t="e" cm="1">
        <f t="array" ref="AA793">_xlfn.XLOOKUP(Table1[[#This Row],[5 cm2 cell test code]:[5 cm2 cell test code]],[1]!Table1[[Test code]:[Test code]],[1]!Table1[E @ 100 mA/cm2 DIW/V],"",0)</f>
        <v>#REF!</v>
      </c>
      <c r="AB793" s="69" t="e" cm="1">
        <f t="array" ref="AB793">_xlfn.XLOOKUP(Table1[[#This Row],[5 cm2 cell test code]:[5 cm2 cell test code]],[1]!Table1[[Test code]:[Test code]],[1]!Table1[E @ 100 mA/cm2 10 mM KOH/V],"",0)</f>
        <v>#REF!</v>
      </c>
      <c r="AC793" s="69" t="e" cm="1">
        <f t="array" ref="AC793">_xlfn.XLOOKUP(Table1[[#This Row],[5 cm2 cell test code]:[5 cm2 cell test code]],[1]!Table1[[Test code]:[Test code]],[1]!Table1[Anode ICR/mOhm],"",0)</f>
        <v>#REF!</v>
      </c>
      <c r="AD793" s="69" t="e" cm="1">
        <f t="array" ref="AD793">_xlfn.XLOOKUP(Table1[[#This Row],[5 cm2 cell test code]:[5 cm2 cell test code]],[1]!Table1[[Test code]:[Test code]],[1]!Table1[HFR DIW/ mOhm cm2],"",0)</f>
        <v>#REF!</v>
      </c>
      <c r="AE793" s="69" t="e" cm="1">
        <f t="array" ref="AE793">_xlfn.XLOOKUP(Table1[[#This Row],[5 cm2 cell test code]:[5 cm2 cell test code]],[1]!Table1[[Test code]:[Test code]],[1]!Table1[HFR 10 mM KOH/ mOhm cm2],"",0)</f>
        <v>#REF!</v>
      </c>
      <c r="AF793" s="69" t="e" cm="1">
        <f t="array" ref="AF793">_xlfn.XLOOKUP(Table1[[#This Row],[5 cm2 cell test code]:[5 cm2 cell test code]],[1]!Table1[[Test code]:[Test code]],[1]!Table1[Ionic resistance DIW/Ohm cm2],"",0)</f>
        <v>#REF!</v>
      </c>
      <c r="AG793" s="69" t="e" cm="1">
        <f t="array" ref="AG793">_xlfn.XLOOKUP(Table1[[#This Row],[5 cm2 cell test code]:[5 cm2 cell test code]],[1]!Table1[[Test code]:[Test code]],[1]!Table1[Q_int_frac DIW],"",0)</f>
        <v>#REF!</v>
      </c>
      <c r="AH793" s="69" t="e" cm="1">
        <f t="array" ref="AH793">_xlfn.XLOOKUP(Table1[[#This Row],[5 cm2 cell test code]:[5 cm2 cell test code]],[1]!Table1[[Test code]:[Test code]],[1]!Table1[Ionic resistance 10 mM KOH/Ohm cm2],"",0)</f>
        <v>#REF!</v>
      </c>
      <c r="AI793" s="69" t="e" cm="1">
        <f t="array" ref="AI793">_xlfn.XLOOKUP(Table1[[#This Row],[5 cm2 cell test code]:[5 cm2 cell test code]],[1]!Table1[[Test code]:[Test code]],[1]!Table1[Q_int_frac DIW 10 mM KOH],"",0)</f>
        <v>#REF!</v>
      </c>
      <c r="AJ793" s="69" t="e" cm="1">
        <f t="array" ref="AJ793">_xlfn.XLOOKUP(Table1[[#This Row],[5 cm2 cell test code]:[5 cm2 cell test code]],[1]!Table1[[Test code]:[Test code]],[1]!Table1[DIW conductivity (µS/cm)],"",0)</f>
        <v>#REF!</v>
      </c>
    </row>
    <row r="794" spans="1:36">
      <c r="A794" s="81"/>
      <c r="U794" s="101"/>
      <c r="V794" s="101"/>
      <c r="W794" s="69" t="e" cm="1">
        <f t="array" ref="W794">_xlfn.XLOOKUP(Table1[[#This Row],[5 cm2 cell test code]:[5 cm2 cell test code]],[1]!Table1[[Test code]:[Test code]],[1]!Table1[i @ 1.8 V DIW (A/cm2)],"",0)</f>
        <v>#REF!</v>
      </c>
      <c r="X794" s="69" t="e" cm="1">
        <f t="array" ref="X794">_xlfn.XLOOKUP(Table1[[#This Row],[5 cm2 cell test code]:[5 cm2 cell test code]],[1]!Table1[[Test code]:[Test code]],[1]!Table1[i @ 1.8 V 10 mM KOH (A/cm2)],"",0)</f>
        <v>#REF!</v>
      </c>
      <c r="Y794" s="69" t="e" cm="1">
        <f t="array" ref="Y794">_xlfn.XLOOKUP(Table1[[#This Row],[5 cm2 cell test code]:[5 cm2 cell test code]],[1]!Table1[[Test code]:[Test code]],[1]!Table1[3-E ƞ at 20mAcm-2 (mV)],"",0)</f>
        <v>#REF!</v>
      </c>
      <c r="Z794" s="69" t="e" cm="1">
        <f t="array" ref="Z794">_xlfn.XLOOKUP(Table1[[#This Row],[5 cm2 cell test code]:[5 cm2 cell test code]],[1]!Table1[[Test code]:[Test code]],[1]!Table1[3-E Tafel slope (mV/dec)],"",0)</f>
        <v>#REF!</v>
      </c>
      <c r="AA794" s="69" t="e" cm="1">
        <f t="array" ref="AA794">_xlfn.XLOOKUP(Table1[[#This Row],[5 cm2 cell test code]:[5 cm2 cell test code]],[1]!Table1[[Test code]:[Test code]],[1]!Table1[E @ 100 mA/cm2 DIW/V],"",0)</f>
        <v>#REF!</v>
      </c>
      <c r="AB794" s="69" t="e" cm="1">
        <f t="array" ref="AB794">_xlfn.XLOOKUP(Table1[[#This Row],[5 cm2 cell test code]:[5 cm2 cell test code]],[1]!Table1[[Test code]:[Test code]],[1]!Table1[E @ 100 mA/cm2 10 mM KOH/V],"",0)</f>
        <v>#REF!</v>
      </c>
      <c r="AC794" s="69" t="e" cm="1">
        <f t="array" ref="AC794">_xlfn.XLOOKUP(Table1[[#This Row],[5 cm2 cell test code]:[5 cm2 cell test code]],[1]!Table1[[Test code]:[Test code]],[1]!Table1[Anode ICR/mOhm],"",0)</f>
        <v>#REF!</v>
      </c>
      <c r="AD794" s="69" t="e" cm="1">
        <f t="array" ref="AD794">_xlfn.XLOOKUP(Table1[[#This Row],[5 cm2 cell test code]:[5 cm2 cell test code]],[1]!Table1[[Test code]:[Test code]],[1]!Table1[HFR DIW/ mOhm cm2],"",0)</f>
        <v>#REF!</v>
      </c>
      <c r="AE794" s="69" t="e" cm="1">
        <f t="array" ref="AE794">_xlfn.XLOOKUP(Table1[[#This Row],[5 cm2 cell test code]:[5 cm2 cell test code]],[1]!Table1[[Test code]:[Test code]],[1]!Table1[HFR 10 mM KOH/ mOhm cm2],"",0)</f>
        <v>#REF!</v>
      </c>
      <c r="AF794" s="69" t="e" cm="1">
        <f t="array" ref="AF794">_xlfn.XLOOKUP(Table1[[#This Row],[5 cm2 cell test code]:[5 cm2 cell test code]],[1]!Table1[[Test code]:[Test code]],[1]!Table1[Ionic resistance DIW/Ohm cm2],"",0)</f>
        <v>#REF!</v>
      </c>
      <c r="AG794" s="69" t="e" cm="1">
        <f t="array" ref="AG794">_xlfn.XLOOKUP(Table1[[#This Row],[5 cm2 cell test code]:[5 cm2 cell test code]],[1]!Table1[[Test code]:[Test code]],[1]!Table1[Q_int_frac DIW],"",0)</f>
        <v>#REF!</v>
      </c>
      <c r="AH794" s="69" t="e" cm="1">
        <f t="array" ref="AH794">_xlfn.XLOOKUP(Table1[[#This Row],[5 cm2 cell test code]:[5 cm2 cell test code]],[1]!Table1[[Test code]:[Test code]],[1]!Table1[Ionic resistance 10 mM KOH/Ohm cm2],"",0)</f>
        <v>#REF!</v>
      </c>
      <c r="AI794" s="69" t="e" cm="1">
        <f t="array" ref="AI794">_xlfn.XLOOKUP(Table1[[#This Row],[5 cm2 cell test code]:[5 cm2 cell test code]],[1]!Table1[[Test code]:[Test code]],[1]!Table1[Q_int_frac DIW 10 mM KOH],"",0)</f>
        <v>#REF!</v>
      </c>
      <c r="AJ794" s="69" t="e" cm="1">
        <f t="array" ref="AJ794">_xlfn.XLOOKUP(Table1[[#This Row],[5 cm2 cell test code]:[5 cm2 cell test code]],[1]!Table1[[Test code]:[Test code]],[1]!Table1[DIW conductivity (µS/cm)],"",0)</f>
        <v>#REF!</v>
      </c>
    </row>
    <row r="795" spans="1:36">
      <c r="A795" s="81"/>
      <c r="U795" s="101"/>
      <c r="V795" s="101"/>
      <c r="W795" s="69" t="e" cm="1">
        <f t="array" ref="W795">_xlfn.XLOOKUP(Table1[[#This Row],[5 cm2 cell test code]:[5 cm2 cell test code]],[1]!Table1[[Test code]:[Test code]],[1]!Table1[i @ 1.8 V DIW (A/cm2)],"",0)</f>
        <v>#REF!</v>
      </c>
      <c r="X795" s="69" t="e" cm="1">
        <f t="array" ref="X795">_xlfn.XLOOKUP(Table1[[#This Row],[5 cm2 cell test code]:[5 cm2 cell test code]],[1]!Table1[[Test code]:[Test code]],[1]!Table1[i @ 1.8 V 10 mM KOH (A/cm2)],"",0)</f>
        <v>#REF!</v>
      </c>
      <c r="Y795" s="69" t="e" cm="1">
        <f t="array" ref="Y795">_xlfn.XLOOKUP(Table1[[#This Row],[5 cm2 cell test code]:[5 cm2 cell test code]],[1]!Table1[[Test code]:[Test code]],[1]!Table1[3-E ƞ at 20mAcm-2 (mV)],"",0)</f>
        <v>#REF!</v>
      </c>
      <c r="Z795" s="69" t="e" cm="1">
        <f t="array" ref="Z795">_xlfn.XLOOKUP(Table1[[#This Row],[5 cm2 cell test code]:[5 cm2 cell test code]],[1]!Table1[[Test code]:[Test code]],[1]!Table1[3-E Tafel slope (mV/dec)],"",0)</f>
        <v>#REF!</v>
      </c>
      <c r="AA795" s="69" t="e" cm="1">
        <f t="array" ref="AA795">_xlfn.XLOOKUP(Table1[[#This Row],[5 cm2 cell test code]:[5 cm2 cell test code]],[1]!Table1[[Test code]:[Test code]],[1]!Table1[E @ 100 mA/cm2 DIW/V],"",0)</f>
        <v>#REF!</v>
      </c>
      <c r="AB795" s="69" t="e" cm="1">
        <f t="array" ref="AB795">_xlfn.XLOOKUP(Table1[[#This Row],[5 cm2 cell test code]:[5 cm2 cell test code]],[1]!Table1[[Test code]:[Test code]],[1]!Table1[E @ 100 mA/cm2 10 mM KOH/V],"",0)</f>
        <v>#REF!</v>
      </c>
      <c r="AC795" s="69" t="e" cm="1">
        <f t="array" ref="AC795">_xlfn.XLOOKUP(Table1[[#This Row],[5 cm2 cell test code]:[5 cm2 cell test code]],[1]!Table1[[Test code]:[Test code]],[1]!Table1[Anode ICR/mOhm],"",0)</f>
        <v>#REF!</v>
      </c>
      <c r="AD795" s="69" t="e" cm="1">
        <f t="array" ref="AD795">_xlfn.XLOOKUP(Table1[[#This Row],[5 cm2 cell test code]:[5 cm2 cell test code]],[1]!Table1[[Test code]:[Test code]],[1]!Table1[HFR DIW/ mOhm cm2],"",0)</f>
        <v>#REF!</v>
      </c>
      <c r="AE795" s="69" t="e" cm="1">
        <f t="array" ref="AE795">_xlfn.XLOOKUP(Table1[[#This Row],[5 cm2 cell test code]:[5 cm2 cell test code]],[1]!Table1[[Test code]:[Test code]],[1]!Table1[HFR 10 mM KOH/ mOhm cm2],"",0)</f>
        <v>#REF!</v>
      </c>
      <c r="AF795" s="69" t="e" cm="1">
        <f t="array" ref="AF795">_xlfn.XLOOKUP(Table1[[#This Row],[5 cm2 cell test code]:[5 cm2 cell test code]],[1]!Table1[[Test code]:[Test code]],[1]!Table1[Ionic resistance DIW/Ohm cm2],"",0)</f>
        <v>#REF!</v>
      </c>
      <c r="AG795" s="69" t="e" cm="1">
        <f t="array" ref="AG795">_xlfn.XLOOKUP(Table1[[#This Row],[5 cm2 cell test code]:[5 cm2 cell test code]],[1]!Table1[[Test code]:[Test code]],[1]!Table1[Q_int_frac DIW],"",0)</f>
        <v>#REF!</v>
      </c>
      <c r="AH795" s="69" t="e" cm="1">
        <f t="array" ref="AH795">_xlfn.XLOOKUP(Table1[[#This Row],[5 cm2 cell test code]:[5 cm2 cell test code]],[1]!Table1[[Test code]:[Test code]],[1]!Table1[Ionic resistance 10 mM KOH/Ohm cm2],"",0)</f>
        <v>#REF!</v>
      </c>
      <c r="AI795" s="69" t="e" cm="1">
        <f t="array" ref="AI795">_xlfn.XLOOKUP(Table1[[#This Row],[5 cm2 cell test code]:[5 cm2 cell test code]],[1]!Table1[[Test code]:[Test code]],[1]!Table1[Q_int_frac DIW 10 mM KOH],"",0)</f>
        <v>#REF!</v>
      </c>
      <c r="AJ795" s="69" t="e" cm="1">
        <f t="array" ref="AJ795">_xlfn.XLOOKUP(Table1[[#This Row],[5 cm2 cell test code]:[5 cm2 cell test code]],[1]!Table1[[Test code]:[Test code]],[1]!Table1[DIW conductivity (µS/cm)],"",0)</f>
        <v>#REF!</v>
      </c>
    </row>
    <row r="796" spans="1:36">
      <c r="A796" s="81"/>
      <c r="U796" s="101"/>
      <c r="V796" s="101"/>
      <c r="W796" s="69" t="e" cm="1">
        <f t="array" ref="W796">_xlfn.XLOOKUP(Table1[[#This Row],[5 cm2 cell test code]:[5 cm2 cell test code]],[1]!Table1[[Test code]:[Test code]],[1]!Table1[i @ 1.8 V DIW (A/cm2)],"",0)</f>
        <v>#REF!</v>
      </c>
      <c r="X796" s="69" t="e" cm="1">
        <f t="array" ref="X796">_xlfn.XLOOKUP(Table1[[#This Row],[5 cm2 cell test code]:[5 cm2 cell test code]],[1]!Table1[[Test code]:[Test code]],[1]!Table1[i @ 1.8 V 10 mM KOH (A/cm2)],"",0)</f>
        <v>#REF!</v>
      </c>
      <c r="Y796" s="69" t="e" cm="1">
        <f t="array" ref="Y796">_xlfn.XLOOKUP(Table1[[#This Row],[5 cm2 cell test code]:[5 cm2 cell test code]],[1]!Table1[[Test code]:[Test code]],[1]!Table1[3-E ƞ at 20mAcm-2 (mV)],"",0)</f>
        <v>#REF!</v>
      </c>
      <c r="Z796" s="69" t="e" cm="1">
        <f t="array" ref="Z796">_xlfn.XLOOKUP(Table1[[#This Row],[5 cm2 cell test code]:[5 cm2 cell test code]],[1]!Table1[[Test code]:[Test code]],[1]!Table1[3-E Tafel slope (mV/dec)],"",0)</f>
        <v>#REF!</v>
      </c>
      <c r="AA796" s="69" t="e" cm="1">
        <f t="array" ref="AA796">_xlfn.XLOOKUP(Table1[[#This Row],[5 cm2 cell test code]:[5 cm2 cell test code]],[1]!Table1[[Test code]:[Test code]],[1]!Table1[E @ 100 mA/cm2 DIW/V],"",0)</f>
        <v>#REF!</v>
      </c>
      <c r="AB796" s="69" t="e" cm="1">
        <f t="array" ref="AB796">_xlfn.XLOOKUP(Table1[[#This Row],[5 cm2 cell test code]:[5 cm2 cell test code]],[1]!Table1[[Test code]:[Test code]],[1]!Table1[E @ 100 mA/cm2 10 mM KOH/V],"",0)</f>
        <v>#REF!</v>
      </c>
      <c r="AC796" s="69" t="e" cm="1">
        <f t="array" ref="AC796">_xlfn.XLOOKUP(Table1[[#This Row],[5 cm2 cell test code]:[5 cm2 cell test code]],[1]!Table1[[Test code]:[Test code]],[1]!Table1[Anode ICR/mOhm],"",0)</f>
        <v>#REF!</v>
      </c>
      <c r="AD796" s="69" t="e" cm="1">
        <f t="array" ref="AD796">_xlfn.XLOOKUP(Table1[[#This Row],[5 cm2 cell test code]:[5 cm2 cell test code]],[1]!Table1[[Test code]:[Test code]],[1]!Table1[HFR DIW/ mOhm cm2],"",0)</f>
        <v>#REF!</v>
      </c>
      <c r="AE796" s="69" t="e" cm="1">
        <f t="array" ref="AE796">_xlfn.XLOOKUP(Table1[[#This Row],[5 cm2 cell test code]:[5 cm2 cell test code]],[1]!Table1[[Test code]:[Test code]],[1]!Table1[HFR 10 mM KOH/ mOhm cm2],"",0)</f>
        <v>#REF!</v>
      </c>
      <c r="AF796" s="69" t="e" cm="1">
        <f t="array" ref="AF796">_xlfn.XLOOKUP(Table1[[#This Row],[5 cm2 cell test code]:[5 cm2 cell test code]],[1]!Table1[[Test code]:[Test code]],[1]!Table1[Ionic resistance DIW/Ohm cm2],"",0)</f>
        <v>#REF!</v>
      </c>
      <c r="AG796" s="69" t="e" cm="1">
        <f t="array" ref="AG796">_xlfn.XLOOKUP(Table1[[#This Row],[5 cm2 cell test code]:[5 cm2 cell test code]],[1]!Table1[[Test code]:[Test code]],[1]!Table1[Q_int_frac DIW],"",0)</f>
        <v>#REF!</v>
      </c>
      <c r="AH796" s="69" t="e" cm="1">
        <f t="array" ref="AH796">_xlfn.XLOOKUP(Table1[[#This Row],[5 cm2 cell test code]:[5 cm2 cell test code]],[1]!Table1[[Test code]:[Test code]],[1]!Table1[Ionic resistance 10 mM KOH/Ohm cm2],"",0)</f>
        <v>#REF!</v>
      </c>
      <c r="AI796" s="69" t="e" cm="1">
        <f t="array" ref="AI796">_xlfn.XLOOKUP(Table1[[#This Row],[5 cm2 cell test code]:[5 cm2 cell test code]],[1]!Table1[[Test code]:[Test code]],[1]!Table1[Q_int_frac DIW 10 mM KOH],"",0)</f>
        <v>#REF!</v>
      </c>
      <c r="AJ796" s="69" t="e" cm="1">
        <f t="array" ref="AJ796">_xlfn.XLOOKUP(Table1[[#This Row],[5 cm2 cell test code]:[5 cm2 cell test code]],[1]!Table1[[Test code]:[Test code]],[1]!Table1[DIW conductivity (µS/cm)],"",0)</f>
        <v>#REF!</v>
      </c>
    </row>
    <row r="797" spans="1:36">
      <c r="A797" s="81"/>
      <c r="U797" s="101"/>
      <c r="V797" s="101"/>
      <c r="W797" s="69" t="e" cm="1">
        <f t="array" ref="W797">_xlfn.XLOOKUP(Table1[[#This Row],[5 cm2 cell test code]:[5 cm2 cell test code]],[1]!Table1[[Test code]:[Test code]],[1]!Table1[i @ 1.8 V DIW (A/cm2)],"",0)</f>
        <v>#REF!</v>
      </c>
      <c r="X797" s="69" t="e" cm="1">
        <f t="array" ref="X797">_xlfn.XLOOKUP(Table1[[#This Row],[5 cm2 cell test code]:[5 cm2 cell test code]],[1]!Table1[[Test code]:[Test code]],[1]!Table1[i @ 1.8 V 10 mM KOH (A/cm2)],"",0)</f>
        <v>#REF!</v>
      </c>
      <c r="Y797" s="69" t="e" cm="1">
        <f t="array" ref="Y797">_xlfn.XLOOKUP(Table1[[#This Row],[5 cm2 cell test code]:[5 cm2 cell test code]],[1]!Table1[[Test code]:[Test code]],[1]!Table1[3-E ƞ at 20mAcm-2 (mV)],"",0)</f>
        <v>#REF!</v>
      </c>
      <c r="Z797" s="69" t="e" cm="1">
        <f t="array" ref="Z797">_xlfn.XLOOKUP(Table1[[#This Row],[5 cm2 cell test code]:[5 cm2 cell test code]],[1]!Table1[[Test code]:[Test code]],[1]!Table1[3-E Tafel slope (mV/dec)],"",0)</f>
        <v>#REF!</v>
      </c>
      <c r="AA797" s="69" t="e" cm="1">
        <f t="array" ref="AA797">_xlfn.XLOOKUP(Table1[[#This Row],[5 cm2 cell test code]:[5 cm2 cell test code]],[1]!Table1[[Test code]:[Test code]],[1]!Table1[E @ 100 mA/cm2 DIW/V],"",0)</f>
        <v>#REF!</v>
      </c>
      <c r="AB797" s="69" t="e" cm="1">
        <f t="array" ref="AB797">_xlfn.XLOOKUP(Table1[[#This Row],[5 cm2 cell test code]:[5 cm2 cell test code]],[1]!Table1[[Test code]:[Test code]],[1]!Table1[E @ 100 mA/cm2 10 mM KOH/V],"",0)</f>
        <v>#REF!</v>
      </c>
      <c r="AC797" s="69" t="e" cm="1">
        <f t="array" ref="AC797">_xlfn.XLOOKUP(Table1[[#This Row],[5 cm2 cell test code]:[5 cm2 cell test code]],[1]!Table1[[Test code]:[Test code]],[1]!Table1[Anode ICR/mOhm],"",0)</f>
        <v>#REF!</v>
      </c>
      <c r="AD797" s="69" t="e" cm="1">
        <f t="array" ref="AD797">_xlfn.XLOOKUP(Table1[[#This Row],[5 cm2 cell test code]:[5 cm2 cell test code]],[1]!Table1[[Test code]:[Test code]],[1]!Table1[HFR DIW/ mOhm cm2],"",0)</f>
        <v>#REF!</v>
      </c>
      <c r="AE797" s="69" t="e" cm="1">
        <f t="array" ref="AE797">_xlfn.XLOOKUP(Table1[[#This Row],[5 cm2 cell test code]:[5 cm2 cell test code]],[1]!Table1[[Test code]:[Test code]],[1]!Table1[HFR 10 mM KOH/ mOhm cm2],"",0)</f>
        <v>#REF!</v>
      </c>
      <c r="AF797" s="69" t="e" cm="1">
        <f t="array" ref="AF797">_xlfn.XLOOKUP(Table1[[#This Row],[5 cm2 cell test code]:[5 cm2 cell test code]],[1]!Table1[[Test code]:[Test code]],[1]!Table1[Ionic resistance DIW/Ohm cm2],"",0)</f>
        <v>#REF!</v>
      </c>
      <c r="AG797" s="69" t="e" cm="1">
        <f t="array" ref="AG797">_xlfn.XLOOKUP(Table1[[#This Row],[5 cm2 cell test code]:[5 cm2 cell test code]],[1]!Table1[[Test code]:[Test code]],[1]!Table1[Q_int_frac DIW],"",0)</f>
        <v>#REF!</v>
      </c>
      <c r="AH797" s="69" t="e" cm="1">
        <f t="array" ref="AH797">_xlfn.XLOOKUP(Table1[[#This Row],[5 cm2 cell test code]:[5 cm2 cell test code]],[1]!Table1[[Test code]:[Test code]],[1]!Table1[Ionic resistance 10 mM KOH/Ohm cm2],"",0)</f>
        <v>#REF!</v>
      </c>
      <c r="AI797" s="69" t="e" cm="1">
        <f t="array" ref="AI797">_xlfn.XLOOKUP(Table1[[#This Row],[5 cm2 cell test code]:[5 cm2 cell test code]],[1]!Table1[[Test code]:[Test code]],[1]!Table1[Q_int_frac DIW 10 mM KOH],"",0)</f>
        <v>#REF!</v>
      </c>
      <c r="AJ797" s="69" t="e" cm="1">
        <f t="array" ref="AJ797">_xlfn.XLOOKUP(Table1[[#This Row],[5 cm2 cell test code]:[5 cm2 cell test code]],[1]!Table1[[Test code]:[Test code]],[1]!Table1[DIW conductivity (µS/cm)],"",0)</f>
        <v>#REF!</v>
      </c>
    </row>
    <row r="798" spans="1:36">
      <c r="A798" s="81"/>
      <c r="U798" s="101"/>
      <c r="V798" s="101"/>
      <c r="W798" s="69" t="e" cm="1">
        <f t="array" ref="W798">_xlfn.XLOOKUP(Table1[[#This Row],[5 cm2 cell test code]:[5 cm2 cell test code]],[1]!Table1[[Test code]:[Test code]],[1]!Table1[i @ 1.8 V DIW (A/cm2)],"",0)</f>
        <v>#REF!</v>
      </c>
      <c r="X798" s="69" t="e" cm="1">
        <f t="array" ref="X798">_xlfn.XLOOKUP(Table1[[#This Row],[5 cm2 cell test code]:[5 cm2 cell test code]],[1]!Table1[[Test code]:[Test code]],[1]!Table1[i @ 1.8 V 10 mM KOH (A/cm2)],"",0)</f>
        <v>#REF!</v>
      </c>
      <c r="Y798" s="69" t="e" cm="1">
        <f t="array" ref="Y798">_xlfn.XLOOKUP(Table1[[#This Row],[5 cm2 cell test code]:[5 cm2 cell test code]],[1]!Table1[[Test code]:[Test code]],[1]!Table1[3-E ƞ at 20mAcm-2 (mV)],"",0)</f>
        <v>#REF!</v>
      </c>
      <c r="Z798" s="69" t="e" cm="1">
        <f t="array" ref="Z798">_xlfn.XLOOKUP(Table1[[#This Row],[5 cm2 cell test code]:[5 cm2 cell test code]],[1]!Table1[[Test code]:[Test code]],[1]!Table1[3-E Tafel slope (mV/dec)],"",0)</f>
        <v>#REF!</v>
      </c>
      <c r="AA798" s="69" t="e" cm="1">
        <f t="array" ref="AA798">_xlfn.XLOOKUP(Table1[[#This Row],[5 cm2 cell test code]:[5 cm2 cell test code]],[1]!Table1[[Test code]:[Test code]],[1]!Table1[E @ 100 mA/cm2 DIW/V],"",0)</f>
        <v>#REF!</v>
      </c>
      <c r="AB798" s="69" t="e" cm="1">
        <f t="array" ref="AB798">_xlfn.XLOOKUP(Table1[[#This Row],[5 cm2 cell test code]:[5 cm2 cell test code]],[1]!Table1[[Test code]:[Test code]],[1]!Table1[E @ 100 mA/cm2 10 mM KOH/V],"",0)</f>
        <v>#REF!</v>
      </c>
      <c r="AC798" s="69" t="e" cm="1">
        <f t="array" ref="AC798">_xlfn.XLOOKUP(Table1[[#This Row],[5 cm2 cell test code]:[5 cm2 cell test code]],[1]!Table1[[Test code]:[Test code]],[1]!Table1[Anode ICR/mOhm],"",0)</f>
        <v>#REF!</v>
      </c>
      <c r="AD798" s="69" t="e" cm="1">
        <f t="array" ref="AD798">_xlfn.XLOOKUP(Table1[[#This Row],[5 cm2 cell test code]:[5 cm2 cell test code]],[1]!Table1[[Test code]:[Test code]],[1]!Table1[HFR DIW/ mOhm cm2],"",0)</f>
        <v>#REF!</v>
      </c>
      <c r="AE798" s="69" t="e" cm="1">
        <f t="array" ref="AE798">_xlfn.XLOOKUP(Table1[[#This Row],[5 cm2 cell test code]:[5 cm2 cell test code]],[1]!Table1[[Test code]:[Test code]],[1]!Table1[HFR 10 mM KOH/ mOhm cm2],"",0)</f>
        <v>#REF!</v>
      </c>
      <c r="AF798" s="69" t="e" cm="1">
        <f t="array" ref="AF798">_xlfn.XLOOKUP(Table1[[#This Row],[5 cm2 cell test code]:[5 cm2 cell test code]],[1]!Table1[[Test code]:[Test code]],[1]!Table1[Ionic resistance DIW/Ohm cm2],"",0)</f>
        <v>#REF!</v>
      </c>
      <c r="AG798" s="69" t="e" cm="1">
        <f t="array" ref="AG798">_xlfn.XLOOKUP(Table1[[#This Row],[5 cm2 cell test code]:[5 cm2 cell test code]],[1]!Table1[[Test code]:[Test code]],[1]!Table1[Q_int_frac DIW],"",0)</f>
        <v>#REF!</v>
      </c>
      <c r="AH798" s="69" t="e" cm="1">
        <f t="array" ref="AH798">_xlfn.XLOOKUP(Table1[[#This Row],[5 cm2 cell test code]:[5 cm2 cell test code]],[1]!Table1[[Test code]:[Test code]],[1]!Table1[Ionic resistance 10 mM KOH/Ohm cm2],"",0)</f>
        <v>#REF!</v>
      </c>
      <c r="AI798" s="69" t="e" cm="1">
        <f t="array" ref="AI798">_xlfn.XLOOKUP(Table1[[#This Row],[5 cm2 cell test code]:[5 cm2 cell test code]],[1]!Table1[[Test code]:[Test code]],[1]!Table1[Q_int_frac DIW 10 mM KOH],"",0)</f>
        <v>#REF!</v>
      </c>
      <c r="AJ798" s="69" t="e" cm="1">
        <f t="array" ref="AJ798">_xlfn.XLOOKUP(Table1[[#This Row],[5 cm2 cell test code]:[5 cm2 cell test code]],[1]!Table1[[Test code]:[Test code]],[1]!Table1[DIW conductivity (µS/cm)],"",0)</f>
        <v>#REF!</v>
      </c>
    </row>
    <row r="799" spans="1:36">
      <c r="A799" s="81"/>
      <c r="U799" s="101"/>
      <c r="V799" s="101"/>
      <c r="W799" s="69" t="e" cm="1">
        <f t="array" ref="W799">_xlfn.XLOOKUP(Table1[[#This Row],[5 cm2 cell test code]:[5 cm2 cell test code]],[1]!Table1[[Test code]:[Test code]],[1]!Table1[i @ 1.8 V DIW (A/cm2)],"",0)</f>
        <v>#REF!</v>
      </c>
      <c r="X799" s="69" t="e" cm="1">
        <f t="array" ref="X799">_xlfn.XLOOKUP(Table1[[#This Row],[5 cm2 cell test code]:[5 cm2 cell test code]],[1]!Table1[[Test code]:[Test code]],[1]!Table1[i @ 1.8 V 10 mM KOH (A/cm2)],"",0)</f>
        <v>#REF!</v>
      </c>
      <c r="Y799" s="69" t="e" cm="1">
        <f t="array" ref="Y799">_xlfn.XLOOKUP(Table1[[#This Row],[5 cm2 cell test code]:[5 cm2 cell test code]],[1]!Table1[[Test code]:[Test code]],[1]!Table1[3-E ƞ at 20mAcm-2 (mV)],"",0)</f>
        <v>#REF!</v>
      </c>
      <c r="Z799" s="69" t="e" cm="1">
        <f t="array" ref="Z799">_xlfn.XLOOKUP(Table1[[#This Row],[5 cm2 cell test code]:[5 cm2 cell test code]],[1]!Table1[[Test code]:[Test code]],[1]!Table1[3-E Tafel slope (mV/dec)],"",0)</f>
        <v>#REF!</v>
      </c>
      <c r="AA799" s="69" t="e" cm="1">
        <f t="array" ref="AA799">_xlfn.XLOOKUP(Table1[[#This Row],[5 cm2 cell test code]:[5 cm2 cell test code]],[1]!Table1[[Test code]:[Test code]],[1]!Table1[E @ 100 mA/cm2 DIW/V],"",0)</f>
        <v>#REF!</v>
      </c>
      <c r="AB799" s="69" t="e" cm="1">
        <f t="array" ref="AB799">_xlfn.XLOOKUP(Table1[[#This Row],[5 cm2 cell test code]:[5 cm2 cell test code]],[1]!Table1[[Test code]:[Test code]],[1]!Table1[E @ 100 mA/cm2 10 mM KOH/V],"",0)</f>
        <v>#REF!</v>
      </c>
      <c r="AC799" s="69" t="e" cm="1">
        <f t="array" ref="AC799">_xlfn.XLOOKUP(Table1[[#This Row],[5 cm2 cell test code]:[5 cm2 cell test code]],[1]!Table1[[Test code]:[Test code]],[1]!Table1[Anode ICR/mOhm],"",0)</f>
        <v>#REF!</v>
      </c>
      <c r="AD799" s="69" t="e" cm="1">
        <f t="array" ref="AD799">_xlfn.XLOOKUP(Table1[[#This Row],[5 cm2 cell test code]:[5 cm2 cell test code]],[1]!Table1[[Test code]:[Test code]],[1]!Table1[HFR DIW/ mOhm cm2],"",0)</f>
        <v>#REF!</v>
      </c>
      <c r="AE799" s="69" t="e" cm="1">
        <f t="array" ref="AE799">_xlfn.XLOOKUP(Table1[[#This Row],[5 cm2 cell test code]:[5 cm2 cell test code]],[1]!Table1[[Test code]:[Test code]],[1]!Table1[HFR 10 mM KOH/ mOhm cm2],"",0)</f>
        <v>#REF!</v>
      </c>
      <c r="AF799" s="69" t="e" cm="1">
        <f t="array" ref="AF799">_xlfn.XLOOKUP(Table1[[#This Row],[5 cm2 cell test code]:[5 cm2 cell test code]],[1]!Table1[[Test code]:[Test code]],[1]!Table1[Ionic resistance DIW/Ohm cm2],"",0)</f>
        <v>#REF!</v>
      </c>
      <c r="AG799" s="69" t="e" cm="1">
        <f t="array" ref="AG799">_xlfn.XLOOKUP(Table1[[#This Row],[5 cm2 cell test code]:[5 cm2 cell test code]],[1]!Table1[[Test code]:[Test code]],[1]!Table1[Q_int_frac DIW],"",0)</f>
        <v>#REF!</v>
      </c>
      <c r="AH799" s="69" t="e" cm="1">
        <f t="array" ref="AH799">_xlfn.XLOOKUP(Table1[[#This Row],[5 cm2 cell test code]:[5 cm2 cell test code]],[1]!Table1[[Test code]:[Test code]],[1]!Table1[Ionic resistance 10 mM KOH/Ohm cm2],"",0)</f>
        <v>#REF!</v>
      </c>
      <c r="AI799" s="69" t="e" cm="1">
        <f t="array" ref="AI799">_xlfn.XLOOKUP(Table1[[#This Row],[5 cm2 cell test code]:[5 cm2 cell test code]],[1]!Table1[[Test code]:[Test code]],[1]!Table1[Q_int_frac DIW 10 mM KOH],"",0)</f>
        <v>#REF!</v>
      </c>
      <c r="AJ799" s="69" t="e" cm="1">
        <f t="array" ref="AJ799">_xlfn.XLOOKUP(Table1[[#This Row],[5 cm2 cell test code]:[5 cm2 cell test code]],[1]!Table1[[Test code]:[Test code]],[1]!Table1[DIW conductivity (µS/cm)],"",0)</f>
        <v>#REF!</v>
      </c>
    </row>
    <row r="800" spans="1:36">
      <c r="A800" s="81"/>
      <c r="U800" s="101"/>
      <c r="V800" s="101"/>
      <c r="W800" s="69" t="e" cm="1">
        <f t="array" ref="W800">_xlfn.XLOOKUP(Table1[[#This Row],[5 cm2 cell test code]:[5 cm2 cell test code]],[1]!Table1[[Test code]:[Test code]],[1]!Table1[i @ 1.8 V DIW (A/cm2)],"",0)</f>
        <v>#REF!</v>
      </c>
      <c r="X800" s="69" t="e" cm="1">
        <f t="array" ref="X800">_xlfn.XLOOKUP(Table1[[#This Row],[5 cm2 cell test code]:[5 cm2 cell test code]],[1]!Table1[[Test code]:[Test code]],[1]!Table1[i @ 1.8 V 10 mM KOH (A/cm2)],"",0)</f>
        <v>#REF!</v>
      </c>
      <c r="Y800" s="69" t="e" cm="1">
        <f t="array" ref="Y800">_xlfn.XLOOKUP(Table1[[#This Row],[5 cm2 cell test code]:[5 cm2 cell test code]],[1]!Table1[[Test code]:[Test code]],[1]!Table1[3-E ƞ at 20mAcm-2 (mV)],"",0)</f>
        <v>#REF!</v>
      </c>
      <c r="Z800" s="69" t="e" cm="1">
        <f t="array" ref="Z800">_xlfn.XLOOKUP(Table1[[#This Row],[5 cm2 cell test code]:[5 cm2 cell test code]],[1]!Table1[[Test code]:[Test code]],[1]!Table1[3-E Tafel slope (mV/dec)],"",0)</f>
        <v>#REF!</v>
      </c>
      <c r="AA800" s="69" t="e" cm="1">
        <f t="array" ref="AA800">_xlfn.XLOOKUP(Table1[[#This Row],[5 cm2 cell test code]:[5 cm2 cell test code]],[1]!Table1[[Test code]:[Test code]],[1]!Table1[E @ 100 mA/cm2 DIW/V],"",0)</f>
        <v>#REF!</v>
      </c>
      <c r="AB800" s="69" t="e" cm="1">
        <f t="array" ref="AB800">_xlfn.XLOOKUP(Table1[[#This Row],[5 cm2 cell test code]:[5 cm2 cell test code]],[1]!Table1[[Test code]:[Test code]],[1]!Table1[E @ 100 mA/cm2 10 mM KOH/V],"",0)</f>
        <v>#REF!</v>
      </c>
      <c r="AC800" s="69" t="e" cm="1">
        <f t="array" ref="AC800">_xlfn.XLOOKUP(Table1[[#This Row],[5 cm2 cell test code]:[5 cm2 cell test code]],[1]!Table1[[Test code]:[Test code]],[1]!Table1[Anode ICR/mOhm],"",0)</f>
        <v>#REF!</v>
      </c>
      <c r="AD800" s="69" t="e" cm="1">
        <f t="array" ref="AD800">_xlfn.XLOOKUP(Table1[[#This Row],[5 cm2 cell test code]:[5 cm2 cell test code]],[1]!Table1[[Test code]:[Test code]],[1]!Table1[HFR DIW/ mOhm cm2],"",0)</f>
        <v>#REF!</v>
      </c>
      <c r="AE800" s="69" t="e" cm="1">
        <f t="array" ref="AE800">_xlfn.XLOOKUP(Table1[[#This Row],[5 cm2 cell test code]:[5 cm2 cell test code]],[1]!Table1[[Test code]:[Test code]],[1]!Table1[HFR 10 mM KOH/ mOhm cm2],"",0)</f>
        <v>#REF!</v>
      </c>
      <c r="AF800" s="69" t="e" cm="1">
        <f t="array" ref="AF800">_xlfn.XLOOKUP(Table1[[#This Row],[5 cm2 cell test code]:[5 cm2 cell test code]],[1]!Table1[[Test code]:[Test code]],[1]!Table1[Ionic resistance DIW/Ohm cm2],"",0)</f>
        <v>#REF!</v>
      </c>
      <c r="AG800" s="69" t="e" cm="1">
        <f t="array" ref="AG800">_xlfn.XLOOKUP(Table1[[#This Row],[5 cm2 cell test code]:[5 cm2 cell test code]],[1]!Table1[[Test code]:[Test code]],[1]!Table1[Q_int_frac DIW],"",0)</f>
        <v>#REF!</v>
      </c>
      <c r="AH800" s="69" t="e" cm="1">
        <f t="array" ref="AH800">_xlfn.XLOOKUP(Table1[[#This Row],[5 cm2 cell test code]:[5 cm2 cell test code]],[1]!Table1[[Test code]:[Test code]],[1]!Table1[Ionic resistance 10 mM KOH/Ohm cm2],"",0)</f>
        <v>#REF!</v>
      </c>
      <c r="AI800" s="69" t="e" cm="1">
        <f t="array" ref="AI800">_xlfn.XLOOKUP(Table1[[#This Row],[5 cm2 cell test code]:[5 cm2 cell test code]],[1]!Table1[[Test code]:[Test code]],[1]!Table1[Q_int_frac DIW 10 mM KOH],"",0)</f>
        <v>#REF!</v>
      </c>
      <c r="AJ800" s="69" t="e" cm="1">
        <f t="array" ref="AJ800">_xlfn.XLOOKUP(Table1[[#This Row],[5 cm2 cell test code]:[5 cm2 cell test code]],[1]!Table1[[Test code]:[Test code]],[1]!Table1[DIW conductivity (µS/cm)],"",0)</f>
        <v>#REF!</v>
      </c>
    </row>
    <row r="801" spans="1:36">
      <c r="A801" s="81"/>
      <c r="U801" s="101"/>
      <c r="V801" s="101"/>
      <c r="W801" s="69" t="e" cm="1">
        <f t="array" ref="W801">_xlfn.XLOOKUP(Table1[[#This Row],[5 cm2 cell test code]:[5 cm2 cell test code]],[1]!Table1[[Test code]:[Test code]],[1]!Table1[i @ 1.8 V DIW (A/cm2)],"",0)</f>
        <v>#REF!</v>
      </c>
      <c r="X801" s="69" t="e" cm="1">
        <f t="array" ref="X801">_xlfn.XLOOKUP(Table1[[#This Row],[5 cm2 cell test code]:[5 cm2 cell test code]],[1]!Table1[[Test code]:[Test code]],[1]!Table1[i @ 1.8 V 10 mM KOH (A/cm2)],"",0)</f>
        <v>#REF!</v>
      </c>
      <c r="Y801" s="69" t="e" cm="1">
        <f t="array" ref="Y801">_xlfn.XLOOKUP(Table1[[#This Row],[5 cm2 cell test code]:[5 cm2 cell test code]],[1]!Table1[[Test code]:[Test code]],[1]!Table1[3-E ƞ at 20mAcm-2 (mV)],"",0)</f>
        <v>#REF!</v>
      </c>
      <c r="Z801" s="69" t="e" cm="1">
        <f t="array" ref="Z801">_xlfn.XLOOKUP(Table1[[#This Row],[5 cm2 cell test code]:[5 cm2 cell test code]],[1]!Table1[[Test code]:[Test code]],[1]!Table1[3-E Tafel slope (mV/dec)],"",0)</f>
        <v>#REF!</v>
      </c>
      <c r="AA801" s="69" t="e" cm="1">
        <f t="array" ref="AA801">_xlfn.XLOOKUP(Table1[[#This Row],[5 cm2 cell test code]:[5 cm2 cell test code]],[1]!Table1[[Test code]:[Test code]],[1]!Table1[E @ 100 mA/cm2 DIW/V],"",0)</f>
        <v>#REF!</v>
      </c>
      <c r="AB801" s="69" t="e" cm="1">
        <f t="array" ref="AB801">_xlfn.XLOOKUP(Table1[[#This Row],[5 cm2 cell test code]:[5 cm2 cell test code]],[1]!Table1[[Test code]:[Test code]],[1]!Table1[E @ 100 mA/cm2 10 mM KOH/V],"",0)</f>
        <v>#REF!</v>
      </c>
      <c r="AC801" s="69" t="e" cm="1">
        <f t="array" ref="AC801">_xlfn.XLOOKUP(Table1[[#This Row],[5 cm2 cell test code]:[5 cm2 cell test code]],[1]!Table1[[Test code]:[Test code]],[1]!Table1[Anode ICR/mOhm],"",0)</f>
        <v>#REF!</v>
      </c>
      <c r="AD801" s="69" t="e" cm="1">
        <f t="array" ref="AD801">_xlfn.XLOOKUP(Table1[[#This Row],[5 cm2 cell test code]:[5 cm2 cell test code]],[1]!Table1[[Test code]:[Test code]],[1]!Table1[HFR DIW/ mOhm cm2],"",0)</f>
        <v>#REF!</v>
      </c>
      <c r="AE801" s="69" t="e" cm="1">
        <f t="array" ref="AE801">_xlfn.XLOOKUP(Table1[[#This Row],[5 cm2 cell test code]:[5 cm2 cell test code]],[1]!Table1[[Test code]:[Test code]],[1]!Table1[HFR 10 mM KOH/ mOhm cm2],"",0)</f>
        <v>#REF!</v>
      </c>
      <c r="AF801" s="69" t="e" cm="1">
        <f t="array" ref="AF801">_xlfn.XLOOKUP(Table1[[#This Row],[5 cm2 cell test code]:[5 cm2 cell test code]],[1]!Table1[[Test code]:[Test code]],[1]!Table1[Ionic resistance DIW/Ohm cm2],"",0)</f>
        <v>#REF!</v>
      </c>
      <c r="AG801" s="69" t="e" cm="1">
        <f t="array" ref="AG801">_xlfn.XLOOKUP(Table1[[#This Row],[5 cm2 cell test code]:[5 cm2 cell test code]],[1]!Table1[[Test code]:[Test code]],[1]!Table1[Q_int_frac DIW],"",0)</f>
        <v>#REF!</v>
      </c>
      <c r="AH801" s="69" t="e" cm="1">
        <f t="array" ref="AH801">_xlfn.XLOOKUP(Table1[[#This Row],[5 cm2 cell test code]:[5 cm2 cell test code]],[1]!Table1[[Test code]:[Test code]],[1]!Table1[Ionic resistance 10 mM KOH/Ohm cm2],"",0)</f>
        <v>#REF!</v>
      </c>
      <c r="AI801" s="69" t="e" cm="1">
        <f t="array" ref="AI801">_xlfn.XLOOKUP(Table1[[#This Row],[5 cm2 cell test code]:[5 cm2 cell test code]],[1]!Table1[[Test code]:[Test code]],[1]!Table1[Q_int_frac DIW 10 mM KOH],"",0)</f>
        <v>#REF!</v>
      </c>
      <c r="AJ801" s="69" t="e" cm="1">
        <f t="array" ref="AJ801">_xlfn.XLOOKUP(Table1[[#This Row],[5 cm2 cell test code]:[5 cm2 cell test code]],[1]!Table1[[Test code]:[Test code]],[1]!Table1[DIW conductivity (µS/cm)],"",0)</f>
        <v>#REF!</v>
      </c>
    </row>
    <row r="802" spans="1:36">
      <c r="A802" s="81"/>
      <c r="U802" s="101"/>
      <c r="V802" s="101"/>
      <c r="W802" s="69" t="e" cm="1">
        <f t="array" ref="W802">_xlfn.XLOOKUP(Table1[[#This Row],[5 cm2 cell test code]:[5 cm2 cell test code]],[1]!Table1[[Test code]:[Test code]],[1]!Table1[i @ 1.8 V DIW (A/cm2)],"",0)</f>
        <v>#REF!</v>
      </c>
      <c r="X802" s="69" t="e" cm="1">
        <f t="array" ref="X802">_xlfn.XLOOKUP(Table1[[#This Row],[5 cm2 cell test code]:[5 cm2 cell test code]],[1]!Table1[[Test code]:[Test code]],[1]!Table1[i @ 1.8 V 10 mM KOH (A/cm2)],"",0)</f>
        <v>#REF!</v>
      </c>
      <c r="Y802" s="69" t="e" cm="1">
        <f t="array" ref="Y802">_xlfn.XLOOKUP(Table1[[#This Row],[5 cm2 cell test code]:[5 cm2 cell test code]],[1]!Table1[[Test code]:[Test code]],[1]!Table1[3-E ƞ at 20mAcm-2 (mV)],"",0)</f>
        <v>#REF!</v>
      </c>
      <c r="Z802" s="69" t="e" cm="1">
        <f t="array" ref="Z802">_xlfn.XLOOKUP(Table1[[#This Row],[5 cm2 cell test code]:[5 cm2 cell test code]],[1]!Table1[[Test code]:[Test code]],[1]!Table1[3-E Tafel slope (mV/dec)],"",0)</f>
        <v>#REF!</v>
      </c>
      <c r="AA802" s="69" t="e" cm="1">
        <f t="array" ref="AA802">_xlfn.XLOOKUP(Table1[[#This Row],[5 cm2 cell test code]:[5 cm2 cell test code]],[1]!Table1[[Test code]:[Test code]],[1]!Table1[E @ 100 mA/cm2 DIW/V],"",0)</f>
        <v>#REF!</v>
      </c>
      <c r="AB802" s="69" t="e" cm="1">
        <f t="array" ref="AB802">_xlfn.XLOOKUP(Table1[[#This Row],[5 cm2 cell test code]:[5 cm2 cell test code]],[1]!Table1[[Test code]:[Test code]],[1]!Table1[E @ 100 mA/cm2 10 mM KOH/V],"",0)</f>
        <v>#REF!</v>
      </c>
      <c r="AC802" s="69" t="e" cm="1">
        <f t="array" ref="AC802">_xlfn.XLOOKUP(Table1[[#This Row],[5 cm2 cell test code]:[5 cm2 cell test code]],[1]!Table1[[Test code]:[Test code]],[1]!Table1[Anode ICR/mOhm],"",0)</f>
        <v>#REF!</v>
      </c>
      <c r="AD802" s="69" t="e" cm="1">
        <f t="array" ref="AD802">_xlfn.XLOOKUP(Table1[[#This Row],[5 cm2 cell test code]:[5 cm2 cell test code]],[1]!Table1[[Test code]:[Test code]],[1]!Table1[HFR DIW/ mOhm cm2],"",0)</f>
        <v>#REF!</v>
      </c>
      <c r="AE802" s="69" t="e" cm="1">
        <f t="array" ref="AE802">_xlfn.XLOOKUP(Table1[[#This Row],[5 cm2 cell test code]:[5 cm2 cell test code]],[1]!Table1[[Test code]:[Test code]],[1]!Table1[HFR 10 mM KOH/ mOhm cm2],"",0)</f>
        <v>#REF!</v>
      </c>
      <c r="AF802" s="69" t="e" cm="1">
        <f t="array" ref="AF802">_xlfn.XLOOKUP(Table1[[#This Row],[5 cm2 cell test code]:[5 cm2 cell test code]],[1]!Table1[[Test code]:[Test code]],[1]!Table1[Ionic resistance DIW/Ohm cm2],"",0)</f>
        <v>#REF!</v>
      </c>
      <c r="AG802" s="69" t="e" cm="1">
        <f t="array" ref="AG802">_xlfn.XLOOKUP(Table1[[#This Row],[5 cm2 cell test code]:[5 cm2 cell test code]],[1]!Table1[[Test code]:[Test code]],[1]!Table1[Q_int_frac DIW],"",0)</f>
        <v>#REF!</v>
      </c>
      <c r="AH802" s="69" t="e" cm="1">
        <f t="array" ref="AH802">_xlfn.XLOOKUP(Table1[[#This Row],[5 cm2 cell test code]:[5 cm2 cell test code]],[1]!Table1[[Test code]:[Test code]],[1]!Table1[Ionic resistance 10 mM KOH/Ohm cm2],"",0)</f>
        <v>#REF!</v>
      </c>
      <c r="AI802" s="69" t="e" cm="1">
        <f t="array" ref="AI802">_xlfn.XLOOKUP(Table1[[#This Row],[5 cm2 cell test code]:[5 cm2 cell test code]],[1]!Table1[[Test code]:[Test code]],[1]!Table1[Q_int_frac DIW 10 mM KOH],"",0)</f>
        <v>#REF!</v>
      </c>
      <c r="AJ802" s="69" t="e" cm="1">
        <f t="array" ref="AJ802">_xlfn.XLOOKUP(Table1[[#This Row],[5 cm2 cell test code]:[5 cm2 cell test code]],[1]!Table1[[Test code]:[Test code]],[1]!Table1[DIW conductivity (µS/cm)],"",0)</f>
        <v>#REF!</v>
      </c>
    </row>
    <row r="803" spans="1:36">
      <c r="A803" s="81"/>
      <c r="U803" s="101"/>
      <c r="V803" s="101"/>
      <c r="W803" s="69" t="e" cm="1">
        <f t="array" ref="W803">_xlfn.XLOOKUP(Table1[[#This Row],[5 cm2 cell test code]:[5 cm2 cell test code]],[1]!Table1[[Test code]:[Test code]],[1]!Table1[i @ 1.8 V DIW (A/cm2)],"",0)</f>
        <v>#REF!</v>
      </c>
      <c r="X803" s="69" t="e" cm="1">
        <f t="array" ref="X803">_xlfn.XLOOKUP(Table1[[#This Row],[5 cm2 cell test code]:[5 cm2 cell test code]],[1]!Table1[[Test code]:[Test code]],[1]!Table1[i @ 1.8 V 10 mM KOH (A/cm2)],"",0)</f>
        <v>#REF!</v>
      </c>
      <c r="Y803" s="69" t="e" cm="1">
        <f t="array" ref="Y803">_xlfn.XLOOKUP(Table1[[#This Row],[5 cm2 cell test code]:[5 cm2 cell test code]],[1]!Table1[[Test code]:[Test code]],[1]!Table1[3-E ƞ at 20mAcm-2 (mV)],"",0)</f>
        <v>#REF!</v>
      </c>
      <c r="Z803" s="69" t="e" cm="1">
        <f t="array" ref="Z803">_xlfn.XLOOKUP(Table1[[#This Row],[5 cm2 cell test code]:[5 cm2 cell test code]],[1]!Table1[[Test code]:[Test code]],[1]!Table1[3-E Tafel slope (mV/dec)],"",0)</f>
        <v>#REF!</v>
      </c>
      <c r="AA803" s="69" t="e" cm="1">
        <f t="array" ref="AA803">_xlfn.XLOOKUP(Table1[[#This Row],[5 cm2 cell test code]:[5 cm2 cell test code]],[1]!Table1[[Test code]:[Test code]],[1]!Table1[E @ 100 mA/cm2 DIW/V],"",0)</f>
        <v>#REF!</v>
      </c>
      <c r="AB803" s="69" t="e" cm="1">
        <f t="array" ref="AB803">_xlfn.XLOOKUP(Table1[[#This Row],[5 cm2 cell test code]:[5 cm2 cell test code]],[1]!Table1[[Test code]:[Test code]],[1]!Table1[E @ 100 mA/cm2 10 mM KOH/V],"",0)</f>
        <v>#REF!</v>
      </c>
      <c r="AC803" s="69" t="e" cm="1">
        <f t="array" ref="AC803">_xlfn.XLOOKUP(Table1[[#This Row],[5 cm2 cell test code]:[5 cm2 cell test code]],[1]!Table1[[Test code]:[Test code]],[1]!Table1[Anode ICR/mOhm],"",0)</f>
        <v>#REF!</v>
      </c>
      <c r="AD803" s="69" t="e" cm="1">
        <f t="array" ref="AD803">_xlfn.XLOOKUP(Table1[[#This Row],[5 cm2 cell test code]:[5 cm2 cell test code]],[1]!Table1[[Test code]:[Test code]],[1]!Table1[HFR DIW/ mOhm cm2],"",0)</f>
        <v>#REF!</v>
      </c>
      <c r="AE803" s="69" t="e" cm="1">
        <f t="array" ref="AE803">_xlfn.XLOOKUP(Table1[[#This Row],[5 cm2 cell test code]:[5 cm2 cell test code]],[1]!Table1[[Test code]:[Test code]],[1]!Table1[HFR 10 mM KOH/ mOhm cm2],"",0)</f>
        <v>#REF!</v>
      </c>
      <c r="AF803" s="69" t="e" cm="1">
        <f t="array" ref="AF803">_xlfn.XLOOKUP(Table1[[#This Row],[5 cm2 cell test code]:[5 cm2 cell test code]],[1]!Table1[[Test code]:[Test code]],[1]!Table1[Ionic resistance DIW/Ohm cm2],"",0)</f>
        <v>#REF!</v>
      </c>
      <c r="AG803" s="69" t="e" cm="1">
        <f t="array" ref="AG803">_xlfn.XLOOKUP(Table1[[#This Row],[5 cm2 cell test code]:[5 cm2 cell test code]],[1]!Table1[[Test code]:[Test code]],[1]!Table1[Q_int_frac DIW],"",0)</f>
        <v>#REF!</v>
      </c>
      <c r="AH803" s="69" t="e" cm="1">
        <f t="array" ref="AH803">_xlfn.XLOOKUP(Table1[[#This Row],[5 cm2 cell test code]:[5 cm2 cell test code]],[1]!Table1[[Test code]:[Test code]],[1]!Table1[Ionic resistance 10 mM KOH/Ohm cm2],"",0)</f>
        <v>#REF!</v>
      </c>
      <c r="AI803" s="69" t="e" cm="1">
        <f t="array" ref="AI803">_xlfn.XLOOKUP(Table1[[#This Row],[5 cm2 cell test code]:[5 cm2 cell test code]],[1]!Table1[[Test code]:[Test code]],[1]!Table1[Q_int_frac DIW 10 mM KOH],"",0)</f>
        <v>#REF!</v>
      </c>
      <c r="AJ803" s="69" t="e" cm="1">
        <f t="array" ref="AJ803">_xlfn.XLOOKUP(Table1[[#This Row],[5 cm2 cell test code]:[5 cm2 cell test code]],[1]!Table1[[Test code]:[Test code]],[1]!Table1[DIW conductivity (µS/cm)],"",0)</f>
        <v>#REF!</v>
      </c>
    </row>
    <row r="804" spans="1:36">
      <c r="A804" s="81"/>
      <c r="U804" s="101"/>
      <c r="V804" s="101"/>
      <c r="W804" s="69" t="e" cm="1">
        <f t="array" ref="W804">_xlfn.XLOOKUP(Table1[[#This Row],[5 cm2 cell test code]:[5 cm2 cell test code]],[1]!Table1[[Test code]:[Test code]],[1]!Table1[i @ 1.8 V DIW (A/cm2)],"",0)</f>
        <v>#REF!</v>
      </c>
      <c r="X804" s="69" t="e" cm="1">
        <f t="array" ref="X804">_xlfn.XLOOKUP(Table1[[#This Row],[5 cm2 cell test code]:[5 cm2 cell test code]],[1]!Table1[[Test code]:[Test code]],[1]!Table1[i @ 1.8 V 10 mM KOH (A/cm2)],"",0)</f>
        <v>#REF!</v>
      </c>
      <c r="Y804" s="69" t="e" cm="1">
        <f t="array" ref="Y804">_xlfn.XLOOKUP(Table1[[#This Row],[5 cm2 cell test code]:[5 cm2 cell test code]],[1]!Table1[[Test code]:[Test code]],[1]!Table1[3-E ƞ at 20mAcm-2 (mV)],"",0)</f>
        <v>#REF!</v>
      </c>
      <c r="Z804" s="69" t="e" cm="1">
        <f t="array" ref="Z804">_xlfn.XLOOKUP(Table1[[#This Row],[5 cm2 cell test code]:[5 cm2 cell test code]],[1]!Table1[[Test code]:[Test code]],[1]!Table1[3-E Tafel slope (mV/dec)],"",0)</f>
        <v>#REF!</v>
      </c>
      <c r="AA804" s="69" t="e" cm="1">
        <f t="array" ref="AA804">_xlfn.XLOOKUP(Table1[[#This Row],[5 cm2 cell test code]:[5 cm2 cell test code]],[1]!Table1[[Test code]:[Test code]],[1]!Table1[E @ 100 mA/cm2 DIW/V],"",0)</f>
        <v>#REF!</v>
      </c>
      <c r="AB804" s="69" t="e" cm="1">
        <f t="array" ref="AB804">_xlfn.XLOOKUP(Table1[[#This Row],[5 cm2 cell test code]:[5 cm2 cell test code]],[1]!Table1[[Test code]:[Test code]],[1]!Table1[E @ 100 mA/cm2 10 mM KOH/V],"",0)</f>
        <v>#REF!</v>
      </c>
      <c r="AC804" s="69" t="e" cm="1">
        <f t="array" ref="AC804">_xlfn.XLOOKUP(Table1[[#This Row],[5 cm2 cell test code]:[5 cm2 cell test code]],[1]!Table1[[Test code]:[Test code]],[1]!Table1[Anode ICR/mOhm],"",0)</f>
        <v>#REF!</v>
      </c>
      <c r="AD804" s="69" t="e" cm="1">
        <f t="array" ref="AD804">_xlfn.XLOOKUP(Table1[[#This Row],[5 cm2 cell test code]:[5 cm2 cell test code]],[1]!Table1[[Test code]:[Test code]],[1]!Table1[HFR DIW/ mOhm cm2],"",0)</f>
        <v>#REF!</v>
      </c>
      <c r="AE804" s="69" t="e" cm="1">
        <f t="array" ref="AE804">_xlfn.XLOOKUP(Table1[[#This Row],[5 cm2 cell test code]:[5 cm2 cell test code]],[1]!Table1[[Test code]:[Test code]],[1]!Table1[HFR 10 mM KOH/ mOhm cm2],"",0)</f>
        <v>#REF!</v>
      </c>
      <c r="AF804" s="69" t="e" cm="1">
        <f t="array" ref="AF804">_xlfn.XLOOKUP(Table1[[#This Row],[5 cm2 cell test code]:[5 cm2 cell test code]],[1]!Table1[[Test code]:[Test code]],[1]!Table1[Ionic resistance DIW/Ohm cm2],"",0)</f>
        <v>#REF!</v>
      </c>
      <c r="AG804" s="69" t="e" cm="1">
        <f t="array" ref="AG804">_xlfn.XLOOKUP(Table1[[#This Row],[5 cm2 cell test code]:[5 cm2 cell test code]],[1]!Table1[[Test code]:[Test code]],[1]!Table1[Q_int_frac DIW],"",0)</f>
        <v>#REF!</v>
      </c>
      <c r="AH804" s="69" t="e" cm="1">
        <f t="array" ref="AH804">_xlfn.XLOOKUP(Table1[[#This Row],[5 cm2 cell test code]:[5 cm2 cell test code]],[1]!Table1[[Test code]:[Test code]],[1]!Table1[Ionic resistance 10 mM KOH/Ohm cm2],"",0)</f>
        <v>#REF!</v>
      </c>
      <c r="AI804" s="69" t="e" cm="1">
        <f t="array" ref="AI804">_xlfn.XLOOKUP(Table1[[#This Row],[5 cm2 cell test code]:[5 cm2 cell test code]],[1]!Table1[[Test code]:[Test code]],[1]!Table1[Q_int_frac DIW 10 mM KOH],"",0)</f>
        <v>#REF!</v>
      </c>
      <c r="AJ804" s="69" t="e" cm="1">
        <f t="array" ref="AJ804">_xlfn.XLOOKUP(Table1[[#This Row],[5 cm2 cell test code]:[5 cm2 cell test code]],[1]!Table1[[Test code]:[Test code]],[1]!Table1[DIW conductivity (µS/cm)],"",0)</f>
        <v>#REF!</v>
      </c>
    </row>
    <row r="805" spans="1:36">
      <c r="A805" s="81"/>
      <c r="U805" s="101"/>
      <c r="V805" s="101"/>
      <c r="W805" s="69" t="e" cm="1">
        <f t="array" ref="W805">_xlfn.XLOOKUP(Table1[[#This Row],[5 cm2 cell test code]:[5 cm2 cell test code]],[1]!Table1[[Test code]:[Test code]],[1]!Table1[i @ 1.8 V DIW (A/cm2)],"",0)</f>
        <v>#REF!</v>
      </c>
      <c r="X805" s="69" t="e" cm="1">
        <f t="array" ref="X805">_xlfn.XLOOKUP(Table1[[#This Row],[5 cm2 cell test code]:[5 cm2 cell test code]],[1]!Table1[[Test code]:[Test code]],[1]!Table1[i @ 1.8 V 10 mM KOH (A/cm2)],"",0)</f>
        <v>#REF!</v>
      </c>
      <c r="Y805" s="69" t="e" cm="1">
        <f t="array" ref="Y805">_xlfn.XLOOKUP(Table1[[#This Row],[5 cm2 cell test code]:[5 cm2 cell test code]],[1]!Table1[[Test code]:[Test code]],[1]!Table1[3-E ƞ at 20mAcm-2 (mV)],"",0)</f>
        <v>#REF!</v>
      </c>
      <c r="Z805" s="69" t="e" cm="1">
        <f t="array" ref="Z805">_xlfn.XLOOKUP(Table1[[#This Row],[5 cm2 cell test code]:[5 cm2 cell test code]],[1]!Table1[[Test code]:[Test code]],[1]!Table1[3-E Tafel slope (mV/dec)],"",0)</f>
        <v>#REF!</v>
      </c>
      <c r="AA805" s="69" t="e" cm="1">
        <f t="array" ref="AA805">_xlfn.XLOOKUP(Table1[[#This Row],[5 cm2 cell test code]:[5 cm2 cell test code]],[1]!Table1[[Test code]:[Test code]],[1]!Table1[E @ 100 mA/cm2 DIW/V],"",0)</f>
        <v>#REF!</v>
      </c>
      <c r="AB805" s="69" t="e" cm="1">
        <f t="array" ref="AB805">_xlfn.XLOOKUP(Table1[[#This Row],[5 cm2 cell test code]:[5 cm2 cell test code]],[1]!Table1[[Test code]:[Test code]],[1]!Table1[E @ 100 mA/cm2 10 mM KOH/V],"",0)</f>
        <v>#REF!</v>
      </c>
      <c r="AC805" s="69" t="e" cm="1">
        <f t="array" ref="AC805">_xlfn.XLOOKUP(Table1[[#This Row],[5 cm2 cell test code]:[5 cm2 cell test code]],[1]!Table1[[Test code]:[Test code]],[1]!Table1[Anode ICR/mOhm],"",0)</f>
        <v>#REF!</v>
      </c>
      <c r="AD805" s="69" t="e" cm="1">
        <f t="array" ref="AD805">_xlfn.XLOOKUP(Table1[[#This Row],[5 cm2 cell test code]:[5 cm2 cell test code]],[1]!Table1[[Test code]:[Test code]],[1]!Table1[HFR DIW/ mOhm cm2],"",0)</f>
        <v>#REF!</v>
      </c>
      <c r="AE805" s="69" t="e" cm="1">
        <f t="array" ref="AE805">_xlfn.XLOOKUP(Table1[[#This Row],[5 cm2 cell test code]:[5 cm2 cell test code]],[1]!Table1[[Test code]:[Test code]],[1]!Table1[HFR 10 mM KOH/ mOhm cm2],"",0)</f>
        <v>#REF!</v>
      </c>
      <c r="AF805" s="69" t="e" cm="1">
        <f t="array" ref="AF805">_xlfn.XLOOKUP(Table1[[#This Row],[5 cm2 cell test code]:[5 cm2 cell test code]],[1]!Table1[[Test code]:[Test code]],[1]!Table1[Ionic resistance DIW/Ohm cm2],"",0)</f>
        <v>#REF!</v>
      </c>
      <c r="AG805" s="69" t="e" cm="1">
        <f t="array" ref="AG805">_xlfn.XLOOKUP(Table1[[#This Row],[5 cm2 cell test code]:[5 cm2 cell test code]],[1]!Table1[[Test code]:[Test code]],[1]!Table1[Q_int_frac DIW],"",0)</f>
        <v>#REF!</v>
      </c>
      <c r="AH805" s="69" t="e" cm="1">
        <f t="array" ref="AH805">_xlfn.XLOOKUP(Table1[[#This Row],[5 cm2 cell test code]:[5 cm2 cell test code]],[1]!Table1[[Test code]:[Test code]],[1]!Table1[Ionic resistance 10 mM KOH/Ohm cm2],"",0)</f>
        <v>#REF!</v>
      </c>
      <c r="AI805" s="69" t="e" cm="1">
        <f t="array" ref="AI805">_xlfn.XLOOKUP(Table1[[#This Row],[5 cm2 cell test code]:[5 cm2 cell test code]],[1]!Table1[[Test code]:[Test code]],[1]!Table1[Q_int_frac DIW 10 mM KOH],"",0)</f>
        <v>#REF!</v>
      </c>
      <c r="AJ805" s="69" t="e" cm="1">
        <f t="array" ref="AJ805">_xlfn.XLOOKUP(Table1[[#This Row],[5 cm2 cell test code]:[5 cm2 cell test code]],[1]!Table1[[Test code]:[Test code]],[1]!Table1[DIW conductivity (µS/cm)],"",0)</f>
        <v>#REF!</v>
      </c>
    </row>
    <row r="806" spans="1:36">
      <c r="A806" s="81"/>
      <c r="U806" s="101"/>
      <c r="V806" s="101"/>
      <c r="W806" s="69" t="e" cm="1">
        <f t="array" ref="W806">_xlfn.XLOOKUP(Table1[[#This Row],[5 cm2 cell test code]:[5 cm2 cell test code]],[1]!Table1[[Test code]:[Test code]],[1]!Table1[i @ 1.8 V DIW (A/cm2)],"",0)</f>
        <v>#REF!</v>
      </c>
      <c r="X806" s="69" t="e" cm="1">
        <f t="array" ref="X806">_xlfn.XLOOKUP(Table1[[#This Row],[5 cm2 cell test code]:[5 cm2 cell test code]],[1]!Table1[[Test code]:[Test code]],[1]!Table1[i @ 1.8 V 10 mM KOH (A/cm2)],"",0)</f>
        <v>#REF!</v>
      </c>
      <c r="Y806" s="69" t="e" cm="1">
        <f t="array" ref="Y806">_xlfn.XLOOKUP(Table1[[#This Row],[5 cm2 cell test code]:[5 cm2 cell test code]],[1]!Table1[[Test code]:[Test code]],[1]!Table1[3-E ƞ at 20mAcm-2 (mV)],"",0)</f>
        <v>#REF!</v>
      </c>
      <c r="Z806" s="69" t="e" cm="1">
        <f t="array" ref="Z806">_xlfn.XLOOKUP(Table1[[#This Row],[5 cm2 cell test code]:[5 cm2 cell test code]],[1]!Table1[[Test code]:[Test code]],[1]!Table1[3-E Tafel slope (mV/dec)],"",0)</f>
        <v>#REF!</v>
      </c>
      <c r="AA806" s="69" t="e" cm="1">
        <f t="array" ref="AA806">_xlfn.XLOOKUP(Table1[[#This Row],[5 cm2 cell test code]:[5 cm2 cell test code]],[1]!Table1[[Test code]:[Test code]],[1]!Table1[E @ 100 mA/cm2 DIW/V],"",0)</f>
        <v>#REF!</v>
      </c>
      <c r="AB806" s="69" t="e" cm="1">
        <f t="array" ref="AB806">_xlfn.XLOOKUP(Table1[[#This Row],[5 cm2 cell test code]:[5 cm2 cell test code]],[1]!Table1[[Test code]:[Test code]],[1]!Table1[E @ 100 mA/cm2 10 mM KOH/V],"",0)</f>
        <v>#REF!</v>
      </c>
      <c r="AC806" s="69" t="e" cm="1">
        <f t="array" ref="AC806">_xlfn.XLOOKUP(Table1[[#This Row],[5 cm2 cell test code]:[5 cm2 cell test code]],[1]!Table1[[Test code]:[Test code]],[1]!Table1[Anode ICR/mOhm],"",0)</f>
        <v>#REF!</v>
      </c>
      <c r="AD806" s="69" t="e" cm="1">
        <f t="array" ref="AD806">_xlfn.XLOOKUP(Table1[[#This Row],[5 cm2 cell test code]:[5 cm2 cell test code]],[1]!Table1[[Test code]:[Test code]],[1]!Table1[HFR DIW/ mOhm cm2],"",0)</f>
        <v>#REF!</v>
      </c>
      <c r="AE806" s="69" t="e" cm="1">
        <f t="array" ref="AE806">_xlfn.XLOOKUP(Table1[[#This Row],[5 cm2 cell test code]:[5 cm2 cell test code]],[1]!Table1[[Test code]:[Test code]],[1]!Table1[HFR 10 mM KOH/ mOhm cm2],"",0)</f>
        <v>#REF!</v>
      </c>
      <c r="AF806" s="69" t="e" cm="1">
        <f t="array" ref="AF806">_xlfn.XLOOKUP(Table1[[#This Row],[5 cm2 cell test code]:[5 cm2 cell test code]],[1]!Table1[[Test code]:[Test code]],[1]!Table1[Ionic resistance DIW/Ohm cm2],"",0)</f>
        <v>#REF!</v>
      </c>
      <c r="AG806" s="69" t="e" cm="1">
        <f t="array" ref="AG806">_xlfn.XLOOKUP(Table1[[#This Row],[5 cm2 cell test code]:[5 cm2 cell test code]],[1]!Table1[[Test code]:[Test code]],[1]!Table1[Q_int_frac DIW],"",0)</f>
        <v>#REF!</v>
      </c>
      <c r="AH806" s="69" t="e" cm="1">
        <f t="array" ref="AH806">_xlfn.XLOOKUP(Table1[[#This Row],[5 cm2 cell test code]:[5 cm2 cell test code]],[1]!Table1[[Test code]:[Test code]],[1]!Table1[Ionic resistance 10 mM KOH/Ohm cm2],"",0)</f>
        <v>#REF!</v>
      </c>
      <c r="AI806" s="69" t="e" cm="1">
        <f t="array" ref="AI806">_xlfn.XLOOKUP(Table1[[#This Row],[5 cm2 cell test code]:[5 cm2 cell test code]],[1]!Table1[[Test code]:[Test code]],[1]!Table1[Q_int_frac DIW 10 mM KOH],"",0)</f>
        <v>#REF!</v>
      </c>
      <c r="AJ806" s="69" t="e" cm="1">
        <f t="array" ref="AJ806">_xlfn.XLOOKUP(Table1[[#This Row],[5 cm2 cell test code]:[5 cm2 cell test code]],[1]!Table1[[Test code]:[Test code]],[1]!Table1[DIW conductivity (µS/cm)],"",0)</f>
        <v>#REF!</v>
      </c>
    </row>
    <row r="807" spans="1:36">
      <c r="A807" s="81"/>
      <c r="U807" s="101"/>
      <c r="V807" s="101"/>
      <c r="W807" s="69" t="e" cm="1">
        <f t="array" ref="W807">_xlfn.XLOOKUP(Table1[[#This Row],[5 cm2 cell test code]:[5 cm2 cell test code]],[1]!Table1[[Test code]:[Test code]],[1]!Table1[i @ 1.8 V DIW (A/cm2)],"",0)</f>
        <v>#REF!</v>
      </c>
      <c r="X807" s="69" t="e" cm="1">
        <f t="array" ref="X807">_xlfn.XLOOKUP(Table1[[#This Row],[5 cm2 cell test code]:[5 cm2 cell test code]],[1]!Table1[[Test code]:[Test code]],[1]!Table1[i @ 1.8 V 10 mM KOH (A/cm2)],"",0)</f>
        <v>#REF!</v>
      </c>
      <c r="Y807" s="69" t="e" cm="1">
        <f t="array" ref="Y807">_xlfn.XLOOKUP(Table1[[#This Row],[5 cm2 cell test code]:[5 cm2 cell test code]],[1]!Table1[[Test code]:[Test code]],[1]!Table1[3-E ƞ at 20mAcm-2 (mV)],"",0)</f>
        <v>#REF!</v>
      </c>
      <c r="Z807" s="69" t="e" cm="1">
        <f t="array" ref="Z807">_xlfn.XLOOKUP(Table1[[#This Row],[5 cm2 cell test code]:[5 cm2 cell test code]],[1]!Table1[[Test code]:[Test code]],[1]!Table1[3-E Tafel slope (mV/dec)],"",0)</f>
        <v>#REF!</v>
      </c>
      <c r="AA807" s="69" t="e" cm="1">
        <f t="array" ref="AA807">_xlfn.XLOOKUP(Table1[[#This Row],[5 cm2 cell test code]:[5 cm2 cell test code]],[1]!Table1[[Test code]:[Test code]],[1]!Table1[E @ 100 mA/cm2 DIW/V],"",0)</f>
        <v>#REF!</v>
      </c>
      <c r="AB807" s="69" t="e" cm="1">
        <f t="array" ref="AB807">_xlfn.XLOOKUP(Table1[[#This Row],[5 cm2 cell test code]:[5 cm2 cell test code]],[1]!Table1[[Test code]:[Test code]],[1]!Table1[E @ 100 mA/cm2 10 mM KOH/V],"",0)</f>
        <v>#REF!</v>
      </c>
      <c r="AC807" s="69" t="e" cm="1">
        <f t="array" ref="AC807">_xlfn.XLOOKUP(Table1[[#This Row],[5 cm2 cell test code]:[5 cm2 cell test code]],[1]!Table1[[Test code]:[Test code]],[1]!Table1[Anode ICR/mOhm],"",0)</f>
        <v>#REF!</v>
      </c>
      <c r="AD807" s="69" t="e" cm="1">
        <f t="array" ref="AD807">_xlfn.XLOOKUP(Table1[[#This Row],[5 cm2 cell test code]:[5 cm2 cell test code]],[1]!Table1[[Test code]:[Test code]],[1]!Table1[HFR DIW/ mOhm cm2],"",0)</f>
        <v>#REF!</v>
      </c>
      <c r="AE807" s="69" t="e" cm="1">
        <f t="array" ref="AE807">_xlfn.XLOOKUP(Table1[[#This Row],[5 cm2 cell test code]:[5 cm2 cell test code]],[1]!Table1[[Test code]:[Test code]],[1]!Table1[HFR 10 mM KOH/ mOhm cm2],"",0)</f>
        <v>#REF!</v>
      </c>
      <c r="AF807" s="69" t="e" cm="1">
        <f t="array" ref="AF807">_xlfn.XLOOKUP(Table1[[#This Row],[5 cm2 cell test code]:[5 cm2 cell test code]],[1]!Table1[[Test code]:[Test code]],[1]!Table1[Ionic resistance DIW/Ohm cm2],"",0)</f>
        <v>#REF!</v>
      </c>
      <c r="AG807" s="69" t="e" cm="1">
        <f t="array" ref="AG807">_xlfn.XLOOKUP(Table1[[#This Row],[5 cm2 cell test code]:[5 cm2 cell test code]],[1]!Table1[[Test code]:[Test code]],[1]!Table1[Q_int_frac DIW],"",0)</f>
        <v>#REF!</v>
      </c>
      <c r="AH807" s="69" t="e" cm="1">
        <f t="array" ref="AH807">_xlfn.XLOOKUP(Table1[[#This Row],[5 cm2 cell test code]:[5 cm2 cell test code]],[1]!Table1[[Test code]:[Test code]],[1]!Table1[Ionic resistance 10 mM KOH/Ohm cm2],"",0)</f>
        <v>#REF!</v>
      </c>
      <c r="AI807" s="69" t="e" cm="1">
        <f t="array" ref="AI807">_xlfn.XLOOKUP(Table1[[#This Row],[5 cm2 cell test code]:[5 cm2 cell test code]],[1]!Table1[[Test code]:[Test code]],[1]!Table1[Q_int_frac DIW 10 mM KOH],"",0)</f>
        <v>#REF!</v>
      </c>
      <c r="AJ807" s="69" t="e" cm="1">
        <f t="array" ref="AJ807">_xlfn.XLOOKUP(Table1[[#This Row],[5 cm2 cell test code]:[5 cm2 cell test code]],[1]!Table1[[Test code]:[Test code]],[1]!Table1[DIW conductivity (µS/cm)],"",0)</f>
        <v>#REF!</v>
      </c>
    </row>
    <row r="808" spans="1:36">
      <c r="A808" s="81"/>
      <c r="U808" s="101"/>
      <c r="V808" s="101"/>
      <c r="W808" s="69" t="e" cm="1">
        <f t="array" ref="W808">_xlfn.XLOOKUP(Table1[[#This Row],[5 cm2 cell test code]:[5 cm2 cell test code]],[1]!Table1[[Test code]:[Test code]],[1]!Table1[i @ 1.8 V DIW (A/cm2)],"",0)</f>
        <v>#REF!</v>
      </c>
      <c r="X808" s="69" t="e" cm="1">
        <f t="array" ref="X808">_xlfn.XLOOKUP(Table1[[#This Row],[5 cm2 cell test code]:[5 cm2 cell test code]],[1]!Table1[[Test code]:[Test code]],[1]!Table1[i @ 1.8 V 10 mM KOH (A/cm2)],"",0)</f>
        <v>#REF!</v>
      </c>
      <c r="Y808" s="69" t="e" cm="1">
        <f t="array" ref="Y808">_xlfn.XLOOKUP(Table1[[#This Row],[5 cm2 cell test code]:[5 cm2 cell test code]],[1]!Table1[[Test code]:[Test code]],[1]!Table1[3-E ƞ at 20mAcm-2 (mV)],"",0)</f>
        <v>#REF!</v>
      </c>
      <c r="Z808" s="69" t="e" cm="1">
        <f t="array" ref="Z808">_xlfn.XLOOKUP(Table1[[#This Row],[5 cm2 cell test code]:[5 cm2 cell test code]],[1]!Table1[[Test code]:[Test code]],[1]!Table1[3-E Tafel slope (mV/dec)],"",0)</f>
        <v>#REF!</v>
      </c>
      <c r="AA808" s="69" t="e" cm="1">
        <f t="array" ref="AA808">_xlfn.XLOOKUP(Table1[[#This Row],[5 cm2 cell test code]:[5 cm2 cell test code]],[1]!Table1[[Test code]:[Test code]],[1]!Table1[E @ 100 mA/cm2 DIW/V],"",0)</f>
        <v>#REF!</v>
      </c>
      <c r="AB808" s="69" t="e" cm="1">
        <f t="array" ref="AB808">_xlfn.XLOOKUP(Table1[[#This Row],[5 cm2 cell test code]:[5 cm2 cell test code]],[1]!Table1[[Test code]:[Test code]],[1]!Table1[E @ 100 mA/cm2 10 mM KOH/V],"",0)</f>
        <v>#REF!</v>
      </c>
      <c r="AC808" s="69" t="e" cm="1">
        <f t="array" ref="AC808">_xlfn.XLOOKUP(Table1[[#This Row],[5 cm2 cell test code]:[5 cm2 cell test code]],[1]!Table1[[Test code]:[Test code]],[1]!Table1[Anode ICR/mOhm],"",0)</f>
        <v>#REF!</v>
      </c>
      <c r="AD808" s="69" t="e" cm="1">
        <f t="array" ref="AD808">_xlfn.XLOOKUP(Table1[[#This Row],[5 cm2 cell test code]:[5 cm2 cell test code]],[1]!Table1[[Test code]:[Test code]],[1]!Table1[HFR DIW/ mOhm cm2],"",0)</f>
        <v>#REF!</v>
      </c>
      <c r="AE808" s="69" t="e" cm="1">
        <f t="array" ref="AE808">_xlfn.XLOOKUP(Table1[[#This Row],[5 cm2 cell test code]:[5 cm2 cell test code]],[1]!Table1[[Test code]:[Test code]],[1]!Table1[HFR 10 mM KOH/ mOhm cm2],"",0)</f>
        <v>#REF!</v>
      </c>
      <c r="AF808" s="69" t="e" cm="1">
        <f t="array" ref="AF808">_xlfn.XLOOKUP(Table1[[#This Row],[5 cm2 cell test code]:[5 cm2 cell test code]],[1]!Table1[[Test code]:[Test code]],[1]!Table1[Ionic resistance DIW/Ohm cm2],"",0)</f>
        <v>#REF!</v>
      </c>
      <c r="AG808" s="69" t="e" cm="1">
        <f t="array" ref="AG808">_xlfn.XLOOKUP(Table1[[#This Row],[5 cm2 cell test code]:[5 cm2 cell test code]],[1]!Table1[[Test code]:[Test code]],[1]!Table1[Q_int_frac DIW],"",0)</f>
        <v>#REF!</v>
      </c>
      <c r="AH808" s="69" t="e" cm="1">
        <f t="array" ref="AH808">_xlfn.XLOOKUP(Table1[[#This Row],[5 cm2 cell test code]:[5 cm2 cell test code]],[1]!Table1[[Test code]:[Test code]],[1]!Table1[Ionic resistance 10 mM KOH/Ohm cm2],"",0)</f>
        <v>#REF!</v>
      </c>
      <c r="AI808" s="69" t="e" cm="1">
        <f t="array" ref="AI808">_xlfn.XLOOKUP(Table1[[#This Row],[5 cm2 cell test code]:[5 cm2 cell test code]],[1]!Table1[[Test code]:[Test code]],[1]!Table1[Q_int_frac DIW 10 mM KOH],"",0)</f>
        <v>#REF!</v>
      </c>
      <c r="AJ808" s="69" t="e" cm="1">
        <f t="array" ref="AJ808">_xlfn.XLOOKUP(Table1[[#This Row],[5 cm2 cell test code]:[5 cm2 cell test code]],[1]!Table1[[Test code]:[Test code]],[1]!Table1[DIW conductivity (µS/cm)],"",0)</f>
        <v>#REF!</v>
      </c>
    </row>
    <row r="809" spans="1:36">
      <c r="A809" s="81"/>
      <c r="U809" s="101"/>
      <c r="V809" s="101"/>
      <c r="W809" s="69" t="e" cm="1">
        <f t="array" ref="W809">_xlfn.XLOOKUP(Table1[[#This Row],[5 cm2 cell test code]:[5 cm2 cell test code]],[1]!Table1[[Test code]:[Test code]],[1]!Table1[i @ 1.8 V DIW (A/cm2)],"",0)</f>
        <v>#REF!</v>
      </c>
      <c r="X809" s="69" t="e" cm="1">
        <f t="array" ref="X809">_xlfn.XLOOKUP(Table1[[#This Row],[5 cm2 cell test code]:[5 cm2 cell test code]],[1]!Table1[[Test code]:[Test code]],[1]!Table1[i @ 1.8 V 10 mM KOH (A/cm2)],"",0)</f>
        <v>#REF!</v>
      </c>
      <c r="Y809" s="69" t="e" cm="1">
        <f t="array" ref="Y809">_xlfn.XLOOKUP(Table1[[#This Row],[5 cm2 cell test code]:[5 cm2 cell test code]],[1]!Table1[[Test code]:[Test code]],[1]!Table1[3-E ƞ at 20mAcm-2 (mV)],"",0)</f>
        <v>#REF!</v>
      </c>
      <c r="Z809" s="69" t="e" cm="1">
        <f t="array" ref="Z809">_xlfn.XLOOKUP(Table1[[#This Row],[5 cm2 cell test code]:[5 cm2 cell test code]],[1]!Table1[[Test code]:[Test code]],[1]!Table1[3-E Tafel slope (mV/dec)],"",0)</f>
        <v>#REF!</v>
      </c>
      <c r="AA809" s="69" t="e" cm="1">
        <f t="array" ref="AA809">_xlfn.XLOOKUP(Table1[[#This Row],[5 cm2 cell test code]:[5 cm2 cell test code]],[1]!Table1[[Test code]:[Test code]],[1]!Table1[E @ 100 mA/cm2 DIW/V],"",0)</f>
        <v>#REF!</v>
      </c>
      <c r="AB809" s="69" t="e" cm="1">
        <f t="array" ref="AB809">_xlfn.XLOOKUP(Table1[[#This Row],[5 cm2 cell test code]:[5 cm2 cell test code]],[1]!Table1[[Test code]:[Test code]],[1]!Table1[E @ 100 mA/cm2 10 mM KOH/V],"",0)</f>
        <v>#REF!</v>
      </c>
      <c r="AC809" s="69" t="e" cm="1">
        <f t="array" ref="AC809">_xlfn.XLOOKUP(Table1[[#This Row],[5 cm2 cell test code]:[5 cm2 cell test code]],[1]!Table1[[Test code]:[Test code]],[1]!Table1[Anode ICR/mOhm],"",0)</f>
        <v>#REF!</v>
      </c>
      <c r="AD809" s="69" t="e" cm="1">
        <f t="array" ref="AD809">_xlfn.XLOOKUP(Table1[[#This Row],[5 cm2 cell test code]:[5 cm2 cell test code]],[1]!Table1[[Test code]:[Test code]],[1]!Table1[HFR DIW/ mOhm cm2],"",0)</f>
        <v>#REF!</v>
      </c>
      <c r="AE809" s="69" t="e" cm="1">
        <f t="array" ref="AE809">_xlfn.XLOOKUP(Table1[[#This Row],[5 cm2 cell test code]:[5 cm2 cell test code]],[1]!Table1[[Test code]:[Test code]],[1]!Table1[HFR 10 mM KOH/ mOhm cm2],"",0)</f>
        <v>#REF!</v>
      </c>
      <c r="AF809" s="69" t="e" cm="1">
        <f t="array" ref="AF809">_xlfn.XLOOKUP(Table1[[#This Row],[5 cm2 cell test code]:[5 cm2 cell test code]],[1]!Table1[[Test code]:[Test code]],[1]!Table1[Ionic resistance DIW/Ohm cm2],"",0)</f>
        <v>#REF!</v>
      </c>
      <c r="AG809" s="69" t="e" cm="1">
        <f t="array" ref="AG809">_xlfn.XLOOKUP(Table1[[#This Row],[5 cm2 cell test code]:[5 cm2 cell test code]],[1]!Table1[[Test code]:[Test code]],[1]!Table1[Q_int_frac DIW],"",0)</f>
        <v>#REF!</v>
      </c>
      <c r="AH809" s="69" t="e" cm="1">
        <f t="array" ref="AH809">_xlfn.XLOOKUP(Table1[[#This Row],[5 cm2 cell test code]:[5 cm2 cell test code]],[1]!Table1[[Test code]:[Test code]],[1]!Table1[Ionic resistance 10 mM KOH/Ohm cm2],"",0)</f>
        <v>#REF!</v>
      </c>
      <c r="AI809" s="69" t="e" cm="1">
        <f t="array" ref="AI809">_xlfn.XLOOKUP(Table1[[#This Row],[5 cm2 cell test code]:[5 cm2 cell test code]],[1]!Table1[[Test code]:[Test code]],[1]!Table1[Q_int_frac DIW 10 mM KOH],"",0)</f>
        <v>#REF!</v>
      </c>
      <c r="AJ809" s="69" t="e" cm="1">
        <f t="array" ref="AJ809">_xlfn.XLOOKUP(Table1[[#This Row],[5 cm2 cell test code]:[5 cm2 cell test code]],[1]!Table1[[Test code]:[Test code]],[1]!Table1[DIW conductivity (µS/cm)],"",0)</f>
        <v>#REF!</v>
      </c>
    </row>
    <row r="810" spans="1:36">
      <c r="A810" s="81"/>
      <c r="U810" s="101"/>
      <c r="V810" s="101"/>
      <c r="W810" s="69" t="e" cm="1">
        <f t="array" ref="W810">_xlfn.XLOOKUP(Table1[[#This Row],[5 cm2 cell test code]:[5 cm2 cell test code]],[1]!Table1[[Test code]:[Test code]],[1]!Table1[i @ 1.8 V DIW (A/cm2)],"",0)</f>
        <v>#REF!</v>
      </c>
      <c r="X810" s="69" t="e" cm="1">
        <f t="array" ref="X810">_xlfn.XLOOKUP(Table1[[#This Row],[5 cm2 cell test code]:[5 cm2 cell test code]],[1]!Table1[[Test code]:[Test code]],[1]!Table1[i @ 1.8 V 10 mM KOH (A/cm2)],"",0)</f>
        <v>#REF!</v>
      </c>
      <c r="Y810" s="69" t="e" cm="1">
        <f t="array" ref="Y810">_xlfn.XLOOKUP(Table1[[#This Row],[5 cm2 cell test code]:[5 cm2 cell test code]],[1]!Table1[[Test code]:[Test code]],[1]!Table1[3-E ƞ at 20mAcm-2 (mV)],"",0)</f>
        <v>#REF!</v>
      </c>
      <c r="Z810" s="69" t="e" cm="1">
        <f t="array" ref="Z810">_xlfn.XLOOKUP(Table1[[#This Row],[5 cm2 cell test code]:[5 cm2 cell test code]],[1]!Table1[[Test code]:[Test code]],[1]!Table1[3-E Tafel slope (mV/dec)],"",0)</f>
        <v>#REF!</v>
      </c>
      <c r="AA810" s="69" t="e" cm="1">
        <f t="array" ref="AA810">_xlfn.XLOOKUP(Table1[[#This Row],[5 cm2 cell test code]:[5 cm2 cell test code]],[1]!Table1[[Test code]:[Test code]],[1]!Table1[E @ 100 mA/cm2 DIW/V],"",0)</f>
        <v>#REF!</v>
      </c>
      <c r="AB810" s="69" t="e" cm="1">
        <f t="array" ref="AB810">_xlfn.XLOOKUP(Table1[[#This Row],[5 cm2 cell test code]:[5 cm2 cell test code]],[1]!Table1[[Test code]:[Test code]],[1]!Table1[E @ 100 mA/cm2 10 mM KOH/V],"",0)</f>
        <v>#REF!</v>
      </c>
      <c r="AC810" s="69" t="e" cm="1">
        <f t="array" ref="AC810">_xlfn.XLOOKUP(Table1[[#This Row],[5 cm2 cell test code]:[5 cm2 cell test code]],[1]!Table1[[Test code]:[Test code]],[1]!Table1[Anode ICR/mOhm],"",0)</f>
        <v>#REF!</v>
      </c>
      <c r="AD810" s="69" t="e" cm="1">
        <f t="array" ref="AD810">_xlfn.XLOOKUP(Table1[[#This Row],[5 cm2 cell test code]:[5 cm2 cell test code]],[1]!Table1[[Test code]:[Test code]],[1]!Table1[HFR DIW/ mOhm cm2],"",0)</f>
        <v>#REF!</v>
      </c>
      <c r="AE810" s="69" t="e" cm="1">
        <f t="array" ref="AE810">_xlfn.XLOOKUP(Table1[[#This Row],[5 cm2 cell test code]:[5 cm2 cell test code]],[1]!Table1[[Test code]:[Test code]],[1]!Table1[HFR 10 mM KOH/ mOhm cm2],"",0)</f>
        <v>#REF!</v>
      </c>
      <c r="AF810" s="69" t="e" cm="1">
        <f t="array" ref="AF810">_xlfn.XLOOKUP(Table1[[#This Row],[5 cm2 cell test code]:[5 cm2 cell test code]],[1]!Table1[[Test code]:[Test code]],[1]!Table1[Ionic resistance DIW/Ohm cm2],"",0)</f>
        <v>#REF!</v>
      </c>
      <c r="AG810" s="69" t="e" cm="1">
        <f t="array" ref="AG810">_xlfn.XLOOKUP(Table1[[#This Row],[5 cm2 cell test code]:[5 cm2 cell test code]],[1]!Table1[[Test code]:[Test code]],[1]!Table1[Q_int_frac DIW],"",0)</f>
        <v>#REF!</v>
      </c>
      <c r="AH810" s="69" t="e" cm="1">
        <f t="array" ref="AH810">_xlfn.XLOOKUP(Table1[[#This Row],[5 cm2 cell test code]:[5 cm2 cell test code]],[1]!Table1[[Test code]:[Test code]],[1]!Table1[Ionic resistance 10 mM KOH/Ohm cm2],"",0)</f>
        <v>#REF!</v>
      </c>
      <c r="AI810" s="69" t="e" cm="1">
        <f t="array" ref="AI810">_xlfn.XLOOKUP(Table1[[#This Row],[5 cm2 cell test code]:[5 cm2 cell test code]],[1]!Table1[[Test code]:[Test code]],[1]!Table1[Q_int_frac DIW 10 mM KOH],"",0)</f>
        <v>#REF!</v>
      </c>
      <c r="AJ810" s="69" t="e" cm="1">
        <f t="array" ref="AJ810">_xlfn.XLOOKUP(Table1[[#This Row],[5 cm2 cell test code]:[5 cm2 cell test code]],[1]!Table1[[Test code]:[Test code]],[1]!Table1[DIW conductivity (µS/cm)],"",0)</f>
        <v>#REF!</v>
      </c>
    </row>
    <row r="811" spans="1:36">
      <c r="A811" s="81"/>
      <c r="U811" s="101"/>
      <c r="V811" s="101"/>
      <c r="W811" s="69" t="e" cm="1">
        <f t="array" ref="W811">_xlfn.XLOOKUP(Table1[[#This Row],[5 cm2 cell test code]:[5 cm2 cell test code]],[1]!Table1[[Test code]:[Test code]],[1]!Table1[i @ 1.8 V DIW (A/cm2)],"",0)</f>
        <v>#REF!</v>
      </c>
      <c r="X811" s="69" t="e" cm="1">
        <f t="array" ref="X811">_xlfn.XLOOKUP(Table1[[#This Row],[5 cm2 cell test code]:[5 cm2 cell test code]],[1]!Table1[[Test code]:[Test code]],[1]!Table1[i @ 1.8 V 10 mM KOH (A/cm2)],"",0)</f>
        <v>#REF!</v>
      </c>
      <c r="Y811" s="69" t="e" cm="1">
        <f t="array" ref="Y811">_xlfn.XLOOKUP(Table1[[#This Row],[5 cm2 cell test code]:[5 cm2 cell test code]],[1]!Table1[[Test code]:[Test code]],[1]!Table1[3-E ƞ at 20mAcm-2 (mV)],"",0)</f>
        <v>#REF!</v>
      </c>
      <c r="Z811" s="69" t="e" cm="1">
        <f t="array" ref="Z811">_xlfn.XLOOKUP(Table1[[#This Row],[5 cm2 cell test code]:[5 cm2 cell test code]],[1]!Table1[[Test code]:[Test code]],[1]!Table1[3-E Tafel slope (mV/dec)],"",0)</f>
        <v>#REF!</v>
      </c>
      <c r="AA811" s="69" t="e" cm="1">
        <f t="array" ref="AA811">_xlfn.XLOOKUP(Table1[[#This Row],[5 cm2 cell test code]:[5 cm2 cell test code]],[1]!Table1[[Test code]:[Test code]],[1]!Table1[E @ 100 mA/cm2 DIW/V],"",0)</f>
        <v>#REF!</v>
      </c>
      <c r="AB811" s="69" t="e" cm="1">
        <f t="array" ref="AB811">_xlfn.XLOOKUP(Table1[[#This Row],[5 cm2 cell test code]:[5 cm2 cell test code]],[1]!Table1[[Test code]:[Test code]],[1]!Table1[E @ 100 mA/cm2 10 mM KOH/V],"",0)</f>
        <v>#REF!</v>
      </c>
      <c r="AC811" s="69" t="e" cm="1">
        <f t="array" ref="AC811">_xlfn.XLOOKUP(Table1[[#This Row],[5 cm2 cell test code]:[5 cm2 cell test code]],[1]!Table1[[Test code]:[Test code]],[1]!Table1[Anode ICR/mOhm],"",0)</f>
        <v>#REF!</v>
      </c>
      <c r="AD811" s="69" t="e" cm="1">
        <f t="array" ref="AD811">_xlfn.XLOOKUP(Table1[[#This Row],[5 cm2 cell test code]:[5 cm2 cell test code]],[1]!Table1[[Test code]:[Test code]],[1]!Table1[HFR DIW/ mOhm cm2],"",0)</f>
        <v>#REF!</v>
      </c>
      <c r="AE811" s="69" t="e" cm="1">
        <f t="array" ref="AE811">_xlfn.XLOOKUP(Table1[[#This Row],[5 cm2 cell test code]:[5 cm2 cell test code]],[1]!Table1[[Test code]:[Test code]],[1]!Table1[HFR 10 mM KOH/ mOhm cm2],"",0)</f>
        <v>#REF!</v>
      </c>
      <c r="AF811" s="69" t="e" cm="1">
        <f t="array" ref="AF811">_xlfn.XLOOKUP(Table1[[#This Row],[5 cm2 cell test code]:[5 cm2 cell test code]],[1]!Table1[[Test code]:[Test code]],[1]!Table1[Ionic resistance DIW/Ohm cm2],"",0)</f>
        <v>#REF!</v>
      </c>
      <c r="AG811" s="69" t="e" cm="1">
        <f t="array" ref="AG811">_xlfn.XLOOKUP(Table1[[#This Row],[5 cm2 cell test code]:[5 cm2 cell test code]],[1]!Table1[[Test code]:[Test code]],[1]!Table1[Q_int_frac DIW],"",0)</f>
        <v>#REF!</v>
      </c>
      <c r="AH811" s="69" t="e" cm="1">
        <f t="array" ref="AH811">_xlfn.XLOOKUP(Table1[[#This Row],[5 cm2 cell test code]:[5 cm2 cell test code]],[1]!Table1[[Test code]:[Test code]],[1]!Table1[Ionic resistance 10 mM KOH/Ohm cm2],"",0)</f>
        <v>#REF!</v>
      </c>
      <c r="AI811" s="69" t="e" cm="1">
        <f t="array" ref="AI811">_xlfn.XLOOKUP(Table1[[#This Row],[5 cm2 cell test code]:[5 cm2 cell test code]],[1]!Table1[[Test code]:[Test code]],[1]!Table1[Q_int_frac DIW 10 mM KOH],"",0)</f>
        <v>#REF!</v>
      </c>
      <c r="AJ811" s="69" t="e" cm="1">
        <f t="array" ref="AJ811">_xlfn.XLOOKUP(Table1[[#This Row],[5 cm2 cell test code]:[5 cm2 cell test code]],[1]!Table1[[Test code]:[Test code]],[1]!Table1[DIW conductivity (µS/cm)],"",0)</f>
        <v>#REF!</v>
      </c>
    </row>
    <row r="812" spans="1:36">
      <c r="A812" s="81"/>
      <c r="U812" s="101"/>
      <c r="V812" s="101"/>
      <c r="W812" s="69" t="e" cm="1">
        <f t="array" ref="W812">_xlfn.XLOOKUP(Table1[[#This Row],[5 cm2 cell test code]:[5 cm2 cell test code]],[1]!Table1[[Test code]:[Test code]],[1]!Table1[i @ 1.8 V DIW (A/cm2)],"",0)</f>
        <v>#REF!</v>
      </c>
      <c r="X812" s="69" t="e" cm="1">
        <f t="array" ref="X812">_xlfn.XLOOKUP(Table1[[#This Row],[5 cm2 cell test code]:[5 cm2 cell test code]],[1]!Table1[[Test code]:[Test code]],[1]!Table1[i @ 1.8 V 10 mM KOH (A/cm2)],"",0)</f>
        <v>#REF!</v>
      </c>
      <c r="Y812" s="69" t="e" cm="1">
        <f t="array" ref="Y812">_xlfn.XLOOKUP(Table1[[#This Row],[5 cm2 cell test code]:[5 cm2 cell test code]],[1]!Table1[[Test code]:[Test code]],[1]!Table1[3-E ƞ at 20mAcm-2 (mV)],"",0)</f>
        <v>#REF!</v>
      </c>
      <c r="Z812" s="69" t="e" cm="1">
        <f t="array" ref="Z812">_xlfn.XLOOKUP(Table1[[#This Row],[5 cm2 cell test code]:[5 cm2 cell test code]],[1]!Table1[[Test code]:[Test code]],[1]!Table1[3-E Tafel slope (mV/dec)],"",0)</f>
        <v>#REF!</v>
      </c>
      <c r="AA812" s="69" t="e" cm="1">
        <f t="array" ref="AA812">_xlfn.XLOOKUP(Table1[[#This Row],[5 cm2 cell test code]:[5 cm2 cell test code]],[1]!Table1[[Test code]:[Test code]],[1]!Table1[E @ 100 mA/cm2 DIW/V],"",0)</f>
        <v>#REF!</v>
      </c>
      <c r="AB812" s="69" t="e" cm="1">
        <f t="array" ref="AB812">_xlfn.XLOOKUP(Table1[[#This Row],[5 cm2 cell test code]:[5 cm2 cell test code]],[1]!Table1[[Test code]:[Test code]],[1]!Table1[E @ 100 mA/cm2 10 mM KOH/V],"",0)</f>
        <v>#REF!</v>
      </c>
      <c r="AC812" s="69" t="e" cm="1">
        <f t="array" ref="AC812">_xlfn.XLOOKUP(Table1[[#This Row],[5 cm2 cell test code]:[5 cm2 cell test code]],[1]!Table1[[Test code]:[Test code]],[1]!Table1[Anode ICR/mOhm],"",0)</f>
        <v>#REF!</v>
      </c>
      <c r="AD812" s="69" t="e" cm="1">
        <f t="array" ref="AD812">_xlfn.XLOOKUP(Table1[[#This Row],[5 cm2 cell test code]:[5 cm2 cell test code]],[1]!Table1[[Test code]:[Test code]],[1]!Table1[HFR DIW/ mOhm cm2],"",0)</f>
        <v>#REF!</v>
      </c>
      <c r="AE812" s="69" t="e" cm="1">
        <f t="array" ref="AE812">_xlfn.XLOOKUP(Table1[[#This Row],[5 cm2 cell test code]:[5 cm2 cell test code]],[1]!Table1[[Test code]:[Test code]],[1]!Table1[HFR 10 mM KOH/ mOhm cm2],"",0)</f>
        <v>#REF!</v>
      </c>
      <c r="AF812" s="69" t="e" cm="1">
        <f t="array" ref="AF812">_xlfn.XLOOKUP(Table1[[#This Row],[5 cm2 cell test code]:[5 cm2 cell test code]],[1]!Table1[[Test code]:[Test code]],[1]!Table1[Ionic resistance DIW/Ohm cm2],"",0)</f>
        <v>#REF!</v>
      </c>
      <c r="AG812" s="69" t="e" cm="1">
        <f t="array" ref="AG812">_xlfn.XLOOKUP(Table1[[#This Row],[5 cm2 cell test code]:[5 cm2 cell test code]],[1]!Table1[[Test code]:[Test code]],[1]!Table1[Q_int_frac DIW],"",0)</f>
        <v>#REF!</v>
      </c>
      <c r="AH812" s="69" t="e" cm="1">
        <f t="array" ref="AH812">_xlfn.XLOOKUP(Table1[[#This Row],[5 cm2 cell test code]:[5 cm2 cell test code]],[1]!Table1[[Test code]:[Test code]],[1]!Table1[Ionic resistance 10 mM KOH/Ohm cm2],"",0)</f>
        <v>#REF!</v>
      </c>
      <c r="AI812" s="69" t="e" cm="1">
        <f t="array" ref="AI812">_xlfn.XLOOKUP(Table1[[#This Row],[5 cm2 cell test code]:[5 cm2 cell test code]],[1]!Table1[[Test code]:[Test code]],[1]!Table1[Q_int_frac DIW 10 mM KOH],"",0)</f>
        <v>#REF!</v>
      </c>
      <c r="AJ812" s="69" t="e" cm="1">
        <f t="array" ref="AJ812">_xlfn.XLOOKUP(Table1[[#This Row],[5 cm2 cell test code]:[5 cm2 cell test code]],[1]!Table1[[Test code]:[Test code]],[1]!Table1[DIW conductivity (µS/cm)],"",0)</f>
        <v>#REF!</v>
      </c>
    </row>
    <row r="813" spans="1:36">
      <c r="A813" s="81"/>
      <c r="U813" s="101"/>
      <c r="V813" s="101"/>
      <c r="W813" s="69" t="e" cm="1">
        <f t="array" ref="W813">_xlfn.XLOOKUP(Table1[[#This Row],[5 cm2 cell test code]:[5 cm2 cell test code]],[1]!Table1[[Test code]:[Test code]],[1]!Table1[i @ 1.8 V DIW (A/cm2)],"",0)</f>
        <v>#REF!</v>
      </c>
      <c r="X813" s="69" t="e" cm="1">
        <f t="array" ref="X813">_xlfn.XLOOKUP(Table1[[#This Row],[5 cm2 cell test code]:[5 cm2 cell test code]],[1]!Table1[[Test code]:[Test code]],[1]!Table1[i @ 1.8 V 10 mM KOH (A/cm2)],"",0)</f>
        <v>#REF!</v>
      </c>
      <c r="Y813" s="69" t="e" cm="1">
        <f t="array" ref="Y813">_xlfn.XLOOKUP(Table1[[#This Row],[5 cm2 cell test code]:[5 cm2 cell test code]],[1]!Table1[[Test code]:[Test code]],[1]!Table1[3-E ƞ at 20mAcm-2 (mV)],"",0)</f>
        <v>#REF!</v>
      </c>
      <c r="Z813" s="69" t="e" cm="1">
        <f t="array" ref="Z813">_xlfn.XLOOKUP(Table1[[#This Row],[5 cm2 cell test code]:[5 cm2 cell test code]],[1]!Table1[[Test code]:[Test code]],[1]!Table1[3-E Tafel slope (mV/dec)],"",0)</f>
        <v>#REF!</v>
      </c>
      <c r="AA813" s="69" t="e" cm="1">
        <f t="array" ref="AA813">_xlfn.XLOOKUP(Table1[[#This Row],[5 cm2 cell test code]:[5 cm2 cell test code]],[1]!Table1[[Test code]:[Test code]],[1]!Table1[E @ 100 mA/cm2 DIW/V],"",0)</f>
        <v>#REF!</v>
      </c>
      <c r="AB813" s="69" t="e" cm="1">
        <f t="array" ref="AB813">_xlfn.XLOOKUP(Table1[[#This Row],[5 cm2 cell test code]:[5 cm2 cell test code]],[1]!Table1[[Test code]:[Test code]],[1]!Table1[E @ 100 mA/cm2 10 mM KOH/V],"",0)</f>
        <v>#REF!</v>
      </c>
      <c r="AC813" s="69" t="e" cm="1">
        <f t="array" ref="AC813">_xlfn.XLOOKUP(Table1[[#This Row],[5 cm2 cell test code]:[5 cm2 cell test code]],[1]!Table1[[Test code]:[Test code]],[1]!Table1[Anode ICR/mOhm],"",0)</f>
        <v>#REF!</v>
      </c>
      <c r="AD813" s="69" t="e" cm="1">
        <f t="array" ref="AD813">_xlfn.XLOOKUP(Table1[[#This Row],[5 cm2 cell test code]:[5 cm2 cell test code]],[1]!Table1[[Test code]:[Test code]],[1]!Table1[HFR DIW/ mOhm cm2],"",0)</f>
        <v>#REF!</v>
      </c>
      <c r="AE813" s="69" t="e" cm="1">
        <f t="array" ref="AE813">_xlfn.XLOOKUP(Table1[[#This Row],[5 cm2 cell test code]:[5 cm2 cell test code]],[1]!Table1[[Test code]:[Test code]],[1]!Table1[HFR 10 mM KOH/ mOhm cm2],"",0)</f>
        <v>#REF!</v>
      </c>
      <c r="AF813" s="69" t="e" cm="1">
        <f t="array" ref="AF813">_xlfn.XLOOKUP(Table1[[#This Row],[5 cm2 cell test code]:[5 cm2 cell test code]],[1]!Table1[[Test code]:[Test code]],[1]!Table1[Ionic resistance DIW/Ohm cm2],"",0)</f>
        <v>#REF!</v>
      </c>
      <c r="AG813" s="69" t="e" cm="1">
        <f t="array" ref="AG813">_xlfn.XLOOKUP(Table1[[#This Row],[5 cm2 cell test code]:[5 cm2 cell test code]],[1]!Table1[[Test code]:[Test code]],[1]!Table1[Q_int_frac DIW],"",0)</f>
        <v>#REF!</v>
      </c>
      <c r="AH813" s="69" t="e" cm="1">
        <f t="array" ref="AH813">_xlfn.XLOOKUP(Table1[[#This Row],[5 cm2 cell test code]:[5 cm2 cell test code]],[1]!Table1[[Test code]:[Test code]],[1]!Table1[Ionic resistance 10 mM KOH/Ohm cm2],"",0)</f>
        <v>#REF!</v>
      </c>
      <c r="AI813" s="69" t="e" cm="1">
        <f t="array" ref="AI813">_xlfn.XLOOKUP(Table1[[#This Row],[5 cm2 cell test code]:[5 cm2 cell test code]],[1]!Table1[[Test code]:[Test code]],[1]!Table1[Q_int_frac DIW 10 mM KOH],"",0)</f>
        <v>#REF!</v>
      </c>
      <c r="AJ813" s="69" t="e" cm="1">
        <f t="array" ref="AJ813">_xlfn.XLOOKUP(Table1[[#This Row],[5 cm2 cell test code]:[5 cm2 cell test code]],[1]!Table1[[Test code]:[Test code]],[1]!Table1[DIW conductivity (µS/cm)],"",0)</f>
        <v>#REF!</v>
      </c>
    </row>
    <row r="814" spans="1:36">
      <c r="A814" s="81"/>
      <c r="U814" s="101"/>
      <c r="V814" s="101"/>
      <c r="W814" s="69" t="e" cm="1">
        <f t="array" ref="W814">_xlfn.XLOOKUP(Table1[[#This Row],[5 cm2 cell test code]:[5 cm2 cell test code]],[1]!Table1[[Test code]:[Test code]],[1]!Table1[i @ 1.8 V DIW (A/cm2)],"",0)</f>
        <v>#REF!</v>
      </c>
      <c r="X814" s="69" t="e" cm="1">
        <f t="array" ref="X814">_xlfn.XLOOKUP(Table1[[#This Row],[5 cm2 cell test code]:[5 cm2 cell test code]],[1]!Table1[[Test code]:[Test code]],[1]!Table1[i @ 1.8 V 10 mM KOH (A/cm2)],"",0)</f>
        <v>#REF!</v>
      </c>
      <c r="Y814" s="69" t="e" cm="1">
        <f t="array" ref="Y814">_xlfn.XLOOKUP(Table1[[#This Row],[5 cm2 cell test code]:[5 cm2 cell test code]],[1]!Table1[[Test code]:[Test code]],[1]!Table1[3-E ƞ at 20mAcm-2 (mV)],"",0)</f>
        <v>#REF!</v>
      </c>
      <c r="Z814" s="69" t="e" cm="1">
        <f t="array" ref="Z814">_xlfn.XLOOKUP(Table1[[#This Row],[5 cm2 cell test code]:[5 cm2 cell test code]],[1]!Table1[[Test code]:[Test code]],[1]!Table1[3-E Tafel slope (mV/dec)],"",0)</f>
        <v>#REF!</v>
      </c>
      <c r="AA814" s="69" t="e" cm="1">
        <f t="array" ref="AA814">_xlfn.XLOOKUP(Table1[[#This Row],[5 cm2 cell test code]:[5 cm2 cell test code]],[1]!Table1[[Test code]:[Test code]],[1]!Table1[E @ 100 mA/cm2 DIW/V],"",0)</f>
        <v>#REF!</v>
      </c>
      <c r="AB814" s="69" t="e" cm="1">
        <f t="array" ref="AB814">_xlfn.XLOOKUP(Table1[[#This Row],[5 cm2 cell test code]:[5 cm2 cell test code]],[1]!Table1[[Test code]:[Test code]],[1]!Table1[E @ 100 mA/cm2 10 mM KOH/V],"",0)</f>
        <v>#REF!</v>
      </c>
      <c r="AC814" s="69" t="e" cm="1">
        <f t="array" ref="AC814">_xlfn.XLOOKUP(Table1[[#This Row],[5 cm2 cell test code]:[5 cm2 cell test code]],[1]!Table1[[Test code]:[Test code]],[1]!Table1[Anode ICR/mOhm],"",0)</f>
        <v>#REF!</v>
      </c>
      <c r="AD814" s="69" t="e" cm="1">
        <f t="array" ref="AD814">_xlfn.XLOOKUP(Table1[[#This Row],[5 cm2 cell test code]:[5 cm2 cell test code]],[1]!Table1[[Test code]:[Test code]],[1]!Table1[HFR DIW/ mOhm cm2],"",0)</f>
        <v>#REF!</v>
      </c>
      <c r="AE814" s="69" t="e" cm="1">
        <f t="array" ref="AE814">_xlfn.XLOOKUP(Table1[[#This Row],[5 cm2 cell test code]:[5 cm2 cell test code]],[1]!Table1[[Test code]:[Test code]],[1]!Table1[HFR 10 mM KOH/ mOhm cm2],"",0)</f>
        <v>#REF!</v>
      </c>
      <c r="AF814" s="69" t="e" cm="1">
        <f t="array" ref="AF814">_xlfn.XLOOKUP(Table1[[#This Row],[5 cm2 cell test code]:[5 cm2 cell test code]],[1]!Table1[[Test code]:[Test code]],[1]!Table1[Ionic resistance DIW/Ohm cm2],"",0)</f>
        <v>#REF!</v>
      </c>
      <c r="AG814" s="69" t="e" cm="1">
        <f t="array" ref="AG814">_xlfn.XLOOKUP(Table1[[#This Row],[5 cm2 cell test code]:[5 cm2 cell test code]],[1]!Table1[[Test code]:[Test code]],[1]!Table1[Q_int_frac DIW],"",0)</f>
        <v>#REF!</v>
      </c>
      <c r="AH814" s="69" t="e" cm="1">
        <f t="array" ref="AH814">_xlfn.XLOOKUP(Table1[[#This Row],[5 cm2 cell test code]:[5 cm2 cell test code]],[1]!Table1[[Test code]:[Test code]],[1]!Table1[Ionic resistance 10 mM KOH/Ohm cm2],"",0)</f>
        <v>#REF!</v>
      </c>
      <c r="AI814" s="69" t="e" cm="1">
        <f t="array" ref="AI814">_xlfn.XLOOKUP(Table1[[#This Row],[5 cm2 cell test code]:[5 cm2 cell test code]],[1]!Table1[[Test code]:[Test code]],[1]!Table1[Q_int_frac DIW 10 mM KOH],"",0)</f>
        <v>#REF!</v>
      </c>
      <c r="AJ814" s="69" t="e" cm="1">
        <f t="array" ref="AJ814">_xlfn.XLOOKUP(Table1[[#This Row],[5 cm2 cell test code]:[5 cm2 cell test code]],[1]!Table1[[Test code]:[Test code]],[1]!Table1[DIW conductivity (µS/cm)],"",0)</f>
        <v>#REF!</v>
      </c>
    </row>
    <row r="815" spans="1:36">
      <c r="A815" s="81"/>
      <c r="U815" s="101"/>
      <c r="V815" s="101"/>
      <c r="W815" s="69" t="e" cm="1">
        <f t="array" ref="W815">_xlfn.XLOOKUP(Table1[[#This Row],[5 cm2 cell test code]:[5 cm2 cell test code]],[1]!Table1[[Test code]:[Test code]],[1]!Table1[i @ 1.8 V DIW (A/cm2)],"",0)</f>
        <v>#REF!</v>
      </c>
      <c r="X815" s="69" t="e" cm="1">
        <f t="array" ref="X815">_xlfn.XLOOKUP(Table1[[#This Row],[5 cm2 cell test code]:[5 cm2 cell test code]],[1]!Table1[[Test code]:[Test code]],[1]!Table1[i @ 1.8 V 10 mM KOH (A/cm2)],"",0)</f>
        <v>#REF!</v>
      </c>
      <c r="Y815" s="69" t="e" cm="1">
        <f t="array" ref="Y815">_xlfn.XLOOKUP(Table1[[#This Row],[5 cm2 cell test code]:[5 cm2 cell test code]],[1]!Table1[[Test code]:[Test code]],[1]!Table1[3-E ƞ at 20mAcm-2 (mV)],"",0)</f>
        <v>#REF!</v>
      </c>
      <c r="Z815" s="69" t="e" cm="1">
        <f t="array" ref="Z815">_xlfn.XLOOKUP(Table1[[#This Row],[5 cm2 cell test code]:[5 cm2 cell test code]],[1]!Table1[[Test code]:[Test code]],[1]!Table1[3-E Tafel slope (mV/dec)],"",0)</f>
        <v>#REF!</v>
      </c>
      <c r="AA815" s="69" t="e" cm="1">
        <f t="array" ref="AA815">_xlfn.XLOOKUP(Table1[[#This Row],[5 cm2 cell test code]:[5 cm2 cell test code]],[1]!Table1[[Test code]:[Test code]],[1]!Table1[E @ 100 mA/cm2 DIW/V],"",0)</f>
        <v>#REF!</v>
      </c>
      <c r="AB815" s="69" t="e" cm="1">
        <f t="array" ref="AB815">_xlfn.XLOOKUP(Table1[[#This Row],[5 cm2 cell test code]:[5 cm2 cell test code]],[1]!Table1[[Test code]:[Test code]],[1]!Table1[E @ 100 mA/cm2 10 mM KOH/V],"",0)</f>
        <v>#REF!</v>
      </c>
      <c r="AC815" s="69" t="e" cm="1">
        <f t="array" ref="AC815">_xlfn.XLOOKUP(Table1[[#This Row],[5 cm2 cell test code]:[5 cm2 cell test code]],[1]!Table1[[Test code]:[Test code]],[1]!Table1[Anode ICR/mOhm],"",0)</f>
        <v>#REF!</v>
      </c>
      <c r="AD815" s="69" t="e" cm="1">
        <f t="array" ref="AD815">_xlfn.XLOOKUP(Table1[[#This Row],[5 cm2 cell test code]:[5 cm2 cell test code]],[1]!Table1[[Test code]:[Test code]],[1]!Table1[HFR DIW/ mOhm cm2],"",0)</f>
        <v>#REF!</v>
      </c>
      <c r="AE815" s="69" t="e" cm="1">
        <f t="array" ref="AE815">_xlfn.XLOOKUP(Table1[[#This Row],[5 cm2 cell test code]:[5 cm2 cell test code]],[1]!Table1[[Test code]:[Test code]],[1]!Table1[HFR 10 mM KOH/ mOhm cm2],"",0)</f>
        <v>#REF!</v>
      </c>
      <c r="AF815" s="69" t="e" cm="1">
        <f t="array" ref="AF815">_xlfn.XLOOKUP(Table1[[#This Row],[5 cm2 cell test code]:[5 cm2 cell test code]],[1]!Table1[[Test code]:[Test code]],[1]!Table1[Ionic resistance DIW/Ohm cm2],"",0)</f>
        <v>#REF!</v>
      </c>
      <c r="AG815" s="69" t="e" cm="1">
        <f t="array" ref="AG815">_xlfn.XLOOKUP(Table1[[#This Row],[5 cm2 cell test code]:[5 cm2 cell test code]],[1]!Table1[[Test code]:[Test code]],[1]!Table1[Q_int_frac DIW],"",0)</f>
        <v>#REF!</v>
      </c>
      <c r="AH815" s="69" t="e" cm="1">
        <f t="array" ref="AH815">_xlfn.XLOOKUP(Table1[[#This Row],[5 cm2 cell test code]:[5 cm2 cell test code]],[1]!Table1[[Test code]:[Test code]],[1]!Table1[Ionic resistance 10 mM KOH/Ohm cm2],"",0)</f>
        <v>#REF!</v>
      </c>
      <c r="AI815" s="69" t="e" cm="1">
        <f t="array" ref="AI815">_xlfn.XLOOKUP(Table1[[#This Row],[5 cm2 cell test code]:[5 cm2 cell test code]],[1]!Table1[[Test code]:[Test code]],[1]!Table1[Q_int_frac DIW 10 mM KOH],"",0)</f>
        <v>#REF!</v>
      </c>
      <c r="AJ815" s="69" t="e" cm="1">
        <f t="array" ref="AJ815">_xlfn.XLOOKUP(Table1[[#This Row],[5 cm2 cell test code]:[5 cm2 cell test code]],[1]!Table1[[Test code]:[Test code]],[1]!Table1[DIW conductivity (µS/cm)],"",0)</f>
        <v>#REF!</v>
      </c>
    </row>
    <row r="816" spans="1:36">
      <c r="A816" s="81"/>
      <c r="U816" s="101"/>
      <c r="V816" s="101"/>
      <c r="W816" s="69" t="e" cm="1">
        <f t="array" ref="W816">_xlfn.XLOOKUP(Table1[[#This Row],[5 cm2 cell test code]:[5 cm2 cell test code]],[1]!Table1[[Test code]:[Test code]],[1]!Table1[i @ 1.8 V DIW (A/cm2)],"",0)</f>
        <v>#REF!</v>
      </c>
      <c r="X816" s="69" t="e" cm="1">
        <f t="array" ref="X816">_xlfn.XLOOKUP(Table1[[#This Row],[5 cm2 cell test code]:[5 cm2 cell test code]],[1]!Table1[[Test code]:[Test code]],[1]!Table1[i @ 1.8 V 10 mM KOH (A/cm2)],"",0)</f>
        <v>#REF!</v>
      </c>
      <c r="Y816" s="69" t="e" cm="1">
        <f t="array" ref="Y816">_xlfn.XLOOKUP(Table1[[#This Row],[5 cm2 cell test code]:[5 cm2 cell test code]],[1]!Table1[[Test code]:[Test code]],[1]!Table1[3-E ƞ at 20mAcm-2 (mV)],"",0)</f>
        <v>#REF!</v>
      </c>
      <c r="Z816" s="69" t="e" cm="1">
        <f t="array" ref="Z816">_xlfn.XLOOKUP(Table1[[#This Row],[5 cm2 cell test code]:[5 cm2 cell test code]],[1]!Table1[[Test code]:[Test code]],[1]!Table1[3-E Tafel slope (mV/dec)],"",0)</f>
        <v>#REF!</v>
      </c>
      <c r="AA816" s="69" t="e" cm="1">
        <f t="array" ref="AA816">_xlfn.XLOOKUP(Table1[[#This Row],[5 cm2 cell test code]:[5 cm2 cell test code]],[1]!Table1[[Test code]:[Test code]],[1]!Table1[E @ 100 mA/cm2 DIW/V],"",0)</f>
        <v>#REF!</v>
      </c>
      <c r="AB816" s="69" t="e" cm="1">
        <f t="array" ref="AB816">_xlfn.XLOOKUP(Table1[[#This Row],[5 cm2 cell test code]:[5 cm2 cell test code]],[1]!Table1[[Test code]:[Test code]],[1]!Table1[E @ 100 mA/cm2 10 mM KOH/V],"",0)</f>
        <v>#REF!</v>
      </c>
      <c r="AC816" s="69" t="e" cm="1">
        <f t="array" ref="AC816">_xlfn.XLOOKUP(Table1[[#This Row],[5 cm2 cell test code]:[5 cm2 cell test code]],[1]!Table1[[Test code]:[Test code]],[1]!Table1[Anode ICR/mOhm],"",0)</f>
        <v>#REF!</v>
      </c>
      <c r="AD816" s="69" t="e" cm="1">
        <f t="array" ref="AD816">_xlfn.XLOOKUP(Table1[[#This Row],[5 cm2 cell test code]:[5 cm2 cell test code]],[1]!Table1[[Test code]:[Test code]],[1]!Table1[HFR DIW/ mOhm cm2],"",0)</f>
        <v>#REF!</v>
      </c>
      <c r="AE816" s="69" t="e" cm="1">
        <f t="array" ref="AE816">_xlfn.XLOOKUP(Table1[[#This Row],[5 cm2 cell test code]:[5 cm2 cell test code]],[1]!Table1[[Test code]:[Test code]],[1]!Table1[HFR 10 mM KOH/ mOhm cm2],"",0)</f>
        <v>#REF!</v>
      </c>
      <c r="AF816" s="69" t="e" cm="1">
        <f t="array" ref="AF816">_xlfn.XLOOKUP(Table1[[#This Row],[5 cm2 cell test code]:[5 cm2 cell test code]],[1]!Table1[[Test code]:[Test code]],[1]!Table1[Ionic resistance DIW/Ohm cm2],"",0)</f>
        <v>#REF!</v>
      </c>
      <c r="AG816" s="69" t="e" cm="1">
        <f t="array" ref="AG816">_xlfn.XLOOKUP(Table1[[#This Row],[5 cm2 cell test code]:[5 cm2 cell test code]],[1]!Table1[[Test code]:[Test code]],[1]!Table1[Q_int_frac DIW],"",0)</f>
        <v>#REF!</v>
      </c>
      <c r="AH816" s="69" t="e" cm="1">
        <f t="array" ref="AH816">_xlfn.XLOOKUP(Table1[[#This Row],[5 cm2 cell test code]:[5 cm2 cell test code]],[1]!Table1[[Test code]:[Test code]],[1]!Table1[Ionic resistance 10 mM KOH/Ohm cm2],"",0)</f>
        <v>#REF!</v>
      </c>
      <c r="AI816" s="69" t="e" cm="1">
        <f t="array" ref="AI816">_xlfn.XLOOKUP(Table1[[#This Row],[5 cm2 cell test code]:[5 cm2 cell test code]],[1]!Table1[[Test code]:[Test code]],[1]!Table1[Q_int_frac DIW 10 mM KOH],"",0)</f>
        <v>#REF!</v>
      </c>
      <c r="AJ816" s="69" t="e" cm="1">
        <f t="array" ref="AJ816">_xlfn.XLOOKUP(Table1[[#This Row],[5 cm2 cell test code]:[5 cm2 cell test code]],[1]!Table1[[Test code]:[Test code]],[1]!Table1[DIW conductivity (µS/cm)],"",0)</f>
        <v>#REF!</v>
      </c>
    </row>
    <row r="817" spans="1:36">
      <c r="A817" s="81"/>
      <c r="U817" s="101"/>
      <c r="V817" s="101"/>
      <c r="W817" s="69" t="e" cm="1">
        <f t="array" ref="W817">_xlfn.XLOOKUP(Table1[[#This Row],[5 cm2 cell test code]:[5 cm2 cell test code]],[1]!Table1[[Test code]:[Test code]],[1]!Table1[i @ 1.8 V DIW (A/cm2)],"",0)</f>
        <v>#REF!</v>
      </c>
      <c r="X817" s="69" t="e" cm="1">
        <f t="array" ref="X817">_xlfn.XLOOKUP(Table1[[#This Row],[5 cm2 cell test code]:[5 cm2 cell test code]],[1]!Table1[[Test code]:[Test code]],[1]!Table1[i @ 1.8 V 10 mM KOH (A/cm2)],"",0)</f>
        <v>#REF!</v>
      </c>
      <c r="Y817" s="69" t="e" cm="1">
        <f t="array" ref="Y817">_xlfn.XLOOKUP(Table1[[#This Row],[5 cm2 cell test code]:[5 cm2 cell test code]],[1]!Table1[[Test code]:[Test code]],[1]!Table1[3-E ƞ at 20mAcm-2 (mV)],"",0)</f>
        <v>#REF!</v>
      </c>
      <c r="Z817" s="69" t="e" cm="1">
        <f t="array" ref="Z817">_xlfn.XLOOKUP(Table1[[#This Row],[5 cm2 cell test code]:[5 cm2 cell test code]],[1]!Table1[[Test code]:[Test code]],[1]!Table1[3-E Tafel slope (mV/dec)],"",0)</f>
        <v>#REF!</v>
      </c>
      <c r="AA817" s="69" t="e" cm="1">
        <f t="array" ref="AA817">_xlfn.XLOOKUP(Table1[[#This Row],[5 cm2 cell test code]:[5 cm2 cell test code]],[1]!Table1[[Test code]:[Test code]],[1]!Table1[E @ 100 mA/cm2 DIW/V],"",0)</f>
        <v>#REF!</v>
      </c>
      <c r="AB817" s="69" t="e" cm="1">
        <f t="array" ref="AB817">_xlfn.XLOOKUP(Table1[[#This Row],[5 cm2 cell test code]:[5 cm2 cell test code]],[1]!Table1[[Test code]:[Test code]],[1]!Table1[E @ 100 mA/cm2 10 mM KOH/V],"",0)</f>
        <v>#REF!</v>
      </c>
      <c r="AC817" s="69" t="e" cm="1">
        <f t="array" ref="AC817">_xlfn.XLOOKUP(Table1[[#This Row],[5 cm2 cell test code]:[5 cm2 cell test code]],[1]!Table1[[Test code]:[Test code]],[1]!Table1[Anode ICR/mOhm],"",0)</f>
        <v>#REF!</v>
      </c>
      <c r="AD817" s="69" t="e" cm="1">
        <f t="array" ref="AD817">_xlfn.XLOOKUP(Table1[[#This Row],[5 cm2 cell test code]:[5 cm2 cell test code]],[1]!Table1[[Test code]:[Test code]],[1]!Table1[HFR DIW/ mOhm cm2],"",0)</f>
        <v>#REF!</v>
      </c>
      <c r="AE817" s="69" t="e" cm="1">
        <f t="array" ref="AE817">_xlfn.XLOOKUP(Table1[[#This Row],[5 cm2 cell test code]:[5 cm2 cell test code]],[1]!Table1[[Test code]:[Test code]],[1]!Table1[HFR 10 mM KOH/ mOhm cm2],"",0)</f>
        <v>#REF!</v>
      </c>
      <c r="AF817" s="69" t="e" cm="1">
        <f t="array" ref="AF817">_xlfn.XLOOKUP(Table1[[#This Row],[5 cm2 cell test code]:[5 cm2 cell test code]],[1]!Table1[[Test code]:[Test code]],[1]!Table1[Ionic resistance DIW/Ohm cm2],"",0)</f>
        <v>#REF!</v>
      </c>
      <c r="AG817" s="69" t="e" cm="1">
        <f t="array" ref="AG817">_xlfn.XLOOKUP(Table1[[#This Row],[5 cm2 cell test code]:[5 cm2 cell test code]],[1]!Table1[[Test code]:[Test code]],[1]!Table1[Q_int_frac DIW],"",0)</f>
        <v>#REF!</v>
      </c>
      <c r="AH817" s="69" t="e" cm="1">
        <f t="array" ref="AH817">_xlfn.XLOOKUP(Table1[[#This Row],[5 cm2 cell test code]:[5 cm2 cell test code]],[1]!Table1[[Test code]:[Test code]],[1]!Table1[Ionic resistance 10 mM KOH/Ohm cm2],"",0)</f>
        <v>#REF!</v>
      </c>
      <c r="AI817" s="69" t="e" cm="1">
        <f t="array" ref="AI817">_xlfn.XLOOKUP(Table1[[#This Row],[5 cm2 cell test code]:[5 cm2 cell test code]],[1]!Table1[[Test code]:[Test code]],[1]!Table1[Q_int_frac DIW 10 mM KOH],"",0)</f>
        <v>#REF!</v>
      </c>
      <c r="AJ817" s="69" t="e" cm="1">
        <f t="array" ref="AJ817">_xlfn.XLOOKUP(Table1[[#This Row],[5 cm2 cell test code]:[5 cm2 cell test code]],[1]!Table1[[Test code]:[Test code]],[1]!Table1[DIW conductivity (µS/cm)],"",0)</f>
        <v>#REF!</v>
      </c>
    </row>
    <row r="818" spans="1:36">
      <c r="A818" s="81"/>
      <c r="U818" s="101"/>
      <c r="V818" s="101"/>
      <c r="W818" s="69" t="e" cm="1">
        <f t="array" ref="W818">_xlfn.XLOOKUP(Table1[[#This Row],[5 cm2 cell test code]:[5 cm2 cell test code]],[1]!Table1[[Test code]:[Test code]],[1]!Table1[i @ 1.8 V DIW (A/cm2)],"",0)</f>
        <v>#REF!</v>
      </c>
      <c r="X818" s="69" t="e" cm="1">
        <f t="array" ref="X818">_xlfn.XLOOKUP(Table1[[#This Row],[5 cm2 cell test code]:[5 cm2 cell test code]],[1]!Table1[[Test code]:[Test code]],[1]!Table1[i @ 1.8 V 10 mM KOH (A/cm2)],"",0)</f>
        <v>#REF!</v>
      </c>
      <c r="Y818" s="69" t="e" cm="1">
        <f t="array" ref="Y818">_xlfn.XLOOKUP(Table1[[#This Row],[5 cm2 cell test code]:[5 cm2 cell test code]],[1]!Table1[[Test code]:[Test code]],[1]!Table1[3-E ƞ at 20mAcm-2 (mV)],"",0)</f>
        <v>#REF!</v>
      </c>
      <c r="Z818" s="69" t="e" cm="1">
        <f t="array" ref="Z818">_xlfn.XLOOKUP(Table1[[#This Row],[5 cm2 cell test code]:[5 cm2 cell test code]],[1]!Table1[[Test code]:[Test code]],[1]!Table1[3-E Tafel slope (mV/dec)],"",0)</f>
        <v>#REF!</v>
      </c>
      <c r="AA818" s="69" t="e" cm="1">
        <f t="array" ref="AA818">_xlfn.XLOOKUP(Table1[[#This Row],[5 cm2 cell test code]:[5 cm2 cell test code]],[1]!Table1[[Test code]:[Test code]],[1]!Table1[E @ 100 mA/cm2 DIW/V],"",0)</f>
        <v>#REF!</v>
      </c>
      <c r="AB818" s="69" t="e" cm="1">
        <f t="array" ref="AB818">_xlfn.XLOOKUP(Table1[[#This Row],[5 cm2 cell test code]:[5 cm2 cell test code]],[1]!Table1[[Test code]:[Test code]],[1]!Table1[E @ 100 mA/cm2 10 mM KOH/V],"",0)</f>
        <v>#REF!</v>
      </c>
      <c r="AC818" s="69" t="e" cm="1">
        <f t="array" ref="AC818">_xlfn.XLOOKUP(Table1[[#This Row],[5 cm2 cell test code]:[5 cm2 cell test code]],[1]!Table1[[Test code]:[Test code]],[1]!Table1[Anode ICR/mOhm],"",0)</f>
        <v>#REF!</v>
      </c>
      <c r="AD818" s="69" t="e" cm="1">
        <f t="array" ref="AD818">_xlfn.XLOOKUP(Table1[[#This Row],[5 cm2 cell test code]:[5 cm2 cell test code]],[1]!Table1[[Test code]:[Test code]],[1]!Table1[HFR DIW/ mOhm cm2],"",0)</f>
        <v>#REF!</v>
      </c>
      <c r="AE818" s="69" t="e" cm="1">
        <f t="array" ref="AE818">_xlfn.XLOOKUP(Table1[[#This Row],[5 cm2 cell test code]:[5 cm2 cell test code]],[1]!Table1[[Test code]:[Test code]],[1]!Table1[HFR 10 mM KOH/ mOhm cm2],"",0)</f>
        <v>#REF!</v>
      </c>
      <c r="AF818" s="69" t="e" cm="1">
        <f t="array" ref="AF818">_xlfn.XLOOKUP(Table1[[#This Row],[5 cm2 cell test code]:[5 cm2 cell test code]],[1]!Table1[[Test code]:[Test code]],[1]!Table1[Ionic resistance DIW/Ohm cm2],"",0)</f>
        <v>#REF!</v>
      </c>
      <c r="AG818" s="69" t="e" cm="1">
        <f t="array" ref="AG818">_xlfn.XLOOKUP(Table1[[#This Row],[5 cm2 cell test code]:[5 cm2 cell test code]],[1]!Table1[[Test code]:[Test code]],[1]!Table1[Q_int_frac DIW],"",0)</f>
        <v>#REF!</v>
      </c>
      <c r="AH818" s="69" t="e" cm="1">
        <f t="array" ref="AH818">_xlfn.XLOOKUP(Table1[[#This Row],[5 cm2 cell test code]:[5 cm2 cell test code]],[1]!Table1[[Test code]:[Test code]],[1]!Table1[Ionic resistance 10 mM KOH/Ohm cm2],"",0)</f>
        <v>#REF!</v>
      </c>
      <c r="AI818" s="69" t="e" cm="1">
        <f t="array" ref="AI818">_xlfn.XLOOKUP(Table1[[#This Row],[5 cm2 cell test code]:[5 cm2 cell test code]],[1]!Table1[[Test code]:[Test code]],[1]!Table1[Q_int_frac DIW 10 mM KOH],"",0)</f>
        <v>#REF!</v>
      </c>
      <c r="AJ818" s="69" t="e" cm="1">
        <f t="array" ref="AJ818">_xlfn.XLOOKUP(Table1[[#This Row],[5 cm2 cell test code]:[5 cm2 cell test code]],[1]!Table1[[Test code]:[Test code]],[1]!Table1[DIW conductivity (µS/cm)],"",0)</f>
        <v>#REF!</v>
      </c>
    </row>
    <row r="819" spans="1:36">
      <c r="A819" s="81"/>
      <c r="U819" s="101"/>
      <c r="V819" s="101"/>
      <c r="W819" s="69" t="e" cm="1">
        <f t="array" ref="W819">_xlfn.XLOOKUP(Table1[[#This Row],[5 cm2 cell test code]:[5 cm2 cell test code]],[1]!Table1[[Test code]:[Test code]],[1]!Table1[i @ 1.8 V DIW (A/cm2)],"",0)</f>
        <v>#REF!</v>
      </c>
      <c r="X819" s="69" t="e" cm="1">
        <f t="array" ref="X819">_xlfn.XLOOKUP(Table1[[#This Row],[5 cm2 cell test code]:[5 cm2 cell test code]],[1]!Table1[[Test code]:[Test code]],[1]!Table1[i @ 1.8 V 10 mM KOH (A/cm2)],"",0)</f>
        <v>#REF!</v>
      </c>
      <c r="Y819" s="69" t="e" cm="1">
        <f t="array" ref="Y819">_xlfn.XLOOKUP(Table1[[#This Row],[5 cm2 cell test code]:[5 cm2 cell test code]],[1]!Table1[[Test code]:[Test code]],[1]!Table1[3-E ƞ at 20mAcm-2 (mV)],"",0)</f>
        <v>#REF!</v>
      </c>
      <c r="Z819" s="69" t="e" cm="1">
        <f t="array" ref="Z819">_xlfn.XLOOKUP(Table1[[#This Row],[5 cm2 cell test code]:[5 cm2 cell test code]],[1]!Table1[[Test code]:[Test code]],[1]!Table1[3-E Tafel slope (mV/dec)],"",0)</f>
        <v>#REF!</v>
      </c>
      <c r="AA819" s="69" t="e" cm="1">
        <f t="array" ref="AA819">_xlfn.XLOOKUP(Table1[[#This Row],[5 cm2 cell test code]:[5 cm2 cell test code]],[1]!Table1[[Test code]:[Test code]],[1]!Table1[E @ 100 mA/cm2 DIW/V],"",0)</f>
        <v>#REF!</v>
      </c>
      <c r="AB819" s="69" t="e" cm="1">
        <f t="array" ref="AB819">_xlfn.XLOOKUP(Table1[[#This Row],[5 cm2 cell test code]:[5 cm2 cell test code]],[1]!Table1[[Test code]:[Test code]],[1]!Table1[E @ 100 mA/cm2 10 mM KOH/V],"",0)</f>
        <v>#REF!</v>
      </c>
      <c r="AC819" s="69" t="e" cm="1">
        <f t="array" ref="AC819">_xlfn.XLOOKUP(Table1[[#This Row],[5 cm2 cell test code]:[5 cm2 cell test code]],[1]!Table1[[Test code]:[Test code]],[1]!Table1[Anode ICR/mOhm],"",0)</f>
        <v>#REF!</v>
      </c>
      <c r="AD819" s="69" t="e" cm="1">
        <f t="array" ref="AD819">_xlfn.XLOOKUP(Table1[[#This Row],[5 cm2 cell test code]:[5 cm2 cell test code]],[1]!Table1[[Test code]:[Test code]],[1]!Table1[HFR DIW/ mOhm cm2],"",0)</f>
        <v>#REF!</v>
      </c>
      <c r="AE819" s="69" t="e" cm="1">
        <f t="array" ref="AE819">_xlfn.XLOOKUP(Table1[[#This Row],[5 cm2 cell test code]:[5 cm2 cell test code]],[1]!Table1[[Test code]:[Test code]],[1]!Table1[HFR 10 mM KOH/ mOhm cm2],"",0)</f>
        <v>#REF!</v>
      </c>
      <c r="AF819" s="69" t="e" cm="1">
        <f t="array" ref="AF819">_xlfn.XLOOKUP(Table1[[#This Row],[5 cm2 cell test code]:[5 cm2 cell test code]],[1]!Table1[[Test code]:[Test code]],[1]!Table1[Ionic resistance DIW/Ohm cm2],"",0)</f>
        <v>#REF!</v>
      </c>
      <c r="AG819" s="69" t="e" cm="1">
        <f t="array" ref="AG819">_xlfn.XLOOKUP(Table1[[#This Row],[5 cm2 cell test code]:[5 cm2 cell test code]],[1]!Table1[[Test code]:[Test code]],[1]!Table1[Q_int_frac DIW],"",0)</f>
        <v>#REF!</v>
      </c>
      <c r="AH819" s="69" t="e" cm="1">
        <f t="array" ref="AH819">_xlfn.XLOOKUP(Table1[[#This Row],[5 cm2 cell test code]:[5 cm2 cell test code]],[1]!Table1[[Test code]:[Test code]],[1]!Table1[Ionic resistance 10 mM KOH/Ohm cm2],"",0)</f>
        <v>#REF!</v>
      </c>
      <c r="AI819" s="69" t="e" cm="1">
        <f t="array" ref="AI819">_xlfn.XLOOKUP(Table1[[#This Row],[5 cm2 cell test code]:[5 cm2 cell test code]],[1]!Table1[[Test code]:[Test code]],[1]!Table1[Q_int_frac DIW 10 mM KOH],"",0)</f>
        <v>#REF!</v>
      </c>
      <c r="AJ819" s="69" t="e" cm="1">
        <f t="array" ref="AJ819">_xlfn.XLOOKUP(Table1[[#This Row],[5 cm2 cell test code]:[5 cm2 cell test code]],[1]!Table1[[Test code]:[Test code]],[1]!Table1[DIW conductivity (µS/cm)],"",0)</f>
        <v>#REF!</v>
      </c>
    </row>
    <row r="820" spans="1:36">
      <c r="A820" s="81"/>
      <c r="U820" s="101"/>
      <c r="V820" s="101"/>
      <c r="W820" s="69" t="e" cm="1">
        <f t="array" ref="W820">_xlfn.XLOOKUP(Table1[[#This Row],[5 cm2 cell test code]:[5 cm2 cell test code]],[1]!Table1[[Test code]:[Test code]],[1]!Table1[i @ 1.8 V DIW (A/cm2)],"",0)</f>
        <v>#REF!</v>
      </c>
      <c r="X820" s="69" t="e" cm="1">
        <f t="array" ref="X820">_xlfn.XLOOKUP(Table1[[#This Row],[5 cm2 cell test code]:[5 cm2 cell test code]],[1]!Table1[[Test code]:[Test code]],[1]!Table1[i @ 1.8 V 10 mM KOH (A/cm2)],"",0)</f>
        <v>#REF!</v>
      </c>
      <c r="Y820" s="69" t="e" cm="1">
        <f t="array" ref="Y820">_xlfn.XLOOKUP(Table1[[#This Row],[5 cm2 cell test code]:[5 cm2 cell test code]],[1]!Table1[[Test code]:[Test code]],[1]!Table1[3-E ƞ at 20mAcm-2 (mV)],"",0)</f>
        <v>#REF!</v>
      </c>
      <c r="Z820" s="69" t="e" cm="1">
        <f t="array" ref="Z820">_xlfn.XLOOKUP(Table1[[#This Row],[5 cm2 cell test code]:[5 cm2 cell test code]],[1]!Table1[[Test code]:[Test code]],[1]!Table1[3-E Tafel slope (mV/dec)],"",0)</f>
        <v>#REF!</v>
      </c>
      <c r="AA820" s="69" t="e" cm="1">
        <f t="array" ref="AA820">_xlfn.XLOOKUP(Table1[[#This Row],[5 cm2 cell test code]:[5 cm2 cell test code]],[1]!Table1[[Test code]:[Test code]],[1]!Table1[E @ 100 mA/cm2 DIW/V],"",0)</f>
        <v>#REF!</v>
      </c>
      <c r="AB820" s="69" t="e" cm="1">
        <f t="array" ref="AB820">_xlfn.XLOOKUP(Table1[[#This Row],[5 cm2 cell test code]:[5 cm2 cell test code]],[1]!Table1[[Test code]:[Test code]],[1]!Table1[E @ 100 mA/cm2 10 mM KOH/V],"",0)</f>
        <v>#REF!</v>
      </c>
      <c r="AC820" s="69" t="e" cm="1">
        <f t="array" ref="AC820">_xlfn.XLOOKUP(Table1[[#This Row],[5 cm2 cell test code]:[5 cm2 cell test code]],[1]!Table1[[Test code]:[Test code]],[1]!Table1[Anode ICR/mOhm],"",0)</f>
        <v>#REF!</v>
      </c>
      <c r="AD820" s="69" t="e" cm="1">
        <f t="array" ref="AD820">_xlfn.XLOOKUP(Table1[[#This Row],[5 cm2 cell test code]:[5 cm2 cell test code]],[1]!Table1[[Test code]:[Test code]],[1]!Table1[HFR DIW/ mOhm cm2],"",0)</f>
        <v>#REF!</v>
      </c>
      <c r="AE820" s="69" t="e" cm="1">
        <f t="array" ref="AE820">_xlfn.XLOOKUP(Table1[[#This Row],[5 cm2 cell test code]:[5 cm2 cell test code]],[1]!Table1[[Test code]:[Test code]],[1]!Table1[HFR 10 mM KOH/ mOhm cm2],"",0)</f>
        <v>#REF!</v>
      </c>
      <c r="AF820" s="69" t="e" cm="1">
        <f t="array" ref="AF820">_xlfn.XLOOKUP(Table1[[#This Row],[5 cm2 cell test code]:[5 cm2 cell test code]],[1]!Table1[[Test code]:[Test code]],[1]!Table1[Ionic resistance DIW/Ohm cm2],"",0)</f>
        <v>#REF!</v>
      </c>
      <c r="AG820" s="69" t="e" cm="1">
        <f t="array" ref="AG820">_xlfn.XLOOKUP(Table1[[#This Row],[5 cm2 cell test code]:[5 cm2 cell test code]],[1]!Table1[[Test code]:[Test code]],[1]!Table1[Q_int_frac DIW],"",0)</f>
        <v>#REF!</v>
      </c>
      <c r="AH820" s="69" t="e" cm="1">
        <f t="array" ref="AH820">_xlfn.XLOOKUP(Table1[[#This Row],[5 cm2 cell test code]:[5 cm2 cell test code]],[1]!Table1[[Test code]:[Test code]],[1]!Table1[Ionic resistance 10 mM KOH/Ohm cm2],"",0)</f>
        <v>#REF!</v>
      </c>
      <c r="AI820" s="69" t="e" cm="1">
        <f t="array" ref="AI820">_xlfn.XLOOKUP(Table1[[#This Row],[5 cm2 cell test code]:[5 cm2 cell test code]],[1]!Table1[[Test code]:[Test code]],[1]!Table1[Q_int_frac DIW 10 mM KOH],"",0)</f>
        <v>#REF!</v>
      </c>
      <c r="AJ820" s="69" t="e" cm="1">
        <f t="array" ref="AJ820">_xlfn.XLOOKUP(Table1[[#This Row],[5 cm2 cell test code]:[5 cm2 cell test code]],[1]!Table1[[Test code]:[Test code]],[1]!Table1[DIW conductivity (µS/cm)],"",0)</f>
        <v>#REF!</v>
      </c>
    </row>
    <row r="821" spans="1:36">
      <c r="A821" s="81"/>
      <c r="U821" s="101"/>
      <c r="V821" s="101"/>
      <c r="W821" s="69" t="e" cm="1">
        <f t="array" ref="W821">_xlfn.XLOOKUP(Table1[[#This Row],[5 cm2 cell test code]:[5 cm2 cell test code]],[1]!Table1[[Test code]:[Test code]],[1]!Table1[i @ 1.8 V DIW (A/cm2)],"",0)</f>
        <v>#REF!</v>
      </c>
      <c r="X821" s="69" t="e" cm="1">
        <f t="array" ref="X821">_xlfn.XLOOKUP(Table1[[#This Row],[5 cm2 cell test code]:[5 cm2 cell test code]],[1]!Table1[[Test code]:[Test code]],[1]!Table1[i @ 1.8 V 10 mM KOH (A/cm2)],"",0)</f>
        <v>#REF!</v>
      </c>
      <c r="Y821" s="69" t="e" cm="1">
        <f t="array" ref="Y821">_xlfn.XLOOKUP(Table1[[#This Row],[5 cm2 cell test code]:[5 cm2 cell test code]],[1]!Table1[[Test code]:[Test code]],[1]!Table1[3-E ƞ at 20mAcm-2 (mV)],"",0)</f>
        <v>#REF!</v>
      </c>
      <c r="Z821" s="69" t="e" cm="1">
        <f t="array" ref="Z821">_xlfn.XLOOKUP(Table1[[#This Row],[5 cm2 cell test code]:[5 cm2 cell test code]],[1]!Table1[[Test code]:[Test code]],[1]!Table1[3-E Tafel slope (mV/dec)],"",0)</f>
        <v>#REF!</v>
      </c>
      <c r="AA821" s="69" t="e" cm="1">
        <f t="array" ref="AA821">_xlfn.XLOOKUP(Table1[[#This Row],[5 cm2 cell test code]:[5 cm2 cell test code]],[1]!Table1[[Test code]:[Test code]],[1]!Table1[E @ 100 mA/cm2 DIW/V],"",0)</f>
        <v>#REF!</v>
      </c>
      <c r="AB821" s="69" t="e" cm="1">
        <f t="array" ref="AB821">_xlfn.XLOOKUP(Table1[[#This Row],[5 cm2 cell test code]:[5 cm2 cell test code]],[1]!Table1[[Test code]:[Test code]],[1]!Table1[E @ 100 mA/cm2 10 mM KOH/V],"",0)</f>
        <v>#REF!</v>
      </c>
      <c r="AC821" s="69" t="e" cm="1">
        <f t="array" ref="AC821">_xlfn.XLOOKUP(Table1[[#This Row],[5 cm2 cell test code]:[5 cm2 cell test code]],[1]!Table1[[Test code]:[Test code]],[1]!Table1[Anode ICR/mOhm],"",0)</f>
        <v>#REF!</v>
      </c>
      <c r="AD821" s="69" t="e" cm="1">
        <f t="array" ref="AD821">_xlfn.XLOOKUP(Table1[[#This Row],[5 cm2 cell test code]:[5 cm2 cell test code]],[1]!Table1[[Test code]:[Test code]],[1]!Table1[HFR DIW/ mOhm cm2],"",0)</f>
        <v>#REF!</v>
      </c>
      <c r="AE821" s="69" t="e" cm="1">
        <f t="array" ref="AE821">_xlfn.XLOOKUP(Table1[[#This Row],[5 cm2 cell test code]:[5 cm2 cell test code]],[1]!Table1[[Test code]:[Test code]],[1]!Table1[HFR 10 mM KOH/ mOhm cm2],"",0)</f>
        <v>#REF!</v>
      </c>
      <c r="AF821" s="69" t="e" cm="1">
        <f t="array" ref="AF821">_xlfn.XLOOKUP(Table1[[#This Row],[5 cm2 cell test code]:[5 cm2 cell test code]],[1]!Table1[[Test code]:[Test code]],[1]!Table1[Ionic resistance DIW/Ohm cm2],"",0)</f>
        <v>#REF!</v>
      </c>
      <c r="AG821" s="69" t="e" cm="1">
        <f t="array" ref="AG821">_xlfn.XLOOKUP(Table1[[#This Row],[5 cm2 cell test code]:[5 cm2 cell test code]],[1]!Table1[[Test code]:[Test code]],[1]!Table1[Q_int_frac DIW],"",0)</f>
        <v>#REF!</v>
      </c>
      <c r="AH821" s="69" t="e" cm="1">
        <f t="array" ref="AH821">_xlfn.XLOOKUP(Table1[[#This Row],[5 cm2 cell test code]:[5 cm2 cell test code]],[1]!Table1[[Test code]:[Test code]],[1]!Table1[Ionic resistance 10 mM KOH/Ohm cm2],"",0)</f>
        <v>#REF!</v>
      </c>
      <c r="AI821" s="69" t="e" cm="1">
        <f t="array" ref="AI821">_xlfn.XLOOKUP(Table1[[#This Row],[5 cm2 cell test code]:[5 cm2 cell test code]],[1]!Table1[[Test code]:[Test code]],[1]!Table1[Q_int_frac DIW 10 mM KOH],"",0)</f>
        <v>#REF!</v>
      </c>
      <c r="AJ821" s="69" t="e" cm="1">
        <f t="array" ref="AJ821">_xlfn.XLOOKUP(Table1[[#This Row],[5 cm2 cell test code]:[5 cm2 cell test code]],[1]!Table1[[Test code]:[Test code]],[1]!Table1[DIW conductivity (µS/cm)],"",0)</f>
        <v>#REF!</v>
      </c>
    </row>
    <row r="822" spans="1:36">
      <c r="A822" s="81"/>
      <c r="U822" s="101"/>
      <c r="V822" s="101"/>
      <c r="W822" s="69" t="e" cm="1">
        <f t="array" ref="W822">_xlfn.XLOOKUP(Table1[[#This Row],[5 cm2 cell test code]:[5 cm2 cell test code]],[1]!Table1[[Test code]:[Test code]],[1]!Table1[i @ 1.8 V DIW (A/cm2)],"",0)</f>
        <v>#REF!</v>
      </c>
      <c r="X822" s="69" t="e" cm="1">
        <f t="array" ref="X822">_xlfn.XLOOKUP(Table1[[#This Row],[5 cm2 cell test code]:[5 cm2 cell test code]],[1]!Table1[[Test code]:[Test code]],[1]!Table1[i @ 1.8 V 10 mM KOH (A/cm2)],"",0)</f>
        <v>#REF!</v>
      </c>
      <c r="Y822" s="69" t="e" cm="1">
        <f t="array" ref="Y822">_xlfn.XLOOKUP(Table1[[#This Row],[5 cm2 cell test code]:[5 cm2 cell test code]],[1]!Table1[[Test code]:[Test code]],[1]!Table1[3-E ƞ at 20mAcm-2 (mV)],"",0)</f>
        <v>#REF!</v>
      </c>
      <c r="Z822" s="69" t="e" cm="1">
        <f t="array" ref="Z822">_xlfn.XLOOKUP(Table1[[#This Row],[5 cm2 cell test code]:[5 cm2 cell test code]],[1]!Table1[[Test code]:[Test code]],[1]!Table1[3-E Tafel slope (mV/dec)],"",0)</f>
        <v>#REF!</v>
      </c>
      <c r="AA822" s="69" t="e" cm="1">
        <f t="array" ref="AA822">_xlfn.XLOOKUP(Table1[[#This Row],[5 cm2 cell test code]:[5 cm2 cell test code]],[1]!Table1[[Test code]:[Test code]],[1]!Table1[E @ 100 mA/cm2 DIW/V],"",0)</f>
        <v>#REF!</v>
      </c>
      <c r="AB822" s="69" t="e" cm="1">
        <f t="array" ref="AB822">_xlfn.XLOOKUP(Table1[[#This Row],[5 cm2 cell test code]:[5 cm2 cell test code]],[1]!Table1[[Test code]:[Test code]],[1]!Table1[E @ 100 mA/cm2 10 mM KOH/V],"",0)</f>
        <v>#REF!</v>
      </c>
      <c r="AC822" s="69" t="e" cm="1">
        <f t="array" ref="AC822">_xlfn.XLOOKUP(Table1[[#This Row],[5 cm2 cell test code]:[5 cm2 cell test code]],[1]!Table1[[Test code]:[Test code]],[1]!Table1[Anode ICR/mOhm],"",0)</f>
        <v>#REF!</v>
      </c>
      <c r="AD822" s="69" t="e" cm="1">
        <f t="array" ref="AD822">_xlfn.XLOOKUP(Table1[[#This Row],[5 cm2 cell test code]:[5 cm2 cell test code]],[1]!Table1[[Test code]:[Test code]],[1]!Table1[HFR DIW/ mOhm cm2],"",0)</f>
        <v>#REF!</v>
      </c>
      <c r="AE822" s="69" t="e" cm="1">
        <f t="array" ref="AE822">_xlfn.XLOOKUP(Table1[[#This Row],[5 cm2 cell test code]:[5 cm2 cell test code]],[1]!Table1[[Test code]:[Test code]],[1]!Table1[HFR 10 mM KOH/ mOhm cm2],"",0)</f>
        <v>#REF!</v>
      </c>
      <c r="AF822" s="69" t="e" cm="1">
        <f t="array" ref="AF822">_xlfn.XLOOKUP(Table1[[#This Row],[5 cm2 cell test code]:[5 cm2 cell test code]],[1]!Table1[[Test code]:[Test code]],[1]!Table1[Ionic resistance DIW/Ohm cm2],"",0)</f>
        <v>#REF!</v>
      </c>
      <c r="AG822" s="69" t="e" cm="1">
        <f t="array" ref="AG822">_xlfn.XLOOKUP(Table1[[#This Row],[5 cm2 cell test code]:[5 cm2 cell test code]],[1]!Table1[[Test code]:[Test code]],[1]!Table1[Q_int_frac DIW],"",0)</f>
        <v>#REF!</v>
      </c>
      <c r="AH822" s="69" t="e" cm="1">
        <f t="array" ref="AH822">_xlfn.XLOOKUP(Table1[[#This Row],[5 cm2 cell test code]:[5 cm2 cell test code]],[1]!Table1[[Test code]:[Test code]],[1]!Table1[Ionic resistance 10 mM KOH/Ohm cm2],"",0)</f>
        <v>#REF!</v>
      </c>
      <c r="AI822" s="69" t="e" cm="1">
        <f t="array" ref="AI822">_xlfn.XLOOKUP(Table1[[#This Row],[5 cm2 cell test code]:[5 cm2 cell test code]],[1]!Table1[[Test code]:[Test code]],[1]!Table1[Q_int_frac DIW 10 mM KOH],"",0)</f>
        <v>#REF!</v>
      </c>
      <c r="AJ822" s="69" t="e" cm="1">
        <f t="array" ref="AJ822">_xlfn.XLOOKUP(Table1[[#This Row],[5 cm2 cell test code]:[5 cm2 cell test code]],[1]!Table1[[Test code]:[Test code]],[1]!Table1[DIW conductivity (µS/cm)],"",0)</f>
        <v>#REF!</v>
      </c>
    </row>
    <row r="823" spans="1:36">
      <c r="A823" s="81"/>
      <c r="U823" s="101"/>
      <c r="V823" s="101"/>
      <c r="W823" s="69" t="e" cm="1">
        <f t="array" ref="W823">_xlfn.XLOOKUP(Table1[[#This Row],[5 cm2 cell test code]:[5 cm2 cell test code]],[1]!Table1[[Test code]:[Test code]],[1]!Table1[i @ 1.8 V DIW (A/cm2)],"",0)</f>
        <v>#REF!</v>
      </c>
      <c r="X823" s="69" t="e" cm="1">
        <f t="array" ref="X823">_xlfn.XLOOKUP(Table1[[#This Row],[5 cm2 cell test code]:[5 cm2 cell test code]],[1]!Table1[[Test code]:[Test code]],[1]!Table1[i @ 1.8 V 10 mM KOH (A/cm2)],"",0)</f>
        <v>#REF!</v>
      </c>
      <c r="Y823" s="69" t="e" cm="1">
        <f t="array" ref="Y823">_xlfn.XLOOKUP(Table1[[#This Row],[5 cm2 cell test code]:[5 cm2 cell test code]],[1]!Table1[[Test code]:[Test code]],[1]!Table1[3-E ƞ at 20mAcm-2 (mV)],"",0)</f>
        <v>#REF!</v>
      </c>
      <c r="Z823" s="69" t="e" cm="1">
        <f t="array" ref="Z823">_xlfn.XLOOKUP(Table1[[#This Row],[5 cm2 cell test code]:[5 cm2 cell test code]],[1]!Table1[[Test code]:[Test code]],[1]!Table1[3-E Tafel slope (mV/dec)],"",0)</f>
        <v>#REF!</v>
      </c>
      <c r="AA823" s="69" t="e" cm="1">
        <f t="array" ref="AA823">_xlfn.XLOOKUP(Table1[[#This Row],[5 cm2 cell test code]:[5 cm2 cell test code]],[1]!Table1[[Test code]:[Test code]],[1]!Table1[E @ 100 mA/cm2 DIW/V],"",0)</f>
        <v>#REF!</v>
      </c>
      <c r="AB823" s="69" t="e" cm="1">
        <f t="array" ref="AB823">_xlfn.XLOOKUP(Table1[[#This Row],[5 cm2 cell test code]:[5 cm2 cell test code]],[1]!Table1[[Test code]:[Test code]],[1]!Table1[E @ 100 mA/cm2 10 mM KOH/V],"",0)</f>
        <v>#REF!</v>
      </c>
      <c r="AC823" s="69" t="e" cm="1">
        <f t="array" ref="AC823">_xlfn.XLOOKUP(Table1[[#This Row],[5 cm2 cell test code]:[5 cm2 cell test code]],[1]!Table1[[Test code]:[Test code]],[1]!Table1[Anode ICR/mOhm],"",0)</f>
        <v>#REF!</v>
      </c>
      <c r="AD823" s="69" t="e" cm="1">
        <f t="array" ref="AD823">_xlfn.XLOOKUP(Table1[[#This Row],[5 cm2 cell test code]:[5 cm2 cell test code]],[1]!Table1[[Test code]:[Test code]],[1]!Table1[HFR DIW/ mOhm cm2],"",0)</f>
        <v>#REF!</v>
      </c>
      <c r="AE823" s="69" t="e" cm="1">
        <f t="array" ref="AE823">_xlfn.XLOOKUP(Table1[[#This Row],[5 cm2 cell test code]:[5 cm2 cell test code]],[1]!Table1[[Test code]:[Test code]],[1]!Table1[HFR 10 mM KOH/ mOhm cm2],"",0)</f>
        <v>#REF!</v>
      </c>
      <c r="AF823" s="69" t="e" cm="1">
        <f t="array" ref="AF823">_xlfn.XLOOKUP(Table1[[#This Row],[5 cm2 cell test code]:[5 cm2 cell test code]],[1]!Table1[[Test code]:[Test code]],[1]!Table1[Ionic resistance DIW/Ohm cm2],"",0)</f>
        <v>#REF!</v>
      </c>
      <c r="AG823" s="69" t="e" cm="1">
        <f t="array" ref="AG823">_xlfn.XLOOKUP(Table1[[#This Row],[5 cm2 cell test code]:[5 cm2 cell test code]],[1]!Table1[[Test code]:[Test code]],[1]!Table1[Q_int_frac DIW],"",0)</f>
        <v>#REF!</v>
      </c>
      <c r="AH823" s="69" t="e" cm="1">
        <f t="array" ref="AH823">_xlfn.XLOOKUP(Table1[[#This Row],[5 cm2 cell test code]:[5 cm2 cell test code]],[1]!Table1[[Test code]:[Test code]],[1]!Table1[Ionic resistance 10 mM KOH/Ohm cm2],"",0)</f>
        <v>#REF!</v>
      </c>
      <c r="AI823" s="69" t="e" cm="1">
        <f t="array" ref="AI823">_xlfn.XLOOKUP(Table1[[#This Row],[5 cm2 cell test code]:[5 cm2 cell test code]],[1]!Table1[[Test code]:[Test code]],[1]!Table1[Q_int_frac DIW 10 mM KOH],"",0)</f>
        <v>#REF!</v>
      </c>
      <c r="AJ823" s="69" t="e" cm="1">
        <f t="array" ref="AJ823">_xlfn.XLOOKUP(Table1[[#This Row],[5 cm2 cell test code]:[5 cm2 cell test code]],[1]!Table1[[Test code]:[Test code]],[1]!Table1[DIW conductivity (µS/cm)],"",0)</f>
        <v>#REF!</v>
      </c>
    </row>
    <row r="824" spans="1:36">
      <c r="A824" s="81"/>
      <c r="U824" s="101"/>
      <c r="V824" s="101"/>
      <c r="W824" s="69" t="e" cm="1">
        <f t="array" ref="W824">_xlfn.XLOOKUP(Table1[[#This Row],[5 cm2 cell test code]:[5 cm2 cell test code]],[1]!Table1[[Test code]:[Test code]],[1]!Table1[i @ 1.8 V DIW (A/cm2)],"",0)</f>
        <v>#REF!</v>
      </c>
      <c r="X824" s="69" t="e" cm="1">
        <f t="array" ref="X824">_xlfn.XLOOKUP(Table1[[#This Row],[5 cm2 cell test code]:[5 cm2 cell test code]],[1]!Table1[[Test code]:[Test code]],[1]!Table1[i @ 1.8 V 10 mM KOH (A/cm2)],"",0)</f>
        <v>#REF!</v>
      </c>
      <c r="Y824" s="69" t="e" cm="1">
        <f t="array" ref="Y824">_xlfn.XLOOKUP(Table1[[#This Row],[5 cm2 cell test code]:[5 cm2 cell test code]],[1]!Table1[[Test code]:[Test code]],[1]!Table1[3-E ƞ at 20mAcm-2 (mV)],"",0)</f>
        <v>#REF!</v>
      </c>
      <c r="Z824" s="69" t="e" cm="1">
        <f t="array" ref="Z824">_xlfn.XLOOKUP(Table1[[#This Row],[5 cm2 cell test code]:[5 cm2 cell test code]],[1]!Table1[[Test code]:[Test code]],[1]!Table1[3-E Tafel slope (mV/dec)],"",0)</f>
        <v>#REF!</v>
      </c>
      <c r="AA824" s="69" t="e" cm="1">
        <f t="array" ref="AA824">_xlfn.XLOOKUP(Table1[[#This Row],[5 cm2 cell test code]:[5 cm2 cell test code]],[1]!Table1[[Test code]:[Test code]],[1]!Table1[E @ 100 mA/cm2 DIW/V],"",0)</f>
        <v>#REF!</v>
      </c>
      <c r="AB824" s="69" t="e" cm="1">
        <f t="array" ref="AB824">_xlfn.XLOOKUP(Table1[[#This Row],[5 cm2 cell test code]:[5 cm2 cell test code]],[1]!Table1[[Test code]:[Test code]],[1]!Table1[E @ 100 mA/cm2 10 mM KOH/V],"",0)</f>
        <v>#REF!</v>
      </c>
      <c r="AC824" s="69" t="e" cm="1">
        <f t="array" ref="AC824">_xlfn.XLOOKUP(Table1[[#This Row],[5 cm2 cell test code]:[5 cm2 cell test code]],[1]!Table1[[Test code]:[Test code]],[1]!Table1[Anode ICR/mOhm],"",0)</f>
        <v>#REF!</v>
      </c>
      <c r="AD824" s="69" t="e" cm="1">
        <f t="array" ref="AD824">_xlfn.XLOOKUP(Table1[[#This Row],[5 cm2 cell test code]:[5 cm2 cell test code]],[1]!Table1[[Test code]:[Test code]],[1]!Table1[HFR DIW/ mOhm cm2],"",0)</f>
        <v>#REF!</v>
      </c>
      <c r="AE824" s="69" t="e" cm="1">
        <f t="array" ref="AE824">_xlfn.XLOOKUP(Table1[[#This Row],[5 cm2 cell test code]:[5 cm2 cell test code]],[1]!Table1[[Test code]:[Test code]],[1]!Table1[HFR 10 mM KOH/ mOhm cm2],"",0)</f>
        <v>#REF!</v>
      </c>
      <c r="AF824" s="69" t="e" cm="1">
        <f t="array" ref="AF824">_xlfn.XLOOKUP(Table1[[#This Row],[5 cm2 cell test code]:[5 cm2 cell test code]],[1]!Table1[[Test code]:[Test code]],[1]!Table1[Ionic resistance DIW/Ohm cm2],"",0)</f>
        <v>#REF!</v>
      </c>
      <c r="AG824" s="69" t="e" cm="1">
        <f t="array" ref="AG824">_xlfn.XLOOKUP(Table1[[#This Row],[5 cm2 cell test code]:[5 cm2 cell test code]],[1]!Table1[[Test code]:[Test code]],[1]!Table1[Q_int_frac DIW],"",0)</f>
        <v>#REF!</v>
      </c>
      <c r="AH824" s="69" t="e" cm="1">
        <f t="array" ref="AH824">_xlfn.XLOOKUP(Table1[[#This Row],[5 cm2 cell test code]:[5 cm2 cell test code]],[1]!Table1[[Test code]:[Test code]],[1]!Table1[Ionic resistance 10 mM KOH/Ohm cm2],"",0)</f>
        <v>#REF!</v>
      </c>
      <c r="AI824" s="69" t="e" cm="1">
        <f t="array" ref="AI824">_xlfn.XLOOKUP(Table1[[#This Row],[5 cm2 cell test code]:[5 cm2 cell test code]],[1]!Table1[[Test code]:[Test code]],[1]!Table1[Q_int_frac DIW 10 mM KOH],"",0)</f>
        <v>#REF!</v>
      </c>
      <c r="AJ824" s="69" t="e" cm="1">
        <f t="array" ref="AJ824">_xlfn.XLOOKUP(Table1[[#This Row],[5 cm2 cell test code]:[5 cm2 cell test code]],[1]!Table1[[Test code]:[Test code]],[1]!Table1[DIW conductivity (µS/cm)],"",0)</f>
        <v>#REF!</v>
      </c>
    </row>
    <row r="825" spans="1:36">
      <c r="A825" s="81"/>
      <c r="U825" s="101"/>
      <c r="V825" s="101"/>
      <c r="W825" s="69" t="e" cm="1">
        <f t="array" ref="W825">_xlfn.XLOOKUP(Table1[[#This Row],[5 cm2 cell test code]:[5 cm2 cell test code]],[1]!Table1[[Test code]:[Test code]],[1]!Table1[i @ 1.8 V DIW (A/cm2)],"",0)</f>
        <v>#REF!</v>
      </c>
      <c r="X825" s="69" t="e" cm="1">
        <f t="array" ref="X825">_xlfn.XLOOKUP(Table1[[#This Row],[5 cm2 cell test code]:[5 cm2 cell test code]],[1]!Table1[[Test code]:[Test code]],[1]!Table1[i @ 1.8 V 10 mM KOH (A/cm2)],"",0)</f>
        <v>#REF!</v>
      </c>
      <c r="Y825" s="69" t="e" cm="1">
        <f t="array" ref="Y825">_xlfn.XLOOKUP(Table1[[#This Row],[5 cm2 cell test code]:[5 cm2 cell test code]],[1]!Table1[[Test code]:[Test code]],[1]!Table1[3-E ƞ at 20mAcm-2 (mV)],"",0)</f>
        <v>#REF!</v>
      </c>
      <c r="Z825" s="69" t="e" cm="1">
        <f t="array" ref="Z825">_xlfn.XLOOKUP(Table1[[#This Row],[5 cm2 cell test code]:[5 cm2 cell test code]],[1]!Table1[[Test code]:[Test code]],[1]!Table1[3-E Tafel slope (mV/dec)],"",0)</f>
        <v>#REF!</v>
      </c>
      <c r="AA825" s="69" t="e" cm="1">
        <f t="array" ref="AA825">_xlfn.XLOOKUP(Table1[[#This Row],[5 cm2 cell test code]:[5 cm2 cell test code]],[1]!Table1[[Test code]:[Test code]],[1]!Table1[E @ 100 mA/cm2 DIW/V],"",0)</f>
        <v>#REF!</v>
      </c>
      <c r="AB825" s="69" t="e" cm="1">
        <f t="array" ref="AB825">_xlfn.XLOOKUP(Table1[[#This Row],[5 cm2 cell test code]:[5 cm2 cell test code]],[1]!Table1[[Test code]:[Test code]],[1]!Table1[E @ 100 mA/cm2 10 mM KOH/V],"",0)</f>
        <v>#REF!</v>
      </c>
      <c r="AC825" s="69" t="e" cm="1">
        <f t="array" ref="AC825">_xlfn.XLOOKUP(Table1[[#This Row],[5 cm2 cell test code]:[5 cm2 cell test code]],[1]!Table1[[Test code]:[Test code]],[1]!Table1[Anode ICR/mOhm],"",0)</f>
        <v>#REF!</v>
      </c>
      <c r="AD825" s="69" t="e" cm="1">
        <f t="array" ref="AD825">_xlfn.XLOOKUP(Table1[[#This Row],[5 cm2 cell test code]:[5 cm2 cell test code]],[1]!Table1[[Test code]:[Test code]],[1]!Table1[HFR DIW/ mOhm cm2],"",0)</f>
        <v>#REF!</v>
      </c>
      <c r="AE825" s="69" t="e" cm="1">
        <f t="array" ref="AE825">_xlfn.XLOOKUP(Table1[[#This Row],[5 cm2 cell test code]:[5 cm2 cell test code]],[1]!Table1[[Test code]:[Test code]],[1]!Table1[HFR 10 mM KOH/ mOhm cm2],"",0)</f>
        <v>#REF!</v>
      </c>
      <c r="AF825" s="69" t="e" cm="1">
        <f t="array" ref="AF825">_xlfn.XLOOKUP(Table1[[#This Row],[5 cm2 cell test code]:[5 cm2 cell test code]],[1]!Table1[[Test code]:[Test code]],[1]!Table1[Ionic resistance DIW/Ohm cm2],"",0)</f>
        <v>#REF!</v>
      </c>
      <c r="AG825" s="69" t="e" cm="1">
        <f t="array" ref="AG825">_xlfn.XLOOKUP(Table1[[#This Row],[5 cm2 cell test code]:[5 cm2 cell test code]],[1]!Table1[[Test code]:[Test code]],[1]!Table1[Q_int_frac DIW],"",0)</f>
        <v>#REF!</v>
      </c>
      <c r="AH825" s="69" t="e" cm="1">
        <f t="array" ref="AH825">_xlfn.XLOOKUP(Table1[[#This Row],[5 cm2 cell test code]:[5 cm2 cell test code]],[1]!Table1[[Test code]:[Test code]],[1]!Table1[Ionic resistance 10 mM KOH/Ohm cm2],"",0)</f>
        <v>#REF!</v>
      </c>
      <c r="AI825" s="69" t="e" cm="1">
        <f t="array" ref="AI825">_xlfn.XLOOKUP(Table1[[#This Row],[5 cm2 cell test code]:[5 cm2 cell test code]],[1]!Table1[[Test code]:[Test code]],[1]!Table1[Q_int_frac DIW 10 mM KOH],"",0)</f>
        <v>#REF!</v>
      </c>
      <c r="AJ825" s="69" t="e" cm="1">
        <f t="array" ref="AJ825">_xlfn.XLOOKUP(Table1[[#This Row],[5 cm2 cell test code]:[5 cm2 cell test code]],[1]!Table1[[Test code]:[Test code]],[1]!Table1[DIW conductivity (µS/cm)],"",0)</f>
        <v>#REF!</v>
      </c>
    </row>
    <row r="826" spans="1:36">
      <c r="A826" s="81"/>
      <c r="U826" s="101"/>
      <c r="V826" s="101"/>
      <c r="W826" s="69" t="e" cm="1">
        <f t="array" ref="W826">_xlfn.XLOOKUP(Table1[[#This Row],[5 cm2 cell test code]:[5 cm2 cell test code]],[1]!Table1[[Test code]:[Test code]],[1]!Table1[i @ 1.8 V DIW (A/cm2)],"",0)</f>
        <v>#REF!</v>
      </c>
      <c r="X826" s="69" t="e" cm="1">
        <f t="array" ref="X826">_xlfn.XLOOKUP(Table1[[#This Row],[5 cm2 cell test code]:[5 cm2 cell test code]],[1]!Table1[[Test code]:[Test code]],[1]!Table1[i @ 1.8 V 10 mM KOH (A/cm2)],"",0)</f>
        <v>#REF!</v>
      </c>
      <c r="Y826" s="69" t="e" cm="1">
        <f t="array" ref="Y826">_xlfn.XLOOKUP(Table1[[#This Row],[5 cm2 cell test code]:[5 cm2 cell test code]],[1]!Table1[[Test code]:[Test code]],[1]!Table1[3-E ƞ at 20mAcm-2 (mV)],"",0)</f>
        <v>#REF!</v>
      </c>
      <c r="Z826" s="69" t="e" cm="1">
        <f t="array" ref="Z826">_xlfn.XLOOKUP(Table1[[#This Row],[5 cm2 cell test code]:[5 cm2 cell test code]],[1]!Table1[[Test code]:[Test code]],[1]!Table1[3-E Tafel slope (mV/dec)],"",0)</f>
        <v>#REF!</v>
      </c>
      <c r="AA826" s="69" t="e" cm="1">
        <f t="array" ref="AA826">_xlfn.XLOOKUP(Table1[[#This Row],[5 cm2 cell test code]:[5 cm2 cell test code]],[1]!Table1[[Test code]:[Test code]],[1]!Table1[E @ 100 mA/cm2 DIW/V],"",0)</f>
        <v>#REF!</v>
      </c>
      <c r="AB826" s="69" t="e" cm="1">
        <f t="array" ref="AB826">_xlfn.XLOOKUP(Table1[[#This Row],[5 cm2 cell test code]:[5 cm2 cell test code]],[1]!Table1[[Test code]:[Test code]],[1]!Table1[E @ 100 mA/cm2 10 mM KOH/V],"",0)</f>
        <v>#REF!</v>
      </c>
      <c r="AC826" s="69" t="e" cm="1">
        <f t="array" ref="AC826">_xlfn.XLOOKUP(Table1[[#This Row],[5 cm2 cell test code]:[5 cm2 cell test code]],[1]!Table1[[Test code]:[Test code]],[1]!Table1[Anode ICR/mOhm],"",0)</f>
        <v>#REF!</v>
      </c>
      <c r="AD826" s="69" t="e" cm="1">
        <f t="array" ref="AD826">_xlfn.XLOOKUP(Table1[[#This Row],[5 cm2 cell test code]:[5 cm2 cell test code]],[1]!Table1[[Test code]:[Test code]],[1]!Table1[HFR DIW/ mOhm cm2],"",0)</f>
        <v>#REF!</v>
      </c>
      <c r="AE826" s="69" t="e" cm="1">
        <f t="array" ref="AE826">_xlfn.XLOOKUP(Table1[[#This Row],[5 cm2 cell test code]:[5 cm2 cell test code]],[1]!Table1[[Test code]:[Test code]],[1]!Table1[HFR 10 mM KOH/ mOhm cm2],"",0)</f>
        <v>#REF!</v>
      </c>
      <c r="AF826" s="69" t="e" cm="1">
        <f t="array" ref="AF826">_xlfn.XLOOKUP(Table1[[#This Row],[5 cm2 cell test code]:[5 cm2 cell test code]],[1]!Table1[[Test code]:[Test code]],[1]!Table1[Ionic resistance DIW/Ohm cm2],"",0)</f>
        <v>#REF!</v>
      </c>
      <c r="AG826" s="69" t="e" cm="1">
        <f t="array" ref="AG826">_xlfn.XLOOKUP(Table1[[#This Row],[5 cm2 cell test code]:[5 cm2 cell test code]],[1]!Table1[[Test code]:[Test code]],[1]!Table1[Q_int_frac DIW],"",0)</f>
        <v>#REF!</v>
      </c>
      <c r="AH826" s="69" t="e" cm="1">
        <f t="array" ref="AH826">_xlfn.XLOOKUP(Table1[[#This Row],[5 cm2 cell test code]:[5 cm2 cell test code]],[1]!Table1[[Test code]:[Test code]],[1]!Table1[Ionic resistance 10 mM KOH/Ohm cm2],"",0)</f>
        <v>#REF!</v>
      </c>
      <c r="AI826" s="69" t="e" cm="1">
        <f t="array" ref="AI826">_xlfn.XLOOKUP(Table1[[#This Row],[5 cm2 cell test code]:[5 cm2 cell test code]],[1]!Table1[[Test code]:[Test code]],[1]!Table1[Q_int_frac DIW 10 mM KOH],"",0)</f>
        <v>#REF!</v>
      </c>
      <c r="AJ826" s="69" t="e" cm="1">
        <f t="array" ref="AJ826">_xlfn.XLOOKUP(Table1[[#This Row],[5 cm2 cell test code]:[5 cm2 cell test code]],[1]!Table1[[Test code]:[Test code]],[1]!Table1[DIW conductivity (µS/cm)],"",0)</f>
        <v>#REF!</v>
      </c>
    </row>
    <row r="827" spans="1:36">
      <c r="A827" s="81"/>
      <c r="U827" s="101"/>
      <c r="V827" s="101"/>
      <c r="W827" s="69" t="e" cm="1">
        <f t="array" ref="W827">_xlfn.XLOOKUP(Table1[[#This Row],[5 cm2 cell test code]:[5 cm2 cell test code]],[1]!Table1[[Test code]:[Test code]],[1]!Table1[i @ 1.8 V DIW (A/cm2)],"",0)</f>
        <v>#REF!</v>
      </c>
      <c r="X827" s="69" t="e" cm="1">
        <f t="array" ref="X827">_xlfn.XLOOKUP(Table1[[#This Row],[5 cm2 cell test code]:[5 cm2 cell test code]],[1]!Table1[[Test code]:[Test code]],[1]!Table1[i @ 1.8 V 10 mM KOH (A/cm2)],"",0)</f>
        <v>#REF!</v>
      </c>
      <c r="Y827" s="69" t="e" cm="1">
        <f t="array" ref="Y827">_xlfn.XLOOKUP(Table1[[#This Row],[5 cm2 cell test code]:[5 cm2 cell test code]],[1]!Table1[[Test code]:[Test code]],[1]!Table1[3-E ƞ at 20mAcm-2 (mV)],"",0)</f>
        <v>#REF!</v>
      </c>
      <c r="Z827" s="69" t="e" cm="1">
        <f t="array" ref="Z827">_xlfn.XLOOKUP(Table1[[#This Row],[5 cm2 cell test code]:[5 cm2 cell test code]],[1]!Table1[[Test code]:[Test code]],[1]!Table1[3-E Tafel slope (mV/dec)],"",0)</f>
        <v>#REF!</v>
      </c>
      <c r="AA827" s="69" t="e" cm="1">
        <f t="array" ref="AA827">_xlfn.XLOOKUP(Table1[[#This Row],[5 cm2 cell test code]:[5 cm2 cell test code]],[1]!Table1[[Test code]:[Test code]],[1]!Table1[E @ 100 mA/cm2 DIW/V],"",0)</f>
        <v>#REF!</v>
      </c>
      <c r="AB827" s="69" t="e" cm="1">
        <f t="array" ref="AB827">_xlfn.XLOOKUP(Table1[[#This Row],[5 cm2 cell test code]:[5 cm2 cell test code]],[1]!Table1[[Test code]:[Test code]],[1]!Table1[E @ 100 mA/cm2 10 mM KOH/V],"",0)</f>
        <v>#REF!</v>
      </c>
      <c r="AC827" s="69" t="e" cm="1">
        <f t="array" ref="AC827">_xlfn.XLOOKUP(Table1[[#This Row],[5 cm2 cell test code]:[5 cm2 cell test code]],[1]!Table1[[Test code]:[Test code]],[1]!Table1[Anode ICR/mOhm],"",0)</f>
        <v>#REF!</v>
      </c>
      <c r="AD827" s="69" t="e" cm="1">
        <f t="array" ref="AD827">_xlfn.XLOOKUP(Table1[[#This Row],[5 cm2 cell test code]:[5 cm2 cell test code]],[1]!Table1[[Test code]:[Test code]],[1]!Table1[HFR DIW/ mOhm cm2],"",0)</f>
        <v>#REF!</v>
      </c>
      <c r="AE827" s="69" t="e" cm="1">
        <f t="array" ref="AE827">_xlfn.XLOOKUP(Table1[[#This Row],[5 cm2 cell test code]:[5 cm2 cell test code]],[1]!Table1[[Test code]:[Test code]],[1]!Table1[HFR 10 mM KOH/ mOhm cm2],"",0)</f>
        <v>#REF!</v>
      </c>
      <c r="AF827" s="69" t="e" cm="1">
        <f t="array" ref="AF827">_xlfn.XLOOKUP(Table1[[#This Row],[5 cm2 cell test code]:[5 cm2 cell test code]],[1]!Table1[[Test code]:[Test code]],[1]!Table1[Ionic resistance DIW/Ohm cm2],"",0)</f>
        <v>#REF!</v>
      </c>
      <c r="AG827" s="69" t="e" cm="1">
        <f t="array" ref="AG827">_xlfn.XLOOKUP(Table1[[#This Row],[5 cm2 cell test code]:[5 cm2 cell test code]],[1]!Table1[[Test code]:[Test code]],[1]!Table1[Q_int_frac DIW],"",0)</f>
        <v>#REF!</v>
      </c>
      <c r="AH827" s="69" t="e" cm="1">
        <f t="array" ref="AH827">_xlfn.XLOOKUP(Table1[[#This Row],[5 cm2 cell test code]:[5 cm2 cell test code]],[1]!Table1[[Test code]:[Test code]],[1]!Table1[Ionic resistance 10 mM KOH/Ohm cm2],"",0)</f>
        <v>#REF!</v>
      </c>
      <c r="AI827" s="69" t="e" cm="1">
        <f t="array" ref="AI827">_xlfn.XLOOKUP(Table1[[#This Row],[5 cm2 cell test code]:[5 cm2 cell test code]],[1]!Table1[[Test code]:[Test code]],[1]!Table1[Q_int_frac DIW 10 mM KOH],"",0)</f>
        <v>#REF!</v>
      </c>
      <c r="AJ827" s="69" t="e" cm="1">
        <f t="array" ref="AJ827">_xlfn.XLOOKUP(Table1[[#This Row],[5 cm2 cell test code]:[5 cm2 cell test code]],[1]!Table1[[Test code]:[Test code]],[1]!Table1[DIW conductivity (µS/cm)],"",0)</f>
        <v>#REF!</v>
      </c>
    </row>
    <row r="828" spans="1:36">
      <c r="A828" s="81"/>
      <c r="U828" s="101"/>
      <c r="V828" s="101"/>
      <c r="W828" s="69" t="e" cm="1">
        <f t="array" ref="W828">_xlfn.XLOOKUP(Table1[[#This Row],[5 cm2 cell test code]:[5 cm2 cell test code]],[1]!Table1[[Test code]:[Test code]],[1]!Table1[i @ 1.8 V DIW (A/cm2)],"",0)</f>
        <v>#REF!</v>
      </c>
      <c r="X828" s="69" t="e" cm="1">
        <f t="array" ref="X828">_xlfn.XLOOKUP(Table1[[#This Row],[5 cm2 cell test code]:[5 cm2 cell test code]],[1]!Table1[[Test code]:[Test code]],[1]!Table1[i @ 1.8 V 10 mM KOH (A/cm2)],"",0)</f>
        <v>#REF!</v>
      </c>
      <c r="Y828" s="69" t="e" cm="1">
        <f t="array" ref="Y828">_xlfn.XLOOKUP(Table1[[#This Row],[5 cm2 cell test code]:[5 cm2 cell test code]],[1]!Table1[[Test code]:[Test code]],[1]!Table1[3-E ƞ at 20mAcm-2 (mV)],"",0)</f>
        <v>#REF!</v>
      </c>
      <c r="Z828" s="69" t="e" cm="1">
        <f t="array" ref="Z828">_xlfn.XLOOKUP(Table1[[#This Row],[5 cm2 cell test code]:[5 cm2 cell test code]],[1]!Table1[[Test code]:[Test code]],[1]!Table1[3-E Tafel slope (mV/dec)],"",0)</f>
        <v>#REF!</v>
      </c>
      <c r="AA828" s="69" t="e" cm="1">
        <f t="array" ref="AA828">_xlfn.XLOOKUP(Table1[[#This Row],[5 cm2 cell test code]:[5 cm2 cell test code]],[1]!Table1[[Test code]:[Test code]],[1]!Table1[E @ 100 mA/cm2 DIW/V],"",0)</f>
        <v>#REF!</v>
      </c>
      <c r="AB828" s="69" t="e" cm="1">
        <f t="array" ref="AB828">_xlfn.XLOOKUP(Table1[[#This Row],[5 cm2 cell test code]:[5 cm2 cell test code]],[1]!Table1[[Test code]:[Test code]],[1]!Table1[E @ 100 mA/cm2 10 mM KOH/V],"",0)</f>
        <v>#REF!</v>
      </c>
      <c r="AC828" s="69" t="e" cm="1">
        <f t="array" ref="AC828">_xlfn.XLOOKUP(Table1[[#This Row],[5 cm2 cell test code]:[5 cm2 cell test code]],[1]!Table1[[Test code]:[Test code]],[1]!Table1[Anode ICR/mOhm],"",0)</f>
        <v>#REF!</v>
      </c>
      <c r="AD828" s="69" t="e" cm="1">
        <f t="array" ref="AD828">_xlfn.XLOOKUP(Table1[[#This Row],[5 cm2 cell test code]:[5 cm2 cell test code]],[1]!Table1[[Test code]:[Test code]],[1]!Table1[HFR DIW/ mOhm cm2],"",0)</f>
        <v>#REF!</v>
      </c>
      <c r="AE828" s="69" t="e" cm="1">
        <f t="array" ref="AE828">_xlfn.XLOOKUP(Table1[[#This Row],[5 cm2 cell test code]:[5 cm2 cell test code]],[1]!Table1[[Test code]:[Test code]],[1]!Table1[HFR 10 mM KOH/ mOhm cm2],"",0)</f>
        <v>#REF!</v>
      </c>
      <c r="AF828" s="69" t="e" cm="1">
        <f t="array" ref="AF828">_xlfn.XLOOKUP(Table1[[#This Row],[5 cm2 cell test code]:[5 cm2 cell test code]],[1]!Table1[[Test code]:[Test code]],[1]!Table1[Ionic resistance DIW/Ohm cm2],"",0)</f>
        <v>#REF!</v>
      </c>
      <c r="AG828" s="69" t="e" cm="1">
        <f t="array" ref="AG828">_xlfn.XLOOKUP(Table1[[#This Row],[5 cm2 cell test code]:[5 cm2 cell test code]],[1]!Table1[[Test code]:[Test code]],[1]!Table1[Q_int_frac DIW],"",0)</f>
        <v>#REF!</v>
      </c>
      <c r="AH828" s="69" t="e" cm="1">
        <f t="array" ref="AH828">_xlfn.XLOOKUP(Table1[[#This Row],[5 cm2 cell test code]:[5 cm2 cell test code]],[1]!Table1[[Test code]:[Test code]],[1]!Table1[Ionic resistance 10 mM KOH/Ohm cm2],"",0)</f>
        <v>#REF!</v>
      </c>
      <c r="AI828" s="69" t="e" cm="1">
        <f t="array" ref="AI828">_xlfn.XLOOKUP(Table1[[#This Row],[5 cm2 cell test code]:[5 cm2 cell test code]],[1]!Table1[[Test code]:[Test code]],[1]!Table1[Q_int_frac DIW 10 mM KOH],"",0)</f>
        <v>#REF!</v>
      </c>
      <c r="AJ828" s="69" t="e" cm="1">
        <f t="array" ref="AJ828">_xlfn.XLOOKUP(Table1[[#This Row],[5 cm2 cell test code]:[5 cm2 cell test code]],[1]!Table1[[Test code]:[Test code]],[1]!Table1[DIW conductivity (µS/cm)],"",0)</f>
        <v>#REF!</v>
      </c>
    </row>
    <row r="829" spans="1:36">
      <c r="A829" s="81"/>
      <c r="U829" s="101"/>
      <c r="V829" s="101"/>
      <c r="W829" s="69" t="e" cm="1">
        <f t="array" ref="W829">_xlfn.XLOOKUP(Table1[[#This Row],[5 cm2 cell test code]:[5 cm2 cell test code]],[1]!Table1[[Test code]:[Test code]],[1]!Table1[i @ 1.8 V DIW (A/cm2)],"",0)</f>
        <v>#REF!</v>
      </c>
      <c r="X829" s="69" t="e" cm="1">
        <f t="array" ref="X829">_xlfn.XLOOKUP(Table1[[#This Row],[5 cm2 cell test code]:[5 cm2 cell test code]],[1]!Table1[[Test code]:[Test code]],[1]!Table1[i @ 1.8 V 10 mM KOH (A/cm2)],"",0)</f>
        <v>#REF!</v>
      </c>
      <c r="Y829" s="69" t="e" cm="1">
        <f t="array" ref="Y829">_xlfn.XLOOKUP(Table1[[#This Row],[5 cm2 cell test code]:[5 cm2 cell test code]],[1]!Table1[[Test code]:[Test code]],[1]!Table1[3-E ƞ at 20mAcm-2 (mV)],"",0)</f>
        <v>#REF!</v>
      </c>
      <c r="Z829" s="69" t="e" cm="1">
        <f t="array" ref="Z829">_xlfn.XLOOKUP(Table1[[#This Row],[5 cm2 cell test code]:[5 cm2 cell test code]],[1]!Table1[[Test code]:[Test code]],[1]!Table1[3-E Tafel slope (mV/dec)],"",0)</f>
        <v>#REF!</v>
      </c>
      <c r="AA829" s="69" t="e" cm="1">
        <f t="array" ref="AA829">_xlfn.XLOOKUP(Table1[[#This Row],[5 cm2 cell test code]:[5 cm2 cell test code]],[1]!Table1[[Test code]:[Test code]],[1]!Table1[E @ 100 mA/cm2 DIW/V],"",0)</f>
        <v>#REF!</v>
      </c>
      <c r="AB829" s="69" t="e" cm="1">
        <f t="array" ref="AB829">_xlfn.XLOOKUP(Table1[[#This Row],[5 cm2 cell test code]:[5 cm2 cell test code]],[1]!Table1[[Test code]:[Test code]],[1]!Table1[E @ 100 mA/cm2 10 mM KOH/V],"",0)</f>
        <v>#REF!</v>
      </c>
      <c r="AC829" s="69" t="e" cm="1">
        <f t="array" ref="AC829">_xlfn.XLOOKUP(Table1[[#This Row],[5 cm2 cell test code]:[5 cm2 cell test code]],[1]!Table1[[Test code]:[Test code]],[1]!Table1[Anode ICR/mOhm],"",0)</f>
        <v>#REF!</v>
      </c>
      <c r="AD829" s="69" t="e" cm="1">
        <f t="array" ref="AD829">_xlfn.XLOOKUP(Table1[[#This Row],[5 cm2 cell test code]:[5 cm2 cell test code]],[1]!Table1[[Test code]:[Test code]],[1]!Table1[HFR DIW/ mOhm cm2],"",0)</f>
        <v>#REF!</v>
      </c>
      <c r="AE829" s="69" t="e" cm="1">
        <f t="array" ref="AE829">_xlfn.XLOOKUP(Table1[[#This Row],[5 cm2 cell test code]:[5 cm2 cell test code]],[1]!Table1[[Test code]:[Test code]],[1]!Table1[HFR 10 mM KOH/ mOhm cm2],"",0)</f>
        <v>#REF!</v>
      </c>
      <c r="AF829" s="69" t="e" cm="1">
        <f t="array" ref="AF829">_xlfn.XLOOKUP(Table1[[#This Row],[5 cm2 cell test code]:[5 cm2 cell test code]],[1]!Table1[[Test code]:[Test code]],[1]!Table1[Ionic resistance DIW/Ohm cm2],"",0)</f>
        <v>#REF!</v>
      </c>
      <c r="AG829" s="69" t="e" cm="1">
        <f t="array" ref="AG829">_xlfn.XLOOKUP(Table1[[#This Row],[5 cm2 cell test code]:[5 cm2 cell test code]],[1]!Table1[[Test code]:[Test code]],[1]!Table1[Q_int_frac DIW],"",0)</f>
        <v>#REF!</v>
      </c>
      <c r="AH829" s="69" t="e" cm="1">
        <f t="array" ref="AH829">_xlfn.XLOOKUP(Table1[[#This Row],[5 cm2 cell test code]:[5 cm2 cell test code]],[1]!Table1[[Test code]:[Test code]],[1]!Table1[Ionic resistance 10 mM KOH/Ohm cm2],"",0)</f>
        <v>#REF!</v>
      </c>
      <c r="AI829" s="69" t="e" cm="1">
        <f t="array" ref="AI829">_xlfn.XLOOKUP(Table1[[#This Row],[5 cm2 cell test code]:[5 cm2 cell test code]],[1]!Table1[[Test code]:[Test code]],[1]!Table1[Q_int_frac DIW 10 mM KOH],"",0)</f>
        <v>#REF!</v>
      </c>
      <c r="AJ829" s="69" t="e" cm="1">
        <f t="array" ref="AJ829">_xlfn.XLOOKUP(Table1[[#This Row],[5 cm2 cell test code]:[5 cm2 cell test code]],[1]!Table1[[Test code]:[Test code]],[1]!Table1[DIW conductivity (µS/cm)],"",0)</f>
        <v>#REF!</v>
      </c>
    </row>
    <row r="830" spans="1:36">
      <c r="A830" s="81"/>
      <c r="U830" s="101"/>
      <c r="V830" s="101"/>
      <c r="W830" s="69" t="e" cm="1">
        <f t="array" ref="W830">_xlfn.XLOOKUP(Table1[[#This Row],[5 cm2 cell test code]:[5 cm2 cell test code]],[1]!Table1[[Test code]:[Test code]],[1]!Table1[i @ 1.8 V DIW (A/cm2)],"",0)</f>
        <v>#REF!</v>
      </c>
      <c r="X830" s="69" t="e" cm="1">
        <f t="array" ref="X830">_xlfn.XLOOKUP(Table1[[#This Row],[5 cm2 cell test code]:[5 cm2 cell test code]],[1]!Table1[[Test code]:[Test code]],[1]!Table1[i @ 1.8 V 10 mM KOH (A/cm2)],"",0)</f>
        <v>#REF!</v>
      </c>
      <c r="Y830" s="69" t="e" cm="1">
        <f t="array" ref="Y830">_xlfn.XLOOKUP(Table1[[#This Row],[5 cm2 cell test code]:[5 cm2 cell test code]],[1]!Table1[[Test code]:[Test code]],[1]!Table1[3-E ƞ at 20mAcm-2 (mV)],"",0)</f>
        <v>#REF!</v>
      </c>
      <c r="Z830" s="69" t="e" cm="1">
        <f t="array" ref="Z830">_xlfn.XLOOKUP(Table1[[#This Row],[5 cm2 cell test code]:[5 cm2 cell test code]],[1]!Table1[[Test code]:[Test code]],[1]!Table1[3-E Tafel slope (mV/dec)],"",0)</f>
        <v>#REF!</v>
      </c>
      <c r="AA830" s="69" t="e" cm="1">
        <f t="array" ref="AA830">_xlfn.XLOOKUP(Table1[[#This Row],[5 cm2 cell test code]:[5 cm2 cell test code]],[1]!Table1[[Test code]:[Test code]],[1]!Table1[E @ 100 mA/cm2 DIW/V],"",0)</f>
        <v>#REF!</v>
      </c>
      <c r="AB830" s="69" t="e" cm="1">
        <f t="array" ref="AB830">_xlfn.XLOOKUP(Table1[[#This Row],[5 cm2 cell test code]:[5 cm2 cell test code]],[1]!Table1[[Test code]:[Test code]],[1]!Table1[E @ 100 mA/cm2 10 mM KOH/V],"",0)</f>
        <v>#REF!</v>
      </c>
      <c r="AC830" s="69" t="e" cm="1">
        <f t="array" ref="AC830">_xlfn.XLOOKUP(Table1[[#This Row],[5 cm2 cell test code]:[5 cm2 cell test code]],[1]!Table1[[Test code]:[Test code]],[1]!Table1[Anode ICR/mOhm],"",0)</f>
        <v>#REF!</v>
      </c>
      <c r="AD830" s="69" t="e" cm="1">
        <f t="array" ref="AD830">_xlfn.XLOOKUP(Table1[[#This Row],[5 cm2 cell test code]:[5 cm2 cell test code]],[1]!Table1[[Test code]:[Test code]],[1]!Table1[HFR DIW/ mOhm cm2],"",0)</f>
        <v>#REF!</v>
      </c>
      <c r="AE830" s="69" t="e" cm="1">
        <f t="array" ref="AE830">_xlfn.XLOOKUP(Table1[[#This Row],[5 cm2 cell test code]:[5 cm2 cell test code]],[1]!Table1[[Test code]:[Test code]],[1]!Table1[HFR 10 mM KOH/ mOhm cm2],"",0)</f>
        <v>#REF!</v>
      </c>
      <c r="AF830" s="69" t="e" cm="1">
        <f t="array" ref="AF830">_xlfn.XLOOKUP(Table1[[#This Row],[5 cm2 cell test code]:[5 cm2 cell test code]],[1]!Table1[[Test code]:[Test code]],[1]!Table1[Ionic resistance DIW/Ohm cm2],"",0)</f>
        <v>#REF!</v>
      </c>
      <c r="AG830" s="69" t="e" cm="1">
        <f t="array" ref="AG830">_xlfn.XLOOKUP(Table1[[#This Row],[5 cm2 cell test code]:[5 cm2 cell test code]],[1]!Table1[[Test code]:[Test code]],[1]!Table1[Q_int_frac DIW],"",0)</f>
        <v>#REF!</v>
      </c>
      <c r="AH830" s="69" t="e" cm="1">
        <f t="array" ref="AH830">_xlfn.XLOOKUP(Table1[[#This Row],[5 cm2 cell test code]:[5 cm2 cell test code]],[1]!Table1[[Test code]:[Test code]],[1]!Table1[Ionic resistance 10 mM KOH/Ohm cm2],"",0)</f>
        <v>#REF!</v>
      </c>
      <c r="AI830" s="69" t="e" cm="1">
        <f t="array" ref="AI830">_xlfn.XLOOKUP(Table1[[#This Row],[5 cm2 cell test code]:[5 cm2 cell test code]],[1]!Table1[[Test code]:[Test code]],[1]!Table1[Q_int_frac DIW 10 mM KOH],"",0)</f>
        <v>#REF!</v>
      </c>
      <c r="AJ830" s="69" t="e" cm="1">
        <f t="array" ref="AJ830">_xlfn.XLOOKUP(Table1[[#This Row],[5 cm2 cell test code]:[5 cm2 cell test code]],[1]!Table1[[Test code]:[Test code]],[1]!Table1[DIW conductivity (µS/cm)],"",0)</f>
        <v>#REF!</v>
      </c>
    </row>
    <row r="831" spans="1:36">
      <c r="A831" s="81"/>
      <c r="U831" s="101"/>
      <c r="V831" s="101"/>
      <c r="W831" s="69" t="e" cm="1">
        <f t="array" ref="W831">_xlfn.XLOOKUP(Table1[[#This Row],[5 cm2 cell test code]:[5 cm2 cell test code]],[1]!Table1[[Test code]:[Test code]],[1]!Table1[i @ 1.8 V DIW (A/cm2)],"",0)</f>
        <v>#REF!</v>
      </c>
      <c r="X831" s="69" t="e" cm="1">
        <f t="array" ref="X831">_xlfn.XLOOKUP(Table1[[#This Row],[5 cm2 cell test code]:[5 cm2 cell test code]],[1]!Table1[[Test code]:[Test code]],[1]!Table1[i @ 1.8 V 10 mM KOH (A/cm2)],"",0)</f>
        <v>#REF!</v>
      </c>
      <c r="Y831" s="69" t="e" cm="1">
        <f t="array" ref="Y831">_xlfn.XLOOKUP(Table1[[#This Row],[5 cm2 cell test code]:[5 cm2 cell test code]],[1]!Table1[[Test code]:[Test code]],[1]!Table1[3-E ƞ at 20mAcm-2 (mV)],"",0)</f>
        <v>#REF!</v>
      </c>
      <c r="Z831" s="69" t="e" cm="1">
        <f t="array" ref="Z831">_xlfn.XLOOKUP(Table1[[#This Row],[5 cm2 cell test code]:[5 cm2 cell test code]],[1]!Table1[[Test code]:[Test code]],[1]!Table1[3-E Tafel slope (mV/dec)],"",0)</f>
        <v>#REF!</v>
      </c>
      <c r="AA831" s="69" t="e" cm="1">
        <f t="array" ref="AA831">_xlfn.XLOOKUP(Table1[[#This Row],[5 cm2 cell test code]:[5 cm2 cell test code]],[1]!Table1[[Test code]:[Test code]],[1]!Table1[E @ 100 mA/cm2 DIW/V],"",0)</f>
        <v>#REF!</v>
      </c>
      <c r="AB831" s="69" t="e" cm="1">
        <f t="array" ref="AB831">_xlfn.XLOOKUP(Table1[[#This Row],[5 cm2 cell test code]:[5 cm2 cell test code]],[1]!Table1[[Test code]:[Test code]],[1]!Table1[E @ 100 mA/cm2 10 mM KOH/V],"",0)</f>
        <v>#REF!</v>
      </c>
      <c r="AC831" s="69" t="e" cm="1">
        <f t="array" ref="AC831">_xlfn.XLOOKUP(Table1[[#This Row],[5 cm2 cell test code]:[5 cm2 cell test code]],[1]!Table1[[Test code]:[Test code]],[1]!Table1[Anode ICR/mOhm],"",0)</f>
        <v>#REF!</v>
      </c>
      <c r="AD831" s="69" t="e" cm="1">
        <f t="array" ref="AD831">_xlfn.XLOOKUP(Table1[[#This Row],[5 cm2 cell test code]:[5 cm2 cell test code]],[1]!Table1[[Test code]:[Test code]],[1]!Table1[HFR DIW/ mOhm cm2],"",0)</f>
        <v>#REF!</v>
      </c>
      <c r="AE831" s="69" t="e" cm="1">
        <f t="array" ref="AE831">_xlfn.XLOOKUP(Table1[[#This Row],[5 cm2 cell test code]:[5 cm2 cell test code]],[1]!Table1[[Test code]:[Test code]],[1]!Table1[HFR 10 mM KOH/ mOhm cm2],"",0)</f>
        <v>#REF!</v>
      </c>
      <c r="AF831" s="69" t="e" cm="1">
        <f t="array" ref="AF831">_xlfn.XLOOKUP(Table1[[#This Row],[5 cm2 cell test code]:[5 cm2 cell test code]],[1]!Table1[[Test code]:[Test code]],[1]!Table1[Ionic resistance DIW/Ohm cm2],"",0)</f>
        <v>#REF!</v>
      </c>
      <c r="AG831" s="69" t="e" cm="1">
        <f t="array" ref="AG831">_xlfn.XLOOKUP(Table1[[#This Row],[5 cm2 cell test code]:[5 cm2 cell test code]],[1]!Table1[[Test code]:[Test code]],[1]!Table1[Q_int_frac DIW],"",0)</f>
        <v>#REF!</v>
      </c>
      <c r="AH831" s="69" t="e" cm="1">
        <f t="array" ref="AH831">_xlfn.XLOOKUP(Table1[[#This Row],[5 cm2 cell test code]:[5 cm2 cell test code]],[1]!Table1[[Test code]:[Test code]],[1]!Table1[Ionic resistance 10 mM KOH/Ohm cm2],"",0)</f>
        <v>#REF!</v>
      </c>
      <c r="AI831" s="69" t="e" cm="1">
        <f t="array" ref="AI831">_xlfn.XLOOKUP(Table1[[#This Row],[5 cm2 cell test code]:[5 cm2 cell test code]],[1]!Table1[[Test code]:[Test code]],[1]!Table1[Q_int_frac DIW 10 mM KOH],"",0)</f>
        <v>#REF!</v>
      </c>
      <c r="AJ831" s="69" t="e" cm="1">
        <f t="array" ref="AJ831">_xlfn.XLOOKUP(Table1[[#This Row],[5 cm2 cell test code]:[5 cm2 cell test code]],[1]!Table1[[Test code]:[Test code]],[1]!Table1[DIW conductivity (µS/cm)],"",0)</f>
        <v>#REF!</v>
      </c>
    </row>
    <row r="832" spans="1:36">
      <c r="A832" s="81"/>
      <c r="U832" s="101"/>
      <c r="V832" s="101"/>
      <c r="W832" s="69" t="e" cm="1">
        <f t="array" ref="W832">_xlfn.XLOOKUP(Table1[[#This Row],[5 cm2 cell test code]:[5 cm2 cell test code]],[1]!Table1[[Test code]:[Test code]],[1]!Table1[i @ 1.8 V DIW (A/cm2)],"",0)</f>
        <v>#REF!</v>
      </c>
      <c r="X832" s="69" t="e" cm="1">
        <f t="array" ref="X832">_xlfn.XLOOKUP(Table1[[#This Row],[5 cm2 cell test code]:[5 cm2 cell test code]],[1]!Table1[[Test code]:[Test code]],[1]!Table1[i @ 1.8 V 10 mM KOH (A/cm2)],"",0)</f>
        <v>#REF!</v>
      </c>
      <c r="Y832" s="69" t="e" cm="1">
        <f t="array" ref="Y832">_xlfn.XLOOKUP(Table1[[#This Row],[5 cm2 cell test code]:[5 cm2 cell test code]],[1]!Table1[[Test code]:[Test code]],[1]!Table1[3-E ƞ at 20mAcm-2 (mV)],"",0)</f>
        <v>#REF!</v>
      </c>
      <c r="Z832" s="69" t="e" cm="1">
        <f t="array" ref="Z832">_xlfn.XLOOKUP(Table1[[#This Row],[5 cm2 cell test code]:[5 cm2 cell test code]],[1]!Table1[[Test code]:[Test code]],[1]!Table1[3-E Tafel slope (mV/dec)],"",0)</f>
        <v>#REF!</v>
      </c>
      <c r="AA832" s="69" t="e" cm="1">
        <f t="array" ref="AA832">_xlfn.XLOOKUP(Table1[[#This Row],[5 cm2 cell test code]:[5 cm2 cell test code]],[1]!Table1[[Test code]:[Test code]],[1]!Table1[E @ 100 mA/cm2 DIW/V],"",0)</f>
        <v>#REF!</v>
      </c>
      <c r="AB832" s="69" t="e" cm="1">
        <f t="array" ref="AB832">_xlfn.XLOOKUP(Table1[[#This Row],[5 cm2 cell test code]:[5 cm2 cell test code]],[1]!Table1[[Test code]:[Test code]],[1]!Table1[E @ 100 mA/cm2 10 mM KOH/V],"",0)</f>
        <v>#REF!</v>
      </c>
      <c r="AC832" s="69" t="e" cm="1">
        <f t="array" ref="AC832">_xlfn.XLOOKUP(Table1[[#This Row],[5 cm2 cell test code]:[5 cm2 cell test code]],[1]!Table1[[Test code]:[Test code]],[1]!Table1[Anode ICR/mOhm],"",0)</f>
        <v>#REF!</v>
      </c>
      <c r="AD832" s="69" t="e" cm="1">
        <f t="array" ref="AD832">_xlfn.XLOOKUP(Table1[[#This Row],[5 cm2 cell test code]:[5 cm2 cell test code]],[1]!Table1[[Test code]:[Test code]],[1]!Table1[HFR DIW/ mOhm cm2],"",0)</f>
        <v>#REF!</v>
      </c>
      <c r="AE832" s="69" t="e" cm="1">
        <f t="array" ref="AE832">_xlfn.XLOOKUP(Table1[[#This Row],[5 cm2 cell test code]:[5 cm2 cell test code]],[1]!Table1[[Test code]:[Test code]],[1]!Table1[HFR 10 mM KOH/ mOhm cm2],"",0)</f>
        <v>#REF!</v>
      </c>
      <c r="AF832" s="69" t="e" cm="1">
        <f t="array" ref="AF832">_xlfn.XLOOKUP(Table1[[#This Row],[5 cm2 cell test code]:[5 cm2 cell test code]],[1]!Table1[[Test code]:[Test code]],[1]!Table1[Ionic resistance DIW/Ohm cm2],"",0)</f>
        <v>#REF!</v>
      </c>
      <c r="AG832" s="69" t="e" cm="1">
        <f t="array" ref="AG832">_xlfn.XLOOKUP(Table1[[#This Row],[5 cm2 cell test code]:[5 cm2 cell test code]],[1]!Table1[[Test code]:[Test code]],[1]!Table1[Q_int_frac DIW],"",0)</f>
        <v>#REF!</v>
      </c>
      <c r="AH832" s="69" t="e" cm="1">
        <f t="array" ref="AH832">_xlfn.XLOOKUP(Table1[[#This Row],[5 cm2 cell test code]:[5 cm2 cell test code]],[1]!Table1[[Test code]:[Test code]],[1]!Table1[Ionic resistance 10 mM KOH/Ohm cm2],"",0)</f>
        <v>#REF!</v>
      </c>
      <c r="AI832" s="69" t="e" cm="1">
        <f t="array" ref="AI832">_xlfn.XLOOKUP(Table1[[#This Row],[5 cm2 cell test code]:[5 cm2 cell test code]],[1]!Table1[[Test code]:[Test code]],[1]!Table1[Q_int_frac DIW 10 mM KOH],"",0)</f>
        <v>#REF!</v>
      </c>
      <c r="AJ832" s="69" t="e" cm="1">
        <f t="array" ref="AJ832">_xlfn.XLOOKUP(Table1[[#This Row],[5 cm2 cell test code]:[5 cm2 cell test code]],[1]!Table1[[Test code]:[Test code]],[1]!Table1[DIW conductivity (µS/cm)],"",0)</f>
        <v>#REF!</v>
      </c>
    </row>
    <row r="833" spans="1:36">
      <c r="A833" s="81"/>
      <c r="U833" s="101"/>
      <c r="V833" s="101"/>
      <c r="W833" s="69" t="e" cm="1">
        <f t="array" ref="W833">_xlfn.XLOOKUP(Table1[[#This Row],[5 cm2 cell test code]:[5 cm2 cell test code]],[1]!Table1[[Test code]:[Test code]],[1]!Table1[i @ 1.8 V DIW (A/cm2)],"",0)</f>
        <v>#REF!</v>
      </c>
      <c r="X833" s="69" t="e" cm="1">
        <f t="array" ref="X833">_xlfn.XLOOKUP(Table1[[#This Row],[5 cm2 cell test code]:[5 cm2 cell test code]],[1]!Table1[[Test code]:[Test code]],[1]!Table1[i @ 1.8 V 10 mM KOH (A/cm2)],"",0)</f>
        <v>#REF!</v>
      </c>
      <c r="Y833" s="69" t="e" cm="1">
        <f t="array" ref="Y833">_xlfn.XLOOKUP(Table1[[#This Row],[5 cm2 cell test code]:[5 cm2 cell test code]],[1]!Table1[[Test code]:[Test code]],[1]!Table1[3-E ƞ at 20mAcm-2 (mV)],"",0)</f>
        <v>#REF!</v>
      </c>
      <c r="Z833" s="69" t="e" cm="1">
        <f t="array" ref="Z833">_xlfn.XLOOKUP(Table1[[#This Row],[5 cm2 cell test code]:[5 cm2 cell test code]],[1]!Table1[[Test code]:[Test code]],[1]!Table1[3-E Tafel slope (mV/dec)],"",0)</f>
        <v>#REF!</v>
      </c>
      <c r="AA833" s="69" t="e" cm="1">
        <f t="array" ref="AA833">_xlfn.XLOOKUP(Table1[[#This Row],[5 cm2 cell test code]:[5 cm2 cell test code]],[1]!Table1[[Test code]:[Test code]],[1]!Table1[E @ 100 mA/cm2 DIW/V],"",0)</f>
        <v>#REF!</v>
      </c>
      <c r="AB833" s="69" t="e" cm="1">
        <f t="array" ref="AB833">_xlfn.XLOOKUP(Table1[[#This Row],[5 cm2 cell test code]:[5 cm2 cell test code]],[1]!Table1[[Test code]:[Test code]],[1]!Table1[E @ 100 mA/cm2 10 mM KOH/V],"",0)</f>
        <v>#REF!</v>
      </c>
      <c r="AC833" s="69" t="e" cm="1">
        <f t="array" ref="AC833">_xlfn.XLOOKUP(Table1[[#This Row],[5 cm2 cell test code]:[5 cm2 cell test code]],[1]!Table1[[Test code]:[Test code]],[1]!Table1[Anode ICR/mOhm],"",0)</f>
        <v>#REF!</v>
      </c>
      <c r="AD833" s="69" t="e" cm="1">
        <f t="array" ref="AD833">_xlfn.XLOOKUP(Table1[[#This Row],[5 cm2 cell test code]:[5 cm2 cell test code]],[1]!Table1[[Test code]:[Test code]],[1]!Table1[HFR DIW/ mOhm cm2],"",0)</f>
        <v>#REF!</v>
      </c>
      <c r="AE833" s="69" t="e" cm="1">
        <f t="array" ref="AE833">_xlfn.XLOOKUP(Table1[[#This Row],[5 cm2 cell test code]:[5 cm2 cell test code]],[1]!Table1[[Test code]:[Test code]],[1]!Table1[HFR 10 mM KOH/ mOhm cm2],"",0)</f>
        <v>#REF!</v>
      </c>
      <c r="AF833" s="69" t="e" cm="1">
        <f t="array" ref="AF833">_xlfn.XLOOKUP(Table1[[#This Row],[5 cm2 cell test code]:[5 cm2 cell test code]],[1]!Table1[[Test code]:[Test code]],[1]!Table1[Ionic resistance DIW/Ohm cm2],"",0)</f>
        <v>#REF!</v>
      </c>
      <c r="AG833" s="69" t="e" cm="1">
        <f t="array" ref="AG833">_xlfn.XLOOKUP(Table1[[#This Row],[5 cm2 cell test code]:[5 cm2 cell test code]],[1]!Table1[[Test code]:[Test code]],[1]!Table1[Q_int_frac DIW],"",0)</f>
        <v>#REF!</v>
      </c>
      <c r="AH833" s="69" t="e" cm="1">
        <f t="array" ref="AH833">_xlfn.XLOOKUP(Table1[[#This Row],[5 cm2 cell test code]:[5 cm2 cell test code]],[1]!Table1[[Test code]:[Test code]],[1]!Table1[Ionic resistance 10 mM KOH/Ohm cm2],"",0)</f>
        <v>#REF!</v>
      </c>
      <c r="AI833" s="69" t="e" cm="1">
        <f t="array" ref="AI833">_xlfn.XLOOKUP(Table1[[#This Row],[5 cm2 cell test code]:[5 cm2 cell test code]],[1]!Table1[[Test code]:[Test code]],[1]!Table1[Q_int_frac DIW 10 mM KOH],"",0)</f>
        <v>#REF!</v>
      </c>
      <c r="AJ833" s="69" t="e" cm="1">
        <f t="array" ref="AJ833">_xlfn.XLOOKUP(Table1[[#This Row],[5 cm2 cell test code]:[5 cm2 cell test code]],[1]!Table1[[Test code]:[Test code]],[1]!Table1[DIW conductivity (µS/cm)],"",0)</f>
        <v>#REF!</v>
      </c>
    </row>
    <row r="834" spans="1:36">
      <c r="A834" s="81"/>
      <c r="U834" s="101"/>
      <c r="V834" s="101"/>
      <c r="W834" s="69" t="e" cm="1">
        <f t="array" ref="W834">_xlfn.XLOOKUP(Table1[[#This Row],[5 cm2 cell test code]:[5 cm2 cell test code]],[1]!Table1[[Test code]:[Test code]],[1]!Table1[i @ 1.8 V DIW (A/cm2)],"",0)</f>
        <v>#REF!</v>
      </c>
      <c r="X834" s="69" t="e" cm="1">
        <f t="array" ref="X834">_xlfn.XLOOKUP(Table1[[#This Row],[5 cm2 cell test code]:[5 cm2 cell test code]],[1]!Table1[[Test code]:[Test code]],[1]!Table1[i @ 1.8 V 10 mM KOH (A/cm2)],"",0)</f>
        <v>#REF!</v>
      </c>
      <c r="Y834" s="69" t="e" cm="1">
        <f t="array" ref="Y834">_xlfn.XLOOKUP(Table1[[#This Row],[5 cm2 cell test code]:[5 cm2 cell test code]],[1]!Table1[[Test code]:[Test code]],[1]!Table1[3-E ƞ at 20mAcm-2 (mV)],"",0)</f>
        <v>#REF!</v>
      </c>
      <c r="Z834" s="69" t="e" cm="1">
        <f t="array" ref="Z834">_xlfn.XLOOKUP(Table1[[#This Row],[5 cm2 cell test code]:[5 cm2 cell test code]],[1]!Table1[[Test code]:[Test code]],[1]!Table1[3-E Tafel slope (mV/dec)],"",0)</f>
        <v>#REF!</v>
      </c>
      <c r="AA834" s="69" t="e" cm="1">
        <f t="array" ref="AA834">_xlfn.XLOOKUP(Table1[[#This Row],[5 cm2 cell test code]:[5 cm2 cell test code]],[1]!Table1[[Test code]:[Test code]],[1]!Table1[E @ 100 mA/cm2 DIW/V],"",0)</f>
        <v>#REF!</v>
      </c>
      <c r="AB834" s="69" t="e" cm="1">
        <f t="array" ref="AB834">_xlfn.XLOOKUP(Table1[[#This Row],[5 cm2 cell test code]:[5 cm2 cell test code]],[1]!Table1[[Test code]:[Test code]],[1]!Table1[E @ 100 mA/cm2 10 mM KOH/V],"",0)</f>
        <v>#REF!</v>
      </c>
      <c r="AC834" s="69" t="e" cm="1">
        <f t="array" ref="AC834">_xlfn.XLOOKUP(Table1[[#This Row],[5 cm2 cell test code]:[5 cm2 cell test code]],[1]!Table1[[Test code]:[Test code]],[1]!Table1[Anode ICR/mOhm],"",0)</f>
        <v>#REF!</v>
      </c>
      <c r="AD834" s="69" t="e" cm="1">
        <f t="array" ref="AD834">_xlfn.XLOOKUP(Table1[[#This Row],[5 cm2 cell test code]:[5 cm2 cell test code]],[1]!Table1[[Test code]:[Test code]],[1]!Table1[HFR DIW/ mOhm cm2],"",0)</f>
        <v>#REF!</v>
      </c>
      <c r="AE834" s="69" t="e" cm="1">
        <f t="array" ref="AE834">_xlfn.XLOOKUP(Table1[[#This Row],[5 cm2 cell test code]:[5 cm2 cell test code]],[1]!Table1[[Test code]:[Test code]],[1]!Table1[HFR 10 mM KOH/ mOhm cm2],"",0)</f>
        <v>#REF!</v>
      </c>
      <c r="AF834" s="69" t="e" cm="1">
        <f t="array" ref="AF834">_xlfn.XLOOKUP(Table1[[#This Row],[5 cm2 cell test code]:[5 cm2 cell test code]],[1]!Table1[[Test code]:[Test code]],[1]!Table1[Ionic resistance DIW/Ohm cm2],"",0)</f>
        <v>#REF!</v>
      </c>
      <c r="AG834" s="69" t="e" cm="1">
        <f t="array" ref="AG834">_xlfn.XLOOKUP(Table1[[#This Row],[5 cm2 cell test code]:[5 cm2 cell test code]],[1]!Table1[[Test code]:[Test code]],[1]!Table1[Q_int_frac DIW],"",0)</f>
        <v>#REF!</v>
      </c>
      <c r="AH834" s="69" t="e" cm="1">
        <f t="array" ref="AH834">_xlfn.XLOOKUP(Table1[[#This Row],[5 cm2 cell test code]:[5 cm2 cell test code]],[1]!Table1[[Test code]:[Test code]],[1]!Table1[Ionic resistance 10 mM KOH/Ohm cm2],"",0)</f>
        <v>#REF!</v>
      </c>
      <c r="AI834" s="69" t="e" cm="1">
        <f t="array" ref="AI834">_xlfn.XLOOKUP(Table1[[#This Row],[5 cm2 cell test code]:[5 cm2 cell test code]],[1]!Table1[[Test code]:[Test code]],[1]!Table1[Q_int_frac DIW 10 mM KOH],"",0)</f>
        <v>#REF!</v>
      </c>
      <c r="AJ834" s="69" t="e" cm="1">
        <f t="array" ref="AJ834">_xlfn.XLOOKUP(Table1[[#This Row],[5 cm2 cell test code]:[5 cm2 cell test code]],[1]!Table1[[Test code]:[Test code]],[1]!Table1[DIW conductivity (µS/cm)],"",0)</f>
        <v>#REF!</v>
      </c>
    </row>
    <row r="835" spans="1:36">
      <c r="A835" s="81"/>
      <c r="U835" s="101"/>
      <c r="V835" s="101"/>
      <c r="W835" s="69" t="e" cm="1">
        <f t="array" ref="W835">_xlfn.XLOOKUP(Table1[[#This Row],[5 cm2 cell test code]:[5 cm2 cell test code]],[1]!Table1[[Test code]:[Test code]],[1]!Table1[i @ 1.8 V DIW (A/cm2)],"",0)</f>
        <v>#REF!</v>
      </c>
      <c r="X835" s="69" t="e" cm="1">
        <f t="array" ref="X835">_xlfn.XLOOKUP(Table1[[#This Row],[5 cm2 cell test code]:[5 cm2 cell test code]],[1]!Table1[[Test code]:[Test code]],[1]!Table1[i @ 1.8 V 10 mM KOH (A/cm2)],"",0)</f>
        <v>#REF!</v>
      </c>
      <c r="Y835" s="69" t="e" cm="1">
        <f t="array" ref="Y835">_xlfn.XLOOKUP(Table1[[#This Row],[5 cm2 cell test code]:[5 cm2 cell test code]],[1]!Table1[[Test code]:[Test code]],[1]!Table1[3-E ƞ at 20mAcm-2 (mV)],"",0)</f>
        <v>#REF!</v>
      </c>
      <c r="Z835" s="69" t="e" cm="1">
        <f t="array" ref="Z835">_xlfn.XLOOKUP(Table1[[#This Row],[5 cm2 cell test code]:[5 cm2 cell test code]],[1]!Table1[[Test code]:[Test code]],[1]!Table1[3-E Tafel slope (mV/dec)],"",0)</f>
        <v>#REF!</v>
      </c>
      <c r="AA835" s="69" t="e" cm="1">
        <f t="array" ref="AA835">_xlfn.XLOOKUP(Table1[[#This Row],[5 cm2 cell test code]:[5 cm2 cell test code]],[1]!Table1[[Test code]:[Test code]],[1]!Table1[E @ 100 mA/cm2 DIW/V],"",0)</f>
        <v>#REF!</v>
      </c>
      <c r="AB835" s="69" t="e" cm="1">
        <f t="array" ref="AB835">_xlfn.XLOOKUP(Table1[[#This Row],[5 cm2 cell test code]:[5 cm2 cell test code]],[1]!Table1[[Test code]:[Test code]],[1]!Table1[E @ 100 mA/cm2 10 mM KOH/V],"",0)</f>
        <v>#REF!</v>
      </c>
      <c r="AC835" s="69" t="e" cm="1">
        <f t="array" ref="AC835">_xlfn.XLOOKUP(Table1[[#This Row],[5 cm2 cell test code]:[5 cm2 cell test code]],[1]!Table1[[Test code]:[Test code]],[1]!Table1[Anode ICR/mOhm],"",0)</f>
        <v>#REF!</v>
      </c>
      <c r="AD835" s="69" t="e" cm="1">
        <f t="array" ref="AD835">_xlfn.XLOOKUP(Table1[[#This Row],[5 cm2 cell test code]:[5 cm2 cell test code]],[1]!Table1[[Test code]:[Test code]],[1]!Table1[HFR DIW/ mOhm cm2],"",0)</f>
        <v>#REF!</v>
      </c>
      <c r="AE835" s="69" t="e" cm="1">
        <f t="array" ref="AE835">_xlfn.XLOOKUP(Table1[[#This Row],[5 cm2 cell test code]:[5 cm2 cell test code]],[1]!Table1[[Test code]:[Test code]],[1]!Table1[HFR 10 mM KOH/ mOhm cm2],"",0)</f>
        <v>#REF!</v>
      </c>
      <c r="AF835" s="69" t="e" cm="1">
        <f t="array" ref="AF835">_xlfn.XLOOKUP(Table1[[#This Row],[5 cm2 cell test code]:[5 cm2 cell test code]],[1]!Table1[[Test code]:[Test code]],[1]!Table1[Ionic resistance DIW/Ohm cm2],"",0)</f>
        <v>#REF!</v>
      </c>
      <c r="AG835" s="69" t="e" cm="1">
        <f t="array" ref="AG835">_xlfn.XLOOKUP(Table1[[#This Row],[5 cm2 cell test code]:[5 cm2 cell test code]],[1]!Table1[[Test code]:[Test code]],[1]!Table1[Q_int_frac DIW],"",0)</f>
        <v>#REF!</v>
      </c>
      <c r="AH835" s="69" t="e" cm="1">
        <f t="array" ref="AH835">_xlfn.XLOOKUP(Table1[[#This Row],[5 cm2 cell test code]:[5 cm2 cell test code]],[1]!Table1[[Test code]:[Test code]],[1]!Table1[Ionic resistance 10 mM KOH/Ohm cm2],"",0)</f>
        <v>#REF!</v>
      </c>
      <c r="AI835" s="69" t="e" cm="1">
        <f t="array" ref="AI835">_xlfn.XLOOKUP(Table1[[#This Row],[5 cm2 cell test code]:[5 cm2 cell test code]],[1]!Table1[[Test code]:[Test code]],[1]!Table1[Q_int_frac DIW 10 mM KOH],"",0)</f>
        <v>#REF!</v>
      </c>
      <c r="AJ835" s="69" t="e" cm="1">
        <f t="array" ref="AJ835">_xlfn.XLOOKUP(Table1[[#This Row],[5 cm2 cell test code]:[5 cm2 cell test code]],[1]!Table1[[Test code]:[Test code]],[1]!Table1[DIW conductivity (µS/cm)],"",0)</f>
        <v>#REF!</v>
      </c>
    </row>
    <row r="836" spans="1:36">
      <c r="A836" s="81"/>
      <c r="U836" s="101"/>
      <c r="V836" s="101"/>
      <c r="W836" s="69" t="e" cm="1">
        <f t="array" ref="W836">_xlfn.XLOOKUP(Table1[[#This Row],[5 cm2 cell test code]:[5 cm2 cell test code]],[1]!Table1[[Test code]:[Test code]],[1]!Table1[i @ 1.8 V DIW (A/cm2)],"",0)</f>
        <v>#REF!</v>
      </c>
      <c r="X836" s="69" t="e" cm="1">
        <f t="array" ref="X836">_xlfn.XLOOKUP(Table1[[#This Row],[5 cm2 cell test code]:[5 cm2 cell test code]],[1]!Table1[[Test code]:[Test code]],[1]!Table1[i @ 1.8 V 10 mM KOH (A/cm2)],"",0)</f>
        <v>#REF!</v>
      </c>
      <c r="Y836" s="69" t="e" cm="1">
        <f t="array" ref="Y836">_xlfn.XLOOKUP(Table1[[#This Row],[5 cm2 cell test code]:[5 cm2 cell test code]],[1]!Table1[[Test code]:[Test code]],[1]!Table1[3-E ƞ at 20mAcm-2 (mV)],"",0)</f>
        <v>#REF!</v>
      </c>
      <c r="Z836" s="69" t="e" cm="1">
        <f t="array" ref="Z836">_xlfn.XLOOKUP(Table1[[#This Row],[5 cm2 cell test code]:[5 cm2 cell test code]],[1]!Table1[[Test code]:[Test code]],[1]!Table1[3-E Tafel slope (mV/dec)],"",0)</f>
        <v>#REF!</v>
      </c>
      <c r="AA836" s="69" t="e" cm="1">
        <f t="array" ref="AA836">_xlfn.XLOOKUP(Table1[[#This Row],[5 cm2 cell test code]:[5 cm2 cell test code]],[1]!Table1[[Test code]:[Test code]],[1]!Table1[E @ 100 mA/cm2 DIW/V],"",0)</f>
        <v>#REF!</v>
      </c>
      <c r="AB836" s="69" t="e" cm="1">
        <f t="array" ref="AB836">_xlfn.XLOOKUP(Table1[[#This Row],[5 cm2 cell test code]:[5 cm2 cell test code]],[1]!Table1[[Test code]:[Test code]],[1]!Table1[E @ 100 mA/cm2 10 mM KOH/V],"",0)</f>
        <v>#REF!</v>
      </c>
      <c r="AC836" s="69" t="e" cm="1">
        <f t="array" ref="AC836">_xlfn.XLOOKUP(Table1[[#This Row],[5 cm2 cell test code]:[5 cm2 cell test code]],[1]!Table1[[Test code]:[Test code]],[1]!Table1[Anode ICR/mOhm],"",0)</f>
        <v>#REF!</v>
      </c>
      <c r="AD836" s="69" t="e" cm="1">
        <f t="array" ref="AD836">_xlfn.XLOOKUP(Table1[[#This Row],[5 cm2 cell test code]:[5 cm2 cell test code]],[1]!Table1[[Test code]:[Test code]],[1]!Table1[HFR DIW/ mOhm cm2],"",0)</f>
        <v>#REF!</v>
      </c>
      <c r="AE836" s="69" t="e" cm="1">
        <f t="array" ref="AE836">_xlfn.XLOOKUP(Table1[[#This Row],[5 cm2 cell test code]:[5 cm2 cell test code]],[1]!Table1[[Test code]:[Test code]],[1]!Table1[HFR 10 mM KOH/ mOhm cm2],"",0)</f>
        <v>#REF!</v>
      </c>
      <c r="AF836" s="69" t="e" cm="1">
        <f t="array" ref="AF836">_xlfn.XLOOKUP(Table1[[#This Row],[5 cm2 cell test code]:[5 cm2 cell test code]],[1]!Table1[[Test code]:[Test code]],[1]!Table1[Ionic resistance DIW/Ohm cm2],"",0)</f>
        <v>#REF!</v>
      </c>
      <c r="AG836" s="69" t="e" cm="1">
        <f t="array" ref="AG836">_xlfn.XLOOKUP(Table1[[#This Row],[5 cm2 cell test code]:[5 cm2 cell test code]],[1]!Table1[[Test code]:[Test code]],[1]!Table1[Q_int_frac DIW],"",0)</f>
        <v>#REF!</v>
      </c>
      <c r="AH836" s="69" t="e" cm="1">
        <f t="array" ref="AH836">_xlfn.XLOOKUP(Table1[[#This Row],[5 cm2 cell test code]:[5 cm2 cell test code]],[1]!Table1[[Test code]:[Test code]],[1]!Table1[Ionic resistance 10 mM KOH/Ohm cm2],"",0)</f>
        <v>#REF!</v>
      </c>
      <c r="AI836" s="69" t="e" cm="1">
        <f t="array" ref="AI836">_xlfn.XLOOKUP(Table1[[#This Row],[5 cm2 cell test code]:[5 cm2 cell test code]],[1]!Table1[[Test code]:[Test code]],[1]!Table1[Q_int_frac DIW 10 mM KOH],"",0)</f>
        <v>#REF!</v>
      </c>
      <c r="AJ836" s="69" t="e" cm="1">
        <f t="array" ref="AJ836">_xlfn.XLOOKUP(Table1[[#This Row],[5 cm2 cell test code]:[5 cm2 cell test code]],[1]!Table1[[Test code]:[Test code]],[1]!Table1[DIW conductivity (µS/cm)],"",0)</f>
        <v>#REF!</v>
      </c>
    </row>
    <row r="837" spans="1:36">
      <c r="A837" s="81"/>
      <c r="U837" s="101"/>
      <c r="V837" s="101"/>
      <c r="W837" s="69" t="e" cm="1">
        <f t="array" ref="W837">_xlfn.XLOOKUP(Table1[[#This Row],[5 cm2 cell test code]:[5 cm2 cell test code]],[1]!Table1[[Test code]:[Test code]],[1]!Table1[i @ 1.8 V DIW (A/cm2)],"",0)</f>
        <v>#REF!</v>
      </c>
      <c r="X837" s="69" t="e" cm="1">
        <f t="array" ref="X837">_xlfn.XLOOKUP(Table1[[#This Row],[5 cm2 cell test code]:[5 cm2 cell test code]],[1]!Table1[[Test code]:[Test code]],[1]!Table1[i @ 1.8 V 10 mM KOH (A/cm2)],"",0)</f>
        <v>#REF!</v>
      </c>
      <c r="Y837" s="69" t="e" cm="1">
        <f t="array" ref="Y837">_xlfn.XLOOKUP(Table1[[#This Row],[5 cm2 cell test code]:[5 cm2 cell test code]],[1]!Table1[[Test code]:[Test code]],[1]!Table1[3-E ƞ at 20mAcm-2 (mV)],"",0)</f>
        <v>#REF!</v>
      </c>
      <c r="Z837" s="69" t="e" cm="1">
        <f t="array" ref="Z837">_xlfn.XLOOKUP(Table1[[#This Row],[5 cm2 cell test code]:[5 cm2 cell test code]],[1]!Table1[[Test code]:[Test code]],[1]!Table1[3-E Tafel slope (mV/dec)],"",0)</f>
        <v>#REF!</v>
      </c>
      <c r="AA837" s="69" t="e" cm="1">
        <f t="array" ref="AA837">_xlfn.XLOOKUP(Table1[[#This Row],[5 cm2 cell test code]:[5 cm2 cell test code]],[1]!Table1[[Test code]:[Test code]],[1]!Table1[E @ 100 mA/cm2 DIW/V],"",0)</f>
        <v>#REF!</v>
      </c>
      <c r="AB837" s="69" t="e" cm="1">
        <f t="array" ref="AB837">_xlfn.XLOOKUP(Table1[[#This Row],[5 cm2 cell test code]:[5 cm2 cell test code]],[1]!Table1[[Test code]:[Test code]],[1]!Table1[E @ 100 mA/cm2 10 mM KOH/V],"",0)</f>
        <v>#REF!</v>
      </c>
      <c r="AC837" s="69" t="e" cm="1">
        <f t="array" ref="AC837">_xlfn.XLOOKUP(Table1[[#This Row],[5 cm2 cell test code]:[5 cm2 cell test code]],[1]!Table1[[Test code]:[Test code]],[1]!Table1[Anode ICR/mOhm],"",0)</f>
        <v>#REF!</v>
      </c>
      <c r="AD837" s="69" t="e" cm="1">
        <f t="array" ref="AD837">_xlfn.XLOOKUP(Table1[[#This Row],[5 cm2 cell test code]:[5 cm2 cell test code]],[1]!Table1[[Test code]:[Test code]],[1]!Table1[HFR DIW/ mOhm cm2],"",0)</f>
        <v>#REF!</v>
      </c>
      <c r="AE837" s="69" t="e" cm="1">
        <f t="array" ref="AE837">_xlfn.XLOOKUP(Table1[[#This Row],[5 cm2 cell test code]:[5 cm2 cell test code]],[1]!Table1[[Test code]:[Test code]],[1]!Table1[HFR 10 mM KOH/ mOhm cm2],"",0)</f>
        <v>#REF!</v>
      </c>
      <c r="AF837" s="69" t="e" cm="1">
        <f t="array" ref="AF837">_xlfn.XLOOKUP(Table1[[#This Row],[5 cm2 cell test code]:[5 cm2 cell test code]],[1]!Table1[[Test code]:[Test code]],[1]!Table1[Ionic resistance DIW/Ohm cm2],"",0)</f>
        <v>#REF!</v>
      </c>
      <c r="AG837" s="69" t="e" cm="1">
        <f t="array" ref="AG837">_xlfn.XLOOKUP(Table1[[#This Row],[5 cm2 cell test code]:[5 cm2 cell test code]],[1]!Table1[[Test code]:[Test code]],[1]!Table1[Q_int_frac DIW],"",0)</f>
        <v>#REF!</v>
      </c>
      <c r="AH837" s="69" t="e" cm="1">
        <f t="array" ref="AH837">_xlfn.XLOOKUP(Table1[[#This Row],[5 cm2 cell test code]:[5 cm2 cell test code]],[1]!Table1[[Test code]:[Test code]],[1]!Table1[Ionic resistance 10 mM KOH/Ohm cm2],"",0)</f>
        <v>#REF!</v>
      </c>
      <c r="AI837" s="69" t="e" cm="1">
        <f t="array" ref="AI837">_xlfn.XLOOKUP(Table1[[#This Row],[5 cm2 cell test code]:[5 cm2 cell test code]],[1]!Table1[[Test code]:[Test code]],[1]!Table1[Q_int_frac DIW 10 mM KOH],"",0)</f>
        <v>#REF!</v>
      </c>
      <c r="AJ837" s="69" t="e" cm="1">
        <f t="array" ref="AJ837">_xlfn.XLOOKUP(Table1[[#This Row],[5 cm2 cell test code]:[5 cm2 cell test code]],[1]!Table1[[Test code]:[Test code]],[1]!Table1[DIW conductivity (µS/cm)],"",0)</f>
        <v>#REF!</v>
      </c>
    </row>
    <row r="838" spans="1:36">
      <c r="A838" s="81"/>
      <c r="U838" s="101"/>
      <c r="V838" s="101"/>
      <c r="W838" s="69" t="e" cm="1">
        <f t="array" ref="W838">_xlfn.XLOOKUP(Table1[[#This Row],[5 cm2 cell test code]:[5 cm2 cell test code]],[1]!Table1[[Test code]:[Test code]],[1]!Table1[i @ 1.8 V DIW (A/cm2)],"",0)</f>
        <v>#REF!</v>
      </c>
      <c r="X838" s="69" t="e" cm="1">
        <f t="array" ref="X838">_xlfn.XLOOKUP(Table1[[#This Row],[5 cm2 cell test code]:[5 cm2 cell test code]],[1]!Table1[[Test code]:[Test code]],[1]!Table1[i @ 1.8 V 10 mM KOH (A/cm2)],"",0)</f>
        <v>#REF!</v>
      </c>
      <c r="Y838" s="69" t="e" cm="1">
        <f t="array" ref="Y838">_xlfn.XLOOKUP(Table1[[#This Row],[5 cm2 cell test code]:[5 cm2 cell test code]],[1]!Table1[[Test code]:[Test code]],[1]!Table1[3-E ƞ at 20mAcm-2 (mV)],"",0)</f>
        <v>#REF!</v>
      </c>
      <c r="Z838" s="69" t="e" cm="1">
        <f t="array" ref="Z838">_xlfn.XLOOKUP(Table1[[#This Row],[5 cm2 cell test code]:[5 cm2 cell test code]],[1]!Table1[[Test code]:[Test code]],[1]!Table1[3-E Tafel slope (mV/dec)],"",0)</f>
        <v>#REF!</v>
      </c>
      <c r="AA838" s="69" t="e" cm="1">
        <f t="array" ref="AA838">_xlfn.XLOOKUP(Table1[[#This Row],[5 cm2 cell test code]:[5 cm2 cell test code]],[1]!Table1[[Test code]:[Test code]],[1]!Table1[E @ 100 mA/cm2 DIW/V],"",0)</f>
        <v>#REF!</v>
      </c>
      <c r="AB838" s="69" t="e" cm="1">
        <f t="array" ref="AB838">_xlfn.XLOOKUP(Table1[[#This Row],[5 cm2 cell test code]:[5 cm2 cell test code]],[1]!Table1[[Test code]:[Test code]],[1]!Table1[E @ 100 mA/cm2 10 mM KOH/V],"",0)</f>
        <v>#REF!</v>
      </c>
      <c r="AC838" s="69" t="e" cm="1">
        <f t="array" ref="AC838">_xlfn.XLOOKUP(Table1[[#This Row],[5 cm2 cell test code]:[5 cm2 cell test code]],[1]!Table1[[Test code]:[Test code]],[1]!Table1[Anode ICR/mOhm],"",0)</f>
        <v>#REF!</v>
      </c>
      <c r="AD838" s="69" t="e" cm="1">
        <f t="array" ref="AD838">_xlfn.XLOOKUP(Table1[[#This Row],[5 cm2 cell test code]:[5 cm2 cell test code]],[1]!Table1[[Test code]:[Test code]],[1]!Table1[HFR DIW/ mOhm cm2],"",0)</f>
        <v>#REF!</v>
      </c>
      <c r="AE838" s="69" t="e" cm="1">
        <f t="array" ref="AE838">_xlfn.XLOOKUP(Table1[[#This Row],[5 cm2 cell test code]:[5 cm2 cell test code]],[1]!Table1[[Test code]:[Test code]],[1]!Table1[HFR 10 mM KOH/ mOhm cm2],"",0)</f>
        <v>#REF!</v>
      </c>
      <c r="AF838" s="69" t="e" cm="1">
        <f t="array" ref="AF838">_xlfn.XLOOKUP(Table1[[#This Row],[5 cm2 cell test code]:[5 cm2 cell test code]],[1]!Table1[[Test code]:[Test code]],[1]!Table1[Ionic resistance DIW/Ohm cm2],"",0)</f>
        <v>#REF!</v>
      </c>
      <c r="AG838" s="69" t="e" cm="1">
        <f t="array" ref="AG838">_xlfn.XLOOKUP(Table1[[#This Row],[5 cm2 cell test code]:[5 cm2 cell test code]],[1]!Table1[[Test code]:[Test code]],[1]!Table1[Q_int_frac DIW],"",0)</f>
        <v>#REF!</v>
      </c>
      <c r="AH838" s="69" t="e" cm="1">
        <f t="array" ref="AH838">_xlfn.XLOOKUP(Table1[[#This Row],[5 cm2 cell test code]:[5 cm2 cell test code]],[1]!Table1[[Test code]:[Test code]],[1]!Table1[Ionic resistance 10 mM KOH/Ohm cm2],"",0)</f>
        <v>#REF!</v>
      </c>
      <c r="AI838" s="69" t="e" cm="1">
        <f t="array" ref="AI838">_xlfn.XLOOKUP(Table1[[#This Row],[5 cm2 cell test code]:[5 cm2 cell test code]],[1]!Table1[[Test code]:[Test code]],[1]!Table1[Q_int_frac DIW 10 mM KOH],"",0)</f>
        <v>#REF!</v>
      </c>
      <c r="AJ838" s="69" t="e" cm="1">
        <f t="array" ref="AJ838">_xlfn.XLOOKUP(Table1[[#This Row],[5 cm2 cell test code]:[5 cm2 cell test code]],[1]!Table1[[Test code]:[Test code]],[1]!Table1[DIW conductivity (µS/cm)],"",0)</f>
        <v>#REF!</v>
      </c>
    </row>
    <row r="839" spans="1:36">
      <c r="A839" s="81"/>
      <c r="U839" s="101"/>
      <c r="V839" s="101"/>
      <c r="W839" s="69" t="e" cm="1">
        <f t="array" ref="W839">_xlfn.XLOOKUP(Table1[[#This Row],[5 cm2 cell test code]:[5 cm2 cell test code]],[1]!Table1[[Test code]:[Test code]],[1]!Table1[i @ 1.8 V DIW (A/cm2)],"",0)</f>
        <v>#REF!</v>
      </c>
      <c r="X839" s="69" t="e" cm="1">
        <f t="array" ref="X839">_xlfn.XLOOKUP(Table1[[#This Row],[5 cm2 cell test code]:[5 cm2 cell test code]],[1]!Table1[[Test code]:[Test code]],[1]!Table1[i @ 1.8 V 10 mM KOH (A/cm2)],"",0)</f>
        <v>#REF!</v>
      </c>
      <c r="Y839" s="69" t="e" cm="1">
        <f t="array" ref="Y839">_xlfn.XLOOKUP(Table1[[#This Row],[5 cm2 cell test code]:[5 cm2 cell test code]],[1]!Table1[[Test code]:[Test code]],[1]!Table1[3-E ƞ at 20mAcm-2 (mV)],"",0)</f>
        <v>#REF!</v>
      </c>
      <c r="Z839" s="69" t="e" cm="1">
        <f t="array" ref="Z839">_xlfn.XLOOKUP(Table1[[#This Row],[5 cm2 cell test code]:[5 cm2 cell test code]],[1]!Table1[[Test code]:[Test code]],[1]!Table1[3-E Tafel slope (mV/dec)],"",0)</f>
        <v>#REF!</v>
      </c>
      <c r="AA839" s="69" t="e" cm="1">
        <f t="array" ref="AA839">_xlfn.XLOOKUP(Table1[[#This Row],[5 cm2 cell test code]:[5 cm2 cell test code]],[1]!Table1[[Test code]:[Test code]],[1]!Table1[E @ 100 mA/cm2 DIW/V],"",0)</f>
        <v>#REF!</v>
      </c>
      <c r="AB839" s="69" t="e" cm="1">
        <f t="array" ref="AB839">_xlfn.XLOOKUP(Table1[[#This Row],[5 cm2 cell test code]:[5 cm2 cell test code]],[1]!Table1[[Test code]:[Test code]],[1]!Table1[E @ 100 mA/cm2 10 mM KOH/V],"",0)</f>
        <v>#REF!</v>
      </c>
      <c r="AC839" s="69" t="e" cm="1">
        <f t="array" ref="AC839">_xlfn.XLOOKUP(Table1[[#This Row],[5 cm2 cell test code]:[5 cm2 cell test code]],[1]!Table1[[Test code]:[Test code]],[1]!Table1[Anode ICR/mOhm],"",0)</f>
        <v>#REF!</v>
      </c>
      <c r="AD839" s="69" t="e" cm="1">
        <f t="array" ref="AD839">_xlfn.XLOOKUP(Table1[[#This Row],[5 cm2 cell test code]:[5 cm2 cell test code]],[1]!Table1[[Test code]:[Test code]],[1]!Table1[HFR DIW/ mOhm cm2],"",0)</f>
        <v>#REF!</v>
      </c>
      <c r="AE839" s="69" t="e" cm="1">
        <f t="array" ref="AE839">_xlfn.XLOOKUP(Table1[[#This Row],[5 cm2 cell test code]:[5 cm2 cell test code]],[1]!Table1[[Test code]:[Test code]],[1]!Table1[HFR 10 mM KOH/ mOhm cm2],"",0)</f>
        <v>#REF!</v>
      </c>
      <c r="AF839" s="69" t="e" cm="1">
        <f t="array" ref="AF839">_xlfn.XLOOKUP(Table1[[#This Row],[5 cm2 cell test code]:[5 cm2 cell test code]],[1]!Table1[[Test code]:[Test code]],[1]!Table1[Ionic resistance DIW/Ohm cm2],"",0)</f>
        <v>#REF!</v>
      </c>
      <c r="AG839" s="69" t="e" cm="1">
        <f t="array" ref="AG839">_xlfn.XLOOKUP(Table1[[#This Row],[5 cm2 cell test code]:[5 cm2 cell test code]],[1]!Table1[[Test code]:[Test code]],[1]!Table1[Q_int_frac DIW],"",0)</f>
        <v>#REF!</v>
      </c>
      <c r="AH839" s="69" t="e" cm="1">
        <f t="array" ref="AH839">_xlfn.XLOOKUP(Table1[[#This Row],[5 cm2 cell test code]:[5 cm2 cell test code]],[1]!Table1[[Test code]:[Test code]],[1]!Table1[Ionic resistance 10 mM KOH/Ohm cm2],"",0)</f>
        <v>#REF!</v>
      </c>
      <c r="AI839" s="69" t="e" cm="1">
        <f t="array" ref="AI839">_xlfn.XLOOKUP(Table1[[#This Row],[5 cm2 cell test code]:[5 cm2 cell test code]],[1]!Table1[[Test code]:[Test code]],[1]!Table1[Q_int_frac DIW 10 mM KOH],"",0)</f>
        <v>#REF!</v>
      </c>
      <c r="AJ839" s="69" t="e" cm="1">
        <f t="array" ref="AJ839">_xlfn.XLOOKUP(Table1[[#This Row],[5 cm2 cell test code]:[5 cm2 cell test code]],[1]!Table1[[Test code]:[Test code]],[1]!Table1[DIW conductivity (µS/cm)],"",0)</f>
        <v>#REF!</v>
      </c>
    </row>
    <row r="840" spans="1:36">
      <c r="A840" s="81"/>
      <c r="U840" s="101"/>
      <c r="V840" s="101"/>
      <c r="W840" s="69" t="e" cm="1">
        <f t="array" ref="W840">_xlfn.XLOOKUP(Table1[[#This Row],[5 cm2 cell test code]:[5 cm2 cell test code]],[1]!Table1[[Test code]:[Test code]],[1]!Table1[i @ 1.8 V DIW (A/cm2)],"",0)</f>
        <v>#REF!</v>
      </c>
      <c r="X840" s="69" t="e" cm="1">
        <f t="array" ref="X840">_xlfn.XLOOKUP(Table1[[#This Row],[5 cm2 cell test code]:[5 cm2 cell test code]],[1]!Table1[[Test code]:[Test code]],[1]!Table1[i @ 1.8 V 10 mM KOH (A/cm2)],"",0)</f>
        <v>#REF!</v>
      </c>
      <c r="Y840" s="69" t="e" cm="1">
        <f t="array" ref="Y840">_xlfn.XLOOKUP(Table1[[#This Row],[5 cm2 cell test code]:[5 cm2 cell test code]],[1]!Table1[[Test code]:[Test code]],[1]!Table1[3-E ƞ at 20mAcm-2 (mV)],"",0)</f>
        <v>#REF!</v>
      </c>
      <c r="Z840" s="69" t="e" cm="1">
        <f t="array" ref="Z840">_xlfn.XLOOKUP(Table1[[#This Row],[5 cm2 cell test code]:[5 cm2 cell test code]],[1]!Table1[[Test code]:[Test code]],[1]!Table1[3-E Tafel slope (mV/dec)],"",0)</f>
        <v>#REF!</v>
      </c>
      <c r="AA840" s="69" t="e" cm="1">
        <f t="array" ref="AA840">_xlfn.XLOOKUP(Table1[[#This Row],[5 cm2 cell test code]:[5 cm2 cell test code]],[1]!Table1[[Test code]:[Test code]],[1]!Table1[E @ 100 mA/cm2 DIW/V],"",0)</f>
        <v>#REF!</v>
      </c>
      <c r="AB840" s="69" t="e" cm="1">
        <f t="array" ref="AB840">_xlfn.XLOOKUP(Table1[[#This Row],[5 cm2 cell test code]:[5 cm2 cell test code]],[1]!Table1[[Test code]:[Test code]],[1]!Table1[E @ 100 mA/cm2 10 mM KOH/V],"",0)</f>
        <v>#REF!</v>
      </c>
      <c r="AC840" s="69" t="e" cm="1">
        <f t="array" ref="AC840">_xlfn.XLOOKUP(Table1[[#This Row],[5 cm2 cell test code]:[5 cm2 cell test code]],[1]!Table1[[Test code]:[Test code]],[1]!Table1[Anode ICR/mOhm],"",0)</f>
        <v>#REF!</v>
      </c>
      <c r="AD840" s="69" t="e" cm="1">
        <f t="array" ref="AD840">_xlfn.XLOOKUP(Table1[[#This Row],[5 cm2 cell test code]:[5 cm2 cell test code]],[1]!Table1[[Test code]:[Test code]],[1]!Table1[HFR DIW/ mOhm cm2],"",0)</f>
        <v>#REF!</v>
      </c>
      <c r="AE840" s="69" t="e" cm="1">
        <f t="array" ref="AE840">_xlfn.XLOOKUP(Table1[[#This Row],[5 cm2 cell test code]:[5 cm2 cell test code]],[1]!Table1[[Test code]:[Test code]],[1]!Table1[HFR 10 mM KOH/ mOhm cm2],"",0)</f>
        <v>#REF!</v>
      </c>
      <c r="AF840" s="69" t="e" cm="1">
        <f t="array" ref="AF840">_xlfn.XLOOKUP(Table1[[#This Row],[5 cm2 cell test code]:[5 cm2 cell test code]],[1]!Table1[[Test code]:[Test code]],[1]!Table1[Ionic resistance DIW/Ohm cm2],"",0)</f>
        <v>#REF!</v>
      </c>
      <c r="AG840" s="69" t="e" cm="1">
        <f t="array" ref="AG840">_xlfn.XLOOKUP(Table1[[#This Row],[5 cm2 cell test code]:[5 cm2 cell test code]],[1]!Table1[[Test code]:[Test code]],[1]!Table1[Q_int_frac DIW],"",0)</f>
        <v>#REF!</v>
      </c>
      <c r="AH840" s="69" t="e" cm="1">
        <f t="array" ref="AH840">_xlfn.XLOOKUP(Table1[[#This Row],[5 cm2 cell test code]:[5 cm2 cell test code]],[1]!Table1[[Test code]:[Test code]],[1]!Table1[Ionic resistance 10 mM KOH/Ohm cm2],"",0)</f>
        <v>#REF!</v>
      </c>
      <c r="AI840" s="69" t="e" cm="1">
        <f t="array" ref="AI840">_xlfn.XLOOKUP(Table1[[#This Row],[5 cm2 cell test code]:[5 cm2 cell test code]],[1]!Table1[[Test code]:[Test code]],[1]!Table1[Q_int_frac DIW 10 mM KOH],"",0)</f>
        <v>#REF!</v>
      </c>
      <c r="AJ840" s="69" t="e" cm="1">
        <f t="array" ref="AJ840">_xlfn.XLOOKUP(Table1[[#This Row],[5 cm2 cell test code]:[5 cm2 cell test code]],[1]!Table1[[Test code]:[Test code]],[1]!Table1[DIW conductivity (µS/cm)],"",0)</f>
        <v>#REF!</v>
      </c>
    </row>
    <row r="841" spans="1:36">
      <c r="A841" s="81"/>
      <c r="U841" s="101"/>
      <c r="V841" s="101"/>
      <c r="W841" s="69" t="e" cm="1">
        <f t="array" ref="W841">_xlfn.XLOOKUP(Table1[[#This Row],[5 cm2 cell test code]:[5 cm2 cell test code]],[1]!Table1[[Test code]:[Test code]],[1]!Table1[i @ 1.8 V DIW (A/cm2)],"",0)</f>
        <v>#REF!</v>
      </c>
      <c r="X841" s="69" t="e" cm="1">
        <f t="array" ref="X841">_xlfn.XLOOKUP(Table1[[#This Row],[5 cm2 cell test code]:[5 cm2 cell test code]],[1]!Table1[[Test code]:[Test code]],[1]!Table1[i @ 1.8 V 10 mM KOH (A/cm2)],"",0)</f>
        <v>#REF!</v>
      </c>
      <c r="Y841" s="69" t="e" cm="1">
        <f t="array" ref="Y841">_xlfn.XLOOKUP(Table1[[#This Row],[5 cm2 cell test code]:[5 cm2 cell test code]],[1]!Table1[[Test code]:[Test code]],[1]!Table1[3-E ƞ at 20mAcm-2 (mV)],"",0)</f>
        <v>#REF!</v>
      </c>
      <c r="Z841" s="69" t="e" cm="1">
        <f t="array" ref="Z841">_xlfn.XLOOKUP(Table1[[#This Row],[5 cm2 cell test code]:[5 cm2 cell test code]],[1]!Table1[[Test code]:[Test code]],[1]!Table1[3-E Tafel slope (mV/dec)],"",0)</f>
        <v>#REF!</v>
      </c>
      <c r="AA841" s="69" t="e" cm="1">
        <f t="array" ref="AA841">_xlfn.XLOOKUP(Table1[[#This Row],[5 cm2 cell test code]:[5 cm2 cell test code]],[1]!Table1[[Test code]:[Test code]],[1]!Table1[E @ 100 mA/cm2 DIW/V],"",0)</f>
        <v>#REF!</v>
      </c>
      <c r="AB841" s="69" t="e" cm="1">
        <f t="array" ref="AB841">_xlfn.XLOOKUP(Table1[[#This Row],[5 cm2 cell test code]:[5 cm2 cell test code]],[1]!Table1[[Test code]:[Test code]],[1]!Table1[E @ 100 mA/cm2 10 mM KOH/V],"",0)</f>
        <v>#REF!</v>
      </c>
      <c r="AC841" s="69" t="e" cm="1">
        <f t="array" ref="AC841">_xlfn.XLOOKUP(Table1[[#This Row],[5 cm2 cell test code]:[5 cm2 cell test code]],[1]!Table1[[Test code]:[Test code]],[1]!Table1[Anode ICR/mOhm],"",0)</f>
        <v>#REF!</v>
      </c>
      <c r="AD841" s="69" t="e" cm="1">
        <f t="array" ref="AD841">_xlfn.XLOOKUP(Table1[[#This Row],[5 cm2 cell test code]:[5 cm2 cell test code]],[1]!Table1[[Test code]:[Test code]],[1]!Table1[HFR DIW/ mOhm cm2],"",0)</f>
        <v>#REF!</v>
      </c>
      <c r="AE841" s="69" t="e" cm="1">
        <f t="array" ref="AE841">_xlfn.XLOOKUP(Table1[[#This Row],[5 cm2 cell test code]:[5 cm2 cell test code]],[1]!Table1[[Test code]:[Test code]],[1]!Table1[HFR 10 mM KOH/ mOhm cm2],"",0)</f>
        <v>#REF!</v>
      </c>
      <c r="AF841" s="69" t="e" cm="1">
        <f t="array" ref="AF841">_xlfn.XLOOKUP(Table1[[#This Row],[5 cm2 cell test code]:[5 cm2 cell test code]],[1]!Table1[[Test code]:[Test code]],[1]!Table1[Ionic resistance DIW/Ohm cm2],"",0)</f>
        <v>#REF!</v>
      </c>
      <c r="AG841" s="69" t="e" cm="1">
        <f t="array" ref="AG841">_xlfn.XLOOKUP(Table1[[#This Row],[5 cm2 cell test code]:[5 cm2 cell test code]],[1]!Table1[[Test code]:[Test code]],[1]!Table1[Q_int_frac DIW],"",0)</f>
        <v>#REF!</v>
      </c>
      <c r="AH841" s="69" t="e" cm="1">
        <f t="array" ref="AH841">_xlfn.XLOOKUP(Table1[[#This Row],[5 cm2 cell test code]:[5 cm2 cell test code]],[1]!Table1[[Test code]:[Test code]],[1]!Table1[Ionic resistance 10 mM KOH/Ohm cm2],"",0)</f>
        <v>#REF!</v>
      </c>
      <c r="AI841" s="69" t="e" cm="1">
        <f t="array" ref="AI841">_xlfn.XLOOKUP(Table1[[#This Row],[5 cm2 cell test code]:[5 cm2 cell test code]],[1]!Table1[[Test code]:[Test code]],[1]!Table1[Q_int_frac DIW 10 mM KOH],"",0)</f>
        <v>#REF!</v>
      </c>
      <c r="AJ841" s="69" t="e" cm="1">
        <f t="array" ref="AJ841">_xlfn.XLOOKUP(Table1[[#This Row],[5 cm2 cell test code]:[5 cm2 cell test code]],[1]!Table1[[Test code]:[Test code]],[1]!Table1[DIW conductivity (µS/cm)],"",0)</f>
        <v>#REF!</v>
      </c>
    </row>
    <row r="842" spans="1:36">
      <c r="A842" s="81"/>
      <c r="U842" s="101"/>
      <c r="V842" s="101"/>
      <c r="W842" s="69" t="e" cm="1">
        <f t="array" ref="W842">_xlfn.XLOOKUP(Table1[[#This Row],[5 cm2 cell test code]:[5 cm2 cell test code]],[1]!Table1[[Test code]:[Test code]],[1]!Table1[i @ 1.8 V DIW (A/cm2)],"",0)</f>
        <v>#REF!</v>
      </c>
      <c r="X842" s="69" t="e" cm="1">
        <f t="array" ref="X842">_xlfn.XLOOKUP(Table1[[#This Row],[5 cm2 cell test code]:[5 cm2 cell test code]],[1]!Table1[[Test code]:[Test code]],[1]!Table1[i @ 1.8 V 10 mM KOH (A/cm2)],"",0)</f>
        <v>#REF!</v>
      </c>
      <c r="Y842" s="69" t="e" cm="1">
        <f t="array" ref="Y842">_xlfn.XLOOKUP(Table1[[#This Row],[5 cm2 cell test code]:[5 cm2 cell test code]],[1]!Table1[[Test code]:[Test code]],[1]!Table1[3-E ƞ at 20mAcm-2 (mV)],"",0)</f>
        <v>#REF!</v>
      </c>
      <c r="Z842" s="69" t="e" cm="1">
        <f t="array" ref="Z842">_xlfn.XLOOKUP(Table1[[#This Row],[5 cm2 cell test code]:[5 cm2 cell test code]],[1]!Table1[[Test code]:[Test code]],[1]!Table1[3-E Tafel slope (mV/dec)],"",0)</f>
        <v>#REF!</v>
      </c>
      <c r="AA842" s="69" t="e" cm="1">
        <f t="array" ref="AA842">_xlfn.XLOOKUP(Table1[[#This Row],[5 cm2 cell test code]:[5 cm2 cell test code]],[1]!Table1[[Test code]:[Test code]],[1]!Table1[E @ 100 mA/cm2 DIW/V],"",0)</f>
        <v>#REF!</v>
      </c>
      <c r="AB842" s="69" t="e" cm="1">
        <f t="array" ref="AB842">_xlfn.XLOOKUP(Table1[[#This Row],[5 cm2 cell test code]:[5 cm2 cell test code]],[1]!Table1[[Test code]:[Test code]],[1]!Table1[E @ 100 mA/cm2 10 mM KOH/V],"",0)</f>
        <v>#REF!</v>
      </c>
      <c r="AC842" s="69" t="e" cm="1">
        <f t="array" ref="AC842">_xlfn.XLOOKUP(Table1[[#This Row],[5 cm2 cell test code]:[5 cm2 cell test code]],[1]!Table1[[Test code]:[Test code]],[1]!Table1[Anode ICR/mOhm],"",0)</f>
        <v>#REF!</v>
      </c>
      <c r="AD842" s="69" t="e" cm="1">
        <f t="array" ref="AD842">_xlfn.XLOOKUP(Table1[[#This Row],[5 cm2 cell test code]:[5 cm2 cell test code]],[1]!Table1[[Test code]:[Test code]],[1]!Table1[HFR DIW/ mOhm cm2],"",0)</f>
        <v>#REF!</v>
      </c>
      <c r="AE842" s="69" t="e" cm="1">
        <f t="array" ref="AE842">_xlfn.XLOOKUP(Table1[[#This Row],[5 cm2 cell test code]:[5 cm2 cell test code]],[1]!Table1[[Test code]:[Test code]],[1]!Table1[HFR 10 mM KOH/ mOhm cm2],"",0)</f>
        <v>#REF!</v>
      </c>
      <c r="AF842" s="69" t="e" cm="1">
        <f t="array" ref="AF842">_xlfn.XLOOKUP(Table1[[#This Row],[5 cm2 cell test code]:[5 cm2 cell test code]],[1]!Table1[[Test code]:[Test code]],[1]!Table1[Ionic resistance DIW/Ohm cm2],"",0)</f>
        <v>#REF!</v>
      </c>
      <c r="AG842" s="69" t="e" cm="1">
        <f t="array" ref="AG842">_xlfn.XLOOKUP(Table1[[#This Row],[5 cm2 cell test code]:[5 cm2 cell test code]],[1]!Table1[[Test code]:[Test code]],[1]!Table1[Q_int_frac DIW],"",0)</f>
        <v>#REF!</v>
      </c>
      <c r="AH842" s="69" t="e" cm="1">
        <f t="array" ref="AH842">_xlfn.XLOOKUP(Table1[[#This Row],[5 cm2 cell test code]:[5 cm2 cell test code]],[1]!Table1[[Test code]:[Test code]],[1]!Table1[Ionic resistance 10 mM KOH/Ohm cm2],"",0)</f>
        <v>#REF!</v>
      </c>
      <c r="AI842" s="69" t="e" cm="1">
        <f t="array" ref="AI842">_xlfn.XLOOKUP(Table1[[#This Row],[5 cm2 cell test code]:[5 cm2 cell test code]],[1]!Table1[[Test code]:[Test code]],[1]!Table1[Q_int_frac DIW 10 mM KOH],"",0)</f>
        <v>#REF!</v>
      </c>
      <c r="AJ842" s="69" t="e" cm="1">
        <f t="array" ref="AJ842">_xlfn.XLOOKUP(Table1[[#This Row],[5 cm2 cell test code]:[5 cm2 cell test code]],[1]!Table1[[Test code]:[Test code]],[1]!Table1[DIW conductivity (µS/cm)],"",0)</f>
        <v>#REF!</v>
      </c>
    </row>
    <row r="843" spans="1:36">
      <c r="A843" s="81"/>
      <c r="U843" s="101"/>
      <c r="V843" s="101"/>
      <c r="W843" s="69" t="e" cm="1">
        <f t="array" ref="W843">_xlfn.XLOOKUP(Table1[[#This Row],[5 cm2 cell test code]:[5 cm2 cell test code]],[1]!Table1[[Test code]:[Test code]],[1]!Table1[i @ 1.8 V DIW (A/cm2)],"",0)</f>
        <v>#REF!</v>
      </c>
      <c r="X843" s="69" t="e" cm="1">
        <f t="array" ref="X843">_xlfn.XLOOKUP(Table1[[#This Row],[5 cm2 cell test code]:[5 cm2 cell test code]],[1]!Table1[[Test code]:[Test code]],[1]!Table1[i @ 1.8 V 10 mM KOH (A/cm2)],"",0)</f>
        <v>#REF!</v>
      </c>
      <c r="Y843" s="69" t="e" cm="1">
        <f t="array" ref="Y843">_xlfn.XLOOKUP(Table1[[#This Row],[5 cm2 cell test code]:[5 cm2 cell test code]],[1]!Table1[[Test code]:[Test code]],[1]!Table1[3-E ƞ at 20mAcm-2 (mV)],"",0)</f>
        <v>#REF!</v>
      </c>
      <c r="Z843" s="69" t="e" cm="1">
        <f t="array" ref="Z843">_xlfn.XLOOKUP(Table1[[#This Row],[5 cm2 cell test code]:[5 cm2 cell test code]],[1]!Table1[[Test code]:[Test code]],[1]!Table1[3-E Tafel slope (mV/dec)],"",0)</f>
        <v>#REF!</v>
      </c>
      <c r="AA843" s="69" t="e" cm="1">
        <f t="array" ref="AA843">_xlfn.XLOOKUP(Table1[[#This Row],[5 cm2 cell test code]:[5 cm2 cell test code]],[1]!Table1[[Test code]:[Test code]],[1]!Table1[E @ 100 mA/cm2 DIW/V],"",0)</f>
        <v>#REF!</v>
      </c>
      <c r="AB843" s="69" t="e" cm="1">
        <f t="array" ref="AB843">_xlfn.XLOOKUP(Table1[[#This Row],[5 cm2 cell test code]:[5 cm2 cell test code]],[1]!Table1[[Test code]:[Test code]],[1]!Table1[E @ 100 mA/cm2 10 mM KOH/V],"",0)</f>
        <v>#REF!</v>
      </c>
      <c r="AC843" s="69" t="e" cm="1">
        <f t="array" ref="AC843">_xlfn.XLOOKUP(Table1[[#This Row],[5 cm2 cell test code]:[5 cm2 cell test code]],[1]!Table1[[Test code]:[Test code]],[1]!Table1[Anode ICR/mOhm],"",0)</f>
        <v>#REF!</v>
      </c>
      <c r="AD843" s="69" t="e" cm="1">
        <f t="array" ref="AD843">_xlfn.XLOOKUP(Table1[[#This Row],[5 cm2 cell test code]:[5 cm2 cell test code]],[1]!Table1[[Test code]:[Test code]],[1]!Table1[HFR DIW/ mOhm cm2],"",0)</f>
        <v>#REF!</v>
      </c>
      <c r="AE843" s="69" t="e" cm="1">
        <f t="array" ref="AE843">_xlfn.XLOOKUP(Table1[[#This Row],[5 cm2 cell test code]:[5 cm2 cell test code]],[1]!Table1[[Test code]:[Test code]],[1]!Table1[HFR 10 mM KOH/ mOhm cm2],"",0)</f>
        <v>#REF!</v>
      </c>
      <c r="AF843" s="69" t="e" cm="1">
        <f t="array" ref="AF843">_xlfn.XLOOKUP(Table1[[#This Row],[5 cm2 cell test code]:[5 cm2 cell test code]],[1]!Table1[[Test code]:[Test code]],[1]!Table1[Ionic resistance DIW/Ohm cm2],"",0)</f>
        <v>#REF!</v>
      </c>
      <c r="AG843" s="69" t="e" cm="1">
        <f t="array" ref="AG843">_xlfn.XLOOKUP(Table1[[#This Row],[5 cm2 cell test code]:[5 cm2 cell test code]],[1]!Table1[[Test code]:[Test code]],[1]!Table1[Q_int_frac DIW],"",0)</f>
        <v>#REF!</v>
      </c>
      <c r="AH843" s="69" t="e" cm="1">
        <f t="array" ref="AH843">_xlfn.XLOOKUP(Table1[[#This Row],[5 cm2 cell test code]:[5 cm2 cell test code]],[1]!Table1[[Test code]:[Test code]],[1]!Table1[Ionic resistance 10 mM KOH/Ohm cm2],"",0)</f>
        <v>#REF!</v>
      </c>
      <c r="AI843" s="69" t="e" cm="1">
        <f t="array" ref="AI843">_xlfn.XLOOKUP(Table1[[#This Row],[5 cm2 cell test code]:[5 cm2 cell test code]],[1]!Table1[[Test code]:[Test code]],[1]!Table1[Q_int_frac DIW 10 mM KOH],"",0)</f>
        <v>#REF!</v>
      </c>
      <c r="AJ843" s="69" t="e" cm="1">
        <f t="array" ref="AJ843">_xlfn.XLOOKUP(Table1[[#This Row],[5 cm2 cell test code]:[5 cm2 cell test code]],[1]!Table1[[Test code]:[Test code]],[1]!Table1[DIW conductivity (µS/cm)],"",0)</f>
        <v>#REF!</v>
      </c>
    </row>
    <row r="844" spans="1:36">
      <c r="A844" s="81"/>
      <c r="U844" s="101"/>
      <c r="V844" s="101"/>
      <c r="W844" s="69" t="e" cm="1">
        <f t="array" ref="W844">_xlfn.XLOOKUP(Table1[[#This Row],[5 cm2 cell test code]:[5 cm2 cell test code]],[1]!Table1[[Test code]:[Test code]],[1]!Table1[i @ 1.8 V DIW (A/cm2)],"",0)</f>
        <v>#REF!</v>
      </c>
      <c r="X844" s="69" t="e" cm="1">
        <f t="array" ref="X844">_xlfn.XLOOKUP(Table1[[#This Row],[5 cm2 cell test code]:[5 cm2 cell test code]],[1]!Table1[[Test code]:[Test code]],[1]!Table1[i @ 1.8 V 10 mM KOH (A/cm2)],"",0)</f>
        <v>#REF!</v>
      </c>
      <c r="Y844" s="69" t="e" cm="1">
        <f t="array" ref="Y844">_xlfn.XLOOKUP(Table1[[#This Row],[5 cm2 cell test code]:[5 cm2 cell test code]],[1]!Table1[[Test code]:[Test code]],[1]!Table1[3-E ƞ at 20mAcm-2 (mV)],"",0)</f>
        <v>#REF!</v>
      </c>
      <c r="Z844" s="69" t="e" cm="1">
        <f t="array" ref="Z844">_xlfn.XLOOKUP(Table1[[#This Row],[5 cm2 cell test code]:[5 cm2 cell test code]],[1]!Table1[[Test code]:[Test code]],[1]!Table1[3-E Tafel slope (mV/dec)],"",0)</f>
        <v>#REF!</v>
      </c>
      <c r="AA844" s="69" t="e" cm="1">
        <f t="array" ref="AA844">_xlfn.XLOOKUP(Table1[[#This Row],[5 cm2 cell test code]:[5 cm2 cell test code]],[1]!Table1[[Test code]:[Test code]],[1]!Table1[E @ 100 mA/cm2 DIW/V],"",0)</f>
        <v>#REF!</v>
      </c>
      <c r="AB844" s="69" t="e" cm="1">
        <f t="array" ref="AB844">_xlfn.XLOOKUP(Table1[[#This Row],[5 cm2 cell test code]:[5 cm2 cell test code]],[1]!Table1[[Test code]:[Test code]],[1]!Table1[E @ 100 mA/cm2 10 mM KOH/V],"",0)</f>
        <v>#REF!</v>
      </c>
      <c r="AC844" s="69" t="e" cm="1">
        <f t="array" ref="AC844">_xlfn.XLOOKUP(Table1[[#This Row],[5 cm2 cell test code]:[5 cm2 cell test code]],[1]!Table1[[Test code]:[Test code]],[1]!Table1[Anode ICR/mOhm],"",0)</f>
        <v>#REF!</v>
      </c>
      <c r="AD844" s="69" t="e" cm="1">
        <f t="array" ref="AD844">_xlfn.XLOOKUP(Table1[[#This Row],[5 cm2 cell test code]:[5 cm2 cell test code]],[1]!Table1[[Test code]:[Test code]],[1]!Table1[HFR DIW/ mOhm cm2],"",0)</f>
        <v>#REF!</v>
      </c>
      <c r="AE844" s="69" t="e" cm="1">
        <f t="array" ref="AE844">_xlfn.XLOOKUP(Table1[[#This Row],[5 cm2 cell test code]:[5 cm2 cell test code]],[1]!Table1[[Test code]:[Test code]],[1]!Table1[HFR 10 mM KOH/ mOhm cm2],"",0)</f>
        <v>#REF!</v>
      </c>
      <c r="AF844" s="69" t="e" cm="1">
        <f t="array" ref="AF844">_xlfn.XLOOKUP(Table1[[#This Row],[5 cm2 cell test code]:[5 cm2 cell test code]],[1]!Table1[[Test code]:[Test code]],[1]!Table1[Ionic resistance DIW/Ohm cm2],"",0)</f>
        <v>#REF!</v>
      </c>
      <c r="AG844" s="69" t="e" cm="1">
        <f t="array" ref="AG844">_xlfn.XLOOKUP(Table1[[#This Row],[5 cm2 cell test code]:[5 cm2 cell test code]],[1]!Table1[[Test code]:[Test code]],[1]!Table1[Q_int_frac DIW],"",0)</f>
        <v>#REF!</v>
      </c>
      <c r="AH844" s="69" t="e" cm="1">
        <f t="array" ref="AH844">_xlfn.XLOOKUP(Table1[[#This Row],[5 cm2 cell test code]:[5 cm2 cell test code]],[1]!Table1[[Test code]:[Test code]],[1]!Table1[Ionic resistance 10 mM KOH/Ohm cm2],"",0)</f>
        <v>#REF!</v>
      </c>
      <c r="AI844" s="69" t="e" cm="1">
        <f t="array" ref="AI844">_xlfn.XLOOKUP(Table1[[#This Row],[5 cm2 cell test code]:[5 cm2 cell test code]],[1]!Table1[[Test code]:[Test code]],[1]!Table1[Q_int_frac DIW 10 mM KOH],"",0)</f>
        <v>#REF!</v>
      </c>
      <c r="AJ844" s="69" t="e" cm="1">
        <f t="array" ref="AJ844">_xlfn.XLOOKUP(Table1[[#This Row],[5 cm2 cell test code]:[5 cm2 cell test code]],[1]!Table1[[Test code]:[Test code]],[1]!Table1[DIW conductivity (µS/cm)],"",0)</f>
        <v>#REF!</v>
      </c>
    </row>
    <row r="845" spans="1:36">
      <c r="A845" s="81"/>
      <c r="U845" s="101"/>
      <c r="V845" s="101"/>
      <c r="W845" s="69" t="e" cm="1">
        <f t="array" ref="W845">_xlfn.XLOOKUP(Table1[[#This Row],[5 cm2 cell test code]:[5 cm2 cell test code]],[1]!Table1[[Test code]:[Test code]],[1]!Table1[i @ 1.8 V DIW (A/cm2)],"",0)</f>
        <v>#REF!</v>
      </c>
      <c r="X845" s="69" t="e" cm="1">
        <f t="array" ref="X845">_xlfn.XLOOKUP(Table1[[#This Row],[5 cm2 cell test code]:[5 cm2 cell test code]],[1]!Table1[[Test code]:[Test code]],[1]!Table1[i @ 1.8 V 10 mM KOH (A/cm2)],"",0)</f>
        <v>#REF!</v>
      </c>
      <c r="Y845" s="69" t="e" cm="1">
        <f t="array" ref="Y845">_xlfn.XLOOKUP(Table1[[#This Row],[5 cm2 cell test code]:[5 cm2 cell test code]],[1]!Table1[[Test code]:[Test code]],[1]!Table1[3-E ƞ at 20mAcm-2 (mV)],"",0)</f>
        <v>#REF!</v>
      </c>
      <c r="Z845" s="69" t="e" cm="1">
        <f t="array" ref="Z845">_xlfn.XLOOKUP(Table1[[#This Row],[5 cm2 cell test code]:[5 cm2 cell test code]],[1]!Table1[[Test code]:[Test code]],[1]!Table1[3-E Tafel slope (mV/dec)],"",0)</f>
        <v>#REF!</v>
      </c>
      <c r="AA845" s="69" t="e" cm="1">
        <f t="array" ref="AA845">_xlfn.XLOOKUP(Table1[[#This Row],[5 cm2 cell test code]:[5 cm2 cell test code]],[1]!Table1[[Test code]:[Test code]],[1]!Table1[E @ 100 mA/cm2 DIW/V],"",0)</f>
        <v>#REF!</v>
      </c>
      <c r="AB845" s="69" t="e" cm="1">
        <f t="array" ref="AB845">_xlfn.XLOOKUP(Table1[[#This Row],[5 cm2 cell test code]:[5 cm2 cell test code]],[1]!Table1[[Test code]:[Test code]],[1]!Table1[E @ 100 mA/cm2 10 mM KOH/V],"",0)</f>
        <v>#REF!</v>
      </c>
      <c r="AC845" s="69" t="e" cm="1">
        <f t="array" ref="AC845">_xlfn.XLOOKUP(Table1[[#This Row],[5 cm2 cell test code]:[5 cm2 cell test code]],[1]!Table1[[Test code]:[Test code]],[1]!Table1[Anode ICR/mOhm],"",0)</f>
        <v>#REF!</v>
      </c>
      <c r="AD845" s="69" t="e" cm="1">
        <f t="array" ref="AD845">_xlfn.XLOOKUP(Table1[[#This Row],[5 cm2 cell test code]:[5 cm2 cell test code]],[1]!Table1[[Test code]:[Test code]],[1]!Table1[HFR DIW/ mOhm cm2],"",0)</f>
        <v>#REF!</v>
      </c>
      <c r="AE845" s="69" t="e" cm="1">
        <f t="array" ref="AE845">_xlfn.XLOOKUP(Table1[[#This Row],[5 cm2 cell test code]:[5 cm2 cell test code]],[1]!Table1[[Test code]:[Test code]],[1]!Table1[HFR 10 mM KOH/ mOhm cm2],"",0)</f>
        <v>#REF!</v>
      </c>
      <c r="AF845" s="69" t="e" cm="1">
        <f t="array" ref="AF845">_xlfn.XLOOKUP(Table1[[#This Row],[5 cm2 cell test code]:[5 cm2 cell test code]],[1]!Table1[[Test code]:[Test code]],[1]!Table1[Ionic resistance DIW/Ohm cm2],"",0)</f>
        <v>#REF!</v>
      </c>
      <c r="AG845" s="69" t="e" cm="1">
        <f t="array" ref="AG845">_xlfn.XLOOKUP(Table1[[#This Row],[5 cm2 cell test code]:[5 cm2 cell test code]],[1]!Table1[[Test code]:[Test code]],[1]!Table1[Q_int_frac DIW],"",0)</f>
        <v>#REF!</v>
      </c>
      <c r="AH845" s="69" t="e" cm="1">
        <f t="array" ref="AH845">_xlfn.XLOOKUP(Table1[[#This Row],[5 cm2 cell test code]:[5 cm2 cell test code]],[1]!Table1[[Test code]:[Test code]],[1]!Table1[Ionic resistance 10 mM KOH/Ohm cm2],"",0)</f>
        <v>#REF!</v>
      </c>
      <c r="AI845" s="69" t="e" cm="1">
        <f t="array" ref="AI845">_xlfn.XLOOKUP(Table1[[#This Row],[5 cm2 cell test code]:[5 cm2 cell test code]],[1]!Table1[[Test code]:[Test code]],[1]!Table1[Q_int_frac DIW 10 mM KOH],"",0)</f>
        <v>#REF!</v>
      </c>
      <c r="AJ845" s="69" t="e" cm="1">
        <f t="array" ref="AJ845">_xlfn.XLOOKUP(Table1[[#This Row],[5 cm2 cell test code]:[5 cm2 cell test code]],[1]!Table1[[Test code]:[Test code]],[1]!Table1[DIW conductivity (µS/cm)],"",0)</f>
        <v>#REF!</v>
      </c>
    </row>
    <row r="846" spans="1:36">
      <c r="A846" s="81"/>
      <c r="U846" s="101"/>
      <c r="V846" s="101"/>
      <c r="W846" s="69" t="e" cm="1">
        <f t="array" ref="W846">_xlfn.XLOOKUP(Table1[[#This Row],[5 cm2 cell test code]:[5 cm2 cell test code]],[1]!Table1[[Test code]:[Test code]],[1]!Table1[i @ 1.8 V DIW (A/cm2)],"",0)</f>
        <v>#REF!</v>
      </c>
      <c r="X846" s="69" t="e" cm="1">
        <f t="array" ref="X846">_xlfn.XLOOKUP(Table1[[#This Row],[5 cm2 cell test code]:[5 cm2 cell test code]],[1]!Table1[[Test code]:[Test code]],[1]!Table1[i @ 1.8 V 10 mM KOH (A/cm2)],"",0)</f>
        <v>#REF!</v>
      </c>
      <c r="Y846" s="69" t="e" cm="1">
        <f t="array" ref="Y846">_xlfn.XLOOKUP(Table1[[#This Row],[5 cm2 cell test code]:[5 cm2 cell test code]],[1]!Table1[[Test code]:[Test code]],[1]!Table1[3-E ƞ at 20mAcm-2 (mV)],"",0)</f>
        <v>#REF!</v>
      </c>
      <c r="Z846" s="69" t="e" cm="1">
        <f t="array" ref="Z846">_xlfn.XLOOKUP(Table1[[#This Row],[5 cm2 cell test code]:[5 cm2 cell test code]],[1]!Table1[[Test code]:[Test code]],[1]!Table1[3-E Tafel slope (mV/dec)],"",0)</f>
        <v>#REF!</v>
      </c>
      <c r="AA846" s="69" t="e" cm="1">
        <f t="array" ref="AA846">_xlfn.XLOOKUP(Table1[[#This Row],[5 cm2 cell test code]:[5 cm2 cell test code]],[1]!Table1[[Test code]:[Test code]],[1]!Table1[E @ 100 mA/cm2 DIW/V],"",0)</f>
        <v>#REF!</v>
      </c>
      <c r="AB846" s="69" t="e" cm="1">
        <f t="array" ref="AB846">_xlfn.XLOOKUP(Table1[[#This Row],[5 cm2 cell test code]:[5 cm2 cell test code]],[1]!Table1[[Test code]:[Test code]],[1]!Table1[E @ 100 mA/cm2 10 mM KOH/V],"",0)</f>
        <v>#REF!</v>
      </c>
      <c r="AC846" s="69" t="e" cm="1">
        <f t="array" ref="AC846">_xlfn.XLOOKUP(Table1[[#This Row],[5 cm2 cell test code]:[5 cm2 cell test code]],[1]!Table1[[Test code]:[Test code]],[1]!Table1[Anode ICR/mOhm],"",0)</f>
        <v>#REF!</v>
      </c>
      <c r="AD846" s="69" t="e" cm="1">
        <f t="array" ref="AD846">_xlfn.XLOOKUP(Table1[[#This Row],[5 cm2 cell test code]:[5 cm2 cell test code]],[1]!Table1[[Test code]:[Test code]],[1]!Table1[HFR DIW/ mOhm cm2],"",0)</f>
        <v>#REF!</v>
      </c>
      <c r="AE846" s="69" t="e" cm="1">
        <f t="array" ref="AE846">_xlfn.XLOOKUP(Table1[[#This Row],[5 cm2 cell test code]:[5 cm2 cell test code]],[1]!Table1[[Test code]:[Test code]],[1]!Table1[HFR 10 mM KOH/ mOhm cm2],"",0)</f>
        <v>#REF!</v>
      </c>
      <c r="AF846" s="69" t="e" cm="1">
        <f t="array" ref="AF846">_xlfn.XLOOKUP(Table1[[#This Row],[5 cm2 cell test code]:[5 cm2 cell test code]],[1]!Table1[[Test code]:[Test code]],[1]!Table1[Ionic resistance DIW/Ohm cm2],"",0)</f>
        <v>#REF!</v>
      </c>
      <c r="AG846" s="69" t="e" cm="1">
        <f t="array" ref="AG846">_xlfn.XLOOKUP(Table1[[#This Row],[5 cm2 cell test code]:[5 cm2 cell test code]],[1]!Table1[[Test code]:[Test code]],[1]!Table1[Q_int_frac DIW],"",0)</f>
        <v>#REF!</v>
      </c>
      <c r="AH846" s="69" t="e" cm="1">
        <f t="array" ref="AH846">_xlfn.XLOOKUP(Table1[[#This Row],[5 cm2 cell test code]:[5 cm2 cell test code]],[1]!Table1[[Test code]:[Test code]],[1]!Table1[Ionic resistance 10 mM KOH/Ohm cm2],"",0)</f>
        <v>#REF!</v>
      </c>
      <c r="AI846" s="69" t="e" cm="1">
        <f t="array" ref="AI846">_xlfn.XLOOKUP(Table1[[#This Row],[5 cm2 cell test code]:[5 cm2 cell test code]],[1]!Table1[[Test code]:[Test code]],[1]!Table1[Q_int_frac DIW 10 mM KOH],"",0)</f>
        <v>#REF!</v>
      </c>
      <c r="AJ846" s="69" t="e" cm="1">
        <f t="array" ref="AJ846">_xlfn.XLOOKUP(Table1[[#This Row],[5 cm2 cell test code]:[5 cm2 cell test code]],[1]!Table1[[Test code]:[Test code]],[1]!Table1[DIW conductivity (µS/cm)],"",0)</f>
        <v>#REF!</v>
      </c>
    </row>
    <row r="847" spans="1:36">
      <c r="A847" s="81"/>
      <c r="U847" s="101"/>
      <c r="V847" s="101"/>
      <c r="W847" s="69" t="e" cm="1">
        <f t="array" ref="W847">_xlfn.XLOOKUP(Table1[[#This Row],[5 cm2 cell test code]:[5 cm2 cell test code]],[1]!Table1[[Test code]:[Test code]],[1]!Table1[i @ 1.8 V DIW (A/cm2)],"",0)</f>
        <v>#REF!</v>
      </c>
      <c r="X847" s="69" t="e" cm="1">
        <f t="array" ref="X847">_xlfn.XLOOKUP(Table1[[#This Row],[5 cm2 cell test code]:[5 cm2 cell test code]],[1]!Table1[[Test code]:[Test code]],[1]!Table1[i @ 1.8 V 10 mM KOH (A/cm2)],"",0)</f>
        <v>#REF!</v>
      </c>
      <c r="Y847" s="69" t="e" cm="1">
        <f t="array" ref="Y847">_xlfn.XLOOKUP(Table1[[#This Row],[5 cm2 cell test code]:[5 cm2 cell test code]],[1]!Table1[[Test code]:[Test code]],[1]!Table1[3-E ƞ at 20mAcm-2 (mV)],"",0)</f>
        <v>#REF!</v>
      </c>
      <c r="Z847" s="69" t="e" cm="1">
        <f t="array" ref="Z847">_xlfn.XLOOKUP(Table1[[#This Row],[5 cm2 cell test code]:[5 cm2 cell test code]],[1]!Table1[[Test code]:[Test code]],[1]!Table1[3-E Tafel slope (mV/dec)],"",0)</f>
        <v>#REF!</v>
      </c>
      <c r="AA847" s="69" t="e" cm="1">
        <f t="array" ref="AA847">_xlfn.XLOOKUP(Table1[[#This Row],[5 cm2 cell test code]:[5 cm2 cell test code]],[1]!Table1[[Test code]:[Test code]],[1]!Table1[E @ 100 mA/cm2 DIW/V],"",0)</f>
        <v>#REF!</v>
      </c>
      <c r="AB847" s="69" t="e" cm="1">
        <f t="array" ref="AB847">_xlfn.XLOOKUP(Table1[[#This Row],[5 cm2 cell test code]:[5 cm2 cell test code]],[1]!Table1[[Test code]:[Test code]],[1]!Table1[E @ 100 mA/cm2 10 mM KOH/V],"",0)</f>
        <v>#REF!</v>
      </c>
      <c r="AC847" s="69" t="e" cm="1">
        <f t="array" ref="AC847">_xlfn.XLOOKUP(Table1[[#This Row],[5 cm2 cell test code]:[5 cm2 cell test code]],[1]!Table1[[Test code]:[Test code]],[1]!Table1[Anode ICR/mOhm],"",0)</f>
        <v>#REF!</v>
      </c>
      <c r="AD847" s="69" t="e" cm="1">
        <f t="array" ref="AD847">_xlfn.XLOOKUP(Table1[[#This Row],[5 cm2 cell test code]:[5 cm2 cell test code]],[1]!Table1[[Test code]:[Test code]],[1]!Table1[HFR DIW/ mOhm cm2],"",0)</f>
        <v>#REF!</v>
      </c>
      <c r="AE847" s="69" t="e" cm="1">
        <f t="array" ref="AE847">_xlfn.XLOOKUP(Table1[[#This Row],[5 cm2 cell test code]:[5 cm2 cell test code]],[1]!Table1[[Test code]:[Test code]],[1]!Table1[HFR 10 mM KOH/ mOhm cm2],"",0)</f>
        <v>#REF!</v>
      </c>
      <c r="AF847" s="69" t="e" cm="1">
        <f t="array" ref="AF847">_xlfn.XLOOKUP(Table1[[#This Row],[5 cm2 cell test code]:[5 cm2 cell test code]],[1]!Table1[[Test code]:[Test code]],[1]!Table1[Ionic resistance DIW/Ohm cm2],"",0)</f>
        <v>#REF!</v>
      </c>
      <c r="AG847" s="69" t="e" cm="1">
        <f t="array" ref="AG847">_xlfn.XLOOKUP(Table1[[#This Row],[5 cm2 cell test code]:[5 cm2 cell test code]],[1]!Table1[[Test code]:[Test code]],[1]!Table1[Q_int_frac DIW],"",0)</f>
        <v>#REF!</v>
      </c>
      <c r="AH847" s="69" t="e" cm="1">
        <f t="array" ref="AH847">_xlfn.XLOOKUP(Table1[[#This Row],[5 cm2 cell test code]:[5 cm2 cell test code]],[1]!Table1[[Test code]:[Test code]],[1]!Table1[Ionic resistance 10 mM KOH/Ohm cm2],"",0)</f>
        <v>#REF!</v>
      </c>
      <c r="AI847" s="69" t="e" cm="1">
        <f t="array" ref="AI847">_xlfn.XLOOKUP(Table1[[#This Row],[5 cm2 cell test code]:[5 cm2 cell test code]],[1]!Table1[[Test code]:[Test code]],[1]!Table1[Q_int_frac DIW 10 mM KOH],"",0)</f>
        <v>#REF!</v>
      </c>
      <c r="AJ847" s="69" t="e" cm="1">
        <f t="array" ref="AJ847">_xlfn.XLOOKUP(Table1[[#This Row],[5 cm2 cell test code]:[5 cm2 cell test code]],[1]!Table1[[Test code]:[Test code]],[1]!Table1[DIW conductivity (µS/cm)],"",0)</f>
        <v>#REF!</v>
      </c>
    </row>
    <row r="848" spans="1:36">
      <c r="A848" s="81"/>
      <c r="U848" s="101"/>
      <c r="V848" s="101"/>
      <c r="W848" s="69" t="e" cm="1">
        <f t="array" ref="W848">_xlfn.XLOOKUP(Table1[[#This Row],[5 cm2 cell test code]:[5 cm2 cell test code]],[1]!Table1[[Test code]:[Test code]],[1]!Table1[i @ 1.8 V DIW (A/cm2)],"",0)</f>
        <v>#REF!</v>
      </c>
      <c r="X848" s="69" t="e" cm="1">
        <f t="array" ref="X848">_xlfn.XLOOKUP(Table1[[#This Row],[5 cm2 cell test code]:[5 cm2 cell test code]],[1]!Table1[[Test code]:[Test code]],[1]!Table1[i @ 1.8 V 10 mM KOH (A/cm2)],"",0)</f>
        <v>#REF!</v>
      </c>
      <c r="Y848" s="69" t="e" cm="1">
        <f t="array" ref="Y848">_xlfn.XLOOKUP(Table1[[#This Row],[5 cm2 cell test code]:[5 cm2 cell test code]],[1]!Table1[[Test code]:[Test code]],[1]!Table1[3-E ƞ at 20mAcm-2 (mV)],"",0)</f>
        <v>#REF!</v>
      </c>
      <c r="Z848" s="69" t="e" cm="1">
        <f t="array" ref="Z848">_xlfn.XLOOKUP(Table1[[#This Row],[5 cm2 cell test code]:[5 cm2 cell test code]],[1]!Table1[[Test code]:[Test code]],[1]!Table1[3-E Tafel slope (mV/dec)],"",0)</f>
        <v>#REF!</v>
      </c>
      <c r="AA848" s="69" t="e" cm="1">
        <f t="array" ref="AA848">_xlfn.XLOOKUP(Table1[[#This Row],[5 cm2 cell test code]:[5 cm2 cell test code]],[1]!Table1[[Test code]:[Test code]],[1]!Table1[E @ 100 mA/cm2 DIW/V],"",0)</f>
        <v>#REF!</v>
      </c>
      <c r="AB848" s="69" t="e" cm="1">
        <f t="array" ref="AB848">_xlfn.XLOOKUP(Table1[[#This Row],[5 cm2 cell test code]:[5 cm2 cell test code]],[1]!Table1[[Test code]:[Test code]],[1]!Table1[E @ 100 mA/cm2 10 mM KOH/V],"",0)</f>
        <v>#REF!</v>
      </c>
      <c r="AC848" s="69" t="e" cm="1">
        <f t="array" ref="AC848">_xlfn.XLOOKUP(Table1[[#This Row],[5 cm2 cell test code]:[5 cm2 cell test code]],[1]!Table1[[Test code]:[Test code]],[1]!Table1[Anode ICR/mOhm],"",0)</f>
        <v>#REF!</v>
      </c>
      <c r="AD848" s="69" t="e" cm="1">
        <f t="array" ref="AD848">_xlfn.XLOOKUP(Table1[[#This Row],[5 cm2 cell test code]:[5 cm2 cell test code]],[1]!Table1[[Test code]:[Test code]],[1]!Table1[HFR DIW/ mOhm cm2],"",0)</f>
        <v>#REF!</v>
      </c>
      <c r="AE848" s="69" t="e" cm="1">
        <f t="array" ref="AE848">_xlfn.XLOOKUP(Table1[[#This Row],[5 cm2 cell test code]:[5 cm2 cell test code]],[1]!Table1[[Test code]:[Test code]],[1]!Table1[HFR 10 mM KOH/ mOhm cm2],"",0)</f>
        <v>#REF!</v>
      </c>
      <c r="AF848" s="69" t="e" cm="1">
        <f t="array" ref="AF848">_xlfn.XLOOKUP(Table1[[#This Row],[5 cm2 cell test code]:[5 cm2 cell test code]],[1]!Table1[[Test code]:[Test code]],[1]!Table1[Ionic resistance DIW/Ohm cm2],"",0)</f>
        <v>#REF!</v>
      </c>
      <c r="AG848" s="69" t="e" cm="1">
        <f t="array" ref="AG848">_xlfn.XLOOKUP(Table1[[#This Row],[5 cm2 cell test code]:[5 cm2 cell test code]],[1]!Table1[[Test code]:[Test code]],[1]!Table1[Q_int_frac DIW],"",0)</f>
        <v>#REF!</v>
      </c>
      <c r="AH848" s="69" t="e" cm="1">
        <f t="array" ref="AH848">_xlfn.XLOOKUP(Table1[[#This Row],[5 cm2 cell test code]:[5 cm2 cell test code]],[1]!Table1[[Test code]:[Test code]],[1]!Table1[Ionic resistance 10 mM KOH/Ohm cm2],"",0)</f>
        <v>#REF!</v>
      </c>
      <c r="AI848" s="69" t="e" cm="1">
        <f t="array" ref="AI848">_xlfn.XLOOKUP(Table1[[#This Row],[5 cm2 cell test code]:[5 cm2 cell test code]],[1]!Table1[[Test code]:[Test code]],[1]!Table1[Q_int_frac DIW 10 mM KOH],"",0)</f>
        <v>#REF!</v>
      </c>
      <c r="AJ848" s="69" t="e" cm="1">
        <f t="array" ref="AJ848">_xlfn.XLOOKUP(Table1[[#This Row],[5 cm2 cell test code]:[5 cm2 cell test code]],[1]!Table1[[Test code]:[Test code]],[1]!Table1[DIW conductivity (µS/cm)],"",0)</f>
        <v>#REF!</v>
      </c>
    </row>
    <row r="849" spans="1:36">
      <c r="A849" s="81"/>
      <c r="U849" s="101"/>
      <c r="V849" s="101"/>
      <c r="W849" s="69" t="e" cm="1">
        <f t="array" ref="W849">_xlfn.XLOOKUP(Table1[[#This Row],[5 cm2 cell test code]:[5 cm2 cell test code]],[1]!Table1[[Test code]:[Test code]],[1]!Table1[i @ 1.8 V DIW (A/cm2)],"",0)</f>
        <v>#REF!</v>
      </c>
      <c r="X849" s="69" t="e" cm="1">
        <f t="array" ref="X849">_xlfn.XLOOKUP(Table1[[#This Row],[5 cm2 cell test code]:[5 cm2 cell test code]],[1]!Table1[[Test code]:[Test code]],[1]!Table1[i @ 1.8 V 10 mM KOH (A/cm2)],"",0)</f>
        <v>#REF!</v>
      </c>
      <c r="Y849" s="69" t="e" cm="1">
        <f t="array" ref="Y849">_xlfn.XLOOKUP(Table1[[#This Row],[5 cm2 cell test code]:[5 cm2 cell test code]],[1]!Table1[[Test code]:[Test code]],[1]!Table1[3-E ƞ at 20mAcm-2 (mV)],"",0)</f>
        <v>#REF!</v>
      </c>
      <c r="Z849" s="69" t="e" cm="1">
        <f t="array" ref="Z849">_xlfn.XLOOKUP(Table1[[#This Row],[5 cm2 cell test code]:[5 cm2 cell test code]],[1]!Table1[[Test code]:[Test code]],[1]!Table1[3-E Tafel slope (mV/dec)],"",0)</f>
        <v>#REF!</v>
      </c>
      <c r="AA849" s="69" t="e" cm="1">
        <f t="array" ref="AA849">_xlfn.XLOOKUP(Table1[[#This Row],[5 cm2 cell test code]:[5 cm2 cell test code]],[1]!Table1[[Test code]:[Test code]],[1]!Table1[E @ 100 mA/cm2 DIW/V],"",0)</f>
        <v>#REF!</v>
      </c>
      <c r="AB849" s="69" t="e" cm="1">
        <f t="array" ref="AB849">_xlfn.XLOOKUP(Table1[[#This Row],[5 cm2 cell test code]:[5 cm2 cell test code]],[1]!Table1[[Test code]:[Test code]],[1]!Table1[E @ 100 mA/cm2 10 mM KOH/V],"",0)</f>
        <v>#REF!</v>
      </c>
      <c r="AC849" s="69" t="e" cm="1">
        <f t="array" ref="AC849">_xlfn.XLOOKUP(Table1[[#This Row],[5 cm2 cell test code]:[5 cm2 cell test code]],[1]!Table1[[Test code]:[Test code]],[1]!Table1[Anode ICR/mOhm],"",0)</f>
        <v>#REF!</v>
      </c>
      <c r="AD849" s="69" t="e" cm="1">
        <f t="array" ref="AD849">_xlfn.XLOOKUP(Table1[[#This Row],[5 cm2 cell test code]:[5 cm2 cell test code]],[1]!Table1[[Test code]:[Test code]],[1]!Table1[HFR DIW/ mOhm cm2],"",0)</f>
        <v>#REF!</v>
      </c>
      <c r="AE849" s="69" t="e" cm="1">
        <f t="array" ref="AE849">_xlfn.XLOOKUP(Table1[[#This Row],[5 cm2 cell test code]:[5 cm2 cell test code]],[1]!Table1[[Test code]:[Test code]],[1]!Table1[HFR 10 mM KOH/ mOhm cm2],"",0)</f>
        <v>#REF!</v>
      </c>
      <c r="AF849" s="69" t="e" cm="1">
        <f t="array" ref="AF849">_xlfn.XLOOKUP(Table1[[#This Row],[5 cm2 cell test code]:[5 cm2 cell test code]],[1]!Table1[[Test code]:[Test code]],[1]!Table1[Ionic resistance DIW/Ohm cm2],"",0)</f>
        <v>#REF!</v>
      </c>
      <c r="AG849" s="69" t="e" cm="1">
        <f t="array" ref="AG849">_xlfn.XLOOKUP(Table1[[#This Row],[5 cm2 cell test code]:[5 cm2 cell test code]],[1]!Table1[[Test code]:[Test code]],[1]!Table1[Q_int_frac DIW],"",0)</f>
        <v>#REF!</v>
      </c>
      <c r="AH849" s="69" t="e" cm="1">
        <f t="array" ref="AH849">_xlfn.XLOOKUP(Table1[[#This Row],[5 cm2 cell test code]:[5 cm2 cell test code]],[1]!Table1[[Test code]:[Test code]],[1]!Table1[Ionic resistance 10 mM KOH/Ohm cm2],"",0)</f>
        <v>#REF!</v>
      </c>
      <c r="AI849" s="69" t="e" cm="1">
        <f t="array" ref="AI849">_xlfn.XLOOKUP(Table1[[#This Row],[5 cm2 cell test code]:[5 cm2 cell test code]],[1]!Table1[[Test code]:[Test code]],[1]!Table1[Q_int_frac DIW 10 mM KOH],"",0)</f>
        <v>#REF!</v>
      </c>
      <c r="AJ849" s="69" t="e" cm="1">
        <f t="array" ref="AJ849">_xlfn.XLOOKUP(Table1[[#This Row],[5 cm2 cell test code]:[5 cm2 cell test code]],[1]!Table1[[Test code]:[Test code]],[1]!Table1[DIW conductivity (µS/cm)],"",0)</f>
        <v>#REF!</v>
      </c>
    </row>
    <row r="850" spans="1:36">
      <c r="A850" s="81"/>
      <c r="U850" s="101"/>
      <c r="V850" s="101"/>
      <c r="W850" s="69" t="e" cm="1">
        <f t="array" ref="W850">_xlfn.XLOOKUP(Table1[[#This Row],[5 cm2 cell test code]:[5 cm2 cell test code]],[1]!Table1[[Test code]:[Test code]],[1]!Table1[i @ 1.8 V DIW (A/cm2)],"",0)</f>
        <v>#REF!</v>
      </c>
      <c r="X850" s="69" t="e" cm="1">
        <f t="array" ref="X850">_xlfn.XLOOKUP(Table1[[#This Row],[5 cm2 cell test code]:[5 cm2 cell test code]],[1]!Table1[[Test code]:[Test code]],[1]!Table1[i @ 1.8 V 10 mM KOH (A/cm2)],"",0)</f>
        <v>#REF!</v>
      </c>
      <c r="Y850" s="69" t="e" cm="1">
        <f t="array" ref="Y850">_xlfn.XLOOKUP(Table1[[#This Row],[5 cm2 cell test code]:[5 cm2 cell test code]],[1]!Table1[[Test code]:[Test code]],[1]!Table1[3-E ƞ at 20mAcm-2 (mV)],"",0)</f>
        <v>#REF!</v>
      </c>
      <c r="Z850" s="69" t="e" cm="1">
        <f t="array" ref="Z850">_xlfn.XLOOKUP(Table1[[#This Row],[5 cm2 cell test code]:[5 cm2 cell test code]],[1]!Table1[[Test code]:[Test code]],[1]!Table1[3-E Tafel slope (mV/dec)],"",0)</f>
        <v>#REF!</v>
      </c>
      <c r="AA850" s="69" t="e" cm="1">
        <f t="array" ref="AA850">_xlfn.XLOOKUP(Table1[[#This Row],[5 cm2 cell test code]:[5 cm2 cell test code]],[1]!Table1[[Test code]:[Test code]],[1]!Table1[E @ 100 mA/cm2 DIW/V],"",0)</f>
        <v>#REF!</v>
      </c>
      <c r="AB850" s="69" t="e" cm="1">
        <f t="array" ref="AB850">_xlfn.XLOOKUP(Table1[[#This Row],[5 cm2 cell test code]:[5 cm2 cell test code]],[1]!Table1[[Test code]:[Test code]],[1]!Table1[E @ 100 mA/cm2 10 mM KOH/V],"",0)</f>
        <v>#REF!</v>
      </c>
      <c r="AC850" s="69" t="e" cm="1">
        <f t="array" ref="AC850">_xlfn.XLOOKUP(Table1[[#This Row],[5 cm2 cell test code]:[5 cm2 cell test code]],[1]!Table1[[Test code]:[Test code]],[1]!Table1[Anode ICR/mOhm],"",0)</f>
        <v>#REF!</v>
      </c>
      <c r="AD850" s="69" t="e" cm="1">
        <f t="array" ref="AD850">_xlfn.XLOOKUP(Table1[[#This Row],[5 cm2 cell test code]:[5 cm2 cell test code]],[1]!Table1[[Test code]:[Test code]],[1]!Table1[HFR DIW/ mOhm cm2],"",0)</f>
        <v>#REF!</v>
      </c>
      <c r="AE850" s="69" t="e" cm="1">
        <f t="array" ref="AE850">_xlfn.XLOOKUP(Table1[[#This Row],[5 cm2 cell test code]:[5 cm2 cell test code]],[1]!Table1[[Test code]:[Test code]],[1]!Table1[HFR 10 mM KOH/ mOhm cm2],"",0)</f>
        <v>#REF!</v>
      </c>
      <c r="AF850" s="69" t="e" cm="1">
        <f t="array" ref="AF850">_xlfn.XLOOKUP(Table1[[#This Row],[5 cm2 cell test code]:[5 cm2 cell test code]],[1]!Table1[[Test code]:[Test code]],[1]!Table1[Ionic resistance DIW/Ohm cm2],"",0)</f>
        <v>#REF!</v>
      </c>
      <c r="AG850" s="69" t="e" cm="1">
        <f t="array" ref="AG850">_xlfn.XLOOKUP(Table1[[#This Row],[5 cm2 cell test code]:[5 cm2 cell test code]],[1]!Table1[[Test code]:[Test code]],[1]!Table1[Q_int_frac DIW],"",0)</f>
        <v>#REF!</v>
      </c>
      <c r="AH850" s="69" t="e" cm="1">
        <f t="array" ref="AH850">_xlfn.XLOOKUP(Table1[[#This Row],[5 cm2 cell test code]:[5 cm2 cell test code]],[1]!Table1[[Test code]:[Test code]],[1]!Table1[Ionic resistance 10 mM KOH/Ohm cm2],"",0)</f>
        <v>#REF!</v>
      </c>
      <c r="AI850" s="69" t="e" cm="1">
        <f t="array" ref="AI850">_xlfn.XLOOKUP(Table1[[#This Row],[5 cm2 cell test code]:[5 cm2 cell test code]],[1]!Table1[[Test code]:[Test code]],[1]!Table1[Q_int_frac DIW 10 mM KOH],"",0)</f>
        <v>#REF!</v>
      </c>
      <c r="AJ850" s="69" t="e" cm="1">
        <f t="array" ref="AJ850">_xlfn.XLOOKUP(Table1[[#This Row],[5 cm2 cell test code]:[5 cm2 cell test code]],[1]!Table1[[Test code]:[Test code]],[1]!Table1[DIW conductivity (µS/cm)],"",0)</f>
        <v>#REF!</v>
      </c>
    </row>
    <row r="851" spans="1:36">
      <c r="A851" s="81"/>
      <c r="U851" s="101"/>
      <c r="V851" s="101"/>
      <c r="W851" s="69" t="e" cm="1">
        <f t="array" ref="W851">_xlfn.XLOOKUP(Table1[[#This Row],[5 cm2 cell test code]:[5 cm2 cell test code]],[1]!Table1[[Test code]:[Test code]],[1]!Table1[i @ 1.8 V DIW (A/cm2)],"",0)</f>
        <v>#REF!</v>
      </c>
      <c r="X851" s="69" t="e" cm="1">
        <f t="array" ref="X851">_xlfn.XLOOKUP(Table1[[#This Row],[5 cm2 cell test code]:[5 cm2 cell test code]],[1]!Table1[[Test code]:[Test code]],[1]!Table1[i @ 1.8 V 10 mM KOH (A/cm2)],"",0)</f>
        <v>#REF!</v>
      </c>
      <c r="Y851" s="69" t="e" cm="1">
        <f t="array" ref="Y851">_xlfn.XLOOKUP(Table1[[#This Row],[5 cm2 cell test code]:[5 cm2 cell test code]],[1]!Table1[[Test code]:[Test code]],[1]!Table1[3-E ƞ at 20mAcm-2 (mV)],"",0)</f>
        <v>#REF!</v>
      </c>
      <c r="Z851" s="69" t="e" cm="1">
        <f t="array" ref="Z851">_xlfn.XLOOKUP(Table1[[#This Row],[5 cm2 cell test code]:[5 cm2 cell test code]],[1]!Table1[[Test code]:[Test code]],[1]!Table1[3-E Tafel slope (mV/dec)],"",0)</f>
        <v>#REF!</v>
      </c>
      <c r="AA851" s="69" t="e" cm="1">
        <f t="array" ref="AA851">_xlfn.XLOOKUP(Table1[[#This Row],[5 cm2 cell test code]:[5 cm2 cell test code]],[1]!Table1[[Test code]:[Test code]],[1]!Table1[E @ 100 mA/cm2 DIW/V],"",0)</f>
        <v>#REF!</v>
      </c>
      <c r="AB851" s="69" t="e" cm="1">
        <f t="array" ref="AB851">_xlfn.XLOOKUP(Table1[[#This Row],[5 cm2 cell test code]:[5 cm2 cell test code]],[1]!Table1[[Test code]:[Test code]],[1]!Table1[E @ 100 mA/cm2 10 mM KOH/V],"",0)</f>
        <v>#REF!</v>
      </c>
      <c r="AC851" s="69" t="e" cm="1">
        <f t="array" ref="AC851">_xlfn.XLOOKUP(Table1[[#This Row],[5 cm2 cell test code]:[5 cm2 cell test code]],[1]!Table1[[Test code]:[Test code]],[1]!Table1[Anode ICR/mOhm],"",0)</f>
        <v>#REF!</v>
      </c>
      <c r="AD851" s="69" t="e" cm="1">
        <f t="array" ref="AD851">_xlfn.XLOOKUP(Table1[[#This Row],[5 cm2 cell test code]:[5 cm2 cell test code]],[1]!Table1[[Test code]:[Test code]],[1]!Table1[HFR DIW/ mOhm cm2],"",0)</f>
        <v>#REF!</v>
      </c>
      <c r="AE851" s="69" t="e" cm="1">
        <f t="array" ref="AE851">_xlfn.XLOOKUP(Table1[[#This Row],[5 cm2 cell test code]:[5 cm2 cell test code]],[1]!Table1[[Test code]:[Test code]],[1]!Table1[HFR 10 mM KOH/ mOhm cm2],"",0)</f>
        <v>#REF!</v>
      </c>
      <c r="AF851" s="69" t="e" cm="1">
        <f t="array" ref="AF851">_xlfn.XLOOKUP(Table1[[#This Row],[5 cm2 cell test code]:[5 cm2 cell test code]],[1]!Table1[[Test code]:[Test code]],[1]!Table1[Ionic resistance DIW/Ohm cm2],"",0)</f>
        <v>#REF!</v>
      </c>
      <c r="AG851" s="69" t="e" cm="1">
        <f t="array" ref="AG851">_xlfn.XLOOKUP(Table1[[#This Row],[5 cm2 cell test code]:[5 cm2 cell test code]],[1]!Table1[[Test code]:[Test code]],[1]!Table1[Q_int_frac DIW],"",0)</f>
        <v>#REF!</v>
      </c>
      <c r="AH851" s="69" t="e" cm="1">
        <f t="array" ref="AH851">_xlfn.XLOOKUP(Table1[[#This Row],[5 cm2 cell test code]:[5 cm2 cell test code]],[1]!Table1[[Test code]:[Test code]],[1]!Table1[Ionic resistance 10 mM KOH/Ohm cm2],"",0)</f>
        <v>#REF!</v>
      </c>
      <c r="AI851" s="69" t="e" cm="1">
        <f t="array" ref="AI851">_xlfn.XLOOKUP(Table1[[#This Row],[5 cm2 cell test code]:[5 cm2 cell test code]],[1]!Table1[[Test code]:[Test code]],[1]!Table1[Q_int_frac DIW 10 mM KOH],"",0)</f>
        <v>#REF!</v>
      </c>
      <c r="AJ851" s="69" t="e" cm="1">
        <f t="array" ref="AJ851">_xlfn.XLOOKUP(Table1[[#This Row],[5 cm2 cell test code]:[5 cm2 cell test code]],[1]!Table1[[Test code]:[Test code]],[1]!Table1[DIW conductivity (µS/cm)],"",0)</f>
        <v>#REF!</v>
      </c>
    </row>
    <row r="852" spans="1:36">
      <c r="A852" s="81"/>
      <c r="U852" s="101"/>
      <c r="V852" s="101"/>
      <c r="W852" s="69" t="e" cm="1">
        <f t="array" ref="W852">_xlfn.XLOOKUP(Table1[[#This Row],[5 cm2 cell test code]:[5 cm2 cell test code]],[1]!Table1[[Test code]:[Test code]],[1]!Table1[i @ 1.8 V DIW (A/cm2)],"",0)</f>
        <v>#REF!</v>
      </c>
      <c r="X852" s="69" t="e" cm="1">
        <f t="array" ref="X852">_xlfn.XLOOKUP(Table1[[#This Row],[5 cm2 cell test code]:[5 cm2 cell test code]],[1]!Table1[[Test code]:[Test code]],[1]!Table1[i @ 1.8 V 10 mM KOH (A/cm2)],"",0)</f>
        <v>#REF!</v>
      </c>
      <c r="Y852" s="69" t="e" cm="1">
        <f t="array" ref="Y852">_xlfn.XLOOKUP(Table1[[#This Row],[5 cm2 cell test code]:[5 cm2 cell test code]],[1]!Table1[[Test code]:[Test code]],[1]!Table1[3-E ƞ at 20mAcm-2 (mV)],"",0)</f>
        <v>#REF!</v>
      </c>
      <c r="Z852" s="69" t="e" cm="1">
        <f t="array" ref="Z852">_xlfn.XLOOKUP(Table1[[#This Row],[5 cm2 cell test code]:[5 cm2 cell test code]],[1]!Table1[[Test code]:[Test code]],[1]!Table1[3-E Tafel slope (mV/dec)],"",0)</f>
        <v>#REF!</v>
      </c>
      <c r="AA852" s="69" t="e" cm="1">
        <f t="array" ref="AA852">_xlfn.XLOOKUP(Table1[[#This Row],[5 cm2 cell test code]:[5 cm2 cell test code]],[1]!Table1[[Test code]:[Test code]],[1]!Table1[E @ 100 mA/cm2 DIW/V],"",0)</f>
        <v>#REF!</v>
      </c>
      <c r="AB852" s="69" t="e" cm="1">
        <f t="array" ref="AB852">_xlfn.XLOOKUP(Table1[[#This Row],[5 cm2 cell test code]:[5 cm2 cell test code]],[1]!Table1[[Test code]:[Test code]],[1]!Table1[E @ 100 mA/cm2 10 mM KOH/V],"",0)</f>
        <v>#REF!</v>
      </c>
      <c r="AC852" s="69" t="e" cm="1">
        <f t="array" ref="AC852">_xlfn.XLOOKUP(Table1[[#This Row],[5 cm2 cell test code]:[5 cm2 cell test code]],[1]!Table1[[Test code]:[Test code]],[1]!Table1[Anode ICR/mOhm],"",0)</f>
        <v>#REF!</v>
      </c>
      <c r="AD852" s="69" t="e" cm="1">
        <f t="array" ref="AD852">_xlfn.XLOOKUP(Table1[[#This Row],[5 cm2 cell test code]:[5 cm2 cell test code]],[1]!Table1[[Test code]:[Test code]],[1]!Table1[HFR DIW/ mOhm cm2],"",0)</f>
        <v>#REF!</v>
      </c>
      <c r="AE852" s="69" t="e" cm="1">
        <f t="array" ref="AE852">_xlfn.XLOOKUP(Table1[[#This Row],[5 cm2 cell test code]:[5 cm2 cell test code]],[1]!Table1[[Test code]:[Test code]],[1]!Table1[HFR 10 mM KOH/ mOhm cm2],"",0)</f>
        <v>#REF!</v>
      </c>
      <c r="AF852" s="69" t="e" cm="1">
        <f t="array" ref="AF852">_xlfn.XLOOKUP(Table1[[#This Row],[5 cm2 cell test code]:[5 cm2 cell test code]],[1]!Table1[[Test code]:[Test code]],[1]!Table1[Ionic resistance DIW/Ohm cm2],"",0)</f>
        <v>#REF!</v>
      </c>
      <c r="AG852" s="69" t="e" cm="1">
        <f t="array" ref="AG852">_xlfn.XLOOKUP(Table1[[#This Row],[5 cm2 cell test code]:[5 cm2 cell test code]],[1]!Table1[[Test code]:[Test code]],[1]!Table1[Q_int_frac DIW],"",0)</f>
        <v>#REF!</v>
      </c>
      <c r="AH852" s="69" t="e" cm="1">
        <f t="array" ref="AH852">_xlfn.XLOOKUP(Table1[[#This Row],[5 cm2 cell test code]:[5 cm2 cell test code]],[1]!Table1[[Test code]:[Test code]],[1]!Table1[Ionic resistance 10 mM KOH/Ohm cm2],"",0)</f>
        <v>#REF!</v>
      </c>
      <c r="AI852" s="69" t="e" cm="1">
        <f t="array" ref="AI852">_xlfn.XLOOKUP(Table1[[#This Row],[5 cm2 cell test code]:[5 cm2 cell test code]],[1]!Table1[[Test code]:[Test code]],[1]!Table1[Q_int_frac DIW 10 mM KOH],"",0)</f>
        <v>#REF!</v>
      </c>
      <c r="AJ852" s="69" t="e" cm="1">
        <f t="array" ref="AJ852">_xlfn.XLOOKUP(Table1[[#This Row],[5 cm2 cell test code]:[5 cm2 cell test code]],[1]!Table1[[Test code]:[Test code]],[1]!Table1[DIW conductivity (µS/cm)],"",0)</f>
        <v>#REF!</v>
      </c>
    </row>
    <row r="853" spans="1:36">
      <c r="A853" s="81"/>
      <c r="U853" s="101"/>
      <c r="V853" s="101"/>
      <c r="W853" s="69" t="e" cm="1">
        <f t="array" ref="W853">_xlfn.XLOOKUP(Table1[[#This Row],[5 cm2 cell test code]:[5 cm2 cell test code]],[1]!Table1[[Test code]:[Test code]],[1]!Table1[i @ 1.8 V DIW (A/cm2)],"",0)</f>
        <v>#REF!</v>
      </c>
      <c r="X853" s="69" t="e" cm="1">
        <f t="array" ref="X853">_xlfn.XLOOKUP(Table1[[#This Row],[5 cm2 cell test code]:[5 cm2 cell test code]],[1]!Table1[[Test code]:[Test code]],[1]!Table1[i @ 1.8 V 10 mM KOH (A/cm2)],"",0)</f>
        <v>#REF!</v>
      </c>
      <c r="Y853" s="69" t="e" cm="1">
        <f t="array" ref="Y853">_xlfn.XLOOKUP(Table1[[#This Row],[5 cm2 cell test code]:[5 cm2 cell test code]],[1]!Table1[[Test code]:[Test code]],[1]!Table1[3-E ƞ at 20mAcm-2 (mV)],"",0)</f>
        <v>#REF!</v>
      </c>
      <c r="Z853" s="69" t="e" cm="1">
        <f t="array" ref="Z853">_xlfn.XLOOKUP(Table1[[#This Row],[5 cm2 cell test code]:[5 cm2 cell test code]],[1]!Table1[[Test code]:[Test code]],[1]!Table1[3-E Tafel slope (mV/dec)],"",0)</f>
        <v>#REF!</v>
      </c>
      <c r="AA853" s="69" t="e" cm="1">
        <f t="array" ref="AA853">_xlfn.XLOOKUP(Table1[[#This Row],[5 cm2 cell test code]:[5 cm2 cell test code]],[1]!Table1[[Test code]:[Test code]],[1]!Table1[E @ 100 mA/cm2 DIW/V],"",0)</f>
        <v>#REF!</v>
      </c>
      <c r="AB853" s="69" t="e" cm="1">
        <f t="array" ref="AB853">_xlfn.XLOOKUP(Table1[[#This Row],[5 cm2 cell test code]:[5 cm2 cell test code]],[1]!Table1[[Test code]:[Test code]],[1]!Table1[E @ 100 mA/cm2 10 mM KOH/V],"",0)</f>
        <v>#REF!</v>
      </c>
      <c r="AC853" s="69" t="e" cm="1">
        <f t="array" ref="AC853">_xlfn.XLOOKUP(Table1[[#This Row],[5 cm2 cell test code]:[5 cm2 cell test code]],[1]!Table1[[Test code]:[Test code]],[1]!Table1[Anode ICR/mOhm],"",0)</f>
        <v>#REF!</v>
      </c>
      <c r="AD853" s="69" t="e" cm="1">
        <f t="array" ref="AD853">_xlfn.XLOOKUP(Table1[[#This Row],[5 cm2 cell test code]:[5 cm2 cell test code]],[1]!Table1[[Test code]:[Test code]],[1]!Table1[HFR DIW/ mOhm cm2],"",0)</f>
        <v>#REF!</v>
      </c>
      <c r="AE853" s="69" t="e" cm="1">
        <f t="array" ref="AE853">_xlfn.XLOOKUP(Table1[[#This Row],[5 cm2 cell test code]:[5 cm2 cell test code]],[1]!Table1[[Test code]:[Test code]],[1]!Table1[HFR 10 mM KOH/ mOhm cm2],"",0)</f>
        <v>#REF!</v>
      </c>
      <c r="AF853" s="69" t="e" cm="1">
        <f t="array" ref="AF853">_xlfn.XLOOKUP(Table1[[#This Row],[5 cm2 cell test code]:[5 cm2 cell test code]],[1]!Table1[[Test code]:[Test code]],[1]!Table1[Ionic resistance DIW/Ohm cm2],"",0)</f>
        <v>#REF!</v>
      </c>
      <c r="AG853" s="69" t="e" cm="1">
        <f t="array" ref="AG853">_xlfn.XLOOKUP(Table1[[#This Row],[5 cm2 cell test code]:[5 cm2 cell test code]],[1]!Table1[[Test code]:[Test code]],[1]!Table1[Q_int_frac DIW],"",0)</f>
        <v>#REF!</v>
      </c>
      <c r="AH853" s="69" t="e" cm="1">
        <f t="array" ref="AH853">_xlfn.XLOOKUP(Table1[[#This Row],[5 cm2 cell test code]:[5 cm2 cell test code]],[1]!Table1[[Test code]:[Test code]],[1]!Table1[Ionic resistance 10 mM KOH/Ohm cm2],"",0)</f>
        <v>#REF!</v>
      </c>
      <c r="AI853" s="69" t="e" cm="1">
        <f t="array" ref="AI853">_xlfn.XLOOKUP(Table1[[#This Row],[5 cm2 cell test code]:[5 cm2 cell test code]],[1]!Table1[[Test code]:[Test code]],[1]!Table1[Q_int_frac DIW 10 mM KOH],"",0)</f>
        <v>#REF!</v>
      </c>
      <c r="AJ853" s="69" t="e" cm="1">
        <f t="array" ref="AJ853">_xlfn.XLOOKUP(Table1[[#This Row],[5 cm2 cell test code]:[5 cm2 cell test code]],[1]!Table1[[Test code]:[Test code]],[1]!Table1[DIW conductivity (µS/cm)],"",0)</f>
        <v>#REF!</v>
      </c>
    </row>
    <row r="854" spans="1:36">
      <c r="A854" s="81"/>
      <c r="U854" s="101"/>
      <c r="V854" s="101"/>
      <c r="W854" s="69" t="e" cm="1">
        <f t="array" ref="W854">_xlfn.XLOOKUP(Table1[[#This Row],[5 cm2 cell test code]:[5 cm2 cell test code]],[1]!Table1[[Test code]:[Test code]],[1]!Table1[i @ 1.8 V DIW (A/cm2)],"",0)</f>
        <v>#REF!</v>
      </c>
      <c r="X854" s="69" t="e" cm="1">
        <f t="array" ref="X854">_xlfn.XLOOKUP(Table1[[#This Row],[5 cm2 cell test code]:[5 cm2 cell test code]],[1]!Table1[[Test code]:[Test code]],[1]!Table1[i @ 1.8 V 10 mM KOH (A/cm2)],"",0)</f>
        <v>#REF!</v>
      </c>
      <c r="Y854" s="69" t="e" cm="1">
        <f t="array" ref="Y854">_xlfn.XLOOKUP(Table1[[#This Row],[5 cm2 cell test code]:[5 cm2 cell test code]],[1]!Table1[[Test code]:[Test code]],[1]!Table1[3-E ƞ at 20mAcm-2 (mV)],"",0)</f>
        <v>#REF!</v>
      </c>
      <c r="Z854" s="69" t="e" cm="1">
        <f t="array" ref="Z854">_xlfn.XLOOKUP(Table1[[#This Row],[5 cm2 cell test code]:[5 cm2 cell test code]],[1]!Table1[[Test code]:[Test code]],[1]!Table1[3-E Tafel slope (mV/dec)],"",0)</f>
        <v>#REF!</v>
      </c>
      <c r="AA854" s="69" t="e" cm="1">
        <f t="array" ref="AA854">_xlfn.XLOOKUP(Table1[[#This Row],[5 cm2 cell test code]:[5 cm2 cell test code]],[1]!Table1[[Test code]:[Test code]],[1]!Table1[E @ 100 mA/cm2 DIW/V],"",0)</f>
        <v>#REF!</v>
      </c>
      <c r="AB854" s="69" t="e" cm="1">
        <f t="array" ref="AB854">_xlfn.XLOOKUP(Table1[[#This Row],[5 cm2 cell test code]:[5 cm2 cell test code]],[1]!Table1[[Test code]:[Test code]],[1]!Table1[E @ 100 mA/cm2 10 mM KOH/V],"",0)</f>
        <v>#REF!</v>
      </c>
      <c r="AC854" s="69" t="e" cm="1">
        <f t="array" ref="AC854">_xlfn.XLOOKUP(Table1[[#This Row],[5 cm2 cell test code]:[5 cm2 cell test code]],[1]!Table1[[Test code]:[Test code]],[1]!Table1[Anode ICR/mOhm],"",0)</f>
        <v>#REF!</v>
      </c>
      <c r="AD854" s="69" t="e" cm="1">
        <f t="array" ref="AD854">_xlfn.XLOOKUP(Table1[[#This Row],[5 cm2 cell test code]:[5 cm2 cell test code]],[1]!Table1[[Test code]:[Test code]],[1]!Table1[HFR DIW/ mOhm cm2],"",0)</f>
        <v>#REF!</v>
      </c>
      <c r="AE854" s="69" t="e" cm="1">
        <f t="array" ref="AE854">_xlfn.XLOOKUP(Table1[[#This Row],[5 cm2 cell test code]:[5 cm2 cell test code]],[1]!Table1[[Test code]:[Test code]],[1]!Table1[HFR 10 mM KOH/ mOhm cm2],"",0)</f>
        <v>#REF!</v>
      </c>
      <c r="AF854" s="69" t="e" cm="1">
        <f t="array" ref="AF854">_xlfn.XLOOKUP(Table1[[#This Row],[5 cm2 cell test code]:[5 cm2 cell test code]],[1]!Table1[[Test code]:[Test code]],[1]!Table1[Ionic resistance DIW/Ohm cm2],"",0)</f>
        <v>#REF!</v>
      </c>
      <c r="AG854" s="69" t="e" cm="1">
        <f t="array" ref="AG854">_xlfn.XLOOKUP(Table1[[#This Row],[5 cm2 cell test code]:[5 cm2 cell test code]],[1]!Table1[[Test code]:[Test code]],[1]!Table1[Q_int_frac DIW],"",0)</f>
        <v>#REF!</v>
      </c>
      <c r="AH854" s="69" t="e" cm="1">
        <f t="array" ref="AH854">_xlfn.XLOOKUP(Table1[[#This Row],[5 cm2 cell test code]:[5 cm2 cell test code]],[1]!Table1[[Test code]:[Test code]],[1]!Table1[Ionic resistance 10 mM KOH/Ohm cm2],"",0)</f>
        <v>#REF!</v>
      </c>
      <c r="AI854" s="69" t="e" cm="1">
        <f t="array" ref="AI854">_xlfn.XLOOKUP(Table1[[#This Row],[5 cm2 cell test code]:[5 cm2 cell test code]],[1]!Table1[[Test code]:[Test code]],[1]!Table1[Q_int_frac DIW 10 mM KOH],"",0)</f>
        <v>#REF!</v>
      </c>
      <c r="AJ854" s="69" t="e" cm="1">
        <f t="array" ref="AJ854">_xlfn.XLOOKUP(Table1[[#This Row],[5 cm2 cell test code]:[5 cm2 cell test code]],[1]!Table1[[Test code]:[Test code]],[1]!Table1[DIW conductivity (µS/cm)],"",0)</f>
        <v>#REF!</v>
      </c>
    </row>
    <row r="855" spans="1:36">
      <c r="A855" s="81"/>
      <c r="U855" s="101"/>
      <c r="V855" s="101"/>
      <c r="W855" s="69" t="e" cm="1">
        <f t="array" ref="W855">_xlfn.XLOOKUP(Table1[[#This Row],[5 cm2 cell test code]:[5 cm2 cell test code]],[1]!Table1[[Test code]:[Test code]],[1]!Table1[i @ 1.8 V DIW (A/cm2)],"",0)</f>
        <v>#REF!</v>
      </c>
      <c r="X855" s="69" t="e" cm="1">
        <f t="array" ref="X855">_xlfn.XLOOKUP(Table1[[#This Row],[5 cm2 cell test code]:[5 cm2 cell test code]],[1]!Table1[[Test code]:[Test code]],[1]!Table1[i @ 1.8 V 10 mM KOH (A/cm2)],"",0)</f>
        <v>#REF!</v>
      </c>
      <c r="Y855" s="69" t="e" cm="1">
        <f t="array" ref="Y855">_xlfn.XLOOKUP(Table1[[#This Row],[5 cm2 cell test code]:[5 cm2 cell test code]],[1]!Table1[[Test code]:[Test code]],[1]!Table1[3-E ƞ at 20mAcm-2 (mV)],"",0)</f>
        <v>#REF!</v>
      </c>
      <c r="Z855" s="69" t="e" cm="1">
        <f t="array" ref="Z855">_xlfn.XLOOKUP(Table1[[#This Row],[5 cm2 cell test code]:[5 cm2 cell test code]],[1]!Table1[[Test code]:[Test code]],[1]!Table1[3-E Tafel slope (mV/dec)],"",0)</f>
        <v>#REF!</v>
      </c>
      <c r="AA855" s="69" t="e" cm="1">
        <f t="array" ref="AA855">_xlfn.XLOOKUP(Table1[[#This Row],[5 cm2 cell test code]:[5 cm2 cell test code]],[1]!Table1[[Test code]:[Test code]],[1]!Table1[E @ 100 mA/cm2 DIW/V],"",0)</f>
        <v>#REF!</v>
      </c>
      <c r="AB855" s="69" t="e" cm="1">
        <f t="array" ref="AB855">_xlfn.XLOOKUP(Table1[[#This Row],[5 cm2 cell test code]:[5 cm2 cell test code]],[1]!Table1[[Test code]:[Test code]],[1]!Table1[E @ 100 mA/cm2 10 mM KOH/V],"",0)</f>
        <v>#REF!</v>
      </c>
      <c r="AC855" s="69" t="e" cm="1">
        <f t="array" ref="AC855">_xlfn.XLOOKUP(Table1[[#This Row],[5 cm2 cell test code]:[5 cm2 cell test code]],[1]!Table1[[Test code]:[Test code]],[1]!Table1[Anode ICR/mOhm],"",0)</f>
        <v>#REF!</v>
      </c>
      <c r="AD855" s="69" t="e" cm="1">
        <f t="array" ref="AD855">_xlfn.XLOOKUP(Table1[[#This Row],[5 cm2 cell test code]:[5 cm2 cell test code]],[1]!Table1[[Test code]:[Test code]],[1]!Table1[HFR DIW/ mOhm cm2],"",0)</f>
        <v>#REF!</v>
      </c>
      <c r="AE855" s="69" t="e" cm="1">
        <f t="array" ref="AE855">_xlfn.XLOOKUP(Table1[[#This Row],[5 cm2 cell test code]:[5 cm2 cell test code]],[1]!Table1[[Test code]:[Test code]],[1]!Table1[HFR 10 mM KOH/ mOhm cm2],"",0)</f>
        <v>#REF!</v>
      </c>
      <c r="AF855" s="69" t="e" cm="1">
        <f t="array" ref="AF855">_xlfn.XLOOKUP(Table1[[#This Row],[5 cm2 cell test code]:[5 cm2 cell test code]],[1]!Table1[[Test code]:[Test code]],[1]!Table1[Ionic resistance DIW/Ohm cm2],"",0)</f>
        <v>#REF!</v>
      </c>
      <c r="AG855" s="69" t="e" cm="1">
        <f t="array" ref="AG855">_xlfn.XLOOKUP(Table1[[#This Row],[5 cm2 cell test code]:[5 cm2 cell test code]],[1]!Table1[[Test code]:[Test code]],[1]!Table1[Q_int_frac DIW],"",0)</f>
        <v>#REF!</v>
      </c>
      <c r="AH855" s="69" t="e" cm="1">
        <f t="array" ref="AH855">_xlfn.XLOOKUP(Table1[[#This Row],[5 cm2 cell test code]:[5 cm2 cell test code]],[1]!Table1[[Test code]:[Test code]],[1]!Table1[Ionic resistance 10 mM KOH/Ohm cm2],"",0)</f>
        <v>#REF!</v>
      </c>
      <c r="AI855" s="69" t="e" cm="1">
        <f t="array" ref="AI855">_xlfn.XLOOKUP(Table1[[#This Row],[5 cm2 cell test code]:[5 cm2 cell test code]],[1]!Table1[[Test code]:[Test code]],[1]!Table1[Q_int_frac DIW 10 mM KOH],"",0)</f>
        <v>#REF!</v>
      </c>
      <c r="AJ855" s="69" t="e" cm="1">
        <f t="array" ref="AJ855">_xlfn.XLOOKUP(Table1[[#This Row],[5 cm2 cell test code]:[5 cm2 cell test code]],[1]!Table1[[Test code]:[Test code]],[1]!Table1[DIW conductivity (µS/cm)],"",0)</f>
        <v>#REF!</v>
      </c>
    </row>
    <row r="856" spans="1:36">
      <c r="A856" s="81"/>
      <c r="U856" s="101"/>
      <c r="V856" s="101"/>
      <c r="W856" s="69" t="e" cm="1">
        <f t="array" ref="W856">_xlfn.XLOOKUP(Table1[[#This Row],[5 cm2 cell test code]:[5 cm2 cell test code]],[1]!Table1[[Test code]:[Test code]],[1]!Table1[i @ 1.8 V DIW (A/cm2)],"",0)</f>
        <v>#REF!</v>
      </c>
      <c r="X856" s="69" t="e" cm="1">
        <f t="array" ref="X856">_xlfn.XLOOKUP(Table1[[#This Row],[5 cm2 cell test code]:[5 cm2 cell test code]],[1]!Table1[[Test code]:[Test code]],[1]!Table1[i @ 1.8 V 10 mM KOH (A/cm2)],"",0)</f>
        <v>#REF!</v>
      </c>
      <c r="Y856" s="69" t="e" cm="1">
        <f t="array" ref="Y856">_xlfn.XLOOKUP(Table1[[#This Row],[5 cm2 cell test code]:[5 cm2 cell test code]],[1]!Table1[[Test code]:[Test code]],[1]!Table1[3-E ƞ at 20mAcm-2 (mV)],"",0)</f>
        <v>#REF!</v>
      </c>
      <c r="Z856" s="69" t="e" cm="1">
        <f t="array" ref="Z856">_xlfn.XLOOKUP(Table1[[#This Row],[5 cm2 cell test code]:[5 cm2 cell test code]],[1]!Table1[[Test code]:[Test code]],[1]!Table1[3-E Tafel slope (mV/dec)],"",0)</f>
        <v>#REF!</v>
      </c>
      <c r="AA856" s="69" t="e" cm="1">
        <f t="array" ref="AA856">_xlfn.XLOOKUP(Table1[[#This Row],[5 cm2 cell test code]:[5 cm2 cell test code]],[1]!Table1[[Test code]:[Test code]],[1]!Table1[E @ 100 mA/cm2 DIW/V],"",0)</f>
        <v>#REF!</v>
      </c>
      <c r="AB856" s="69" t="e" cm="1">
        <f t="array" ref="AB856">_xlfn.XLOOKUP(Table1[[#This Row],[5 cm2 cell test code]:[5 cm2 cell test code]],[1]!Table1[[Test code]:[Test code]],[1]!Table1[E @ 100 mA/cm2 10 mM KOH/V],"",0)</f>
        <v>#REF!</v>
      </c>
      <c r="AC856" s="69" t="e" cm="1">
        <f t="array" ref="AC856">_xlfn.XLOOKUP(Table1[[#This Row],[5 cm2 cell test code]:[5 cm2 cell test code]],[1]!Table1[[Test code]:[Test code]],[1]!Table1[Anode ICR/mOhm],"",0)</f>
        <v>#REF!</v>
      </c>
      <c r="AD856" s="69" t="e" cm="1">
        <f t="array" ref="AD856">_xlfn.XLOOKUP(Table1[[#This Row],[5 cm2 cell test code]:[5 cm2 cell test code]],[1]!Table1[[Test code]:[Test code]],[1]!Table1[HFR DIW/ mOhm cm2],"",0)</f>
        <v>#REF!</v>
      </c>
      <c r="AE856" s="69" t="e" cm="1">
        <f t="array" ref="AE856">_xlfn.XLOOKUP(Table1[[#This Row],[5 cm2 cell test code]:[5 cm2 cell test code]],[1]!Table1[[Test code]:[Test code]],[1]!Table1[HFR 10 mM KOH/ mOhm cm2],"",0)</f>
        <v>#REF!</v>
      </c>
      <c r="AF856" s="69" t="e" cm="1">
        <f t="array" ref="AF856">_xlfn.XLOOKUP(Table1[[#This Row],[5 cm2 cell test code]:[5 cm2 cell test code]],[1]!Table1[[Test code]:[Test code]],[1]!Table1[Ionic resistance DIW/Ohm cm2],"",0)</f>
        <v>#REF!</v>
      </c>
      <c r="AG856" s="69" t="e" cm="1">
        <f t="array" ref="AG856">_xlfn.XLOOKUP(Table1[[#This Row],[5 cm2 cell test code]:[5 cm2 cell test code]],[1]!Table1[[Test code]:[Test code]],[1]!Table1[Q_int_frac DIW],"",0)</f>
        <v>#REF!</v>
      </c>
      <c r="AH856" s="69" t="e" cm="1">
        <f t="array" ref="AH856">_xlfn.XLOOKUP(Table1[[#This Row],[5 cm2 cell test code]:[5 cm2 cell test code]],[1]!Table1[[Test code]:[Test code]],[1]!Table1[Ionic resistance 10 mM KOH/Ohm cm2],"",0)</f>
        <v>#REF!</v>
      </c>
      <c r="AI856" s="69" t="e" cm="1">
        <f t="array" ref="AI856">_xlfn.XLOOKUP(Table1[[#This Row],[5 cm2 cell test code]:[5 cm2 cell test code]],[1]!Table1[[Test code]:[Test code]],[1]!Table1[Q_int_frac DIW 10 mM KOH],"",0)</f>
        <v>#REF!</v>
      </c>
      <c r="AJ856" s="69" t="e" cm="1">
        <f t="array" ref="AJ856">_xlfn.XLOOKUP(Table1[[#This Row],[5 cm2 cell test code]:[5 cm2 cell test code]],[1]!Table1[[Test code]:[Test code]],[1]!Table1[DIW conductivity (µS/cm)],"",0)</f>
        <v>#REF!</v>
      </c>
    </row>
    <row r="857" spans="1:36">
      <c r="A857" s="81"/>
      <c r="U857" s="101"/>
      <c r="V857" s="101"/>
      <c r="W857" s="69" t="e" cm="1">
        <f t="array" ref="W857">_xlfn.XLOOKUP(Table1[[#This Row],[5 cm2 cell test code]:[5 cm2 cell test code]],[1]!Table1[[Test code]:[Test code]],[1]!Table1[i @ 1.8 V DIW (A/cm2)],"",0)</f>
        <v>#REF!</v>
      </c>
      <c r="X857" s="69" t="e" cm="1">
        <f t="array" ref="X857">_xlfn.XLOOKUP(Table1[[#This Row],[5 cm2 cell test code]:[5 cm2 cell test code]],[1]!Table1[[Test code]:[Test code]],[1]!Table1[i @ 1.8 V 10 mM KOH (A/cm2)],"",0)</f>
        <v>#REF!</v>
      </c>
      <c r="Y857" s="69" t="e" cm="1">
        <f t="array" ref="Y857">_xlfn.XLOOKUP(Table1[[#This Row],[5 cm2 cell test code]:[5 cm2 cell test code]],[1]!Table1[[Test code]:[Test code]],[1]!Table1[3-E ƞ at 20mAcm-2 (mV)],"",0)</f>
        <v>#REF!</v>
      </c>
      <c r="Z857" s="69" t="e" cm="1">
        <f t="array" ref="Z857">_xlfn.XLOOKUP(Table1[[#This Row],[5 cm2 cell test code]:[5 cm2 cell test code]],[1]!Table1[[Test code]:[Test code]],[1]!Table1[3-E Tafel slope (mV/dec)],"",0)</f>
        <v>#REF!</v>
      </c>
      <c r="AA857" s="69" t="e" cm="1">
        <f t="array" ref="AA857">_xlfn.XLOOKUP(Table1[[#This Row],[5 cm2 cell test code]:[5 cm2 cell test code]],[1]!Table1[[Test code]:[Test code]],[1]!Table1[E @ 100 mA/cm2 DIW/V],"",0)</f>
        <v>#REF!</v>
      </c>
      <c r="AB857" s="69" t="e" cm="1">
        <f t="array" ref="AB857">_xlfn.XLOOKUP(Table1[[#This Row],[5 cm2 cell test code]:[5 cm2 cell test code]],[1]!Table1[[Test code]:[Test code]],[1]!Table1[E @ 100 mA/cm2 10 mM KOH/V],"",0)</f>
        <v>#REF!</v>
      </c>
      <c r="AC857" s="69" t="e" cm="1">
        <f t="array" ref="AC857">_xlfn.XLOOKUP(Table1[[#This Row],[5 cm2 cell test code]:[5 cm2 cell test code]],[1]!Table1[[Test code]:[Test code]],[1]!Table1[Anode ICR/mOhm],"",0)</f>
        <v>#REF!</v>
      </c>
      <c r="AD857" s="69" t="e" cm="1">
        <f t="array" ref="AD857">_xlfn.XLOOKUP(Table1[[#This Row],[5 cm2 cell test code]:[5 cm2 cell test code]],[1]!Table1[[Test code]:[Test code]],[1]!Table1[HFR DIW/ mOhm cm2],"",0)</f>
        <v>#REF!</v>
      </c>
      <c r="AE857" s="69" t="e" cm="1">
        <f t="array" ref="AE857">_xlfn.XLOOKUP(Table1[[#This Row],[5 cm2 cell test code]:[5 cm2 cell test code]],[1]!Table1[[Test code]:[Test code]],[1]!Table1[HFR 10 mM KOH/ mOhm cm2],"",0)</f>
        <v>#REF!</v>
      </c>
      <c r="AF857" s="69" t="e" cm="1">
        <f t="array" ref="AF857">_xlfn.XLOOKUP(Table1[[#This Row],[5 cm2 cell test code]:[5 cm2 cell test code]],[1]!Table1[[Test code]:[Test code]],[1]!Table1[Ionic resistance DIW/Ohm cm2],"",0)</f>
        <v>#REF!</v>
      </c>
      <c r="AG857" s="69" t="e" cm="1">
        <f t="array" ref="AG857">_xlfn.XLOOKUP(Table1[[#This Row],[5 cm2 cell test code]:[5 cm2 cell test code]],[1]!Table1[[Test code]:[Test code]],[1]!Table1[Q_int_frac DIW],"",0)</f>
        <v>#REF!</v>
      </c>
      <c r="AH857" s="69" t="e" cm="1">
        <f t="array" ref="AH857">_xlfn.XLOOKUP(Table1[[#This Row],[5 cm2 cell test code]:[5 cm2 cell test code]],[1]!Table1[[Test code]:[Test code]],[1]!Table1[Ionic resistance 10 mM KOH/Ohm cm2],"",0)</f>
        <v>#REF!</v>
      </c>
      <c r="AI857" s="69" t="e" cm="1">
        <f t="array" ref="AI857">_xlfn.XLOOKUP(Table1[[#This Row],[5 cm2 cell test code]:[5 cm2 cell test code]],[1]!Table1[[Test code]:[Test code]],[1]!Table1[Q_int_frac DIW 10 mM KOH],"",0)</f>
        <v>#REF!</v>
      </c>
      <c r="AJ857" s="69" t="e" cm="1">
        <f t="array" ref="AJ857">_xlfn.XLOOKUP(Table1[[#This Row],[5 cm2 cell test code]:[5 cm2 cell test code]],[1]!Table1[[Test code]:[Test code]],[1]!Table1[DIW conductivity (µS/cm)],"",0)</f>
        <v>#REF!</v>
      </c>
    </row>
    <row r="858" spans="1:36">
      <c r="A858" s="81"/>
      <c r="U858" s="101"/>
      <c r="V858" s="101"/>
      <c r="W858" s="69" t="e" cm="1">
        <f t="array" ref="W858">_xlfn.XLOOKUP(Table1[[#This Row],[5 cm2 cell test code]:[5 cm2 cell test code]],[1]!Table1[[Test code]:[Test code]],[1]!Table1[i @ 1.8 V DIW (A/cm2)],"",0)</f>
        <v>#REF!</v>
      </c>
      <c r="X858" s="69" t="e" cm="1">
        <f t="array" ref="X858">_xlfn.XLOOKUP(Table1[[#This Row],[5 cm2 cell test code]:[5 cm2 cell test code]],[1]!Table1[[Test code]:[Test code]],[1]!Table1[i @ 1.8 V 10 mM KOH (A/cm2)],"",0)</f>
        <v>#REF!</v>
      </c>
      <c r="Y858" s="69" t="e" cm="1">
        <f t="array" ref="Y858">_xlfn.XLOOKUP(Table1[[#This Row],[5 cm2 cell test code]:[5 cm2 cell test code]],[1]!Table1[[Test code]:[Test code]],[1]!Table1[3-E ƞ at 20mAcm-2 (mV)],"",0)</f>
        <v>#REF!</v>
      </c>
      <c r="Z858" s="69" t="e" cm="1">
        <f t="array" ref="Z858">_xlfn.XLOOKUP(Table1[[#This Row],[5 cm2 cell test code]:[5 cm2 cell test code]],[1]!Table1[[Test code]:[Test code]],[1]!Table1[3-E Tafel slope (mV/dec)],"",0)</f>
        <v>#REF!</v>
      </c>
      <c r="AA858" s="69" t="e" cm="1">
        <f t="array" ref="AA858">_xlfn.XLOOKUP(Table1[[#This Row],[5 cm2 cell test code]:[5 cm2 cell test code]],[1]!Table1[[Test code]:[Test code]],[1]!Table1[E @ 100 mA/cm2 DIW/V],"",0)</f>
        <v>#REF!</v>
      </c>
      <c r="AB858" s="69" t="e" cm="1">
        <f t="array" ref="AB858">_xlfn.XLOOKUP(Table1[[#This Row],[5 cm2 cell test code]:[5 cm2 cell test code]],[1]!Table1[[Test code]:[Test code]],[1]!Table1[E @ 100 mA/cm2 10 mM KOH/V],"",0)</f>
        <v>#REF!</v>
      </c>
      <c r="AC858" s="69" t="e" cm="1">
        <f t="array" ref="AC858">_xlfn.XLOOKUP(Table1[[#This Row],[5 cm2 cell test code]:[5 cm2 cell test code]],[1]!Table1[[Test code]:[Test code]],[1]!Table1[Anode ICR/mOhm],"",0)</f>
        <v>#REF!</v>
      </c>
      <c r="AD858" s="69" t="e" cm="1">
        <f t="array" ref="AD858">_xlfn.XLOOKUP(Table1[[#This Row],[5 cm2 cell test code]:[5 cm2 cell test code]],[1]!Table1[[Test code]:[Test code]],[1]!Table1[HFR DIW/ mOhm cm2],"",0)</f>
        <v>#REF!</v>
      </c>
      <c r="AE858" s="69" t="e" cm="1">
        <f t="array" ref="AE858">_xlfn.XLOOKUP(Table1[[#This Row],[5 cm2 cell test code]:[5 cm2 cell test code]],[1]!Table1[[Test code]:[Test code]],[1]!Table1[HFR 10 mM KOH/ mOhm cm2],"",0)</f>
        <v>#REF!</v>
      </c>
      <c r="AF858" s="69" t="e" cm="1">
        <f t="array" ref="AF858">_xlfn.XLOOKUP(Table1[[#This Row],[5 cm2 cell test code]:[5 cm2 cell test code]],[1]!Table1[[Test code]:[Test code]],[1]!Table1[Ionic resistance DIW/Ohm cm2],"",0)</f>
        <v>#REF!</v>
      </c>
      <c r="AG858" s="69" t="e" cm="1">
        <f t="array" ref="AG858">_xlfn.XLOOKUP(Table1[[#This Row],[5 cm2 cell test code]:[5 cm2 cell test code]],[1]!Table1[[Test code]:[Test code]],[1]!Table1[Q_int_frac DIW],"",0)</f>
        <v>#REF!</v>
      </c>
      <c r="AH858" s="69" t="e" cm="1">
        <f t="array" ref="AH858">_xlfn.XLOOKUP(Table1[[#This Row],[5 cm2 cell test code]:[5 cm2 cell test code]],[1]!Table1[[Test code]:[Test code]],[1]!Table1[Ionic resistance 10 mM KOH/Ohm cm2],"",0)</f>
        <v>#REF!</v>
      </c>
      <c r="AI858" s="69" t="e" cm="1">
        <f t="array" ref="AI858">_xlfn.XLOOKUP(Table1[[#This Row],[5 cm2 cell test code]:[5 cm2 cell test code]],[1]!Table1[[Test code]:[Test code]],[1]!Table1[Q_int_frac DIW 10 mM KOH],"",0)</f>
        <v>#REF!</v>
      </c>
      <c r="AJ858" s="69" t="e" cm="1">
        <f t="array" ref="AJ858">_xlfn.XLOOKUP(Table1[[#This Row],[5 cm2 cell test code]:[5 cm2 cell test code]],[1]!Table1[[Test code]:[Test code]],[1]!Table1[DIW conductivity (µS/cm)],"",0)</f>
        <v>#REF!</v>
      </c>
    </row>
    <row r="859" spans="1:36">
      <c r="A859" s="81"/>
      <c r="U859" s="101"/>
      <c r="V859" s="101"/>
      <c r="W859" s="69" t="e" cm="1">
        <f t="array" ref="W859">_xlfn.XLOOKUP(Table1[[#This Row],[5 cm2 cell test code]:[5 cm2 cell test code]],[1]!Table1[[Test code]:[Test code]],[1]!Table1[i @ 1.8 V DIW (A/cm2)],"",0)</f>
        <v>#REF!</v>
      </c>
      <c r="X859" s="69" t="e" cm="1">
        <f t="array" ref="X859">_xlfn.XLOOKUP(Table1[[#This Row],[5 cm2 cell test code]:[5 cm2 cell test code]],[1]!Table1[[Test code]:[Test code]],[1]!Table1[i @ 1.8 V 10 mM KOH (A/cm2)],"",0)</f>
        <v>#REF!</v>
      </c>
      <c r="Y859" s="69" t="e" cm="1">
        <f t="array" ref="Y859">_xlfn.XLOOKUP(Table1[[#This Row],[5 cm2 cell test code]:[5 cm2 cell test code]],[1]!Table1[[Test code]:[Test code]],[1]!Table1[3-E ƞ at 20mAcm-2 (mV)],"",0)</f>
        <v>#REF!</v>
      </c>
      <c r="Z859" s="69" t="e" cm="1">
        <f t="array" ref="Z859">_xlfn.XLOOKUP(Table1[[#This Row],[5 cm2 cell test code]:[5 cm2 cell test code]],[1]!Table1[[Test code]:[Test code]],[1]!Table1[3-E Tafel slope (mV/dec)],"",0)</f>
        <v>#REF!</v>
      </c>
      <c r="AA859" s="69" t="e" cm="1">
        <f t="array" ref="AA859">_xlfn.XLOOKUP(Table1[[#This Row],[5 cm2 cell test code]:[5 cm2 cell test code]],[1]!Table1[[Test code]:[Test code]],[1]!Table1[E @ 100 mA/cm2 DIW/V],"",0)</f>
        <v>#REF!</v>
      </c>
      <c r="AB859" s="69" t="e" cm="1">
        <f t="array" ref="AB859">_xlfn.XLOOKUP(Table1[[#This Row],[5 cm2 cell test code]:[5 cm2 cell test code]],[1]!Table1[[Test code]:[Test code]],[1]!Table1[E @ 100 mA/cm2 10 mM KOH/V],"",0)</f>
        <v>#REF!</v>
      </c>
      <c r="AC859" s="69" t="e" cm="1">
        <f t="array" ref="AC859">_xlfn.XLOOKUP(Table1[[#This Row],[5 cm2 cell test code]:[5 cm2 cell test code]],[1]!Table1[[Test code]:[Test code]],[1]!Table1[Anode ICR/mOhm],"",0)</f>
        <v>#REF!</v>
      </c>
      <c r="AD859" s="69" t="e" cm="1">
        <f t="array" ref="AD859">_xlfn.XLOOKUP(Table1[[#This Row],[5 cm2 cell test code]:[5 cm2 cell test code]],[1]!Table1[[Test code]:[Test code]],[1]!Table1[HFR DIW/ mOhm cm2],"",0)</f>
        <v>#REF!</v>
      </c>
      <c r="AE859" s="69" t="e" cm="1">
        <f t="array" ref="AE859">_xlfn.XLOOKUP(Table1[[#This Row],[5 cm2 cell test code]:[5 cm2 cell test code]],[1]!Table1[[Test code]:[Test code]],[1]!Table1[HFR 10 mM KOH/ mOhm cm2],"",0)</f>
        <v>#REF!</v>
      </c>
      <c r="AF859" s="69" t="e" cm="1">
        <f t="array" ref="AF859">_xlfn.XLOOKUP(Table1[[#This Row],[5 cm2 cell test code]:[5 cm2 cell test code]],[1]!Table1[[Test code]:[Test code]],[1]!Table1[Ionic resistance DIW/Ohm cm2],"",0)</f>
        <v>#REF!</v>
      </c>
      <c r="AG859" s="69" t="e" cm="1">
        <f t="array" ref="AG859">_xlfn.XLOOKUP(Table1[[#This Row],[5 cm2 cell test code]:[5 cm2 cell test code]],[1]!Table1[[Test code]:[Test code]],[1]!Table1[Q_int_frac DIW],"",0)</f>
        <v>#REF!</v>
      </c>
      <c r="AH859" s="69" t="e" cm="1">
        <f t="array" ref="AH859">_xlfn.XLOOKUP(Table1[[#This Row],[5 cm2 cell test code]:[5 cm2 cell test code]],[1]!Table1[[Test code]:[Test code]],[1]!Table1[Ionic resistance 10 mM KOH/Ohm cm2],"",0)</f>
        <v>#REF!</v>
      </c>
      <c r="AI859" s="69" t="e" cm="1">
        <f t="array" ref="AI859">_xlfn.XLOOKUP(Table1[[#This Row],[5 cm2 cell test code]:[5 cm2 cell test code]],[1]!Table1[[Test code]:[Test code]],[1]!Table1[Q_int_frac DIW 10 mM KOH],"",0)</f>
        <v>#REF!</v>
      </c>
      <c r="AJ859" s="69" t="e" cm="1">
        <f t="array" ref="AJ859">_xlfn.XLOOKUP(Table1[[#This Row],[5 cm2 cell test code]:[5 cm2 cell test code]],[1]!Table1[[Test code]:[Test code]],[1]!Table1[DIW conductivity (µS/cm)],"",0)</f>
        <v>#REF!</v>
      </c>
    </row>
    <row r="860" spans="1:36">
      <c r="A860" s="81"/>
      <c r="U860" s="101"/>
      <c r="V860" s="101"/>
      <c r="W860" s="69" t="e" cm="1">
        <f t="array" ref="W860">_xlfn.XLOOKUP(Table1[[#This Row],[5 cm2 cell test code]:[5 cm2 cell test code]],[1]!Table1[[Test code]:[Test code]],[1]!Table1[i @ 1.8 V DIW (A/cm2)],"",0)</f>
        <v>#REF!</v>
      </c>
      <c r="X860" s="69" t="e" cm="1">
        <f t="array" ref="X860">_xlfn.XLOOKUP(Table1[[#This Row],[5 cm2 cell test code]:[5 cm2 cell test code]],[1]!Table1[[Test code]:[Test code]],[1]!Table1[i @ 1.8 V 10 mM KOH (A/cm2)],"",0)</f>
        <v>#REF!</v>
      </c>
      <c r="Y860" s="69" t="e" cm="1">
        <f t="array" ref="Y860">_xlfn.XLOOKUP(Table1[[#This Row],[5 cm2 cell test code]:[5 cm2 cell test code]],[1]!Table1[[Test code]:[Test code]],[1]!Table1[3-E ƞ at 20mAcm-2 (mV)],"",0)</f>
        <v>#REF!</v>
      </c>
      <c r="Z860" s="69" t="e" cm="1">
        <f t="array" ref="Z860">_xlfn.XLOOKUP(Table1[[#This Row],[5 cm2 cell test code]:[5 cm2 cell test code]],[1]!Table1[[Test code]:[Test code]],[1]!Table1[3-E Tafel slope (mV/dec)],"",0)</f>
        <v>#REF!</v>
      </c>
      <c r="AA860" s="69" t="e" cm="1">
        <f t="array" ref="AA860">_xlfn.XLOOKUP(Table1[[#This Row],[5 cm2 cell test code]:[5 cm2 cell test code]],[1]!Table1[[Test code]:[Test code]],[1]!Table1[E @ 100 mA/cm2 DIW/V],"",0)</f>
        <v>#REF!</v>
      </c>
      <c r="AB860" s="69" t="e" cm="1">
        <f t="array" ref="AB860">_xlfn.XLOOKUP(Table1[[#This Row],[5 cm2 cell test code]:[5 cm2 cell test code]],[1]!Table1[[Test code]:[Test code]],[1]!Table1[E @ 100 mA/cm2 10 mM KOH/V],"",0)</f>
        <v>#REF!</v>
      </c>
      <c r="AC860" s="69" t="e" cm="1">
        <f t="array" ref="AC860">_xlfn.XLOOKUP(Table1[[#This Row],[5 cm2 cell test code]:[5 cm2 cell test code]],[1]!Table1[[Test code]:[Test code]],[1]!Table1[Anode ICR/mOhm],"",0)</f>
        <v>#REF!</v>
      </c>
      <c r="AD860" s="69" t="e" cm="1">
        <f t="array" ref="AD860">_xlfn.XLOOKUP(Table1[[#This Row],[5 cm2 cell test code]:[5 cm2 cell test code]],[1]!Table1[[Test code]:[Test code]],[1]!Table1[HFR DIW/ mOhm cm2],"",0)</f>
        <v>#REF!</v>
      </c>
      <c r="AE860" s="69" t="e" cm="1">
        <f t="array" ref="AE860">_xlfn.XLOOKUP(Table1[[#This Row],[5 cm2 cell test code]:[5 cm2 cell test code]],[1]!Table1[[Test code]:[Test code]],[1]!Table1[HFR 10 mM KOH/ mOhm cm2],"",0)</f>
        <v>#REF!</v>
      </c>
      <c r="AF860" s="69" t="e" cm="1">
        <f t="array" ref="AF860">_xlfn.XLOOKUP(Table1[[#This Row],[5 cm2 cell test code]:[5 cm2 cell test code]],[1]!Table1[[Test code]:[Test code]],[1]!Table1[Ionic resistance DIW/Ohm cm2],"",0)</f>
        <v>#REF!</v>
      </c>
      <c r="AG860" s="69" t="e" cm="1">
        <f t="array" ref="AG860">_xlfn.XLOOKUP(Table1[[#This Row],[5 cm2 cell test code]:[5 cm2 cell test code]],[1]!Table1[[Test code]:[Test code]],[1]!Table1[Q_int_frac DIW],"",0)</f>
        <v>#REF!</v>
      </c>
      <c r="AH860" s="69" t="e" cm="1">
        <f t="array" ref="AH860">_xlfn.XLOOKUP(Table1[[#This Row],[5 cm2 cell test code]:[5 cm2 cell test code]],[1]!Table1[[Test code]:[Test code]],[1]!Table1[Ionic resistance 10 mM KOH/Ohm cm2],"",0)</f>
        <v>#REF!</v>
      </c>
      <c r="AI860" s="69" t="e" cm="1">
        <f t="array" ref="AI860">_xlfn.XLOOKUP(Table1[[#This Row],[5 cm2 cell test code]:[5 cm2 cell test code]],[1]!Table1[[Test code]:[Test code]],[1]!Table1[Q_int_frac DIW 10 mM KOH],"",0)</f>
        <v>#REF!</v>
      </c>
      <c r="AJ860" s="69" t="e" cm="1">
        <f t="array" ref="AJ860">_xlfn.XLOOKUP(Table1[[#This Row],[5 cm2 cell test code]:[5 cm2 cell test code]],[1]!Table1[[Test code]:[Test code]],[1]!Table1[DIW conductivity (µS/cm)],"",0)</f>
        <v>#REF!</v>
      </c>
    </row>
    <row r="861" spans="1:36">
      <c r="A861" s="81"/>
      <c r="U861" s="101"/>
      <c r="V861" s="101"/>
      <c r="W861" s="69" t="e" cm="1">
        <f t="array" ref="W861">_xlfn.XLOOKUP(Table1[[#This Row],[5 cm2 cell test code]:[5 cm2 cell test code]],[1]!Table1[[Test code]:[Test code]],[1]!Table1[i @ 1.8 V DIW (A/cm2)],"",0)</f>
        <v>#REF!</v>
      </c>
      <c r="X861" s="69" t="e" cm="1">
        <f t="array" ref="X861">_xlfn.XLOOKUP(Table1[[#This Row],[5 cm2 cell test code]:[5 cm2 cell test code]],[1]!Table1[[Test code]:[Test code]],[1]!Table1[i @ 1.8 V 10 mM KOH (A/cm2)],"",0)</f>
        <v>#REF!</v>
      </c>
      <c r="Y861" s="69" t="e" cm="1">
        <f t="array" ref="Y861">_xlfn.XLOOKUP(Table1[[#This Row],[5 cm2 cell test code]:[5 cm2 cell test code]],[1]!Table1[[Test code]:[Test code]],[1]!Table1[3-E ƞ at 20mAcm-2 (mV)],"",0)</f>
        <v>#REF!</v>
      </c>
      <c r="Z861" s="69" t="e" cm="1">
        <f t="array" ref="Z861">_xlfn.XLOOKUP(Table1[[#This Row],[5 cm2 cell test code]:[5 cm2 cell test code]],[1]!Table1[[Test code]:[Test code]],[1]!Table1[3-E Tafel slope (mV/dec)],"",0)</f>
        <v>#REF!</v>
      </c>
      <c r="AA861" s="69" t="e" cm="1">
        <f t="array" ref="AA861">_xlfn.XLOOKUP(Table1[[#This Row],[5 cm2 cell test code]:[5 cm2 cell test code]],[1]!Table1[[Test code]:[Test code]],[1]!Table1[E @ 100 mA/cm2 DIW/V],"",0)</f>
        <v>#REF!</v>
      </c>
      <c r="AB861" s="69" t="e" cm="1">
        <f t="array" ref="AB861">_xlfn.XLOOKUP(Table1[[#This Row],[5 cm2 cell test code]:[5 cm2 cell test code]],[1]!Table1[[Test code]:[Test code]],[1]!Table1[E @ 100 mA/cm2 10 mM KOH/V],"",0)</f>
        <v>#REF!</v>
      </c>
      <c r="AC861" s="69" t="e" cm="1">
        <f t="array" ref="AC861">_xlfn.XLOOKUP(Table1[[#This Row],[5 cm2 cell test code]:[5 cm2 cell test code]],[1]!Table1[[Test code]:[Test code]],[1]!Table1[Anode ICR/mOhm],"",0)</f>
        <v>#REF!</v>
      </c>
      <c r="AD861" s="69" t="e" cm="1">
        <f t="array" ref="AD861">_xlfn.XLOOKUP(Table1[[#This Row],[5 cm2 cell test code]:[5 cm2 cell test code]],[1]!Table1[[Test code]:[Test code]],[1]!Table1[HFR DIW/ mOhm cm2],"",0)</f>
        <v>#REF!</v>
      </c>
      <c r="AE861" s="69" t="e" cm="1">
        <f t="array" ref="AE861">_xlfn.XLOOKUP(Table1[[#This Row],[5 cm2 cell test code]:[5 cm2 cell test code]],[1]!Table1[[Test code]:[Test code]],[1]!Table1[HFR 10 mM KOH/ mOhm cm2],"",0)</f>
        <v>#REF!</v>
      </c>
      <c r="AF861" s="69" t="e" cm="1">
        <f t="array" ref="AF861">_xlfn.XLOOKUP(Table1[[#This Row],[5 cm2 cell test code]:[5 cm2 cell test code]],[1]!Table1[[Test code]:[Test code]],[1]!Table1[Ionic resistance DIW/Ohm cm2],"",0)</f>
        <v>#REF!</v>
      </c>
      <c r="AG861" s="69" t="e" cm="1">
        <f t="array" ref="AG861">_xlfn.XLOOKUP(Table1[[#This Row],[5 cm2 cell test code]:[5 cm2 cell test code]],[1]!Table1[[Test code]:[Test code]],[1]!Table1[Q_int_frac DIW],"",0)</f>
        <v>#REF!</v>
      </c>
      <c r="AH861" s="69" t="e" cm="1">
        <f t="array" ref="AH861">_xlfn.XLOOKUP(Table1[[#This Row],[5 cm2 cell test code]:[5 cm2 cell test code]],[1]!Table1[[Test code]:[Test code]],[1]!Table1[Ionic resistance 10 mM KOH/Ohm cm2],"",0)</f>
        <v>#REF!</v>
      </c>
      <c r="AI861" s="69" t="e" cm="1">
        <f t="array" ref="AI861">_xlfn.XLOOKUP(Table1[[#This Row],[5 cm2 cell test code]:[5 cm2 cell test code]],[1]!Table1[[Test code]:[Test code]],[1]!Table1[Q_int_frac DIW 10 mM KOH],"",0)</f>
        <v>#REF!</v>
      </c>
      <c r="AJ861" s="69" t="e" cm="1">
        <f t="array" ref="AJ861">_xlfn.XLOOKUP(Table1[[#This Row],[5 cm2 cell test code]:[5 cm2 cell test code]],[1]!Table1[[Test code]:[Test code]],[1]!Table1[DIW conductivity (µS/cm)],"",0)</f>
        <v>#REF!</v>
      </c>
    </row>
    <row r="862" spans="1:36">
      <c r="A862" s="81"/>
      <c r="U862" s="101"/>
      <c r="V862" s="101"/>
      <c r="W862" s="69" t="e" cm="1">
        <f t="array" ref="W862">_xlfn.XLOOKUP(Table1[[#This Row],[5 cm2 cell test code]:[5 cm2 cell test code]],[1]!Table1[[Test code]:[Test code]],[1]!Table1[i @ 1.8 V DIW (A/cm2)],"",0)</f>
        <v>#REF!</v>
      </c>
      <c r="X862" s="69" t="e" cm="1">
        <f t="array" ref="X862">_xlfn.XLOOKUP(Table1[[#This Row],[5 cm2 cell test code]:[5 cm2 cell test code]],[1]!Table1[[Test code]:[Test code]],[1]!Table1[i @ 1.8 V 10 mM KOH (A/cm2)],"",0)</f>
        <v>#REF!</v>
      </c>
      <c r="Y862" s="69" t="e" cm="1">
        <f t="array" ref="Y862">_xlfn.XLOOKUP(Table1[[#This Row],[5 cm2 cell test code]:[5 cm2 cell test code]],[1]!Table1[[Test code]:[Test code]],[1]!Table1[3-E ƞ at 20mAcm-2 (mV)],"",0)</f>
        <v>#REF!</v>
      </c>
      <c r="Z862" s="69" t="e" cm="1">
        <f t="array" ref="Z862">_xlfn.XLOOKUP(Table1[[#This Row],[5 cm2 cell test code]:[5 cm2 cell test code]],[1]!Table1[[Test code]:[Test code]],[1]!Table1[3-E Tafel slope (mV/dec)],"",0)</f>
        <v>#REF!</v>
      </c>
      <c r="AA862" s="69" t="e" cm="1">
        <f t="array" ref="AA862">_xlfn.XLOOKUP(Table1[[#This Row],[5 cm2 cell test code]:[5 cm2 cell test code]],[1]!Table1[[Test code]:[Test code]],[1]!Table1[E @ 100 mA/cm2 DIW/V],"",0)</f>
        <v>#REF!</v>
      </c>
      <c r="AB862" s="69" t="e" cm="1">
        <f t="array" ref="AB862">_xlfn.XLOOKUP(Table1[[#This Row],[5 cm2 cell test code]:[5 cm2 cell test code]],[1]!Table1[[Test code]:[Test code]],[1]!Table1[E @ 100 mA/cm2 10 mM KOH/V],"",0)</f>
        <v>#REF!</v>
      </c>
      <c r="AC862" s="69" t="e" cm="1">
        <f t="array" ref="AC862">_xlfn.XLOOKUP(Table1[[#This Row],[5 cm2 cell test code]:[5 cm2 cell test code]],[1]!Table1[[Test code]:[Test code]],[1]!Table1[Anode ICR/mOhm],"",0)</f>
        <v>#REF!</v>
      </c>
      <c r="AD862" s="69" t="e" cm="1">
        <f t="array" ref="AD862">_xlfn.XLOOKUP(Table1[[#This Row],[5 cm2 cell test code]:[5 cm2 cell test code]],[1]!Table1[[Test code]:[Test code]],[1]!Table1[HFR DIW/ mOhm cm2],"",0)</f>
        <v>#REF!</v>
      </c>
      <c r="AE862" s="69" t="e" cm="1">
        <f t="array" ref="AE862">_xlfn.XLOOKUP(Table1[[#This Row],[5 cm2 cell test code]:[5 cm2 cell test code]],[1]!Table1[[Test code]:[Test code]],[1]!Table1[HFR 10 mM KOH/ mOhm cm2],"",0)</f>
        <v>#REF!</v>
      </c>
      <c r="AF862" s="69" t="e" cm="1">
        <f t="array" ref="AF862">_xlfn.XLOOKUP(Table1[[#This Row],[5 cm2 cell test code]:[5 cm2 cell test code]],[1]!Table1[[Test code]:[Test code]],[1]!Table1[Ionic resistance DIW/Ohm cm2],"",0)</f>
        <v>#REF!</v>
      </c>
      <c r="AG862" s="69" t="e" cm="1">
        <f t="array" ref="AG862">_xlfn.XLOOKUP(Table1[[#This Row],[5 cm2 cell test code]:[5 cm2 cell test code]],[1]!Table1[[Test code]:[Test code]],[1]!Table1[Q_int_frac DIW],"",0)</f>
        <v>#REF!</v>
      </c>
      <c r="AH862" s="69" t="e" cm="1">
        <f t="array" ref="AH862">_xlfn.XLOOKUP(Table1[[#This Row],[5 cm2 cell test code]:[5 cm2 cell test code]],[1]!Table1[[Test code]:[Test code]],[1]!Table1[Ionic resistance 10 mM KOH/Ohm cm2],"",0)</f>
        <v>#REF!</v>
      </c>
      <c r="AI862" s="69" t="e" cm="1">
        <f t="array" ref="AI862">_xlfn.XLOOKUP(Table1[[#This Row],[5 cm2 cell test code]:[5 cm2 cell test code]],[1]!Table1[[Test code]:[Test code]],[1]!Table1[Q_int_frac DIW 10 mM KOH],"",0)</f>
        <v>#REF!</v>
      </c>
      <c r="AJ862" s="69" t="e" cm="1">
        <f t="array" ref="AJ862">_xlfn.XLOOKUP(Table1[[#This Row],[5 cm2 cell test code]:[5 cm2 cell test code]],[1]!Table1[[Test code]:[Test code]],[1]!Table1[DIW conductivity (µS/cm)],"",0)</f>
        <v>#REF!</v>
      </c>
    </row>
    <row r="863" spans="1:36">
      <c r="A863" s="81"/>
      <c r="U863" s="101"/>
      <c r="V863" s="101"/>
      <c r="W863" s="69" t="e" cm="1">
        <f t="array" ref="W863">_xlfn.XLOOKUP(Table1[[#This Row],[5 cm2 cell test code]:[5 cm2 cell test code]],[1]!Table1[[Test code]:[Test code]],[1]!Table1[i @ 1.8 V DIW (A/cm2)],"",0)</f>
        <v>#REF!</v>
      </c>
      <c r="X863" s="69" t="e" cm="1">
        <f t="array" ref="X863">_xlfn.XLOOKUP(Table1[[#This Row],[5 cm2 cell test code]:[5 cm2 cell test code]],[1]!Table1[[Test code]:[Test code]],[1]!Table1[i @ 1.8 V 10 mM KOH (A/cm2)],"",0)</f>
        <v>#REF!</v>
      </c>
      <c r="Y863" s="69" t="e" cm="1">
        <f t="array" ref="Y863">_xlfn.XLOOKUP(Table1[[#This Row],[5 cm2 cell test code]:[5 cm2 cell test code]],[1]!Table1[[Test code]:[Test code]],[1]!Table1[3-E ƞ at 20mAcm-2 (mV)],"",0)</f>
        <v>#REF!</v>
      </c>
      <c r="Z863" s="69" t="e" cm="1">
        <f t="array" ref="Z863">_xlfn.XLOOKUP(Table1[[#This Row],[5 cm2 cell test code]:[5 cm2 cell test code]],[1]!Table1[[Test code]:[Test code]],[1]!Table1[3-E Tafel slope (mV/dec)],"",0)</f>
        <v>#REF!</v>
      </c>
      <c r="AA863" s="69" t="e" cm="1">
        <f t="array" ref="AA863">_xlfn.XLOOKUP(Table1[[#This Row],[5 cm2 cell test code]:[5 cm2 cell test code]],[1]!Table1[[Test code]:[Test code]],[1]!Table1[E @ 100 mA/cm2 DIW/V],"",0)</f>
        <v>#REF!</v>
      </c>
      <c r="AB863" s="69" t="e" cm="1">
        <f t="array" ref="AB863">_xlfn.XLOOKUP(Table1[[#This Row],[5 cm2 cell test code]:[5 cm2 cell test code]],[1]!Table1[[Test code]:[Test code]],[1]!Table1[E @ 100 mA/cm2 10 mM KOH/V],"",0)</f>
        <v>#REF!</v>
      </c>
      <c r="AC863" s="69" t="e" cm="1">
        <f t="array" ref="AC863">_xlfn.XLOOKUP(Table1[[#This Row],[5 cm2 cell test code]:[5 cm2 cell test code]],[1]!Table1[[Test code]:[Test code]],[1]!Table1[Anode ICR/mOhm],"",0)</f>
        <v>#REF!</v>
      </c>
      <c r="AD863" s="69" t="e" cm="1">
        <f t="array" ref="AD863">_xlfn.XLOOKUP(Table1[[#This Row],[5 cm2 cell test code]:[5 cm2 cell test code]],[1]!Table1[[Test code]:[Test code]],[1]!Table1[HFR DIW/ mOhm cm2],"",0)</f>
        <v>#REF!</v>
      </c>
      <c r="AE863" s="69" t="e" cm="1">
        <f t="array" ref="AE863">_xlfn.XLOOKUP(Table1[[#This Row],[5 cm2 cell test code]:[5 cm2 cell test code]],[1]!Table1[[Test code]:[Test code]],[1]!Table1[HFR 10 mM KOH/ mOhm cm2],"",0)</f>
        <v>#REF!</v>
      </c>
      <c r="AF863" s="69" t="e" cm="1">
        <f t="array" ref="AF863">_xlfn.XLOOKUP(Table1[[#This Row],[5 cm2 cell test code]:[5 cm2 cell test code]],[1]!Table1[[Test code]:[Test code]],[1]!Table1[Ionic resistance DIW/Ohm cm2],"",0)</f>
        <v>#REF!</v>
      </c>
      <c r="AG863" s="69" t="e" cm="1">
        <f t="array" ref="AG863">_xlfn.XLOOKUP(Table1[[#This Row],[5 cm2 cell test code]:[5 cm2 cell test code]],[1]!Table1[[Test code]:[Test code]],[1]!Table1[Q_int_frac DIW],"",0)</f>
        <v>#REF!</v>
      </c>
      <c r="AH863" s="69" t="e" cm="1">
        <f t="array" ref="AH863">_xlfn.XLOOKUP(Table1[[#This Row],[5 cm2 cell test code]:[5 cm2 cell test code]],[1]!Table1[[Test code]:[Test code]],[1]!Table1[Ionic resistance 10 mM KOH/Ohm cm2],"",0)</f>
        <v>#REF!</v>
      </c>
      <c r="AI863" s="69" t="e" cm="1">
        <f t="array" ref="AI863">_xlfn.XLOOKUP(Table1[[#This Row],[5 cm2 cell test code]:[5 cm2 cell test code]],[1]!Table1[[Test code]:[Test code]],[1]!Table1[Q_int_frac DIW 10 mM KOH],"",0)</f>
        <v>#REF!</v>
      </c>
      <c r="AJ863" s="69" t="e" cm="1">
        <f t="array" ref="AJ863">_xlfn.XLOOKUP(Table1[[#This Row],[5 cm2 cell test code]:[5 cm2 cell test code]],[1]!Table1[[Test code]:[Test code]],[1]!Table1[DIW conductivity (µS/cm)],"",0)</f>
        <v>#REF!</v>
      </c>
    </row>
    <row r="864" spans="1:36">
      <c r="A864" s="81"/>
      <c r="U864" s="101"/>
      <c r="V864" s="101"/>
      <c r="W864" s="69" t="e" cm="1">
        <f t="array" ref="W864">_xlfn.XLOOKUP(Table1[[#This Row],[5 cm2 cell test code]:[5 cm2 cell test code]],[1]!Table1[[Test code]:[Test code]],[1]!Table1[i @ 1.8 V DIW (A/cm2)],"",0)</f>
        <v>#REF!</v>
      </c>
      <c r="X864" s="69" t="e" cm="1">
        <f t="array" ref="X864">_xlfn.XLOOKUP(Table1[[#This Row],[5 cm2 cell test code]:[5 cm2 cell test code]],[1]!Table1[[Test code]:[Test code]],[1]!Table1[i @ 1.8 V 10 mM KOH (A/cm2)],"",0)</f>
        <v>#REF!</v>
      </c>
      <c r="Y864" s="69" t="e" cm="1">
        <f t="array" ref="Y864">_xlfn.XLOOKUP(Table1[[#This Row],[5 cm2 cell test code]:[5 cm2 cell test code]],[1]!Table1[[Test code]:[Test code]],[1]!Table1[3-E ƞ at 20mAcm-2 (mV)],"",0)</f>
        <v>#REF!</v>
      </c>
      <c r="Z864" s="69" t="e" cm="1">
        <f t="array" ref="Z864">_xlfn.XLOOKUP(Table1[[#This Row],[5 cm2 cell test code]:[5 cm2 cell test code]],[1]!Table1[[Test code]:[Test code]],[1]!Table1[3-E Tafel slope (mV/dec)],"",0)</f>
        <v>#REF!</v>
      </c>
      <c r="AA864" s="69" t="e" cm="1">
        <f t="array" ref="AA864">_xlfn.XLOOKUP(Table1[[#This Row],[5 cm2 cell test code]:[5 cm2 cell test code]],[1]!Table1[[Test code]:[Test code]],[1]!Table1[E @ 100 mA/cm2 DIW/V],"",0)</f>
        <v>#REF!</v>
      </c>
      <c r="AB864" s="69" t="e" cm="1">
        <f t="array" ref="AB864">_xlfn.XLOOKUP(Table1[[#This Row],[5 cm2 cell test code]:[5 cm2 cell test code]],[1]!Table1[[Test code]:[Test code]],[1]!Table1[E @ 100 mA/cm2 10 mM KOH/V],"",0)</f>
        <v>#REF!</v>
      </c>
      <c r="AC864" s="69" t="e" cm="1">
        <f t="array" ref="AC864">_xlfn.XLOOKUP(Table1[[#This Row],[5 cm2 cell test code]:[5 cm2 cell test code]],[1]!Table1[[Test code]:[Test code]],[1]!Table1[Anode ICR/mOhm],"",0)</f>
        <v>#REF!</v>
      </c>
      <c r="AD864" s="69" t="e" cm="1">
        <f t="array" ref="AD864">_xlfn.XLOOKUP(Table1[[#This Row],[5 cm2 cell test code]:[5 cm2 cell test code]],[1]!Table1[[Test code]:[Test code]],[1]!Table1[HFR DIW/ mOhm cm2],"",0)</f>
        <v>#REF!</v>
      </c>
      <c r="AE864" s="69" t="e" cm="1">
        <f t="array" ref="AE864">_xlfn.XLOOKUP(Table1[[#This Row],[5 cm2 cell test code]:[5 cm2 cell test code]],[1]!Table1[[Test code]:[Test code]],[1]!Table1[HFR 10 mM KOH/ mOhm cm2],"",0)</f>
        <v>#REF!</v>
      </c>
      <c r="AF864" s="69" t="e" cm="1">
        <f t="array" ref="AF864">_xlfn.XLOOKUP(Table1[[#This Row],[5 cm2 cell test code]:[5 cm2 cell test code]],[1]!Table1[[Test code]:[Test code]],[1]!Table1[Ionic resistance DIW/Ohm cm2],"",0)</f>
        <v>#REF!</v>
      </c>
      <c r="AG864" s="69" t="e" cm="1">
        <f t="array" ref="AG864">_xlfn.XLOOKUP(Table1[[#This Row],[5 cm2 cell test code]:[5 cm2 cell test code]],[1]!Table1[[Test code]:[Test code]],[1]!Table1[Q_int_frac DIW],"",0)</f>
        <v>#REF!</v>
      </c>
      <c r="AH864" s="69" t="e" cm="1">
        <f t="array" ref="AH864">_xlfn.XLOOKUP(Table1[[#This Row],[5 cm2 cell test code]:[5 cm2 cell test code]],[1]!Table1[[Test code]:[Test code]],[1]!Table1[Ionic resistance 10 mM KOH/Ohm cm2],"",0)</f>
        <v>#REF!</v>
      </c>
      <c r="AI864" s="69" t="e" cm="1">
        <f t="array" ref="AI864">_xlfn.XLOOKUP(Table1[[#This Row],[5 cm2 cell test code]:[5 cm2 cell test code]],[1]!Table1[[Test code]:[Test code]],[1]!Table1[Q_int_frac DIW 10 mM KOH],"",0)</f>
        <v>#REF!</v>
      </c>
      <c r="AJ864" s="69" t="e" cm="1">
        <f t="array" ref="AJ864">_xlfn.XLOOKUP(Table1[[#This Row],[5 cm2 cell test code]:[5 cm2 cell test code]],[1]!Table1[[Test code]:[Test code]],[1]!Table1[DIW conductivity (µS/cm)],"",0)</f>
        <v>#REF!</v>
      </c>
    </row>
    <row r="865" spans="1:36">
      <c r="A865" s="81"/>
      <c r="U865" s="101"/>
      <c r="V865" s="101"/>
      <c r="W865" s="69" t="e" cm="1">
        <f t="array" ref="W865">_xlfn.XLOOKUP(Table1[[#This Row],[5 cm2 cell test code]:[5 cm2 cell test code]],[1]!Table1[[Test code]:[Test code]],[1]!Table1[i @ 1.8 V DIW (A/cm2)],"",0)</f>
        <v>#REF!</v>
      </c>
      <c r="X865" s="69" t="e" cm="1">
        <f t="array" ref="X865">_xlfn.XLOOKUP(Table1[[#This Row],[5 cm2 cell test code]:[5 cm2 cell test code]],[1]!Table1[[Test code]:[Test code]],[1]!Table1[i @ 1.8 V 10 mM KOH (A/cm2)],"",0)</f>
        <v>#REF!</v>
      </c>
      <c r="Y865" s="69" t="e" cm="1">
        <f t="array" ref="Y865">_xlfn.XLOOKUP(Table1[[#This Row],[5 cm2 cell test code]:[5 cm2 cell test code]],[1]!Table1[[Test code]:[Test code]],[1]!Table1[3-E ƞ at 20mAcm-2 (mV)],"",0)</f>
        <v>#REF!</v>
      </c>
      <c r="Z865" s="69" t="e" cm="1">
        <f t="array" ref="Z865">_xlfn.XLOOKUP(Table1[[#This Row],[5 cm2 cell test code]:[5 cm2 cell test code]],[1]!Table1[[Test code]:[Test code]],[1]!Table1[3-E Tafel slope (mV/dec)],"",0)</f>
        <v>#REF!</v>
      </c>
      <c r="AA865" s="69" t="e" cm="1">
        <f t="array" ref="AA865">_xlfn.XLOOKUP(Table1[[#This Row],[5 cm2 cell test code]:[5 cm2 cell test code]],[1]!Table1[[Test code]:[Test code]],[1]!Table1[E @ 100 mA/cm2 DIW/V],"",0)</f>
        <v>#REF!</v>
      </c>
      <c r="AB865" s="69" t="e" cm="1">
        <f t="array" ref="AB865">_xlfn.XLOOKUP(Table1[[#This Row],[5 cm2 cell test code]:[5 cm2 cell test code]],[1]!Table1[[Test code]:[Test code]],[1]!Table1[E @ 100 mA/cm2 10 mM KOH/V],"",0)</f>
        <v>#REF!</v>
      </c>
      <c r="AC865" s="69" t="e" cm="1">
        <f t="array" ref="AC865">_xlfn.XLOOKUP(Table1[[#This Row],[5 cm2 cell test code]:[5 cm2 cell test code]],[1]!Table1[[Test code]:[Test code]],[1]!Table1[Anode ICR/mOhm],"",0)</f>
        <v>#REF!</v>
      </c>
      <c r="AD865" s="69" t="e" cm="1">
        <f t="array" ref="AD865">_xlfn.XLOOKUP(Table1[[#This Row],[5 cm2 cell test code]:[5 cm2 cell test code]],[1]!Table1[[Test code]:[Test code]],[1]!Table1[HFR DIW/ mOhm cm2],"",0)</f>
        <v>#REF!</v>
      </c>
      <c r="AE865" s="69" t="e" cm="1">
        <f t="array" ref="AE865">_xlfn.XLOOKUP(Table1[[#This Row],[5 cm2 cell test code]:[5 cm2 cell test code]],[1]!Table1[[Test code]:[Test code]],[1]!Table1[HFR 10 mM KOH/ mOhm cm2],"",0)</f>
        <v>#REF!</v>
      </c>
      <c r="AF865" s="69" t="e" cm="1">
        <f t="array" ref="AF865">_xlfn.XLOOKUP(Table1[[#This Row],[5 cm2 cell test code]:[5 cm2 cell test code]],[1]!Table1[[Test code]:[Test code]],[1]!Table1[Ionic resistance DIW/Ohm cm2],"",0)</f>
        <v>#REF!</v>
      </c>
      <c r="AG865" s="69" t="e" cm="1">
        <f t="array" ref="AG865">_xlfn.XLOOKUP(Table1[[#This Row],[5 cm2 cell test code]:[5 cm2 cell test code]],[1]!Table1[[Test code]:[Test code]],[1]!Table1[Q_int_frac DIW],"",0)</f>
        <v>#REF!</v>
      </c>
      <c r="AH865" s="69" t="e" cm="1">
        <f t="array" ref="AH865">_xlfn.XLOOKUP(Table1[[#This Row],[5 cm2 cell test code]:[5 cm2 cell test code]],[1]!Table1[[Test code]:[Test code]],[1]!Table1[Ionic resistance 10 mM KOH/Ohm cm2],"",0)</f>
        <v>#REF!</v>
      </c>
      <c r="AI865" s="69" t="e" cm="1">
        <f t="array" ref="AI865">_xlfn.XLOOKUP(Table1[[#This Row],[5 cm2 cell test code]:[5 cm2 cell test code]],[1]!Table1[[Test code]:[Test code]],[1]!Table1[Q_int_frac DIW 10 mM KOH],"",0)</f>
        <v>#REF!</v>
      </c>
      <c r="AJ865" s="69" t="e" cm="1">
        <f t="array" ref="AJ865">_xlfn.XLOOKUP(Table1[[#This Row],[5 cm2 cell test code]:[5 cm2 cell test code]],[1]!Table1[[Test code]:[Test code]],[1]!Table1[DIW conductivity (µS/cm)],"",0)</f>
        <v>#REF!</v>
      </c>
    </row>
    <row r="866" spans="1:36">
      <c r="A866" s="81"/>
      <c r="U866" s="101"/>
      <c r="V866" s="101"/>
      <c r="W866" s="69" t="e" cm="1">
        <f t="array" ref="W866">_xlfn.XLOOKUP(Table1[[#This Row],[5 cm2 cell test code]:[5 cm2 cell test code]],[1]!Table1[[Test code]:[Test code]],[1]!Table1[i @ 1.8 V DIW (A/cm2)],"",0)</f>
        <v>#REF!</v>
      </c>
      <c r="X866" s="69" t="e" cm="1">
        <f t="array" ref="X866">_xlfn.XLOOKUP(Table1[[#This Row],[5 cm2 cell test code]:[5 cm2 cell test code]],[1]!Table1[[Test code]:[Test code]],[1]!Table1[i @ 1.8 V 10 mM KOH (A/cm2)],"",0)</f>
        <v>#REF!</v>
      </c>
      <c r="Y866" s="69" t="e" cm="1">
        <f t="array" ref="Y866">_xlfn.XLOOKUP(Table1[[#This Row],[5 cm2 cell test code]:[5 cm2 cell test code]],[1]!Table1[[Test code]:[Test code]],[1]!Table1[3-E ƞ at 20mAcm-2 (mV)],"",0)</f>
        <v>#REF!</v>
      </c>
      <c r="Z866" s="69" t="e" cm="1">
        <f t="array" ref="Z866">_xlfn.XLOOKUP(Table1[[#This Row],[5 cm2 cell test code]:[5 cm2 cell test code]],[1]!Table1[[Test code]:[Test code]],[1]!Table1[3-E Tafel slope (mV/dec)],"",0)</f>
        <v>#REF!</v>
      </c>
      <c r="AA866" s="69" t="e" cm="1">
        <f t="array" ref="AA866">_xlfn.XLOOKUP(Table1[[#This Row],[5 cm2 cell test code]:[5 cm2 cell test code]],[1]!Table1[[Test code]:[Test code]],[1]!Table1[E @ 100 mA/cm2 DIW/V],"",0)</f>
        <v>#REF!</v>
      </c>
      <c r="AB866" s="69" t="e" cm="1">
        <f t="array" ref="AB866">_xlfn.XLOOKUP(Table1[[#This Row],[5 cm2 cell test code]:[5 cm2 cell test code]],[1]!Table1[[Test code]:[Test code]],[1]!Table1[E @ 100 mA/cm2 10 mM KOH/V],"",0)</f>
        <v>#REF!</v>
      </c>
      <c r="AC866" s="69" t="e" cm="1">
        <f t="array" ref="AC866">_xlfn.XLOOKUP(Table1[[#This Row],[5 cm2 cell test code]:[5 cm2 cell test code]],[1]!Table1[[Test code]:[Test code]],[1]!Table1[Anode ICR/mOhm],"",0)</f>
        <v>#REF!</v>
      </c>
      <c r="AD866" s="69" t="e" cm="1">
        <f t="array" ref="AD866">_xlfn.XLOOKUP(Table1[[#This Row],[5 cm2 cell test code]:[5 cm2 cell test code]],[1]!Table1[[Test code]:[Test code]],[1]!Table1[HFR DIW/ mOhm cm2],"",0)</f>
        <v>#REF!</v>
      </c>
      <c r="AE866" s="69" t="e" cm="1">
        <f t="array" ref="AE866">_xlfn.XLOOKUP(Table1[[#This Row],[5 cm2 cell test code]:[5 cm2 cell test code]],[1]!Table1[[Test code]:[Test code]],[1]!Table1[HFR 10 mM KOH/ mOhm cm2],"",0)</f>
        <v>#REF!</v>
      </c>
      <c r="AF866" s="69" t="e" cm="1">
        <f t="array" ref="AF866">_xlfn.XLOOKUP(Table1[[#This Row],[5 cm2 cell test code]:[5 cm2 cell test code]],[1]!Table1[[Test code]:[Test code]],[1]!Table1[Ionic resistance DIW/Ohm cm2],"",0)</f>
        <v>#REF!</v>
      </c>
      <c r="AG866" s="69" t="e" cm="1">
        <f t="array" ref="AG866">_xlfn.XLOOKUP(Table1[[#This Row],[5 cm2 cell test code]:[5 cm2 cell test code]],[1]!Table1[[Test code]:[Test code]],[1]!Table1[Q_int_frac DIW],"",0)</f>
        <v>#REF!</v>
      </c>
      <c r="AH866" s="69" t="e" cm="1">
        <f t="array" ref="AH866">_xlfn.XLOOKUP(Table1[[#This Row],[5 cm2 cell test code]:[5 cm2 cell test code]],[1]!Table1[[Test code]:[Test code]],[1]!Table1[Ionic resistance 10 mM KOH/Ohm cm2],"",0)</f>
        <v>#REF!</v>
      </c>
      <c r="AI866" s="69" t="e" cm="1">
        <f t="array" ref="AI866">_xlfn.XLOOKUP(Table1[[#This Row],[5 cm2 cell test code]:[5 cm2 cell test code]],[1]!Table1[[Test code]:[Test code]],[1]!Table1[Q_int_frac DIW 10 mM KOH],"",0)</f>
        <v>#REF!</v>
      </c>
      <c r="AJ866" s="69" t="e" cm="1">
        <f t="array" ref="AJ866">_xlfn.XLOOKUP(Table1[[#This Row],[5 cm2 cell test code]:[5 cm2 cell test code]],[1]!Table1[[Test code]:[Test code]],[1]!Table1[DIW conductivity (µS/cm)],"",0)</f>
        <v>#REF!</v>
      </c>
    </row>
    <row r="867" spans="1:36">
      <c r="A867" s="81"/>
      <c r="U867" s="101"/>
      <c r="V867" s="101"/>
      <c r="W867" s="69" t="e" cm="1">
        <f t="array" ref="W867">_xlfn.XLOOKUP(Table1[[#This Row],[5 cm2 cell test code]:[5 cm2 cell test code]],[1]!Table1[[Test code]:[Test code]],[1]!Table1[i @ 1.8 V DIW (A/cm2)],"",0)</f>
        <v>#REF!</v>
      </c>
      <c r="X867" s="69" t="e" cm="1">
        <f t="array" ref="X867">_xlfn.XLOOKUP(Table1[[#This Row],[5 cm2 cell test code]:[5 cm2 cell test code]],[1]!Table1[[Test code]:[Test code]],[1]!Table1[i @ 1.8 V 10 mM KOH (A/cm2)],"",0)</f>
        <v>#REF!</v>
      </c>
      <c r="Y867" s="69" t="e" cm="1">
        <f t="array" ref="Y867">_xlfn.XLOOKUP(Table1[[#This Row],[5 cm2 cell test code]:[5 cm2 cell test code]],[1]!Table1[[Test code]:[Test code]],[1]!Table1[3-E ƞ at 20mAcm-2 (mV)],"",0)</f>
        <v>#REF!</v>
      </c>
      <c r="Z867" s="69" t="e" cm="1">
        <f t="array" ref="Z867">_xlfn.XLOOKUP(Table1[[#This Row],[5 cm2 cell test code]:[5 cm2 cell test code]],[1]!Table1[[Test code]:[Test code]],[1]!Table1[3-E Tafel slope (mV/dec)],"",0)</f>
        <v>#REF!</v>
      </c>
      <c r="AA867" s="69" t="e" cm="1">
        <f t="array" ref="AA867">_xlfn.XLOOKUP(Table1[[#This Row],[5 cm2 cell test code]:[5 cm2 cell test code]],[1]!Table1[[Test code]:[Test code]],[1]!Table1[E @ 100 mA/cm2 DIW/V],"",0)</f>
        <v>#REF!</v>
      </c>
      <c r="AB867" s="69" t="e" cm="1">
        <f t="array" ref="AB867">_xlfn.XLOOKUP(Table1[[#This Row],[5 cm2 cell test code]:[5 cm2 cell test code]],[1]!Table1[[Test code]:[Test code]],[1]!Table1[E @ 100 mA/cm2 10 mM KOH/V],"",0)</f>
        <v>#REF!</v>
      </c>
      <c r="AC867" s="69" t="e" cm="1">
        <f t="array" ref="AC867">_xlfn.XLOOKUP(Table1[[#This Row],[5 cm2 cell test code]:[5 cm2 cell test code]],[1]!Table1[[Test code]:[Test code]],[1]!Table1[Anode ICR/mOhm],"",0)</f>
        <v>#REF!</v>
      </c>
      <c r="AD867" s="69" t="e" cm="1">
        <f t="array" ref="AD867">_xlfn.XLOOKUP(Table1[[#This Row],[5 cm2 cell test code]:[5 cm2 cell test code]],[1]!Table1[[Test code]:[Test code]],[1]!Table1[HFR DIW/ mOhm cm2],"",0)</f>
        <v>#REF!</v>
      </c>
      <c r="AE867" s="69" t="e" cm="1">
        <f t="array" ref="AE867">_xlfn.XLOOKUP(Table1[[#This Row],[5 cm2 cell test code]:[5 cm2 cell test code]],[1]!Table1[[Test code]:[Test code]],[1]!Table1[HFR 10 mM KOH/ mOhm cm2],"",0)</f>
        <v>#REF!</v>
      </c>
      <c r="AF867" s="69" t="e" cm="1">
        <f t="array" ref="AF867">_xlfn.XLOOKUP(Table1[[#This Row],[5 cm2 cell test code]:[5 cm2 cell test code]],[1]!Table1[[Test code]:[Test code]],[1]!Table1[Ionic resistance DIW/Ohm cm2],"",0)</f>
        <v>#REF!</v>
      </c>
      <c r="AG867" s="69" t="e" cm="1">
        <f t="array" ref="AG867">_xlfn.XLOOKUP(Table1[[#This Row],[5 cm2 cell test code]:[5 cm2 cell test code]],[1]!Table1[[Test code]:[Test code]],[1]!Table1[Q_int_frac DIW],"",0)</f>
        <v>#REF!</v>
      </c>
      <c r="AH867" s="69" t="e" cm="1">
        <f t="array" ref="AH867">_xlfn.XLOOKUP(Table1[[#This Row],[5 cm2 cell test code]:[5 cm2 cell test code]],[1]!Table1[[Test code]:[Test code]],[1]!Table1[Ionic resistance 10 mM KOH/Ohm cm2],"",0)</f>
        <v>#REF!</v>
      </c>
      <c r="AI867" s="69" t="e" cm="1">
        <f t="array" ref="AI867">_xlfn.XLOOKUP(Table1[[#This Row],[5 cm2 cell test code]:[5 cm2 cell test code]],[1]!Table1[[Test code]:[Test code]],[1]!Table1[Q_int_frac DIW 10 mM KOH],"",0)</f>
        <v>#REF!</v>
      </c>
      <c r="AJ867" s="69" t="e" cm="1">
        <f t="array" ref="AJ867">_xlfn.XLOOKUP(Table1[[#This Row],[5 cm2 cell test code]:[5 cm2 cell test code]],[1]!Table1[[Test code]:[Test code]],[1]!Table1[DIW conductivity (µS/cm)],"",0)</f>
        <v>#REF!</v>
      </c>
    </row>
    <row r="868" spans="1:36">
      <c r="A868" s="81"/>
      <c r="U868" s="101"/>
      <c r="V868" s="101"/>
      <c r="W868" s="69" t="e" cm="1">
        <f t="array" ref="W868">_xlfn.XLOOKUP(Table1[[#This Row],[5 cm2 cell test code]:[5 cm2 cell test code]],[1]!Table1[[Test code]:[Test code]],[1]!Table1[i @ 1.8 V DIW (A/cm2)],"",0)</f>
        <v>#REF!</v>
      </c>
      <c r="X868" s="69" t="e" cm="1">
        <f t="array" ref="X868">_xlfn.XLOOKUP(Table1[[#This Row],[5 cm2 cell test code]:[5 cm2 cell test code]],[1]!Table1[[Test code]:[Test code]],[1]!Table1[i @ 1.8 V 10 mM KOH (A/cm2)],"",0)</f>
        <v>#REF!</v>
      </c>
      <c r="Y868" s="69" t="e" cm="1">
        <f t="array" ref="Y868">_xlfn.XLOOKUP(Table1[[#This Row],[5 cm2 cell test code]:[5 cm2 cell test code]],[1]!Table1[[Test code]:[Test code]],[1]!Table1[3-E ƞ at 20mAcm-2 (mV)],"",0)</f>
        <v>#REF!</v>
      </c>
      <c r="Z868" s="69" t="e" cm="1">
        <f t="array" ref="Z868">_xlfn.XLOOKUP(Table1[[#This Row],[5 cm2 cell test code]:[5 cm2 cell test code]],[1]!Table1[[Test code]:[Test code]],[1]!Table1[3-E Tafel slope (mV/dec)],"",0)</f>
        <v>#REF!</v>
      </c>
      <c r="AA868" s="69" t="e" cm="1">
        <f t="array" ref="AA868">_xlfn.XLOOKUP(Table1[[#This Row],[5 cm2 cell test code]:[5 cm2 cell test code]],[1]!Table1[[Test code]:[Test code]],[1]!Table1[E @ 100 mA/cm2 DIW/V],"",0)</f>
        <v>#REF!</v>
      </c>
      <c r="AB868" s="69" t="e" cm="1">
        <f t="array" ref="AB868">_xlfn.XLOOKUP(Table1[[#This Row],[5 cm2 cell test code]:[5 cm2 cell test code]],[1]!Table1[[Test code]:[Test code]],[1]!Table1[E @ 100 mA/cm2 10 mM KOH/V],"",0)</f>
        <v>#REF!</v>
      </c>
      <c r="AC868" s="69" t="e" cm="1">
        <f t="array" ref="AC868">_xlfn.XLOOKUP(Table1[[#This Row],[5 cm2 cell test code]:[5 cm2 cell test code]],[1]!Table1[[Test code]:[Test code]],[1]!Table1[Anode ICR/mOhm],"",0)</f>
        <v>#REF!</v>
      </c>
      <c r="AD868" s="69" t="e" cm="1">
        <f t="array" ref="AD868">_xlfn.XLOOKUP(Table1[[#This Row],[5 cm2 cell test code]:[5 cm2 cell test code]],[1]!Table1[[Test code]:[Test code]],[1]!Table1[HFR DIW/ mOhm cm2],"",0)</f>
        <v>#REF!</v>
      </c>
      <c r="AE868" s="69" t="e" cm="1">
        <f t="array" ref="AE868">_xlfn.XLOOKUP(Table1[[#This Row],[5 cm2 cell test code]:[5 cm2 cell test code]],[1]!Table1[[Test code]:[Test code]],[1]!Table1[HFR 10 mM KOH/ mOhm cm2],"",0)</f>
        <v>#REF!</v>
      </c>
      <c r="AF868" s="69" t="e" cm="1">
        <f t="array" ref="AF868">_xlfn.XLOOKUP(Table1[[#This Row],[5 cm2 cell test code]:[5 cm2 cell test code]],[1]!Table1[[Test code]:[Test code]],[1]!Table1[Ionic resistance DIW/Ohm cm2],"",0)</f>
        <v>#REF!</v>
      </c>
      <c r="AG868" s="69" t="e" cm="1">
        <f t="array" ref="AG868">_xlfn.XLOOKUP(Table1[[#This Row],[5 cm2 cell test code]:[5 cm2 cell test code]],[1]!Table1[[Test code]:[Test code]],[1]!Table1[Q_int_frac DIW],"",0)</f>
        <v>#REF!</v>
      </c>
      <c r="AH868" s="69" t="e" cm="1">
        <f t="array" ref="AH868">_xlfn.XLOOKUP(Table1[[#This Row],[5 cm2 cell test code]:[5 cm2 cell test code]],[1]!Table1[[Test code]:[Test code]],[1]!Table1[Ionic resistance 10 mM KOH/Ohm cm2],"",0)</f>
        <v>#REF!</v>
      </c>
      <c r="AI868" s="69" t="e" cm="1">
        <f t="array" ref="AI868">_xlfn.XLOOKUP(Table1[[#This Row],[5 cm2 cell test code]:[5 cm2 cell test code]],[1]!Table1[[Test code]:[Test code]],[1]!Table1[Q_int_frac DIW 10 mM KOH],"",0)</f>
        <v>#REF!</v>
      </c>
      <c r="AJ868" s="69" t="e" cm="1">
        <f t="array" ref="AJ868">_xlfn.XLOOKUP(Table1[[#This Row],[5 cm2 cell test code]:[5 cm2 cell test code]],[1]!Table1[[Test code]:[Test code]],[1]!Table1[DIW conductivity (µS/cm)],"",0)</f>
        <v>#REF!</v>
      </c>
    </row>
    <row r="869" spans="1:36">
      <c r="A869" s="81"/>
      <c r="U869" s="101"/>
      <c r="V869" s="101"/>
      <c r="W869" s="69" t="e" cm="1">
        <f t="array" ref="W869">_xlfn.XLOOKUP(Table1[[#This Row],[5 cm2 cell test code]:[5 cm2 cell test code]],[1]!Table1[[Test code]:[Test code]],[1]!Table1[i @ 1.8 V DIW (A/cm2)],"",0)</f>
        <v>#REF!</v>
      </c>
      <c r="X869" s="69" t="e" cm="1">
        <f t="array" ref="X869">_xlfn.XLOOKUP(Table1[[#This Row],[5 cm2 cell test code]:[5 cm2 cell test code]],[1]!Table1[[Test code]:[Test code]],[1]!Table1[i @ 1.8 V 10 mM KOH (A/cm2)],"",0)</f>
        <v>#REF!</v>
      </c>
      <c r="Y869" s="69" t="e" cm="1">
        <f t="array" ref="Y869">_xlfn.XLOOKUP(Table1[[#This Row],[5 cm2 cell test code]:[5 cm2 cell test code]],[1]!Table1[[Test code]:[Test code]],[1]!Table1[3-E ƞ at 20mAcm-2 (mV)],"",0)</f>
        <v>#REF!</v>
      </c>
      <c r="Z869" s="69" t="e" cm="1">
        <f t="array" ref="Z869">_xlfn.XLOOKUP(Table1[[#This Row],[5 cm2 cell test code]:[5 cm2 cell test code]],[1]!Table1[[Test code]:[Test code]],[1]!Table1[3-E Tafel slope (mV/dec)],"",0)</f>
        <v>#REF!</v>
      </c>
      <c r="AA869" s="69" t="e" cm="1">
        <f t="array" ref="AA869">_xlfn.XLOOKUP(Table1[[#This Row],[5 cm2 cell test code]:[5 cm2 cell test code]],[1]!Table1[[Test code]:[Test code]],[1]!Table1[E @ 100 mA/cm2 DIW/V],"",0)</f>
        <v>#REF!</v>
      </c>
      <c r="AB869" s="69" t="e" cm="1">
        <f t="array" ref="AB869">_xlfn.XLOOKUP(Table1[[#This Row],[5 cm2 cell test code]:[5 cm2 cell test code]],[1]!Table1[[Test code]:[Test code]],[1]!Table1[E @ 100 mA/cm2 10 mM KOH/V],"",0)</f>
        <v>#REF!</v>
      </c>
      <c r="AC869" s="69" t="e" cm="1">
        <f t="array" ref="AC869">_xlfn.XLOOKUP(Table1[[#This Row],[5 cm2 cell test code]:[5 cm2 cell test code]],[1]!Table1[[Test code]:[Test code]],[1]!Table1[Anode ICR/mOhm],"",0)</f>
        <v>#REF!</v>
      </c>
      <c r="AD869" s="69" t="e" cm="1">
        <f t="array" ref="AD869">_xlfn.XLOOKUP(Table1[[#This Row],[5 cm2 cell test code]:[5 cm2 cell test code]],[1]!Table1[[Test code]:[Test code]],[1]!Table1[HFR DIW/ mOhm cm2],"",0)</f>
        <v>#REF!</v>
      </c>
      <c r="AE869" s="69" t="e" cm="1">
        <f t="array" ref="AE869">_xlfn.XLOOKUP(Table1[[#This Row],[5 cm2 cell test code]:[5 cm2 cell test code]],[1]!Table1[[Test code]:[Test code]],[1]!Table1[HFR 10 mM KOH/ mOhm cm2],"",0)</f>
        <v>#REF!</v>
      </c>
      <c r="AF869" s="69" t="e" cm="1">
        <f t="array" ref="AF869">_xlfn.XLOOKUP(Table1[[#This Row],[5 cm2 cell test code]:[5 cm2 cell test code]],[1]!Table1[[Test code]:[Test code]],[1]!Table1[Ionic resistance DIW/Ohm cm2],"",0)</f>
        <v>#REF!</v>
      </c>
      <c r="AG869" s="69" t="e" cm="1">
        <f t="array" ref="AG869">_xlfn.XLOOKUP(Table1[[#This Row],[5 cm2 cell test code]:[5 cm2 cell test code]],[1]!Table1[[Test code]:[Test code]],[1]!Table1[Q_int_frac DIW],"",0)</f>
        <v>#REF!</v>
      </c>
      <c r="AH869" s="69" t="e" cm="1">
        <f t="array" ref="AH869">_xlfn.XLOOKUP(Table1[[#This Row],[5 cm2 cell test code]:[5 cm2 cell test code]],[1]!Table1[[Test code]:[Test code]],[1]!Table1[Ionic resistance 10 mM KOH/Ohm cm2],"",0)</f>
        <v>#REF!</v>
      </c>
      <c r="AI869" s="69" t="e" cm="1">
        <f t="array" ref="AI869">_xlfn.XLOOKUP(Table1[[#This Row],[5 cm2 cell test code]:[5 cm2 cell test code]],[1]!Table1[[Test code]:[Test code]],[1]!Table1[Q_int_frac DIW 10 mM KOH],"",0)</f>
        <v>#REF!</v>
      </c>
      <c r="AJ869" s="69" t="e" cm="1">
        <f t="array" ref="AJ869">_xlfn.XLOOKUP(Table1[[#This Row],[5 cm2 cell test code]:[5 cm2 cell test code]],[1]!Table1[[Test code]:[Test code]],[1]!Table1[DIW conductivity (µS/cm)],"",0)</f>
        <v>#REF!</v>
      </c>
    </row>
    <row r="870" spans="1:36">
      <c r="A870" s="81"/>
      <c r="U870" s="101"/>
      <c r="V870" s="101"/>
      <c r="W870" s="69" t="e" cm="1">
        <f t="array" ref="W870">_xlfn.XLOOKUP(Table1[[#This Row],[5 cm2 cell test code]:[5 cm2 cell test code]],[1]!Table1[[Test code]:[Test code]],[1]!Table1[i @ 1.8 V DIW (A/cm2)],"",0)</f>
        <v>#REF!</v>
      </c>
      <c r="X870" s="69" t="e" cm="1">
        <f t="array" ref="X870">_xlfn.XLOOKUP(Table1[[#This Row],[5 cm2 cell test code]:[5 cm2 cell test code]],[1]!Table1[[Test code]:[Test code]],[1]!Table1[i @ 1.8 V 10 mM KOH (A/cm2)],"",0)</f>
        <v>#REF!</v>
      </c>
      <c r="Y870" s="69" t="e" cm="1">
        <f t="array" ref="Y870">_xlfn.XLOOKUP(Table1[[#This Row],[5 cm2 cell test code]:[5 cm2 cell test code]],[1]!Table1[[Test code]:[Test code]],[1]!Table1[3-E ƞ at 20mAcm-2 (mV)],"",0)</f>
        <v>#REF!</v>
      </c>
      <c r="Z870" s="69" t="e" cm="1">
        <f t="array" ref="Z870">_xlfn.XLOOKUP(Table1[[#This Row],[5 cm2 cell test code]:[5 cm2 cell test code]],[1]!Table1[[Test code]:[Test code]],[1]!Table1[3-E Tafel slope (mV/dec)],"",0)</f>
        <v>#REF!</v>
      </c>
      <c r="AA870" s="69" t="e" cm="1">
        <f t="array" ref="AA870">_xlfn.XLOOKUP(Table1[[#This Row],[5 cm2 cell test code]:[5 cm2 cell test code]],[1]!Table1[[Test code]:[Test code]],[1]!Table1[E @ 100 mA/cm2 DIW/V],"",0)</f>
        <v>#REF!</v>
      </c>
      <c r="AB870" s="69" t="e" cm="1">
        <f t="array" ref="AB870">_xlfn.XLOOKUP(Table1[[#This Row],[5 cm2 cell test code]:[5 cm2 cell test code]],[1]!Table1[[Test code]:[Test code]],[1]!Table1[E @ 100 mA/cm2 10 mM KOH/V],"",0)</f>
        <v>#REF!</v>
      </c>
      <c r="AC870" s="69" t="e" cm="1">
        <f t="array" ref="AC870">_xlfn.XLOOKUP(Table1[[#This Row],[5 cm2 cell test code]:[5 cm2 cell test code]],[1]!Table1[[Test code]:[Test code]],[1]!Table1[Anode ICR/mOhm],"",0)</f>
        <v>#REF!</v>
      </c>
      <c r="AD870" s="69" t="e" cm="1">
        <f t="array" ref="AD870">_xlfn.XLOOKUP(Table1[[#This Row],[5 cm2 cell test code]:[5 cm2 cell test code]],[1]!Table1[[Test code]:[Test code]],[1]!Table1[HFR DIW/ mOhm cm2],"",0)</f>
        <v>#REF!</v>
      </c>
      <c r="AE870" s="69" t="e" cm="1">
        <f t="array" ref="AE870">_xlfn.XLOOKUP(Table1[[#This Row],[5 cm2 cell test code]:[5 cm2 cell test code]],[1]!Table1[[Test code]:[Test code]],[1]!Table1[HFR 10 mM KOH/ mOhm cm2],"",0)</f>
        <v>#REF!</v>
      </c>
      <c r="AF870" s="69" t="e" cm="1">
        <f t="array" ref="AF870">_xlfn.XLOOKUP(Table1[[#This Row],[5 cm2 cell test code]:[5 cm2 cell test code]],[1]!Table1[[Test code]:[Test code]],[1]!Table1[Ionic resistance DIW/Ohm cm2],"",0)</f>
        <v>#REF!</v>
      </c>
      <c r="AG870" s="69" t="e" cm="1">
        <f t="array" ref="AG870">_xlfn.XLOOKUP(Table1[[#This Row],[5 cm2 cell test code]:[5 cm2 cell test code]],[1]!Table1[[Test code]:[Test code]],[1]!Table1[Q_int_frac DIW],"",0)</f>
        <v>#REF!</v>
      </c>
      <c r="AH870" s="69" t="e" cm="1">
        <f t="array" ref="AH870">_xlfn.XLOOKUP(Table1[[#This Row],[5 cm2 cell test code]:[5 cm2 cell test code]],[1]!Table1[[Test code]:[Test code]],[1]!Table1[Ionic resistance 10 mM KOH/Ohm cm2],"",0)</f>
        <v>#REF!</v>
      </c>
      <c r="AI870" s="69" t="e" cm="1">
        <f t="array" ref="AI870">_xlfn.XLOOKUP(Table1[[#This Row],[5 cm2 cell test code]:[5 cm2 cell test code]],[1]!Table1[[Test code]:[Test code]],[1]!Table1[Q_int_frac DIW 10 mM KOH],"",0)</f>
        <v>#REF!</v>
      </c>
      <c r="AJ870" s="69" t="e" cm="1">
        <f t="array" ref="AJ870">_xlfn.XLOOKUP(Table1[[#This Row],[5 cm2 cell test code]:[5 cm2 cell test code]],[1]!Table1[[Test code]:[Test code]],[1]!Table1[DIW conductivity (µS/cm)],"",0)</f>
        <v>#REF!</v>
      </c>
    </row>
    <row r="871" spans="1:36">
      <c r="A871" s="81"/>
      <c r="U871" s="101"/>
      <c r="V871" s="101"/>
      <c r="W871" s="69" t="e" cm="1">
        <f t="array" ref="W871">_xlfn.XLOOKUP(Table1[[#This Row],[5 cm2 cell test code]:[5 cm2 cell test code]],[1]!Table1[[Test code]:[Test code]],[1]!Table1[i @ 1.8 V DIW (A/cm2)],"",0)</f>
        <v>#REF!</v>
      </c>
      <c r="X871" s="69" t="e" cm="1">
        <f t="array" ref="X871">_xlfn.XLOOKUP(Table1[[#This Row],[5 cm2 cell test code]:[5 cm2 cell test code]],[1]!Table1[[Test code]:[Test code]],[1]!Table1[i @ 1.8 V 10 mM KOH (A/cm2)],"",0)</f>
        <v>#REF!</v>
      </c>
      <c r="Y871" s="69" t="e" cm="1">
        <f t="array" ref="Y871">_xlfn.XLOOKUP(Table1[[#This Row],[5 cm2 cell test code]:[5 cm2 cell test code]],[1]!Table1[[Test code]:[Test code]],[1]!Table1[3-E ƞ at 20mAcm-2 (mV)],"",0)</f>
        <v>#REF!</v>
      </c>
      <c r="Z871" s="69" t="e" cm="1">
        <f t="array" ref="Z871">_xlfn.XLOOKUP(Table1[[#This Row],[5 cm2 cell test code]:[5 cm2 cell test code]],[1]!Table1[[Test code]:[Test code]],[1]!Table1[3-E Tafel slope (mV/dec)],"",0)</f>
        <v>#REF!</v>
      </c>
      <c r="AA871" s="69" t="e" cm="1">
        <f t="array" ref="AA871">_xlfn.XLOOKUP(Table1[[#This Row],[5 cm2 cell test code]:[5 cm2 cell test code]],[1]!Table1[[Test code]:[Test code]],[1]!Table1[E @ 100 mA/cm2 DIW/V],"",0)</f>
        <v>#REF!</v>
      </c>
      <c r="AB871" s="69" t="e" cm="1">
        <f t="array" ref="AB871">_xlfn.XLOOKUP(Table1[[#This Row],[5 cm2 cell test code]:[5 cm2 cell test code]],[1]!Table1[[Test code]:[Test code]],[1]!Table1[E @ 100 mA/cm2 10 mM KOH/V],"",0)</f>
        <v>#REF!</v>
      </c>
      <c r="AC871" s="69" t="e" cm="1">
        <f t="array" ref="AC871">_xlfn.XLOOKUP(Table1[[#This Row],[5 cm2 cell test code]:[5 cm2 cell test code]],[1]!Table1[[Test code]:[Test code]],[1]!Table1[Anode ICR/mOhm],"",0)</f>
        <v>#REF!</v>
      </c>
      <c r="AD871" s="69" t="e" cm="1">
        <f t="array" ref="AD871">_xlfn.XLOOKUP(Table1[[#This Row],[5 cm2 cell test code]:[5 cm2 cell test code]],[1]!Table1[[Test code]:[Test code]],[1]!Table1[HFR DIW/ mOhm cm2],"",0)</f>
        <v>#REF!</v>
      </c>
      <c r="AE871" s="69" t="e" cm="1">
        <f t="array" ref="AE871">_xlfn.XLOOKUP(Table1[[#This Row],[5 cm2 cell test code]:[5 cm2 cell test code]],[1]!Table1[[Test code]:[Test code]],[1]!Table1[HFR 10 mM KOH/ mOhm cm2],"",0)</f>
        <v>#REF!</v>
      </c>
      <c r="AF871" s="69" t="e" cm="1">
        <f t="array" ref="AF871">_xlfn.XLOOKUP(Table1[[#This Row],[5 cm2 cell test code]:[5 cm2 cell test code]],[1]!Table1[[Test code]:[Test code]],[1]!Table1[Ionic resistance DIW/Ohm cm2],"",0)</f>
        <v>#REF!</v>
      </c>
      <c r="AG871" s="69" t="e" cm="1">
        <f t="array" ref="AG871">_xlfn.XLOOKUP(Table1[[#This Row],[5 cm2 cell test code]:[5 cm2 cell test code]],[1]!Table1[[Test code]:[Test code]],[1]!Table1[Q_int_frac DIW],"",0)</f>
        <v>#REF!</v>
      </c>
      <c r="AH871" s="69" t="e" cm="1">
        <f t="array" ref="AH871">_xlfn.XLOOKUP(Table1[[#This Row],[5 cm2 cell test code]:[5 cm2 cell test code]],[1]!Table1[[Test code]:[Test code]],[1]!Table1[Ionic resistance 10 mM KOH/Ohm cm2],"",0)</f>
        <v>#REF!</v>
      </c>
      <c r="AI871" s="69" t="e" cm="1">
        <f t="array" ref="AI871">_xlfn.XLOOKUP(Table1[[#This Row],[5 cm2 cell test code]:[5 cm2 cell test code]],[1]!Table1[[Test code]:[Test code]],[1]!Table1[Q_int_frac DIW 10 mM KOH],"",0)</f>
        <v>#REF!</v>
      </c>
      <c r="AJ871" s="69" t="e" cm="1">
        <f t="array" ref="AJ871">_xlfn.XLOOKUP(Table1[[#This Row],[5 cm2 cell test code]:[5 cm2 cell test code]],[1]!Table1[[Test code]:[Test code]],[1]!Table1[DIW conductivity (µS/cm)],"",0)</f>
        <v>#REF!</v>
      </c>
    </row>
    <row r="872" spans="1:36">
      <c r="A872" s="81"/>
      <c r="U872" s="101"/>
      <c r="V872" s="101"/>
      <c r="W872" s="69" t="e" cm="1">
        <f t="array" ref="W872">_xlfn.XLOOKUP(Table1[[#This Row],[5 cm2 cell test code]:[5 cm2 cell test code]],[1]!Table1[[Test code]:[Test code]],[1]!Table1[i @ 1.8 V DIW (A/cm2)],"",0)</f>
        <v>#REF!</v>
      </c>
      <c r="X872" s="69" t="e" cm="1">
        <f t="array" ref="X872">_xlfn.XLOOKUP(Table1[[#This Row],[5 cm2 cell test code]:[5 cm2 cell test code]],[1]!Table1[[Test code]:[Test code]],[1]!Table1[i @ 1.8 V 10 mM KOH (A/cm2)],"",0)</f>
        <v>#REF!</v>
      </c>
      <c r="Y872" s="69" t="e" cm="1">
        <f t="array" ref="Y872">_xlfn.XLOOKUP(Table1[[#This Row],[5 cm2 cell test code]:[5 cm2 cell test code]],[1]!Table1[[Test code]:[Test code]],[1]!Table1[3-E ƞ at 20mAcm-2 (mV)],"",0)</f>
        <v>#REF!</v>
      </c>
      <c r="Z872" s="69" t="e" cm="1">
        <f t="array" ref="Z872">_xlfn.XLOOKUP(Table1[[#This Row],[5 cm2 cell test code]:[5 cm2 cell test code]],[1]!Table1[[Test code]:[Test code]],[1]!Table1[3-E Tafel slope (mV/dec)],"",0)</f>
        <v>#REF!</v>
      </c>
      <c r="AA872" s="69" t="e" cm="1">
        <f t="array" ref="AA872">_xlfn.XLOOKUP(Table1[[#This Row],[5 cm2 cell test code]:[5 cm2 cell test code]],[1]!Table1[[Test code]:[Test code]],[1]!Table1[E @ 100 mA/cm2 DIW/V],"",0)</f>
        <v>#REF!</v>
      </c>
      <c r="AB872" s="69" t="e" cm="1">
        <f t="array" ref="AB872">_xlfn.XLOOKUP(Table1[[#This Row],[5 cm2 cell test code]:[5 cm2 cell test code]],[1]!Table1[[Test code]:[Test code]],[1]!Table1[E @ 100 mA/cm2 10 mM KOH/V],"",0)</f>
        <v>#REF!</v>
      </c>
      <c r="AC872" s="69" t="e" cm="1">
        <f t="array" ref="AC872">_xlfn.XLOOKUP(Table1[[#This Row],[5 cm2 cell test code]:[5 cm2 cell test code]],[1]!Table1[[Test code]:[Test code]],[1]!Table1[Anode ICR/mOhm],"",0)</f>
        <v>#REF!</v>
      </c>
      <c r="AD872" s="69" t="e" cm="1">
        <f t="array" ref="AD872">_xlfn.XLOOKUP(Table1[[#This Row],[5 cm2 cell test code]:[5 cm2 cell test code]],[1]!Table1[[Test code]:[Test code]],[1]!Table1[HFR DIW/ mOhm cm2],"",0)</f>
        <v>#REF!</v>
      </c>
      <c r="AE872" s="69" t="e" cm="1">
        <f t="array" ref="AE872">_xlfn.XLOOKUP(Table1[[#This Row],[5 cm2 cell test code]:[5 cm2 cell test code]],[1]!Table1[[Test code]:[Test code]],[1]!Table1[HFR 10 mM KOH/ mOhm cm2],"",0)</f>
        <v>#REF!</v>
      </c>
      <c r="AF872" s="69" t="e" cm="1">
        <f t="array" ref="AF872">_xlfn.XLOOKUP(Table1[[#This Row],[5 cm2 cell test code]:[5 cm2 cell test code]],[1]!Table1[[Test code]:[Test code]],[1]!Table1[Ionic resistance DIW/Ohm cm2],"",0)</f>
        <v>#REF!</v>
      </c>
      <c r="AG872" s="69" t="e" cm="1">
        <f t="array" ref="AG872">_xlfn.XLOOKUP(Table1[[#This Row],[5 cm2 cell test code]:[5 cm2 cell test code]],[1]!Table1[[Test code]:[Test code]],[1]!Table1[Q_int_frac DIW],"",0)</f>
        <v>#REF!</v>
      </c>
      <c r="AH872" s="69" t="e" cm="1">
        <f t="array" ref="AH872">_xlfn.XLOOKUP(Table1[[#This Row],[5 cm2 cell test code]:[5 cm2 cell test code]],[1]!Table1[[Test code]:[Test code]],[1]!Table1[Ionic resistance 10 mM KOH/Ohm cm2],"",0)</f>
        <v>#REF!</v>
      </c>
      <c r="AI872" s="69" t="e" cm="1">
        <f t="array" ref="AI872">_xlfn.XLOOKUP(Table1[[#This Row],[5 cm2 cell test code]:[5 cm2 cell test code]],[1]!Table1[[Test code]:[Test code]],[1]!Table1[Q_int_frac DIW 10 mM KOH],"",0)</f>
        <v>#REF!</v>
      </c>
      <c r="AJ872" s="69" t="e" cm="1">
        <f t="array" ref="AJ872">_xlfn.XLOOKUP(Table1[[#This Row],[5 cm2 cell test code]:[5 cm2 cell test code]],[1]!Table1[[Test code]:[Test code]],[1]!Table1[DIW conductivity (µS/cm)],"",0)</f>
        <v>#REF!</v>
      </c>
    </row>
    <row r="873" spans="1:36">
      <c r="A873" s="81"/>
      <c r="U873" s="101"/>
      <c r="V873" s="101"/>
      <c r="W873" s="69" t="e" cm="1">
        <f t="array" ref="W873">_xlfn.XLOOKUP(Table1[[#This Row],[5 cm2 cell test code]:[5 cm2 cell test code]],[1]!Table1[[Test code]:[Test code]],[1]!Table1[i @ 1.8 V DIW (A/cm2)],"",0)</f>
        <v>#REF!</v>
      </c>
      <c r="X873" s="69" t="e" cm="1">
        <f t="array" ref="X873">_xlfn.XLOOKUP(Table1[[#This Row],[5 cm2 cell test code]:[5 cm2 cell test code]],[1]!Table1[[Test code]:[Test code]],[1]!Table1[i @ 1.8 V 10 mM KOH (A/cm2)],"",0)</f>
        <v>#REF!</v>
      </c>
      <c r="Y873" s="69" t="e" cm="1">
        <f t="array" ref="Y873">_xlfn.XLOOKUP(Table1[[#This Row],[5 cm2 cell test code]:[5 cm2 cell test code]],[1]!Table1[[Test code]:[Test code]],[1]!Table1[3-E ƞ at 20mAcm-2 (mV)],"",0)</f>
        <v>#REF!</v>
      </c>
      <c r="Z873" s="69" t="e" cm="1">
        <f t="array" ref="Z873">_xlfn.XLOOKUP(Table1[[#This Row],[5 cm2 cell test code]:[5 cm2 cell test code]],[1]!Table1[[Test code]:[Test code]],[1]!Table1[3-E Tafel slope (mV/dec)],"",0)</f>
        <v>#REF!</v>
      </c>
      <c r="AA873" s="69" t="e" cm="1">
        <f t="array" ref="AA873">_xlfn.XLOOKUP(Table1[[#This Row],[5 cm2 cell test code]:[5 cm2 cell test code]],[1]!Table1[[Test code]:[Test code]],[1]!Table1[E @ 100 mA/cm2 DIW/V],"",0)</f>
        <v>#REF!</v>
      </c>
      <c r="AB873" s="69" t="e" cm="1">
        <f t="array" ref="AB873">_xlfn.XLOOKUP(Table1[[#This Row],[5 cm2 cell test code]:[5 cm2 cell test code]],[1]!Table1[[Test code]:[Test code]],[1]!Table1[E @ 100 mA/cm2 10 mM KOH/V],"",0)</f>
        <v>#REF!</v>
      </c>
      <c r="AC873" s="69" t="e" cm="1">
        <f t="array" ref="AC873">_xlfn.XLOOKUP(Table1[[#This Row],[5 cm2 cell test code]:[5 cm2 cell test code]],[1]!Table1[[Test code]:[Test code]],[1]!Table1[Anode ICR/mOhm],"",0)</f>
        <v>#REF!</v>
      </c>
      <c r="AD873" s="69" t="e" cm="1">
        <f t="array" ref="AD873">_xlfn.XLOOKUP(Table1[[#This Row],[5 cm2 cell test code]:[5 cm2 cell test code]],[1]!Table1[[Test code]:[Test code]],[1]!Table1[HFR DIW/ mOhm cm2],"",0)</f>
        <v>#REF!</v>
      </c>
      <c r="AE873" s="69" t="e" cm="1">
        <f t="array" ref="AE873">_xlfn.XLOOKUP(Table1[[#This Row],[5 cm2 cell test code]:[5 cm2 cell test code]],[1]!Table1[[Test code]:[Test code]],[1]!Table1[HFR 10 mM KOH/ mOhm cm2],"",0)</f>
        <v>#REF!</v>
      </c>
      <c r="AF873" s="69" t="e" cm="1">
        <f t="array" ref="AF873">_xlfn.XLOOKUP(Table1[[#This Row],[5 cm2 cell test code]:[5 cm2 cell test code]],[1]!Table1[[Test code]:[Test code]],[1]!Table1[Ionic resistance DIW/Ohm cm2],"",0)</f>
        <v>#REF!</v>
      </c>
      <c r="AG873" s="69" t="e" cm="1">
        <f t="array" ref="AG873">_xlfn.XLOOKUP(Table1[[#This Row],[5 cm2 cell test code]:[5 cm2 cell test code]],[1]!Table1[[Test code]:[Test code]],[1]!Table1[Q_int_frac DIW],"",0)</f>
        <v>#REF!</v>
      </c>
      <c r="AH873" s="69" t="e" cm="1">
        <f t="array" ref="AH873">_xlfn.XLOOKUP(Table1[[#This Row],[5 cm2 cell test code]:[5 cm2 cell test code]],[1]!Table1[[Test code]:[Test code]],[1]!Table1[Ionic resistance 10 mM KOH/Ohm cm2],"",0)</f>
        <v>#REF!</v>
      </c>
      <c r="AI873" s="69" t="e" cm="1">
        <f t="array" ref="AI873">_xlfn.XLOOKUP(Table1[[#This Row],[5 cm2 cell test code]:[5 cm2 cell test code]],[1]!Table1[[Test code]:[Test code]],[1]!Table1[Q_int_frac DIW 10 mM KOH],"",0)</f>
        <v>#REF!</v>
      </c>
      <c r="AJ873" s="69" t="e" cm="1">
        <f t="array" ref="AJ873">_xlfn.XLOOKUP(Table1[[#This Row],[5 cm2 cell test code]:[5 cm2 cell test code]],[1]!Table1[[Test code]:[Test code]],[1]!Table1[DIW conductivity (µS/cm)],"",0)</f>
        <v>#REF!</v>
      </c>
    </row>
    <row r="874" spans="1:36">
      <c r="A874" s="81"/>
      <c r="U874" s="101"/>
      <c r="V874" s="101"/>
      <c r="W874" s="69" t="e" cm="1">
        <f t="array" ref="W874">_xlfn.XLOOKUP(Table1[[#This Row],[5 cm2 cell test code]:[5 cm2 cell test code]],[1]!Table1[[Test code]:[Test code]],[1]!Table1[i @ 1.8 V DIW (A/cm2)],"",0)</f>
        <v>#REF!</v>
      </c>
      <c r="X874" s="69" t="e" cm="1">
        <f t="array" ref="X874">_xlfn.XLOOKUP(Table1[[#This Row],[5 cm2 cell test code]:[5 cm2 cell test code]],[1]!Table1[[Test code]:[Test code]],[1]!Table1[i @ 1.8 V 10 mM KOH (A/cm2)],"",0)</f>
        <v>#REF!</v>
      </c>
      <c r="Y874" s="69" t="e" cm="1">
        <f t="array" ref="Y874">_xlfn.XLOOKUP(Table1[[#This Row],[5 cm2 cell test code]:[5 cm2 cell test code]],[1]!Table1[[Test code]:[Test code]],[1]!Table1[3-E ƞ at 20mAcm-2 (mV)],"",0)</f>
        <v>#REF!</v>
      </c>
      <c r="Z874" s="69" t="e" cm="1">
        <f t="array" ref="Z874">_xlfn.XLOOKUP(Table1[[#This Row],[5 cm2 cell test code]:[5 cm2 cell test code]],[1]!Table1[[Test code]:[Test code]],[1]!Table1[3-E Tafel slope (mV/dec)],"",0)</f>
        <v>#REF!</v>
      </c>
      <c r="AA874" s="69" t="e" cm="1">
        <f t="array" ref="AA874">_xlfn.XLOOKUP(Table1[[#This Row],[5 cm2 cell test code]:[5 cm2 cell test code]],[1]!Table1[[Test code]:[Test code]],[1]!Table1[E @ 100 mA/cm2 DIW/V],"",0)</f>
        <v>#REF!</v>
      </c>
      <c r="AB874" s="69" t="e" cm="1">
        <f t="array" ref="AB874">_xlfn.XLOOKUP(Table1[[#This Row],[5 cm2 cell test code]:[5 cm2 cell test code]],[1]!Table1[[Test code]:[Test code]],[1]!Table1[E @ 100 mA/cm2 10 mM KOH/V],"",0)</f>
        <v>#REF!</v>
      </c>
      <c r="AC874" s="69" t="e" cm="1">
        <f t="array" ref="AC874">_xlfn.XLOOKUP(Table1[[#This Row],[5 cm2 cell test code]:[5 cm2 cell test code]],[1]!Table1[[Test code]:[Test code]],[1]!Table1[Anode ICR/mOhm],"",0)</f>
        <v>#REF!</v>
      </c>
      <c r="AD874" s="69" t="e" cm="1">
        <f t="array" ref="AD874">_xlfn.XLOOKUP(Table1[[#This Row],[5 cm2 cell test code]:[5 cm2 cell test code]],[1]!Table1[[Test code]:[Test code]],[1]!Table1[HFR DIW/ mOhm cm2],"",0)</f>
        <v>#REF!</v>
      </c>
      <c r="AE874" s="69" t="e" cm="1">
        <f t="array" ref="AE874">_xlfn.XLOOKUP(Table1[[#This Row],[5 cm2 cell test code]:[5 cm2 cell test code]],[1]!Table1[[Test code]:[Test code]],[1]!Table1[HFR 10 mM KOH/ mOhm cm2],"",0)</f>
        <v>#REF!</v>
      </c>
      <c r="AF874" s="69" t="e" cm="1">
        <f t="array" ref="AF874">_xlfn.XLOOKUP(Table1[[#This Row],[5 cm2 cell test code]:[5 cm2 cell test code]],[1]!Table1[[Test code]:[Test code]],[1]!Table1[Ionic resistance DIW/Ohm cm2],"",0)</f>
        <v>#REF!</v>
      </c>
      <c r="AG874" s="69" t="e" cm="1">
        <f t="array" ref="AG874">_xlfn.XLOOKUP(Table1[[#This Row],[5 cm2 cell test code]:[5 cm2 cell test code]],[1]!Table1[[Test code]:[Test code]],[1]!Table1[Q_int_frac DIW],"",0)</f>
        <v>#REF!</v>
      </c>
      <c r="AH874" s="69" t="e" cm="1">
        <f t="array" ref="AH874">_xlfn.XLOOKUP(Table1[[#This Row],[5 cm2 cell test code]:[5 cm2 cell test code]],[1]!Table1[[Test code]:[Test code]],[1]!Table1[Ionic resistance 10 mM KOH/Ohm cm2],"",0)</f>
        <v>#REF!</v>
      </c>
      <c r="AI874" s="69" t="e" cm="1">
        <f t="array" ref="AI874">_xlfn.XLOOKUP(Table1[[#This Row],[5 cm2 cell test code]:[5 cm2 cell test code]],[1]!Table1[[Test code]:[Test code]],[1]!Table1[Q_int_frac DIW 10 mM KOH],"",0)</f>
        <v>#REF!</v>
      </c>
      <c r="AJ874" s="69" t="e" cm="1">
        <f t="array" ref="AJ874">_xlfn.XLOOKUP(Table1[[#This Row],[5 cm2 cell test code]:[5 cm2 cell test code]],[1]!Table1[[Test code]:[Test code]],[1]!Table1[DIW conductivity (µS/cm)],"",0)</f>
        <v>#REF!</v>
      </c>
    </row>
    <row r="875" spans="1:36">
      <c r="A875" s="81"/>
      <c r="U875" s="101"/>
      <c r="V875" s="101"/>
      <c r="W875" s="69" t="e" cm="1">
        <f t="array" ref="W875">_xlfn.XLOOKUP(Table1[[#This Row],[5 cm2 cell test code]:[5 cm2 cell test code]],[1]!Table1[[Test code]:[Test code]],[1]!Table1[i @ 1.8 V DIW (A/cm2)],"",0)</f>
        <v>#REF!</v>
      </c>
      <c r="X875" s="69" t="e" cm="1">
        <f t="array" ref="X875">_xlfn.XLOOKUP(Table1[[#This Row],[5 cm2 cell test code]:[5 cm2 cell test code]],[1]!Table1[[Test code]:[Test code]],[1]!Table1[i @ 1.8 V 10 mM KOH (A/cm2)],"",0)</f>
        <v>#REF!</v>
      </c>
      <c r="Y875" s="69" t="e" cm="1">
        <f t="array" ref="Y875">_xlfn.XLOOKUP(Table1[[#This Row],[5 cm2 cell test code]:[5 cm2 cell test code]],[1]!Table1[[Test code]:[Test code]],[1]!Table1[3-E ƞ at 20mAcm-2 (mV)],"",0)</f>
        <v>#REF!</v>
      </c>
      <c r="Z875" s="69" t="e" cm="1">
        <f t="array" ref="Z875">_xlfn.XLOOKUP(Table1[[#This Row],[5 cm2 cell test code]:[5 cm2 cell test code]],[1]!Table1[[Test code]:[Test code]],[1]!Table1[3-E Tafel slope (mV/dec)],"",0)</f>
        <v>#REF!</v>
      </c>
      <c r="AA875" s="69" t="e" cm="1">
        <f t="array" ref="AA875">_xlfn.XLOOKUP(Table1[[#This Row],[5 cm2 cell test code]:[5 cm2 cell test code]],[1]!Table1[[Test code]:[Test code]],[1]!Table1[E @ 100 mA/cm2 DIW/V],"",0)</f>
        <v>#REF!</v>
      </c>
      <c r="AB875" s="69" t="e" cm="1">
        <f t="array" ref="AB875">_xlfn.XLOOKUP(Table1[[#This Row],[5 cm2 cell test code]:[5 cm2 cell test code]],[1]!Table1[[Test code]:[Test code]],[1]!Table1[E @ 100 mA/cm2 10 mM KOH/V],"",0)</f>
        <v>#REF!</v>
      </c>
      <c r="AC875" s="69" t="e" cm="1">
        <f t="array" ref="AC875">_xlfn.XLOOKUP(Table1[[#This Row],[5 cm2 cell test code]:[5 cm2 cell test code]],[1]!Table1[[Test code]:[Test code]],[1]!Table1[Anode ICR/mOhm],"",0)</f>
        <v>#REF!</v>
      </c>
      <c r="AD875" s="69" t="e" cm="1">
        <f t="array" ref="AD875">_xlfn.XLOOKUP(Table1[[#This Row],[5 cm2 cell test code]:[5 cm2 cell test code]],[1]!Table1[[Test code]:[Test code]],[1]!Table1[HFR DIW/ mOhm cm2],"",0)</f>
        <v>#REF!</v>
      </c>
      <c r="AE875" s="69" t="e" cm="1">
        <f t="array" ref="AE875">_xlfn.XLOOKUP(Table1[[#This Row],[5 cm2 cell test code]:[5 cm2 cell test code]],[1]!Table1[[Test code]:[Test code]],[1]!Table1[HFR 10 mM KOH/ mOhm cm2],"",0)</f>
        <v>#REF!</v>
      </c>
      <c r="AF875" s="69" t="e" cm="1">
        <f t="array" ref="AF875">_xlfn.XLOOKUP(Table1[[#This Row],[5 cm2 cell test code]:[5 cm2 cell test code]],[1]!Table1[[Test code]:[Test code]],[1]!Table1[Ionic resistance DIW/Ohm cm2],"",0)</f>
        <v>#REF!</v>
      </c>
      <c r="AG875" s="69" t="e" cm="1">
        <f t="array" ref="AG875">_xlfn.XLOOKUP(Table1[[#This Row],[5 cm2 cell test code]:[5 cm2 cell test code]],[1]!Table1[[Test code]:[Test code]],[1]!Table1[Q_int_frac DIW],"",0)</f>
        <v>#REF!</v>
      </c>
      <c r="AH875" s="69" t="e" cm="1">
        <f t="array" ref="AH875">_xlfn.XLOOKUP(Table1[[#This Row],[5 cm2 cell test code]:[5 cm2 cell test code]],[1]!Table1[[Test code]:[Test code]],[1]!Table1[Ionic resistance 10 mM KOH/Ohm cm2],"",0)</f>
        <v>#REF!</v>
      </c>
      <c r="AI875" s="69" t="e" cm="1">
        <f t="array" ref="AI875">_xlfn.XLOOKUP(Table1[[#This Row],[5 cm2 cell test code]:[5 cm2 cell test code]],[1]!Table1[[Test code]:[Test code]],[1]!Table1[Q_int_frac DIW 10 mM KOH],"",0)</f>
        <v>#REF!</v>
      </c>
      <c r="AJ875" s="69" t="e" cm="1">
        <f t="array" ref="AJ875">_xlfn.XLOOKUP(Table1[[#This Row],[5 cm2 cell test code]:[5 cm2 cell test code]],[1]!Table1[[Test code]:[Test code]],[1]!Table1[DIW conductivity (µS/cm)],"",0)</f>
        <v>#REF!</v>
      </c>
    </row>
    <row r="876" spans="1:36">
      <c r="A876" s="81"/>
      <c r="U876" s="101"/>
      <c r="V876" s="101"/>
      <c r="W876" s="69" t="e" cm="1">
        <f t="array" ref="W876">_xlfn.XLOOKUP(Table1[[#This Row],[5 cm2 cell test code]:[5 cm2 cell test code]],[1]!Table1[[Test code]:[Test code]],[1]!Table1[i @ 1.8 V DIW (A/cm2)],"",0)</f>
        <v>#REF!</v>
      </c>
      <c r="X876" s="69" t="e" cm="1">
        <f t="array" ref="X876">_xlfn.XLOOKUP(Table1[[#This Row],[5 cm2 cell test code]:[5 cm2 cell test code]],[1]!Table1[[Test code]:[Test code]],[1]!Table1[i @ 1.8 V 10 mM KOH (A/cm2)],"",0)</f>
        <v>#REF!</v>
      </c>
      <c r="Y876" s="69" t="e" cm="1">
        <f t="array" ref="Y876">_xlfn.XLOOKUP(Table1[[#This Row],[5 cm2 cell test code]:[5 cm2 cell test code]],[1]!Table1[[Test code]:[Test code]],[1]!Table1[3-E ƞ at 20mAcm-2 (mV)],"",0)</f>
        <v>#REF!</v>
      </c>
      <c r="Z876" s="69" t="e" cm="1">
        <f t="array" ref="Z876">_xlfn.XLOOKUP(Table1[[#This Row],[5 cm2 cell test code]:[5 cm2 cell test code]],[1]!Table1[[Test code]:[Test code]],[1]!Table1[3-E Tafel slope (mV/dec)],"",0)</f>
        <v>#REF!</v>
      </c>
      <c r="AA876" s="69" t="e" cm="1">
        <f t="array" ref="AA876">_xlfn.XLOOKUP(Table1[[#This Row],[5 cm2 cell test code]:[5 cm2 cell test code]],[1]!Table1[[Test code]:[Test code]],[1]!Table1[E @ 100 mA/cm2 DIW/V],"",0)</f>
        <v>#REF!</v>
      </c>
      <c r="AB876" s="69" t="e" cm="1">
        <f t="array" ref="AB876">_xlfn.XLOOKUP(Table1[[#This Row],[5 cm2 cell test code]:[5 cm2 cell test code]],[1]!Table1[[Test code]:[Test code]],[1]!Table1[E @ 100 mA/cm2 10 mM KOH/V],"",0)</f>
        <v>#REF!</v>
      </c>
      <c r="AC876" s="69" t="e" cm="1">
        <f t="array" ref="AC876">_xlfn.XLOOKUP(Table1[[#This Row],[5 cm2 cell test code]:[5 cm2 cell test code]],[1]!Table1[[Test code]:[Test code]],[1]!Table1[Anode ICR/mOhm],"",0)</f>
        <v>#REF!</v>
      </c>
      <c r="AD876" s="69" t="e" cm="1">
        <f t="array" ref="AD876">_xlfn.XLOOKUP(Table1[[#This Row],[5 cm2 cell test code]:[5 cm2 cell test code]],[1]!Table1[[Test code]:[Test code]],[1]!Table1[HFR DIW/ mOhm cm2],"",0)</f>
        <v>#REF!</v>
      </c>
      <c r="AE876" s="69" t="e" cm="1">
        <f t="array" ref="AE876">_xlfn.XLOOKUP(Table1[[#This Row],[5 cm2 cell test code]:[5 cm2 cell test code]],[1]!Table1[[Test code]:[Test code]],[1]!Table1[HFR 10 mM KOH/ mOhm cm2],"",0)</f>
        <v>#REF!</v>
      </c>
      <c r="AF876" s="69" t="e" cm="1">
        <f t="array" ref="AF876">_xlfn.XLOOKUP(Table1[[#This Row],[5 cm2 cell test code]:[5 cm2 cell test code]],[1]!Table1[[Test code]:[Test code]],[1]!Table1[Ionic resistance DIW/Ohm cm2],"",0)</f>
        <v>#REF!</v>
      </c>
      <c r="AG876" s="69" t="e" cm="1">
        <f t="array" ref="AG876">_xlfn.XLOOKUP(Table1[[#This Row],[5 cm2 cell test code]:[5 cm2 cell test code]],[1]!Table1[[Test code]:[Test code]],[1]!Table1[Q_int_frac DIW],"",0)</f>
        <v>#REF!</v>
      </c>
      <c r="AH876" s="69" t="e" cm="1">
        <f t="array" ref="AH876">_xlfn.XLOOKUP(Table1[[#This Row],[5 cm2 cell test code]:[5 cm2 cell test code]],[1]!Table1[[Test code]:[Test code]],[1]!Table1[Ionic resistance 10 mM KOH/Ohm cm2],"",0)</f>
        <v>#REF!</v>
      </c>
      <c r="AI876" s="69" t="e" cm="1">
        <f t="array" ref="AI876">_xlfn.XLOOKUP(Table1[[#This Row],[5 cm2 cell test code]:[5 cm2 cell test code]],[1]!Table1[[Test code]:[Test code]],[1]!Table1[Q_int_frac DIW 10 mM KOH],"",0)</f>
        <v>#REF!</v>
      </c>
      <c r="AJ876" s="69" t="e" cm="1">
        <f t="array" ref="AJ876">_xlfn.XLOOKUP(Table1[[#This Row],[5 cm2 cell test code]:[5 cm2 cell test code]],[1]!Table1[[Test code]:[Test code]],[1]!Table1[DIW conductivity (µS/cm)],"",0)</f>
        <v>#REF!</v>
      </c>
    </row>
    <row r="877" spans="1:36">
      <c r="A877" s="81"/>
      <c r="U877" s="101"/>
      <c r="V877" s="101"/>
      <c r="W877" s="69" t="e" cm="1">
        <f t="array" ref="W877">_xlfn.XLOOKUP(Table1[[#This Row],[5 cm2 cell test code]:[5 cm2 cell test code]],[1]!Table1[[Test code]:[Test code]],[1]!Table1[i @ 1.8 V DIW (A/cm2)],"",0)</f>
        <v>#REF!</v>
      </c>
      <c r="X877" s="69" t="e" cm="1">
        <f t="array" ref="X877">_xlfn.XLOOKUP(Table1[[#This Row],[5 cm2 cell test code]:[5 cm2 cell test code]],[1]!Table1[[Test code]:[Test code]],[1]!Table1[i @ 1.8 V 10 mM KOH (A/cm2)],"",0)</f>
        <v>#REF!</v>
      </c>
      <c r="Y877" s="69" t="e" cm="1">
        <f t="array" ref="Y877">_xlfn.XLOOKUP(Table1[[#This Row],[5 cm2 cell test code]:[5 cm2 cell test code]],[1]!Table1[[Test code]:[Test code]],[1]!Table1[3-E ƞ at 20mAcm-2 (mV)],"",0)</f>
        <v>#REF!</v>
      </c>
      <c r="Z877" s="69" t="e" cm="1">
        <f t="array" ref="Z877">_xlfn.XLOOKUP(Table1[[#This Row],[5 cm2 cell test code]:[5 cm2 cell test code]],[1]!Table1[[Test code]:[Test code]],[1]!Table1[3-E Tafel slope (mV/dec)],"",0)</f>
        <v>#REF!</v>
      </c>
      <c r="AA877" s="69" t="e" cm="1">
        <f t="array" ref="AA877">_xlfn.XLOOKUP(Table1[[#This Row],[5 cm2 cell test code]:[5 cm2 cell test code]],[1]!Table1[[Test code]:[Test code]],[1]!Table1[E @ 100 mA/cm2 DIW/V],"",0)</f>
        <v>#REF!</v>
      </c>
      <c r="AB877" s="69" t="e" cm="1">
        <f t="array" ref="AB877">_xlfn.XLOOKUP(Table1[[#This Row],[5 cm2 cell test code]:[5 cm2 cell test code]],[1]!Table1[[Test code]:[Test code]],[1]!Table1[E @ 100 mA/cm2 10 mM KOH/V],"",0)</f>
        <v>#REF!</v>
      </c>
      <c r="AC877" s="69" t="e" cm="1">
        <f t="array" ref="AC877">_xlfn.XLOOKUP(Table1[[#This Row],[5 cm2 cell test code]:[5 cm2 cell test code]],[1]!Table1[[Test code]:[Test code]],[1]!Table1[Anode ICR/mOhm],"",0)</f>
        <v>#REF!</v>
      </c>
      <c r="AD877" s="69" t="e" cm="1">
        <f t="array" ref="AD877">_xlfn.XLOOKUP(Table1[[#This Row],[5 cm2 cell test code]:[5 cm2 cell test code]],[1]!Table1[[Test code]:[Test code]],[1]!Table1[HFR DIW/ mOhm cm2],"",0)</f>
        <v>#REF!</v>
      </c>
      <c r="AE877" s="69" t="e" cm="1">
        <f t="array" ref="AE877">_xlfn.XLOOKUP(Table1[[#This Row],[5 cm2 cell test code]:[5 cm2 cell test code]],[1]!Table1[[Test code]:[Test code]],[1]!Table1[HFR 10 mM KOH/ mOhm cm2],"",0)</f>
        <v>#REF!</v>
      </c>
      <c r="AF877" s="69" t="e" cm="1">
        <f t="array" ref="AF877">_xlfn.XLOOKUP(Table1[[#This Row],[5 cm2 cell test code]:[5 cm2 cell test code]],[1]!Table1[[Test code]:[Test code]],[1]!Table1[Ionic resistance DIW/Ohm cm2],"",0)</f>
        <v>#REF!</v>
      </c>
      <c r="AG877" s="69" t="e" cm="1">
        <f t="array" ref="AG877">_xlfn.XLOOKUP(Table1[[#This Row],[5 cm2 cell test code]:[5 cm2 cell test code]],[1]!Table1[[Test code]:[Test code]],[1]!Table1[Q_int_frac DIW],"",0)</f>
        <v>#REF!</v>
      </c>
      <c r="AH877" s="69" t="e" cm="1">
        <f t="array" ref="AH877">_xlfn.XLOOKUP(Table1[[#This Row],[5 cm2 cell test code]:[5 cm2 cell test code]],[1]!Table1[[Test code]:[Test code]],[1]!Table1[Ionic resistance 10 mM KOH/Ohm cm2],"",0)</f>
        <v>#REF!</v>
      </c>
      <c r="AI877" s="69" t="e" cm="1">
        <f t="array" ref="AI877">_xlfn.XLOOKUP(Table1[[#This Row],[5 cm2 cell test code]:[5 cm2 cell test code]],[1]!Table1[[Test code]:[Test code]],[1]!Table1[Q_int_frac DIW 10 mM KOH],"",0)</f>
        <v>#REF!</v>
      </c>
      <c r="AJ877" s="69" t="e" cm="1">
        <f t="array" ref="AJ877">_xlfn.XLOOKUP(Table1[[#This Row],[5 cm2 cell test code]:[5 cm2 cell test code]],[1]!Table1[[Test code]:[Test code]],[1]!Table1[DIW conductivity (µS/cm)],"",0)</f>
        <v>#REF!</v>
      </c>
    </row>
    <row r="878" spans="1:36">
      <c r="A878" s="81"/>
      <c r="U878" s="101"/>
      <c r="V878" s="101"/>
      <c r="W878" s="69" t="e" cm="1">
        <f t="array" ref="W878">_xlfn.XLOOKUP(Table1[[#This Row],[5 cm2 cell test code]:[5 cm2 cell test code]],[1]!Table1[[Test code]:[Test code]],[1]!Table1[i @ 1.8 V DIW (A/cm2)],"",0)</f>
        <v>#REF!</v>
      </c>
      <c r="X878" s="69" t="e" cm="1">
        <f t="array" ref="X878">_xlfn.XLOOKUP(Table1[[#This Row],[5 cm2 cell test code]:[5 cm2 cell test code]],[1]!Table1[[Test code]:[Test code]],[1]!Table1[i @ 1.8 V 10 mM KOH (A/cm2)],"",0)</f>
        <v>#REF!</v>
      </c>
      <c r="Y878" s="69" t="e" cm="1">
        <f t="array" ref="Y878">_xlfn.XLOOKUP(Table1[[#This Row],[5 cm2 cell test code]:[5 cm2 cell test code]],[1]!Table1[[Test code]:[Test code]],[1]!Table1[3-E ƞ at 20mAcm-2 (mV)],"",0)</f>
        <v>#REF!</v>
      </c>
      <c r="Z878" s="69" t="e" cm="1">
        <f t="array" ref="Z878">_xlfn.XLOOKUP(Table1[[#This Row],[5 cm2 cell test code]:[5 cm2 cell test code]],[1]!Table1[[Test code]:[Test code]],[1]!Table1[3-E Tafel slope (mV/dec)],"",0)</f>
        <v>#REF!</v>
      </c>
      <c r="AA878" s="69" t="e" cm="1">
        <f t="array" ref="AA878">_xlfn.XLOOKUP(Table1[[#This Row],[5 cm2 cell test code]:[5 cm2 cell test code]],[1]!Table1[[Test code]:[Test code]],[1]!Table1[E @ 100 mA/cm2 DIW/V],"",0)</f>
        <v>#REF!</v>
      </c>
      <c r="AB878" s="69" t="e" cm="1">
        <f t="array" ref="AB878">_xlfn.XLOOKUP(Table1[[#This Row],[5 cm2 cell test code]:[5 cm2 cell test code]],[1]!Table1[[Test code]:[Test code]],[1]!Table1[E @ 100 mA/cm2 10 mM KOH/V],"",0)</f>
        <v>#REF!</v>
      </c>
      <c r="AC878" s="69" t="e" cm="1">
        <f t="array" ref="AC878">_xlfn.XLOOKUP(Table1[[#This Row],[5 cm2 cell test code]:[5 cm2 cell test code]],[1]!Table1[[Test code]:[Test code]],[1]!Table1[Anode ICR/mOhm],"",0)</f>
        <v>#REF!</v>
      </c>
      <c r="AD878" s="69" t="e" cm="1">
        <f t="array" ref="AD878">_xlfn.XLOOKUP(Table1[[#This Row],[5 cm2 cell test code]:[5 cm2 cell test code]],[1]!Table1[[Test code]:[Test code]],[1]!Table1[HFR DIW/ mOhm cm2],"",0)</f>
        <v>#REF!</v>
      </c>
      <c r="AE878" s="69" t="e" cm="1">
        <f t="array" ref="AE878">_xlfn.XLOOKUP(Table1[[#This Row],[5 cm2 cell test code]:[5 cm2 cell test code]],[1]!Table1[[Test code]:[Test code]],[1]!Table1[HFR 10 mM KOH/ mOhm cm2],"",0)</f>
        <v>#REF!</v>
      </c>
      <c r="AF878" s="69" t="e" cm="1">
        <f t="array" ref="AF878">_xlfn.XLOOKUP(Table1[[#This Row],[5 cm2 cell test code]:[5 cm2 cell test code]],[1]!Table1[[Test code]:[Test code]],[1]!Table1[Ionic resistance DIW/Ohm cm2],"",0)</f>
        <v>#REF!</v>
      </c>
      <c r="AG878" s="69" t="e" cm="1">
        <f t="array" ref="AG878">_xlfn.XLOOKUP(Table1[[#This Row],[5 cm2 cell test code]:[5 cm2 cell test code]],[1]!Table1[[Test code]:[Test code]],[1]!Table1[Q_int_frac DIW],"",0)</f>
        <v>#REF!</v>
      </c>
      <c r="AH878" s="69" t="e" cm="1">
        <f t="array" ref="AH878">_xlfn.XLOOKUP(Table1[[#This Row],[5 cm2 cell test code]:[5 cm2 cell test code]],[1]!Table1[[Test code]:[Test code]],[1]!Table1[Ionic resistance 10 mM KOH/Ohm cm2],"",0)</f>
        <v>#REF!</v>
      </c>
      <c r="AI878" s="69" t="e" cm="1">
        <f t="array" ref="AI878">_xlfn.XLOOKUP(Table1[[#This Row],[5 cm2 cell test code]:[5 cm2 cell test code]],[1]!Table1[[Test code]:[Test code]],[1]!Table1[Q_int_frac DIW 10 mM KOH],"",0)</f>
        <v>#REF!</v>
      </c>
      <c r="AJ878" s="69" t="e" cm="1">
        <f t="array" ref="AJ878">_xlfn.XLOOKUP(Table1[[#This Row],[5 cm2 cell test code]:[5 cm2 cell test code]],[1]!Table1[[Test code]:[Test code]],[1]!Table1[DIW conductivity (µS/cm)],"",0)</f>
        <v>#REF!</v>
      </c>
    </row>
    <row r="879" spans="1:36">
      <c r="A879" s="81"/>
      <c r="U879" s="101"/>
      <c r="V879" s="101"/>
      <c r="W879" s="69" t="e" cm="1">
        <f t="array" ref="W879">_xlfn.XLOOKUP(Table1[[#This Row],[5 cm2 cell test code]:[5 cm2 cell test code]],[1]!Table1[[Test code]:[Test code]],[1]!Table1[i @ 1.8 V DIW (A/cm2)],"",0)</f>
        <v>#REF!</v>
      </c>
      <c r="X879" s="69" t="e" cm="1">
        <f t="array" ref="X879">_xlfn.XLOOKUP(Table1[[#This Row],[5 cm2 cell test code]:[5 cm2 cell test code]],[1]!Table1[[Test code]:[Test code]],[1]!Table1[i @ 1.8 V 10 mM KOH (A/cm2)],"",0)</f>
        <v>#REF!</v>
      </c>
      <c r="Y879" s="69" t="e" cm="1">
        <f t="array" ref="Y879">_xlfn.XLOOKUP(Table1[[#This Row],[5 cm2 cell test code]:[5 cm2 cell test code]],[1]!Table1[[Test code]:[Test code]],[1]!Table1[3-E ƞ at 20mAcm-2 (mV)],"",0)</f>
        <v>#REF!</v>
      </c>
      <c r="Z879" s="69" t="e" cm="1">
        <f t="array" ref="Z879">_xlfn.XLOOKUP(Table1[[#This Row],[5 cm2 cell test code]:[5 cm2 cell test code]],[1]!Table1[[Test code]:[Test code]],[1]!Table1[3-E Tafel slope (mV/dec)],"",0)</f>
        <v>#REF!</v>
      </c>
      <c r="AA879" s="69" t="e" cm="1">
        <f t="array" ref="AA879">_xlfn.XLOOKUP(Table1[[#This Row],[5 cm2 cell test code]:[5 cm2 cell test code]],[1]!Table1[[Test code]:[Test code]],[1]!Table1[E @ 100 mA/cm2 DIW/V],"",0)</f>
        <v>#REF!</v>
      </c>
      <c r="AB879" s="69" t="e" cm="1">
        <f t="array" ref="AB879">_xlfn.XLOOKUP(Table1[[#This Row],[5 cm2 cell test code]:[5 cm2 cell test code]],[1]!Table1[[Test code]:[Test code]],[1]!Table1[E @ 100 mA/cm2 10 mM KOH/V],"",0)</f>
        <v>#REF!</v>
      </c>
      <c r="AC879" s="69" t="e" cm="1">
        <f t="array" ref="AC879">_xlfn.XLOOKUP(Table1[[#This Row],[5 cm2 cell test code]:[5 cm2 cell test code]],[1]!Table1[[Test code]:[Test code]],[1]!Table1[Anode ICR/mOhm],"",0)</f>
        <v>#REF!</v>
      </c>
      <c r="AD879" s="69" t="e" cm="1">
        <f t="array" ref="AD879">_xlfn.XLOOKUP(Table1[[#This Row],[5 cm2 cell test code]:[5 cm2 cell test code]],[1]!Table1[[Test code]:[Test code]],[1]!Table1[HFR DIW/ mOhm cm2],"",0)</f>
        <v>#REF!</v>
      </c>
      <c r="AE879" s="69" t="e" cm="1">
        <f t="array" ref="AE879">_xlfn.XLOOKUP(Table1[[#This Row],[5 cm2 cell test code]:[5 cm2 cell test code]],[1]!Table1[[Test code]:[Test code]],[1]!Table1[HFR 10 mM KOH/ mOhm cm2],"",0)</f>
        <v>#REF!</v>
      </c>
      <c r="AF879" s="69" t="e" cm="1">
        <f t="array" ref="AF879">_xlfn.XLOOKUP(Table1[[#This Row],[5 cm2 cell test code]:[5 cm2 cell test code]],[1]!Table1[[Test code]:[Test code]],[1]!Table1[Ionic resistance DIW/Ohm cm2],"",0)</f>
        <v>#REF!</v>
      </c>
      <c r="AG879" s="69" t="e" cm="1">
        <f t="array" ref="AG879">_xlfn.XLOOKUP(Table1[[#This Row],[5 cm2 cell test code]:[5 cm2 cell test code]],[1]!Table1[[Test code]:[Test code]],[1]!Table1[Q_int_frac DIW],"",0)</f>
        <v>#REF!</v>
      </c>
      <c r="AH879" s="69" t="e" cm="1">
        <f t="array" ref="AH879">_xlfn.XLOOKUP(Table1[[#This Row],[5 cm2 cell test code]:[5 cm2 cell test code]],[1]!Table1[[Test code]:[Test code]],[1]!Table1[Ionic resistance 10 mM KOH/Ohm cm2],"",0)</f>
        <v>#REF!</v>
      </c>
      <c r="AI879" s="69" t="e" cm="1">
        <f t="array" ref="AI879">_xlfn.XLOOKUP(Table1[[#This Row],[5 cm2 cell test code]:[5 cm2 cell test code]],[1]!Table1[[Test code]:[Test code]],[1]!Table1[Q_int_frac DIW 10 mM KOH],"",0)</f>
        <v>#REF!</v>
      </c>
      <c r="AJ879" s="69" t="e" cm="1">
        <f t="array" ref="AJ879">_xlfn.XLOOKUP(Table1[[#This Row],[5 cm2 cell test code]:[5 cm2 cell test code]],[1]!Table1[[Test code]:[Test code]],[1]!Table1[DIW conductivity (µS/cm)],"",0)</f>
        <v>#REF!</v>
      </c>
    </row>
    <row r="880" spans="1:36">
      <c r="A880" s="81"/>
      <c r="U880" s="101"/>
      <c r="V880" s="101"/>
      <c r="W880" s="69" t="e" cm="1">
        <f t="array" ref="W880">_xlfn.XLOOKUP(Table1[[#This Row],[5 cm2 cell test code]:[5 cm2 cell test code]],[1]!Table1[[Test code]:[Test code]],[1]!Table1[i @ 1.8 V DIW (A/cm2)],"",0)</f>
        <v>#REF!</v>
      </c>
      <c r="X880" s="69" t="e" cm="1">
        <f t="array" ref="X880">_xlfn.XLOOKUP(Table1[[#This Row],[5 cm2 cell test code]:[5 cm2 cell test code]],[1]!Table1[[Test code]:[Test code]],[1]!Table1[i @ 1.8 V 10 mM KOH (A/cm2)],"",0)</f>
        <v>#REF!</v>
      </c>
      <c r="Y880" s="69" t="e" cm="1">
        <f t="array" ref="Y880">_xlfn.XLOOKUP(Table1[[#This Row],[5 cm2 cell test code]:[5 cm2 cell test code]],[1]!Table1[[Test code]:[Test code]],[1]!Table1[3-E ƞ at 20mAcm-2 (mV)],"",0)</f>
        <v>#REF!</v>
      </c>
      <c r="Z880" s="69" t="e" cm="1">
        <f t="array" ref="Z880">_xlfn.XLOOKUP(Table1[[#This Row],[5 cm2 cell test code]:[5 cm2 cell test code]],[1]!Table1[[Test code]:[Test code]],[1]!Table1[3-E Tafel slope (mV/dec)],"",0)</f>
        <v>#REF!</v>
      </c>
      <c r="AA880" s="69" t="e" cm="1">
        <f t="array" ref="AA880">_xlfn.XLOOKUP(Table1[[#This Row],[5 cm2 cell test code]:[5 cm2 cell test code]],[1]!Table1[[Test code]:[Test code]],[1]!Table1[E @ 100 mA/cm2 DIW/V],"",0)</f>
        <v>#REF!</v>
      </c>
      <c r="AB880" s="69" t="e" cm="1">
        <f t="array" ref="AB880">_xlfn.XLOOKUP(Table1[[#This Row],[5 cm2 cell test code]:[5 cm2 cell test code]],[1]!Table1[[Test code]:[Test code]],[1]!Table1[E @ 100 mA/cm2 10 mM KOH/V],"",0)</f>
        <v>#REF!</v>
      </c>
      <c r="AC880" s="69" t="e" cm="1">
        <f t="array" ref="AC880">_xlfn.XLOOKUP(Table1[[#This Row],[5 cm2 cell test code]:[5 cm2 cell test code]],[1]!Table1[[Test code]:[Test code]],[1]!Table1[Anode ICR/mOhm],"",0)</f>
        <v>#REF!</v>
      </c>
      <c r="AD880" s="69" t="e" cm="1">
        <f t="array" ref="AD880">_xlfn.XLOOKUP(Table1[[#This Row],[5 cm2 cell test code]:[5 cm2 cell test code]],[1]!Table1[[Test code]:[Test code]],[1]!Table1[HFR DIW/ mOhm cm2],"",0)</f>
        <v>#REF!</v>
      </c>
      <c r="AE880" s="69" t="e" cm="1">
        <f t="array" ref="AE880">_xlfn.XLOOKUP(Table1[[#This Row],[5 cm2 cell test code]:[5 cm2 cell test code]],[1]!Table1[[Test code]:[Test code]],[1]!Table1[HFR 10 mM KOH/ mOhm cm2],"",0)</f>
        <v>#REF!</v>
      </c>
      <c r="AF880" s="69" t="e" cm="1">
        <f t="array" ref="AF880">_xlfn.XLOOKUP(Table1[[#This Row],[5 cm2 cell test code]:[5 cm2 cell test code]],[1]!Table1[[Test code]:[Test code]],[1]!Table1[Ionic resistance DIW/Ohm cm2],"",0)</f>
        <v>#REF!</v>
      </c>
      <c r="AG880" s="69" t="e" cm="1">
        <f t="array" ref="AG880">_xlfn.XLOOKUP(Table1[[#This Row],[5 cm2 cell test code]:[5 cm2 cell test code]],[1]!Table1[[Test code]:[Test code]],[1]!Table1[Q_int_frac DIW],"",0)</f>
        <v>#REF!</v>
      </c>
      <c r="AH880" s="69" t="e" cm="1">
        <f t="array" ref="AH880">_xlfn.XLOOKUP(Table1[[#This Row],[5 cm2 cell test code]:[5 cm2 cell test code]],[1]!Table1[[Test code]:[Test code]],[1]!Table1[Ionic resistance 10 mM KOH/Ohm cm2],"",0)</f>
        <v>#REF!</v>
      </c>
      <c r="AI880" s="69" t="e" cm="1">
        <f t="array" ref="AI880">_xlfn.XLOOKUP(Table1[[#This Row],[5 cm2 cell test code]:[5 cm2 cell test code]],[1]!Table1[[Test code]:[Test code]],[1]!Table1[Q_int_frac DIW 10 mM KOH],"",0)</f>
        <v>#REF!</v>
      </c>
      <c r="AJ880" s="69" t="e" cm="1">
        <f t="array" ref="AJ880">_xlfn.XLOOKUP(Table1[[#This Row],[5 cm2 cell test code]:[5 cm2 cell test code]],[1]!Table1[[Test code]:[Test code]],[1]!Table1[DIW conductivity (µS/cm)],"",0)</f>
        <v>#REF!</v>
      </c>
    </row>
    <row r="881" spans="1:36">
      <c r="A881" s="81"/>
      <c r="U881" s="101"/>
      <c r="V881" s="101"/>
      <c r="W881" s="69" t="e" cm="1">
        <f t="array" ref="W881">_xlfn.XLOOKUP(Table1[[#This Row],[5 cm2 cell test code]:[5 cm2 cell test code]],[1]!Table1[[Test code]:[Test code]],[1]!Table1[i @ 1.8 V DIW (A/cm2)],"",0)</f>
        <v>#REF!</v>
      </c>
      <c r="X881" s="69" t="e" cm="1">
        <f t="array" ref="X881">_xlfn.XLOOKUP(Table1[[#This Row],[5 cm2 cell test code]:[5 cm2 cell test code]],[1]!Table1[[Test code]:[Test code]],[1]!Table1[i @ 1.8 V 10 mM KOH (A/cm2)],"",0)</f>
        <v>#REF!</v>
      </c>
      <c r="Y881" s="69" t="e" cm="1">
        <f t="array" ref="Y881">_xlfn.XLOOKUP(Table1[[#This Row],[5 cm2 cell test code]:[5 cm2 cell test code]],[1]!Table1[[Test code]:[Test code]],[1]!Table1[3-E ƞ at 20mAcm-2 (mV)],"",0)</f>
        <v>#REF!</v>
      </c>
      <c r="Z881" s="69" t="e" cm="1">
        <f t="array" ref="Z881">_xlfn.XLOOKUP(Table1[[#This Row],[5 cm2 cell test code]:[5 cm2 cell test code]],[1]!Table1[[Test code]:[Test code]],[1]!Table1[3-E Tafel slope (mV/dec)],"",0)</f>
        <v>#REF!</v>
      </c>
      <c r="AA881" s="69" t="e" cm="1">
        <f t="array" ref="AA881">_xlfn.XLOOKUP(Table1[[#This Row],[5 cm2 cell test code]:[5 cm2 cell test code]],[1]!Table1[[Test code]:[Test code]],[1]!Table1[E @ 100 mA/cm2 DIW/V],"",0)</f>
        <v>#REF!</v>
      </c>
      <c r="AB881" s="69" t="e" cm="1">
        <f t="array" ref="AB881">_xlfn.XLOOKUP(Table1[[#This Row],[5 cm2 cell test code]:[5 cm2 cell test code]],[1]!Table1[[Test code]:[Test code]],[1]!Table1[E @ 100 mA/cm2 10 mM KOH/V],"",0)</f>
        <v>#REF!</v>
      </c>
      <c r="AC881" s="69" t="e" cm="1">
        <f t="array" ref="AC881">_xlfn.XLOOKUP(Table1[[#This Row],[5 cm2 cell test code]:[5 cm2 cell test code]],[1]!Table1[[Test code]:[Test code]],[1]!Table1[Anode ICR/mOhm],"",0)</f>
        <v>#REF!</v>
      </c>
      <c r="AD881" s="69" t="e" cm="1">
        <f t="array" ref="AD881">_xlfn.XLOOKUP(Table1[[#This Row],[5 cm2 cell test code]:[5 cm2 cell test code]],[1]!Table1[[Test code]:[Test code]],[1]!Table1[HFR DIW/ mOhm cm2],"",0)</f>
        <v>#REF!</v>
      </c>
      <c r="AE881" s="69" t="e" cm="1">
        <f t="array" ref="AE881">_xlfn.XLOOKUP(Table1[[#This Row],[5 cm2 cell test code]:[5 cm2 cell test code]],[1]!Table1[[Test code]:[Test code]],[1]!Table1[HFR 10 mM KOH/ mOhm cm2],"",0)</f>
        <v>#REF!</v>
      </c>
      <c r="AF881" s="69" t="e" cm="1">
        <f t="array" ref="AF881">_xlfn.XLOOKUP(Table1[[#This Row],[5 cm2 cell test code]:[5 cm2 cell test code]],[1]!Table1[[Test code]:[Test code]],[1]!Table1[Ionic resistance DIW/Ohm cm2],"",0)</f>
        <v>#REF!</v>
      </c>
      <c r="AG881" s="69" t="e" cm="1">
        <f t="array" ref="AG881">_xlfn.XLOOKUP(Table1[[#This Row],[5 cm2 cell test code]:[5 cm2 cell test code]],[1]!Table1[[Test code]:[Test code]],[1]!Table1[Q_int_frac DIW],"",0)</f>
        <v>#REF!</v>
      </c>
      <c r="AH881" s="69" t="e" cm="1">
        <f t="array" ref="AH881">_xlfn.XLOOKUP(Table1[[#This Row],[5 cm2 cell test code]:[5 cm2 cell test code]],[1]!Table1[[Test code]:[Test code]],[1]!Table1[Ionic resistance 10 mM KOH/Ohm cm2],"",0)</f>
        <v>#REF!</v>
      </c>
      <c r="AI881" s="69" t="e" cm="1">
        <f t="array" ref="AI881">_xlfn.XLOOKUP(Table1[[#This Row],[5 cm2 cell test code]:[5 cm2 cell test code]],[1]!Table1[[Test code]:[Test code]],[1]!Table1[Q_int_frac DIW 10 mM KOH],"",0)</f>
        <v>#REF!</v>
      </c>
      <c r="AJ881" s="69" t="e" cm="1">
        <f t="array" ref="AJ881">_xlfn.XLOOKUP(Table1[[#This Row],[5 cm2 cell test code]:[5 cm2 cell test code]],[1]!Table1[[Test code]:[Test code]],[1]!Table1[DIW conductivity (µS/cm)],"",0)</f>
        <v>#REF!</v>
      </c>
    </row>
    <row r="882" spans="1:36">
      <c r="A882" s="81"/>
      <c r="U882" s="101"/>
      <c r="V882" s="101"/>
      <c r="W882" s="69" t="e" cm="1">
        <f t="array" ref="W882">_xlfn.XLOOKUP(Table1[[#This Row],[5 cm2 cell test code]:[5 cm2 cell test code]],[1]!Table1[[Test code]:[Test code]],[1]!Table1[i @ 1.8 V DIW (A/cm2)],"",0)</f>
        <v>#REF!</v>
      </c>
      <c r="X882" s="69" t="e" cm="1">
        <f t="array" ref="X882">_xlfn.XLOOKUP(Table1[[#This Row],[5 cm2 cell test code]:[5 cm2 cell test code]],[1]!Table1[[Test code]:[Test code]],[1]!Table1[i @ 1.8 V 10 mM KOH (A/cm2)],"",0)</f>
        <v>#REF!</v>
      </c>
      <c r="Y882" s="69" t="e" cm="1">
        <f t="array" ref="Y882">_xlfn.XLOOKUP(Table1[[#This Row],[5 cm2 cell test code]:[5 cm2 cell test code]],[1]!Table1[[Test code]:[Test code]],[1]!Table1[3-E ƞ at 20mAcm-2 (mV)],"",0)</f>
        <v>#REF!</v>
      </c>
      <c r="Z882" s="69" t="e" cm="1">
        <f t="array" ref="Z882">_xlfn.XLOOKUP(Table1[[#This Row],[5 cm2 cell test code]:[5 cm2 cell test code]],[1]!Table1[[Test code]:[Test code]],[1]!Table1[3-E Tafel slope (mV/dec)],"",0)</f>
        <v>#REF!</v>
      </c>
      <c r="AA882" s="69" t="e" cm="1">
        <f t="array" ref="AA882">_xlfn.XLOOKUP(Table1[[#This Row],[5 cm2 cell test code]:[5 cm2 cell test code]],[1]!Table1[[Test code]:[Test code]],[1]!Table1[E @ 100 mA/cm2 DIW/V],"",0)</f>
        <v>#REF!</v>
      </c>
      <c r="AB882" s="69" t="e" cm="1">
        <f t="array" ref="AB882">_xlfn.XLOOKUP(Table1[[#This Row],[5 cm2 cell test code]:[5 cm2 cell test code]],[1]!Table1[[Test code]:[Test code]],[1]!Table1[E @ 100 mA/cm2 10 mM KOH/V],"",0)</f>
        <v>#REF!</v>
      </c>
      <c r="AC882" s="69" t="e" cm="1">
        <f t="array" ref="AC882">_xlfn.XLOOKUP(Table1[[#This Row],[5 cm2 cell test code]:[5 cm2 cell test code]],[1]!Table1[[Test code]:[Test code]],[1]!Table1[Anode ICR/mOhm],"",0)</f>
        <v>#REF!</v>
      </c>
      <c r="AD882" s="69" t="e" cm="1">
        <f t="array" ref="AD882">_xlfn.XLOOKUP(Table1[[#This Row],[5 cm2 cell test code]:[5 cm2 cell test code]],[1]!Table1[[Test code]:[Test code]],[1]!Table1[HFR DIW/ mOhm cm2],"",0)</f>
        <v>#REF!</v>
      </c>
      <c r="AE882" s="69" t="e" cm="1">
        <f t="array" ref="AE882">_xlfn.XLOOKUP(Table1[[#This Row],[5 cm2 cell test code]:[5 cm2 cell test code]],[1]!Table1[[Test code]:[Test code]],[1]!Table1[HFR 10 mM KOH/ mOhm cm2],"",0)</f>
        <v>#REF!</v>
      </c>
      <c r="AF882" s="69" t="e" cm="1">
        <f t="array" ref="AF882">_xlfn.XLOOKUP(Table1[[#This Row],[5 cm2 cell test code]:[5 cm2 cell test code]],[1]!Table1[[Test code]:[Test code]],[1]!Table1[Ionic resistance DIW/Ohm cm2],"",0)</f>
        <v>#REF!</v>
      </c>
      <c r="AG882" s="69" t="e" cm="1">
        <f t="array" ref="AG882">_xlfn.XLOOKUP(Table1[[#This Row],[5 cm2 cell test code]:[5 cm2 cell test code]],[1]!Table1[[Test code]:[Test code]],[1]!Table1[Q_int_frac DIW],"",0)</f>
        <v>#REF!</v>
      </c>
      <c r="AH882" s="69" t="e" cm="1">
        <f t="array" ref="AH882">_xlfn.XLOOKUP(Table1[[#This Row],[5 cm2 cell test code]:[5 cm2 cell test code]],[1]!Table1[[Test code]:[Test code]],[1]!Table1[Ionic resistance 10 mM KOH/Ohm cm2],"",0)</f>
        <v>#REF!</v>
      </c>
      <c r="AI882" s="69" t="e" cm="1">
        <f t="array" ref="AI882">_xlfn.XLOOKUP(Table1[[#This Row],[5 cm2 cell test code]:[5 cm2 cell test code]],[1]!Table1[[Test code]:[Test code]],[1]!Table1[Q_int_frac DIW 10 mM KOH],"",0)</f>
        <v>#REF!</v>
      </c>
      <c r="AJ882" s="69" t="e" cm="1">
        <f t="array" ref="AJ882">_xlfn.XLOOKUP(Table1[[#This Row],[5 cm2 cell test code]:[5 cm2 cell test code]],[1]!Table1[[Test code]:[Test code]],[1]!Table1[DIW conductivity (µS/cm)],"",0)</f>
        <v>#REF!</v>
      </c>
    </row>
    <row r="883" spans="1:36">
      <c r="A883" s="81"/>
      <c r="U883" s="101"/>
      <c r="V883" s="101"/>
      <c r="W883" s="69" t="e" cm="1">
        <f t="array" ref="W883">_xlfn.XLOOKUP(Table1[[#This Row],[5 cm2 cell test code]:[5 cm2 cell test code]],[1]!Table1[[Test code]:[Test code]],[1]!Table1[i @ 1.8 V DIW (A/cm2)],"",0)</f>
        <v>#REF!</v>
      </c>
      <c r="X883" s="69" t="e" cm="1">
        <f t="array" ref="X883">_xlfn.XLOOKUP(Table1[[#This Row],[5 cm2 cell test code]:[5 cm2 cell test code]],[1]!Table1[[Test code]:[Test code]],[1]!Table1[i @ 1.8 V 10 mM KOH (A/cm2)],"",0)</f>
        <v>#REF!</v>
      </c>
      <c r="Y883" s="69" t="e" cm="1">
        <f t="array" ref="Y883">_xlfn.XLOOKUP(Table1[[#This Row],[5 cm2 cell test code]:[5 cm2 cell test code]],[1]!Table1[[Test code]:[Test code]],[1]!Table1[3-E ƞ at 20mAcm-2 (mV)],"",0)</f>
        <v>#REF!</v>
      </c>
      <c r="Z883" s="69" t="e" cm="1">
        <f t="array" ref="Z883">_xlfn.XLOOKUP(Table1[[#This Row],[5 cm2 cell test code]:[5 cm2 cell test code]],[1]!Table1[[Test code]:[Test code]],[1]!Table1[3-E Tafel slope (mV/dec)],"",0)</f>
        <v>#REF!</v>
      </c>
      <c r="AA883" s="69" t="e" cm="1">
        <f t="array" ref="AA883">_xlfn.XLOOKUP(Table1[[#This Row],[5 cm2 cell test code]:[5 cm2 cell test code]],[1]!Table1[[Test code]:[Test code]],[1]!Table1[E @ 100 mA/cm2 DIW/V],"",0)</f>
        <v>#REF!</v>
      </c>
      <c r="AB883" s="69" t="e" cm="1">
        <f t="array" ref="AB883">_xlfn.XLOOKUP(Table1[[#This Row],[5 cm2 cell test code]:[5 cm2 cell test code]],[1]!Table1[[Test code]:[Test code]],[1]!Table1[E @ 100 mA/cm2 10 mM KOH/V],"",0)</f>
        <v>#REF!</v>
      </c>
      <c r="AC883" s="69" t="e" cm="1">
        <f t="array" ref="AC883">_xlfn.XLOOKUP(Table1[[#This Row],[5 cm2 cell test code]:[5 cm2 cell test code]],[1]!Table1[[Test code]:[Test code]],[1]!Table1[Anode ICR/mOhm],"",0)</f>
        <v>#REF!</v>
      </c>
      <c r="AD883" s="69" t="e" cm="1">
        <f t="array" ref="AD883">_xlfn.XLOOKUP(Table1[[#This Row],[5 cm2 cell test code]:[5 cm2 cell test code]],[1]!Table1[[Test code]:[Test code]],[1]!Table1[HFR DIW/ mOhm cm2],"",0)</f>
        <v>#REF!</v>
      </c>
      <c r="AE883" s="69" t="e" cm="1">
        <f t="array" ref="AE883">_xlfn.XLOOKUP(Table1[[#This Row],[5 cm2 cell test code]:[5 cm2 cell test code]],[1]!Table1[[Test code]:[Test code]],[1]!Table1[HFR 10 mM KOH/ mOhm cm2],"",0)</f>
        <v>#REF!</v>
      </c>
      <c r="AF883" s="69" t="e" cm="1">
        <f t="array" ref="AF883">_xlfn.XLOOKUP(Table1[[#This Row],[5 cm2 cell test code]:[5 cm2 cell test code]],[1]!Table1[[Test code]:[Test code]],[1]!Table1[Ionic resistance DIW/Ohm cm2],"",0)</f>
        <v>#REF!</v>
      </c>
      <c r="AG883" s="69" t="e" cm="1">
        <f t="array" ref="AG883">_xlfn.XLOOKUP(Table1[[#This Row],[5 cm2 cell test code]:[5 cm2 cell test code]],[1]!Table1[[Test code]:[Test code]],[1]!Table1[Q_int_frac DIW],"",0)</f>
        <v>#REF!</v>
      </c>
      <c r="AH883" s="69" t="e" cm="1">
        <f t="array" ref="AH883">_xlfn.XLOOKUP(Table1[[#This Row],[5 cm2 cell test code]:[5 cm2 cell test code]],[1]!Table1[[Test code]:[Test code]],[1]!Table1[Ionic resistance 10 mM KOH/Ohm cm2],"",0)</f>
        <v>#REF!</v>
      </c>
      <c r="AI883" s="69" t="e" cm="1">
        <f t="array" ref="AI883">_xlfn.XLOOKUP(Table1[[#This Row],[5 cm2 cell test code]:[5 cm2 cell test code]],[1]!Table1[[Test code]:[Test code]],[1]!Table1[Q_int_frac DIW 10 mM KOH],"",0)</f>
        <v>#REF!</v>
      </c>
      <c r="AJ883" s="69" t="e" cm="1">
        <f t="array" ref="AJ883">_xlfn.XLOOKUP(Table1[[#This Row],[5 cm2 cell test code]:[5 cm2 cell test code]],[1]!Table1[[Test code]:[Test code]],[1]!Table1[DIW conductivity (µS/cm)],"",0)</f>
        <v>#REF!</v>
      </c>
    </row>
    <row r="884" spans="1:36">
      <c r="A884" s="81"/>
      <c r="U884" s="101"/>
      <c r="V884" s="101"/>
      <c r="W884" s="69" t="e" cm="1">
        <f t="array" ref="W884">_xlfn.XLOOKUP(Table1[[#This Row],[5 cm2 cell test code]:[5 cm2 cell test code]],[1]!Table1[[Test code]:[Test code]],[1]!Table1[i @ 1.8 V DIW (A/cm2)],"",0)</f>
        <v>#REF!</v>
      </c>
      <c r="X884" s="69" t="e" cm="1">
        <f t="array" ref="X884">_xlfn.XLOOKUP(Table1[[#This Row],[5 cm2 cell test code]:[5 cm2 cell test code]],[1]!Table1[[Test code]:[Test code]],[1]!Table1[i @ 1.8 V 10 mM KOH (A/cm2)],"",0)</f>
        <v>#REF!</v>
      </c>
      <c r="Y884" s="69" t="e" cm="1">
        <f t="array" ref="Y884">_xlfn.XLOOKUP(Table1[[#This Row],[5 cm2 cell test code]:[5 cm2 cell test code]],[1]!Table1[[Test code]:[Test code]],[1]!Table1[3-E ƞ at 20mAcm-2 (mV)],"",0)</f>
        <v>#REF!</v>
      </c>
      <c r="Z884" s="69" t="e" cm="1">
        <f t="array" ref="Z884">_xlfn.XLOOKUP(Table1[[#This Row],[5 cm2 cell test code]:[5 cm2 cell test code]],[1]!Table1[[Test code]:[Test code]],[1]!Table1[3-E Tafel slope (mV/dec)],"",0)</f>
        <v>#REF!</v>
      </c>
      <c r="AA884" s="69" t="e" cm="1">
        <f t="array" ref="AA884">_xlfn.XLOOKUP(Table1[[#This Row],[5 cm2 cell test code]:[5 cm2 cell test code]],[1]!Table1[[Test code]:[Test code]],[1]!Table1[E @ 100 mA/cm2 DIW/V],"",0)</f>
        <v>#REF!</v>
      </c>
      <c r="AB884" s="69" t="e" cm="1">
        <f t="array" ref="AB884">_xlfn.XLOOKUP(Table1[[#This Row],[5 cm2 cell test code]:[5 cm2 cell test code]],[1]!Table1[[Test code]:[Test code]],[1]!Table1[E @ 100 mA/cm2 10 mM KOH/V],"",0)</f>
        <v>#REF!</v>
      </c>
      <c r="AC884" s="69" t="e" cm="1">
        <f t="array" ref="AC884">_xlfn.XLOOKUP(Table1[[#This Row],[5 cm2 cell test code]:[5 cm2 cell test code]],[1]!Table1[[Test code]:[Test code]],[1]!Table1[Anode ICR/mOhm],"",0)</f>
        <v>#REF!</v>
      </c>
      <c r="AD884" s="69" t="e" cm="1">
        <f t="array" ref="AD884">_xlfn.XLOOKUP(Table1[[#This Row],[5 cm2 cell test code]:[5 cm2 cell test code]],[1]!Table1[[Test code]:[Test code]],[1]!Table1[HFR DIW/ mOhm cm2],"",0)</f>
        <v>#REF!</v>
      </c>
      <c r="AE884" s="69" t="e" cm="1">
        <f t="array" ref="AE884">_xlfn.XLOOKUP(Table1[[#This Row],[5 cm2 cell test code]:[5 cm2 cell test code]],[1]!Table1[[Test code]:[Test code]],[1]!Table1[HFR 10 mM KOH/ mOhm cm2],"",0)</f>
        <v>#REF!</v>
      </c>
      <c r="AF884" s="69" t="e" cm="1">
        <f t="array" ref="AF884">_xlfn.XLOOKUP(Table1[[#This Row],[5 cm2 cell test code]:[5 cm2 cell test code]],[1]!Table1[[Test code]:[Test code]],[1]!Table1[Ionic resistance DIW/Ohm cm2],"",0)</f>
        <v>#REF!</v>
      </c>
      <c r="AG884" s="69" t="e" cm="1">
        <f t="array" ref="AG884">_xlfn.XLOOKUP(Table1[[#This Row],[5 cm2 cell test code]:[5 cm2 cell test code]],[1]!Table1[[Test code]:[Test code]],[1]!Table1[Q_int_frac DIW],"",0)</f>
        <v>#REF!</v>
      </c>
      <c r="AH884" s="69" t="e" cm="1">
        <f t="array" ref="AH884">_xlfn.XLOOKUP(Table1[[#This Row],[5 cm2 cell test code]:[5 cm2 cell test code]],[1]!Table1[[Test code]:[Test code]],[1]!Table1[Ionic resistance 10 mM KOH/Ohm cm2],"",0)</f>
        <v>#REF!</v>
      </c>
      <c r="AI884" s="69" t="e" cm="1">
        <f t="array" ref="AI884">_xlfn.XLOOKUP(Table1[[#This Row],[5 cm2 cell test code]:[5 cm2 cell test code]],[1]!Table1[[Test code]:[Test code]],[1]!Table1[Q_int_frac DIW 10 mM KOH],"",0)</f>
        <v>#REF!</v>
      </c>
      <c r="AJ884" s="69" t="e" cm="1">
        <f t="array" ref="AJ884">_xlfn.XLOOKUP(Table1[[#This Row],[5 cm2 cell test code]:[5 cm2 cell test code]],[1]!Table1[[Test code]:[Test code]],[1]!Table1[DIW conductivity (µS/cm)],"",0)</f>
        <v>#REF!</v>
      </c>
    </row>
    <row r="885" spans="1:36">
      <c r="A885" s="81"/>
      <c r="U885" s="101"/>
      <c r="V885" s="101"/>
      <c r="W885" s="69" t="e" cm="1">
        <f t="array" ref="W885">_xlfn.XLOOKUP(Table1[[#This Row],[5 cm2 cell test code]:[5 cm2 cell test code]],[1]!Table1[[Test code]:[Test code]],[1]!Table1[i @ 1.8 V DIW (A/cm2)],"",0)</f>
        <v>#REF!</v>
      </c>
      <c r="X885" s="69" t="e" cm="1">
        <f t="array" ref="X885">_xlfn.XLOOKUP(Table1[[#This Row],[5 cm2 cell test code]:[5 cm2 cell test code]],[1]!Table1[[Test code]:[Test code]],[1]!Table1[i @ 1.8 V 10 mM KOH (A/cm2)],"",0)</f>
        <v>#REF!</v>
      </c>
      <c r="Y885" s="69" t="e" cm="1">
        <f t="array" ref="Y885">_xlfn.XLOOKUP(Table1[[#This Row],[5 cm2 cell test code]:[5 cm2 cell test code]],[1]!Table1[[Test code]:[Test code]],[1]!Table1[3-E ƞ at 20mAcm-2 (mV)],"",0)</f>
        <v>#REF!</v>
      </c>
      <c r="Z885" s="69" t="e" cm="1">
        <f t="array" ref="Z885">_xlfn.XLOOKUP(Table1[[#This Row],[5 cm2 cell test code]:[5 cm2 cell test code]],[1]!Table1[[Test code]:[Test code]],[1]!Table1[3-E Tafel slope (mV/dec)],"",0)</f>
        <v>#REF!</v>
      </c>
      <c r="AA885" s="69" t="e" cm="1">
        <f t="array" ref="AA885">_xlfn.XLOOKUP(Table1[[#This Row],[5 cm2 cell test code]:[5 cm2 cell test code]],[1]!Table1[[Test code]:[Test code]],[1]!Table1[E @ 100 mA/cm2 DIW/V],"",0)</f>
        <v>#REF!</v>
      </c>
      <c r="AB885" s="69" t="e" cm="1">
        <f t="array" ref="AB885">_xlfn.XLOOKUP(Table1[[#This Row],[5 cm2 cell test code]:[5 cm2 cell test code]],[1]!Table1[[Test code]:[Test code]],[1]!Table1[E @ 100 mA/cm2 10 mM KOH/V],"",0)</f>
        <v>#REF!</v>
      </c>
      <c r="AC885" s="69" t="e" cm="1">
        <f t="array" ref="AC885">_xlfn.XLOOKUP(Table1[[#This Row],[5 cm2 cell test code]:[5 cm2 cell test code]],[1]!Table1[[Test code]:[Test code]],[1]!Table1[Anode ICR/mOhm],"",0)</f>
        <v>#REF!</v>
      </c>
      <c r="AD885" s="69" t="e" cm="1">
        <f t="array" ref="AD885">_xlfn.XLOOKUP(Table1[[#This Row],[5 cm2 cell test code]:[5 cm2 cell test code]],[1]!Table1[[Test code]:[Test code]],[1]!Table1[HFR DIW/ mOhm cm2],"",0)</f>
        <v>#REF!</v>
      </c>
      <c r="AE885" s="69" t="e" cm="1">
        <f t="array" ref="AE885">_xlfn.XLOOKUP(Table1[[#This Row],[5 cm2 cell test code]:[5 cm2 cell test code]],[1]!Table1[[Test code]:[Test code]],[1]!Table1[HFR 10 mM KOH/ mOhm cm2],"",0)</f>
        <v>#REF!</v>
      </c>
      <c r="AF885" s="69" t="e" cm="1">
        <f t="array" ref="AF885">_xlfn.XLOOKUP(Table1[[#This Row],[5 cm2 cell test code]:[5 cm2 cell test code]],[1]!Table1[[Test code]:[Test code]],[1]!Table1[Ionic resistance DIW/Ohm cm2],"",0)</f>
        <v>#REF!</v>
      </c>
      <c r="AG885" s="69" t="e" cm="1">
        <f t="array" ref="AG885">_xlfn.XLOOKUP(Table1[[#This Row],[5 cm2 cell test code]:[5 cm2 cell test code]],[1]!Table1[[Test code]:[Test code]],[1]!Table1[Q_int_frac DIW],"",0)</f>
        <v>#REF!</v>
      </c>
      <c r="AH885" s="69" t="e" cm="1">
        <f t="array" ref="AH885">_xlfn.XLOOKUP(Table1[[#This Row],[5 cm2 cell test code]:[5 cm2 cell test code]],[1]!Table1[[Test code]:[Test code]],[1]!Table1[Ionic resistance 10 mM KOH/Ohm cm2],"",0)</f>
        <v>#REF!</v>
      </c>
      <c r="AI885" s="69" t="e" cm="1">
        <f t="array" ref="AI885">_xlfn.XLOOKUP(Table1[[#This Row],[5 cm2 cell test code]:[5 cm2 cell test code]],[1]!Table1[[Test code]:[Test code]],[1]!Table1[Q_int_frac DIW 10 mM KOH],"",0)</f>
        <v>#REF!</v>
      </c>
      <c r="AJ885" s="69" t="e" cm="1">
        <f t="array" ref="AJ885">_xlfn.XLOOKUP(Table1[[#This Row],[5 cm2 cell test code]:[5 cm2 cell test code]],[1]!Table1[[Test code]:[Test code]],[1]!Table1[DIW conductivity (µS/cm)],"",0)</f>
        <v>#REF!</v>
      </c>
    </row>
    <row r="886" spans="1:36">
      <c r="A886" s="81"/>
      <c r="U886" s="101"/>
      <c r="V886" s="101"/>
      <c r="W886" s="69" t="e" cm="1">
        <f t="array" ref="W886">_xlfn.XLOOKUP(Table1[[#This Row],[5 cm2 cell test code]:[5 cm2 cell test code]],[1]!Table1[[Test code]:[Test code]],[1]!Table1[i @ 1.8 V DIW (A/cm2)],"",0)</f>
        <v>#REF!</v>
      </c>
      <c r="X886" s="69" t="e" cm="1">
        <f t="array" ref="X886">_xlfn.XLOOKUP(Table1[[#This Row],[5 cm2 cell test code]:[5 cm2 cell test code]],[1]!Table1[[Test code]:[Test code]],[1]!Table1[i @ 1.8 V 10 mM KOH (A/cm2)],"",0)</f>
        <v>#REF!</v>
      </c>
      <c r="Y886" s="69" t="e" cm="1">
        <f t="array" ref="Y886">_xlfn.XLOOKUP(Table1[[#This Row],[5 cm2 cell test code]:[5 cm2 cell test code]],[1]!Table1[[Test code]:[Test code]],[1]!Table1[3-E ƞ at 20mAcm-2 (mV)],"",0)</f>
        <v>#REF!</v>
      </c>
      <c r="Z886" s="69" t="e" cm="1">
        <f t="array" ref="Z886">_xlfn.XLOOKUP(Table1[[#This Row],[5 cm2 cell test code]:[5 cm2 cell test code]],[1]!Table1[[Test code]:[Test code]],[1]!Table1[3-E Tafel slope (mV/dec)],"",0)</f>
        <v>#REF!</v>
      </c>
      <c r="AA886" s="69" t="e" cm="1">
        <f t="array" ref="AA886">_xlfn.XLOOKUP(Table1[[#This Row],[5 cm2 cell test code]:[5 cm2 cell test code]],[1]!Table1[[Test code]:[Test code]],[1]!Table1[E @ 100 mA/cm2 DIW/V],"",0)</f>
        <v>#REF!</v>
      </c>
      <c r="AB886" s="69" t="e" cm="1">
        <f t="array" ref="AB886">_xlfn.XLOOKUP(Table1[[#This Row],[5 cm2 cell test code]:[5 cm2 cell test code]],[1]!Table1[[Test code]:[Test code]],[1]!Table1[E @ 100 mA/cm2 10 mM KOH/V],"",0)</f>
        <v>#REF!</v>
      </c>
      <c r="AC886" s="69" t="e" cm="1">
        <f t="array" ref="AC886">_xlfn.XLOOKUP(Table1[[#This Row],[5 cm2 cell test code]:[5 cm2 cell test code]],[1]!Table1[[Test code]:[Test code]],[1]!Table1[Anode ICR/mOhm],"",0)</f>
        <v>#REF!</v>
      </c>
      <c r="AD886" s="69" t="e" cm="1">
        <f t="array" ref="AD886">_xlfn.XLOOKUP(Table1[[#This Row],[5 cm2 cell test code]:[5 cm2 cell test code]],[1]!Table1[[Test code]:[Test code]],[1]!Table1[HFR DIW/ mOhm cm2],"",0)</f>
        <v>#REF!</v>
      </c>
      <c r="AE886" s="69" t="e" cm="1">
        <f t="array" ref="AE886">_xlfn.XLOOKUP(Table1[[#This Row],[5 cm2 cell test code]:[5 cm2 cell test code]],[1]!Table1[[Test code]:[Test code]],[1]!Table1[HFR 10 mM KOH/ mOhm cm2],"",0)</f>
        <v>#REF!</v>
      </c>
      <c r="AF886" s="69" t="e" cm="1">
        <f t="array" ref="AF886">_xlfn.XLOOKUP(Table1[[#This Row],[5 cm2 cell test code]:[5 cm2 cell test code]],[1]!Table1[[Test code]:[Test code]],[1]!Table1[Ionic resistance DIW/Ohm cm2],"",0)</f>
        <v>#REF!</v>
      </c>
      <c r="AG886" s="69" t="e" cm="1">
        <f t="array" ref="AG886">_xlfn.XLOOKUP(Table1[[#This Row],[5 cm2 cell test code]:[5 cm2 cell test code]],[1]!Table1[[Test code]:[Test code]],[1]!Table1[Q_int_frac DIW],"",0)</f>
        <v>#REF!</v>
      </c>
      <c r="AH886" s="69" t="e" cm="1">
        <f t="array" ref="AH886">_xlfn.XLOOKUP(Table1[[#This Row],[5 cm2 cell test code]:[5 cm2 cell test code]],[1]!Table1[[Test code]:[Test code]],[1]!Table1[Ionic resistance 10 mM KOH/Ohm cm2],"",0)</f>
        <v>#REF!</v>
      </c>
      <c r="AI886" s="69" t="e" cm="1">
        <f t="array" ref="AI886">_xlfn.XLOOKUP(Table1[[#This Row],[5 cm2 cell test code]:[5 cm2 cell test code]],[1]!Table1[[Test code]:[Test code]],[1]!Table1[Q_int_frac DIW 10 mM KOH],"",0)</f>
        <v>#REF!</v>
      </c>
      <c r="AJ886" s="69" t="e" cm="1">
        <f t="array" ref="AJ886">_xlfn.XLOOKUP(Table1[[#This Row],[5 cm2 cell test code]:[5 cm2 cell test code]],[1]!Table1[[Test code]:[Test code]],[1]!Table1[DIW conductivity (µS/cm)],"",0)</f>
        <v>#REF!</v>
      </c>
    </row>
    <row r="887" spans="1:36">
      <c r="A887" s="81"/>
      <c r="U887" s="101"/>
      <c r="V887" s="101"/>
      <c r="W887" s="69" t="e" cm="1">
        <f t="array" ref="W887">_xlfn.XLOOKUP(Table1[[#This Row],[5 cm2 cell test code]:[5 cm2 cell test code]],[1]!Table1[[Test code]:[Test code]],[1]!Table1[i @ 1.8 V DIW (A/cm2)],"",0)</f>
        <v>#REF!</v>
      </c>
      <c r="X887" s="69" t="e" cm="1">
        <f t="array" ref="X887">_xlfn.XLOOKUP(Table1[[#This Row],[5 cm2 cell test code]:[5 cm2 cell test code]],[1]!Table1[[Test code]:[Test code]],[1]!Table1[i @ 1.8 V 10 mM KOH (A/cm2)],"",0)</f>
        <v>#REF!</v>
      </c>
      <c r="Y887" s="69" t="e" cm="1">
        <f t="array" ref="Y887">_xlfn.XLOOKUP(Table1[[#This Row],[5 cm2 cell test code]:[5 cm2 cell test code]],[1]!Table1[[Test code]:[Test code]],[1]!Table1[3-E ƞ at 20mAcm-2 (mV)],"",0)</f>
        <v>#REF!</v>
      </c>
      <c r="Z887" s="69" t="e" cm="1">
        <f t="array" ref="Z887">_xlfn.XLOOKUP(Table1[[#This Row],[5 cm2 cell test code]:[5 cm2 cell test code]],[1]!Table1[[Test code]:[Test code]],[1]!Table1[3-E Tafel slope (mV/dec)],"",0)</f>
        <v>#REF!</v>
      </c>
      <c r="AA887" s="69" t="e" cm="1">
        <f t="array" ref="AA887">_xlfn.XLOOKUP(Table1[[#This Row],[5 cm2 cell test code]:[5 cm2 cell test code]],[1]!Table1[[Test code]:[Test code]],[1]!Table1[E @ 100 mA/cm2 DIW/V],"",0)</f>
        <v>#REF!</v>
      </c>
      <c r="AB887" s="69" t="e" cm="1">
        <f t="array" ref="AB887">_xlfn.XLOOKUP(Table1[[#This Row],[5 cm2 cell test code]:[5 cm2 cell test code]],[1]!Table1[[Test code]:[Test code]],[1]!Table1[E @ 100 mA/cm2 10 mM KOH/V],"",0)</f>
        <v>#REF!</v>
      </c>
      <c r="AC887" s="69" t="e" cm="1">
        <f t="array" ref="AC887">_xlfn.XLOOKUP(Table1[[#This Row],[5 cm2 cell test code]:[5 cm2 cell test code]],[1]!Table1[[Test code]:[Test code]],[1]!Table1[Anode ICR/mOhm],"",0)</f>
        <v>#REF!</v>
      </c>
      <c r="AD887" s="69" t="e" cm="1">
        <f t="array" ref="AD887">_xlfn.XLOOKUP(Table1[[#This Row],[5 cm2 cell test code]:[5 cm2 cell test code]],[1]!Table1[[Test code]:[Test code]],[1]!Table1[HFR DIW/ mOhm cm2],"",0)</f>
        <v>#REF!</v>
      </c>
      <c r="AE887" s="69" t="e" cm="1">
        <f t="array" ref="AE887">_xlfn.XLOOKUP(Table1[[#This Row],[5 cm2 cell test code]:[5 cm2 cell test code]],[1]!Table1[[Test code]:[Test code]],[1]!Table1[HFR 10 mM KOH/ mOhm cm2],"",0)</f>
        <v>#REF!</v>
      </c>
      <c r="AF887" s="69" t="e" cm="1">
        <f t="array" ref="AF887">_xlfn.XLOOKUP(Table1[[#This Row],[5 cm2 cell test code]:[5 cm2 cell test code]],[1]!Table1[[Test code]:[Test code]],[1]!Table1[Ionic resistance DIW/Ohm cm2],"",0)</f>
        <v>#REF!</v>
      </c>
      <c r="AG887" s="69" t="e" cm="1">
        <f t="array" ref="AG887">_xlfn.XLOOKUP(Table1[[#This Row],[5 cm2 cell test code]:[5 cm2 cell test code]],[1]!Table1[[Test code]:[Test code]],[1]!Table1[Q_int_frac DIW],"",0)</f>
        <v>#REF!</v>
      </c>
      <c r="AH887" s="69" t="e" cm="1">
        <f t="array" ref="AH887">_xlfn.XLOOKUP(Table1[[#This Row],[5 cm2 cell test code]:[5 cm2 cell test code]],[1]!Table1[[Test code]:[Test code]],[1]!Table1[Ionic resistance 10 mM KOH/Ohm cm2],"",0)</f>
        <v>#REF!</v>
      </c>
      <c r="AI887" s="69" t="e" cm="1">
        <f t="array" ref="AI887">_xlfn.XLOOKUP(Table1[[#This Row],[5 cm2 cell test code]:[5 cm2 cell test code]],[1]!Table1[[Test code]:[Test code]],[1]!Table1[Q_int_frac DIW 10 mM KOH],"",0)</f>
        <v>#REF!</v>
      </c>
      <c r="AJ887" s="69" t="e" cm="1">
        <f t="array" ref="AJ887">_xlfn.XLOOKUP(Table1[[#This Row],[5 cm2 cell test code]:[5 cm2 cell test code]],[1]!Table1[[Test code]:[Test code]],[1]!Table1[DIW conductivity (µS/cm)],"",0)</f>
        <v>#REF!</v>
      </c>
    </row>
    <row r="888" spans="1:36">
      <c r="A888" s="81"/>
      <c r="U888" s="101"/>
      <c r="V888" s="101"/>
      <c r="W888" s="69" t="e" cm="1">
        <f t="array" ref="W888">_xlfn.XLOOKUP(Table1[[#This Row],[5 cm2 cell test code]:[5 cm2 cell test code]],[1]!Table1[[Test code]:[Test code]],[1]!Table1[i @ 1.8 V DIW (A/cm2)],"",0)</f>
        <v>#REF!</v>
      </c>
      <c r="X888" s="69" t="e" cm="1">
        <f t="array" ref="X888">_xlfn.XLOOKUP(Table1[[#This Row],[5 cm2 cell test code]:[5 cm2 cell test code]],[1]!Table1[[Test code]:[Test code]],[1]!Table1[i @ 1.8 V 10 mM KOH (A/cm2)],"",0)</f>
        <v>#REF!</v>
      </c>
      <c r="Y888" s="69" t="e" cm="1">
        <f t="array" ref="Y888">_xlfn.XLOOKUP(Table1[[#This Row],[5 cm2 cell test code]:[5 cm2 cell test code]],[1]!Table1[[Test code]:[Test code]],[1]!Table1[3-E ƞ at 20mAcm-2 (mV)],"",0)</f>
        <v>#REF!</v>
      </c>
      <c r="Z888" s="69" t="e" cm="1">
        <f t="array" ref="Z888">_xlfn.XLOOKUP(Table1[[#This Row],[5 cm2 cell test code]:[5 cm2 cell test code]],[1]!Table1[[Test code]:[Test code]],[1]!Table1[3-E Tafel slope (mV/dec)],"",0)</f>
        <v>#REF!</v>
      </c>
      <c r="AA888" s="69" t="e" cm="1">
        <f t="array" ref="AA888">_xlfn.XLOOKUP(Table1[[#This Row],[5 cm2 cell test code]:[5 cm2 cell test code]],[1]!Table1[[Test code]:[Test code]],[1]!Table1[E @ 100 mA/cm2 DIW/V],"",0)</f>
        <v>#REF!</v>
      </c>
      <c r="AB888" s="69" t="e" cm="1">
        <f t="array" ref="AB888">_xlfn.XLOOKUP(Table1[[#This Row],[5 cm2 cell test code]:[5 cm2 cell test code]],[1]!Table1[[Test code]:[Test code]],[1]!Table1[E @ 100 mA/cm2 10 mM KOH/V],"",0)</f>
        <v>#REF!</v>
      </c>
      <c r="AC888" s="69" t="e" cm="1">
        <f t="array" ref="AC888">_xlfn.XLOOKUP(Table1[[#This Row],[5 cm2 cell test code]:[5 cm2 cell test code]],[1]!Table1[[Test code]:[Test code]],[1]!Table1[Anode ICR/mOhm],"",0)</f>
        <v>#REF!</v>
      </c>
      <c r="AD888" s="69" t="e" cm="1">
        <f t="array" ref="AD888">_xlfn.XLOOKUP(Table1[[#This Row],[5 cm2 cell test code]:[5 cm2 cell test code]],[1]!Table1[[Test code]:[Test code]],[1]!Table1[HFR DIW/ mOhm cm2],"",0)</f>
        <v>#REF!</v>
      </c>
      <c r="AE888" s="69" t="e" cm="1">
        <f t="array" ref="AE888">_xlfn.XLOOKUP(Table1[[#This Row],[5 cm2 cell test code]:[5 cm2 cell test code]],[1]!Table1[[Test code]:[Test code]],[1]!Table1[HFR 10 mM KOH/ mOhm cm2],"",0)</f>
        <v>#REF!</v>
      </c>
      <c r="AF888" s="69" t="e" cm="1">
        <f t="array" ref="AF888">_xlfn.XLOOKUP(Table1[[#This Row],[5 cm2 cell test code]:[5 cm2 cell test code]],[1]!Table1[[Test code]:[Test code]],[1]!Table1[Ionic resistance DIW/Ohm cm2],"",0)</f>
        <v>#REF!</v>
      </c>
      <c r="AG888" s="69" t="e" cm="1">
        <f t="array" ref="AG888">_xlfn.XLOOKUP(Table1[[#This Row],[5 cm2 cell test code]:[5 cm2 cell test code]],[1]!Table1[[Test code]:[Test code]],[1]!Table1[Q_int_frac DIW],"",0)</f>
        <v>#REF!</v>
      </c>
      <c r="AH888" s="69" t="e" cm="1">
        <f t="array" ref="AH888">_xlfn.XLOOKUP(Table1[[#This Row],[5 cm2 cell test code]:[5 cm2 cell test code]],[1]!Table1[[Test code]:[Test code]],[1]!Table1[Ionic resistance 10 mM KOH/Ohm cm2],"",0)</f>
        <v>#REF!</v>
      </c>
      <c r="AI888" s="69" t="e" cm="1">
        <f t="array" ref="AI888">_xlfn.XLOOKUP(Table1[[#This Row],[5 cm2 cell test code]:[5 cm2 cell test code]],[1]!Table1[[Test code]:[Test code]],[1]!Table1[Q_int_frac DIW 10 mM KOH],"",0)</f>
        <v>#REF!</v>
      </c>
      <c r="AJ888" s="69" t="e" cm="1">
        <f t="array" ref="AJ888">_xlfn.XLOOKUP(Table1[[#This Row],[5 cm2 cell test code]:[5 cm2 cell test code]],[1]!Table1[[Test code]:[Test code]],[1]!Table1[DIW conductivity (µS/cm)],"",0)</f>
        <v>#REF!</v>
      </c>
    </row>
    <row r="889" spans="1:36">
      <c r="A889" s="81"/>
      <c r="U889" s="101"/>
      <c r="V889" s="101"/>
      <c r="W889" s="69" t="e" cm="1">
        <f t="array" ref="W889">_xlfn.XLOOKUP(Table1[[#This Row],[5 cm2 cell test code]:[5 cm2 cell test code]],[1]!Table1[[Test code]:[Test code]],[1]!Table1[i @ 1.8 V DIW (A/cm2)],"",0)</f>
        <v>#REF!</v>
      </c>
      <c r="X889" s="69" t="e" cm="1">
        <f t="array" ref="X889">_xlfn.XLOOKUP(Table1[[#This Row],[5 cm2 cell test code]:[5 cm2 cell test code]],[1]!Table1[[Test code]:[Test code]],[1]!Table1[i @ 1.8 V 10 mM KOH (A/cm2)],"",0)</f>
        <v>#REF!</v>
      </c>
      <c r="Y889" s="69" t="e" cm="1">
        <f t="array" ref="Y889">_xlfn.XLOOKUP(Table1[[#This Row],[5 cm2 cell test code]:[5 cm2 cell test code]],[1]!Table1[[Test code]:[Test code]],[1]!Table1[3-E ƞ at 20mAcm-2 (mV)],"",0)</f>
        <v>#REF!</v>
      </c>
      <c r="Z889" s="69" t="e" cm="1">
        <f t="array" ref="Z889">_xlfn.XLOOKUP(Table1[[#This Row],[5 cm2 cell test code]:[5 cm2 cell test code]],[1]!Table1[[Test code]:[Test code]],[1]!Table1[3-E Tafel slope (mV/dec)],"",0)</f>
        <v>#REF!</v>
      </c>
      <c r="AA889" s="69" t="e" cm="1">
        <f t="array" ref="AA889">_xlfn.XLOOKUP(Table1[[#This Row],[5 cm2 cell test code]:[5 cm2 cell test code]],[1]!Table1[[Test code]:[Test code]],[1]!Table1[E @ 100 mA/cm2 DIW/V],"",0)</f>
        <v>#REF!</v>
      </c>
      <c r="AB889" s="69" t="e" cm="1">
        <f t="array" ref="AB889">_xlfn.XLOOKUP(Table1[[#This Row],[5 cm2 cell test code]:[5 cm2 cell test code]],[1]!Table1[[Test code]:[Test code]],[1]!Table1[E @ 100 mA/cm2 10 mM KOH/V],"",0)</f>
        <v>#REF!</v>
      </c>
      <c r="AC889" s="69" t="e" cm="1">
        <f t="array" ref="AC889">_xlfn.XLOOKUP(Table1[[#This Row],[5 cm2 cell test code]:[5 cm2 cell test code]],[1]!Table1[[Test code]:[Test code]],[1]!Table1[Anode ICR/mOhm],"",0)</f>
        <v>#REF!</v>
      </c>
      <c r="AD889" s="69" t="e" cm="1">
        <f t="array" ref="AD889">_xlfn.XLOOKUP(Table1[[#This Row],[5 cm2 cell test code]:[5 cm2 cell test code]],[1]!Table1[[Test code]:[Test code]],[1]!Table1[HFR DIW/ mOhm cm2],"",0)</f>
        <v>#REF!</v>
      </c>
      <c r="AE889" s="69" t="e" cm="1">
        <f t="array" ref="AE889">_xlfn.XLOOKUP(Table1[[#This Row],[5 cm2 cell test code]:[5 cm2 cell test code]],[1]!Table1[[Test code]:[Test code]],[1]!Table1[HFR 10 mM KOH/ mOhm cm2],"",0)</f>
        <v>#REF!</v>
      </c>
      <c r="AF889" s="69" t="e" cm="1">
        <f t="array" ref="AF889">_xlfn.XLOOKUP(Table1[[#This Row],[5 cm2 cell test code]:[5 cm2 cell test code]],[1]!Table1[[Test code]:[Test code]],[1]!Table1[Ionic resistance DIW/Ohm cm2],"",0)</f>
        <v>#REF!</v>
      </c>
      <c r="AG889" s="69" t="e" cm="1">
        <f t="array" ref="AG889">_xlfn.XLOOKUP(Table1[[#This Row],[5 cm2 cell test code]:[5 cm2 cell test code]],[1]!Table1[[Test code]:[Test code]],[1]!Table1[Q_int_frac DIW],"",0)</f>
        <v>#REF!</v>
      </c>
      <c r="AH889" s="69" t="e" cm="1">
        <f t="array" ref="AH889">_xlfn.XLOOKUP(Table1[[#This Row],[5 cm2 cell test code]:[5 cm2 cell test code]],[1]!Table1[[Test code]:[Test code]],[1]!Table1[Ionic resistance 10 mM KOH/Ohm cm2],"",0)</f>
        <v>#REF!</v>
      </c>
      <c r="AI889" s="69" t="e" cm="1">
        <f t="array" ref="AI889">_xlfn.XLOOKUP(Table1[[#This Row],[5 cm2 cell test code]:[5 cm2 cell test code]],[1]!Table1[[Test code]:[Test code]],[1]!Table1[Q_int_frac DIW 10 mM KOH],"",0)</f>
        <v>#REF!</v>
      </c>
      <c r="AJ889" s="69" t="e" cm="1">
        <f t="array" ref="AJ889">_xlfn.XLOOKUP(Table1[[#This Row],[5 cm2 cell test code]:[5 cm2 cell test code]],[1]!Table1[[Test code]:[Test code]],[1]!Table1[DIW conductivity (µS/cm)],"",0)</f>
        <v>#REF!</v>
      </c>
    </row>
    <row r="890" spans="1:36">
      <c r="A890" s="81"/>
      <c r="U890" s="101"/>
      <c r="V890" s="101"/>
      <c r="W890" s="69" t="e" cm="1">
        <f t="array" ref="W890">_xlfn.XLOOKUP(Table1[[#This Row],[5 cm2 cell test code]:[5 cm2 cell test code]],[1]!Table1[[Test code]:[Test code]],[1]!Table1[i @ 1.8 V DIW (A/cm2)],"",0)</f>
        <v>#REF!</v>
      </c>
      <c r="X890" s="69" t="e" cm="1">
        <f t="array" ref="X890">_xlfn.XLOOKUP(Table1[[#This Row],[5 cm2 cell test code]:[5 cm2 cell test code]],[1]!Table1[[Test code]:[Test code]],[1]!Table1[i @ 1.8 V 10 mM KOH (A/cm2)],"",0)</f>
        <v>#REF!</v>
      </c>
      <c r="Y890" s="69" t="e" cm="1">
        <f t="array" ref="Y890">_xlfn.XLOOKUP(Table1[[#This Row],[5 cm2 cell test code]:[5 cm2 cell test code]],[1]!Table1[[Test code]:[Test code]],[1]!Table1[3-E ƞ at 20mAcm-2 (mV)],"",0)</f>
        <v>#REF!</v>
      </c>
      <c r="Z890" s="69" t="e" cm="1">
        <f t="array" ref="Z890">_xlfn.XLOOKUP(Table1[[#This Row],[5 cm2 cell test code]:[5 cm2 cell test code]],[1]!Table1[[Test code]:[Test code]],[1]!Table1[3-E Tafel slope (mV/dec)],"",0)</f>
        <v>#REF!</v>
      </c>
      <c r="AA890" s="69" t="e" cm="1">
        <f t="array" ref="AA890">_xlfn.XLOOKUP(Table1[[#This Row],[5 cm2 cell test code]:[5 cm2 cell test code]],[1]!Table1[[Test code]:[Test code]],[1]!Table1[E @ 100 mA/cm2 DIW/V],"",0)</f>
        <v>#REF!</v>
      </c>
      <c r="AB890" s="69" t="e" cm="1">
        <f t="array" ref="AB890">_xlfn.XLOOKUP(Table1[[#This Row],[5 cm2 cell test code]:[5 cm2 cell test code]],[1]!Table1[[Test code]:[Test code]],[1]!Table1[E @ 100 mA/cm2 10 mM KOH/V],"",0)</f>
        <v>#REF!</v>
      </c>
      <c r="AC890" s="69" t="e" cm="1">
        <f t="array" ref="AC890">_xlfn.XLOOKUP(Table1[[#This Row],[5 cm2 cell test code]:[5 cm2 cell test code]],[1]!Table1[[Test code]:[Test code]],[1]!Table1[Anode ICR/mOhm],"",0)</f>
        <v>#REF!</v>
      </c>
      <c r="AD890" s="69" t="e" cm="1">
        <f t="array" ref="AD890">_xlfn.XLOOKUP(Table1[[#This Row],[5 cm2 cell test code]:[5 cm2 cell test code]],[1]!Table1[[Test code]:[Test code]],[1]!Table1[HFR DIW/ mOhm cm2],"",0)</f>
        <v>#REF!</v>
      </c>
      <c r="AE890" s="69" t="e" cm="1">
        <f t="array" ref="AE890">_xlfn.XLOOKUP(Table1[[#This Row],[5 cm2 cell test code]:[5 cm2 cell test code]],[1]!Table1[[Test code]:[Test code]],[1]!Table1[HFR 10 mM KOH/ mOhm cm2],"",0)</f>
        <v>#REF!</v>
      </c>
      <c r="AF890" s="69" t="e" cm="1">
        <f t="array" ref="AF890">_xlfn.XLOOKUP(Table1[[#This Row],[5 cm2 cell test code]:[5 cm2 cell test code]],[1]!Table1[[Test code]:[Test code]],[1]!Table1[Ionic resistance DIW/Ohm cm2],"",0)</f>
        <v>#REF!</v>
      </c>
      <c r="AG890" s="69" t="e" cm="1">
        <f t="array" ref="AG890">_xlfn.XLOOKUP(Table1[[#This Row],[5 cm2 cell test code]:[5 cm2 cell test code]],[1]!Table1[[Test code]:[Test code]],[1]!Table1[Q_int_frac DIW],"",0)</f>
        <v>#REF!</v>
      </c>
      <c r="AH890" s="69" t="e" cm="1">
        <f t="array" ref="AH890">_xlfn.XLOOKUP(Table1[[#This Row],[5 cm2 cell test code]:[5 cm2 cell test code]],[1]!Table1[[Test code]:[Test code]],[1]!Table1[Ionic resistance 10 mM KOH/Ohm cm2],"",0)</f>
        <v>#REF!</v>
      </c>
      <c r="AI890" s="69" t="e" cm="1">
        <f t="array" ref="AI890">_xlfn.XLOOKUP(Table1[[#This Row],[5 cm2 cell test code]:[5 cm2 cell test code]],[1]!Table1[[Test code]:[Test code]],[1]!Table1[Q_int_frac DIW 10 mM KOH],"",0)</f>
        <v>#REF!</v>
      </c>
      <c r="AJ890" s="69" t="e" cm="1">
        <f t="array" ref="AJ890">_xlfn.XLOOKUP(Table1[[#This Row],[5 cm2 cell test code]:[5 cm2 cell test code]],[1]!Table1[[Test code]:[Test code]],[1]!Table1[DIW conductivity (µS/cm)],"",0)</f>
        <v>#REF!</v>
      </c>
    </row>
    <row r="891" spans="1:36">
      <c r="A891" s="81"/>
      <c r="U891" s="101"/>
      <c r="V891" s="101"/>
      <c r="W891" s="69" t="e" cm="1">
        <f t="array" ref="W891">_xlfn.XLOOKUP(Table1[[#This Row],[5 cm2 cell test code]:[5 cm2 cell test code]],[1]!Table1[[Test code]:[Test code]],[1]!Table1[i @ 1.8 V DIW (A/cm2)],"",0)</f>
        <v>#REF!</v>
      </c>
      <c r="X891" s="69" t="e" cm="1">
        <f t="array" ref="X891">_xlfn.XLOOKUP(Table1[[#This Row],[5 cm2 cell test code]:[5 cm2 cell test code]],[1]!Table1[[Test code]:[Test code]],[1]!Table1[i @ 1.8 V 10 mM KOH (A/cm2)],"",0)</f>
        <v>#REF!</v>
      </c>
      <c r="Y891" s="69" t="e" cm="1">
        <f t="array" ref="Y891">_xlfn.XLOOKUP(Table1[[#This Row],[5 cm2 cell test code]:[5 cm2 cell test code]],[1]!Table1[[Test code]:[Test code]],[1]!Table1[3-E ƞ at 20mAcm-2 (mV)],"",0)</f>
        <v>#REF!</v>
      </c>
      <c r="Z891" s="69" t="e" cm="1">
        <f t="array" ref="Z891">_xlfn.XLOOKUP(Table1[[#This Row],[5 cm2 cell test code]:[5 cm2 cell test code]],[1]!Table1[[Test code]:[Test code]],[1]!Table1[3-E Tafel slope (mV/dec)],"",0)</f>
        <v>#REF!</v>
      </c>
      <c r="AA891" s="69" t="e" cm="1">
        <f t="array" ref="AA891">_xlfn.XLOOKUP(Table1[[#This Row],[5 cm2 cell test code]:[5 cm2 cell test code]],[1]!Table1[[Test code]:[Test code]],[1]!Table1[E @ 100 mA/cm2 DIW/V],"",0)</f>
        <v>#REF!</v>
      </c>
      <c r="AB891" s="69" t="e" cm="1">
        <f t="array" ref="AB891">_xlfn.XLOOKUP(Table1[[#This Row],[5 cm2 cell test code]:[5 cm2 cell test code]],[1]!Table1[[Test code]:[Test code]],[1]!Table1[E @ 100 mA/cm2 10 mM KOH/V],"",0)</f>
        <v>#REF!</v>
      </c>
      <c r="AC891" s="69" t="e" cm="1">
        <f t="array" ref="AC891">_xlfn.XLOOKUP(Table1[[#This Row],[5 cm2 cell test code]:[5 cm2 cell test code]],[1]!Table1[[Test code]:[Test code]],[1]!Table1[Anode ICR/mOhm],"",0)</f>
        <v>#REF!</v>
      </c>
      <c r="AD891" s="69" t="e" cm="1">
        <f t="array" ref="AD891">_xlfn.XLOOKUP(Table1[[#This Row],[5 cm2 cell test code]:[5 cm2 cell test code]],[1]!Table1[[Test code]:[Test code]],[1]!Table1[HFR DIW/ mOhm cm2],"",0)</f>
        <v>#REF!</v>
      </c>
      <c r="AE891" s="69" t="e" cm="1">
        <f t="array" ref="AE891">_xlfn.XLOOKUP(Table1[[#This Row],[5 cm2 cell test code]:[5 cm2 cell test code]],[1]!Table1[[Test code]:[Test code]],[1]!Table1[HFR 10 mM KOH/ mOhm cm2],"",0)</f>
        <v>#REF!</v>
      </c>
      <c r="AF891" s="69" t="e" cm="1">
        <f t="array" ref="AF891">_xlfn.XLOOKUP(Table1[[#This Row],[5 cm2 cell test code]:[5 cm2 cell test code]],[1]!Table1[[Test code]:[Test code]],[1]!Table1[Ionic resistance DIW/Ohm cm2],"",0)</f>
        <v>#REF!</v>
      </c>
      <c r="AG891" s="69" t="e" cm="1">
        <f t="array" ref="AG891">_xlfn.XLOOKUP(Table1[[#This Row],[5 cm2 cell test code]:[5 cm2 cell test code]],[1]!Table1[[Test code]:[Test code]],[1]!Table1[Q_int_frac DIW],"",0)</f>
        <v>#REF!</v>
      </c>
      <c r="AH891" s="69" t="e" cm="1">
        <f t="array" ref="AH891">_xlfn.XLOOKUP(Table1[[#This Row],[5 cm2 cell test code]:[5 cm2 cell test code]],[1]!Table1[[Test code]:[Test code]],[1]!Table1[Ionic resistance 10 mM KOH/Ohm cm2],"",0)</f>
        <v>#REF!</v>
      </c>
      <c r="AI891" s="69" t="e" cm="1">
        <f t="array" ref="AI891">_xlfn.XLOOKUP(Table1[[#This Row],[5 cm2 cell test code]:[5 cm2 cell test code]],[1]!Table1[[Test code]:[Test code]],[1]!Table1[Q_int_frac DIW 10 mM KOH],"",0)</f>
        <v>#REF!</v>
      </c>
      <c r="AJ891" s="69" t="e" cm="1">
        <f t="array" ref="AJ891">_xlfn.XLOOKUP(Table1[[#This Row],[5 cm2 cell test code]:[5 cm2 cell test code]],[1]!Table1[[Test code]:[Test code]],[1]!Table1[DIW conductivity (µS/cm)],"",0)</f>
        <v>#REF!</v>
      </c>
    </row>
    <row r="892" spans="1:36">
      <c r="A892" s="81"/>
      <c r="U892" s="101"/>
      <c r="V892" s="101"/>
      <c r="W892" s="69" t="e" cm="1">
        <f t="array" ref="W892">_xlfn.XLOOKUP(Table1[[#This Row],[5 cm2 cell test code]:[5 cm2 cell test code]],[1]!Table1[[Test code]:[Test code]],[1]!Table1[i @ 1.8 V DIW (A/cm2)],"",0)</f>
        <v>#REF!</v>
      </c>
      <c r="X892" s="69" t="e" cm="1">
        <f t="array" ref="X892">_xlfn.XLOOKUP(Table1[[#This Row],[5 cm2 cell test code]:[5 cm2 cell test code]],[1]!Table1[[Test code]:[Test code]],[1]!Table1[i @ 1.8 V 10 mM KOH (A/cm2)],"",0)</f>
        <v>#REF!</v>
      </c>
      <c r="Y892" s="69" t="e" cm="1">
        <f t="array" ref="Y892">_xlfn.XLOOKUP(Table1[[#This Row],[5 cm2 cell test code]:[5 cm2 cell test code]],[1]!Table1[[Test code]:[Test code]],[1]!Table1[3-E ƞ at 20mAcm-2 (mV)],"",0)</f>
        <v>#REF!</v>
      </c>
      <c r="Z892" s="69" t="e" cm="1">
        <f t="array" ref="Z892">_xlfn.XLOOKUP(Table1[[#This Row],[5 cm2 cell test code]:[5 cm2 cell test code]],[1]!Table1[[Test code]:[Test code]],[1]!Table1[3-E Tafel slope (mV/dec)],"",0)</f>
        <v>#REF!</v>
      </c>
      <c r="AA892" s="69" t="e" cm="1">
        <f t="array" ref="AA892">_xlfn.XLOOKUP(Table1[[#This Row],[5 cm2 cell test code]:[5 cm2 cell test code]],[1]!Table1[[Test code]:[Test code]],[1]!Table1[E @ 100 mA/cm2 DIW/V],"",0)</f>
        <v>#REF!</v>
      </c>
      <c r="AB892" s="69" t="e" cm="1">
        <f t="array" ref="AB892">_xlfn.XLOOKUP(Table1[[#This Row],[5 cm2 cell test code]:[5 cm2 cell test code]],[1]!Table1[[Test code]:[Test code]],[1]!Table1[E @ 100 mA/cm2 10 mM KOH/V],"",0)</f>
        <v>#REF!</v>
      </c>
      <c r="AC892" s="69" t="e" cm="1">
        <f t="array" ref="AC892">_xlfn.XLOOKUP(Table1[[#This Row],[5 cm2 cell test code]:[5 cm2 cell test code]],[1]!Table1[[Test code]:[Test code]],[1]!Table1[Anode ICR/mOhm],"",0)</f>
        <v>#REF!</v>
      </c>
      <c r="AD892" s="69" t="e" cm="1">
        <f t="array" ref="AD892">_xlfn.XLOOKUP(Table1[[#This Row],[5 cm2 cell test code]:[5 cm2 cell test code]],[1]!Table1[[Test code]:[Test code]],[1]!Table1[HFR DIW/ mOhm cm2],"",0)</f>
        <v>#REF!</v>
      </c>
      <c r="AE892" s="69" t="e" cm="1">
        <f t="array" ref="AE892">_xlfn.XLOOKUP(Table1[[#This Row],[5 cm2 cell test code]:[5 cm2 cell test code]],[1]!Table1[[Test code]:[Test code]],[1]!Table1[HFR 10 mM KOH/ mOhm cm2],"",0)</f>
        <v>#REF!</v>
      </c>
      <c r="AF892" s="69" t="e" cm="1">
        <f t="array" ref="AF892">_xlfn.XLOOKUP(Table1[[#This Row],[5 cm2 cell test code]:[5 cm2 cell test code]],[1]!Table1[[Test code]:[Test code]],[1]!Table1[Ionic resistance DIW/Ohm cm2],"",0)</f>
        <v>#REF!</v>
      </c>
      <c r="AG892" s="69" t="e" cm="1">
        <f t="array" ref="AG892">_xlfn.XLOOKUP(Table1[[#This Row],[5 cm2 cell test code]:[5 cm2 cell test code]],[1]!Table1[[Test code]:[Test code]],[1]!Table1[Q_int_frac DIW],"",0)</f>
        <v>#REF!</v>
      </c>
      <c r="AH892" s="69" t="e" cm="1">
        <f t="array" ref="AH892">_xlfn.XLOOKUP(Table1[[#This Row],[5 cm2 cell test code]:[5 cm2 cell test code]],[1]!Table1[[Test code]:[Test code]],[1]!Table1[Ionic resistance 10 mM KOH/Ohm cm2],"",0)</f>
        <v>#REF!</v>
      </c>
      <c r="AI892" s="69" t="e" cm="1">
        <f t="array" ref="AI892">_xlfn.XLOOKUP(Table1[[#This Row],[5 cm2 cell test code]:[5 cm2 cell test code]],[1]!Table1[[Test code]:[Test code]],[1]!Table1[Q_int_frac DIW 10 mM KOH],"",0)</f>
        <v>#REF!</v>
      </c>
      <c r="AJ892" s="69" t="e" cm="1">
        <f t="array" ref="AJ892">_xlfn.XLOOKUP(Table1[[#This Row],[5 cm2 cell test code]:[5 cm2 cell test code]],[1]!Table1[[Test code]:[Test code]],[1]!Table1[DIW conductivity (µS/cm)],"",0)</f>
        <v>#REF!</v>
      </c>
    </row>
    <row r="893" spans="1:36">
      <c r="A893" s="81"/>
      <c r="U893" s="101"/>
      <c r="V893" s="101"/>
      <c r="W893" s="69" t="e" cm="1">
        <f t="array" ref="W893">_xlfn.XLOOKUP(Table1[[#This Row],[5 cm2 cell test code]:[5 cm2 cell test code]],[1]!Table1[[Test code]:[Test code]],[1]!Table1[i @ 1.8 V DIW (A/cm2)],"",0)</f>
        <v>#REF!</v>
      </c>
      <c r="X893" s="69" t="e" cm="1">
        <f t="array" ref="X893">_xlfn.XLOOKUP(Table1[[#This Row],[5 cm2 cell test code]:[5 cm2 cell test code]],[1]!Table1[[Test code]:[Test code]],[1]!Table1[i @ 1.8 V 10 mM KOH (A/cm2)],"",0)</f>
        <v>#REF!</v>
      </c>
      <c r="Y893" s="69" t="e" cm="1">
        <f t="array" ref="Y893">_xlfn.XLOOKUP(Table1[[#This Row],[5 cm2 cell test code]:[5 cm2 cell test code]],[1]!Table1[[Test code]:[Test code]],[1]!Table1[3-E ƞ at 20mAcm-2 (mV)],"",0)</f>
        <v>#REF!</v>
      </c>
      <c r="Z893" s="69" t="e" cm="1">
        <f t="array" ref="Z893">_xlfn.XLOOKUP(Table1[[#This Row],[5 cm2 cell test code]:[5 cm2 cell test code]],[1]!Table1[[Test code]:[Test code]],[1]!Table1[3-E Tafel slope (mV/dec)],"",0)</f>
        <v>#REF!</v>
      </c>
      <c r="AA893" s="69" t="e" cm="1">
        <f t="array" ref="AA893">_xlfn.XLOOKUP(Table1[[#This Row],[5 cm2 cell test code]:[5 cm2 cell test code]],[1]!Table1[[Test code]:[Test code]],[1]!Table1[E @ 100 mA/cm2 DIW/V],"",0)</f>
        <v>#REF!</v>
      </c>
      <c r="AB893" s="69" t="e" cm="1">
        <f t="array" ref="AB893">_xlfn.XLOOKUP(Table1[[#This Row],[5 cm2 cell test code]:[5 cm2 cell test code]],[1]!Table1[[Test code]:[Test code]],[1]!Table1[E @ 100 mA/cm2 10 mM KOH/V],"",0)</f>
        <v>#REF!</v>
      </c>
      <c r="AC893" s="69" t="e" cm="1">
        <f t="array" ref="AC893">_xlfn.XLOOKUP(Table1[[#This Row],[5 cm2 cell test code]:[5 cm2 cell test code]],[1]!Table1[[Test code]:[Test code]],[1]!Table1[Anode ICR/mOhm],"",0)</f>
        <v>#REF!</v>
      </c>
      <c r="AD893" s="69" t="e" cm="1">
        <f t="array" ref="AD893">_xlfn.XLOOKUP(Table1[[#This Row],[5 cm2 cell test code]:[5 cm2 cell test code]],[1]!Table1[[Test code]:[Test code]],[1]!Table1[HFR DIW/ mOhm cm2],"",0)</f>
        <v>#REF!</v>
      </c>
      <c r="AE893" s="69" t="e" cm="1">
        <f t="array" ref="AE893">_xlfn.XLOOKUP(Table1[[#This Row],[5 cm2 cell test code]:[5 cm2 cell test code]],[1]!Table1[[Test code]:[Test code]],[1]!Table1[HFR 10 mM KOH/ mOhm cm2],"",0)</f>
        <v>#REF!</v>
      </c>
      <c r="AF893" s="69" t="e" cm="1">
        <f t="array" ref="AF893">_xlfn.XLOOKUP(Table1[[#This Row],[5 cm2 cell test code]:[5 cm2 cell test code]],[1]!Table1[[Test code]:[Test code]],[1]!Table1[Ionic resistance DIW/Ohm cm2],"",0)</f>
        <v>#REF!</v>
      </c>
      <c r="AG893" s="69" t="e" cm="1">
        <f t="array" ref="AG893">_xlfn.XLOOKUP(Table1[[#This Row],[5 cm2 cell test code]:[5 cm2 cell test code]],[1]!Table1[[Test code]:[Test code]],[1]!Table1[Q_int_frac DIW],"",0)</f>
        <v>#REF!</v>
      </c>
      <c r="AH893" s="69" t="e" cm="1">
        <f t="array" ref="AH893">_xlfn.XLOOKUP(Table1[[#This Row],[5 cm2 cell test code]:[5 cm2 cell test code]],[1]!Table1[[Test code]:[Test code]],[1]!Table1[Ionic resistance 10 mM KOH/Ohm cm2],"",0)</f>
        <v>#REF!</v>
      </c>
      <c r="AI893" s="69" t="e" cm="1">
        <f t="array" ref="AI893">_xlfn.XLOOKUP(Table1[[#This Row],[5 cm2 cell test code]:[5 cm2 cell test code]],[1]!Table1[[Test code]:[Test code]],[1]!Table1[Q_int_frac DIW 10 mM KOH],"",0)</f>
        <v>#REF!</v>
      </c>
      <c r="AJ893" s="69" t="e" cm="1">
        <f t="array" ref="AJ893">_xlfn.XLOOKUP(Table1[[#This Row],[5 cm2 cell test code]:[5 cm2 cell test code]],[1]!Table1[[Test code]:[Test code]],[1]!Table1[DIW conductivity (µS/cm)],"",0)</f>
        <v>#REF!</v>
      </c>
    </row>
    <row r="894" spans="1:36">
      <c r="A894" s="81"/>
      <c r="U894" s="101"/>
      <c r="V894" s="101"/>
      <c r="W894" s="69" t="e" cm="1">
        <f t="array" ref="W894">_xlfn.XLOOKUP(Table1[[#This Row],[5 cm2 cell test code]:[5 cm2 cell test code]],[1]!Table1[[Test code]:[Test code]],[1]!Table1[i @ 1.8 V DIW (A/cm2)],"",0)</f>
        <v>#REF!</v>
      </c>
      <c r="X894" s="69" t="e" cm="1">
        <f t="array" ref="X894">_xlfn.XLOOKUP(Table1[[#This Row],[5 cm2 cell test code]:[5 cm2 cell test code]],[1]!Table1[[Test code]:[Test code]],[1]!Table1[i @ 1.8 V 10 mM KOH (A/cm2)],"",0)</f>
        <v>#REF!</v>
      </c>
      <c r="Y894" s="69" t="e" cm="1">
        <f t="array" ref="Y894">_xlfn.XLOOKUP(Table1[[#This Row],[5 cm2 cell test code]:[5 cm2 cell test code]],[1]!Table1[[Test code]:[Test code]],[1]!Table1[3-E ƞ at 20mAcm-2 (mV)],"",0)</f>
        <v>#REF!</v>
      </c>
      <c r="Z894" s="69" t="e" cm="1">
        <f t="array" ref="Z894">_xlfn.XLOOKUP(Table1[[#This Row],[5 cm2 cell test code]:[5 cm2 cell test code]],[1]!Table1[[Test code]:[Test code]],[1]!Table1[3-E Tafel slope (mV/dec)],"",0)</f>
        <v>#REF!</v>
      </c>
      <c r="AA894" s="69" t="e" cm="1">
        <f t="array" ref="AA894">_xlfn.XLOOKUP(Table1[[#This Row],[5 cm2 cell test code]:[5 cm2 cell test code]],[1]!Table1[[Test code]:[Test code]],[1]!Table1[E @ 100 mA/cm2 DIW/V],"",0)</f>
        <v>#REF!</v>
      </c>
      <c r="AB894" s="69" t="e" cm="1">
        <f t="array" ref="AB894">_xlfn.XLOOKUP(Table1[[#This Row],[5 cm2 cell test code]:[5 cm2 cell test code]],[1]!Table1[[Test code]:[Test code]],[1]!Table1[E @ 100 mA/cm2 10 mM KOH/V],"",0)</f>
        <v>#REF!</v>
      </c>
      <c r="AC894" s="69" t="e" cm="1">
        <f t="array" ref="AC894">_xlfn.XLOOKUP(Table1[[#This Row],[5 cm2 cell test code]:[5 cm2 cell test code]],[1]!Table1[[Test code]:[Test code]],[1]!Table1[Anode ICR/mOhm],"",0)</f>
        <v>#REF!</v>
      </c>
      <c r="AD894" s="69" t="e" cm="1">
        <f t="array" ref="AD894">_xlfn.XLOOKUP(Table1[[#This Row],[5 cm2 cell test code]:[5 cm2 cell test code]],[1]!Table1[[Test code]:[Test code]],[1]!Table1[HFR DIW/ mOhm cm2],"",0)</f>
        <v>#REF!</v>
      </c>
      <c r="AE894" s="69" t="e" cm="1">
        <f t="array" ref="AE894">_xlfn.XLOOKUP(Table1[[#This Row],[5 cm2 cell test code]:[5 cm2 cell test code]],[1]!Table1[[Test code]:[Test code]],[1]!Table1[HFR 10 mM KOH/ mOhm cm2],"",0)</f>
        <v>#REF!</v>
      </c>
      <c r="AF894" s="69" t="e" cm="1">
        <f t="array" ref="AF894">_xlfn.XLOOKUP(Table1[[#This Row],[5 cm2 cell test code]:[5 cm2 cell test code]],[1]!Table1[[Test code]:[Test code]],[1]!Table1[Ionic resistance DIW/Ohm cm2],"",0)</f>
        <v>#REF!</v>
      </c>
      <c r="AG894" s="69" t="e" cm="1">
        <f t="array" ref="AG894">_xlfn.XLOOKUP(Table1[[#This Row],[5 cm2 cell test code]:[5 cm2 cell test code]],[1]!Table1[[Test code]:[Test code]],[1]!Table1[Q_int_frac DIW],"",0)</f>
        <v>#REF!</v>
      </c>
      <c r="AH894" s="69" t="e" cm="1">
        <f t="array" ref="AH894">_xlfn.XLOOKUP(Table1[[#This Row],[5 cm2 cell test code]:[5 cm2 cell test code]],[1]!Table1[[Test code]:[Test code]],[1]!Table1[Ionic resistance 10 mM KOH/Ohm cm2],"",0)</f>
        <v>#REF!</v>
      </c>
      <c r="AI894" s="69" t="e" cm="1">
        <f t="array" ref="AI894">_xlfn.XLOOKUP(Table1[[#This Row],[5 cm2 cell test code]:[5 cm2 cell test code]],[1]!Table1[[Test code]:[Test code]],[1]!Table1[Q_int_frac DIW 10 mM KOH],"",0)</f>
        <v>#REF!</v>
      </c>
      <c r="AJ894" s="69" t="e" cm="1">
        <f t="array" ref="AJ894">_xlfn.XLOOKUP(Table1[[#This Row],[5 cm2 cell test code]:[5 cm2 cell test code]],[1]!Table1[[Test code]:[Test code]],[1]!Table1[DIW conductivity (µS/cm)],"",0)</f>
        <v>#REF!</v>
      </c>
    </row>
    <row r="895" spans="1:36">
      <c r="A895" s="81"/>
      <c r="U895" s="101"/>
      <c r="V895" s="101"/>
      <c r="W895" s="69" t="e" cm="1">
        <f t="array" ref="W895">_xlfn.XLOOKUP(Table1[[#This Row],[5 cm2 cell test code]:[5 cm2 cell test code]],[1]!Table1[[Test code]:[Test code]],[1]!Table1[i @ 1.8 V DIW (A/cm2)],"",0)</f>
        <v>#REF!</v>
      </c>
      <c r="X895" s="69" t="e" cm="1">
        <f t="array" ref="X895">_xlfn.XLOOKUP(Table1[[#This Row],[5 cm2 cell test code]:[5 cm2 cell test code]],[1]!Table1[[Test code]:[Test code]],[1]!Table1[i @ 1.8 V 10 mM KOH (A/cm2)],"",0)</f>
        <v>#REF!</v>
      </c>
      <c r="Y895" s="69" t="e" cm="1">
        <f t="array" ref="Y895">_xlfn.XLOOKUP(Table1[[#This Row],[5 cm2 cell test code]:[5 cm2 cell test code]],[1]!Table1[[Test code]:[Test code]],[1]!Table1[3-E ƞ at 20mAcm-2 (mV)],"",0)</f>
        <v>#REF!</v>
      </c>
      <c r="Z895" s="69" t="e" cm="1">
        <f t="array" ref="Z895">_xlfn.XLOOKUP(Table1[[#This Row],[5 cm2 cell test code]:[5 cm2 cell test code]],[1]!Table1[[Test code]:[Test code]],[1]!Table1[3-E Tafel slope (mV/dec)],"",0)</f>
        <v>#REF!</v>
      </c>
      <c r="AA895" s="69" t="e" cm="1">
        <f t="array" ref="AA895">_xlfn.XLOOKUP(Table1[[#This Row],[5 cm2 cell test code]:[5 cm2 cell test code]],[1]!Table1[[Test code]:[Test code]],[1]!Table1[E @ 100 mA/cm2 DIW/V],"",0)</f>
        <v>#REF!</v>
      </c>
      <c r="AB895" s="69" t="e" cm="1">
        <f t="array" ref="AB895">_xlfn.XLOOKUP(Table1[[#This Row],[5 cm2 cell test code]:[5 cm2 cell test code]],[1]!Table1[[Test code]:[Test code]],[1]!Table1[E @ 100 mA/cm2 10 mM KOH/V],"",0)</f>
        <v>#REF!</v>
      </c>
      <c r="AC895" s="69" t="e" cm="1">
        <f t="array" ref="AC895">_xlfn.XLOOKUP(Table1[[#This Row],[5 cm2 cell test code]:[5 cm2 cell test code]],[1]!Table1[[Test code]:[Test code]],[1]!Table1[Anode ICR/mOhm],"",0)</f>
        <v>#REF!</v>
      </c>
      <c r="AD895" s="69" t="e" cm="1">
        <f t="array" ref="AD895">_xlfn.XLOOKUP(Table1[[#This Row],[5 cm2 cell test code]:[5 cm2 cell test code]],[1]!Table1[[Test code]:[Test code]],[1]!Table1[HFR DIW/ mOhm cm2],"",0)</f>
        <v>#REF!</v>
      </c>
      <c r="AE895" s="69" t="e" cm="1">
        <f t="array" ref="AE895">_xlfn.XLOOKUP(Table1[[#This Row],[5 cm2 cell test code]:[5 cm2 cell test code]],[1]!Table1[[Test code]:[Test code]],[1]!Table1[HFR 10 mM KOH/ mOhm cm2],"",0)</f>
        <v>#REF!</v>
      </c>
      <c r="AF895" s="69" t="e" cm="1">
        <f t="array" ref="AF895">_xlfn.XLOOKUP(Table1[[#This Row],[5 cm2 cell test code]:[5 cm2 cell test code]],[1]!Table1[[Test code]:[Test code]],[1]!Table1[Ionic resistance DIW/Ohm cm2],"",0)</f>
        <v>#REF!</v>
      </c>
      <c r="AG895" s="69" t="e" cm="1">
        <f t="array" ref="AG895">_xlfn.XLOOKUP(Table1[[#This Row],[5 cm2 cell test code]:[5 cm2 cell test code]],[1]!Table1[[Test code]:[Test code]],[1]!Table1[Q_int_frac DIW],"",0)</f>
        <v>#REF!</v>
      </c>
      <c r="AH895" s="69" t="e" cm="1">
        <f t="array" ref="AH895">_xlfn.XLOOKUP(Table1[[#This Row],[5 cm2 cell test code]:[5 cm2 cell test code]],[1]!Table1[[Test code]:[Test code]],[1]!Table1[Ionic resistance 10 mM KOH/Ohm cm2],"",0)</f>
        <v>#REF!</v>
      </c>
      <c r="AI895" s="69" t="e" cm="1">
        <f t="array" ref="AI895">_xlfn.XLOOKUP(Table1[[#This Row],[5 cm2 cell test code]:[5 cm2 cell test code]],[1]!Table1[[Test code]:[Test code]],[1]!Table1[Q_int_frac DIW 10 mM KOH],"",0)</f>
        <v>#REF!</v>
      </c>
      <c r="AJ895" s="69" t="e" cm="1">
        <f t="array" ref="AJ895">_xlfn.XLOOKUP(Table1[[#This Row],[5 cm2 cell test code]:[5 cm2 cell test code]],[1]!Table1[[Test code]:[Test code]],[1]!Table1[DIW conductivity (µS/cm)],"",0)</f>
        <v>#REF!</v>
      </c>
    </row>
    <row r="896" spans="1:36">
      <c r="A896" s="81"/>
      <c r="U896" s="101"/>
      <c r="V896" s="101"/>
      <c r="W896" s="69" t="e" cm="1">
        <f t="array" ref="W896">_xlfn.XLOOKUP(Table1[[#This Row],[5 cm2 cell test code]:[5 cm2 cell test code]],[1]!Table1[[Test code]:[Test code]],[1]!Table1[i @ 1.8 V DIW (A/cm2)],"",0)</f>
        <v>#REF!</v>
      </c>
      <c r="X896" s="69" t="e" cm="1">
        <f t="array" ref="X896">_xlfn.XLOOKUP(Table1[[#This Row],[5 cm2 cell test code]:[5 cm2 cell test code]],[1]!Table1[[Test code]:[Test code]],[1]!Table1[i @ 1.8 V 10 mM KOH (A/cm2)],"",0)</f>
        <v>#REF!</v>
      </c>
      <c r="Y896" s="69" t="e" cm="1">
        <f t="array" ref="Y896">_xlfn.XLOOKUP(Table1[[#This Row],[5 cm2 cell test code]:[5 cm2 cell test code]],[1]!Table1[[Test code]:[Test code]],[1]!Table1[3-E ƞ at 20mAcm-2 (mV)],"",0)</f>
        <v>#REF!</v>
      </c>
      <c r="Z896" s="69" t="e" cm="1">
        <f t="array" ref="Z896">_xlfn.XLOOKUP(Table1[[#This Row],[5 cm2 cell test code]:[5 cm2 cell test code]],[1]!Table1[[Test code]:[Test code]],[1]!Table1[3-E Tafel slope (mV/dec)],"",0)</f>
        <v>#REF!</v>
      </c>
      <c r="AA896" s="69" t="e" cm="1">
        <f t="array" ref="AA896">_xlfn.XLOOKUP(Table1[[#This Row],[5 cm2 cell test code]:[5 cm2 cell test code]],[1]!Table1[[Test code]:[Test code]],[1]!Table1[E @ 100 mA/cm2 DIW/V],"",0)</f>
        <v>#REF!</v>
      </c>
      <c r="AB896" s="69" t="e" cm="1">
        <f t="array" ref="AB896">_xlfn.XLOOKUP(Table1[[#This Row],[5 cm2 cell test code]:[5 cm2 cell test code]],[1]!Table1[[Test code]:[Test code]],[1]!Table1[E @ 100 mA/cm2 10 mM KOH/V],"",0)</f>
        <v>#REF!</v>
      </c>
      <c r="AC896" s="69" t="e" cm="1">
        <f t="array" ref="AC896">_xlfn.XLOOKUP(Table1[[#This Row],[5 cm2 cell test code]:[5 cm2 cell test code]],[1]!Table1[[Test code]:[Test code]],[1]!Table1[Anode ICR/mOhm],"",0)</f>
        <v>#REF!</v>
      </c>
      <c r="AD896" s="69" t="e" cm="1">
        <f t="array" ref="AD896">_xlfn.XLOOKUP(Table1[[#This Row],[5 cm2 cell test code]:[5 cm2 cell test code]],[1]!Table1[[Test code]:[Test code]],[1]!Table1[HFR DIW/ mOhm cm2],"",0)</f>
        <v>#REF!</v>
      </c>
      <c r="AE896" s="69" t="e" cm="1">
        <f t="array" ref="AE896">_xlfn.XLOOKUP(Table1[[#This Row],[5 cm2 cell test code]:[5 cm2 cell test code]],[1]!Table1[[Test code]:[Test code]],[1]!Table1[HFR 10 mM KOH/ mOhm cm2],"",0)</f>
        <v>#REF!</v>
      </c>
      <c r="AF896" s="69" t="e" cm="1">
        <f t="array" ref="AF896">_xlfn.XLOOKUP(Table1[[#This Row],[5 cm2 cell test code]:[5 cm2 cell test code]],[1]!Table1[[Test code]:[Test code]],[1]!Table1[Ionic resistance DIW/Ohm cm2],"",0)</f>
        <v>#REF!</v>
      </c>
      <c r="AG896" s="69" t="e" cm="1">
        <f t="array" ref="AG896">_xlfn.XLOOKUP(Table1[[#This Row],[5 cm2 cell test code]:[5 cm2 cell test code]],[1]!Table1[[Test code]:[Test code]],[1]!Table1[Q_int_frac DIW],"",0)</f>
        <v>#REF!</v>
      </c>
      <c r="AH896" s="69" t="e" cm="1">
        <f t="array" ref="AH896">_xlfn.XLOOKUP(Table1[[#This Row],[5 cm2 cell test code]:[5 cm2 cell test code]],[1]!Table1[[Test code]:[Test code]],[1]!Table1[Ionic resistance 10 mM KOH/Ohm cm2],"",0)</f>
        <v>#REF!</v>
      </c>
      <c r="AI896" s="69" t="e" cm="1">
        <f t="array" ref="AI896">_xlfn.XLOOKUP(Table1[[#This Row],[5 cm2 cell test code]:[5 cm2 cell test code]],[1]!Table1[[Test code]:[Test code]],[1]!Table1[Q_int_frac DIW 10 mM KOH],"",0)</f>
        <v>#REF!</v>
      </c>
      <c r="AJ896" s="69" t="e" cm="1">
        <f t="array" ref="AJ896">_xlfn.XLOOKUP(Table1[[#This Row],[5 cm2 cell test code]:[5 cm2 cell test code]],[1]!Table1[[Test code]:[Test code]],[1]!Table1[DIW conductivity (µS/cm)],"",0)</f>
        <v>#REF!</v>
      </c>
    </row>
    <row r="897" spans="1:36">
      <c r="A897" s="81"/>
      <c r="U897" s="101"/>
      <c r="V897" s="101"/>
      <c r="W897" s="69" t="e" cm="1">
        <f t="array" ref="W897">_xlfn.XLOOKUP(Table1[[#This Row],[5 cm2 cell test code]:[5 cm2 cell test code]],[1]!Table1[[Test code]:[Test code]],[1]!Table1[i @ 1.8 V DIW (A/cm2)],"",0)</f>
        <v>#REF!</v>
      </c>
      <c r="X897" s="69" t="e" cm="1">
        <f t="array" ref="X897">_xlfn.XLOOKUP(Table1[[#This Row],[5 cm2 cell test code]:[5 cm2 cell test code]],[1]!Table1[[Test code]:[Test code]],[1]!Table1[i @ 1.8 V 10 mM KOH (A/cm2)],"",0)</f>
        <v>#REF!</v>
      </c>
      <c r="Y897" s="69" t="e" cm="1">
        <f t="array" ref="Y897">_xlfn.XLOOKUP(Table1[[#This Row],[5 cm2 cell test code]:[5 cm2 cell test code]],[1]!Table1[[Test code]:[Test code]],[1]!Table1[3-E ƞ at 20mAcm-2 (mV)],"",0)</f>
        <v>#REF!</v>
      </c>
      <c r="Z897" s="69" t="e" cm="1">
        <f t="array" ref="Z897">_xlfn.XLOOKUP(Table1[[#This Row],[5 cm2 cell test code]:[5 cm2 cell test code]],[1]!Table1[[Test code]:[Test code]],[1]!Table1[3-E Tafel slope (mV/dec)],"",0)</f>
        <v>#REF!</v>
      </c>
      <c r="AA897" s="69" t="e" cm="1">
        <f t="array" ref="AA897">_xlfn.XLOOKUP(Table1[[#This Row],[5 cm2 cell test code]:[5 cm2 cell test code]],[1]!Table1[[Test code]:[Test code]],[1]!Table1[E @ 100 mA/cm2 DIW/V],"",0)</f>
        <v>#REF!</v>
      </c>
      <c r="AB897" s="69" t="e" cm="1">
        <f t="array" ref="AB897">_xlfn.XLOOKUP(Table1[[#This Row],[5 cm2 cell test code]:[5 cm2 cell test code]],[1]!Table1[[Test code]:[Test code]],[1]!Table1[E @ 100 mA/cm2 10 mM KOH/V],"",0)</f>
        <v>#REF!</v>
      </c>
      <c r="AC897" s="69" t="e" cm="1">
        <f t="array" ref="AC897">_xlfn.XLOOKUP(Table1[[#This Row],[5 cm2 cell test code]:[5 cm2 cell test code]],[1]!Table1[[Test code]:[Test code]],[1]!Table1[Anode ICR/mOhm],"",0)</f>
        <v>#REF!</v>
      </c>
      <c r="AD897" s="69" t="e" cm="1">
        <f t="array" ref="AD897">_xlfn.XLOOKUP(Table1[[#This Row],[5 cm2 cell test code]:[5 cm2 cell test code]],[1]!Table1[[Test code]:[Test code]],[1]!Table1[HFR DIW/ mOhm cm2],"",0)</f>
        <v>#REF!</v>
      </c>
      <c r="AE897" s="69" t="e" cm="1">
        <f t="array" ref="AE897">_xlfn.XLOOKUP(Table1[[#This Row],[5 cm2 cell test code]:[5 cm2 cell test code]],[1]!Table1[[Test code]:[Test code]],[1]!Table1[HFR 10 mM KOH/ mOhm cm2],"",0)</f>
        <v>#REF!</v>
      </c>
      <c r="AF897" s="69" t="e" cm="1">
        <f t="array" ref="AF897">_xlfn.XLOOKUP(Table1[[#This Row],[5 cm2 cell test code]:[5 cm2 cell test code]],[1]!Table1[[Test code]:[Test code]],[1]!Table1[Ionic resistance DIW/Ohm cm2],"",0)</f>
        <v>#REF!</v>
      </c>
      <c r="AG897" s="69" t="e" cm="1">
        <f t="array" ref="AG897">_xlfn.XLOOKUP(Table1[[#This Row],[5 cm2 cell test code]:[5 cm2 cell test code]],[1]!Table1[[Test code]:[Test code]],[1]!Table1[Q_int_frac DIW],"",0)</f>
        <v>#REF!</v>
      </c>
      <c r="AH897" s="69" t="e" cm="1">
        <f t="array" ref="AH897">_xlfn.XLOOKUP(Table1[[#This Row],[5 cm2 cell test code]:[5 cm2 cell test code]],[1]!Table1[[Test code]:[Test code]],[1]!Table1[Ionic resistance 10 mM KOH/Ohm cm2],"",0)</f>
        <v>#REF!</v>
      </c>
      <c r="AI897" s="69" t="e" cm="1">
        <f t="array" ref="AI897">_xlfn.XLOOKUP(Table1[[#This Row],[5 cm2 cell test code]:[5 cm2 cell test code]],[1]!Table1[[Test code]:[Test code]],[1]!Table1[Q_int_frac DIW 10 mM KOH],"",0)</f>
        <v>#REF!</v>
      </c>
      <c r="AJ897" s="69" t="e" cm="1">
        <f t="array" ref="AJ897">_xlfn.XLOOKUP(Table1[[#This Row],[5 cm2 cell test code]:[5 cm2 cell test code]],[1]!Table1[[Test code]:[Test code]],[1]!Table1[DIW conductivity (µS/cm)],"",0)</f>
        <v>#REF!</v>
      </c>
    </row>
    <row r="898" spans="1:36">
      <c r="A898" s="81"/>
      <c r="U898" s="101"/>
      <c r="V898" s="101"/>
      <c r="W898" s="69" t="e" cm="1">
        <f t="array" ref="W898">_xlfn.XLOOKUP(Table1[[#This Row],[5 cm2 cell test code]:[5 cm2 cell test code]],[1]!Table1[[Test code]:[Test code]],[1]!Table1[i @ 1.8 V DIW (A/cm2)],"",0)</f>
        <v>#REF!</v>
      </c>
      <c r="X898" s="69" t="e" cm="1">
        <f t="array" ref="X898">_xlfn.XLOOKUP(Table1[[#This Row],[5 cm2 cell test code]:[5 cm2 cell test code]],[1]!Table1[[Test code]:[Test code]],[1]!Table1[i @ 1.8 V 10 mM KOH (A/cm2)],"",0)</f>
        <v>#REF!</v>
      </c>
      <c r="Y898" s="69" t="e" cm="1">
        <f t="array" ref="Y898">_xlfn.XLOOKUP(Table1[[#This Row],[5 cm2 cell test code]:[5 cm2 cell test code]],[1]!Table1[[Test code]:[Test code]],[1]!Table1[3-E ƞ at 20mAcm-2 (mV)],"",0)</f>
        <v>#REF!</v>
      </c>
      <c r="Z898" s="69" t="e" cm="1">
        <f t="array" ref="Z898">_xlfn.XLOOKUP(Table1[[#This Row],[5 cm2 cell test code]:[5 cm2 cell test code]],[1]!Table1[[Test code]:[Test code]],[1]!Table1[3-E Tafel slope (mV/dec)],"",0)</f>
        <v>#REF!</v>
      </c>
      <c r="AA898" s="69" t="e" cm="1">
        <f t="array" ref="AA898">_xlfn.XLOOKUP(Table1[[#This Row],[5 cm2 cell test code]:[5 cm2 cell test code]],[1]!Table1[[Test code]:[Test code]],[1]!Table1[E @ 100 mA/cm2 DIW/V],"",0)</f>
        <v>#REF!</v>
      </c>
      <c r="AB898" s="69" t="e" cm="1">
        <f t="array" ref="AB898">_xlfn.XLOOKUP(Table1[[#This Row],[5 cm2 cell test code]:[5 cm2 cell test code]],[1]!Table1[[Test code]:[Test code]],[1]!Table1[E @ 100 mA/cm2 10 mM KOH/V],"",0)</f>
        <v>#REF!</v>
      </c>
      <c r="AC898" s="69" t="e" cm="1">
        <f t="array" ref="AC898">_xlfn.XLOOKUP(Table1[[#This Row],[5 cm2 cell test code]:[5 cm2 cell test code]],[1]!Table1[[Test code]:[Test code]],[1]!Table1[Anode ICR/mOhm],"",0)</f>
        <v>#REF!</v>
      </c>
      <c r="AD898" s="69" t="e" cm="1">
        <f t="array" ref="AD898">_xlfn.XLOOKUP(Table1[[#This Row],[5 cm2 cell test code]:[5 cm2 cell test code]],[1]!Table1[[Test code]:[Test code]],[1]!Table1[HFR DIW/ mOhm cm2],"",0)</f>
        <v>#REF!</v>
      </c>
      <c r="AE898" s="69" t="e" cm="1">
        <f t="array" ref="AE898">_xlfn.XLOOKUP(Table1[[#This Row],[5 cm2 cell test code]:[5 cm2 cell test code]],[1]!Table1[[Test code]:[Test code]],[1]!Table1[HFR 10 mM KOH/ mOhm cm2],"",0)</f>
        <v>#REF!</v>
      </c>
      <c r="AF898" s="69" t="e" cm="1">
        <f t="array" ref="AF898">_xlfn.XLOOKUP(Table1[[#This Row],[5 cm2 cell test code]:[5 cm2 cell test code]],[1]!Table1[[Test code]:[Test code]],[1]!Table1[Ionic resistance DIW/Ohm cm2],"",0)</f>
        <v>#REF!</v>
      </c>
      <c r="AG898" s="69" t="e" cm="1">
        <f t="array" ref="AG898">_xlfn.XLOOKUP(Table1[[#This Row],[5 cm2 cell test code]:[5 cm2 cell test code]],[1]!Table1[[Test code]:[Test code]],[1]!Table1[Q_int_frac DIW],"",0)</f>
        <v>#REF!</v>
      </c>
      <c r="AH898" s="69" t="e" cm="1">
        <f t="array" ref="AH898">_xlfn.XLOOKUP(Table1[[#This Row],[5 cm2 cell test code]:[5 cm2 cell test code]],[1]!Table1[[Test code]:[Test code]],[1]!Table1[Ionic resistance 10 mM KOH/Ohm cm2],"",0)</f>
        <v>#REF!</v>
      </c>
      <c r="AI898" s="69" t="e" cm="1">
        <f t="array" ref="AI898">_xlfn.XLOOKUP(Table1[[#This Row],[5 cm2 cell test code]:[5 cm2 cell test code]],[1]!Table1[[Test code]:[Test code]],[1]!Table1[Q_int_frac DIW 10 mM KOH],"",0)</f>
        <v>#REF!</v>
      </c>
      <c r="AJ898" s="69" t="e" cm="1">
        <f t="array" ref="AJ898">_xlfn.XLOOKUP(Table1[[#This Row],[5 cm2 cell test code]:[5 cm2 cell test code]],[1]!Table1[[Test code]:[Test code]],[1]!Table1[DIW conductivity (µS/cm)],"",0)</f>
        <v>#REF!</v>
      </c>
    </row>
    <row r="899" spans="1:36">
      <c r="A899" s="81"/>
      <c r="U899" s="101"/>
      <c r="V899" s="101"/>
      <c r="W899" s="69" t="e" cm="1">
        <f t="array" ref="W899">_xlfn.XLOOKUP(Table1[[#This Row],[5 cm2 cell test code]:[5 cm2 cell test code]],[1]!Table1[[Test code]:[Test code]],[1]!Table1[i @ 1.8 V DIW (A/cm2)],"",0)</f>
        <v>#REF!</v>
      </c>
      <c r="X899" s="69" t="e" cm="1">
        <f t="array" ref="X899">_xlfn.XLOOKUP(Table1[[#This Row],[5 cm2 cell test code]:[5 cm2 cell test code]],[1]!Table1[[Test code]:[Test code]],[1]!Table1[i @ 1.8 V 10 mM KOH (A/cm2)],"",0)</f>
        <v>#REF!</v>
      </c>
      <c r="Y899" s="69" t="e" cm="1">
        <f t="array" ref="Y899">_xlfn.XLOOKUP(Table1[[#This Row],[5 cm2 cell test code]:[5 cm2 cell test code]],[1]!Table1[[Test code]:[Test code]],[1]!Table1[3-E ƞ at 20mAcm-2 (mV)],"",0)</f>
        <v>#REF!</v>
      </c>
      <c r="Z899" s="69" t="e" cm="1">
        <f t="array" ref="Z899">_xlfn.XLOOKUP(Table1[[#This Row],[5 cm2 cell test code]:[5 cm2 cell test code]],[1]!Table1[[Test code]:[Test code]],[1]!Table1[3-E Tafel slope (mV/dec)],"",0)</f>
        <v>#REF!</v>
      </c>
      <c r="AA899" s="69" t="e" cm="1">
        <f t="array" ref="AA899">_xlfn.XLOOKUP(Table1[[#This Row],[5 cm2 cell test code]:[5 cm2 cell test code]],[1]!Table1[[Test code]:[Test code]],[1]!Table1[E @ 100 mA/cm2 DIW/V],"",0)</f>
        <v>#REF!</v>
      </c>
      <c r="AB899" s="69" t="e" cm="1">
        <f t="array" ref="AB899">_xlfn.XLOOKUP(Table1[[#This Row],[5 cm2 cell test code]:[5 cm2 cell test code]],[1]!Table1[[Test code]:[Test code]],[1]!Table1[E @ 100 mA/cm2 10 mM KOH/V],"",0)</f>
        <v>#REF!</v>
      </c>
      <c r="AC899" s="69" t="e" cm="1">
        <f t="array" ref="AC899">_xlfn.XLOOKUP(Table1[[#This Row],[5 cm2 cell test code]:[5 cm2 cell test code]],[1]!Table1[[Test code]:[Test code]],[1]!Table1[Anode ICR/mOhm],"",0)</f>
        <v>#REF!</v>
      </c>
      <c r="AD899" s="69" t="e" cm="1">
        <f t="array" ref="AD899">_xlfn.XLOOKUP(Table1[[#This Row],[5 cm2 cell test code]:[5 cm2 cell test code]],[1]!Table1[[Test code]:[Test code]],[1]!Table1[HFR DIW/ mOhm cm2],"",0)</f>
        <v>#REF!</v>
      </c>
      <c r="AE899" s="69" t="e" cm="1">
        <f t="array" ref="AE899">_xlfn.XLOOKUP(Table1[[#This Row],[5 cm2 cell test code]:[5 cm2 cell test code]],[1]!Table1[[Test code]:[Test code]],[1]!Table1[HFR 10 mM KOH/ mOhm cm2],"",0)</f>
        <v>#REF!</v>
      </c>
      <c r="AF899" s="69" t="e" cm="1">
        <f t="array" ref="AF899">_xlfn.XLOOKUP(Table1[[#This Row],[5 cm2 cell test code]:[5 cm2 cell test code]],[1]!Table1[[Test code]:[Test code]],[1]!Table1[Ionic resistance DIW/Ohm cm2],"",0)</f>
        <v>#REF!</v>
      </c>
      <c r="AG899" s="69" t="e" cm="1">
        <f t="array" ref="AG899">_xlfn.XLOOKUP(Table1[[#This Row],[5 cm2 cell test code]:[5 cm2 cell test code]],[1]!Table1[[Test code]:[Test code]],[1]!Table1[Q_int_frac DIW],"",0)</f>
        <v>#REF!</v>
      </c>
      <c r="AH899" s="69" t="e" cm="1">
        <f t="array" ref="AH899">_xlfn.XLOOKUP(Table1[[#This Row],[5 cm2 cell test code]:[5 cm2 cell test code]],[1]!Table1[[Test code]:[Test code]],[1]!Table1[Ionic resistance 10 mM KOH/Ohm cm2],"",0)</f>
        <v>#REF!</v>
      </c>
      <c r="AI899" s="69" t="e" cm="1">
        <f t="array" ref="AI899">_xlfn.XLOOKUP(Table1[[#This Row],[5 cm2 cell test code]:[5 cm2 cell test code]],[1]!Table1[[Test code]:[Test code]],[1]!Table1[Q_int_frac DIW 10 mM KOH],"",0)</f>
        <v>#REF!</v>
      </c>
      <c r="AJ899" s="69" t="e" cm="1">
        <f t="array" ref="AJ899">_xlfn.XLOOKUP(Table1[[#This Row],[5 cm2 cell test code]:[5 cm2 cell test code]],[1]!Table1[[Test code]:[Test code]],[1]!Table1[DIW conductivity (µS/cm)],"",0)</f>
        <v>#REF!</v>
      </c>
    </row>
    <row r="900" spans="1:36">
      <c r="A900" s="81"/>
      <c r="U900" s="101"/>
      <c r="V900" s="101"/>
      <c r="W900" s="69" t="e" cm="1">
        <f t="array" ref="W900">_xlfn.XLOOKUP(Table1[[#This Row],[5 cm2 cell test code]:[5 cm2 cell test code]],[1]!Table1[[Test code]:[Test code]],[1]!Table1[i @ 1.8 V DIW (A/cm2)],"",0)</f>
        <v>#REF!</v>
      </c>
      <c r="X900" s="69" t="e" cm="1">
        <f t="array" ref="X900">_xlfn.XLOOKUP(Table1[[#This Row],[5 cm2 cell test code]:[5 cm2 cell test code]],[1]!Table1[[Test code]:[Test code]],[1]!Table1[i @ 1.8 V 10 mM KOH (A/cm2)],"",0)</f>
        <v>#REF!</v>
      </c>
      <c r="Y900" s="69" t="e" cm="1">
        <f t="array" ref="Y900">_xlfn.XLOOKUP(Table1[[#This Row],[5 cm2 cell test code]:[5 cm2 cell test code]],[1]!Table1[[Test code]:[Test code]],[1]!Table1[3-E ƞ at 20mAcm-2 (mV)],"",0)</f>
        <v>#REF!</v>
      </c>
      <c r="Z900" s="69" t="e" cm="1">
        <f t="array" ref="Z900">_xlfn.XLOOKUP(Table1[[#This Row],[5 cm2 cell test code]:[5 cm2 cell test code]],[1]!Table1[[Test code]:[Test code]],[1]!Table1[3-E Tafel slope (mV/dec)],"",0)</f>
        <v>#REF!</v>
      </c>
      <c r="AA900" s="69" t="e" cm="1">
        <f t="array" ref="AA900">_xlfn.XLOOKUP(Table1[[#This Row],[5 cm2 cell test code]:[5 cm2 cell test code]],[1]!Table1[[Test code]:[Test code]],[1]!Table1[E @ 100 mA/cm2 DIW/V],"",0)</f>
        <v>#REF!</v>
      </c>
      <c r="AB900" s="69" t="e" cm="1">
        <f t="array" ref="AB900">_xlfn.XLOOKUP(Table1[[#This Row],[5 cm2 cell test code]:[5 cm2 cell test code]],[1]!Table1[[Test code]:[Test code]],[1]!Table1[E @ 100 mA/cm2 10 mM KOH/V],"",0)</f>
        <v>#REF!</v>
      </c>
      <c r="AC900" s="69" t="e" cm="1">
        <f t="array" ref="AC900">_xlfn.XLOOKUP(Table1[[#This Row],[5 cm2 cell test code]:[5 cm2 cell test code]],[1]!Table1[[Test code]:[Test code]],[1]!Table1[Anode ICR/mOhm],"",0)</f>
        <v>#REF!</v>
      </c>
      <c r="AD900" s="69" t="e" cm="1">
        <f t="array" ref="AD900">_xlfn.XLOOKUP(Table1[[#This Row],[5 cm2 cell test code]:[5 cm2 cell test code]],[1]!Table1[[Test code]:[Test code]],[1]!Table1[HFR DIW/ mOhm cm2],"",0)</f>
        <v>#REF!</v>
      </c>
      <c r="AE900" s="69" t="e" cm="1">
        <f t="array" ref="AE900">_xlfn.XLOOKUP(Table1[[#This Row],[5 cm2 cell test code]:[5 cm2 cell test code]],[1]!Table1[[Test code]:[Test code]],[1]!Table1[HFR 10 mM KOH/ mOhm cm2],"",0)</f>
        <v>#REF!</v>
      </c>
      <c r="AF900" s="69" t="e" cm="1">
        <f t="array" ref="AF900">_xlfn.XLOOKUP(Table1[[#This Row],[5 cm2 cell test code]:[5 cm2 cell test code]],[1]!Table1[[Test code]:[Test code]],[1]!Table1[Ionic resistance DIW/Ohm cm2],"",0)</f>
        <v>#REF!</v>
      </c>
      <c r="AG900" s="69" t="e" cm="1">
        <f t="array" ref="AG900">_xlfn.XLOOKUP(Table1[[#This Row],[5 cm2 cell test code]:[5 cm2 cell test code]],[1]!Table1[[Test code]:[Test code]],[1]!Table1[Q_int_frac DIW],"",0)</f>
        <v>#REF!</v>
      </c>
      <c r="AH900" s="69" t="e" cm="1">
        <f t="array" ref="AH900">_xlfn.XLOOKUP(Table1[[#This Row],[5 cm2 cell test code]:[5 cm2 cell test code]],[1]!Table1[[Test code]:[Test code]],[1]!Table1[Ionic resistance 10 mM KOH/Ohm cm2],"",0)</f>
        <v>#REF!</v>
      </c>
      <c r="AI900" s="69" t="e" cm="1">
        <f t="array" ref="AI900">_xlfn.XLOOKUP(Table1[[#This Row],[5 cm2 cell test code]:[5 cm2 cell test code]],[1]!Table1[[Test code]:[Test code]],[1]!Table1[Q_int_frac DIW 10 mM KOH],"",0)</f>
        <v>#REF!</v>
      </c>
      <c r="AJ900" s="69" t="e" cm="1">
        <f t="array" ref="AJ900">_xlfn.XLOOKUP(Table1[[#This Row],[5 cm2 cell test code]:[5 cm2 cell test code]],[1]!Table1[[Test code]:[Test code]],[1]!Table1[DIW conductivity (µS/cm)],"",0)</f>
        <v>#REF!</v>
      </c>
    </row>
    <row r="901" spans="1:36">
      <c r="A901" s="81"/>
      <c r="U901" s="101"/>
      <c r="V901" s="101"/>
      <c r="W901" s="69" t="e" cm="1">
        <f t="array" ref="W901">_xlfn.XLOOKUP(Table1[[#This Row],[5 cm2 cell test code]:[5 cm2 cell test code]],[1]!Table1[[Test code]:[Test code]],[1]!Table1[i @ 1.8 V DIW (A/cm2)],"",0)</f>
        <v>#REF!</v>
      </c>
      <c r="X901" s="69" t="e" cm="1">
        <f t="array" ref="X901">_xlfn.XLOOKUP(Table1[[#This Row],[5 cm2 cell test code]:[5 cm2 cell test code]],[1]!Table1[[Test code]:[Test code]],[1]!Table1[i @ 1.8 V 10 mM KOH (A/cm2)],"",0)</f>
        <v>#REF!</v>
      </c>
      <c r="Y901" s="69" t="e" cm="1">
        <f t="array" ref="Y901">_xlfn.XLOOKUP(Table1[[#This Row],[5 cm2 cell test code]:[5 cm2 cell test code]],[1]!Table1[[Test code]:[Test code]],[1]!Table1[3-E ƞ at 20mAcm-2 (mV)],"",0)</f>
        <v>#REF!</v>
      </c>
      <c r="Z901" s="69" t="e" cm="1">
        <f t="array" ref="Z901">_xlfn.XLOOKUP(Table1[[#This Row],[5 cm2 cell test code]:[5 cm2 cell test code]],[1]!Table1[[Test code]:[Test code]],[1]!Table1[3-E Tafel slope (mV/dec)],"",0)</f>
        <v>#REF!</v>
      </c>
      <c r="AA901" s="69" t="e" cm="1">
        <f t="array" ref="AA901">_xlfn.XLOOKUP(Table1[[#This Row],[5 cm2 cell test code]:[5 cm2 cell test code]],[1]!Table1[[Test code]:[Test code]],[1]!Table1[E @ 100 mA/cm2 DIW/V],"",0)</f>
        <v>#REF!</v>
      </c>
      <c r="AB901" s="69" t="e" cm="1">
        <f t="array" ref="AB901">_xlfn.XLOOKUP(Table1[[#This Row],[5 cm2 cell test code]:[5 cm2 cell test code]],[1]!Table1[[Test code]:[Test code]],[1]!Table1[E @ 100 mA/cm2 10 mM KOH/V],"",0)</f>
        <v>#REF!</v>
      </c>
      <c r="AC901" s="69" t="e" cm="1">
        <f t="array" ref="AC901">_xlfn.XLOOKUP(Table1[[#This Row],[5 cm2 cell test code]:[5 cm2 cell test code]],[1]!Table1[[Test code]:[Test code]],[1]!Table1[Anode ICR/mOhm],"",0)</f>
        <v>#REF!</v>
      </c>
      <c r="AD901" s="69" t="e" cm="1">
        <f t="array" ref="AD901">_xlfn.XLOOKUP(Table1[[#This Row],[5 cm2 cell test code]:[5 cm2 cell test code]],[1]!Table1[[Test code]:[Test code]],[1]!Table1[HFR DIW/ mOhm cm2],"",0)</f>
        <v>#REF!</v>
      </c>
      <c r="AE901" s="69" t="e" cm="1">
        <f t="array" ref="AE901">_xlfn.XLOOKUP(Table1[[#This Row],[5 cm2 cell test code]:[5 cm2 cell test code]],[1]!Table1[[Test code]:[Test code]],[1]!Table1[HFR 10 mM KOH/ mOhm cm2],"",0)</f>
        <v>#REF!</v>
      </c>
      <c r="AF901" s="69" t="e" cm="1">
        <f t="array" ref="AF901">_xlfn.XLOOKUP(Table1[[#This Row],[5 cm2 cell test code]:[5 cm2 cell test code]],[1]!Table1[[Test code]:[Test code]],[1]!Table1[Ionic resistance DIW/Ohm cm2],"",0)</f>
        <v>#REF!</v>
      </c>
      <c r="AG901" s="69" t="e" cm="1">
        <f t="array" ref="AG901">_xlfn.XLOOKUP(Table1[[#This Row],[5 cm2 cell test code]:[5 cm2 cell test code]],[1]!Table1[[Test code]:[Test code]],[1]!Table1[Q_int_frac DIW],"",0)</f>
        <v>#REF!</v>
      </c>
      <c r="AH901" s="69" t="e" cm="1">
        <f t="array" ref="AH901">_xlfn.XLOOKUP(Table1[[#This Row],[5 cm2 cell test code]:[5 cm2 cell test code]],[1]!Table1[[Test code]:[Test code]],[1]!Table1[Ionic resistance 10 mM KOH/Ohm cm2],"",0)</f>
        <v>#REF!</v>
      </c>
      <c r="AI901" s="69" t="e" cm="1">
        <f t="array" ref="AI901">_xlfn.XLOOKUP(Table1[[#This Row],[5 cm2 cell test code]:[5 cm2 cell test code]],[1]!Table1[[Test code]:[Test code]],[1]!Table1[Q_int_frac DIW 10 mM KOH],"",0)</f>
        <v>#REF!</v>
      </c>
      <c r="AJ901" s="69" t="e" cm="1">
        <f t="array" ref="AJ901">_xlfn.XLOOKUP(Table1[[#This Row],[5 cm2 cell test code]:[5 cm2 cell test code]],[1]!Table1[[Test code]:[Test code]],[1]!Table1[DIW conductivity (µS/cm)],"",0)</f>
        <v>#REF!</v>
      </c>
    </row>
    <row r="902" spans="1:36">
      <c r="A902" s="81"/>
      <c r="U902" s="101"/>
      <c r="V902" s="101"/>
      <c r="W902" s="69" t="e" cm="1">
        <f t="array" ref="W902">_xlfn.XLOOKUP(Table1[[#This Row],[5 cm2 cell test code]:[5 cm2 cell test code]],[1]!Table1[[Test code]:[Test code]],[1]!Table1[i @ 1.8 V DIW (A/cm2)],"",0)</f>
        <v>#REF!</v>
      </c>
      <c r="X902" s="69" t="e" cm="1">
        <f t="array" ref="X902">_xlfn.XLOOKUP(Table1[[#This Row],[5 cm2 cell test code]:[5 cm2 cell test code]],[1]!Table1[[Test code]:[Test code]],[1]!Table1[i @ 1.8 V 10 mM KOH (A/cm2)],"",0)</f>
        <v>#REF!</v>
      </c>
      <c r="Y902" s="69" t="e" cm="1">
        <f t="array" ref="Y902">_xlfn.XLOOKUP(Table1[[#This Row],[5 cm2 cell test code]:[5 cm2 cell test code]],[1]!Table1[[Test code]:[Test code]],[1]!Table1[3-E ƞ at 20mAcm-2 (mV)],"",0)</f>
        <v>#REF!</v>
      </c>
      <c r="Z902" s="69" t="e" cm="1">
        <f t="array" ref="Z902">_xlfn.XLOOKUP(Table1[[#This Row],[5 cm2 cell test code]:[5 cm2 cell test code]],[1]!Table1[[Test code]:[Test code]],[1]!Table1[3-E Tafel slope (mV/dec)],"",0)</f>
        <v>#REF!</v>
      </c>
      <c r="AA902" s="69" t="e" cm="1">
        <f t="array" ref="AA902">_xlfn.XLOOKUP(Table1[[#This Row],[5 cm2 cell test code]:[5 cm2 cell test code]],[1]!Table1[[Test code]:[Test code]],[1]!Table1[E @ 100 mA/cm2 DIW/V],"",0)</f>
        <v>#REF!</v>
      </c>
      <c r="AB902" s="69" t="e" cm="1">
        <f t="array" ref="AB902">_xlfn.XLOOKUP(Table1[[#This Row],[5 cm2 cell test code]:[5 cm2 cell test code]],[1]!Table1[[Test code]:[Test code]],[1]!Table1[E @ 100 mA/cm2 10 mM KOH/V],"",0)</f>
        <v>#REF!</v>
      </c>
      <c r="AC902" s="69" t="e" cm="1">
        <f t="array" ref="AC902">_xlfn.XLOOKUP(Table1[[#This Row],[5 cm2 cell test code]:[5 cm2 cell test code]],[1]!Table1[[Test code]:[Test code]],[1]!Table1[Anode ICR/mOhm],"",0)</f>
        <v>#REF!</v>
      </c>
      <c r="AD902" s="69" t="e" cm="1">
        <f t="array" ref="AD902">_xlfn.XLOOKUP(Table1[[#This Row],[5 cm2 cell test code]:[5 cm2 cell test code]],[1]!Table1[[Test code]:[Test code]],[1]!Table1[HFR DIW/ mOhm cm2],"",0)</f>
        <v>#REF!</v>
      </c>
      <c r="AE902" s="69" t="e" cm="1">
        <f t="array" ref="AE902">_xlfn.XLOOKUP(Table1[[#This Row],[5 cm2 cell test code]:[5 cm2 cell test code]],[1]!Table1[[Test code]:[Test code]],[1]!Table1[HFR 10 mM KOH/ mOhm cm2],"",0)</f>
        <v>#REF!</v>
      </c>
      <c r="AF902" s="69" t="e" cm="1">
        <f t="array" ref="AF902">_xlfn.XLOOKUP(Table1[[#This Row],[5 cm2 cell test code]:[5 cm2 cell test code]],[1]!Table1[[Test code]:[Test code]],[1]!Table1[Ionic resistance DIW/Ohm cm2],"",0)</f>
        <v>#REF!</v>
      </c>
      <c r="AG902" s="69" t="e" cm="1">
        <f t="array" ref="AG902">_xlfn.XLOOKUP(Table1[[#This Row],[5 cm2 cell test code]:[5 cm2 cell test code]],[1]!Table1[[Test code]:[Test code]],[1]!Table1[Q_int_frac DIW],"",0)</f>
        <v>#REF!</v>
      </c>
      <c r="AH902" s="69" t="e" cm="1">
        <f t="array" ref="AH902">_xlfn.XLOOKUP(Table1[[#This Row],[5 cm2 cell test code]:[5 cm2 cell test code]],[1]!Table1[[Test code]:[Test code]],[1]!Table1[Ionic resistance 10 mM KOH/Ohm cm2],"",0)</f>
        <v>#REF!</v>
      </c>
      <c r="AI902" s="69" t="e" cm="1">
        <f t="array" ref="AI902">_xlfn.XLOOKUP(Table1[[#This Row],[5 cm2 cell test code]:[5 cm2 cell test code]],[1]!Table1[[Test code]:[Test code]],[1]!Table1[Q_int_frac DIW 10 mM KOH],"",0)</f>
        <v>#REF!</v>
      </c>
      <c r="AJ902" s="69" t="e" cm="1">
        <f t="array" ref="AJ902">_xlfn.XLOOKUP(Table1[[#This Row],[5 cm2 cell test code]:[5 cm2 cell test code]],[1]!Table1[[Test code]:[Test code]],[1]!Table1[DIW conductivity (µS/cm)],"",0)</f>
        <v>#REF!</v>
      </c>
    </row>
    <row r="903" spans="1:36">
      <c r="A903" s="81"/>
      <c r="U903" s="101"/>
      <c r="V903" s="101"/>
      <c r="W903" s="69" t="e" cm="1">
        <f t="array" ref="W903">_xlfn.XLOOKUP(Table1[[#This Row],[5 cm2 cell test code]:[5 cm2 cell test code]],[1]!Table1[[Test code]:[Test code]],[1]!Table1[i @ 1.8 V DIW (A/cm2)],"",0)</f>
        <v>#REF!</v>
      </c>
      <c r="X903" s="69" t="e" cm="1">
        <f t="array" ref="X903">_xlfn.XLOOKUP(Table1[[#This Row],[5 cm2 cell test code]:[5 cm2 cell test code]],[1]!Table1[[Test code]:[Test code]],[1]!Table1[i @ 1.8 V 10 mM KOH (A/cm2)],"",0)</f>
        <v>#REF!</v>
      </c>
      <c r="Y903" s="69" t="e" cm="1">
        <f t="array" ref="Y903">_xlfn.XLOOKUP(Table1[[#This Row],[5 cm2 cell test code]:[5 cm2 cell test code]],[1]!Table1[[Test code]:[Test code]],[1]!Table1[3-E ƞ at 20mAcm-2 (mV)],"",0)</f>
        <v>#REF!</v>
      </c>
      <c r="Z903" s="69" t="e" cm="1">
        <f t="array" ref="Z903">_xlfn.XLOOKUP(Table1[[#This Row],[5 cm2 cell test code]:[5 cm2 cell test code]],[1]!Table1[[Test code]:[Test code]],[1]!Table1[3-E Tafel slope (mV/dec)],"",0)</f>
        <v>#REF!</v>
      </c>
      <c r="AA903" s="69" t="e" cm="1">
        <f t="array" ref="AA903">_xlfn.XLOOKUP(Table1[[#This Row],[5 cm2 cell test code]:[5 cm2 cell test code]],[1]!Table1[[Test code]:[Test code]],[1]!Table1[E @ 100 mA/cm2 DIW/V],"",0)</f>
        <v>#REF!</v>
      </c>
      <c r="AB903" s="69" t="e" cm="1">
        <f t="array" ref="AB903">_xlfn.XLOOKUP(Table1[[#This Row],[5 cm2 cell test code]:[5 cm2 cell test code]],[1]!Table1[[Test code]:[Test code]],[1]!Table1[E @ 100 mA/cm2 10 mM KOH/V],"",0)</f>
        <v>#REF!</v>
      </c>
      <c r="AC903" s="69" t="e" cm="1">
        <f t="array" ref="AC903">_xlfn.XLOOKUP(Table1[[#This Row],[5 cm2 cell test code]:[5 cm2 cell test code]],[1]!Table1[[Test code]:[Test code]],[1]!Table1[Anode ICR/mOhm],"",0)</f>
        <v>#REF!</v>
      </c>
      <c r="AD903" s="69" t="e" cm="1">
        <f t="array" ref="AD903">_xlfn.XLOOKUP(Table1[[#This Row],[5 cm2 cell test code]:[5 cm2 cell test code]],[1]!Table1[[Test code]:[Test code]],[1]!Table1[HFR DIW/ mOhm cm2],"",0)</f>
        <v>#REF!</v>
      </c>
      <c r="AE903" s="69" t="e" cm="1">
        <f t="array" ref="AE903">_xlfn.XLOOKUP(Table1[[#This Row],[5 cm2 cell test code]:[5 cm2 cell test code]],[1]!Table1[[Test code]:[Test code]],[1]!Table1[HFR 10 mM KOH/ mOhm cm2],"",0)</f>
        <v>#REF!</v>
      </c>
      <c r="AF903" s="69" t="e" cm="1">
        <f t="array" ref="AF903">_xlfn.XLOOKUP(Table1[[#This Row],[5 cm2 cell test code]:[5 cm2 cell test code]],[1]!Table1[[Test code]:[Test code]],[1]!Table1[Ionic resistance DIW/Ohm cm2],"",0)</f>
        <v>#REF!</v>
      </c>
      <c r="AG903" s="69" t="e" cm="1">
        <f t="array" ref="AG903">_xlfn.XLOOKUP(Table1[[#This Row],[5 cm2 cell test code]:[5 cm2 cell test code]],[1]!Table1[[Test code]:[Test code]],[1]!Table1[Q_int_frac DIW],"",0)</f>
        <v>#REF!</v>
      </c>
      <c r="AH903" s="69" t="e" cm="1">
        <f t="array" ref="AH903">_xlfn.XLOOKUP(Table1[[#This Row],[5 cm2 cell test code]:[5 cm2 cell test code]],[1]!Table1[[Test code]:[Test code]],[1]!Table1[Ionic resistance 10 mM KOH/Ohm cm2],"",0)</f>
        <v>#REF!</v>
      </c>
      <c r="AI903" s="69" t="e" cm="1">
        <f t="array" ref="AI903">_xlfn.XLOOKUP(Table1[[#This Row],[5 cm2 cell test code]:[5 cm2 cell test code]],[1]!Table1[[Test code]:[Test code]],[1]!Table1[Q_int_frac DIW 10 mM KOH],"",0)</f>
        <v>#REF!</v>
      </c>
      <c r="AJ903" s="69" t="e" cm="1">
        <f t="array" ref="AJ903">_xlfn.XLOOKUP(Table1[[#This Row],[5 cm2 cell test code]:[5 cm2 cell test code]],[1]!Table1[[Test code]:[Test code]],[1]!Table1[DIW conductivity (µS/cm)],"",0)</f>
        <v>#REF!</v>
      </c>
    </row>
    <row r="904" spans="1:36">
      <c r="A904" s="81"/>
      <c r="U904" s="101"/>
      <c r="V904" s="101"/>
      <c r="W904" s="69" t="e" cm="1">
        <f t="array" ref="W904">_xlfn.XLOOKUP(Table1[[#This Row],[5 cm2 cell test code]:[5 cm2 cell test code]],[1]!Table1[[Test code]:[Test code]],[1]!Table1[i @ 1.8 V DIW (A/cm2)],"",0)</f>
        <v>#REF!</v>
      </c>
      <c r="X904" s="69" t="e" cm="1">
        <f t="array" ref="X904">_xlfn.XLOOKUP(Table1[[#This Row],[5 cm2 cell test code]:[5 cm2 cell test code]],[1]!Table1[[Test code]:[Test code]],[1]!Table1[i @ 1.8 V 10 mM KOH (A/cm2)],"",0)</f>
        <v>#REF!</v>
      </c>
      <c r="Y904" s="69" t="e" cm="1">
        <f t="array" ref="Y904">_xlfn.XLOOKUP(Table1[[#This Row],[5 cm2 cell test code]:[5 cm2 cell test code]],[1]!Table1[[Test code]:[Test code]],[1]!Table1[3-E ƞ at 20mAcm-2 (mV)],"",0)</f>
        <v>#REF!</v>
      </c>
      <c r="Z904" s="69" t="e" cm="1">
        <f t="array" ref="Z904">_xlfn.XLOOKUP(Table1[[#This Row],[5 cm2 cell test code]:[5 cm2 cell test code]],[1]!Table1[[Test code]:[Test code]],[1]!Table1[3-E Tafel slope (mV/dec)],"",0)</f>
        <v>#REF!</v>
      </c>
      <c r="AA904" s="69" t="e" cm="1">
        <f t="array" ref="AA904">_xlfn.XLOOKUP(Table1[[#This Row],[5 cm2 cell test code]:[5 cm2 cell test code]],[1]!Table1[[Test code]:[Test code]],[1]!Table1[E @ 100 mA/cm2 DIW/V],"",0)</f>
        <v>#REF!</v>
      </c>
      <c r="AB904" s="69" t="e" cm="1">
        <f t="array" ref="AB904">_xlfn.XLOOKUP(Table1[[#This Row],[5 cm2 cell test code]:[5 cm2 cell test code]],[1]!Table1[[Test code]:[Test code]],[1]!Table1[E @ 100 mA/cm2 10 mM KOH/V],"",0)</f>
        <v>#REF!</v>
      </c>
      <c r="AC904" s="69" t="e" cm="1">
        <f t="array" ref="AC904">_xlfn.XLOOKUP(Table1[[#This Row],[5 cm2 cell test code]:[5 cm2 cell test code]],[1]!Table1[[Test code]:[Test code]],[1]!Table1[Anode ICR/mOhm],"",0)</f>
        <v>#REF!</v>
      </c>
      <c r="AD904" s="69" t="e" cm="1">
        <f t="array" ref="AD904">_xlfn.XLOOKUP(Table1[[#This Row],[5 cm2 cell test code]:[5 cm2 cell test code]],[1]!Table1[[Test code]:[Test code]],[1]!Table1[HFR DIW/ mOhm cm2],"",0)</f>
        <v>#REF!</v>
      </c>
      <c r="AE904" s="69" t="e" cm="1">
        <f t="array" ref="AE904">_xlfn.XLOOKUP(Table1[[#This Row],[5 cm2 cell test code]:[5 cm2 cell test code]],[1]!Table1[[Test code]:[Test code]],[1]!Table1[HFR 10 mM KOH/ mOhm cm2],"",0)</f>
        <v>#REF!</v>
      </c>
      <c r="AF904" s="69" t="e" cm="1">
        <f t="array" ref="AF904">_xlfn.XLOOKUP(Table1[[#This Row],[5 cm2 cell test code]:[5 cm2 cell test code]],[1]!Table1[[Test code]:[Test code]],[1]!Table1[Ionic resistance DIW/Ohm cm2],"",0)</f>
        <v>#REF!</v>
      </c>
      <c r="AG904" s="69" t="e" cm="1">
        <f t="array" ref="AG904">_xlfn.XLOOKUP(Table1[[#This Row],[5 cm2 cell test code]:[5 cm2 cell test code]],[1]!Table1[[Test code]:[Test code]],[1]!Table1[Q_int_frac DIW],"",0)</f>
        <v>#REF!</v>
      </c>
      <c r="AH904" s="69" t="e" cm="1">
        <f t="array" ref="AH904">_xlfn.XLOOKUP(Table1[[#This Row],[5 cm2 cell test code]:[5 cm2 cell test code]],[1]!Table1[[Test code]:[Test code]],[1]!Table1[Ionic resistance 10 mM KOH/Ohm cm2],"",0)</f>
        <v>#REF!</v>
      </c>
      <c r="AI904" s="69" t="e" cm="1">
        <f t="array" ref="AI904">_xlfn.XLOOKUP(Table1[[#This Row],[5 cm2 cell test code]:[5 cm2 cell test code]],[1]!Table1[[Test code]:[Test code]],[1]!Table1[Q_int_frac DIW 10 mM KOH],"",0)</f>
        <v>#REF!</v>
      </c>
      <c r="AJ904" s="69" t="e" cm="1">
        <f t="array" ref="AJ904">_xlfn.XLOOKUP(Table1[[#This Row],[5 cm2 cell test code]:[5 cm2 cell test code]],[1]!Table1[[Test code]:[Test code]],[1]!Table1[DIW conductivity (µS/cm)],"",0)</f>
        <v>#REF!</v>
      </c>
    </row>
    <row r="905" spans="1:36">
      <c r="A905" s="81"/>
      <c r="U905" s="101"/>
      <c r="V905" s="101"/>
      <c r="W905" s="69" t="e" cm="1">
        <f t="array" ref="W905">_xlfn.XLOOKUP(Table1[[#This Row],[5 cm2 cell test code]:[5 cm2 cell test code]],[1]!Table1[[Test code]:[Test code]],[1]!Table1[i @ 1.8 V DIW (A/cm2)],"",0)</f>
        <v>#REF!</v>
      </c>
      <c r="X905" s="69" t="e" cm="1">
        <f t="array" ref="X905">_xlfn.XLOOKUP(Table1[[#This Row],[5 cm2 cell test code]:[5 cm2 cell test code]],[1]!Table1[[Test code]:[Test code]],[1]!Table1[i @ 1.8 V 10 mM KOH (A/cm2)],"",0)</f>
        <v>#REF!</v>
      </c>
      <c r="Y905" s="69" t="e" cm="1">
        <f t="array" ref="Y905">_xlfn.XLOOKUP(Table1[[#This Row],[5 cm2 cell test code]:[5 cm2 cell test code]],[1]!Table1[[Test code]:[Test code]],[1]!Table1[3-E ƞ at 20mAcm-2 (mV)],"",0)</f>
        <v>#REF!</v>
      </c>
      <c r="Z905" s="69" t="e" cm="1">
        <f t="array" ref="Z905">_xlfn.XLOOKUP(Table1[[#This Row],[5 cm2 cell test code]:[5 cm2 cell test code]],[1]!Table1[[Test code]:[Test code]],[1]!Table1[3-E Tafel slope (mV/dec)],"",0)</f>
        <v>#REF!</v>
      </c>
      <c r="AA905" s="69" t="e" cm="1">
        <f t="array" ref="AA905">_xlfn.XLOOKUP(Table1[[#This Row],[5 cm2 cell test code]:[5 cm2 cell test code]],[1]!Table1[[Test code]:[Test code]],[1]!Table1[E @ 100 mA/cm2 DIW/V],"",0)</f>
        <v>#REF!</v>
      </c>
      <c r="AB905" s="69" t="e" cm="1">
        <f t="array" ref="AB905">_xlfn.XLOOKUP(Table1[[#This Row],[5 cm2 cell test code]:[5 cm2 cell test code]],[1]!Table1[[Test code]:[Test code]],[1]!Table1[E @ 100 mA/cm2 10 mM KOH/V],"",0)</f>
        <v>#REF!</v>
      </c>
      <c r="AC905" s="69" t="e" cm="1">
        <f t="array" ref="AC905">_xlfn.XLOOKUP(Table1[[#This Row],[5 cm2 cell test code]:[5 cm2 cell test code]],[1]!Table1[[Test code]:[Test code]],[1]!Table1[Anode ICR/mOhm],"",0)</f>
        <v>#REF!</v>
      </c>
      <c r="AD905" s="69" t="e" cm="1">
        <f t="array" ref="AD905">_xlfn.XLOOKUP(Table1[[#This Row],[5 cm2 cell test code]:[5 cm2 cell test code]],[1]!Table1[[Test code]:[Test code]],[1]!Table1[HFR DIW/ mOhm cm2],"",0)</f>
        <v>#REF!</v>
      </c>
      <c r="AE905" s="69" t="e" cm="1">
        <f t="array" ref="AE905">_xlfn.XLOOKUP(Table1[[#This Row],[5 cm2 cell test code]:[5 cm2 cell test code]],[1]!Table1[[Test code]:[Test code]],[1]!Table1[HFR 10 mM KOH/ mOhm cm2],"",0)</f>
        <v>#REF!</v>
      </c>
      <c r="AF905" s="69" t="e" cm="1">
        <f t="array" ref="AF905">_xlfn.XLOOKUP(Table1[[#This Row],[5 cm2 cell test code]:[5 cm2 cell test code]],[1]!Table1[[Test code]:[Test code]],[1]!Table1[Ionic resistance DIW/Ohm cm2],"",0)</f>
        <v>#REF!</v>
      </c>
      <c r="AG905" s="69" t="e" cm="1">
        <f t="array" ref="AG905">_xlfn.XLOOKUP(Table1[[#This Row],[5 cm2 cell test code]:[5 cm2 cell test code]],[1]!Table1[[Test code]:[Test code]],[1]!Table1[Q_int_frac DIW],"",0)</f>
        <v>#REF!</v>
      </c>
      <c r="AH905" s="69" t="e" cm="1">
        <f t="array" ref="AH905">_xlfn.XLOOKUP(Table1[[#This Row],[5 cm2 cell test code]:[5 cm2 cell test code]],[1]!Table1[[Test code]:[Test code]],[1]!Table1[Ionic resistance 10 mM KOH/Ohm cm2],"",0)</f>
        <v>#REF!</v>
      </c>
      <c r="AI905" s="69" t="e" cm="1">
        <f t="array" ref="AI905">_xlfn.XLOOKUP(Table1[[#This Row],[5 cm2 cell test code]:[5 cm2 cell test code]],[1]!Table1[[Test code]:[Test code]],[1]!Table1[Q_int_frac DIW 10 mM KOH],"",0)</f>
        <v>#REF!</v>
      </c>
      <c r="AJ905" s="69" t="e" cm="1">
        <f t="array" ref="AJ905">_xlfn.XLOOKUP(Table1[[#This Row],[5 cm2 cell test code]:[5 cm2 cell test code]],[1]!Table1[[Test code]:[Test code]],[1]!Table1[DIW conductivity (µS/cm)],"",0)</f>
        <v>#REF!</v>
      </c>
    </row>
    <row r="906" spans="1:36">
      <c r="A906" s="81"/>
      <c r="U906" s="101"/>
      <c r="V906" s="101"/>
      <c r="W906" s="69" t="e" cm="1">
        <f t="array" ref="W906">_xlfn.XLOOKUP(Table1[[#This Row],[5 cm2 cell test code]:[5 cm2 cell test code]],[1]!Table1[[Test code]:[Test code]],[1]!Table1[i @ 1.8 V DIW (A/cm2)],"",0)</f>
        <v>#REF!</v>
      </c>
      <c r="X906" s="69" t="e" cm="1">
        <f t="array" ref="X906">_xlfn.XLOOKUP(Table1[[#This Row],[5 cm2 cell test code]:[5 cm2 cell test code]],[1]!Table1[[Test code]:[Test code]],[1]!Table1[i @ 1.8 V 10 mM KOH (A/cm2)],"",0)</f>
        <v>#REF!</v>
      </c>
      <c r="Y906" s="69" t="e" cm="1">
        <f t="array" ref="Y906">_xlfn.XLOOKUP(Table1[[#This Row],[5 cm2 cell test code]:[5 cm2 cell test code]],[1]!Table1[[Test code]:[Test code]],[1]!Table1[3-E ƞ at 20mAcm-2 (mV)],"",0)</f>
        <v>#REF!</v>
      </c>
      <c r="Z906" s="69" t="e" cm="1">
        <f t="array" ref="Z906">_xlfn.XLOOKUP(Table1[[#This Row],[5 cm2 cell test code]:[5 cm2 cell test code]],[1]!Table1[[Test code]:[Test code]],[1]!Table1[3-E Tafel slope (mV/dec)],"",0)</f>
        <v>#REF!</v>
      </c>
      <c r="AA906" s="69" t="e" cm="1">
        <f t="array" ref="AA906">_xlfn.XLOOKUP(Table1[[#This Row],[5 cm2 cell test code]:[5 cm2 cell test code]],[1]!Table1[[Test code]:[Test code]],[1]!Table1[E @ 100 mA/cm2 DIW/V],"",0)</f>
        <v>#REF!</v>
      </c>
      <c r="AB906" s="69" t="e" cm="1">
        <f t="array" ref="AB906">_xlfn.XLOOKUP(Table1[[#This Row],[5 cm2 cell test code]:[5 cm2 cell test code]],[1]!Table1[[Test code]:[Test code]],[1]!Table1[E @ 100 mA/cm2 10 mM KOH/V],"",0)</f>
        <v>#REF!</v>
      </c>
      <c r="AC906" s="69" t="e" cm="1">
        <f t="array" ref="AC906">_xlfn.XLOOKUP(Table1[[#This Row],[5 cm2 cell test code]:[5 cm2 cell test code]],[1]!Table1[[Test code]:[Test code]],[1]!Table1[Anode ICR/mOhm],"",0)</f>
        <v>#REF!</v>
      </c>
      <c r="AD906" s="69" t="e" cm="1">
        <f t="array" ref="AD906">_xlfn.XLOOKUP(Table1[[#This Row],[5 cm2 cell test code]:[5 cm2 cell test code]],[1]!Table1[[Test code]:[Test code]],[1]!Table1[HFR DIW/ mOhm cm2],"",0)</f>
        <v>#REF!</v>
      </c>
      <c r="AE906" s="69" t="e" cm="1">
        <f t="array" ref="AE906">_xlfn.XLOOKUP(Table1[[#This Row],[5 cm2 cell test code]:[5 cm2 cell test code]],[1]!Table1[[Test code]:[Test code]],[1]!Table1[HFR 10 mM KOH/ mOhm cm2],"",0)</f>
        <v>#REF!</v>
      </c>
      <c r="AF906" s="69" t="e" cm="1">
        <f t="array" ref="AF906">_xlfn.XLOOKUP(Table1[[#This Row],[5 cm2 cell test code]:[5 cm2 cell test code]],[1]!Table1[[Test code]:[Test code]],[1]!Table1[Ionic resistance DIW/Ohm cm2],"",0)</f>
        <v>#REF!</v>
      </c>
      <c r="AG906" s="69" t="e" cm="1">
        <f t="array" ref="AG906">_xlfn.XLOOKUP(Table1[[#This Row],[5 cm2 cell test code]:[5 cm2 cell test code]],[1]!Table1[[Test code]:[Test code]],[1]!Table1[Q_int_frac DIW],"",0)</f>
        <v>#REF!</v>
      </c>
      <c r="AH906" s="69" t="e" cm="1">
        <f t="array" ref="AH906">_xlfn.XLOOKUP(Table1[[#This Row],[5 cm2 cell test code]:[5 cm2 cell test code]],[1]!Table1[[Test code]:[Test code]],[1]!Table1[Ionic resistance 10 mM KOH/Ohm cm2],"",0)</f>
        <v>#REF!</v>
      </c>
      <c r="AI906" s="69" t="e" cm="1">
        <f t="array" ref="AI906">_xlfn.XLOOKUP(Table1[[#This Row],[5 cm2 cell test code]:[5 cm2 cell test code]],[1]!Table1[[Test code]:[Test code]],[1]!Table1[Q_int_frac DIW 10 mM KOH],"",0)</f>
        <v>#REF!</v>
      </c>
      <c r="AJ906" s="69" t="e" cm="1">
        <f t="array" ref="AJ906">_xlfn.XLOOKUP(Table1[[#This Row],[5 cm2 cell test code]:[5 cm2 cell test code]],[1]!Table1[[Test code]:[Test code]],[1]!Table1[DIW conductivity (µS/cm)],"",0)</f>
        <v>#REF!</v>
      </c>
    </row>
    <row r="907" spans="1:36">
      <c r="A907" s="81"/>
      <c r="U907" s="101"/>
      <c r="V907" s="101"/>
      <c r="W907" s="69" t="e" cm="1">
        <f t="array" ref="W907">_xlfn.XLOOKUP(Table1[[#This Row],[5 cm2 cell test code]:[5 cm2 cell test code]],[1]!Table1[[Test code]:[Test code]],[1]!Table1[i @ 1.8 V DIW (A/cm2)],"",0)</f>
        <v>#REF!</v>
      </c>
      <c r="X907" s="69" t="e" cm="1">
        <f t="array" ref="X907">_xlfn.XLOOKUP(Table1[[#This Row],[5 cm2 cell test code]:[5 cm2 cell test code]],[1]!Table1[[Test code]:[Test code]],[1]!Table1[i @ 1.8 V 10 mM KOH (A/cm2)],"",0)</f>
        <v>#REF!</v>
      </c>
      <c r="Y907" s="69" t="e" cm="1">
        <f t="array" ref="Y907">_xlfn.XLOOKUP(Table1[[#This Row],[5 cm2 cell test code]:[5 cm2 cell test code]],[1]!Table1[[Test code]:[Test code]],[1]!Table1[3-E ƞ at 20mAcm-2 (mV)],"",0)</f>
        <v>#REF!</v>
      </c>
      <c r="Z907" s="69" t="e" cm="1">
        <f t="array" ref="Z907">_xlfn.XLOOKUP(Table1[[#This Row],[5 cm2 cell test code]:[5 cm2 cell test code]],[1]!Table1[[Test code]:[Test code]],[1]!Table1[3-E Tafel slope (mV/dec)],"",0)</f>
        <v>#REF!</v>
      </c>
      <c r="AA907" s="69" t="e" cm="1">
        <f t="array" ref="AA907">_xlfn.XLOOKUP(Table1[[#This Row],[5 cm2 cell test code]:[5 cm2 cell test code]],[1]!Table1[[Test code]:[Test code]],[1]!Table1[E @ 100 mA/cm2 DIW/V],"",0)</f>
        <v>#REF!</v>
      </c>
      <c r="AB907" s="69" t="e" cm="1">
        <f t="array" ref="AB907">_xlfn.XLOOKUP(Table1[[#This Row],[5 cm2 cell test code]:[5 cm2 cell test code]],[1]!Table1[[Test code]:[Test code]],[1]!Table1[E @ 100 mA/cm2 10 mM KOH/V],"",0)</f>
        <v>#REF!</v>
      </c>
      <c r="AC907" s="69" t="e" cm="1">
        <f t="array" ref="AC907">_xlfn.XLOOKUP(Table1[[#This Row],[5 cm2 cell test code]:[5 cm2 cell test code]],[1]!Table1[[Test code]:[Test code]],[1]!Table1[Anode ICR/mOhm],"",0)</f>
        <v>#REF!</v>
      </c>
      <c r="AD907" s="69" t="e" cm="1">
        <f t="array" ref="AD907">_xlfn.XLOOKUP(Table1[[#This Row],[5 cm2 cell test code]:[5 cm2 cell test code]],[1]!Table1[[Test code]:[Test code]],[1]!Table1[HFR DIW/ mOhm cm2],"",0)</f>
        <v>#REF!</v>
      </c>
      <c r="AE907" s="69" t="e" cm="1">
        <f t="array" ref="AE907">_xlfn.XLOOKUP(Table1[[#This Row],[5 cm2 cell test code]:[5 cm2 cell test code]],[1]!Table1[[Test code]:[Test code]],[1]!Table1[HFR 10 mM KOH/ mOhm cm2],"",0)</f>
        <v>#REF!</v>
      </c>
      <c r="AF907" s="69" t="e" cm="1">
        <f t="array" ref="AF907">_xlfn.XLOOKUP(Table1[[#This Row],[5 cm2 cell test code]:[5 cm2 cell test code]],[1]!Table1[[Test code]:[Test code]],[1]!Table1[Ionic resistance DIW/Ohm cm2],"",0)</f>
        <v>#REF!</v>
      </c>
      <c r="AG907" s="69" t="e" cm="1">
        <f t="array" ref="AG907">_xlfn.XLOOKUP(Table1[[#This Row],[5 cm2 cell test code]:[5 cm2 cell test code]],[1]!Table1[[Test code]:[Test code]],[1]!Table1[Q_int_frac DIW],"",0)</f>
        <v>#REF!</v>
      </c>
      <c r="AH907" s="69" t="e" cm="1">
        <f t="array" ref="AH907">_xlfn.XLOOKUP(Table1[[#This Row],[5 cm2 cell test code]:[5 cm2 cell test code]],[1]!Table1[[Test code]:[Test code]],[1]!Table1[Ionic resistance 10 mM KOH/Ohm cm2],"",0)</f>
        <v>#REF!</v>
      </c>
      <c r="AI907" s="69" t="e" cm="1">
        <f t="array" ref="AI907">_xlfn.XLOOKUP(Table1[[#This Row],[5 cm2 cell test code]:[5 cm2 cell test code]],[1]!Table1[[Test code]:[Test code]],[1]!Table1[Q_int_frac DIW 10 mM KOH],"",0)</f>
        <v>#REF!</v>
      </c>
      <c r="AJ907" s="69" t="e" cm="1">
        <f t="array" ref="AJ907">_xlfn.XLOOKUP(Table1[[#This Row],[5 cm2 cell test code]:[5 cm2 cell test code]],[1]!Table1[[Test code]:[Test code]],[1]!Table1[DIW conductivity (µS/cm)],"",0)</f>
        <v>#REF!</v>
      </c>
    </row>
    <row r="908" spans="1:36">
      <c r="A908" s="81"/>
      <c r="U908" s="101"/>
      <c r="V908" s="101"/>
      <c r="W908" s="69" t="e" cm="1">
        <f t="array" ref="W908">_xlfn.XLOOKUP(Table1[[#This Row],[5 cm2 cell test code]:[5 cm2 cell test code]],[1]!Table1[[Test code]:[Test code]],[1]!Table1[i @ 1.8 V DIW (A/cm2)],"",0)</f>
        <v>#REF!</v>
      </c>
      <c r="X908" s="69" t="e" cm="1">
        <f t="array" ref="X908">_xlfn.XLOOKUP(Table1[[#This Row],[5 cm2 cell test code]:[5 cm2 cell test code]],[1]!Table1[[Test code]:[Test code]],[1]!Table1[i @ 1.8 V 10 mM KOH (A/cm2)],"",0)</f>
        <v>#REF!</v>
      </c>
      <c r="Y908" s="69" t="e" cm="1">
        <f t="array" ref="Y908">_xlfn.XLOOKUP(Table1[[#This Row],[5 cm2 cell test code]:[5 cm2 cell test code]],[1]!Table1[[Test code]:[Test code]],[1]!Table1[3-E ƞ at 20mAcm-2 (mV)],"",0)</f>
        <v>#REF!</v>
      </c>
      <c r="Z908" s="69" t="e" cm="1">
        <f t="array" ref="Z908">_xlfn.XLOOKUP(Table1[[#This Row],[5 cm2 cell test code]:[5 cm2 cell test code]],[1]!Table1[[Test code]:[Test code]],[1]!Table1[3-E Tafel slope (mV/dec)],"",0)</f>
        <v>#REF!</v>
      </c>
      <c r="AA908" s="69" t="e" cm="1">
        <f t="array" ref="AA908">_xlfn.XLOOKUP(Table1[[#This Row],[5 cm2 cell test code]:[5 cm2 cell test code]],[1]!Table1[[Test code]:[Test code]],[1]!Table1[E @ 100 mA/cm2 DIW/V],"",0)</f>
        <v>#REF!</v>
      </c>
      <c r="AB908" s="69" t="e" cm="1">
        <f t="array" ref="AB908">_xlfn.XLOOKUP(Table1[[#This Row],[5 cm2 cell test code]:[5 cm2 cell test code]],[1]!Table1[[Test code]:[Test code]],[1]!Table1[E @ 100 mA/cm2 10 mM KOH/V],"",0)</f>
        <v>#REF!</v>
      </c>
      <c r="AC908" s="69" t="e" cm="1">
        <f t="array" ref="AC908">_xlfn.XLOOKUP(Table1[[#This Row],[5 cm2 cell test code]:[5 cm2 cell test code]],[1]!Table1[[Test code]:[Test code]],[1]!Table1[Anode ICR/mOhm],"",0)</f>
        <v>#REF!</v>
      </c>
      <c r="AD908" s="69" t="e" cm="1">
        <f t="array" ref="AD908">_xlfn.XLOOKUP(Table1[[#This Row],[5 cm2 cell test code]:[5 cm2 cell test code]],[1]!Table1[[Test code]:[Test code]],[1]!Table1[HFR DIW/ mOhm cm2],"",0)</f>
        <v>#REF!</v>
      </c>
      <c r="AE908" s="69" t="e" cm="1">
        <f t="array" ref="AE908">_xlfn.XLOOKUP(Table1[[#This Row],[5 cm2 cell test code]:[5 cm2 cell test code]],[1]!Table1[[Test code]:[Test code]],[1]!Table1[HFR 10 mM KOH/ mOhm cm2],"",0)</f>
        <v>#REF!</v>
      </c>
      <c r="AF908" s="69" t="e" cm="1">
        <f t="array" ref="AF908">_xlfn.XLOOKUP(Table1[[#This Row],[5 cm2 cell test code]:[5 cm2 cell test code]],[1]!Table1[[Test code]:[Test code]],[1]!Table1[Ionic resistance DIW/Ohm cm2],"",0)</f>
        <v>#REF!</v>
      </c>
      <c r="AG908" s="69" t="e" cm="1">
        <f t="array" ref="AG908">_xlfn.XLOOKUP(Table1[[#This Row],[5 cm2 cell test code]:[5 cm2 cell test code]],[1]!Table1[[Test code]:[Test code]],[1]!Table1[Q_int_frac DIW],"",0)</f>
        <v>#REF!</v>
      </c>
      <c r="AH908" s="69" t="e" cm="1">
        <f t="array" ref="AH908">_xlfn.XLOOKUP(Table1[[#This Row],[5 cm2 cell test code]:[5 cm2 cell test code]],[1]!Table1[[Test code]:[Test code]],[1]!Table1[Ionic resistance 10 mM KOH/Ohm cm2],"",0)</f>
        <v>#REF!</v>
      </c>
      <c r="AI908" s="69" t="e" cm="1">
        <f t="array" ref="AI908">_xlfn.XLOOKUP(Table1[[#This Row],[5 cm2 cell test code]:[5 cm2 cell test code]],[1]!Table1[[Test code]:[Test code]],[1]!Table1[Q_int_frac DIW 10 mM KOH],"",0)</f>
        <v>#REF!</v>
      </c>
      <c r="AJ908" s="69" t="e" cm="1">
        <f t="array" ref="AJ908">_xlfn.XLOOKUP(Table1[[#This Row],[5 cm2 cell test code]:[5 cm2 cell test code]],[1]!Table1[[Test code]:[Test code]],[1]!Table1[DIW conductivity (µS/cm)],"",0)</f>
        <v>#REF!</v>
      </c>
    </row>
    <row r="909" spans="1:36">
      <c r="A909" s="81"/>
      <c r="U909" s="101"/>
      <c r="V909" s="101"/>
      <c r="W909" s="69" t="e" cm="1">
        <f t="array" ref="W909">_xlfn.XLOOKUP(Table1[[#This Row],[5 cm2 cell test code]:[5 cm2 cell test code]],[1]!Table1[[Test code]:[Test code]],[1]!Table1[i @ 1.8 V DIW (A/cm2)],"",0)</f>
        <v>#REF!</v>
      </c>
      <c r="X909" s="69" t="e" cm="1">
        <f t="array" ref="X909">_xlfn.XLOOKUP(Table1[[#This Row],[5 cm2 cell test code]:[5 cm2 cell test code]],[1]!Table1[[Test code]:[Test code]],[1]!Table1[i @ 1.8 V 10 mM KOH (A/cm2)],"",0)</f>
        <v>#REF!</v>
      </c>
      <c r="Y909" s="69" t="e" cm="1">
        <f t="array" ref="Y909">_xlfn.XLOOKUP(Table1[[#This Row],[5 cm2 cell test code]:[5 cm2 cell test code]],[1]!Table1[[Test code]:[Test code]],[1]!Table1[3-E ƞ at 20mAcm-2 (mV)],"",0)</f>
        <v>#REF!</v>
      </c>
      <c r="Z909" s="69" t="e" cm="1">
        <f t="array" ref="Z909">_xlfn.XLOOKUP(Table1[[#This Row],[5 cm2 cell test code]:[5 cm2 cell test code]],[1]!Table1[[Test code]:[Test code]],[1]!Table1[3-E Tafel slope (mV/dec)],"",0)</f>
        <v>#REF!</v>
      </c>
      <c r="AA909" s="69" t="e" cm="1">
        <f t="array" ref="AA909">_xlfn.XLOOKUP(Table1[[#This Row],[5 cm2 cell test code]:[5 cm2 cell test code]],[1]!Table1[[Test code]:[Test code]],[1]!Table1[E @ 100 mA/cm2 DIW/V],"",0)</f>
        <v>#REF!</v>
      </c>
      <c r="AB909" s="69" t="e" cm="1">
        <f t="array" ref="AB909">_xlfn.XLOOKUP(Table1[[#This Row],[5 cm2 cell test code]:[5 cm2 cell test code]],[1]!Table1[[Test code]:[Test code]],[1]!Table1[E @ 100 mA/cm2 10 mM KOH/V],"",0)</f>
        <v>#REF!</v>
      </c>
      <c r="AC909" s="69" t="e" cm="1">
        <f t="array" ref="AC909">_xlfn.XLOOKUP(Table1[[#This Row],[5 cm2 cell test code]:[5 cm2 cell test code]],[1]!Table1[[Test code]:[Test code]],[1]!Table1[Anode ICR/mOhm],"",0)</f>
        <v>#REF!</v>
      </c>
      <c r="AD909" s="69" t="e" cm="1">
        <f t="array" ref="AD909">_xlfn.XLOOKUP(Table1[[#This Row],[5 cm2 cell test code]:[5 cm2 cell test code]],[1]!Table1[[Test code]:[Test code]],[1]!Table1[HFR DIW/ mOhm cm2],"",0)</f>
        <v>#REF!</v>
      </c>
      <c r="AE909" s="69" t="e" cm="1">
        <f t="array" ref="AE909">_xlfn.XLOOKUP(Table1[[#This Row],[5 cm2 cell test code]:[5 cm2 cell test code]],[1]!Table1[[Test code]:[Test code]],[1]!Table1[HFR 10 mM KOH/ mOhm cm2],"",0)</f>
        <v>#REF!</v>
      </c>
      <c r="AF909" s="69" t="e" cm="1">
        <f t="array" ref="AF909">_xlfn.XLOOKUP(Table1[[#This Row],[5 cm2 cell test code]:[5 cm2 cell test code]],[1]!Table1[[Test code]:[Test code]],[1]!Table1[Ionic resistance DIW/Ohm cm2],"",0)</f>
        <v>#REF!</v>
      </c>
      <c r="AG909" s="69" t="e" cm="1">
        <f t="array" ref="AG909">_xlfn.XLOOKUP(Table1[[#This Row],[5 cm2 cell test code]:[5 cm2 cell test code]],[1]!Table1[[Test code]:[Test code]],[1]!Table1[Q_int_frac DIW],"",0)</f>
        <v>#REF!</v>
      </c>
      <c r="AH909" s="69" t="e" cm="1">
        <f t="array" ref="AH909">_xlfn.XLOOKUP(Table1[[#This Row],[5 cm2 cell test code]:[5 cm2 cell test code]],[1]!Table1[[Test code]:[Test code]],[1]!Table1[Ionic resistance 10 mM KOH/Ohm cm2],"",0)</f>
        <v>#REF!</v>
      </c>
      <c r="AI909" s="69" t="e" cm="1">
        <f t="array" ref="AI909">_xlfn.XLOOKUP(Table1[[#This Row],[5 cm2 cell test code]:[5 cm2 cell test code]],[1]!Table1[[Test code]:[Test code]],[1]!Table1[Q_int_frac DIW 10 mM KOH],"",0)</f>
        <v>#REF!</v>
      </c>
      <c r="AJ909" s="69" t="e" cm="1">
        <f t="array" ref="AJ909">_xlfn.XLOOKUP(Table1[[#This Row],[5 cm2 cell test code]:[5 cm2 cell test code]],[1]!Table1[[Test code]:[Test code]],[1]!Table1[DIW conductivity (µS/cm)],"",0)</f>
        <v>#REF!</v>
      </c>
    </row>
    <row r="910" spans="1:36">
      <c r="A910" s="81"/>
      <c r="U910" s="101"/>
      <c r="V910" s="101"/>
      <c r="W910" s="69" t="e" cm="1">
        <f t="array" ref="W910">_xlfn.XLOOKUP(Table1[[#This Row],[5 cm2 cell test code]:[5 cm2 cell test code]],[1]!Table1[[Test code]:[Test code]],[1]!Table1[i @ 1.8 V DIW (A/cm2)],"",0)</f>
        <v>#REF!</v>
      </c>
      <c r="X910" s="69" t="e" cm="1">
        <f t="array" ref="X910">_xlfn.XLOOKUP(Table1[[#This Row],[5 cm2 cell test code]:[5 cm2 cell test code]],[1]!Table1[[Test code]:[Test code]],[1]!Table1[i @ 1.8 V 10 mM KOH (A/cm2)],"",0)</f>
        <v>#REF!</v>
      </c>
      <c r="Y910" s="69" t="e" cm="1">
        <f t="array" ref="Y910">_xlfn.XLOOKUP(Table1[[#This Row],[5 cm2 cell test code]:[5 cm2 cell test code]],[1]!Table1[[Test code]:[Test code]],[1]!Table1[3-E ƞ at 20mAcm-2 (mV)],"",0)</f>
        <v>#REF!</v>
      </c>
      <c r="Z910" s="69" t="e" cm="1">
        <f t="array" ref="Z910">_xlfn.XLOOKUP(Table1[[#This Row],[5 cm2 cell test code]:[5 cm2 cell test code]],[1]!Table1[[Test code]:[Test code]],[1]!Table1[3-E Tafel slope (mV/dec)],"",0)</f>
        <v>#REF!</v>
      </c>
      <c r="AA910" s="69" t="e" cm="1">
        <f t="array" ref="AA910">_xlfn.XLOOKUP(Table1[[#This Row],[5 cm2 cell test code]:[5 cm2 cell test code]],[1]!Table1[[Test code]:[Test code]],[1]!Table1[E @ 100 mA/cm2 DIW/V],"",0)</f>
        <v>#REF!</v>
      </c>
      <c r="AB910" s="69" t="e" cm="1">
        <f t="array" ref="AB910">_xlfn.XLOOKUP(Table1[[#This Row],[5 cm2 cell test code]:[5 cm2 cell test code]],[1]!Table1[[Test code]:[Test code]],[1]!Table1[E @ 100 mA/cm2 10 mM KOH/V],"",0)</f>
        <v>#REF!</v>
      </c>
      <c r="AC910" s="69" t="e" cm="1">
        <f t="array" ref="AC910">_xlfn.XLOOKUP(Table1[[#This Row],[5 cm2 cell test code]:[5 cm2 cell test code]],[1]!Table1[[Test code]:[Test code]],[1]!Table1[Anode ICR/mOhm],"",0)</f>
        <v>#REF!</v>
      </c>
      <c r="AD910" s="69" t="e" cm="1">
        <f t="array" ref="AD910">_xlfn.XLOOKUP(Table1[[#This Row],[5 cm2 cell test code]:[5 cm2 cell test code]],[1]!Table1[[Test code]:[Test code]],[1]!Table1[HFR DIW/ mOhm cm2],"",0)</f>
        <v>#REF!</v>
      </c>
      <c r="AE910" s="69" t="e" cm="1">
        <f t="array" ref="AE910">_xlfn.XLOOKUP(Table1[[#This Row],[5 cm2 cell test code]:[5 cm2 cell test code]],[1]!Table1[[Test code]:[Test code]],[1]!Table1[HFR 10 mM KOH/ mOhm cm2],"",0)</f>
        <v>#REF!</v>
      </c>
      <c r="AF910" s="69" t="e" cm="1">
        <f t="array" ref="AF910">_xlfn.XLOOKUP(Table1[[#This Row],[5 cm2 cell test code]:[5 cm2 cell test code]],[1]!Table1[[Test code]:[Test code]],[1]!Table1[Ionic resistance DIW/Ohm cm2],"",0)</f>
        <v>#REF!</v>
      </c>
      <c r="AG910" s="69" t="e" cm="1">
        <f t="array" ref="AG910">_xlfn.XLOOKUP(Table1[[#This Row],[5 cm2 cell test code]:[5 cm2 cell test code]],[1]!Table1[[Test code]:[Test code]],[1]!Table1[Q_int_frac DIW],"",0)</f>
        <v>#REF!</v>
      </c>
      <c r="AH910" s="69" t="e" cm="1">
        <f t="array" ref="AH910">_xlfn.XLOOKUP(Table1[[#This Row],[5 cm2 cell test code]:[5 cm2 cell test code]],[1]!Table1[[Test code]:[Test code]],[1]!Table1[Ionic resistance 10 mM KOH/Ohm cm2],"",0)</f>
        <v>#REF!</v>
      </c>
      <c r="AI910" s="69" t="e" cm="1">
        <f t="array" ref="AI910">_xlfn.XLOOKUP(Table1[[#This Row],[5 cm2 cell test code]:[5 cm2 cell test code]],[1]!Table1[[Test code]:[Test code]],[1]!Table1[Q_int_frac DIW 10 mM KOH],"",0)</f>
        <v>#REF!</v>
      </c>
      <c r="AJ910" s="69" t="e" cm="1">
        <f t="array" ref="AJ910">_xlfn.XLOOKUP(Table1[[#This Row],[5 cm2 cell test code]:[5 cm2 cell test code]],[1]!Table1[[Test code]:[Test code]],[1]!Table1[DIW conductivity (µS/cm)],"",0)</f>
        <v>#REF!</v>
      </c>
    </row>
    <row r="911" spans="1:36">
      <c r="A911" s="81"/>
      <c r="U911" s="101"/>
      <c r="V911" s="101"/>
      <c r="W911" s="69" t="e" cm="1">
        <f t="array" ref="W911">_xlfn.XLOOKUP(Table1[[#This Row],[5 cm2 cell test code]:[5 cm2 cell test code]],[1]!Table1[[Test code]:[Test code]],[1]!Table1[i @ 1.8 V DIW (A/cm2)],"",0)</f>
        <v>#REF!</v>
      </c>
      <c r="X911" s="69" t="e" cm="1">
        <f t="array" ref="X911">_xlfn.XLOOKUP(Table1[[#This Row],[5 cm2 cell test code]:[5 cm2 cell test code]],[1]!Table1[[Test code]:[Test code]],[1]!Table1[i @ 1.8 V 10 mM KOH (A/cm2)],"",0)</f>
        <v>#REF!</v>
      </c>
      <c r="Y911" s="69" t="e" cm="1">
        <f t="array" ref="Y911">_xlfn.XLOOKUP(Table1[[#This Row],[5 cm2 cell test code]:[5 cm2 cell test code]],[1]!Table1[[Test code]:[Test code]],[1]!Table1[3-E ƞ at 20mAcm-2 (mV)],"",0)</f>
        <v>#REF!</v>
      </c>
      <c r="Z911" s="69" t="e" cm="1">
        <f t="array" ref="Z911">_xlfn.XLOOKUP(Table1[[#This Row],[5 cm2 cell test code]:[5 cm2 cell test code]],[1]!Table1[[Test code]:[Test code]],[1]!Table1[3-E Tafel slope (mV/dec)],"",0)</f>
        <v>#REF!</v>
      </c>
      <c r="AA911" s="69" t="e" cm="1">
        <f t="array" ref="AA911">_xlfn.XLOOKUP(Table1[[#This Row],[5 cm2 cell test code]:[5 cm2 cell test code]],[1]!Table1[[Test code]:[Test code]],[1]!Table1[E @ 100 mA/cm2 DIW/V],"",0)</f>
        <v>#REF!</v>
      </c>
      <c r="AB911" s="69" t="e" cm="1">
        <f t="array" ref="AB911">_xlfn.XLOOKUP(Table1[[#This Row],[5 cm2 cell test code]:[5 cm2 cell test code]],[1]!Table1[[Test code]:[Test code]],[1]!Table1[E @ 100 mA/cm2 10 mM KOH/V],"",0)</f>
        <v>#REF!</v>
      </c>
      <c r="AC911" s="69" t="e" cm="1">
        <f t="array" ref="AC911">_xlfn.XLOOKUP(Table1[[#This Row],[5 cm2 cell test code]:[5 cm2 cell test code]],[1]!Table1[[Test code]:[Test code]],[1]!Table1[Anode ICR/mOhm],"",0)</f>
        <v>#REF!</v>
      </c>
      <c r="AD911" s="69" t="e" cm="1">
        <f t="array" ref="AD911">_xlfn.XLOOKUP(Table1[[#This Row],[5 cm2 cell test code]:[5 cm2 cell test code]],[1]!Table1[[Test code]:[Test code]],[1]!Table1[HFR DIW/ mOhm cm2],"",0)</f>
        <v>#REF!</v>
      </c>
      <c r="AE911" s="69" t="e" cm="1">
        <f t="array" ref="AE911">_xlfn.XLOOKUP(Table1[[#This Row],[5 cm2 cell test code]:[5 cm2 cell test code]],[1]!Table1[[Test code]:[Test code]],[1]!Table1[HFR 10 mM KOH/ mOhm cm2],"",0)</f>
        <v>#REF!</v>
      </c>
      <c r="AF911" s="69" t="e" cm="1">
        <f t="array" ref="AF911">_xlfn.XLOOKUP(Table1[[#This Row],[5 cm2 cell test code]:[5 cm2 cell test code]],[1]!Table1[[Test code]:[Test code]],[1]!Table1[Ionic resistance DIW/Ohm cm2],"",0)</f>
        <v>#REF!</v>
      </c>
      <c r="AG911" s="69" t="e" cm="1">
        <f t="array" ref="AG911">_xlfn.XLOOKUP(Table1[[#This Row],[5 cm2 cell test code]:[5 cm2 cell test code]],[1]!Table1[[Test code]:[Test code]],[1]!Table1[Q_int_frac DIW],"",0)</f>
        <v>#REF!</v>
      </c>
      <c r="AH911" s="69" t="e" cm="1">
        <f t="array" ref="AH911">_xlfn.XLOOKUP(Table1[[#This Row],[5 cm2 cell test code]:[5 cm2 cell test code]],[1]!Table1[[Test code]:[Test code]],[1]!Table1[Ionic resistance 10 mM KOH/Ohm cm2],"",0)</f>
        <v>#REF!</v>
      </c>
      <c r="AI911" s="69" t="e" cm="1">
        <f t="array" ref="AI911">_xlfn.XLOOKUP(Table1[[#This Row],[5 cm2 cell test code]:[5 cm2 cell test code]],[1]!Table1[[Test code]:[Test code]],[1]!Table1[Q_int_frac DIW 10 mM KOH],"",0)</f>
        <v>#REF!</v>
      </c>
      <c r="AJ911" s="69" t="e" cm="1">
        <f t="array" ref="AJ911">_xlfn.XLOOKUP(Table1[[#This Row],[5 cm2 cell test code]:[5 cm2 cell test code]],[1]!Table1[[Test code]:[Test code]],[1]!Table1[DIW conductivity (µS/cm)],"",0)</f>
        <v>#REF!</v>
      </c>
    </row>
    <row r="912" spans="1:36">
      <c r="A912" s="81"/>
      <c r="U912" s="101"/>
      <c r="V912" s="101"/>
      <c r="W912" s="69" t="e" cm="1">
        <f t="array" ref="W912">_xlfn.XLOOKUP(Table1[[#This Row],[5 cm2 cell test code]:[5 cm2 cell test code]],[1]!Table1[[Test code]:[Test code]],[1]!Table1[i @ 1.8 V DIW (A/cm2)],"",0)</f>
        <v>#REF!</v>
      </c>
      <c r="X912" s="69" t="e" cm="1">
        <f t="array" ref="X912">_xlfn.XLOOKUP(Table1[[#This Row],[5 cm2 cell test code]:[5 cm2 cell test code]],[1]!Table1[[Test code]:[Test code]],[1]!Table1[i @ 1.8 V 10 mM KOH (A/cm2)],"",0)</f>
        <v>#REF!</v>
      </c>
      <c r="Y912" s="69" t="e" cm="1">
        <f t="array" ref="Y912">_xlfn.XLOOKUP(Table1[[#This Row],[5 cm2 cell test code]:[5 cm2 cell test code]],[1]!Table1[[Test code]:[Test code]],[1]!Table1[3-E ƞ at 20mAcm-2 (mV)],"",0)</f>
        <v>#REF!</v>
      </c>
      <c r="Z912" s="69" t="e" cm="1">
        <f t="array" ref="Z912">_xlfn.XLOOKUP(Table1[[#This Row],[5 cm2 cell test code]:[5 cm2 cell test code]],[1]!Table1[[Test code]:[Test code]],[1]!Table1[3-E Tafel slope (mV/dec)],"",0)</f>
        <v>#REF!</v>
      </c>
      <c r="AA912" s="69" t="e" cm="1">
        <f t="array" ref="AA912">_xlfn.XLOOKUP(Table1[[#This Row],[5 cm2 cell test code]:[5 cm2 cell test code]],[1]!Table1[[Test code]:[Test code]],[1]!Table1[E @ 100 mA/cm2 DIW/V],"",0)</f>
        <v>#REF!</v>
      </c>
      <c r="AB912" s="69" t="e" cm="1">
        <f t="array" ref="AB912">_xlfn.XLOOKUP(Table1[[#This Row],[5 cm2 cell test code]:[5 cm2 cell test code]],[1]!Table1[[Test code]:[Test code]],[1]!Table1[E @ 100 mA/cm2 10 mM KOH/V],"",0)</f>
        <v>#REF!</v>
      </c>
      <c r="AC912" s="69" t="e" cm="1">
        <f t="array" ref="AC912">_xlfn.XLOOKUP(Table1[[#This Row],[5 cm2 cell test code]:[5 cm2 cell test code]],[1]!Table1[[Test code]:[Test code]],[1]!Table1[Anode ICR/mOhm],"",0)</f>
        <v>#REF!</v>
      </c>
      <c r="AD912" s="69" t="e" cm="1">
        <f t="array" ref="AD912">_xlfn.XLOOKUP(Table1[[#This Row],[5 cm2 cell test code]:[5 cm2 cell test code]],[1]!Table1[[Test code]:[Test code]],[1]!Table1[HFR DIW/ mOhm cm2],"",0)</f>
        <v>#REF!</v>
      </c>
      <c r="AE912" s="69" t="e" cm="1">
        <f t="array" ref="AE912">_xlfn.XLOOKUP(Table1[[#This Row],[5 cm2 cell test code]:[5 cm2 cell test code]],[1]!Table1[[Test code]:[Test code]],[1]!Table1[HFR 10 mM KOH/ mOhm cm2],"",0)</f>
        <v>#REF!</v>
      </c>
      <c r="AF912" s="69" t="e" cm="1">
        <f t="array" ref="AF912">_xlfn.XLOOKUP(Table1[[#This Row],[5 cm2 cell test code]:[5 cm2 cell test code]],[1]!Table1[[Test code]:[Test code]],[1]!Table1[Ionic resistance DIW/Ohm cm2],"",0)</f>
        <v>#REF!</v>
      </c>
      <c r="AG912" s="69" t="e" cm="1">
        <f t="array" ref="AG912">_xlfn.XLOOKUP(Table1[[#This Row],[5 cm2 cell test code]:[5 cm2 cell test code]],[1]!Table1[[Test code]:[Test code]],[1]!Table1[Q_int_frac DIW],"",0)</f>
        <v>#REF!</v>
      </c>
      <c r="AH912" s="69" t="e" cm="1">
        <f t="array" ref="AH912">_xlfn.XLOOKUP(Table1[[#This Row],[5 cm2 cell test code]:[5 cm2 cell test code]],[1]!Table1[[Test code]:[Test code]],[1]!Table1[Ionic resistance 10 mM KOH/Ohm cm2],"",0)</f>
        <v>#REF!</v>
      </c>
      <c r="AI912" s="69" t="e" cm="1">
        <f t="array" ref="AI912">_xlfn.XLOOKUP(Table1[[#This Row],[5 cm2 cell test code]:[5 cm2 cell test code]],[1]!Table1[[Test code]:[Test code]],[1]!Table1[Q_int_frac DIW 10 mM KOH],"",0)</f>
        <v>#REF!</v>
      </c>
      <c r="AJ912" s="69" t="e" cm="1">
        <f t="array" ref="AJ912">_xlfn.XLOOKUP(Table1[[#This Row],[5 cm2 cell test code]:[5 cm2 cell test code]],[1]!Table1[[Test code]:[Test code]],[1]!Table1[DIW conductivity (µS/cm)],"",0)</f>
        <v>#REF!</v>
      </c>
    </row>
    <row r="913" spans="1:36">
      <c r="A913" s="81"/>
      <c r="U913" s="101"/>
      <c r="V913" s="101"/>
      <c r="W913" s="69" t="e" cm="1">
        <f t="array" ref="W913">_xlfn.XLOOKUP(Table1[[#This Row],[5 cm2 cell test code]:[5 cm2 cell test code]],[1]!Table1[[Test code]:[Test code]],[1]!Table1[i @ 1.8 V DIW (A/cm2)],"",0)</f>
        <v>#REF!</v>
      </c>
      <c r="X913" s="69" t="e" cm="1">
        <f t="array" ref="X913">_xlfn.XLOOKUP(Table1[[#This Row],[5 cm2 cell test code]:[5 cm2 cell test code]],[1]!Table1[[Test code]:[Test code]],[1]!Table1[i @ 1.8 V 10 mM KOH (A/cm2)],"",0)</f>
        <v>#REF!</v>
      </c>
      <c r="Y913" s="69" t="e" cm="1">
        <f t="array" ref="Y913">_xlfn.XLOOKUP(Table1[[#This Row],[5 cm2 cell test code]:[5 cm2 cell test code]],[1]!Table1[[Test code]:[Test code]],[1]!Table1[3-E ƞ at 20mAcm-2 (mV)],"",0)</f>
        <v>#REF!</v>
      </c>
      <c r="Z913" s="69" t="e" cm="1">
        <f t="array" ref="Z913">_xlfn.XLOOKUP(Table1[[#This Row],[5 cm2 cell test code]:[5 cm2 cell test code]],[1]!Table1[[Test code]:[Test code]],[1]!Table1[3-E Tafel slope (mV/dec)],"",0)</f>
        <v>#REF!</v>
      </c>
      <c r="AA913" s="69" t="e" cm="1">
        <f t="array" ref="AA913">_xlfn.XLOOKUP(Table1[[#This Row],[5 cm2 cell test code]:[5 cm2 cell test code]],[1]!Table1[[Test code]:[Test code]],[1]!Table1[E @ 100 mA/cm2 DIW/V],"",0)</f>
        <v>#REF!</v>
      </c>
      <c r="AB913" s="69" t="e" cm="1">
        <f t="array" ref="AB913">_xlfn.XLOOKUP(Table1[[#This Row],[5 cm2 cell test code]:[5 cm2 cell test code]],[1]!Table1[[Test code]:[Test code]],[1]!Table1[E @ 100 mA/cm2 10 mM KOH/V],"",0)</f>
        <v>#REF!</v>
      </c>
      <c r="AC913" s="69" t="e" cm="1">
        <f t="array" ref="AC913">_xlfn.XLOOKUP(Table1[[#This Row],[5 cm2 cell test code]:[5 cm2 cell test code]],[1]!Table1[[Test code]:[Test code]],[1]!Table1[Anode ICR/mOhm],"",0)</f>
        <v>#REF!</v>
      </c>
      <c r="AD913" s="69" t="e" cm="1">
        <f t="array" ref="AD913">_xlfn.XLOOKUP(Table1[[#This Row],[5 cm2 cell test code]:[5 cm2 cell test code]],[1]!Table1[[Test code]:[Test code]],[1]!Table1[HFR DIW/ mOhm cm2],"",0)</f>
        <v>#REF!</v>
      </c>
      <c r="AE913" s="69" t="e" cm="1">
        <f t="array" ref="AE913">_xlfn.XLOOKUP(Table1[[#This Row],[5 cm2 cell test code]:[5 cm2 cell test code]],[1]!Table1[[Test code]:[Test code]],[1]!Table1[HFR 10 mM KOH/ mOhm cm2],"",0)</f>
        <v>#REF!</v>
      </c>
      <c r="AF913" s="69" t="e" cm="1">
        <f t="array" ref="AF913">_xlfn.XLOOKUP(Table1[[#This Row],[5 cm2 cell test code]:[5 cm2 cell test code]],[1]!Table1[[Test code]:[Test code]],[1]!Table1[Ionic resistance DIW/Ohm cm2],"",0)</f>
        <v>#REF!</v>
      </c>
      <c r="AG913" s="69" t="e" cm="1">
        <f t="array" ref="AG913">_xlfn.XLOOKUP(Table1[[#This Row],[5 cm2 cell test code]:[5 cm2 cell test code]],[1]!Table1[[Test code]:[Test code]],[1]!Table1[Q_int_frac DIW],"",0)</f>
        <v>#REF!</v>
      </c>
      <c r="AH913" s="69" t="e" cm="1">
        <f t="array" ref="AH913">_xlfn.XLOOKUP(Table1[[#This Row],[5 cm2 cell test code]:[5 cm2 cell test code]],[1]!Table1[[Test code]:[Test code]],[1]!Table1[Ionic resistance 10 mM KOH/Ohm cm2],"",0)</f>
        <v>#REF!</v>
      </c>
      <c r="AI913" s="69" t="e" cm="1">
        <f t="array" ref="AI913">_xlfn.XLOOKUP(Table1[[#This Row],[5 cm2 cell test code]:[5 cm2 cell test code]],[1]!Table1[[Test code]:[Test code]],[1]!Table1[Q_int_frac DIW 10 mM KOH],"",0)</f>
        <v>#REF!</v>
      </c>
      <c r="AJ913" s="69" t="e" cm="1">
        <f t="array" ref="AJ913">_xlfn.XLOOKUP(Table1[[#This Row],[5 cm2 cell test code]:[5 cm2 cell test code]],[1]!Table1[[Test code]:[Test code]],[1]!Table1[DIW conductivity (µS/cm)],"",0)</f>
        <v>#REF!</v>
      </c>
    </row>
    <row r="914" spans="1:36">
      <c r="A914" s="81"/>
      <c r="U914" s="101"/>
      <c r="V914" s="101"/>
      <c r="W914" s="69" t="e" cm="1">
        <f t="array" ref="W914">_xlfn.XLOOKUP(Table1[[#This Row],[5 cm2 cell test code]:[5 cm2 cell test code]],[1]!Table1[[Test code]:[Test code]],[1]!Table1[i @ 1.8 V DIW (A/cm2)],"",0)</f>
        <v>#REF!</v>
      </c>
      <c r="X914" s="69" t="e" cm="1">
        <f t="array" ref="X914">_xlfn.XLOOKUP(Table1[[#This Row],[5 cm2 cell test code]:[5 cm2 cell test code]],[1]!Table1[[Test code]:[Test code]],[1]!Table1[i @ 1.8 V 10 mM KOH (A/cm2)],"",0)</f>
        <v>#REF!</v>
      </c>
      <c r="Y914" s="69" t="e" cm="1">
        <f t="array" ref="Y914">_xlfn.XLOOKUP(Table1[[#This Row],[5 cm2 cell test code]:[5 cm2 cell test code]],[1]!Table1[[Test code]:[Test code]],[1]!Table1[3-E ƞ at 20mAcm-2 (mV)],"",0)</f>
        <v>#REF!</v>
      </c>
      <c r="Z914" s="69" t="e" cm="1">
        <f t="array" ref="Z914">_xlfn.XLOOKUP(Table1[[#This Row],[5 cm2 cell test code]:[5 cm2 cell test code]],[1]!Table1[[Test code]:[Test code]],[1]!Table1[3-E Tafel slope (mV/dec)],"",0)</f>
        <v>#REF!</v>
      </c>
      <c r="AA914" s="69" t="e" cm="1">
        <f t="array" ref="AA914">_xlfn.XLOOKUP(Table1[[#This Row],[5 cm2 cell test code]:[5 cm2 cell test code]],[1]!Table1[[Test code]:[Test code]],[1]!Table1[E @ 100 mA/cm2 DIW/V],"",0)</f>
        <v>#REF!</v>
      </c>
      <c r="AB914" s="69" t="e" cm="1">
        <f t="array" ref="AB914">_xlfn.XLOOKUP(Table1[[#This Row],[5 cm2 cell test code]:[5 cm2 cell test code]],[1]!Table1[[Test code]:[Test code]],[1]!Table1[E @ 100 mA/cm2 10 mM KOH/V],"",0)</f>
        <v>#REF!</v>
      </c>
      <c r="AC914" s="69" t="e" cm="1">
        <f t="array" ref="AC914">_xlfn.XLOOKUP(Table1[[#This Row],[5 cm2 cell test code]:[5 cm2 cell test code]],[1]!Table1[[Test code]:[Test code]],[1]!Table1[Anode ICR/mOhm],"",0)</f>
        <v>#REF!</v>
      </c>
      <c r="AD914" s="69" t="e" cm="1">
        <f t="array" ref="AD914">_xlfn.XLOOKUP(Table1[[#This Row],[5 cm2 cell test code]:[5 cm2 cell test code]],[1]!Table1[[Test code]:[Test code]],[1]!Table1[HFR DIW/ mOhm cm2],"",0)</f>
        <v>#REF!</v>
      </c>
      <c r="AE914" s="69" t="e" cm="1">
        <f t="array" ref="AE914">_xlfn.XLOOKUP(Table1[[#This Row],[5 cm2 cell test code]:[5 cm2 cell test code]],[1]!Table1[[Test code]:[Test code]],[1]!Table1[HFR 10 mM KOH/ mOhm cm2],"",0)</f>
        <v>#REF!</v>
      </c>
      <c r="AF914" s="69" t="e" cm="1">
        <f t="array" ref="AF914">_xlfn.XLOOKUP(Table1[[#This Row],[5 cm2 cell test code]:[5 cm2 cell test code]],[1]!Table1[[Test code]:[Test code]],[1]!Table1[Ionic resistance DIW/Ohm cm2],"",0)</f>
        <v>#REF!</v>
      </c>
      <c r="AG914" s="69" t="e" cm="1">
        <f t="array" ref="AG914">_xlfn.XLOOKUP(Table1[[#This Row],[5 cm2 cell test code]:[5 cm2 cell test code]],[1]!Table1[[Test code]:[Test code]],[1]!Table1[Q_int_frac DIW],"",0)</f>
        <v>#REF!</v>
      </c>
      <c r="AH914" s="69" t="e" cm="1">
        <f t="array" ref="AH914">_xlfn.XLOOKUP(Table1[[#This Row],[5 cm2 cell test code]:[5 cm2 cell test code]],[1]!Table1[[Test code]:[Test code]],[1]!Table1[Ionic resistance 10 mM KOH/Ohm cm2],"",0)</f>
        <v>#REF!</v>
      </c>
      <c r="AI914" s="69" t="e" cm="1">
        <f t="array" ref="AI914">_xlfn.XLOOKUP(Table1[[#This Row],[5 cm2 cell test code]:[5 cm2 cell test code]],[1]!Table1[[Test code]:[Test code]],[1]!Table1[Q_int_frac DIW 10 mM KOH],"",0)</f>
        <v>#REF!</v>
      </c>
      <c r="AJ914" s="69" t="e" cm="1">
        <f t="array" ref="AJ914">_xlfn.XLOOKUP(Table1[[#This Row],[5 cm2 cell test code]:[5 cm2 cell test code]],[1]!Table1[[Test code]:[Test code]],[1]!Table1[DIW conductivity (µS/cm)],"",0)</f>
        <v>#REF!</v>
      </c>
    </row>
    <row r="915" spans="1:36">
      <c r="A915" s="81"/>
      <c r="U915" s="101"/>
      <c r="V915" s="101"/>
      <c r="W915" s="69" t="e" cm="1">
        <f t="array" ref="W915">_xlfn.XLOOKUP(Table1[[#This Row],[5 cm2 cell test code]:[5 cm2 cell test code]],[1]!Table1[[Test code]:[Test code]],[1]!Table1[i @ 1.8 V DIW (A/cm2)],"",0)</f>
        <v>#REF!</v>
      </c>
      <c r="X915" s="69" t="e" cm="1">
        <f t="array" ref="X915">_xlfn.XLOOKUP(Table1[[#This Row],[5 cm2 cell test code]:[5 cm2 cell test code]],[1]!Table1[[Test code]:[Test code]],[1]!Table1[i @ 1.8 V 10 mM KOH (A/cm2)],"",0)</f>
        <v>#REF!</v>
      </c>
      <c r="Y915" s="69" t="e" cm="1">
        <f t="array" ref="Y915">_xlfn.XLOOKUP(Table1[[#This Row],[5 cm2 cell test code]:[5 cm2 cell test code]],[1]!Table1[[Test code]:[Test code]],[1]!Table1[3-E ƞ at 20mAcm-2 (mV)],"",0)</f>
        <v>#REF!</v>
      </c>
      <c r="Z915" s="69" t="e" cm="1">
        <f t="array" ref="Z915">_xlfn.XLOOKUP(Table1[[#This Row],[5 cm2 cell test code]:[5 cm2 cell test code]],[1]!Table1[[Test code]:[Test code]],[1]!Table1[3-E Tafel slope (mV/dec)],"",0)</f>
        <v>#REF!</v>
      </c>
      <c r="AA915" s="69" t="e" cm="1">
        <f t="array" ref="AA915">_xlfn.XLOOKUP(Table1[[#This Row],[5 cm2 cell test code]:[5 cm2 cell test code]],[1]!Table1[[Test code]:[Test code]],[1]!Table1[E @ 100 mA/cm2 DIW/V],"",0)</f>
        <v>#REF!</v>
      </c>
      <c r="AB915" s="69" t="e" cm="1">
        <f t="array" ref="AB915">_xlfn.XLOOKUP(Table1[[#This Row],[5 cm2 cell test code]:[5 cm2 cell test code]],[1]!Table1[[Test code]:[Test code]],[1]!Table1[E @ 100 mA/cm2 10 mM KOH/V],"",0)</f>
        <v>#REF!</v>
      </c>
      <c r="AC915" s="69" t="e" cm="1">
        <f t="array" ref="AC915">_xlfn.XLOOKUP(Table1[[#This Row],[5 cm2 cell test code]:[5 cm2 cell test code]],[1]!Table1[[Test code]:[Test code]],[1]!Table1[Anode ICR/mOhm],"",0)</f>
        <v>#REF!</v>
      </c>
      <c r="AD915" s="69" t="e" cm="1">
        <f t="array" ref="AD915">_xlfn.XLOOKUP(Table1[[#This Row],[5 cm2 cell test code]:[5 cm2 cell test code]],[1]!Table1[[Test code]:[Test code]],[1]!Table1[HFR DIW/ mOhm cm2],"",0)</f>
        <v>#REF!</v>
      </c>
      <c r="AE915" s="69" t="e" cm="1">
        <f t="array" ref="AE915">_xlfn.XLOOKUP(Table1[[#This Row],[5 cm2 cell test code]:[5 cm2 cell test code]],[1]!Table1[[Test code]:[Test code]],[1]!Table1[HFR 10 mM KOH/ mOhm cm2],"",0)</f>
        <v>#REF!</v>
      </c>
      <c r="AF915" s="69" t="e" cm="1">
        <f t="array" ref="AF915">_xlfn.XLOOKUP(Table1[[#This Row],[5 cm2 cell test code]:[5 cm2 cell test code]],[1]!Table1[[Test code]:[Test code]],[1]!Table1[Ionic resistance DIW/Ohm cm2],"",0)</f>
        <v>#REF!</v>
      </c>
      <c r="AG915" s="69" t="e" cm="1">
        <f t="array" ref="AG915">_xlfn.XLOOKUP(Table1[[#This Row],[5 cm2 cell test code]:[5 cm2 cell test code]],[1]!Table1[[Test code]:[Test code]],[1]!Table1[Q_int_frac DIW],"",0)</f>
        <v>#REF!</v>
      </c>
      <c r="AH915" s="69" t="e" cm="1">
        <f t="array" ref="AH915">_xlfn.XLOOKUP(Table1[[#This Row],[5 cm2 cell test code]:[5 cm2 cell test code]],[1]!Table1[[Test code]:[Test code]],[1]!Table1[Ionic resistance 10 mM KOH/Ohm cm2],"",0)</f>
        <v>#REF!</v>
      </c>
      <c r="AI915" s="69" t="e" cm="1">
        <f t="array" ref="AI915">_xlfn.XLOOKUP(Table1[[#This Row],[5 cm2 cell test code]:[5 cm2 cell test code]],[1]!Table1[[Test code]:[Test code]],[1]!Table1[Q_int_frac DIW 10 mM KOH],"",0)</f>
        <v>#REF!</v>
      </c>
      <c r="AJ915" s="69" t="e" cm="1">
        <f t="array" ref="AJ915">_xlfn.XLOOKUP(Table1[[#This Row],[5 cm2 cell test code]:[5 cm2 cell test code]],[1]!Table1[[Test code]:[Test code]],[1]!Table1[DIW conductivity (µS/cm)],"",0)</f>
        <v>#REF!</v>
      </c>
    </row>
    <row r="916" spans="1:36">
      <c r="A916" s="81"/>
      <c r="U916" s="101"/>
      <c r="V916" s="101"/>
      <c r="W916" s="69" t="e" cm="1">
        <f t="array" ref="W916">_xlfn.XLOOKUP(Table1[[#This Row],[5 cm2 cell test code]:[5 cm2 cell test code]],[1]!Table1[[Test code]:[Test code]],[1]!Table1[i @ 1.8 V DIW (A/cm2)],"",0)</f>
        <v>#REF!</v>
      </c>
      <c r="X916" s="69" t="e" cm="1">
        <f t="array" ref="X916">_xlfn.XLOOKUP(Table1[[#This Row],[5 cm2 cell test code]:[5 cm2 cell test code]],[1]!Table1[[Test code]:[Test code]],[1]!Table1[i @ 1.8 V 10 mM KOH (A/cm2)],"",0)</f>
        <v>#REF!</v>
      </c>
      <c r="Y916" s="69" t="e" cm="1">
        <f t="array" ref="Y916">_xlfn.XLOOKUP(Table1[[#This Row],[5 cm2 cell test code]:[5 cm2 cell test code]],[1]!Table1[[Test code]:[Test code]],[1]!Table1[3-E ƞ at 20mAcm-2 (mV)],"",0)</f>
        <v>#REF!</v>
      </c>
      <c r="Z916" s="69" t="e" cm="1">
        <f t="array" ref="Z916">_xlfn.XLOOKUP(Table1[[#This Row],[5 cm2 cell test code]:[5 cm2 cell test code]],[1]!Table1[[Test code]:[Test code]],[1]!Table1[3-E Tafel slope (mV/dec)],"",0)</f>
        <v>#REF!</v>
      </c>
      <c r="AA916" s="69" t="e" cm="1">
        <f t="array" ref="AA916">_xlfn.XLOOKUP(Table1[[#This Row],[5 cm2 cell test code]:[5 cm2 cell test code]],[1]!Table1[[Test code]:[Test code]],[1]!Table1[E @ 100 mA/cm2 DIW/V],"",0)</f>
        <v>#REF!</v>
      </c>
      <c r="AB916" s="69" t="e" cm="1">
        <f t="array" ref="AB916">_xlfn.XLOOKUP(Table1[[#This Row],[5 cm2 cell test code]:[5 cm2 cell test code]],[1]!Table1[[Test code]:[Test code]],[1]!Table1[E @ 100 mA/cm2 10 mM KOH/V],"",0)</f>
        <v>#REF!</v>
      </c>
      <c r="AC916" s="69" t="e" cm="1">
        <f t="array" ref="AC916">_xlfn.XLOOKUP(Table1[[#This Row],[5 cm2 cell test code]:[5 cm2 cell test code]],[1]!Table1[[Test code]:[Test code]],[1]!Table1[Anode ICR/mOhm],"",0)</f>
        <v>#REF!</v>
      </c>
      <c r="AD916" s="69" t="e" cm="1">
        <f t="array" ref="AD916">_xlfn.XLOOKUP(Table1[[#This Row],[5 cm2 cell test code]:[5 cm2 cell test code]],[1]!Table1[[Test code]:[Test code]],[1]!Table1[HFR DIW/ mOhm cm2],"",0)</f>
        <v>#REF!</v>
      </c>
      <c r="AE916" s="69" t="e" cm="1">
        <f t="array" ref="AE916">_xlfn.XLOOKUP(Table1[[#This Row],[5 cm2 cell test code]:[5 cm2 cell test code]],[1]!Table1[[Test code]:[Test code]],[1]!Table1[HFR 10 mM KOH/ mOhm cm2],"",0)</f>
        <v>#REF!</v>
      </c>
      <c r="AF916" s="69" t="e" cm="1">
        <f t="array" ref="AF916">_xlfn.XLOOKUP(Table1[[#This Row],[5 cm2 cell test code]:[5 cm2 cell test code]],[1]!Table1[[Test code]:[Test code]],[1]!Table1[Ionic resistance DIW/Ohm cm2],"",0)</f>
        <v>#REF!</v>
      </c>
      <c r="AG916" s="69" t="e" cm="1">
        <f t="array" ref="AG916">_xlfn.XLOOKUP(Table1[[#This Row],[5 cm2 cell test code]:[5 cm2 cell test code]],[1]!Table1[[Test code]:[Test code]],[1]!Table1[Q_int_frac DIW],"",0)</f>
        <v>#REF!</v>
      </c>
      <c r="AH916" s="69" t="e" cm="1">
        <f t="array" ref="AH916">_xlfn.XLOOKUP(Table1[[#This Row],[5 cm2 cell test code]:[5 cm2 cell test code]],[1]!Table1[[Test code]:[Test code]],[1]!Table1[Ionic resistance 10 mM KOH/Ohm cm2],"",0)</f>
        <v>#REF!</v>
      </c>
      <c r="AI916" s="69" t="e" cm="1">
        <f t="array" ref="AI916">_xlfn.XLOOKUP(Table1[[#This Row],[5 cm2 cell test code]:[5 cm2 cell test code]],[1]!Table1[[Test code]:[Test code]],[1]!Table1[Q_int_frac DIW 10 mM KOH],"",0)</f>
        <v>#REF!</v>
      </c>
      <c r="AJ916" s="69" t="e" cm="1">
        <f t="array" ref="AJ916">_xlfn.XLOOKUP(Table1[[#This Row],[5 cm2 cell test code]:[5 cm2 cell test code]],[1]!Table1[[Test code]:[Test code]],[1]!Table1[DIW conductivity (µS/cm)],"",0)</f>
        <v>#REF!</v>
      </c>
    </row>
    <row r="917" spans="1:36">
      <c r="A917" s="81"/>
      <c r="U917" s="101"/>
      <c r="V917" s="101"/>
      <c r="W917" s="69" t="e" cm="1">
        <f t="array" ref="W917">_xlfn.XLOOKUP(Table1[[#This Row],[5 cm2 cell test code]:[5 cm2 cell test code]],[1]!Table1[[Test code]:[Test code]],[1]!Table1[i @ 1.8 V DIW (A/cm2)],"",0)</f>
        <v>#REF!</v>
      </c>
      <c r="X917" s="69" t="e" cm="1">
        <f t="array" ref="X917">_xlfn.XLOOKUP(Table1[[#This Row],[5 cm2 cell test code]:[5 cm2 cell test code]],[1]!Table1[[Test code]:[Test code]],[1]!Table1[i @ 1.8 V 10 mM KOH (A/cm2)],"",0)</f>
        <v>#REF!</v>
      </c>
      <c r="Y917" s="69" t="e" cm="1">
        <f t="array" ref="Y917">_xlfn.XLOOKUP(Table1[[#This Row],[5 cm2 cell test code]:[5 cm2 cell test code]],[1]!Table1[[Test code]:[Test code]],[1]!Table1[3-E ƞ at 20mAcm-2 (mV)],"",0)</f>
        <v>#REF!</v>
      </c>
      <c r="Z917" s="69" t="e" cm="1">
        <f t="array" ref="Z917">_xlfn.XLOOKUP(Table1[[#This Row],[5 cm2 cell test code]:[5 cm2 cell test code]],[1]!Table1[[Test code]:[Test code]],[1]!Table1[3-E Tafel slope (mV/dec)],"",0)</f>
        <v>#REF!</v>
      </c>
      <c r="AA917" s="69" t="e" cm="1">
        <f t="array" ref="AA917">_xlfn.XLOOKUP(Table1[[#This Row],[5 cm2 cell test code]:[5 cm2 cell test code]],[1]!Table1[[Test code]:[Test code]],[1]!Table1[E @ 100 mA/cm2 DIW/V],"",0)</f>
        <v>#REF!</v>
      </c>
      <c r="AB917" s="69" t="e" cm="1">
        <f t="array" ref="AB917">_xlfn.XLOOKUP(Table1[[#This Row],[5 cm2 cell test code]:[5 cm2 cell test code]],[1]!Table1[[Test code]:[Test code]],[1]!Table1[E @ 100 mA/cm2 10 mM KOH/V],"",0)</f>
        <v>#REF!</v>
      </c>
      <c r="AC917" s="69" t="e" cm="1">
        <f t="array" ref="AC917">_xlfn.XLOOKUP(Table1[[#This Row],[5 cm2 cell test code]:[5 cm2 cell test code]],[1]!Table1[[Test code]:[Test code]],[1]!Table1[Anode ICR/mOhm],"",0)</f>
        <v>#REF!</v>
      </c>
      <c r="AD917" s="69" t="e" cm="1">
        <f t="array" ref="AD917">_xlfn.XLOOKUP(Table1[[#This Row],[5 cm2 cell test code]:[5 cm2 cell test code]],[1]!Table1[[Test code]:[Test code]],[1]!Table1[HFR DIW/ mOhm cm2],"",0)</f>
        <v>#REF!</v>
      </c>
      <c r="AE917" s="69" t="e" cm="1">
        <f t="array" ref="AE917">_xlfn.XLOOKUP(Table1[[#This Row],[5 cm2 cell test code]:[5 cm2 cell test code]],[1]!Table1[[Test code]:[Test code]],[1]!Table1[HFR 10 mM KOH/ mOhm cm2],"",0)</f>
        <v>#REF!</v>
      </c>
      <c r="AF917" s="69" t="e" cm="1">
        <f t="array" ref="AF917">_xlfn.XLOOKUP(Table1[[#This Row],[5 cm2 cell test code]:[5 cm2 cell test code]],[1]!Table1[[Test code]:[Test code]],[1]!Table1[Ionic resistance DIW/Ohm cm2],"",0)</f>
        <v>#REF!</v>
      </c>
      <c r="AG917" s="69" t="e" cm="1">
        <f t="array" ref="AG917">_xlfn.XLOOKUP(Table1[[#This Row],[5 cm2 cell test code]:[5 cm2 cell test code]],[1]!Table1[[Test code]:[Test code]],[1]!Table1[Q_int_frac DIW],"",0)</f>
        <v>#REF!</v>
      </c>
      <c r="AH917" s="69" t="e" cm="1">
        <f t="array" ref="AH917">_xlfn.XLOOKUP(Table1[[#This Row],[5 cm2 cell test code]:[5 cm2 cell test code]],[1]!Table1[[Test code]:[Test code]],[1]!Table1[Ionic resistance 10 mM KOH/Ohm cm2],"",0)</f>
        <v>#REF!</v>
      </c>
      <c r="AI917" s="69" t="e" cm="1">
        <f t="array" ref="AI917">_xlfn.XLOOKUP(Table1[[#This Row],[5 cm2 cell test code]:[5 cm2 cell test code]],[1]!Table1[[Test code]:[Test code]],[1]!Table1[Q_int_frac DIW 10 mM KOH],"",0)</f>
        <v>#REF!</v>
      </c>
      <c r="AJ917" s="69" t="e" cm="1">
        <f t="array" ref="AJ917">_xlfn.XLOOKUP(Table1[[#This Row],[5 cm2 cell test code]:[5 cm2 cell test code]],[1]!Table1[[Test code]:[Test code]],[1]!Table1[DIW conductivity (µS/cm)],"",0)</f>
        <v>#REF!</v>
      </c>
    </row>
    <row r="918" spans="1:36">
      <c r="A918" s="81"/>
      <c r="U918" s="101"/>
      <c r="V918" s="101"/>
      <c r="W918" s="69" t="e" cm="1">
        <f t="array" ref="W918">_xlfn.XLOOKUP(Table1[[#This Row],[5 cm2 cell test code]:[5 cm2 cell test code]],[1]!Table1[[Test code]:[Test code]],[1]!Table1[i @ 1.8 V DIW (A/cm2)],"",0)</f>
        <v>#REF!</v>
      </c>
      <c r="X918" s="69" t="e" cm="1">
        <f t="array" ref="X918">_xlfn.XLOOKUP(Table1[[#This Row],[5 cm2 cell test code]:[5 cm2 cell test code]],[1]!Table1[[Test code]:[Test code]],[1]!Table1[i @ 1.8 V 10 mM KOH (A/cm2)],"",0)</f>
        <v>#REF!</v>
      </c>
      <c r="Y918" s="69" t="e" cm="1">
        <f t="array" ref="Y918">_xlfn.XLOOKUP(Table1[[#This Row],[5 cm2 cell test code]:[5 cm2 cell test code]],[1]!Table1[[Test code]:[Test code]],[1]!Table1[3-E ƞ at 20mAcm-2 (mV)],"",0)</f>
        <v>#REF!</v>
      </c>
      <c r="Z918" s="69" t="e" cm="1">
        <f t="array" ref="Z918">_xlfn.XLOOKUP(Table1[[#This Row],[5 cm2 cell test code]:[5 cm2 cell test code]],[1]!Table1[[Test code]:[Test code]],[1]!Table1[3-E Tafel slope (mV/dec)],"",0)</f>
        <v>#REF!</v>
      </c>
      <c r="AA918" s="69" t="e" cm="1">
        <f t="array" ref="AA918">_xlfn.XLOOKUP(Table1[[#This Row],[5 cm2 cell test code]:[5 cm2 cell test code]],[1]!Table1[[Test code]:[Test code]],[1]!Table1[E @ 100 mA/cm2 DIW/V],"",0)</f>
        <v>#REF!</v>
      </c>
      <c r="AB918" s="69" t="e" cm="1">
        <f t="array" ref="AB918">_xlfn.XLOOKUP(Table1[[#This Row],[5 cm2 cell test code]:[5 cm2 cell test code]],[1]!Table1[[Test code]:[Test code]],[1]!Table1[E @ 100 mA/cm2 10 mM KOH/V],"",0)</f>
        <v>#REF!</v>
      </c>
      <c r="AC918" s="69" t="e" cm="1">
        <f t="array" ref="AC918">_xlfn.XLOOKUP(Table1[[#This Row],[5 cm2 cell test code]:[5 cm2 cell test code]],[1]!Table1[[Test code]:[Test code]],[1]!Table1[Anode ICR/mOhm],"",0)</f>
        <v>#REF!</v>
      </c>
      <c r="AD918" s="69" t="e" cm="1">
        <f t="array" ref="AD918">_xlfn.XLOOKUP(Table1[[#This Row],[5 cm2 cell test code]:[5 cm2 cell test code]],[1]!Table1[[Test code]:[Test code]],[1]!Table1[HFR DIW/ mOhm cm2],"",0)</f>
        <v>#REF!</v>
      </c>
      <c r="AE918" s="69" t="e" cm="1">
        <f t="array" ref="AE918">_xlfn.XLOOKUP(Table1[[#This Row],[5 cm2 cell test code]:[5 cm2 cell test code]],[1]!Table1[[Test code]:[Test code]],[1]!Table1[HFR 10 mM KOH/ mOhm cm2],"",0)</f>
        <v>#REF!</v>
      </c>
      <c r="AF918" s="69" t="e" cm="1">
        <f t="array" ref="AF918">_xlfn.XLOOKUP(Table1[[#This Row],[5 cm2 cell test code]:[5 cm2 cell test code]],[1]!Table1[[Test code]:[Test code]],[1]!Table1[Ionic resistance DIW/Ohm cm2],"",0)</f>
        <v>#REF!</v>
      </c>
      <c r="AG918" s="69" t="e" cm="1">
        <f t="array" ref="AG918">_xlfn.XLOOKUP(Table1[[#This Row],[5 cm2 cell test code]:[5 cm2 cell test code]],[1]!Table1[[Test code]:[Test code]],[1]!Table1[Q_int_frac DIW],"",0)</f>
        <v>#REF!</v>
      </c>
      <c r="AH918" s="69" t="e" cm="1">
        <f t="array" ref="AH918">_xlfn.XLOOKUP(Table1[[#This Row],[5 cm2 cell test code]:[5 cm2 cell test code]],[1]!Table1[[Test code]:[Test code]],[1]!Table1[Ionic resistance 10 mM KOH/Ohm cm2],"",0)</f>
        <v>#REF!</v>
      </c>
      <c r="AI918" s="69" t="e" cm="1">
        <f t="array" ref="AI918">_xlfn.XLOOKUP(Table1[[#This Row],[5 cm2 cell test code]:[5 cm2 cell test code]],[1]!Table1[[Test code]:[Test code]],[1]!Table1[Q_int_frac DIW 10 mM KOH],"",0)</f>
        <v>#REF!</v>
      </c>
      <c r="AJ918" s="69" t="e" cm="1">
        <f t="array" ref="AJ918">_xlfn.XLOOKUP(Table1[[#This Row],[5 cm2 cell test code]:[5 cm2 cell test code]],[1]!Table1[[Test code]:[Test code]],[1]!Table1[DIW conductivity (µS/cm)],"",0)</f>
        <v>#REF!</v>
      </c>
    </row>
    <row r="919" spans="1:36">
      <c r="A919" s="81"/>
      <c r="U919" s="101"/>
      <c r="V919" s="101"/>
      <c r="W919" s="69" t="e" cm="1">
        <f t="array" ref="W919">_xlfn.XLOOKUP(Table1[[#This Row],[5 cm2 cell test code]:[5 cm2 cell test code]],[1]!Table1[[Test code]:[Test code]],[1]!Table1[i @ 1.8 V DIW (A/cm2)],"",0)</f>
        <v>#REF!</v>
      </c>
      <c r="X919" s="69" t="e" cm="1">
        <f t="array" ref="X919">_xlfn.XLOOKUP(Table1[[#This Row],[5 cm2 cell test code]:[5 cm2 cell test code]],[1]!Table1[[Test code]:[Test code]],[1]!Table1[i @ 1.8 V 10 mM KOH (A/cm2)],"",0)</f>
        <v>#REF!</v>
      </c>
      <c r="Y919" s="69" t="e" cm="1">
        <f t="array" ref="Y919">_xlfn.XLOOKUP(Table1[[#This Row],[5 cm2 cell test code]:[5 cm2 cell test code]],[1]!Table1[[Test code]:[Test code]],[1]!Table1[3-E ƞ at 20mAcm-2 (mV)],"",0)</f>
        <v>#REF!</v>
      </c>
      <c r="Z919" s="69" t="e" cm="1">
        <f t="array" ref="Z919">_xlfn.XLOOKUP(Table1[[#This Row],[5 cm2 cell test code]:[5 cm2 cell test code]],[1]!Table1[[Test code]:[Test code]],[1]!Table1[3-E Tafel slope (mV/dec)],"",0)</f>
        <v>#REF!</v>
      </c>
      <c r="AA919" s="69" t="e" cm="1">
        <f t="array" ref="AA919">_xlfn.XLOOKUP(Table1[[#This Row],[5 cm2 cell test code]:[5 cm2 cell test code]],[1]!Table1[[Test code]:[Test code]],[1]!Table1[E @ 100 mA/cm2 DIW/V],"",0)</f>
        <v>#REF!</v>
      </c>
      <c r="AB919" s="69" t="e" cm="1">
        <f t="array" ref="AB919">_xlfn.XLOOKUP(Table1[[#This Row],[5 cm2 cell test code]:[5 cm2 cell test code]],[1]!Table1[[Test code]:[Test code]],[1]!Table1[E @ 100 mA/cm2 10 mM KOH/V],"",0)</f>
        <v>#REF!</v>
      </c>
      <c r="AC919" s="69" t="e" cm="1">
        <f t="array" ref="AC919">_xlfn.XLOOKUP(Table1[[#This Row],[5 cm2 cell test code]:[5 cm2 cell test code]],[1]!Table1[[Test code]:[Test code]],[1]!Table1[Anode ICR/mOhm],"",0)</f>
        <v>#REF!</v>
      </c>
      <c r="AD919" s="69" t="e" cm="1">
        <f t="array" ref="AD919">_xlfn.XLOOKUP(Table1[[#This Row],[5 cm2 cell test code]:[5 cm2 cell test code]],[1]!Table1[[Test code]:[Test code]],[1]!Table1[HFR DIW/ mOhm cm2],"",0)</f>
        <v>#REF!</v>
      </c>
      <c r="AE919" s="69" t="e" cm="1">
        <f t="array" ref="AE919">_xlfn.XLOOKUP(Table1[[#This Row],[5 cm2 cell test code]:[5 cm2 cell test code]],[1]!Table1[[Test code]:[Test code]],[1]!Table1[HFR 10 mM KOH/ mOhm cm2],"",0)</f>
        <v>#REF!</v>
      </c>
      <c r="AF919" s="69" t="e" cm="1">
        <f t="array" ref="AF919">_xlfn.XLOOKUP(Table1[[#This Row],[5 cm2 cell test code]:[5 cm2 cell test code]],[1]!Table1[[Test code]:[Test code]],[1]!Table1[Ionic resistance DIW/Ohm cm2],"",0)</f>
        <v>#REF!</v>
      </c>
      <c r="AG919" s="69" t="e" cm="1">
        <f t="array" ref="AG919">_xlfn.XLOOKUP(Table1[[#This Row],[5 cm2 cell test code]:[5 cm2 cell test code]],[1]!Table1[[Test code]:[Test code]],[1]!Table1[Q_int_frac DIW],"",0)</f>
        <v>#REF!</v>
      </c>
      <c r="AH919" s="69" t="e" cm="1">
        <f t="array" ref="AH919">_xlfn.XLOOKUP(Table1[[#This Row],[5 cm2 cell test code]:[5 cm2 cell test code]],[1]!Table1[[Test code]:[Test code]],[1]!Table1[Ionic resistance 10 mM KOH/Ohm cm2],"",0)</f>
        <v>#REF!</v>
      </c>
      <c r="AI919" s="69" t="e" cm="1">
        <f t="array" ref="AI919">_xlfn.XLOOKUP(Table1[[#This Row],[5 cm2 cell test code]:[5 cm2 cell test code]],[1]!Table1[[Test code]:[Test code]],[1]!Table1[Q_int_frac DIW 10 mM KOH],"",0)</f>
        <v>#REF!</v>
      </c>
      <c r="AJ919" s="69" t="e" cm="1">
        <f t="array" ref="AJ919">_xlfn.XLOOKUP(Table1[[#This Row],[5 cm2 cell test code]:[5 cm2 cell test code]],[1]!Table1[[Test code]:[Test code]],[1]!Table1[DIW conductivity (µS/cm)],"",0)</f>
        <v>#REF!</v>
      </c>
    </row>
    <row r="920" spans="1:36">
      <c r="A920" s="81"/>
      <c r="U920" s="101"/>
      <c r="V920" s="101"/>
      <c r="W920" s="69" t="e" cm="1">
        <f t="array" ref="W920">_xlfn.XLOOKUP(Table1[[#This Row],[5 cm2 cell test code]:[5 cm2 cell test code]],[1]!Table1[[Test code]:[Test code]],[1]!Table1[i @ 1.8 V DIW (A/cm2)],"",0)</f>
        <v>#REF!</v>
      </c>
      <c r="X920" s="69" t="e" cm="1">
        <f t="array" ref="X920">_xlfn.XLOOKUP(Table1[[#This Row],[5 cm2 cell test code]:[5 cm2 cell test code]],[1]!Table1[[Test code]:[Test code]],[1]!Table1[i @ 1.8 V 10 mM KOH (A/cm2)],"",0)</f>
        <v>#REF!</v>
      </c>
      <c r="Y920" s="69" t="e" cm="1">
        <f t="array" ref="Y920">_xlfn.XLOOKUP(Table1[[#This Row],[5 cm2 cell test code]:[5 cm2 cell test code]],[1]!Table1[[Test code]:[Test code]],[1]!Table1[3-E ƞ at 20mAcm-2 (mV)],"",0)</f>
        <v>#REF!</v>
      </c>
      <c r="Z920" s="69" t="e" cm="1">
        <f t="array" ref="Z920">_xlfn.XLOOKUP(Table1[[#This Row],[5 cm2 cell test code]:[5 cm2 cell test code]],[1]!Table1[[Test code]:[Test code]],[1]!Table1[3-E Tafel slope (mV/dec)],"",0)</f>
        <v>#REF!</v>
      </c>
      <c r="AA920" s="69" t="e" cm="1">
        <f t="array" ref="AA920">_xlfn.XLOOKUP(Table1[[#This Row],[5 cm2 cell test code]:[5 cm2 cell test code]],[1]!Table1[[Test code]:[Test code]],[1]!Table1[E @ 100 mA/cm2 DIW/V],"",0)</f>
        <v>#REF!</v>
      </c>
      <c r="AB920" s="69" t="e" cm="1">
        <f t="array" ref="AB920">_xlfn.XLOOKUP(Table1[[#This Row],[5 cm2 cell test code]:[5 cm2 cell test code]],[1]!Table1[[Test code]:[Test code]],[1]!Table1[E @ 100 mA/cm2 10 mM KOH/V],"",0)</f>
        <v>#REF!</v>
      </c>
      <c r="AC920" s="69" t="e" cm="1">
        <f t="array" ref="AC920">_xlfn.XLOOKUP(Table1[[#This Row],[5 cm2 cell test code]:[5 cm2 cell test code]],[1]!Table1[[Test code]:[Test code]],[1]!Table1[Anode ICR/mOhm],"",0)</f>
        <v>#REF!</v>
      </c>
      <c r="AD920" s="69" t="e" cm="1">
        <f t="array" ref="AD920">_xlfn.XLOOKUP(Table1[[#This Row],[5 cm2 cell test code]:[5 cm2 cell test code]],[1]!Table1[[Test code]:[Test code]],[1]!Table1[HFR DIW/ mOhm cm2],"",0)</f>
        <v>#REF!</v>
      </c>
      <c r="AE920" s="69" t="e" cm="1">
        <f t="array" ref="AE920">_xlfn.XLOOKUP(Table1[[#This Row],[5 cm2 cell test code]:[5 cm2 cell test code]],[1]!Table1[[Test code]:[Test code]],[1]!Table1[HFR 10 mM KOH/ mOhm cm2],"",0)</f>
        <v>#REF!</v>
      </c>
      <c r="AF920" s="69" t="e" cm="1">
        <f t="array" ref="AF920">_xlfn.XLOOKUP(Table1[[#This Row],[5 cm2 cell test code]:[5 cm2 cell test code]],[1]!Table1[[Test code]:[Test code]],[1]!Table1[Ionic resistance DIW/Ohm cm2],"",0)</f>
        <v>#REF!</v>
      </c>
      <c r="AG920" s="69" t="e" cm="1">
        <f t="array" ref="AG920">_xlfn.XLOOKUP(Table1[[#This Row],[5 cm2 cell test code]:[5 cm2 cell test code]],[1]!Table1[[Test code]:[Test code]],[1]!Table1[Q_int_frac DIW],"",0)</f>
        <v>#REF!</v>
      </c>
      <c r="AH920" s="69" t="e" cm="1">
        <f t="array" ref="AH920">_xlfn.XLOOKUP(Table1[[#This Row],[5 cm2 cell test code]:[5 cm2 cell test code]],[1]!Table1[[Test code]:[Test code]],[1]!Table1[Ionic resistance 10 mM KOH/Ohm cm2],"",0)</f>
        <v>#REF!</v>
      </c>
      <c r="AI920" s="69" t="e" cm="1">
        <f t="array" ref="AI920">_xlfn.XLOOKUP(Table1[[#This Row],[5 cm2 cell test code]:[5 cm2 cell test code]],[1]!Table1[[Test code]:[Test code]],[1]!Table1[Q_int_frac DIW 10 mM KOH],"",0)</f>
        <v>#REF!</v>
      </c>
      <c r="AJ920" s="69" t="e" cm="1">
        <f t="array" ref="AJ920">_xlfn.XLOOKUP(Table1[[#This Row],[5 cm2 cell test code]:[5 cm2 cell test code]],[1]!Table1[[Test code]:[Test code]],[1]!Table1[DIW conductivity (µS/cm)],"",0)</f>
        <v>#REF!</v>
      </c>
    </row>
    <row r="921" spans="1:36">
      <c r="A921" s="81"/>
      <c r="U921" s="101"/>
      <c r="V921" s="101"/>
      <c r="W921" s="69" t="e" cm="1">
        <f t="array" ref="W921">_xlfn.XLOOKUP(Table1[[#This Row],[5 cm2 cell test code]:[5 cm2 cell test code]],[1]!Table1[[Test code]:[Test code]],[1]!Table1[i @ 1.8 V DIW (A/cm2)],"",0)</f>
        <v>#REF!</v>
      </c>
      <c r="X921" s="69" t="e" cm="1">
        <f t="array" ref="X921">_xlfn.XLOOKUP(Table1[[#This Row],[5 cm2 cell test code]:[5 cm2 cell test code]],[1]!Table1[[Test code]:[Test code]],[1]!Table1[i @ 1.8 V 10 mM KOH (A/cm2)],"",0)</f>
        <v>#REF!</v>
      </c>
      <c r="Y921" s="69" t="e" cm="1">
        <f t="array" ref="Y921">_xlfn.XLOOKUP(Table1[[#This Row],[5 cm2 cell test code]:[5 cm2 cell test code]],[1]!Table1[[Test code]:[Test code]],[1]!Table1[3-E ƞ at 20mAcm-2 (mV)],"",0)</f>
        <v>#REF!</v>
      </c>
      <c r="Z921" s="69" t="e" cm="1">
        <f t="array" ref="Z921">_xlfn.XLOOKUP(Table1[[#This Row],[5 cm2 cell test code]:[5 cm2 cell test code]],[1]!Table1[[Test code]:[Test code]],[1]!Table1[3-E Tafel slope (mV/dec)],"",0)</f>
        <v>#REF!</v>
      </c>
      <c r="AA921" s="69" t="e" cm="1">
        <f t="array" ref="AA921">_xlfn.XLOOKUP(Table1[[#This Row],[5 cm2 cell test code]:[5 cm2 cell test code]],[1]!Table1[[Test code]:[Test code]],[1]!Table1[E @ 100 mA/cm2 DIW/V],"",0)</f>
        <v>#REF!</v>
      </c>
      <c r="AB921" s="69" t="e" cm="1">
        <f t="array" ref="AB921">_xlfn.XLOOKUP(Table1[[#This Row],[5 cm2 cell test code]:[5 cm2 cell test code]],[1]!Table1[[Test code]:[Test code]],[1]!Table1[E @ 100 mA/cm2 10 mM KOH/V],"",0)</f>
        <v>#REF!</v>
      </c>
      <c r="AC921" s="69" t="e" cm="1">
        <f t="array" ref="AC921">_xlfn.XLOOKUP(Table1[[#This Row],[5 cm2 cell test code]:[5 cm2 cell test code]],[1]!Table1[[Test code]:[Test code]],[1]!Table1[Anode ICR/mOhm],"",0)</f>
        <v>#REF!</v>
      </c>
      <c r="AD921" s="69" t="e" cm="1">
        <f t="array" ref="AD921">_xlfn.XLOOKUP(Table1[[#This Row],[5 cm2 cell test code]:[5 cm2 cell test code]],[1]!Table1[[Test code]:[Test code]],[1]!Table1[HFR DIW/ mOhm cm2],"",0)</f>
        <v>#REF!</v>
      </c>
      <c r="AE921" s="69" t="e" cm="1">
        <f t="array" ref="AE921">_xlfn.XLOOKUP(Table1[[#This Row],[5 cm2 cell test code]:[5 cm2 cell test code]],[1]!Table1[[Test code]:[Test code]],[1]!Table1[HFR 10 mM KOH/ mOhm cm2],"",0)</f>
        <v>#REF!</v>
      </c>
      <c r="AF921" s="69" t="e" cm="1">
        <f t="array" ref="AF921">_xlfn.XLOOKUP(Table1[[#This Row],[5 cm2 cell test code]:[5 cm2 cell test code]],[1]!Table1[[Test code]:[Test code]],[1]!Table1[Ionic resistance DIW/Ohm cm2],"",0)</f>
        <v>#REF!</v>
      </c>
      <c r="AG921" s="69" t="e" cm="1">
        <f t="array" ref="AG921">_xlfn.XLOOKUP(Table1[[#This Row],[5 cm2 cell test code]:[5 cm2 cell test code]],[1]!Table1[[Test code]:[Test code]],[1]!Table1[Q_int_frac DIW],"",0)</f>
        <v>#REF!</v>
      </c>
      <c r="AH921" s="69" t="e" cm="1">
        <f t="array" ref="AH921">_xlfn.XLOOKUP(Table1[[#This Row],[5 cm2 cell test code]:[5 cm2 cell test code]],[1]!Table1[[Test code]:[Test code]],[1]!Table1[Ionic resistance 10 mM KOH/Ohm cm2],"",0)</f>
        <v>#REF!</v>
      </c>
      <c r="AI921" s="69" t="e" cm="1">
        <f t="array" ref="AI921">_xlfn.XLOOKUP(Table1[[#This Row],[5 cm2 cell test code]:[5 cm2 cell test code]],[1]!Table1[[Test code]:[Test code]],[1]!Table1[Q_int_frac DIW 10 mM KOH],"",0)</f>
        <v>#REF!</v>
      </c>
      <c r="AJ921" s="69" t="e" cm="1">
        <f t="array" ref="AJ921">_xlfn.XLOOKUP(Table1[[#This Row],[5 cm2 cell test code]:[5 cm2 cell test code]],[1]!Table1[[Test code]:[Test code]],[1]!Table1[DIW conductivity (µS/cm)],"",0)</f>
        <v>#REF!</v>
      </c>
    </row>
    <row r="922" spans="1:36">
      <c r="A922" s="81"/>
      <c r="U922" s="101"/>
      <c r="V922" s="101"/>
      <c r="W922" s="69" t="e" cm="1">
        <f t="array" ref="W922">_xlfn.XLOOKUP(Table1[[#This Row],[5 cm2 cell test code]:[5 cm2 cell test code]],[1]!Table1[[Test code]:[Test code]],[1]!Table1[i @ 1.8 V DIW (A/cm2)],"",0)</f>
        <v>#REF!</v>
      </c>
      <c r="X922" s="69" t="e" cm="1">
        <f t="array" ref="X922">_xlfn.XLOOKUP(Table1[[#This Row],[5 cm2 cell test code]:[5 cm2 cell test code]],[1]!Table1[[Test code]:[Test code]],[1]!Table1[i @ 1.8 V 10 mM KOH (A/cm2)],"",0)</f>
        <v>#REF!</v>
      </c>
      <c r="Y922" s="69" t="e" cm="1">
        <f t="array" ref="Y922">_xlfn.XLOOKUP(Table1[[#This Row],[5 cm2 cell test code]:[5 cm2 cell test code]],[1]!Table1[[Test code]:[Test code]],[1]!Table1[3-E ƞ at 20mAcm-2 (mV)],"",0)</f>
        <v>#REF!</v>
      </c>
      <c r="Z922" s="69" t="e" cm="1">
        <f t="array" ref="Z922">_xlfn.XLOOKUP(Table1[[#This Row],[5 cm2 cell test code]:[5 cm2 cell test code]],[1]!Table1[[Test code]:[Test code]],[1]!Table1[3-E Tafel slope (mV/dec)],"",0)</f>
        <v>#REF!</v>
      </c>
      <c r="AA922" s="69" t="e" cm="1">
        <f t="array" ref="AA922">_xlfn.XLOOKUP(Table1[[#This Row],[5 cm2 cell test code]:[5 cm2 cell test code]],[1]!Table1[[Test code]:[Test code]],[1]!Table1[E @ 100 mA/cm2 DIW/V],"",0)</f>
        <v>#REF!</v>
      </c>
      <c r="AB922" s="69" t="e" cm="1">
        <f t="array" ref="AB922">_xlfn.XLOOKUP(Table1[[#This Row],[5 cm2 cell test code]:[5 cm2 cell test code]],[1]!Table1[[Test code]:[Test code]],[1]!Table1[E @ 100 mA/cm2 10 mM KOH/V],"",0)</f>
        <v>#REF!</v>
      </c>
      <c r="AC922" s="69" t="e" cm="1">
        <f t="array" ref="AC922">_xlfn.XLOOKUP(Table1[[#This Row],[5 cm2 cell test code]:[5 cm2 cell test code]],[1]!Table1[[Test code]:[Test code]],[1]!Table1[Anode ICR/mOhm],"",0)</f>
        <v>#REF!</v>
      </c>
      <c r="AD922" s="69" t="e" cm="1">
        <f t="array" ref="AD922">_xlfn.XLOOKUP(Table1[[#This Row],[5 cm2 cell test code]:[5 cm2 cell test code]],[1]!Table1[[Test code]:[Test code]],[1]!Table1[HFR DIW/ mOhm cm2],"",0)</f>
        <v>#REF!</v>
      </c>
      <c r="AE922" s="69" t="e" cm="1">
        <f t="array" ref="AE922">_xlfn.XLOOKUP(Table1[[#This Row],[5 cm2 cell test code]:[5 cm2 cell test code]],[1]!Table1[[Test code]:[Test code]],[1]!Table1[HFR 10 mM KOH/ mOhm cm2],"",0)</f>
        <v>#REF!</v>
      </c>
      <c r="AF922" s="69" t="e" cm="1">
        <f t="array" ref="AF922">_xlfn.XLOOKUP(Table1[[#This Row],[5 cm2 cell test code]:[5 cm2 cell test code]],[1]!Table1[[Test code]:[Test code]],[1]!Table1[Ionic resistance DIW/Ohm cm2],"",0)</f>
        <v>#REF!</v>
      </c>
      <c r="AG922" s="69" t="e" cm="1">
        <f t="array" ref="AG922">_xlfn.XLOOKUP(Table1[[#This Row],[5 cm2 cell test code]:[5 cm2 cell test code]],[1]!Table1[[Test code]:[Test code]],[1]!Table1[Q_int_frac DIW],"",0)</f>
        <v>#REF!</v>
      </c>
      <c r="AH922" s="69" t="e" cm="1">
        <f t="array" ref="AH922">_xlfn.XLOOKUP(Table1[[#This Row],[5 cm2 cell test code]:[5 cm2 cell test code]],[1]!Table1[[Test code]:[Test code]],[1]!Table1[Ionic resistance 10 mM KOH/Ohm cm2],"",0)</f>
        <v>#REF!</v>
      </c>
      <c r="AI922" s="69" t="e" cm="1">
        <f t="array" ref="AI922">_xlfn.XLOOKUP(Table1[[#This Row],[5 cm2 cell test code]:[5 cm2 cell test code]],[1]!Table1[[Test code]:[Test code]],[1]!Table1[Q_int_frac DIW 10 mM KOH],"",0)</f>
        <v>#REF!</v>
      </c>
      <c r="AJ922" s="69" t="e" cm="1">
        <f t="array" ref="AJ922">_xlfn.XLOOKUP(Table1[[#This Row],[5 cm2 cell test code]:[5 cm2 cell test code]],[1]!Table1[[Test code]:[Test code]],[1]!Table1[DIW conductivity (µS/cm)],"",0)</f>
        <v>#REF!</v>
      </c>
    </row>
    <row r="923" spans="1:36">
      <c r="A923" s="81"/>
      <c r="U923" s="101"/>
      <c r="V923" s="101"/>
      <c r="W923" s="69" t="e" cm="1">
        <f t="array" ref="W923">_xlfn.XLOOKUP(Table1[[#This Row],[5 cm2 cell test code]:[5 cm2 cell test code]],[1]!Table1[[Test code]:[Test code]],[1]!Table1[i @ 1.8 V DIW (A/cm2)],"",0)</f>
        <v>#REF!</v>
      </c>
      <c r="X923" s="69" t="e" cm="1">
        <f t="array" ref="X923">_xlfn.XLOOKUP(Table1[[#This Row],[5 cm2 cell test code]:[5 cm2 cell test code]],[1]!Table1[[Test code]:[Test code]],[1]!Table1[i @ 1.8 V 10 mM KOH (A/cm2)],"",0)</f>
        <v>#REF!</v>
      </c>
      <c r="Y923" s="69" t="e" cm="1">
        <f t="array" ref="Y923">_xlfn.XLOOKUP(Table1[[#This Row],[5 cm2 cell test code]:[5 cm2 cell test code]],[1]!Table1[[Test code]:[Test code]],[1]!Table1[3-E ƞ at 20mAcm-2 (mV)],"",0)</f>
        <v>#REF!</v>
      </c>
      <c r="Z923" s="69" t="e" cm="1">
        <f t="array" ref="Z923">_xlfn.XLOOKUP(Table1[[#This Row],[5 cm2 cell test code]:[5 cm2 cell test code]],[1]!Table1[[Test code]:[Test code]],[1]!Table1[3-E Tafel slope (mV/dec)],"",0)</f>
        <v>#REF!</v>
      </c>
      <c r="AA923" s="69" t="e" cm="1">
        <f t="array" ref="AA923">_xlfn.XLOOKUP(Table1[[#This Row],[5 cm2 cell test code]:[5 cm2 cell test code]],[1]!Table1[[Test code]:[Test code]],[1]!Table1[E @ 100 mA/cm2 DIW/V],"",0)</f>
        <v>#REF!</v>
      </c>
      <c r="AB923" s="69" t="e" cm="1">
        <f t="array" ref="AB923">_xlfn.XLOOKUP(Table1[[#This Row],[5 cm2 cell test code]:[5 cm2 cell test code]],[1]!Table1[[Test code]:[Test code]],[1]!Table1[E @ 100 mA/cm2 10 mM KOH/V],"",0)</f>
        <v>#REF!</v>
      </c>
      <c r="AC923" s="69" t="e" cm="1">
        <f t="array" ref="AC923">_xlfn.XLOOKUP(Table1[[#This Row],[5 cm2 cell test code]:[5 cm2 cell test code]],[1]!Table1[[Test code]:[Test code]],[1]!Table1[Anode ICR/mOhm],"",0)</f>
        <v>#REF!</v>
      </c>
      <c r="AD923" s="69" t="e" cm="1">
        <f t="array" ref="AD923">_xlfn.XLOOKUP(Table1[[#This Row],[5 cm2 cell test code]:[5 cm2 cell test code]],[1]!Table1[[Test code]:[Test code]],[1]!Table1[HFR DIW/ mOhm cm2],"",0)</f>
        <v>#REF!</v>
      </c>
      <c r="AE923" s="69" t="e" cm="1">
        <f t="array" ref="AE923">_xlfn.XLOOKUP(Table1[[#This Row],[5 cm2 cell test code]:[5 cm2 cell test code]],[1]!Table1[[Test code]:[Test code]],[1]!Table1[HFR 10 mM KOH/ mOhm cm2],"",0)</f>
        <v>#REF!</v>
      </c>
      <c r="AF923" s="69" t="e" cm="1">
        <f t="array" ref="AF923">_xlfn.XLOOKUP(Table1[[#This Row],[5 cm2 cell test code]:[5 cm2 cell test code]],[1]!Table1[[Test code]:[Test code]],[1]!Table1[Ionic resistance DIW/Ohm cm2],"",0)</f>
        <v>#REF!</v>
      </c>
      <c r="AG923" s="69" t="e" cm="1">
        <f t="array" ref="AG923">_xlfn.XLOOKUP(Table1[[#This Row],[5 cm2 cell test code]:[5 cm2 cell test code]],[1]!Table1[[Test code]:[Test code]],[1]!Table1[Q_int_frac DIW],"",0)</f>
        <v>#REF!</v>
      </c>
      <c r="AH923" s="69" t="e" cm="1">
        <f t="array" ref="AH923">_xlfn.XLOOKUP(Table1[[#This Row],[5 cm2 cell test code]:[5 cm2 cell test code]],[1]!Table1[[Test code]:[Test code]],[1]!Table1[Ionic resistance 10 mM KOH/Ohm cm2],"",0)</f>
        <v>#REF!</v>
      </c>
      <c r="AI923" s="69" t="e" cm="1">
        <f t="array" ref="AI923">_xlfn.XLOOKUP(Table1[[#This Row],[5 cm2 cell test code]:[5 cm2 cell test code]],[1]!Table1[[Test code]:[Test code]],[1]!Table1[Q_int_frac DIW 10 mM KOH],"",0)</f>
        <v>#REF!</v>
      </c>
      <c r="AJ923" s="69" t="e" cm="1">
        <f t="array" ref="AJ923">_xlfn.XLOOKUP(Table1[[#This Row],[5 cm2 cell test code]:[5 cm2 cell test code]],[1]!Table1[[Test code]:[Test code]],[1]!Table1[DIW conductivity (µS/cm)],"",0)</f>
        <v>#REF!</v>
      </c>
    </row>
    <row r="924" spans="1:36">
      <c r="A924" s="81"/>
      <c r="U924" s="101"/>
      <c r="V924" s="101"/>
      <c r="W924" s="69" t="e" cm="1">
        <f t="array" ref="W924">_xlfn.XLOOKUP(Table1[[#This Row],[5 cm2 cell test code]:[5 cm2 cell test code]],[1]!Table1[[Test code]:[Test code]],[1]!Table1[i @ 1.8 V DIW (A/cm2)],"",0)</f>
        <v>#REF!</v>
      </c>
      <c r="X924" s="69" t="e" cm="1">
        <f t="array" ref="X924">_xlfn.XLOOKUP(Table1[[#This Row],[5 cm2 cell test code]:[5 cm2 cell test code]],[1]!Table1[[Test code]:[Test code]],[1]!Table1[i @ 1.8 V 10 mM KOH (A/cm2)],"",0)</f>
        <v>#REF!</v>
      </c>
      <c r="Y924" s="69" t="e" cm="1">
        <f t="array" ref="Y924">_xlfn.XLOOKUP(Table1[[#This Row],[5 cm2 cell test code]:[5 cm2 cell test code]],[1]!Table1[[Test code]:[Test code]],[1]!Table1[3-E ƞ at 20mAcm-2 (mV)],"",0)</f>
        <v>#REF!</v>
      </c>
      <c r="Z924" s="69" t="e" cm="1">
        <f t="array" ref="Z924">_xlfn.XLOOKUP(Table1[[#This Row],[5 cm2 cell test code]:[5 cm2 cell test code]],[1]!Table1[[Test code]:[Test code]],[1]!Table1[3-E Tafel slope (mV/dec)],"",0)</f>
        <v>#REF!</v>
      </c>
      <c r="AA924" s="69" t="e" cm="1">
        <f t="array" ref="AA924">_xlfn.XLOOKUP(Table1[[#This Row],[5 cm2 cell test code]:[5 cm2 cell test code]],[1]!Table1[[Test code]:[Test code]],[1]!Table1[E @ 100 mA/cm2 DIW/V],"",0)</f>
        <v>#REF!</v>
      </c>
      <c r="AB924" s="69" t="e" cm="1">
        <f t="array" ref="AB924">_xlfn.XLOOKUP(Table1[[#This Row],[5 cm2 cell test code]:[5 cm2 cell test code]],[1]!Table1[[Test code]:[Test code]],[1]!Table1[E @ 100 mA/cm2 10 mM KOH/V],"",0)</f>
        <v>#REF!</v>
      </c>
      <c r="AC924" s="69" t="e" cm="1">
        <f t="array" ref="AC924">_xlfn.XLOOKUP(Table1[[#This Row],[5 cm2 cell test code]:[5 cm2 cell test code]],[1]!Table1[[Test code]:[Test code]],[1]!Table1[Anode ICR/mOhm],"",0)</f>
        <v>#REF!</v>
      </c>
      <c r="AD924" s="69" t="e" cm="1">
        <f t="array" ref="AD924">_xlfn.XLOOKUP(Table1[[#This Row],[5 cm2 cell test code]:[5 cm2 cell test code]],[1]!Table1[[Test code]:[Test code]],[1]!Table1[HFR DIW/ mOhm cm2],"",0)</f>
        <v>#REF!</v>
      </c>
      <c r="AE924" s="69" t="e" cm="1">
        <f t="array" ref="AE924">_xlfn.XLOOKUP(Table1[[#This Row],[5 cm2 cell test code]:[5 cm2 cell test code]],[1]!Table1[[Test code]:[Test code]],[1]!Table1[HFR 10 mM KOH/ mOhm cm2],"",0)</f>
        <v>#REF!</v>
      </c>
      <c r="AF924" s="69" t="e" cm="1">
        <f t="array" ref="AF924">_xlfn.XLOOKUP(Table1[[#This Row],[5 cm2 cell test code]:[5 cm2 cell test code]],[1]!Table1[[Test code]:[Test code]],[1]!Table1[Ionic resistance DIW/Ohm cm2],"",0)</f>
        <v>#REF!</v>
      </c>
      <c r="AG924" s="69" t="e" cm="1">
        <f t="array" ref="AG924">_xlfn.XLOOKUP(Table1[[#This Row],[5 cm2 cell test code]:[5 cm2 cell test code]],[1]!Table1[[Test code]:[Test code]],[1]!Table1[Q_int_frac DIW],"",0)</f>
        <v>#REF!</v>
      </c>
      <c r="AH924" s="69" t="e" cm="1">
        <f t="array" ref="AH924">_xlfn.XLOOKUP(Table1[[#This Row],[5 cm2 cell test code]:[5 cm2 cell test code]],[1]!Table1[[Test code]:[Test code]],[1]!Table1[Ionic resistance 10 mM KOH/Ohm cm2],"",0)</f>
        <v>#REF!</v>
      </c>
      <c r="AI924" s="69" t="e" cm="1">
        <f t="array" ref="AI924">_xlfn.XLOOKUP(Table1[[#This Row],[5 cm2 cell test code]:[5 cm2 cell test code]],[1]!Table1[[Test code]:[Test code]],[1]!Table1[Q_int_frac DIW 10 mM KOH],"",0)</f>
        <v>#REF!</v>
      </c>
      <c r="AJ924" s="69" t="e" cm="1">
        <f t="array" ref="AJ924">_xlfn.XLOOKUP(Table1[[#This Row],[5 cm2 cell test code]:[5 cm2 cell test code]],[1]!Table1[[Test code]:[Test code]],[1]!Table1[DIW conductivity (µS/cm)],"",0)</f>
        <v>#REF!</v>
      </c>
    </row>
    <row r="925" spans="1:36">
      <c r="A925" s="81"/>
      <c r="U925" s="101"/>
      <c r="V925" s="101"/>
      <c r="W925" s="69" t="e" cm="1">
        <f t="array" ref="W925">_xlfn.XLOOKUP(Table1[[#This Row],[5 cm2 cell test code]:[5 cm2 cell test code]],[1]!Table1[[Test code]:[Test code]],[1]!Table1[i @ 1.8 V DIW (A/cm2)],"",0)</f>
        <v>#REF!</v>
      </c>
      <c r="X925" s="69" t="e" cm="1">
        <f t="array" ref="X925">_xlfn.XLOOKUP(Table1[[#This Row],[5 cm2 cell test code]:[5 cm2 cell test code]],[1]!Table1[[Test code]:[Test code]],[1]!Table1[i @ 1.8 V 10 mM KOH (A/cm2)],"",0)</f>
        <v>#REF!</v>
      </c>
      <c r="Y925" s="69" t="e" cm="1">
        <f t="array" ref="Y925">_xlfn.XLOOKUP(Table1[[#This Row],[5 cm2 cell test code]:[5 cm2 cell test code]],[1]!Table1[[Test code]:[Test code]],[1]!Table1[3-E ƞ at 20mAcm-2 (mV)],"",0)</f>
        <v>#REF!</v>
      </c>
      <c r="Z925" s="69" t="e" cm="1">
        <f t="array" ref="Z925">_xlfn.XLOOKUP(Table1[[#This Row],[5 cm2 cell test code]:[5 cm2 cell test code]],[1]!Table1[[Test code]:[Test code]],[1]!Table1[3-E Tafel slope (mV/dec)],"",0)</f>
        <v>#REF!</v>
      </c>
      <c r="AA925" s="69" t="e" cm="1">
        <f t="array" ref="AA925">_xlfn.XLOOKUP(Table1[[#This Row],[5 cm2 cell test code]:[5 cm2 cell test code]],[1]!Table1[[Test code]:[Test code]],[1]!Table1[E @ 100 mA/cm2 DIW/V],"",0)</f>
        <v>#REF!</v>
      </c>
      <c r="AB925" s="69" t="e" cm="1">
        <f t="array" ref="AB925">_xlfn.XLOOKUP(Table1[[#This Row],[5 cm2 cell test code]:[5 cm2 cell test code]],[1]!Table1[[Test code]:[Test code]],[1]!Table1[E @ 100 mA/cm2 10 mM KOH/V],"",0)</f>
        <v>#REF!</v>
      </c>
      <c r="AC925" s="69" t="e" cm="1">
        <f t="array" ref="AC925">_xlfn.XLOOKUP(Table1[[#This Row],[5 cm2 cell test code]:[5 cm2 cell test code]],[1]!Table1[[Test code]:[Test code]],[1]!Table1[Anode ICR/mOhm],"",0)</f>
        <v>#REF!</v>
      </c>
      <c r="AD925" s="69" t="e" cm="1">
        <f t="array" ref="AD925">_xlfn.XLOOKUP(Table1[[#This Row],[5 cm2 cell test code]:[5 cm2 cell test code]],[1]!Table1[[Test code]:[Test code]],[1]!Table1[HFR DIW/ mOhm cm2],"",0)</f>
        <v>#REF!</v>
      </c>
      <c r="AE925" s="69" t="e" cm="1">
        <f t="array" ref="AE925">_xlfn.XLOOKUP(Table1[[#This Row],[5 cm2 cell test code]:[5 cm2 cell test code]],[1]!Table1[[Test code]:[Test code]],[1]!Table1[HFR 10 mM KOH/ mOhm cm2],"",0)</f>
        <v>#REF!</v>
      </c>
      <c r="AF925" s="69" t="e" cm="1">
        <f t="array" ref="AF925">_xlfn.XLOOKUP(Table1[[#This Row],[5 cm2 cell test code]:[5 cm2 cell test code]],[1]!Table1[[Test code]:[Test code]],[1]!Table1[Ionic resistance DIW/Ohm cm2],"",0)</f>
        <v>#REF!</v>
      </c>
      <c r="AG925" s="69" t="e" cm="1">
        <f t="array" ref="AG925">_xlfn.XLOOKUP(Table1[[#This Row],[5 cm2 cell test code]:[5 cm2 cell test code]],[1]!Table1[[Test code]:[Test code]],[1]!Table1[Q_int_frac DIW],"",0)</f>
        <v>#REF!</v>
      </c>
      <c r="AH925" s="69" t="e" cm="1">
        <f t="array" ref="AH925">_xlfn.XLOOKUP(Table1[[#This Row],[5 cm2 cell test code]:[5 cm2 cell test code]],[1]!Table1[[Test code]:[Test code]],[1]!Table1[Ionic resistance 10 mM KOH/Ohm cm2],"",0)</f>
        <v>#REF!</v>
      </c>
      <c r="AI925" s="69" t="e" cm="1">
        <f t="array" ref="AI925">_xlfn.XLOOKUP(Table1[[#This Row],[5 cm2 cell test code]:[5 cm2 cell test code]],[1]!Table1[[Test code]:[Test code]],[1]!Table1[Q_int_frac DIW 10 mM KOH],"",0)</f>
        <v>#REF!</v>
      </c>
      <c r="AJ925" s="69" t="e" cm="1">
        <f t="array" ref="AJ925">_xlfn.XLOOKUP(Table1[[#This Row],[5 cm2 cell test code]:[5 cm2 cell test code]],[1]!Table1[[Test code]:[Test code]],[1]!Table1[DIW conductivity (µS/cm)],"",0)</f>
        <v>#REF!</v>
      </c>
    </row>
    <row r="926" spans="1:36">
      <c r="A926" s="81"/>
      <c r="U926" s="101"/>
      <c r="V926" s="101"/>
      <c r="W926" s="69" t="e" cm="1">
        <f t="array" ref="W926">_xlfn.XLOOKUP(Table1[[#This Row],[5 cm2 cell test code]:[5 cm2 cell test code]],[1]!Table1[[Test code]:[Test code]],[1]!Table1[i @ 1.8 V DIW (A/cm2)],"",0)</f>
        <v>#REF!</v>
      </c>
      <c r="X926" s="69" t="e" cm="1">
        <f t="array" ref="X926">_xlfn.XLOOKUP(Table1[[#This Row],[5 cm2 cell test code]:[5 cm2 cell test code]],[1]!Table1[[Test code]:[Test code]],[1]!Table1[i @ 1.8 V 10 mM KOH (A/cm2)],"",0)</f>
        <v>#REF!</v>
      </c>
      <c r="Y926" s="69" t="e" cm="1">
        <f t="array" ref="Y926">_xlfn.XLOOKUP(Table1[[#This Row],[5 cm2 cell test code]:[5 cm2 cell test code]],[1]!Table1[[Test code]:[Test code]],[1]!Table1[3-E ƞ at 20mAcm-2 (mV)],"",0)</f>
        <v>#REF!</v>
      </c>
      <c r="Z926" s="69" t="e" cm="1">
        <f t="array" ref="Z926">_xlfn.XLOOKUP(Table1[[#This Row],[5 cm2 cell test code]:[5 cm2 cell test code]],[1]!Table1[[Test code]:[Test code]],[1]!Table1[3-E Tafel slope (mV/dec)],"",0)</f>
        <v>#REF!</v>
      </c>
      <c r="AA926" s="69" t="e" cm="1">
        <f t="array" ref="AA926">_xlfn.XLOOKUP(Table1[[#This Row],[5 cm2 cell test code]:[5 cm2 cell test code]],[1]!Table1[[Test code]:[Test code]],[1]!Table1[E @ 100 mA/cm2 DIW/V],"",0)</f>
        <v>#REF!</v>
      </c>
      <c r="AB926" s="69" t="e" cm="1">
        <f t="array" ref="AB926">_xlfn.XLOOKUP(Table1[[#This Row],[5 cm2 cell test code]:[5 cm2 cell test code]],[1]!Table1[[Test code]:[Test code]],[1]!Table1[E @ 100 mA/cm2 10 mM KOH/V],"",0)</f>
        <v>#REF!</v>
      </c>
      <c r="AC926" s="69" t="e" cm="1">
        <f t="array" ref="AC926">_xlfn.XLOOKUP(Table1[[#This Row],[5 cm2 cell test code]:[5 cm2 cell test code]],[1]!Table1[[Test code]:[Test code]],[1]!Table1[Anode ICR/mOhm],"",0)</f>
        <v>#REF!</v>
      </c>
      <c r="AD926" s="69" t="e" cm="1">
        <f t="array" ref="AD926">_xlfn.XLOOKUP(Table1[[#This Row],[5 cm2 cell test code]:[5 cm2 cell test code]],[1]!Table1[[Test code]:[Test code]],[1]!Table1[HFR DIW/ mOhm cm2],"",0)</f>
        <v>#REF!</v>
      </c>
      <c r="AE926" s="69" t="e" cm="1">
        <f t="array" ref="AE926">_xlfn.XLOOKUP(Table1[[#This Row],[5 cm2 cell test code]:[5 cm2 cell test code]],[1]!Table1[[Test code]:[Test code]],[1]!Table1[HFR 10 mM KOH/ mOhm cm2],"",0)</f>
        <v>#REF!</v>
      </c>
      <c r="AF926" s="69" t="e" cm="1">
        <f t="array" ref="AF926">_xlfn.XLOOKUP(Table1[[#This Row],[5 cm2 cell test code]:[5 cm2 cell test code]],[1]!Table1[[Test code]:[Test code]],[1]!Table1[Ionic resistance DIW/Ohm cm2],"",0)</f>
        <v>#REF!</v>
      </c>
      <c r="AG926" s="69" t="e" cm="1">
        <f t="array" ref="AG926">_xlfn.XLOOKUP(Table1[[#This Row],[5 cm2 cell test code]:[5 cm2 cell test code]],[1]!Table1[[Test code]:[Test code]],[1]!Table1[Q_int_frac DIW],"",0)</f>
        <v>#REF!</v>
      </c>
      <c r="AH926" s="69" t="e" cm="1">
        <f t="array" ref="AH926">_xlfn.XLOOKUP(Table1[[#This Row],[5 cm2 cell test code]:[5 cm2 cell test code]],[1]!Table1[[Test code]:[Test code]],[1]!Table1[Ionic resistance 10 mM KOH/Ohm cm2],"",0)</f>
        <v>#REF!</v>
      </c>
      <c r="AI926" s="69" t="e" cm="1">
        <f t="array" ref="AI926">_xlfn.XLOOKUP(Table1[[#This Row],[5 cm2 cell test code]:[5 cm2 cell test code]],[1]!Table1[[Test code]:[Test code]],[1]!Table1[Q_int_frac DIW 10 mM KOH],"",0)</f>
        <v>#REF!</v>
      </c>
      <c r="AJ926" s="69" t="e" cm="1">
        <f t="array" ref="AJ926">_xlfn.XLOOKUP(Table1[[#This Row],[5 cm2 cell test code]:[5 cm2 cell test code]],[1]!Table1[[Test code]:[Test code]],[1]!Table1[DIW conductivity (µS/cm)],"",0)</f>
        <v>#REF!</v>
      </c>
    </row>
    <row r="927" spans="1:36">
      <c r="A927" s="81"/>
      <c r="U927" s="101"/>
      <c r="V927" s="101"/>
      <c r="W927" s="69" t="e" cm="1">
        <f t="array" ref="W927">_xlfn.XLOOKUP(Table1[[#This Row],[5 cm2 cell test code]:[5 cm2 cell test code]],[1]!Table1[[Test code]:[Test code]],[1]!Table1[i @ 1.8 V DIW (A/cm2)],"",0)</f>
        <v>#REF!</v>
      </c>
      <c r="X927" s="69" t="e" cm="1">
        <f t="array" ref="X927">_xlfn.XLOOKUP(Table1[[#This Row],[5 cm2 cell test code]:[5 cm2 cell test code]],[1]!Table1[[Test code]:[Test code]],[1]!Table1[i @ 1.8 V 10 mM KOH (A/cm2)],"",0)</f>
        <v>#REF!</v>
      </c>
      <c r="Y927" s="69" t="e" cm="1">
        <f t="array" ref="Y927">_xlfn.XLOOKUP(Table1[[#This Row],[5 cm2 cell test code]:[5 cm2 cell test code]],[1]!Table1[[Test code]:[Test code]],[1]!Table1[3-E ƞ at 20mAcm-2 (mV)],"",0)</f>
        <v>#REF!</v>
      </c>
      <c r="Z927" s="69" t="e" cm="1">
        <f t="array" ref="Z927">_xlfn.XLOOKUP(Table1[[#This Row],[5 cm2 cell test code]:[5 cm2 cell test code]],[1]!Table1[[Test code]:[Test code]],[1]!Table1[3-E Tafel slope (mV/dec)],"",0)</f>
        <v>#REF!</v>
      </c>
      <c r="AA927" s="69" t="e" cm="1">
        <f t="array" ref="AA927">_xlfn.XLOOKUP(Table1[[#This Row],[5 cm2 cell test code]:[5 cm2 cell test code]],[1]!Table1[[Test code]:[Test code]],[1]!Table1[E @ 100 mA/cm2 DIW/V],"",0)</f>
        <v>#REF!</v>
      </c>
      <c r="AB927" s="69" t="e" cm="1">
        <f t="array" ref="AB927">_xlfn.XLOOKUP(Table1[[#This Row],[5 cm2 cell test code]:[5 cm2 cell test code]],[1]!Table1[[Test code]:[Test code]],[1]!Table1[E @ 100 mA/cm2 10 mM KOH/V],"",0)</f>
        <v>#REF!</v>
      </c>
      <c r="AC927" s="69" t="e" cm="1">
        <f t="array" ref="AC927">_xlfn.XLOOKUP(Table1[[#This Row],[5 cm2 cell test code]:[5 cm2 cell test code]],[1]!Table1[[Test code]:[Test code]],[1]!Table1[Anode ICR/mOhm],"",0)</f>
        <v>#REF!</v>
      </c>
      <c r="AD927" s="69" t="e" cm="1">
        <f t="array" ref="AD927">_xlfn.XLOOKUP(Table1[[#This Row],[5 cm2 cell test code]:[5 cm2 cell test code]],[1]!Table1[[Test code]:[Test code]],[1]!Table1[HFR DIW/ mOhm cm2],"",0)</f>
        <v>#REF!</v>
      </c>
      <c r="AE927" s="69" t="e" cm="1">
        <f t="array" ref="AE927">_xlfn.XLOOKUP(Table1[[#This Row],[5 cm2 cell test code]:[5 cm2 cell test code]],[1]!Table1[[Test code]:[Test code]],[1]!Table1[HFR 10 mM KOH/ mOhm cm2],"",0)</f>
        <v>#REF!</v>
      </c>
      <c r="AF927" s="69" t="e" cm="1">
        <f t="array" ref="AF927">_xlfn.XLOOKUP(Table1[[#This Row],[5 cm2 cell test code]:[5 cm2 cell test code]],[1]!Table1[[Test code]:[Test code]],[1]!Table1[Ionic resistance DIW/Ohm cm2],"",0)</f>
        <v>#REF!</v>
      </c>
      <c r="AG927" s="69" t="e" cm="1">
        <f t="array" ref="AG927">_xlfn.XLOOKUP(Table1[[#This Row],[5 cm2 cell test code]:[5 cm2 cell test code]],[1]!Table1[[Test code]:[Test code]],[1]!Table1[Q_int_frac DIW],"",0)</f>
        <v>#REF!</v>
      </c>
      <c r="AH927" s="69" t="e" cm="1">
        <f t="array" ref="AH927">_xlfn.XLOOKUP(Table1[[#This Row],[5 cm2 cell test code]:[5 cm2 cell test code]],[1]!Table1[[Test code]:[Test code]],[1]!Table1[Ionic resistance 10 mM KOH/Ohm cm2],"",0)</f>
        <v>#REF!</v>
      </c>
      <c r="AI927" s="69" t="e" cm="1">
        <f t="array" ref="AI927">_xlfn.XLOOKUP(Table1[[#This Row],[5 cm2 cell test code]:[5 cm2 cell test code]],[1]!Table1[[Test code]:[Test code]],[1]!Table1[Q_int_frac DIW 10 mM KOH],"",0)</f>
        <v>#REF!</v>
      </c>
      <c r="AJ927" s="69" t="e" cm="1">
        <f t="array" ref="AJ927">_xlfn.XLOOKUP(Table1[[#This Row],[5 cm2 cell test code]:[5 cm2 cell test code]],[1]!Table1[[Test code]:[Test code]],[1]!Table1[DIW conductivity (µS/cm)],"",0)</f>
        <v>#REF!</v>
      </c>
    </row>
    <row r="928" spans="1:36">
      <c r="A928" s="81"/>
      <c r="U928" s="101"/>
      <c r="V928" s="101"/>
      <c r="W928" s="69" t="e" cm="1">
        <f t="array" ref="W928">_xlfn.XLOOKUP(Table1[[#This Row],[5 cm2 cell test code]:[5 cm2 cell test code]],[1]!Table1[[Test code]:[Test code]],[1]!Table1[i @ 1.8 V DIW (A/cm2)],"",0)</f>
        <v>#REF!</v>
      </c>
      <c r="X928" s="69" t="e" cm="1">
        <f t="array" ref="X928">_xlfn.XLOOKUP(Table1[[#This Row],[5 cm2 cell test code]:[5 cm2 cell test code]],[1]!Table1[[Test code]:[Test code]],[1]!Table1[i @ 1.8 V 10 mM KOH (A/cm2)],"",0)</f>
        <v>#REF!</v>
      </c>
      <c r="Y928" s="69" t="e" cm="1">
        <f t="array" ref="Y928">_xlfn.XLOOKUP(Table1[[#This Row],[5 cm2 cell test code]:[5 cm2 cell test code]],[1]!Table1[[Test code]:[Test code]],[1]!Table1[3-E ƞ at 20mAcm-2 (mV)],"",0)</f>
        <v>#REF!</v>
      </c>
      <c r="Z928" s="69" t="e" cm="1">
        <f t="array" ref="Z928">_xlfn.XLOOKUP(Table1[[#This Row],[5 cm2 cell test code]:[5 cm2 cell test code]],[1]!Table1[[Test code]:[Test code]],[1]!Table1[3-E Tafel slope (mV/dec)],"",0)</f>
        <v>#REF!</v>
      </c>
      <c r="AA928" s="69" t="e" cm="1">
        <f t="array" ref="AA928">_xlfn.XLOOKUP(Table1[[#This Row],[5 cm2 cell test code]:[5 cm2 cell test code]],[1]!Table1[[Test code]:[Test code]],[1]!Table1[E @ 100 mA/cm2 DIW/V],"",0)</f>
        <v>#REF!</v>
      </c>
      <c r="AB928" s="69" t="e" cm="1">
        <f t="array" ref="AB928">_xlfn.XLOOKUP(Table1[[#This Row],[5 cm2 cell test code]:[5 cm2 cell test code]],[1]!Table1[[Test code]:[Test code]],[1]!Table1[E @ 100 mA/cm2 10 mM KOH/V],"",0)</f>
        <v>#REF!</v>
      </c>
      <c r="AC928" s="69" t="e" cm="1">
        <f t="array" ref="AC928">_xlfn.XLOOKUP(Table1[[#This Row],[5 cm2 cell test code]:[5 cm2 cell test code]],[1]!Table1[[Test code]:[Test code]],[1]!Table1[Anode ICR/mOhm],"",0)</f>
        <v>#REF!</v>
      </c>
      <c r="AD928" s="69" t="e" cm="1">
        <f t="array" ref="AD928">_xlfn.XLOOKUP(Table1[[#This Row],[5 cm2 cell test code]:[5 cm2 cell test code]],[1]!Table1[[Test code]:[Test code]],[1]!Table1[HFR DIW/ mOhm cm2],"",0)</f>
        <v>#REF!</v>
      </c>
      <c r="AE928" s="69" t="e" cm="1">
        <f t="array" ref="AE928">_xlfn.XLOOKUP(Table1[[#This Row],[5 cm2 cell test code]:[5 cm2 cell test code]],[1]!Table1[[Test code]:[Test code]],[1]!Table1[HFR 10 mM KOH/ mOhm cm2],"",0)</f>
        <v>#REF!</v>
      </c>
      <c r="AF928" s="69" t="e" cm="1">
        <f t="array" ref="AF928">_xlfn.XLOOKUP(Table1[[#This Row],[5 cm2 cell test code]:[5 cm2 cell test code]],[1]!Table1[[Test code]:[Test code]],[1]!Table1[Ionic resistance DIW/Ohm cm2],"",0)</f>
        <v>#REF!</v>
      </c>
      <c r="AG928" s="69" t="e" cm="1">
        <f t="array" ref="AG928">_xlfn.XLOOKUP(Table1[[#This Row],[5 cm2 cell test code]:[5 cm2 cell test code]],[1]!Table1[[Test code]:[Test code]],[1]!Table1[Q_int_frac DIW],"",0)</f>
        <v>#REF!</v>
      </c>
      <c r="AH928" s="69" t="e" cm="1">
        <f t="array" ref="AH928">_xlfn.XLOOKUP(Table1[[#This Row],[5 cm2 cell test code]:[5 cm2 cell test code]],[1]!Table1[[Test code]:[Test code]],[1]!Table1[Ionic resistance 10 mM KOH/Ohm cm2],"",0)</f>
        <v>#REF!</v>
      </c>
      <c r="AI928" s="69" t="e" cm="1">
        <f t="array" ref="AI928">_xlfn.XLOOKUP(Table1[[#This Row],[5 cm2 cell test code]:[5 cm2 cell test code]],[1]!Table1[[Test code]:[Test code]],[1]!Table1[Q_int_frac DIW 10 mM KOH],"",0)</f>
        <v>#REF!</v>
      </c>
      <c r="AJ928" s="69" t="e" cm="1">
        <f t="array" ref="AJ928">_xlfn.XLOOKUP(Table1[[#This Row],[5 cm2 cell test code]:[5 cm2 cell test code]],[1]!Table1[[Test code]:[Test code]],[1]!Table1[DIW conductivity (µS/cm)],"",0)</f>
        <v>#REF!</v>
      </c>
    </row>
    <row r="929" spans="1:36">
      <c r="A929" s="81"/>
      <c r="U929" s="101"/>
      <c r="V929" s="101"/>
      <c r="W929" s="69" t="e" cm="1">
        <f t="array" ref="W929">_xlfn.XLOOKUP(Table1[[#This Row],[5 cm2 cell test code]:[5 cm2 cell test code]],[1]!Table1[[Test code]:[Test code]],[1]!Table1[i @ 1.8 V DIW (A/cm2)],"",0)</f>
        <v>#REF!</v>
      </c>
      <c r="X929" s="69" t="e" cm="1">
        <f t="array" ref="X929">_xlfn.XLOOKUP(Table1[[#This Row],[5 cm2 cell test code]:[5 cm2 cell test code]],[1]!Table1[[Test code]:[Test code]],[1]!Table1[i @ 1.8 V 10 mM KOH (A/cm2)],"",0)</f>
        <v>#REF!</v>
      </c>
      <c r="Y929" s="69" t="e" cm="1">
        <f t="array" ref="Y929">_xlfn.XLOOKUP(Table1[[#This Row],[5 cm2 cell test code]:[5 cm2 cell test code]],[1]!Table1[[Test code]:[Test code]],[1]!Table1[3-E ƞ at 20mAcm-2 (mV)],"",0)</f>
        <v>#REF!</v>
      </c>
      <c r="Z929" s="69" t="e" cm="1">
        <f t="array" ref="Z929">_xlfn.XLOOKUP(Table1[[#This Row],[5 cm2 cell test code]:[5 cm2 cell test code]],[1]!Table1[[Test code]:[Test code]],[1]!Table1[3-E Tafel slope (mV/dec)],"",0)</f>
        <v>#REF!</v>
      </c>
      <c r="AA929" s="69" t="e" cm="1">
        <f t="array" ref="AA929">_xlfn.XLOOKUP(Table1[[#This Row],[5 cm2 cell test code]:[5 cm2 cell test code]],[1]!Table1[[Test code]:[Test code]],[1]!Table1[E @ 100 mA/cm2 DIW/V],"",0)</f>
        <v>#REF!</v>
      </c>
      <c r="AB929" s="69" t="e" cm="1">
        <f t="array" ref="AB929">_xlfn.XLOOKUP(Table1[[#This Row],[5 cm2 cell test code]:[5 cm2 cell test code]],[1]!Table1[[Test code]:[Test code]],[1]!Table1[E @ 100 mA/cm2 10 mM KOH/V],"",0)</f>
        <v>#REF!</v>
      </c>
      <c r="AC929" s="69" t="e" cm="1">
        <f t="array" ref="AC929">_xlfn.XLOOKUP(Table1[[#This Row],[5 cm2 cell test code]:[5 cm2 cell test code]],[1]!Table1[[Test code]:[Test code]],[1]!Table1[Anode ICR/mOhm],"",0)</f>
        <v>#REF!</v>
      </c>
      <c r="AD929" s="69" t="e" cm="1">
        <f t="array" ref="AD929">_xlfn.XLOOKUP(Table1[[#This Row],[5 cm2 cell test code]:[5 cm2 cell test code]],[1]!Table1[[Test code]:[Test code]],[1]!Table1[HFR DIW/ mOhm cm2],"",0)</f>
        <v>#REF!</v>
      </c>
      <c r="AE929" s="69" t="e" cm="1">
        <f t="array" ref="AE929">_xlfn.XLOOKUP(Table1[[#This Row],[5 cm2 cell test code]:[5 cm2 cell test code]],[1]!Table1[[Test code]:[Test code]],[1]!Table1[HFR 10 mM KOH/ mOhm cm2],"",0)</f>
        <v>#REF!</v>
      </c>
      <c r="AF929" s="69" t="e" cm="1">
        <f t="array" ref="AF929">_xlfn.XLOOKUP(Table1[[#This Row],[5 cm2 cell test code]:[5 cm2 cell test code]],[1]!Table1[[Test code]:[Test code]],[1]!Table1[Ionic resistance DIW/Ohm cm2],"",0)</f>
        <v>#REF!</v>
      </c>
      <c r="AG929" s="69" t="e" cm="1">
        <f t="array" ref="AG929">_xlfn.XLOOKUP(Table1[[#This Row],[5 cm2 cell test code]:[5 cm2 cell test code]],[1]!Table1[[Test code]:[Test code]],[1]!Table1[Q_int_frac DIW],"",0)</f>
        <v>#REF!</v>
      </c>
      <c r="AH929" s="69" t="e" cm="1">
        <f t="array" ref="AH929">_xlfn.XLOOKUP(Table1[[#This Row],[5 cm2 cell test code]:[5 cm2 cell test code]],[1]!Table1[[Test code]:[Test code]],[1]!Table1[Ionic resistance 10 mM KOH/Ohm cm2],"",0)</f>
        <v>#REF!</v>
      </c>
      <c r="AI929" s="69" t="e" cm="1">
        <f t="array" ref="AI929">_xlfn.XLOOKUP(Table1[[#This Row],[5 cm2 cell test code]:[5 cm2 cell test code]],[1]!Table1[[Test code]:[Test code]],[1]!Table1[Q_int_frac DIW 10 mM KOH],"",0)</f>
        <v>#REF!</v>
      </c>
      <c r="AJ929" s="69" t="e" cm="1">
        <f t="array" ref="AJ929">_xlfn.XLOOKUP(Table1[[#This Row],[5 cm2 cell test code]:[5 cm2 cell test code]],[1]!Table1[[Test code]:[Test code]],[1]!Table1[DIW conductivity (µS/cm)],"",0)</f>
        <v>#REF!</v>
      </c>
    </row>
    <row r="930" spans="1:36">
      <c r="A930" s="81"/>
      <c r="U930" s="101"/>
      <c r="V930" s="101"/>
      <c r="W930" s="69" t="e" cm="1">
        <f t="array" ref="W930">_xlfn.XLOOKUP(Table1[[#This Row],[5 cm2 cell test code]:[5 cm2 cell test code]],[1]!Table1[[Test code]:[Test code]],[1]!Table1[i @ 1.8 V DIW (A/cm2)],"",0)</f>
        <v>#REF!</v>
      </c>
      <c r="X930" s="69" t="e" cm="1">
        <f t="array" ref="X930">_xlfn.XLOOKUP(Table1[[#This Row],[5 cm2 cell test code]:[5 cm2 cell test code]],[1]!Table1[[Test code]:[Test code]],[1]!Table1[i @ 1.8 V 10 mM KOH (A/cm2)],"",0)</f>
        <v>#REF!</v>
      </c>
      <c r="Y930" s="69" t="e" cm="1">
        <f t="array" ref="Y930">_xlfn.XLOOKUP(Table1[[#This Row],[5 cm2 cell test code]:[5 cm2 cell test code]],[1]!Table1[[Test code]:[Test code]],[1]!Table1[3-E ƞ at 20mAcm-2 (mV)],"",0)</f>
        <v>#REF!</v>
      </c>
      <c r="Z930" s="69" t="e" cm="1">
        <f t="array" ref="Z930">_xlfn.XLOOKUP(Table1[[#This Row],[5 cm2 cell test code]:[5 cm2 cell test code]],[1]!Table1[[Test code]:[Test code]],[1]!Table1[3-E Tafel slope (mV/dec)],"",0)</f>
        <v>#REF!</v>
      </c>
      <c r="AA930" s="69" t="e" cm="1">
        <f t="array" ref="AA930">_xlfn.XLOOKUP(Table1[[#This Row],[5 cm2 cell test code]:[5 cm2 cell test code]],[1]!Table1[[Test code]:[Test code]],[1]!Table1[E @ 100 mA/cm2 DIW/V],"",0)</f>
        <v>#REF!</v>
      </c>
      <c r="AB930" s="69" t="e" cm="1">
        <f t="array" ref="AB930">_xlfn.XLOOKUP(Table1[[#This Row],[5 cm2 cell test code]:[5 cm2 cell test code]],[1]!Table1[[Test code]:[Test code]],[1]!Table1[E @ 100 mA/cm2 10 mM KOH/V],"",0)</f>
        <v>#REF!</v>
      </c>
      <c r="AC930" s="69" t="e" cm="1">
        <f t="array" ref="AC930">_xlfn.XLOOKUP(Table1[[#This Row],[5 cm2 cell test code]:[5 cm2 cell test code]],[1]!Table1[[Test code]:[Test code]],[1]!Table1[Anode ICR/mOhm],"",0)</f>
        <v>#REF!</v>
      </c>
      <c r="AD930" s="69" t="e" cm="1">
        <f t="array" ref="AD930">_xlfn.XLOOKUP(Table1[[#This Row],[5 cm2 cell test code]:[5 cm2 cell test code]],[1]!Table1[[Test code]:[Test code]],[1]!Table1[HFR DIW/ mOhm cm2],"",0)</f>
        <v>#REF!</v>
      </c>
      <c r="AE930" s="69" t="e" cm="1">
        <f t="array" ref="AE930">_xlfn.XLOOKUP(Table1[[#This Row],[5 cm2 cell test code]:[5 cm2 cell test code]],[1]!Table1[[Test code]:[Test code]],[1]!Table1[HFR 10 mM KOH/ mOhm cm2],"",0)</f>
        <v>#REF!</v>
      </c>
      <c r="AF930" s="69" t="e" cm="1">
        <f t="array" ref="AF930">_xlfn.XLOOKUP(Table1[[#This Row],[5 cm2 cell test code]:[5 cm2 cell test code]],[1]!Table1[[Test code]:[Test code]],[1]!Table1[Ionic resistance DIW/Ohm cm2],"",0)</f>
        <v>#REF!</v>
      </c>
      <c r="AG930" s="69" t="e" cm="1">
        <f t="array" ref="AG930">_xlfn.XLOOKUP(Table1[[#This Row],[5 cm2 cell test code]:[5 cm2 cell test code]],[1]!Table1[[Test code]:[Test code]],[1]!Table1[Q_int_frac DIW],"",0)</f>
        <v>#REF!</v>
      </c>
      <c r="AH930" s="69" t="e" cm="1">
        <f t="array" ref="AH930">_xlfn.XLOOKUP(Table1[[#This Row],[5 cm2 cell test code]:[5 cm2 cell test code]],[1]!Table1[[Test code]:[Test code]],[1]!Table1[Ionic resistance 10 mM KOH/Ohm cm2],"",0)</f>
        <v>#REF!</v>
      </c>
      <c r="AI930" s="69" t="e" cm="1">
        <f t="array" ref="AI930">_xlfn.XLOOKUP(Table1[[#This Row],[5 cm2 cell test code]:[5 cm2 cell test code]],[1]!Table1[[Test code]:[Test code]],[1]!Table1[Q_int_frac DIW 10 mM KOH],"",0)</f>
        <v>#REF!</v>
      </c>
      <c r="AJ930" s="69" t="e" cm="1">
        <f t="array" ref="AJ930">_xlfn.XLOOKUP(Table1[[#This Row],[5 cm2 cell test code]:[5 cm2 cell test code]],[1]!Table1[[Test code]:[Test code]],[1]!Table1[DIW conductivity (µS/cm)],"",0)</f>
        <v>#REF!</v>
      </c>
    </row>
    <row r="931" spans="1:36">
      <c r="A931" s="81"/>
      <c r="U931" s="101"/>
      <c r="V931" s="101"/>
      <c r="W931" s="69" t="e" cm="1">
        <f t="array" ref="W931">_xlfn.XLOOKUP(Table1[[#This Row],[5 cm2 cell test code]:[5 cm2 cell test code]],[1]!Table1[[Test code]:[Test code]],[1]!Table1[i @ 1.8 V DIW (A/cm2)],"",0)</f>
        <v>#REF!</v>
      </c>
      <c r="X931" s="69" t="e" cm="1">
        <f t="array" ref="X931">_xlfn.XLOOKUP(Table1[[#This Row],[5 cm2 cell test code]:[5 cm2 cell test code]],[1]!Table1[[Test code]:[Test code]],[1]!Table1[i @ 1.8 V 10 mM KOH (A/cm2)],"",0)</f>
        <v>#REF!</v>
      </c>
      <c r="Y931" s="69" t="e" cm="1">
        <f t="array" ref="Y931">_xlfn.XLOOKUP(Table1[[#This Row],[5 cm2 cell test code]:[5 cm2 cell test code]],[1]!Table1[[Test code]:[Test code]],[1]!Table1[3-E ƞ at 20mAcm-2 (mV)],"",0)</f>
        <v>#REF!</v>
      </c>
      <c r="Z931" s="69" t="e" cm="1">
        <f t="array" ref="Z931">_xlfn.XLOOKUP(Table1[[#This Row],[5 cm2 cell test code]:[5 cm2 cell test code]],[1]!Table1[[Test code]:[Test code]],[1]!Table1[3-E Tafel slope (mV/dec)],"",0)</f>
        <v>#REF!</v>
      </c>
      <c r="AA931" s="69" t="e" cm="1">
        <f t="array" ref="AA931">_xlfn.XLOOKUP(Table1[[#This Row],[5 cm2 cell test code]:[5 cm2 cell test code]],[1]!Table1[[Test code]:[Test code]],[1]!Table1[E @ 100 mA/cm2 DIW/V],"",0)</f>
        <v>#REF!</v>
      </c>
      <c r="AB931" s="69" t="e" cm="1">
        <f t="array" ref="AB931">_xlfn.XLOOKUP(Table1[[#This Row],[5 cm2 cell test code]:[5 cm2 cell test code]],[1]!Table1[[Test code]:[Test code]],[1]!Table1[E @ 100 mA/cm2 10 mM KOH/V],"",0)</f>
        <v>#REF!</v>
      </c>
      <c r="AC931" s="69" t="e" cm="1">
        <f t="array" ref="AC931">_xlfn.XLOOKUP(Table1[[#This Row],[5 cm2 cell test code]:[5 cm2 cell test code]],[1]!Table1[[Test code]:[Test code]],[1]!Table1[Anode ICR/mOhm],"",0)</f>
        <v>#REF!</v>
      </c>
      <c r="AD931" s="69" t="e" cm="1">
        <f t="array" ref="AD931">_xlfn.XLOOKUP(Table1[[#This Row],[5 cm2 cell test code]:[5 cm2 cell test code]],[1]!Table1[[Test code]:[Test code]],[1]!Table1[HFR DIW/ mOhm cm2],"",0)</f>
        <v>#REF!</v>
      </c>
      <c r="AE931" s="69" t="e" cm="1">
        <f t="array" ref="AE931">_xlfn.XLOOKUP(Table1[[#This Row],[5 cm2 cell test code]:[5 cm2 cell test code]],[1]!Table1[[Test code]:[Test code]],[1]!Table1[HFR 10 mM KOH/ mOhm cm2],"",0)</f>
        <v>#REF!</v>
      </c>
      <c r="AF931" s="69" t="e" cm="1">
        <f t="array" ref="AF931">_xlfn.XLOOKUP(Table1[[#This Row],[5 cm2 cell test code]:[5 cm2 cell test code]],[1]!Table1[[Test code]:[Test code]],[1]!Table1[Ionic resistance DIW/Ohm cm2],"",0)</f>
        <v>#REF!</v>
      </c>
      <c r="AG931" s="69" t="e" cm="1">
        <f t="array" ref="AG931">_xlfn.XLOOKUP(Table1[[#This Row],[5 cm2 cell test code]:[5 cm2 cell test code]],[1]!Table1[[Test code]:[Test code]],[1]!Table1[Q_int_frac DIW],"",0)</f>
        <v>#REF!</v>
      </c>
      <c r="AH931" s="69" t="e" cm="1">
        <f t="array" ref="AH931">_xlfn.XLOOKUP(Table1[[#This Row],[5 cm2 cell test code]:[5 cm2 cell test code]],[1]!Table1[[Test code]:[Test code]],[1]!Table1[Ionic resistance 10 mM KOH/Ohm cm2],"",0)</f>
        <v>#REF!</v>
      </c>
      <c r="AI931" s="69" t="e" cm="1">
        <f t="array" ref="AI931">_xlfn.XLOOKUP(Table1[[#This Row],[5 cm2 cell test code]:[5 cm2 cell test code]],[1]!Table1[[Test code]:[Test code]],[1]!Table1[Q_int_frac DIW 10 mM KOH],"",0)</f>
        <v>#REF!</v>
      </c>
      <c r="AJ931" s="69" t="e" cm="1">
        <f t="array" ref="AJ931">_xlfn.XLOOKUP(Table1[[#This Row],[5 cm2 cell test code]:[5 cm2 cell test code]],[1]!Table1[[Test code]:[Test code]],[1]!Table1[DIW conductivity (µS/cm)],"",0)</f>
        <v>#REF!</v>
      </c>
    </row>
    <row r="932" spans="1:36">
      <c r="A932" s="81"/>
      <c r="U932" s="101"/>
      <c r="V932" s="101"/>
      <c r="W932" s="69" t="e" cm="1">
        <f t="array" ref="W932">_xlfn.XLOOKUP(Table1[[#This Row],[5 cm2 cell test code]:[5 cm2 cell test code]],[1]!Table1[[Test code]:[Test code]],[1]!Table1[i @ 1.8 V DIW (A/cm2)],"",0)</f>
        <v>#REF!</v>
      </c>
      <c r="X932" s="69" t="e" cm="1">
        <f t="array" ref="X932">_xlfn.XLOOKUP(Table1[[#This Row],[5 cm2 cell test code]:[5 cm2 cell test code]],[1]!Table1[[Test code]:[Test code]],[1]!Table1[i @ 1.8 V 10 mM KOH (A/cm2)],"",0)</f>
        <v>#REF!</v>
      </c>
      <c r="Y932" s="69" t="e" cm="1">
        <f t="array" ref="Y932">_xlfn.XLOOKUP(Table1[[#This Row],[5 cm2 cell test code]:[5 cm2 cell test code]],[1]!Table1[[Test code]:[Test code]],[1]!Table1[3-E ƞ at 20mAcm-2 (mV)],"",0)</f>
        <v>#REF!</v>
      </c>
      <c r="Z932" s="69" t="e" cm="1">
        <f t="array" ref="Z932">_xlfn.XLOOKUP(Table1[[#This Row],[5 cm2 cell test code]:[5 cm2 cell test code]],[1]!Table1[[Test code]:[Test code]],[1]!Table1[3-E Tafel slope (mV/dec)],"",0)</f>
        <v>#REF!</v>
      </c>
      <c r="AA932" s="69" t="e" cm="1">
        <f t="array" ref="AA932">_xlfn.XLOOKUP(Table1[[#This Row],[5 cm2 cell test code]:[5 cm2 cell test code]],[1]!Table1[[Test code]:[Test code]],[1]!Table1[E @ 100 mA/cm2 DIW/V],"",0)</f>
        <v>#REF!</v>
      </c>
      <c r="AB932" s="69" t="e" cm="1">
        <f t="array" ref="AB932">_xlfn.XLOOKUP(Table1[[#This Row],[5 cm2 cell test code]:[5 cm2 cell test code]],[1]!Table1[[Test code]:[Test code]],[1]!Table1[E @ 100 mA/cm2 10 mM KOH/V],"",0)</f>
        <v>#REF!</v>
      </c>
      <c r="AC932" s="69" t="e" cm="1">
        <f t="array" ref="AC932">_xlfn.XLOOKUP(Table1[[#This Row],[5 cm2 cell test code]:[5 cm2 cell test code]],[1]!Table1[[Test code]:[Test code]],[1]!Table1[Anode ICR/mOhm],"",0)</f>
        <v>#REF!</v>
      </c>
      <c r="AD932" s="69" t="e" cm="1">
        <f t="array" ref="AD932">_xlfn.XLOOKUP(Table1[[#This Row],[5 cm2 cell test code]:[5 cm2 cell test code]],[1]!Table1[[Test code]:[Test code]],[1]!Table1[HFR DIW/ mOhm cm2],"",0)</f>
        <v>#REF!</v>
      </c>
      <c r="AE932" s="69" t="e" cm="1">
        <f t="array" ref="AE932">_xlfn.XLOOKUP(Table1[[#This Row],[5 cm2 cell test code]:[5 cm2 cell test code]],[1]!Table1[[Test code]:[Test code]],[1]!Table1[HFR 10 mM KOH/ mOhm cm2],"",0)</f>
        <v>#REF!</v>
      </c>
      <c r="AF932" s="69" t="e" cm="1">
        <f t="array" ref="AF932">_xlfn.XLOOKUP(Table1[[#This Row],[5 cm2 cell test code]:[5 cm2 cell test code]],[1]!Table1[[Test code]:[Test code]],[1]!Table1[Ionic resistance DIW/Ohm cm2],"",0)</f>
        <v>#REF!</v>
      </c>
      <c r="AG932" s="69" t="e" cm="1">
        <f t="array" ref="AG932">_xlfn.XLOOKUP(Table1[[#This Row],[5 cm2 cell test code]:[5 cm2 cell test code]],[1]!Table1[[Test code]:[Test code]],[1]!Table1[Q_int_frac DIW],"",0)</f>
        <v>#REF!</v>
      </c>
      <c r="AH932" s="69" t="e" cm="1">
        <f t="array" ref="AH932">_xlfn.XLOOKUP(Table1[[#This Row],[5 cm2 cell test code]:[5 cm2 cell test code]],[1]!Table1[[Test code]:[Test code]],[1]!Table1[Ionic resistance 10 mM KOH/Ohm cm2],"",0)</f>
        <v>#REF!</v>
      </c>
      <c r="AI932" s="69" t="e" cm="1">
        <f t="array" ref="AI932">_xlfn.XLOOKUP(Table1[[#This Row],[5 cm2 cell test code]:[5 cm2 cell test code]],[1]!Table1[[Test code]:[Test code]],[1]!Table1[Q_int_frac DIW 10 mM KOH],"",0)</f>
        <v>#REF!</v>
      </c>
      <c r="AJ932" s="69" t="e" cm="1">
        <f t="array" ref="AJ932">_xlfn.XLOOKUP(Table1[[#This Row],[5 cm2 cell test code]:[5 cm2 cell test code]],[1]!Table1[[Test code]:[Test code]],[1]!Table1[DIW conductivity (µS/cm)],"",0)</f>
        <v>#REF!</v>
      </c>
    </row>
    <row r="933" spans="1:36">
      <c r="A933" s="81"/>
      <c r="U933" s="101"/>
      <c r="V933" s="101"/>
      <c r="W933" s="69" t="e" cm="1">
        <f t="array" ref="W933">_xlfn.XLOOKUP(Table1[[#This Row],[5 cm2 cell test code]:[5 cm2 cell test code]],[1]!Table1[[Test code]:[Test code]],[1]!Table1[i @ 1.8 V DIW (A/cm2)],"",0)</f>
        <v>#REF!</v>
      </c>
      <c r="X933" s="69" t="e" cm="1">
        <f t="array" ref="X933">_xlfn.XLOOKUP(Table1[[#This Row],[5 cm2 cell test code]:[5 cm2 cell test code]],[1]!Table1[[Test code]:[Test code]],[1]!Table1[i @ 1.8 V 10 mM KOH (A/cm2)],"",0)</f>
        <v>#REF!</v>
      </c>
      <c r="Y933" s="69" t="e" cm="1">
        <f t="array" ref="Y933">_xlfn.XLOOKUP(Table1[[#This Row],[5 cm2 cell test code]:[5 cm2 cell test code]],[1]!Table1[[Test code]:[Test code]],[1]!Table1[3-E ƞ at 20mAcm-2 (mV)],"",0)</f>
        <v>#REF!</v>
      </c>
      <c r="Z933" s="69" t="e" cm="1">
        <f t="array" ref="Z933">_xlfn.XLOOKUP(Table1[[#This Row],[5 cm2 cell test code]:[5 cm2 cell test code]],[1]!Table1[[Test code]:[Test code]],[1]!Table1[3-E Tafel slope (mV/dec)],"",0)</f>
        <v>#REF!</v>
      </c>
      <c r="AA933" s="69" t="e" cm="1">
        <f t="array" ref="AA933">_xlfn.XLOOKUP(Table1[[#This Row],[5 cm2 cell test code]:[5 cm2 cell test code]],[1]!Table1[[Test code]:[Test code]],[1]!Table1[E @ 100 mA/cm2 DIW/V],"",0)</f>
        <v>#REF!</v>
      </c>
      <c r="AB933" s="69" t="e" cm="1">
        <f t="array" ref="AB933">_xlfn.XLOOKUP(Table1[[#This Row],[5 cm2 cell test code]:[5 cm2 cell test code]],[1]!Table1[[Test code]:[Test code]],[1]!Table1[E @ 100 mA/cm2 10 mM KOH/V],"",0)</f>
        <v>#REF!</v>
      </c>
      <c r="AC933" s="69" t="e" cm="1">
        <f t="array" ref="AC933">_xlfn.XLOOKUP(Table1[[#This Row],[5 cm2 cell test code]:[5 cm2 cell test code]],[1]!Table1[[Test code]:[Test code]],[1]!Table1[Anode ICR/mOhm],"",0)</f>
        <v>#REF!</v>
      </c>
      <c r="AD933" s="69" t="e" cm="1">
        <f t="array" ref="AD933">_xlfn.XLOOKUP(Table1[[#This Row],[5 cm2 cell test code]:[5 cm2 cell test code]],[1]!Table1[[Test code]:[Test code]],[1]!Table1[HFR DIW/ mOhm cm2],"",0)</f>
        <v>#REF!</v>
      </c>
      <c r="AE933" s="69" t="e" cm="1">
        <f t="array" ref="AE933">_xlfn.XLOOKUP(Table1[[#This Row],[5 cm2 cell test code]:[5 cm2 cell test code]],[1]!Table1[[Test code]:[Test code]],[1]!Table1[HFR 10 mM KOH/ mOhm cm2],"",0)</f>
        <v>#REF!</v>
      </c>
      <c r="AF933" s="69" t="e" cm="1">
        <f t="array" ref="AF933">_xlfn.XLOOKUP(Table1[[#This Row],[5 cm2 cell test code]:[5 cm2 cell test code]],[1]!Table1[[Test code]:[Test code]],[1]!Table1[Ionic resistance DIW/Ohm cm2],"",0)</f>
        <v>#REF!</v>
      </c>
      <c r="AG933" s="69" t="e" cm="1">
        <f t="array" ref="AG933">_xlfn.XLOOKUP(Table1[[#This Row],[5 cm2 cell test code]:[5 cm2 cell test code]],[1]!Table1[[Test code]:[Test code]],[1]!Table1[Q_int_frac DIW],"",0)</f>
        <v>#REF!</v>
      </c>
      <c r="AH933" s="69" t="e" cm="1">
        <f t="array" ref="AH933">_xlfn.XLOOKUP(Table1[[#This Row],[5 cm2 cell test code]:[5 cm2 cell test code]],[1]!Table1[[Test code]:[Test code]],[1]!Table1[Ionic resistance 10 mM KOH/Ohm cm2],"",0)</f>
        <v>#REF!</v>
      </c>
      <c r="AI933" s="69" t="e" cm="1">
        <f t="array" ref="AI933">_xlfn.XLOOKUP(Table1[[#This Row],[5 cm2 cell test code]:[5 cm2 cell test code]],[1]!Table1[[Test code]:[Test code]],[1]!Table1[Q_int_frac DIW 10 mM KOH],"",0)</f>
        <v>#REF!</v>
      </c>
      <c r="AJ933" s="69" t="e" cm="1">
        <f t="array" ref="AJ933">_xlfn.XLOOKUP(Table1[[#This Row],[5 cm2 cell test code]:[5 cm2 cell test code]],[1]!Table1[[Test code]:[Test code]],[1]!Table1[DIW conductivity (µS/cm)],"",0)</f>
        <v>#REF!</v>
      </c>
    </row>
    <row r="934" spans="1:36">
      <c r="A934" s="81"/>
      <c r="U934" s="101"/>
      <c r="V934" s="101"/>
      <c r="W934" s="69" t="e" cm="1">
        <f t="array" ref="W934">_xlfn.XLOOKUP(Table1[[#This Row],[5 cm2 cell test code]:[5 cm2 cell test code]],[1]!Table1[[Test code]:[Test code]],[1]!Table1[i @ 1.8 V DIW (A/cm2)],"",0)</f>
        <v>#REF!</v>
      </c>
      <c r="X934" s="69" t="e" cm="1">
        <f t="array" ref="X934">_xlfn.XLOOKUP(Table1[[#This Row],[5 cm2 cell test code]:[5 cm2 cell test code]],[1]!Table1[[Test code]:[Test code]],[1]!Table1[i @ 1.8 V 10 mM KOH (A/cm2)],"",0)</f>
        <v>#REF!</v>
      </c>
      <c r="Y934" s="69" t="e" cm="1">
        <f t="array" ref="Y934">_xlfn.XLOOKUP(Table1[[#This Row],[5 cm2 cell test code]:[5 cm2 cell test code]],[1]!Table1[[Test code]:[Test code]],[1]!Table1[3-E ƞ at 20mAcm-2 (mV)],"",0)</f>
        <v>#REF!</v>
      </c>
      <c r="Z934" s="69" t="e" cm="1">
        <f t="array" ref="Z934">_xlfn.XLOOKUP(Table1[[#This Row],[5 cm2 cell test code]:[5 cm2 cell test code]],[1]!Table1[[Test code]:[Test code]],[1]!Table1[3-E Tafel slope (mV/dec)],"",0)</f>
        <v>#REF!</v>
      </c>
      <c r="AA934" s="69" t="e" cm="1">
        <f t="array" ref="AA934">_xlfn.XLOOKUP(Table1[[#This Row],[5 cm2 cell test code]:[5 cm2 cell test code]],[1]!Table1[[Test code]:[Test code]],[1]!Table1[E @ 100 mA/cm2 DIW/V],"",0)</f>
        <v>#REF!</v>
      </c>
      <c r="AB934" s="69" t="e" cm="1">
        <f t="array" ref="AB934">_xlfn.XLOOKUP(Table1[[#This Row],[5 cm2 cell test code]:[5 cm2 cell test code]],[1]!Table1[[Test code]:[Test code]],[1]!Table1[E @ 100 mA/cm2 10 mM KOH/V],"",0)</f>
        <v>#REF!</v>
      </c>
      <c r="AC934" s="69" t="e" cm="1">
        <f t="array" ref="AC934">_xlfn.XLOOKUP(Table1[[#This Row],[5 cm2 cell test code]:[5 cm2 cell test code]],[1]!Table1[[Test code]:[Test code]],[1]!Table1[Anode ICR/mOhm],"",0)</f>
        <v>#REF!</v>
      </c>
      <c r="AD934" s="69" t="e" cm="1">
        <f t="array" ref="AD934">_xlfn.XLOOKUP(Table1[[#This Row],[5 cm2 cell test code]:[5 cm2 cell test code]],[1]!Table1[[Test code]:[Test code]],[1]!Table1[HFR DIW/ mOhm cm2],"",0)</f>
        <v>#REF!</v>
      </c>
      <c r="AE934" s="69" t="e" cm="1">
        <f t="array" ref="AE934">_xlfn.XLOOKUP(Table1[[#This Row],[5 cm2 cell test code]:[5 cm2 cell test code]],[1]!Table1[[Test code]:[Test code]],[1]!Table1[HFR 10 mM KOH/ mOhm cm2],"",0)</f>
        <v>#REF!</v>
      </c>
      <c r="AF934" s="69" t="e" cm="1">
        <f t="array" ref="AF934">_xlfn.XLOOKUP(Table1[[#This Row],[5 cm2 cell test code]:[5 cm2 cell test code]],[1]!Table1[[Test code]:[Test code]],[1]!Table1[Ionic resistance DIW/Ohm cm2],"",0)</f>
        <v>#REF!</v>
      </c>
      <c r="AG934" s="69" t="e" cm="1">
        <f t="array" ref="AG934">_xlfn.XLOOKUP(Table1[[#This Row],[5 cm2 cell test code]:[5 cm2 cell test code]],[1]!Table1[[Test code]:[Test code]],[1]!Table1[Q_int_frac DIW],"",0)</f>
        <v>#REF!</v>
      </c>
      <c r="AH934" s="69" t="e" cm="1">
        <f t="array" ref="AH934">_xlfn.XLOOKUP(Table1[[#This Row],[5 cm2 cell test code]:[5 cm2 cell test code]],[1]!Table1[[Test code]:[Test code]],[1]!Table1[Ionic resistance 10 mM KOH/Ohm cm2],"",0)</f>
        <v>#REF!</v>
      </c>
      <c r="AI934" s="69" t="e" cm="1">
        <f t="array" ref="AI934">_xlfn.XLOOKUP(Table1[[#This Row],[5 cm2 cell test code]:[5 cm2 cell test code]],[1]!Table1[[Test code]:[Test code]],[1]!Table1[Q_int_frac DIW 10 mM KOH],"",0)</f>
        <v>#REF!</v>
      </c>
      <c r="AJ934" s="69" t="e" cm="1">
        <f t="array" ref="AJ934">_xlfn.XLOOKUP(Table1[[#This Row],[5 cm2 cell test code]:[5 cm2 cell test code]],[1]!Table1[[Test code]:[Test code]],[1]!Table1[DIW conductivity (µS/cm)],"",0)</f>
        <v>#REF!</v>
      </c>
    </row>
    <row r="935" spans="1:36">
      <c r="A935" s="81"/>
      <c r="U935" s="101"/>
      <c r="V935" s="101"/>
      <c r="W935" s="69" t="e" cm="1">
        <f t="array" ref="W935">_xlfn.XLOOKUP(Table1[[#This Row],[5 cm2 cell test code]:[5 cm2 cell test code]],[1]!Table1[[Test code]:[Test code]],[1]!Table1[i @ 1.8 V DIW (A/cm2)],"",0)</f>
        <v>#REF!</v>
      </c>
      <c r="X935" s="69" t="e" cm="1">
        <f t="array" ref="X935">_xlfn.XLOOKUP(Table1[[#This Row],[5 cm2 cell test code]:[5 cm2 cell test code]],[1]!Table1[[Test code]:[Test code]],[1]!Table1[i @ 1.8 V 10 mM KOH (A/cm2)],"",0)</f>
        <v>#REF!</v>
      </c>
      <c r="Y935" s="69" t="e" cm="1">
        <f t="array" ref="Y935">_xlfn.XLOOKUP(Table1[[#This Row],[5 cm2 cell test code]:[5 cm2 cell test code]],[1]!Table1[[Test code]:[Test code]],[1]!Table1[3-E ƞ at 20mAcm-2 (mV)],"",0)</f>
        <v>#REF!</v>
      </c>
      <c r="Z935" s="69" t="e" cm="1">
        <f t="array" ref="Z935">_xlfn.XLOOKUP(Table1[[#This Row],[5 cm2 cell test code]:[5 cm2 cell test code]],[1]!Table1[[Test code]:[Test code]],[1]!Table1[3-E Tafel slope (mV/dec)],"",0)</f>
        <v>#REF!</v>
      </c>
      <c r="AA935" s="69" t="e" cm="1">
        <f t="array" ref="AA935">_xlfn.XLOOKUP(Table1[[#This Row],[5 cm2 cell test code]:[5 cm2 cell test code]],[1]!Table1[[Test code]:[Test code]],[1]!Table1[E @ 100 mA/cm2 DIW/V],"",0)</f>
        <v>#REF!</v>
      </c>
      <c r="AB935" s="69" t="e" cm="1">
        <f t="array" ref="AB935">_xlfn.XLOOKUP(Table1[[#This Row],[5 cm2 cell test code]:[5 cm2 cell test code]],[1]!Table1[[Test code]:[Test code]],[1]!Table1[E @ 100 mA/cm2 10 mM KOH/V],"",0)</f>
        <v>#REF!</v>
      </c>
      <c r="AC935" s="69" t="e" cm="1">
        <f t="array" ref="AC935">_xlfn.XLOOKUP(Table1[[#This Row],[5 cm2 cell test code]:[5 cm2 cell test code]],[1]!Table1[[Test code]:[Test code]],[1]!Table1[Anode ICR/mOhm],"",0)</f>
        <v>#REF!</v>
      </c>
      <c r="AD935" s="69" t="e" cm="1">
        <f t="array" ref="AD935">_xlfn.XLOOKUP(Table1[[#This Row],[5 cm2 cell test code]:[5 cm2 cell test code]],[1]!Table1[[Test code]:[Test code]],[1]!Table1[HFR DIW/ mOhm cm2],"",0)</f>
        <v>#REF!</v>
      </c>
      <c r="AE935" s="69" t="e" cm="1">
        <f t="array" ref="AE935">_xlfn.XLOOKUP(Table1[[#This Row],[5 cm2 cell test code]:[5 cm2 cell test code]],[1]!Table1[[Test code]:[Test code]],[1]!Table1[HFR 10 mM KOH/ mOhm cm2],"",0)</f>
        <v>#REF!</v>
      </c>
      <c r="AF935" s="69" t="e" cm="1">
        <f t="array" ref="AF935">_xlfn.XLOOKUP(Table1[[#This Row],[5 cm2 cell test code]:[5 cm2 cell test code]],[1]!Table1[[Test code]:[Test code]],[1]!Table1[Ionic resistance DIW/Ohm cm2],"",0)</f>
        <v>#REF!</v>
      </c>
      <c r="AG935" s="69" t="e" cm="1">
        <f t="array" ref="AG935">_xlfn.XLOOKUP(Table1[[#This Row],[5 cm2 cell test code]:[5 cm2 cell test code]],[1]!Table1[[Test code]:[Test code]],[1]!Table1[Q_int_frac DIW],"",0)</f>
        <v>#REF!</v>
      </c>
      <c r="AH935" s="69" t="e" cm="1">
        <f t="array" ref="AH935">_xlfn.XLOOKUP(Table1[[#This Row],[5 cm2 cell test code]:[5 cm2 cell test code]],[1]!Table1[[Test code]:[Test code]],[1]!Table1[Ionic resistance 10 mM KOH/Ohm cm2],"",0)</f>
        <v>#REF!</v>
      </c>
      <c r="AI935" s="69" t="e" cm="1">
        <f t="array" ref="AI935">_xlfn.XLOOKUP(Table1[[#This Row],[5 cm2 cell test code]:[5 cm2 cell test code]],[1]!Table1[[Test code]:[Test code]],[1]!Table1[Q_int_frac DIW 10 mM KOH],"",0)</f>
        <v>#REF!</v>
      </c>
      <c r="AJ935" s="69" t="e" cm="1">
        <f t="array" ref="AJ935">_xlfn.XLOOKUP(Table1[[#This Row],[5 cm2 cell test code]:[5 cm2 cell test code]],[1]!Table1[[Test code]:[Test code]],[1]!Table1[DIW conductivity (µS/cm)],"",0)</f>
        <v>#REF!</v>
      </c>
    </row>
    <row r="936" spans="1:36">
      <c r="A936" s="81"/>
      <c r="U936" s="101"/>
      <c r="V936" s="101"/>
      <c r="W936" s="69" t="e" cm="1">
        <f t="array" ref="W936">_xlfn.XLOOKUP(Table1[[#This Row],[5 cm2 cell test code]:[5 cm2 cell test code]],[1]!Table1[[Test code]:[Test code]],[1]!Table1[i @ 1.8 V DIW (A/cm2)],"",0)</f>
        <v>#REF!</v>
      </c>
      <c r="X936" s="69" t="e" cm="1">
        <f t="array" ref="X936">_xlfn.XLOOKUP(Table1[[#This Row],[5 cm2 cell test code]:[5 cm2 cell test code]],[1]!Table1[[Test code]:[Test code]],[1]!Table1[i @ 1.8 V 10 mM KOH (A/cm2)],"",0)</f>
        <v>#REF!</v>
      </c>
      <c r="Y936" s="69" t="e" cm="1">
        <f t="array" ref="Y936">_xlfn.XLOOKUP(Table1[[#This Row],[5 cm2 cell test code]:[5 cm2 cell test code]],[1]!Table1[[Test code]:[Test code]],[1]!Table1[3-E ƞ at 20mAcm-2 (mV)],"",0)</f>
        <v>#REF!</v>
      </c>
      <c r="Z936" s="69" t="e" cm="1">
        <f t="array" ref="Z936">_xlfn.XLOOKUP(Table1[[#This Row],[5 cm2 cell test code]:[5 cm2 cell test code]],[1]!Table1[[Test code]:[Test code]],[1]!Table1[3-E Tafel slope (mV/dec)],"",0)</f>
        <v>#REF!</v>
      </c>
      <c r="AA936" s="69" t="e" cm="1">
        <f t="array" ref="AA936">_xlfn.XLOOKUP(Table1[[#This Row],[5 cm2 cell test code]:[5 cm2 cell test code]],[1]!Table1[[Test code]:[Test code]],[1]!Table1[E @ 100 mA/cm2 DIW/V],"",0)</f>
        <v>#REF!</v>
      </c>
      <c r="AB936" s="69" t="e" cm="1">
        <f t="array" ref="AB936">_xlfn.XLOOKUP(Table1[[#This Row],[5 cm2 cell test code]:[5 cm2 cell test code]],[1]!Table1[[Test code]:[Test code]],[1]!Table1[E @ 100 mA/cm2 10 mM KOH/V],"",0)</f>
        <v>#REF!</v>
      </c>
      <c r="AC936" s="69" t="e" cm="1">
        <f t="array" ref="AC936">_xlfn.XLOOKUP(Table1[[#This Row],[5 cm2 cell test code]:[5 cm2 cell test code]],[1]!Table1[[Test code]:[Test code]],[1]!Table1[Anode ICR/mOhm],"",0)</f>
        <v>#REF!</v>
      </c>
      <c r="AD936" s="69" t="e" cm="1">
        <f t="array" ref="AD936">_xlfn.XLOOKUP(Table1[[#This Row],[5 cm2 cell test code]:[5 cm2 cell test code]],[1]!Table1[[Test code]:[Test code]],[1]!Table1[HFR DIW/ mOhm cm2],"",0)</f>
        <v>#REF!</v>
      </c>
      <c r="AE936" s="69" t="e" cm="1">
        <f t="array" ref="AE936">_xlfn.XLOOKUP(Table1[[#This Row],[5 cm2 cell test code]:[5 cm2 cell test code]],[1]!Table1[[Test code]:[Test code]],[1]!Table1[HFR 10 mM KOH/ mOhm cm2],"",0)</f>
        <v>#REF!</v>
      </c>
      <c r="AF936" s="69" t="e" cm="1">
        <f t="array" ref="AF936">_xlfn.XLOOKUP(Table1[[#This Row],[5 cm2 cell test code]:[5 cm2 cell test code]],[1]!Table1[[Test code]:[Test code]],[1]!Table1[Ionic resistance DIW/Ohm cm2],"",0)</f>
        <v>#REF!</v>
      </c>
      <c r="AG936" s="69" t="e" cm="1">
        <f t="array" ref="AG936">_xlfn.XLOOKUP(Table1[[#This Row],[5 cm2 cell test code]:[5 cm2 cell test code]],[1]!Table1[[Test code]:[Test code]],[1]!Table1[Q_int_frac DIW],"",0)</f>
        <v>#REF!</v>
      </c>
      <c r="AH936" s="69" t="e" cm="1">
        <f t="array" ref="AH936">_xlfn.XLOOKUP(Table1[[#This Row],[5 cm2 cell test code]:[5 cm2 cell test code]],[1]!Table1[[Test code]:[Test code]],[1]!Table1[Ionic resistance 10 mM KOH/Ohm cm2],"",0)</f>
        <v>#REF!</v>
      </c>
      <c r="AI936" s="69" t="e" cm="1">
        <f t="array" ref="AI936">_xlfn.XLOOKUP(Table1[[#This Row],[5 cm2 cell test code]:[5 cm2 cell test code]],[1]!Table1[[Test code]:[Test code]],[1]!Table1[Q_int_frac DIW 10 mM KOH],"",0)</f>
        <v>#REF!</v>
      </c>
      <c r="AJ936" s="69" t="e" cm="1">
        <f t="array" ref="AJ936">_xlfn.XLOOKUP(Table1[[#This Row],[5 cm2 cell test code]:[5 cm2 cell test code]],[1]!Table1[[Test code]:[Test code]],[1]!Table1[DIW conductivity (µS/cm)],"",0)</f>
        <v>#REF!</v>
      </c>
    </row>
    <row r="937" spans="1:36">
      <c r="A937" s="81"/>
      <c r="U937" s="101"/>
      <c r="V937" s="101"/>
      <c r="W937" s="69" t="e" cm="1">
        <f t="array" ref="W937">_xlfn.XLOOKUP(Table1[[#This Row],[5 cm2 cell test code]:[5 cm2 cell test code]],[1]!Table1[[Test code]:[Test code]],[1]!Table1[i @ 1.8 V DIW (A/cm2)],"",0)</f>
        <v>#REF!</v>
      </c>
      <c r="X937" s="69" t="e" cm="1">
        <f t="array" ref="X937">_xlfn.XLOOKUP(Table1[[#This Row],[5 cm2 cell test code]:[5 cm2 cell test code]],[1]!Table1[[Test code]:[Test code]],[1]!Table1[i @ 1.8 V 10 mM KOH (A/cm2)],"",0)</f>
        <v>#REF!</v>
      </c>
      <c r="Y937" s="69" t="e" cm="1">
        <f t="array" ref="Y937">_xlfn.XLOOKUP(Table1[[#This Row],[5 cm2 cell test code]:[5 cm2 cell test code]],[1]!Table1[[Test code]:[Test code]],[1]!Table1[3-E ƞ at 20mAcm-2 (mV)],"",0)</f>
        <v>#REF!</v>
      </c>
      <c r="Z937" s="69" t="e" cm="1">
        <f t="array" ref="Z937">_xlfn.XLOOKUP(Table1[[#This Row],[5 cm2 cell test code]:[5 cm2 cell test code]],[1]!Table1[[Test code]:[Test code]],[1]!Table1[3-E Tafel slope (mV/dec)],"",0)</f>
        <v>#REF!</v>
      </c>
      <c r="AA937" s="69" t="e" cm="1">
        <f t="array" ref="AA937">_xlfn.XLOOKUP(Table1[[#This Row],[5 cm2 cell test code]:[5 cm2 cell test code]],[1]!Table1[[Test code]:[Test code]],[1]!Table1[E @ 100 mA/cm2 DIW/V],"",0)</f>
        <v>#REF!</v>
      </c>
      <c r="AB937" s="69" t="e" cm="1">
        <f t="array" ref="AB937">_xlfn.XLOOKUP(Table1[[#This Row],[5 cm2 cell test code]:[5 cm2 cell test code]],[1]!Table1[[Test code]:[Test code]],[1]!Table1[E @ 100 mA/cm2 10 mM KOH/V],"",0)</f>
        <v>#REF!</v>
      </c>
      <c r="AC937" s="69" t="e" cm="1">
        <f t="array" ref="AC937">_xlfn.XLOOKUP(Table1[[#This Row],[5 cm2 cell test code]:[5 cm2 cell test code]],[1]!Table1[[Test code]:[Test code]],[1]!Table1[Anode ICR/mOhm],"",0)</f>
        <v>#REF!</v>
      </c>
      <c r="AD937" s="69" t="e" cm="1">
        <f t="array" ref="AD937">_xlfn.XLOOKUP(Table1[[#This Row],[5 cm2 cell test code]:[5 cm2 cell test code]],[1]!Table1[[Test code]:[Test code]],[1]!Table1[HFR DIW/ mOhm cm2],"",0)</f>
        <v>#REF!</v>
      </c>
      <c r="AE937" s="69" t="e" cm="1">
        <f t="array" ref="AE937">_xlfn.XLOOKUP(Table1[[#This Row],[5 cm2 cell test code]:[5 cm2 cell test code]],[1]!Table1[[Test code]:[Test code]],[1]!Table1[HFR 10 mM KOH/ mOhm cm2],"",0)</f>
        <v>#REF!</v>
      </c>
      <c r="AF937" s="69" t="e" cm="1">
        <f t="array" ref="AF937">_xlfn.XLOOKUP(Table1[[#This Row],[5 cm2 cell test code]:[5 cm2 cell test code]],[1]!Table1[[Test code]:[Test code]],[1]!Table1[Ionic resistance DIW/Ohm cm2],"",0)</f>
        <v>#REF!</v>
      </c>
      <c r="AG937" s="69" t="e" cm="1">
        <f t="array" ref="AG937">_xlfn.XLOOKUP(Table1[[#This Row],[5 cm2 cell test code]:[5 cm2 cell test code]],[1]!Table1[[Test code]:[Test code]],[1]!Table1[Q_int_frac DIW],"",0)</f>
        <v>#REF!</v>
      </c>
      <c r="AH937" s="69" t="e" cm="1">
        <f t="array" ref="AH937">_xlfn.XLOOKUP(Table1[[#This Row],[5 cm2 cell test code]:[5 cm2 cell test code]],[1]!Table1[[Test code]:[Test code]],[1]!Table1[Ionic resistance 10 mM KOH/Ohm cm2],"",0)</f>
        <v>#REF!</v>
      </c>
      <c r="AI937" s="69" t="e" cm="1">
        <f t="array" ref="AI937">_xlfn.XLOOKUP(Table1[[#This Row],[5 cm2 cell test code]:[5 cm2 cell test code]],[1]!Table1[[Test code]:[Test code]],[1]!Table1[Q_int_frac DIW 10 mM KOH],"",0)</f>
        <v>#REF!</v>
      </c>
      <c r="AJ937" s="69" t="e" cm="1">
        <f t="array" ref="AJ937">_xlfn.XLOOKUP(Table1[[#This Row],[5 cm2 cell test code]:[5 cm2 cell test code]],[1]!Table1[[Test code]:[Test code]],[1]!Table1[DIW conductivity (µS/cm)],"",0)</f>
        <v>#REF!</v>
      </c>
    </row>
    <row r="938" spans="1:36">
      <c r="A938" s="81"/>
      <c r="U938" s="101"/>
      <c r="V938" s="101"/>
      <c r="W938" s="69" t="e" cm="1">
        <f t="array" ref="W938">_xlfn.XLOOKUP(Table1[[#This Row],[5 cm2 cell test code]:[5 cm2 cell test code]],[1]!Table1[[Test code]:[Test code]],[1]!Table1[i @ 1.8 V DIW (A/cm2)],"",0)</f>
        <v>#REF!</v>
      </c>
      <c r="X938" s="69" t="e" cm="1">
        <f t="array" ref="X938">_xlfn.XLOOKUP(Table1[[#This Row],[5 cm2 cell test code]:[5 cm2 cell test code]],[1]!Table1[[Test code]:[Test code]],[1]!Table1[i @ 1.8 V 10 mM KOH (A/cm2)],"",0)</f>
        <v>#REF!</v>
      </c>
      <c r="Y938" s="69" t="e" cm="1">
        <f t="array" ref="Y938">_xlfn.XLOOKUP(Table1[[#This Row],[5 cm2 cell test code]:[5 cm2 cell test code]],[1]!Table1[[Test code]:[Test code]],[1]!Table1[3-E ƞ at 20mAcm-2 (mV)],"",0)</f>
        <v>#REF!</v>
      </c>
      <c r="Z938" s="69" t="e" cm="1">
        <f t="array" ref="Z938">_xlfn.XLOOKUP(Table1[[#This Row],[5 cm2 cell test code]:[5 cm2 cell test code]],[1]!Table1[[Test code]:[Test code]],[1]!Table1[3-E Tafel slope (mV/dec)],"",0)</f>
        <v>#REF!</v>
      </c>
      <c r="AA938" s="69" t="e" cm="1">
        <f t="array" ref="AA938">_xlfn.XLOOKUP(Table1[[#This Row],[5 cm2 cell test code]:[5 cm2 cell test code]],[1]!Table1[[Test code]:[Test code]],[1]!Table1[E @ 100 mA/cm2 DIW/V],"",0)</f>
        <v>#REF!</v>
      </c>
      <c r="AB938" s="69" t="e" cm="1">
        <f t="array" ref="AB938">_xlfn.XLOOKUP(Table1[[#This Row],[5 cm2 cell test code]:[5 cm2 cell test code]],[1]!Table1[[Test code]:[Test code]],[1]!Table1[E @ 100 mA/cm2 10 mM KOH/V],"",0)</f>
        <v>#REF!</v>
      </c>
      <c r="AC938" s="69" t="e" cm="1">
        <f t="array" ref="AC938">_xlfn.XLOOKUP(Table1[[#This Row],[5 cm2 cell test code]:[5 cm2 cell test code]],[1]!Table1[[Test code]:[Test code]],[1]!Table1[Anode ICR/mOhm],"",0)</f>
        <v>#REF!</v>
      </c>
      <c r="AD938" s="69" t="e" cm="1">
        <f t="array" ref="AD938">_xlfn.XLOOKUP(Table1[[#This Row],[5 cm2 cell test code]:[5 cm2 cell test code]],[1]!Table1[[Test code]:[Test code]],[1]!Table1[HFR DIW/ mOhm cm2],"",0)</f>
        <v>#REF!</v>
      </c>
      <c r="AE938" s="69" t="e" cm="1">
        <f t="array" ref="AE938">_xlfn.XLOOKUP(Table1[[#This Row],[5 cm2 cell test code]:[5 cm2 cell test code]],[1]!Table1[[Test code]:[Test code]],[1]!Table1[HFR 10 mM KOH/ mOhm cm2],"",0)</f>
        <v>#REF!</v>
      </c>
      <c r="AF938" s="69" t="e" cm="1">
        <f t="array" ref="AF938">_xlfn.XLOOKUP(Table1[[#This Row],[5 cm2 cell test code]:[5 cm2 cell test code]],[1]!Table1[[Test code]:[Test code]],[1]!Table1[Ionic resistance DIW/Ohm cm2],"",0)</f>
        <v>#REF!</v>
      </c>
      <c r="AG938" s="69" t="e" cm="1">
        <f t="array" ref="AG938">_xlfn.XLOOKUP(Table1[[#This Row],[5 cm2 cell test code]:[5 cm2 cell test code]],[1]!Table1[[Test code]:[Test code]],[1]!Table1[Q_int_frac DIW],"",0)</f>
        <v>#REF!</v>
      </c>
      <c r="AH938" s="69" t="e" cm="1">
        <f t="array" ref="AH938">_xlfn.XLOOKUP(Table1[[#This Row],[5 cm2 cell test code]:[5 cm2 cell test code]],[1]!Table1[[Test code]:[Test code]],[1]!Table1[Ionic resistance 10 mM KOH/Ohm cm2],"",0)</f>
        <v>#REF!</v>
      </c>
      <c r="AI938" s="69" t="e" cm="1">
        <f t="array" ref="AI938">_xlfn.XLOOKUP(Table1[[#This Row],[5 cm2 cell test code]:[5 cm2 cell test code]],[1]!Table1[[Test code]:[Test code]],[1]!Table1[Q_int_frac DIW 10 mM KOH],"",0)</f>
        <v>#REF!</v>
      </c>
      <c r="AJ938" s="69" t="e" cm="1">
        <f t="array" ref="AJ938">_xlfn.XLOOKUP(Table1[[#This Row],[5 cm2 cell test code]:[5 cm2 cell test code]],[1]!Table1[[Test code]:[Test code]],[1]!Table1[DIW conductivity (µS/cm)],"",0)</f>
        <v>#REF!</v>
      </c>
    </row>
    <row r="939" spans="1:36">
      <c r="A939" s="81"/>
      <c r="U939" s="101"/>
      <c r="V939" s="101"/>
      <c r="W939" s="69" t="e" cm="1">
        <f t="array" ref="W939">_xlfn.XLOOKUP(Table1[[#This Row],[5 cm2 cell test code]:[5 cm2 cell test code]],[1]!Table1[[Test code]:[Test code]],[1]!Table1[i @ 1.8 V DIW (A/cm2)],"",0)</f>
        <v>#REF!</v>
      </c>
      <c r="X939" s="69" t="e" cm="1">
        <f t="array" ref="X939">_xlfn.XLOOKUP(Table1[[#This Row],[5 cm2 cell test code]:[5 cm2 cell test code]],[1]!Table1[[Test code]:[Test code]],[1]!Table1[i @ 1.8 V 10 mM KOH (A/cm2)],"",0)</f>
        <v>#REF!</v>
      </c>
      <c r="Y939" s="69" t="e" cm="1">
        <f t="array" ref="Y939">_xlfn.XLOOKUP(Table1[[#This Row],[5 cm2 cell test code]:[5 cm2 cell test code]],[1]!Table1[[Test code]:[Test code]],[1]!Table1[3-E ƞ at 20mAcm-2 (mV)],"",0)</f>
        <v>#REF!</v>
      </c>
      <c r="Z939" s="69" t="e" cm="1">
        <f t="array" ref="Z939">_xlfn.XLOOKUP(Table1[[#This Row],[5 cm2 cell test code]:[5 cm2 cell test code]],[1]!Table1[[Test code]:[Test code]],[1]!Table1[3-E Tafel slope (mV/dec)],"",0)</f>
        <v>#REF!</v>
      </c>
      <c r="AA939" s="69" t="e" cm="1">
        <f t="array" ref="AA939">_xlfn.XLOOKUP(Table1[[#This Row],[5 cm2 cell test code]:[5 cm2 cell test code]],[1]!Table1[[Test code]:[Test code]],[1]!Table1[E @ 100 mA/cm2 DIW/V],"",0)</f>
        <v>#REF!</v>
      </c>
      <c r="AB939" s="69" t="e" cm="1">
        <f t="array" ref="AB939">_xlfn.XLOOKUP(Table1[[#This Row],[5 cm2 cell test code]:[5 cm2 cell test code]],[1]!Table1[[Test code]:[Test code]],[1]!Table1[E @ 100 mA/cm2 10 mM KOH/V],"",0)</f>
        <v>#REF!</v>
      </c>
      <c r="AC939" s="69" t="e" cm="1">
        <f t="array" ref="AC939">_xlfn.XLOOKUP(Table1[[#This Row],[5 cm2 cell test code]:[5 cm2 cell test code]],[1]!Table1[[Test code]:[Test code]],[1]!Table1[Anode ICR/mOhm],"",0)</f>
        <v>#REF!</v>
      </c>
      <c r="AD939" s="69" t="e" cm="1">
        <f t="array" ref="AD939">_xlfn.XLOOKUP(Table1[[#This Row],[5 cm2 cell test code]:[5 cm2 cell test code]],[1]!Table1[[Test code]:[Test code]],[1]!Table1[HFR DIW/ mOhm cm2],"",0)</f>
        <v>#REF!</v>
      </c>
      <c r="AE939" s="69" t="e" cm="1">
        <f t="array" ref="AE939">_xlfn.XLOOKUP(Table1[[#This Row],[5 cm2 cell test code]:[5 cm2 cell test code]],[1]!Table1[[Test code]:[Test code]],[1]!Table1[HFR 10 mM KOH/ mOhm cm2],"",0)</f>
        <v>#REF!</v>
      </c>
      <c r="AF939" s="69" t="e" cm="1">
        <f t="array" ref="AF939">_xlfn.XLOOKUP(Table1[[#This Row],[5 cm2 cell test code]:[5 cm2 cell test code]],[1]!Table1[[Test code]:[Test code]],[1]!Table1[Ionic resistance DIW/Ohm cm2],"",0)</f>
        <v>#REF!</v>
      </c>
      <c r="AG939" s="69" t="e" cm="1">
        <f t="array" ref="AG939">_xlfn.XLOOKUP(Table1[[#This Row],[5 cm2 cell test code]:[5 cm2 cell test code]],[1]!Table1[[Test code]:[Test code]],[1]!Table1[Q_int_frac DIW],"",0)</f>
        <v>#REF!</v>
      </c>
      <c r="AH939" s="69" t="e" cm="1">
        <f t="array" ref="AH939">_xlfn.XLOOKUP(Table1[[#This Row],[5 cm2 cell test code]:[5 cm2 cell test code]],[1]!Table1[[Test code]:[Test code]],[1]!Table1[Ionic resistance 10 mM KOH/Ohm cm2],"",0)</f>
        <v>#REF!</v>
      </c>
      <c r="AI939" s="69" t="e" cm="1">
        <f t="array" ref="AI939">_xlfn.XLOOKUP(Table1[[#This Row],[5 cm2 cell test code]:[5 cm2 cell test code]],[1]!Table1[[Test code]:[Test code]],[1]!Table1[Q_int_frac DIW 10 mM KOH],"",0)</f>
        <v>#REF!</v>
      </c>
      <c r="AJ939" s="69" t="e" cm="1">
        <f t="array" ref="AJ939">_xlfn.XLOOKUP(Table1[[#This Row],[5 cm2 cell test code]:[5 cm2 cell test code]],[1]!Table1[[Test code]:[Test code]],[1]!Table1[DIW conductivity (µS/cm)],"",0)</f>
        <v>#REF!</v>
      </c>
    </row>
    <row r="940" spans="1:36">
      <c r="A940" s="81"/>
      <c r="U940" s="101"/>
      <c r="V940" s="101"/>
      <c r="W940" s="69" t="e" cm="1">
        <f t="array" ref="W940">_xlfn.XLOOKUP(Table1[[#This Row],[5 cm2 cell test code]:[5 cm2 cell test code]],[1]!Table1[[Test code]:[Test code]],[1]!Table1[i @ 1.8 V DIW (A/cm2)],"",0)</f>
        <v>#REF!</v>
      </c>
      <c r="X940" s="69" t="e" cm="1">
        <f t="array" ref="X940">_xlfn.XLOOKUP(Table1[[#This Row],[5 cm2 cell test code]:[5 cm2 cell test code]],[1]!Table1[[Test code]:[Test code]],[1]!Table1[i @ 1.8 V 10 mM KOH (A/cm2)],"",0)</f>
        <v>#REF!</v>
      </c>
      <c r="Y940" s="69" t="e" cm="1">
        <f t="array" ref="Y940">_xlfn.XLOOKUP(Table1[[#This Row],[5 cm2 cell test code]:[5 cm2 cell test code]],[1]!Table1[[Test code]:[Test code]],[1]!Table1[3-E ƞ at 20mAcm-2 (mV)],"",0)</f>
        <v>#REF!</v>
      </c>
      <c r="Z940" s="69" t="e" cm="1">
        <f t="array" ref="Z940">_xlfn.XLOOKUP(Table1[[#This Row],[5 cm2 cell test code]:[5 cm2 cell test code]],[1]!Table1[[Test code]:[Test code]],[1]!Table1[3-E Tafel slope (mV/dec)],"",0)</f>
        <v>#REF!</v>
      </c>
      <c r="AA940" s="69" t="e" cm="1">
        <f t="array" ref="AA940">_xlfn.XLOOKUP(Table1[[#This Row],[5 cm2 cell test code]:[5 cm2 cell test code]],[1]!Table1[[Test code]:[Test code]],[1]!Table1[E @ 100 mA/cm2 DIW/V],"",0)</f>
        <v>#REF!</v>
      </c>
      <c r="AB940" s="69" t="e" cm="1">
        <f t="array" ref="AB940">_xlfn.XLOOKUP(Table1[[#This Row],[5 cm2 cell test code]:[5 cm2 cell test code]],[1]!Table1[[Test code]:[Test code]],[1]!Table1[E @ 100 mA/cm2 10 mM KOH/V],"",0)</f>
        <v>#REF!</v>
      </c>
      <c r="AC940" s="69" t="e" cm="1">
        <f t="array" ref="AC940">_xlfn.XLOOKUP(Table1[[#This Row],[5 cm2 cell test code]:[5 cm2 cell test code]],[1]!Table1[[Test code]:[Test code]],[1]!Table1[Anode ICR/mOhm],"",0)</f>
        <v>#REF!</v>
      </c>
      <c r="AD940" s="69" t="e" cm="1">
        <f t="array" ref="AD940">_xlfn.XLOOKUP(Table1[[#This Row],[5 cm2 cell test code]:[5 cm2 cell test code]],[1]!Table1[[Test code]:[Test code]],[1]!Table1[HFR DIW/ mOhm cm2],"",0)</f>
        <v>#REF!</v>
      </c>
      <c r="AE940" s="69" t="e" cm="1">
        <f t="array" ref="AE940">_xlfn.XLOOKUP(Table1[[#This Row],[5 cm2 cell test code]:[5 cm2 cell test code]],[1]!Table1[[Test code]:[Test code]],[1]!Table1[HFR 10 mM KOH/ mOhm cm2],"",0)</f>
        <v>#REF!</v>
      </c>
      <c r="AF940" s="69" t="e" cm="1">
        <f t="array" ref="AF940">_xlfn.XLOOKUP(Table1[[#This Row],[5 cm2 cell test code]:[5 cm2 cell test code]],[1]!Table1[[Test code]:[Test code]],[1]!Table1[Ionic resistance DIW/Ohm cm2],"",0)</f>
        <v>#REF!</v>
      </c>
      <c r="AG940" s="69" t="e" cm="1">
        <f t="array" ref="AG940">_xlfn.XLOOKUP(Table1[[#This Row],[5 cm2 cell test code]:[5 cm2 cell test code]],[1]!Table1[[Test code]:[Test code]],[1]!Table1[Q_int_frac DIW],"",0)</f>
        <v>#REF!</v>
      </c>
      <c r="AH940" s="69" t="e" cm="1">
        <f t="array" ref="AH940">_xlfn.XLOOKUP(Table1[[#This Row],[5 cm2 cell test code]:[5 cm2 cell test code]],[1]!Table1[[Test code]:[Test code]],[1]!Table1[Ionic resistance 10 mM KOH/Ohm cm2],"",0)</f>
        <v>#REF!</v>
      </c>
      <c r="AI940" s="69" t="e" cm="1">
        <f t="array" ref="AI940">_xlfn.XLOOKUP(Table1[[#This Row],[5 cm2 cell test code]:[5 cm2 cell test code]],[1]!Table1[[Test code]:[Test code]],[1]!Table1[Q_int_frac DIW 10 mM KOH],"",0)</f>
        <v>#REF!</v>
      </c>
      <c r="AJ940" s="69" t="e" cm="1">
        <f t="array" ref="AJ940">_xlfn.XLOOKUP(Table1[[#This Row],[5 cm2 cell test code]:[5 cm2 cell test code]],[1]!Table1[[Test code]:[Test code]],[1]!Table1[DIW conductivity (µS/cm)],"",0)</f>
        <v>#REF!</v>
      </c>
    </row>
    <row r="941" spans="1:36">
      <c r="A941" s="81"/>
      <c r="U941" s="101"/>
      <c r="V941" s="101"/>
      <c r="W941" s="69" t="e" cm="1">
        <f t="array" ref="W941">_xlfn.XLOOKUP(Table1[[#This Row],[5 cm2 cell test code]:[5 cm2 cell test code]],[1]!Table1[[Test code]:[Test code]],[1]!Table1[i @ 1.8 V DIW (A/cm2)],"",0)</f>
        <v>#REF!</v>
      </c>
      <c r="X941" s="69" t="e" cm="1">
        <f t="array" ref="X941">_xlfn.XLOOKUP(Table1[[#This Row],[5 cm2 cell test code]:[5 cm2 cell test code]],[1]!Table1[[Test code]:[Test code]],[1]!Table1[i @ 1.8 V 10 mM KOH (A/cm2)],"",0)</f>
        <v>#REF!</v>
      </c>
      <c r="Y941" s="69" t="e" cm="1">
        <f t="array" ref="Y941">_xlfn.XLOOKUP(Table1[[#This Row],[5 cm2 cell test code]:[5 cm2 cell test code]],[1]!Table1[[Test code]:[Test code]],[1]!Table1[3-E ƞ at 20mAcm-2 (mV)],"",0)</f>
        <v>#REF!</v>
      </c>
      <c r="Z941" s="69" t="e" cm="1">
        <f t="array" ref="Z941">_xlfn.XLOOKUP(Table1[[#This Row],[5 cm2 cell test code]:[5 cm2 cell test code]],[1]!Table1[[Test code]:[Test code]],[1]!Table1[3-E Tafel slope (mV/dec)],"",0)</f>
        <v>#REF!</v>
      </c>
      <c r="AA941" s="69" t="e" cm="1">
        <f t="array" ref="AA941">_xlfn.XLOOKUP(Table1[[#This Row],[5 cm2 cell test code]:[5 cm2 cell test code]],[1]!Table1[[Test code]:[Test code]],[1]!Table1[E @ 100 mA/cm2 DIW/V],"",0)</f>
        <v>#REF!</v>
      </c>
      <c r="AB941" s="69" t="e" cm="1">
        <f t="array" ref="AB941">_xlfn.XLOOKUP(Table1[[#This Row],[5 cm2 cell test code]:[5 cm2 cell test code]],[1]!Table1[[Test code]:[Test code]],[1]!Table1[E @ 100 mA/cm2 10 mM KOH/V],"",0)</f>
        <v>#REF!</v>
      </c>
      <c r="AC941" s="69" t="e" cm="1">
        <f t="array" ref="AC941">_xlfn.XLOOKUP(Table1[[#This Row],[5 cm2 cell test code]:[5 cm2 cell test code]],[1]!Table1[[Test code]:[Test code]],[1]!Table1[Anode ICR/mOhm],"",0)</f>
        <v>#REF!</v>
      </c>
      <c r="AD941" s="69" t="e" cm="1">
        <f t="array" ref="AD941">_xlfn.XLOOKUP(Table1[[#This Row],[5 cm2 cell test code]:[5 cm2 cell test code]],[1]!Table1[[Test code]:[Test code]],[1]!Table1[HFR DIW/ mOhm cm2],"",0)</f>
        <v>#REF!</v>
      </c>
      <c r="AE941" s="69" t="e" cm="1">
        <f t="array" ref="AE941">_xlfn.XLOOKUP(Table1[[#This Row],[5 cm2 cell test code]:[5 cm2 cell test code]],[1]!Table1[[Test code]:[Test code]],[1]!Table1[HFR 10 mM KOH/ mOhm cm2],"",0)</f>
        <v>#REF!</v>
      </c>
      <c r="AF941" s="69" t="e" cm="1">
        <f t="array" ref="AF941">_xlfn.XLOOKUP(Table1[[#This Row],[5 cm2 cell test code]:[5 cm2 cell test code]],[1]!Table1[[Test code]:[Test code]],[1]!Table1[Ionic resistance DIW/Ohm cm2],"",0)</f>
        <v>#REF!</v>
      </c>
      <c r="AG941" s="69" t="e" cm="1">
        <f t="array" ref="AG941">_xlfn.XLOOKUP(Table1[[#This Row],[5 cm2 cell test code]:[5 cm2 cell test code]],[1]!Table1[[Test code]:[Test code]],[1]!Table1[Q_int_frac DIW],"",0)</f>
        <v>#REF!</v>
      </c>
      <c r="AH941" s="69" t="e" cm="1">
        <f t="array" ref="AH941">_xlfn.XLOOKUP(Table1[[#This Row],[5 cm2 cell test code]:[5 cm2 cell test code]],[1]!Table1[[Test code]:[Test code]],[1]!Table1[Ionic resistance 10 mM KOH/Ohm cm2],"",0)</f>
        <v>#REF!</v>
      </c>
      <c r="AI941" s="69" t="e" cm="1">
        <f t="array" ref="AI941">_xlfn.XLOOKUP(Table1[[#This Row],[5 cm2 cell test code]:[5 cm2 cell test code]],[1]!Table1[[Test code]:[Test code]],[1]!Table1[Q_int_frac DIW 10 mM KOH],"",0)</f>
        <v>#REF!</v>
      </c>
      <c r="AJ941" s="69" t="e" cm="1">
        <f t="array" ref="AJ941">_xlfn.XLOOKUP(Table1[[#This Row],[5 cm2 cell test code]:[5 cm2 cell test code]],[1]!Table1[[Test code]:[Test code]],[1]!Table1[DIW conductivity (µS/cm)],"",0)</f>
        <v>#REF!</v>
      </c>
    </row>
    <row r="942" spans="1:36">
      <c r="A942" s="81"/>
      <c r="U942" s="101"/>
      <c r="V942" s="101"/>
      <c r="W942" s="69" t="e" cm="1">
        <f t="array" ref="W942">_xlfn.XLOOKUP(Table1[[#This Row],[5 cm2 cell test code]:[5 cm2 cell test code]],[1]!Table1[[Test code]:[Test code]],[1]!Table1[i @ 1.8 V DIW (A/cm2)],"",0)</f>
        <v>#REF!</v>
      </c>
      <c r="X942" s="69" t="e" cm="1">
        <f t="array" ref="X942">_xlfn.XLOOKUP(Table1[[#This Row],[5 cm2 cell test code]:[5 cm2 cell test code]],[1]!Table1[[Test code]:[Test code]],[1]!Table1[i @ 1.8 V 10 mM KOH (A/cm2)],"",0)</f>
        <v>#REF!</v>
      </c>
      <c r="Y942" s="69" t="e" cm="1">
        <f t="array" ref="Y942">_xlfn.XLOOKUP(Table1[[#This Row],[5 cm2 cell test code]:[5 cm2 cell test code]],[1]!Table1[[Test code]:[Test code]],[1]!Table1[3-E ƞ at 20mAcm-2 (mV)],"",0)</f>
        <v>#REF!</v>
      </c>
      <c r="Z942" s="69" t="e" cm="1">
        <f t="array" ref="Z942">_xlfn.XLOOKUP(Table1[[#This Row],[5 cm2 cell test code]:[5 cm2 cell test code]],[1]!Table1[[Test code]:[Test code]],[1]!Table1[3-E Tafel slope (mV/dec)],"",0)</f>
        <v>#REF!</v>
      </c>
      <c r="AA942" s="69" t="e" cm="1">
        <f t="array" ref="AA942">_xlfn.XLOOKUP(Table1[[#This Row],[5 cm2 cell test code]:[5 cm2 cell test code]],[1]!Table1[[Test code]:[Test code]],[1]!Table1[E @ 100 mA/cm2 DIW/V],"",0)</f>
        <v>#REF!</v>
      </c>
      <c r="AB942" s="69" t="e" cm="1">
        <f t="array" ref="AB942">_xlfn.XLOOKUP(Table1[[#This Row],[5 cm2 cell test code]:[5 cm2 cell test code]],[1]!Table1[[Test code]:[Test code]],[1]!Table1[E @ 100 mA/cm2 10 mM KOH/V],"",0)</f>
        <v>#REF!</v>
      </c>
      <c r="AC942" s="69" t="e" cm="1">
        <f t="array" ref="AC942">_xlfn.XLOOKUP(Table1[[#This Row],[5 cm2 cell test code]:[5 cm2 cell test code]],[1]!Table1[[Test code]:[Test code]],[1]!Table1[Anode ICR/mOhm],"",0)</f>
        <v>#REF!</v>
      </c>
      <c r="AD942" s="69" t="e" cm="1">
        <f t="array" ref="AD942">_xlfn.XLOOKUP(Table1[[#This Row],[5 cm2 cell test code]:[5 cm2 cell test code]],[1]!Table1[[Test code]:[Test code]],[1]!Table1[HFR DIW/ mOhm cm2],"",0)</f>
        <v>#REF!</v>
      </c>
      <c r="AE942" s="69" t="e" cm="1">
        <f t="array" ref="AE942">_xlfn.XLOOKUP(Table1[[#This Row],[5 cm2 cell test code]:[5 cm2 cell test code]],[1]!Table1[[Test code]:[Test code]],[1]!Table1[HFR 10 mM KOH/ mOhm cm2],"",0)</f>
        <v>#REF!</v>
      </c>
      <c r="AF942" s="69" t="e" cm="1">
        <f t="array" ref="AF942">_xlfn.XLOOKUP(Table1[[#This Row],[5 cm2 cell test code]:[5 cm2 cell test code]],[1]!Table1[[Test code]:[Test code]],[1]!Table1[Ionic resistance DIW/Ohm cm2],"",0)</f>
        <v>#REF!</v>
      </c>
      <c r="AG942" s="69" t="e" cm="1">
        <f t="array" ref="AG942">_xlfn.XLOOKUP(Table1[[#This Row],[5 cm2 cell test code]:[5 cm2 cell test code]],[1]!Table1[[Test code]:[Test code]],[1]!Table1[Q_int_frac DIW],"",0)</f>
        <v>#REF!</v>
      </c>
      <c r="AH942" s="69" t="e" cm="1">
        <f t="array" ref="AH942">_xlfn.XLOOKUP(Table1[[#This Row],[5 cm2 cell test code]:[5 cm2 cell test code]],[1]!Table1[[Test code]:[Test code]],[1]!Table1[Ionic resistance 10 mM KOH/Ohm cm2],"",0)</f>
        <v>#REF!</v>
      </c>
      <c r="AI942" s="69" t="e" cm="1">
        <f t="array" ref="AI942">_xlfn.XLOOKUP(Table1[[#This Row],[5 cm2 cell test code]:[5 cm2 cell test code]],[1]!Table1[[Test code]:[Test code]],[1]!Table1[Q_int_frac DIW 10 mM KOH],"",0)</f>
        <v>#REF!</v>
      </c>
      <c r="AJ942" s="69" t="e" cm="1">
        <f t="array" ref="AJ942">_xlfn.XLOOKUP(Table1[[#This Row],[5 cm2 cell test code]:[5 cm2 cell test code]],[1]!Table1[[Test code]:[Test code]],[1]!Table1[DIW conductivity (µS/cm)],"",0)</f>
        <v>#REF!</v>
      </c>
    </row>
    <row r="943" spans="1:36">
      <c r="A943" s="81"/>
      <c r="U943" s="101"/>
      <c r="V943" s="101"/>
      <c r="W943" s="69" t="e" cm="1">
        <f t="array" ref="W943">_xlfn.XLOOKUP(Table1[[#This Row],[5 cm2 cell test code]:[5 cm2 cell test code]],[1]!Table1[[Test code]:[Test code]],[1]!Table1[i @ 1.8 V DIW (A/cm2)],"",0)</f>
        <v>#REF!</v>
      </c>
      <c r="X943" s="69" t="e" cm="1">
        <f t="array" ref="X943">_xlfn.XLOOKUP(Table1[[#This Row],[5 cm2 cell test code]:[5 cm2 cell test code]],[1]!Table1[[Test code]:[Test code]],[1]!Table1[i @ 1.8 V 10 mM KOH (A/cm2)],"",0)</f>
        <v>#REF!</v>
      </c>
      <c r="Y943" s="69" t="e" cm="1">
        <f t="array" ref="Y943">_xlfn.XLOOKUP(Table1[[#This Row],[5 cm2 cell test code]:[5 cm2 cell test code]],[1]!Table1[[Test code]:[Test code]],[1]!Table1[3-E ƞ at 20mAcm-2 (mV)],"",0)</f>
        <v>#REF!</v>
      </c>
      <c r="Z943" s="69" t="e" cm="1">
        <f t="array" ref="Z943">_xlfn.XLOOKUP(Table1[[#This Row],[5 cm2 cell test code]:[5 cm2 cell test code]],[1]!Table1[[Test code]:[Test code]],[1]!Table1[3-E Tafel slope (mV/dec)],"",0)</f>
        <v>#REF!</v>
      </c>
      <c r="AA943" s="69" t="e" cm="1">
        <f t="array" ref="AA943">_xlfn.XLOOKUP(Table1[[#This Row],[5 cm2 cell test code]:[5 cm2 cell test code]],[1]!Table1[[Test code]:[Test code]],[1]!Table1[E @ 100 mA/cm2 DIW/V],"",0)</f>
        <v>#REF!</v>
      </c>
      <c r="AB943" s="69" t="e" cm="1">
        <f t="array" ref="AB943">_xlfn.XLOOKUP(Table1[[#This Row],[5 cm2 cell test code]:[5 cm2 cell test code]],[1]!Table1[[Test code]:[Test code]],[1]!Table1[E @ 100 mA/cm2 10 mM KOH/V],"",0)</f>
        <v>#REF!</v>
      </c>
      <c r="AC943" s="69" t="e" cm="1">
        <f t="array" ref="AC943">_xlfn.XLOOKUP(Table1[[#This Row],[5 cm2 cell test code]:[5 cm2 cell test code]],[1]!Table1[[Test code]:[Test code]],[1]!Table1[Anode ICR/mOhm],"",0)</f>
        <v>#REF!</v>
      </c>
      <c r="AD943" s="69" t="e" cm="1">
        <f t="array" ref="AD943">_xlfn.XLOOKUP(Table1[[#This Row],[5 cm2 cell test code]:[5 cm2 cell test code]],[1]!Table1[[Test code]:[Test code]],[1]!Table1[HFR DIW/ mOhm cm2],"",0)</f>
        <v>#REF!</v>
      </c>
      <c r="AE943" s="69" t="e" cm="1">
        <f t="array" ref="AE943">_xlfn.XLOOKUP(Table1[[#This Row],[5 cm2 cell test code]:[5 cm2 cell test code]],[1]!Table1[[Test code]:[Test code]],[1]!Table1[HFR 10 mM KOH/ mOhm cm2],"",0)</f>
        <v>#REF!</v>
      </c>
      <c r="AF943" s="69" t="e" cm="1">
        <f t="array" ref="AF943">_xlfn.XLOOKUP(Table1[[#This Row],[5 cm2 cell test code]:[5 cm2 cell test code]],[1]!Table1[[Test code]:[Test code]],[1]!Table1[Ionic resistance DIW/Ohm cm2],"",0)</f>
        <v>#REF!</v>
      </c>
      <c r="AG943" s="69" t="e" cm="1">
        <f t="array" ref="AG943">_xlfn.XLOOKUP(Table1[[#This Row],[5 cm2 cell test code]:[5 cm2 cell test code]],[1]!Table1[[Test code]:[Test code]],[1]!Table1[Q_int_frac DIW],"",0)</f>
        <v>#REF!</v>
      </c>
      <c r="AH943" s="69" t="e" cm="1">
        <f t="array" ref="AH943">_xlfn.XLOOKUP(Table1[[#This Row],[5 cm2 cell test code]:[5 cm2 cell test code]],[1]!Table1[[Test code]:[Test code]],[1]!Table1[Ionic resistance 10 mM KOH/Ohm cm2],"",0)</f>
        <v>#REF!</v>
      </c>
      <c r="AI943" s="69" t="e" cm="1">
        <f t="array" ref="AI943">_xlfn.XLOOKUP(Table1[[#This Row],[5 cm2 cell test code]:[5 cm2 cell test code]],[1]!Table1[[Test code]:[Test code]],[1]!Table1[Q_int_frac DIW 10 mM KOH],"",0)</f>
        <v>#REF!</v>
      </c>
      <c r="AJ943" s="69" t="e" cm="1">
        <f t="array" ref="AJ943">_xlfn.XLOOKUP(Table1[[#This Row],[5 cm2 cell test code]:[5 cm2 cell test code]],[1]!Table1[[Test code]:[Test code]],[1]!Table1[DIW conductivity (µS/cm)],"",0)</f>
        <v>#REF!</v>
      </c>
    </row>
    <row r="944" spans="1:36">
      <c r="A944" s="81"/>
      <c r="U944" s="101"/>
      <c r="V944" s="101"/>
      <c r="W944" s="69" t="e" cm="1">
        <f t="array" ref="W944">_xlfn.XLOOKUP(Table1[[#This Row],[5 cm2 cell test code]:[5 cm2 cell test code]],[1]!Table1[[Test code]:[Test code]],[1]!Table1[i @ 1.8 V DIW (A/cm2)],"",0)</f>
        <v>#REF!</v>
      </c>
      <c r="X944" s="69" t="e" cm="1">
        <f t="array" ref="X944">_xlfn.XLOOKUP(Table1[[#This Row],[5 cm2 cell test code]:[5 cm2 cell test code]],[1]!Table1[[Test code]:[Test code]],[1]!Table1[i @ 1.8 V 10 mM KOH (A/cm2)],"",0)</f>
        <v>#REF!</v>
      </c>
      <c r="Y944" s="69" t="e" cm="1">
        <f t="array" ref="Y944">_xlfn.XLOOKUP(Table1[[#This Row],[5 cm2 cell test code]:[5 cm2 cell test code]],[1]!Table1[[Test code]:[Test code]],[1]!Table1[3-E ƞ at 20mAcm-2 (mV)],"",0)</f>
        <v>#REF!</v>
      </c>
      <c r="Z944" s="69" t="e" cm="1">
        <f t="array" ref="Z944">_xlfn.XLOOKUP(Table1[[#This Row],[5 cm2 cell test code]:[5 cm2 cell test code]],[1]!Table1[[Test code]:[Test code]],[1]!Table1[3-E Tafel slope (mV/dec)],"",0)</f>
        <v>#REF!</v>
      </c>
      <c r="AA944" s="69" t="e" cm="1">
        <f t="array" ref="AA944">_xlfn.XLOOKUP(Table1[[#This Row],[5 cm2 cell test code]:[5 cm2 cell test code]],[1]!Table1[[Test code]:[Test code]],[1]!Table1[E @ 100 mA/cm2 DIW/V],"",0)</f>
        <v>#REF!</v>
      </c>
      <c r="AB944" s="69" t="e" cm="1">
        <f t="array" ref="AB944">_xlfn.XLOOKUP(Table1[[#This Row],[5 cm2 cell test code]:[5 cm2 cell test code]],[1]!Table1[[Test code]:[Test code]],[1]!Table1[E @ 100 mA/cm2 10 mM KOH/V],"",0)</f>
        <v>#REF!</v>
      </c>
      <c r="AC944" s="69" t="e" cm="1">
        <f t="array" ref="AC944">_xlfn.XLOOKUP(Table1[[#This Row],[5 cm2 cell test code]:[5 cm2 cell test code]],[1]!Table1[[Test code]:[Test code]],[1]!Table1[Anode ICR/mOhm],"",0)</f>
        <v>#REF!</v>
      </c>
      <c r="AD944" s="69" t="e" cm="1">
        <f t="array" ref="AD944">_xlfn.XLOOKUP(Table1[[#This Row],[5 cm2 cell test code]:[5 cm2 cell test code]],[1]!Table1[[Test code]:[Test code]],[1]!Table1[HFR DIW/ mOhm cm2],"",0)</f>
        <v>#REF!</v>
      </c>
      <c r="AE944" s="69" t="e" cm="1">
        <f t="array" ref="AE944">_xlfn.XLOOKUP(Table1[[#This Row],[5 cm2 cell test code]:[5 cm2 cell test code]],[1]!Table1[[Test code]:[Test code]],[1]!Table1[HFR 10 mM KOH/ mOhm cm2],"",0)</f>
        <v>#REF!</v>
      </c>
      <c r="AF944" s="69" t="e" cm="1">
        <f t="array" ref="AF944">_xlfn.XLOOKUP(Table1[[#This Row],[5 cm2 cell test code]:[5 cm2 cell test code]],[1]!Table1[[Test code]:[Test code]],[1]!Table1[Ionic resistance DIW/Ohm cm2],"",0)</f>
        <v>#REF!</v>
      </c>
      <c r="AG944" s="69" t="e" cm="1">
        <f t="array" ref="AG944">_xlfn.XLOOKUP(Table1[[#This Row],[5 cm2 cell test code]:[5 cm2 cell test code]],[1]!Table1[[Test code]:[Test code]],[1]!Table1[Q_int_frac DIW],"",0)</f>
        <v>#REF!</v>
      </c>
      <c r="AH944" s="69" t="e" cm="1">
        <f t="array" ref="AH944">_xlfn.XLOOKUP(Table1[[#This Row],[5 cm2 cell test code]:[5 cm2 cell test code]],[1]!Table1[[Test code]:[Test code]],[1]!Table1[Ionic resistance 10 mM KOH/Ohm cm2],"",0)</f>
        <v>#REF!</v>
      </c>
      <c r="AI944" s="69" t="e" cm="1">
        <f t="array" ref="AI944">_xlfn.XLOOKUP(Table1[[#This Row],[5 cm2 cell test code]:[5 cm2 cell test code]],[1]!Table1[[Test code]:[Test code]],[1]!Table1[Q_int_frac DIW 10 mM KOH],"",0)</f>
        <v>#REF!</v>
      </c>
      <c r="AJ944" s="69" t="e" cm="1">
        <f t="array" ref="AJ944">_xlfn.XLOOKUP(Table1[[#This Row],[5 cm2 cell test code]:[5 cm2 cell test code]],[1]!Table1[[Test code]:[Test code]],[1]!Table1[DIW conductivity (µS/cm)],"",0)</f>
        <v>#REF!</v>
      </c>
    </row>
    <row r="945" spans="1:36">
      <c r="A945" s="81"/>
      <c r="U945" s="101"/>
      <c r="V945" s="101"/>
      <c r="W945" s="69" t="e" cm="1">
        <f t="array" ref="W945">_xlfn.XLOOKUP(Table1[[#This Row],[5 cm2 cell test code]:[5 cm2 cell test code]],[1]!Table1[[Test code]:[Test code]],[1]!Table1[i @ 1.8 V DIW (A/cm2)],"",0)</f>
        <v>#REF!</v>
      </c>
      <c r="X945" s="69" t="e" cm="1">
        <f t="array" ref="X945">_xlfn.XLOOKUP(Table1[[#This Row],[5 cm2 cell test code]:[5 cm2 cell test code]],[1]!Table1[[Test code]:[Test code]],[1]!Table1[i @ 1.8 V 10 mM KOH (A/cm2)],"",0)</f>
        <v>#REF!</v>
      </c>
      <c r="Y945" s="69" t="e" cm="1">
        <f t="array" ref="Y945">_xlfn.XLOOKUP(Table1[[#This Row],[5 cm2 cell test code]:[5 cm2 cell test code]],[1]!Table1[[Test code]:[Test code]],[1]!Table1[3-E ƞ at 20mAcm-2 (mV)],"",0)</f>
        <v>#REF!</v>
      </c>
      <c r="Z945" s="69" t="e" cm="1">
        <f t="array" ref="Z945">_xlfn.XLOOKUP(Table1[[#This Row],[5 cm2 cell test code]:[5 cm2 cell test code]],[1]!Table1[[Test code]:[Test code]],[1]!Table1[3-E Tafel slope (mV/dec)],"",0)</f>
        <v>#REF!</v>
      </c>
      <c r="AA945" s="69" t="e" cm="1">
        <f t="array" ref="AA945">_xlfn.XLOOKUP(Table1[[#This Row],[5 cm2 cell test code]:[5 cm2 cell test code]],[1]!Table1[[Test code]:[Test code]],[1]!Table1[E @ 100 mA/cm2 DIW/V],"",0)</f>
        <v>#REF!</v>
      </c>
      <c r="AB945" s="69" t="e" cm="1">
        <f t="array" ref="AB945">_xlfn.XLOOKUP(Table1[[#This Row],[5 cm2 cell test code]:[5 cm2 cell test code]],[1]!Table1[[Test code]:[Test code]],[1]!Table1[E @ 100 mA/cm2 10 mM KOH/V],"",0)</f>
        <v>#REF!</v>
      </c>
      <c r="AC945" s="69" t="e" cm="1">
        <f t="array" ref="AC945">_xlfn.XLOOKUP(Table1[[#This Row],[5 cm2 cell test code]:[5 cm2 cell test code]],[1]!Table1[[Test code]:[Test code]],[1]!Table1[Anode ICR/mOhm],"",0)</f>
        <v>#REF!</v>
      </c>
      <c r="AD945" s="69" t="e" cm="1">
        <f t="array" ref="AD945">_xlfn.XLOOKUP(Table1[[#This Row],[5 cm2 cell test code]:[5 cm2 cell test code]],[1]!Table1[[Test code]:[Test code]],[1]!Table1[HFR DIW/ mOhm cm2],"",0)</f>
        <v>#REF!</v>
      </c>
      <c r="AE945" s="69" t="e" cm="1">
        <f t="array" ref="AE945">_xlfn.XLOOKUP(Table1[[#This Row],[5 cm2 cell test code]:[5 cm2 cell test code]],[1]!Table1[[Test code]:[Test code]],[1]!Table1[HFR 10 mM KOH/ mOhm cm2],"",0)</f>
        <v>#REF!</v>
      </c>
      <c r="AF945" s="69" t="e" cm="1">
        <f t="array" ref="AF945">_xlfn.XLOOKUP(Table1[[#This Row],[5 cm2 cell test code]:[5 cm2 cell test code]],[1]!Table1[[Test code]:[Test code]],[1]!Table1[Ionic resistance DIW/Ohm cm2],"",0)</f>
        <v>#REF!</v>
      </c>
      <c r="AG945" s="69" t="e" cm="1">
        <f t="array" ref="AG945">_xlfn.XLOOKUP(Table1[[#This Row],[5 cm2 cell test code]:[5 cm2 cell test code]],[1]!Table1[[Test code]:[Test code]],[1]!Table1[Q_int_frac DIW],"",0)</f>
        <v>#REF!</v>
      </c>
      <c r="AH945" s="69" t="e" cm="1">
        <f t="array" ref="AH945">_xlfn.XLOOKUP(Table1[[#This Row],[5 cm2 cell test code]:[5 cm2 cell test code]],[1]!Table1[[Test code]:[Test code]],[1]!Table1[Ionic resistance 10 mM KOH/Ohm cm2],"",0)</f>
        <v>#REF!</v>
      </c>
      <c r="AI945" s="69" t="e" cm="1">
        <f t="array" ref="AI945">_xlfn.XLOOKUP(Table1[[#This Row],[5 cm2 cell test code]:[5 cm2 cell test code]],[1]!Table1[[Test code]:[Test code]],[1]!Table1[Q_int_frac DIW 10 mM KOH],"",0)</f>
        <v>#REF!</v>
      </c>
      <c r="AJ945" s="69" t="e" cm="1">
        <f t="array" ref="AJ945">_xlfn.XLOOKUP(Table1[[#This Row],[5 cm2 cell test code]:[5 cm2 cell test code]],[1]!Table1[[Test code]:[Test code]],[1]!Table1[DIW conductivity (µS/cm)],"",0)</f>
        <v>#REF!</v>
      </c>
    </row>
    <row r="946" spans="1:36">
      <c r="A946" s="81"/>
      <c r="U946" s="101"/>
      <c r="V946" s="101"/>
      <c r="W946" s="69" t="e" cm="1">
        <f t="array" ref="W946">_xlfn.XLOOKUP(Table1[[#This Row],[5 cm2 cell test code]:[5 cm2 cell test code]],[1]!Table1[[Test code]:[Test code]],[1]!Table1[i @ 1.8 V DIW (A/cm2)],"",0)</f>
        <v>#REF!</v>
      </c>
      <c r="X946" s="69" t="e" cm="1">
        <f t="array" ref="X946">_xlfn.XLOOKUP(Table1[[#This Row],[5 cm2 cell test code]:[5 cm2 cell test code]],[1]!Table1[[Test code]:[Test code]],[1]!Table1[i @ 1.8 V 10 mM KOH (A/cm2)],"",0)</f>
        <v>#REF!</v>
      </c>
      <c r="Y946" s="69" t="e" cm="1">
        <f t="array" ref="Y946">_xlfn.XLOOKUP(Table1[[#This Row],[5 cm2 cell test code]:[5 cm2 cell test code]],[1]!Table1[[Test code]:[Test code]],[1]!Table1[3-E ƞ at 20mAcm-2 (mV)],"",0)</f>
        <v>#REF!</v>
      </c>
      <c r="Z946" s="69" t="e" cm="1">
        <f t="array" ref="Z946">_xlfn.XLOOKUP(Table1[[#This Row],[5 cm2 cell test code]:[5 cm2 cell test code]],[1]!Table1[[Test code]:[Test code]],[1]!Table1[3-E Tafel slope (mV/dec)],"",0)</f>
        <v>#REF!</v>
      </c>
      <c r="AA946" s="69" t="e" cm="1">
        <f t="array" ref="AA946">_xlfn.XLOOKUP(Table1[[#This Row],[5 cm2 cell test code]:[5 cm2 cell test code]],[1]!Table1[[Test code]:[Test code]],[1]!Table1[E @ 100 mA/cm2 DIW/V],"",0)</f>
        <v>#REF!</v>
      </c>
      <c r="AB946" s="69" t="e" cm="1">
        <f t="array" ref="AB946">_xlfn.XLOOKUP(Table1[[#This Row],[5 cm2 cell test code]:[5 cm2 cell test code]],[1]!Table1[[Test code]:[Test code]],[1]!Table1[E @ 100 mA/cm2 10 mM KOH/V],"",0)</f>
        <v>#REF!</v>
      </c>
      <c r="AC946" s="69" t="e" cm="1">
        <f t="array" ref="AC946">_xlfn.XLOOKUP(Table1[[#This Row],[5 cm2 cell test code]:[5 cm2 cell test code]],[1]!Table1[[Test code]:[Test code]],[1]!Table1[Anode ICR/mOhm],"",0)</f>
        <v>#REF!</v>
      </c>
      <c r="AD946" s="69" t="e" cm="1">
        <f t="array" ref="AD946">_xlfn.XLOOKUP(Table1[[#This Row],[5 cm2 cell test code]:[5 cm2 cell test code]],[1]!Table1[[Test code]:[Test code]],[1]!Table1[HFR DIW/ mOhm cm2],"",0)</f>
        <v>#REF!</v>
      </c>
      <c r="AE946" s="69" t="e" cm="1">
        <f t="array" ref="AE946">_xlfn.XLOOKUP(Table1[[#This Row],[5 cm2 cell test code]:[5 cm2 cell test code]],[1]!Table1[[Test code]:[Test code]],[1]!Table1[HFR 10 mM KOH/ mOhm cm2],"",0)</f>
        <v>#REF!</v>
      </c>
      <c r="AF946" s="69" t="e" cm="1">
        <f t="array" ref="AF946">_xlfn.XLOOKUP(Table1[[#This Row],[5 cm2 cell test code]:[5 cm2 cell test code]],[1]!Table1[[Test code]:[Test code]],[1]!Table1[Ionic resistance DIW/Ohm cm2],"",0)</f>
        <v>#REF!</v>
      </c>
      <c r="AG946" s="69" t="e" cm="1">
        <f t="array" ref="AG946">_xlfn.XLOOKUP(Table1[[#This Row],[5 cm2 cell test code]:[5 cm2 cell test code]],[1]!Table1[[Test code]:[Test code]],[1]!Table1[Q_int_frac DIW],"",0)</f>
        <v>#REF!</v>
      </c>
      <c r="AH946" s="69" t="e" cm="1">
        <f t="array" ref="AH946">_xlfn.XLOOKUP(Table1[[#This Row],[5 cm2 cell test code]:[5 cm2 cell test code]],[1]!Table1[[Test code]:[Test code]],[1]!Table1[Ionic resistance 10 mM KOH/Ohm cm2],"",0)</f>
        <v>#REF!</v>
      </c>
      <c r="AI946" s="69" t="e" cm="1">
        <f t="array" ref="AI946">_xlfn.XLOOKUP(Table1[[#This Row],[5 cm2 cell test code]:[5 cm2 cell test code]],[1]!Table1[[Test code]:[Test code]],[1]!Table1[Q_int_frac DIW 10 mM KOH],"",0)</f>
        <v>#REF!</v>
      </c>
      <c r="AJ946" s="69" t="e" cm="1">
        <f t="array" ref="AJ946">_xlfn.XLOOKUP(Table1[[#This Row],[5 cm2 cell test code]:[5 cm2 cell test code]],[1]!Table1[[Test code]:[Test code]],[1]!Table1[DIW conductivity (µS/cm)],"",0)</f>
        <v>#REF!</v>
      </c>
    </row>
    <row r="947" spans="1:36">
      <c r="A947" s="81"/>
      <c r="U947" s="101"/>
      <c r="V947" s="101"/>
      <c r="W947" s="69" t="e" cm="1">
        <f t="array" ref="W947">_xlfn.XLOOKUP(Table1[[#This Row],[5 cm2 cell test code]:[5 cm2 cell test code]],[1]!Table1[[Test code]:[Test code]],[1]!Table1[i @ 1.8 V DIW (A/cm2)],"",0)</f>
        <v>#REF!</v>
      </c>
      <c r="X947" s="69" t="e" cm="1">
        <f t="array" ref="X947">_xlfn.XLOOKUP(Table1[[#This Row],[5 cm2 cell test code]:[5 cm2 cell test code]],[1]!Table1[[Test code]:[Test code]],[1]!Table1[i @ 1.8 V 10 mM KOH (A/cm2)],"",0)</f>
        <v>#REF!</v>
      </c>
      <c r="Y947" s="69" t="e" cm="1">
        <f t="array" ref="Y947">_xlfn.XLOOKUP(Table1[[#This Row],[5 cm2 cell test code]:[5 cm2 cell test code]],[1]!Table1[[Test code]:[Test code]],[1]!Table1[3-E ƞ at 20mAcm-2 (mV)],"",0)</f>
        <v>#REF!</v>
      </c>
      <c r="Z947" s="69" t="e" cm="1">
        <f t="array" ref="Z947">_xlfn.XLOOKUP(Table1[[#This Row],[5 cm2 cell test code]:[5 cm2 cell test code]],[1]!Table1[[Test code]:[Test code]],[1]!Table1[3-E Tafel slope (mV/dec)],"",0)</f>
        <v>#REF!</v>
      </c>
      <c r="AA947" s="69" t="e" cm="1">
        <f t="array" ref="AA947">_xlfn.XLOOKUP(Table1[[#This Row],[5 cm2 cell test code]:[5 cm2 cell test code]],[1]!Table1[[Test code]:[Test code]],[1]!Table1[E @ 100 mA/cm2 DIW/V],"",0)</f>
        <v>#REF!</v>
      </c>
      <c r="AB947" s="69" t="e" cm="1">
        <f t="array" ref="AB947">_xlfn.XLOOKUP(Table1[[#This Row],[5 cm2 cell test code]:[5 cm2 cell test code]],[1]!Table1[[Test code]:[Test code]],[1]!Table1[E @ 100 mA/cm2 10 mM KOH/V],"",0)</f>
        <v>#REF!</v>
      </c>
      <c r="AC947" s="69" t="e" cm="1">
        <f t="array" ref="AC947">_xlfn.XLOOKUP(Table1[[#This Row],[5 cm2 cell test code]:[5 cm2 cell test code]],[1]!Table1[[Test code]:[Test code]],[1]!Table1[Anode ICR/mOhm],"",0)</f>
        <v>#REF!</v>
      </c>
      <c r="AD947" s="69" t="e" cm="1">
        <f t="array" ref="AD947">_xlfn.XLOOKUP(Table1[[#This Row],[5 cm2 cell test code]:[5 cm2 cell test code]],[1]!Table1[[Test code]:[Test code]],[1]!Table1[HFR DIW/ mOhm cm2],"",0)</f>
        <v>#REF!</v>
      </c>
      <c r="AE947" s="69" t="e" cm="1">
        <f t="array" ref="AE947">_xlfn.XLOOKUP(Table1[[#This Row],[5 cm2 cell test code]:[5 cm2 cell test code]],[1]!Table1[[Test code]:[Test code]],[1]!Table1[HFR 10 mM KOH/ mOhm cm2],"",0)</f>
        <v>#REF!</v>
      </c>
      <c r="AF947" s="69" t="e" cm="1">
        <f t="array" ref="AF947">_xlfn.XLOOKUP(Table1[[#This Row],[5 cm2 cell test code]:[5 cm2 cell test code]],[1]!Table1[[Test code]:[Test code]],[1]!Table1[Ionic resistance DIW/Ohm cm2],"",0)</f>
        <v>#REF!</v>
      </c>
      <c r="AG947" s="69" t="e" cm="1">
        <f t="array" ref="AG947">_xlfn.XLOOKUP(Table1[[#This Row],[5 cm2 cell test code]:[5 cm2 cell test code]],[1]!Table1[[Test code]:[Test code]],[1]!Table1[Q_int_frac DIW],"",0)</f>
        <v>#REF!</v>
      </c>
      <c r="AH947" s="69" t="e" cm="1">
        <f t="array" ref="AH947">_xlfn.XLOOKUP(Table1[[#This Row],[5 cm2 cell test code]:[5 cm2 cell test code]],[1]!Table1[[Test code]:[Test code]],[1]!Table1[Ionic resistance 10 mM KOH/Ohm cm2],"",0)</f>
        <v>#REF!</v>
      </c>
      <c r="AI947" s="69" t="e" cm="1">
        <f t="array" ref="AI947">_xlfn.XLOOKUP(Table1[[#This Row],[5 cm2 cell test code]:[5 cm2 cell test code]],[1]!Table1[[Test code]:[Test code]],[1]!Table1[Q_int_frac DIW 10 mM KOH],"",0)</f>
        <v>#REF!</v>
      </c>
      <c r="AJ947" s="69" t="e" cm="1">
        <f t="array" ref="AJ947">_xlfn.XLOOKUP(Table1[[#This Row],[5 cm2 cell test code]:[5 cm2 cell test code]],[1]!Table1[[Test code]:[Test code]],[1]!Table1[DIW conductivity (µS/cm)],"",0)</f>
        <v>#REF!</v>
      </c>
    </row>
    <row r="948" spans="1:36">
      <c r="A948" s="81"/>
      <c r="U948" s="101"/>
      <c r="V948" s="101"/>
      <c r="W948" s="69" t="e" cm="1">
        <f t="array" ref="W948">_xlfn.XLOOKUP(Table1[[#This Row],[5 cm2 cell test code]:[5 cm2 cell test code]],[1]!Table1[[Test code]:[Test code]],[1]!Table1[i @ 1.8 V DIW (A/cm2)],"",0)</f>
        <v>#REF!</v>
      </c>
      <c r="X948" s="69" t="e" cm="1">
        <f t="array" ref="X948">_xlfn.XLOOKUP(Table1[[#This Row],[5 cm2 cell test code]:[5 cm2 cell test code]],[1]!Table1[[Test code]:[Test code]],[1]!Table1[i @ 1.8 V 10 mM KOH (A/cm2)],"",0)</f>
        <v>#REF!</v>
      </c>
      <c r="Y948" s="69" t="e" cm="1">
        <f t="array" ref="Y948">_xlfn.XLOOKUP(Table1[[#This Row],[5 cm2 cell test code]:[5 cm2 cell test code]],[1]!Table1[[Test code]:[Test code]],[1]!Table1[3-E ƞ at 20mAcm-2 (mV)],"",0)</f>
        <v>#REF!</v>
      </c>
      <c r="Z948" s="69" t="e" cm="1">
        <f t="array" ref="Z948">_xlfn.XLOOKUP(Table1[[#This Row],[5 cm2 cell test code]:[5 cm2 cell test code]],[1]!Table1[[Test code]:[Test code]],[1]!Table1[3-E Tafel slope (mV/dec)],"",0)</f>
        <v>#REF!</v>
      </c>
      <c r="AA948" s="69" t="e" cm="1">
        <f t="array" ref="AA948">_xlfn.XLOOKUP(Table1[[#This Row],[5 cm2 cell test code]:[5 cm2 cell test code]],[1]!Table1[[Test code]:[Test code]],[1]!Table1[E @ 100 mA/cm2 DIW/V],"",0)</f>
        <v>#REF!</v>
      </c>
      <c r="AB948" s="69" t="e" cm="1">
        <f t="array" ref="AB948">_xlfn.XLOOKUP(Table1[[#This Row],[5 cm2 cell test code]:[5 cm2 cell test code]],[1]!Table1[[Test code]:[Test code]],[1]!Table1[E @ 100 mA/cm2 10 mM KOH/V],"",0)</f>
        <v>#REF!</v>
      </c>
      <c r="AC948" s="69" t="e" cm="1">
        <f t="array" ref="AC948">_xlfn.XLOOKUP(Table1[[#This Row],[5 cm2 cell test code]:[5 cm2 cell test code]],[1]!Table1[[Test code]:[Test code]],[1]!Table1[Anode ICR/mOhm],"",0)</f>
        <v>#REF!</v>
      </c>
      <c r="AD948" s="69" t="e" cm="1">
        <f t="array" ref="AD948">_xlfn.XLOOKUP(Table1[[#This Row],[5 cm2 cell test code]:[5 cm2 cell test code]],[1]!Table1[[Test code]:[Test code]],[1]!Table1[HFR DIW/ mOhm cm2],"",0)</f>
        <v>#REF!</v>
      </c>
      <c r="AE948" s="69" t="e" cm="1">
        <f t="array" ref="AE948">_xlfn.XLOOKUP(Table1[[#This Row],[5 cm2 cell test code]:[5 cm2 cell test code]],[1]!Table1[[Test code]:[Test code]],[1]!Table1[HFR 10 mM KOH/ mOhm cm2],"",0)</f>
        <v>#REF!</v>
      </c>
      <c r="AF948" s="69" t="e" cm="1">
        <f t="array" ref="AF948">_xlfn.XLOOKUP(Table1[[#This Row],[5 cm2 cell test code]:[5 cm2 cell test code]],[1]!Table1[[Test code]:[Test code]],[1]!Table1[Ionic resistance DIW/Ohm cm2],"",0)</f>
        <v>#REF!</v>
      </c>
      <c r="AG948" s="69" t="e" cm="1">
        <f t="array" ref="AG948">_xlfn.XLOOKUP(Table1[[#This Row],[5 cm2 cell test code]:[5 cm2 cell test code]],[1]!Table1[[Test code]:[Test code]],[1]!Table1[Q_int_frac DIW],"",0)</f>
        <v>#REF!</v>
      </c>
      <c r="AH948" s="69" t="e" cm="1">
        <f t="array" ref="AH948">_xlfn.XLOOKUP(Table1[[#This Row],[5 cm2 cell test code]:[5 cm2 cell test code]],[1]!Table1[[Test code]:[Test code]],[1]!Table1[Ionic resistance 10 mM KOH/Ohm cm2],"",0)</f>
        <v>#REF!</v>
      </c>
      <c r="AI948" s="69" t="e" cm="1">
        <f t="array" ref="AI948">_xlfn.XLOOKUP(Table1[[#This Row],[5 cm2 cell test code]:[5 cm2 cell test code]],[1]!Table1[[Test code]:[Test code]],[1]!Table1[Q_int_frac DIW 10 mM KOH],"",0)</f>
        <v>#REF!</v>
      </c>
      <c r="AJ948" s="69" t="e" cm="1">
        <f t="array" ref="AJ948">_xlfn.XLOOKUP(Table1[[#This Row],[5 cm2 cell test code]:[5 cm2 cell test code]],[1]!Table1[[Test code]:[Test code]],[1]!Table1[DIW conductivity (µS/cm)],"",0)</f>
        <v>#REF!</v>
      </c>
    </row>
    <row r="949" spans="1:36">
      <c r="A949" s="81"/>
      <c r="U949" s="101"/>
      <c r="V949" s="101"/>
      <c r="W949" s="69" t="e" cm="1">
        <f t="array" ref="W949">_xlfn.XLOOKUP(Table1[[#This Row],[5 cm2 cell test code]:[5 cm2 cell test code]],[1]!Table1[[Test code]:[Test code]],[1]!Table1[i @ 1.8 V DIW (A/cm2)],"",0)</f>
        <v>#REF!</v>
      </c>
      <c r="X949" s="69" t="e" cm="1">
        <f t="array" ref="X949">_xlfn.XLOOKUP(Table1[[#This Row],[5 cm2 cell test code]:[5 cm2 cell test code]],[1]!Table1[[Test code]:[Test code]],[1]!Table1[i @ 1.8 V 10 mM KOH (A/cm2)],"",0)</f>
        <v>#REF!</v>
      </c>
      <c r="Y949" s="69" t="e" cm="1">
        <f t="array" ref="Y949">_xlfn.XLOOKUP(Table1[[#This Row],[5 cm2 cell test code]:[5 cm2 cell test code]],[1]!Table1[[Test code]:[Test code]],[1]!Table1[3-E ƞ at 20mAcm-2 (mV)],"",0)</f>
        <v>#REF!</v>
      </c>
      <c r="Z949" s="69" t="e" cm="1">
        <f t="array" ref="Z949">_xlfn.XLOOKUP(Table1[[#This Row],[5 cm2 cell test code]:[5 cm2 cell test code]],[1]!Table1[[Test code]:[Test code]],[1]!Table1[3-E Tafel slope (mV/dec)],"",0)</f>
        <v>#REF!</v>
      </c>
      <c r="AA949" s="69" t="e" cm="1">
        <f t="array" ref="AA949">_xlfn.XLOOKUP(Table1[[#This Row],[5 cm2 cell test code]:[5 cm2 cell test code]],[1]!Table1[[Test code]:[Test code]],[1]!Table1[E @ 100 mA/cm2 DIW/V],"",0)</f>
        <v>#REF!</v>
      </c>
      <c r="AB949" s="69" t="e" cm="1">
        <f t="array" ref="AB949">_xlfn.XLOOKUP(Table1[[#This Row],[5 cm2 cell test code]:[5 cm2 cell test code]],[1]!Table1[[Test code]:[Test code]],[1]!Table1[E @ 100 mA/cm2 10 mM KOH/V],"",0)</f>
        <v>#REF!</v>
      </c>
      <c r="AC949" s="69" t="e" cm="1">
        <f t="array" ref="AC949">_xlfn.XLOOKUP(Table1[[#This Row],[5 cm2 cell test code]:[5 cm2 cell test code]],[1]!Table1[[Test code]:[Test code]],[1]!Table1[Anode ICR/mOhm],"",0)</f>
        <v>#REF!</v>
      </c>
      <c r="AD949" s="69" t="e" cm="1">
        <f t="array" ref="AD949">_xlfn.XLOOKUP(Table1[[#This Row],[5 cm2 cell test code]:[5 cm2 cell test code]],[1]!Table1[[Test code]:[Test code]],[1]!Table1[HFR DIW/ mOhm cm2],"",0)</f>
        <v>#REF!</v>
      </c>
      <c r="AE949" s="69" t="e" cm="1">
        <f t="array" ref="AE949">_xlfn.XLOOKUP(Table1[[#This Row],[5 cm2 cell test code]:[5 cm2 cell test code]],[1]!Table1[[Test code]:[Test code]],[1]!Table1[HFR 10 mM KOH/ mOhm cm2],"",0)</f>
        <v>#REF!</v>
      </c>
      <c r="AF949" s="69" t="e" cm="1">
        <f t="array" ref="AF949">_xlfn.XLOOKUP(Table1[[#This Row],[5 cm2 cell test code]:[5 cm2 cell test code]],[1]!Table1[[Test code]:[Test code]],[1]!Table1[Ionic resistance DIW/Ohm cm2],"",0)</f>
        <v>#REF!</v>
      </c>
      <c r="AG949" s="69" t="e" cm="1">
        <f t="array" ref="AG949">_xlfn.XLOOKUP(Table1[[#This Row],[5 cm2 cell test code]:[5 cm2 cell test code]],[1]!Table1[[Test code]:[Test code]],[1]!Table1[Q_int_frac DIW],"",0)</f>
        <v>#REF!</v>
      </c>
      <c r="AH949" s="69" t="e" cm="1">
        <f t="array" ref="AH949">_xlfn.XLOOKUP(Table1[[#This Row],[5 cm2 cell test code]:[5 cm2 cell test code]],[1]!Table1[[Test code]:[Test code]],[1]!Table1[Ionic resistance 10 mM KOH/Ohm cm2],"",0)</f>
        <v>#REF!</v>
      </c>
      <c r="AI949" s="69" t="e" cm="1">
        <f t="array" ref="AI949">_xlfn.XLOOKUP(Table1[[#This Row],[5 cm2 cell test code]:[5 cm2 cell test code]],[1]!Table1[[Test code]:[Test code]],[1]!Table1[Q_int_frac DIW 10 mM KOH],"",0)</f>
        <v>#REF!</v>
      </c>
      <c r="AJ949" s="69" t="e" cm="1">
        <f t="array" ref="AJ949">_xlfn.XLOOKUP(Table1[[#This Row],[5 cm2 cell test code]:[5 cm2 cell test code]],[1]!Table1[[Test code]:[Test code]],[1]!Table1[DIW conductivity (µS/cm)],"",0)</f>
        <v>#REF!</v>
      </c>
    </row>
    <row r="950" spans="1:36">
      <c r="A950" s="81"/>
      <c r="U950" s="101"/>
      <c r="V950" s="101"/>
      <c r="W950" s="69" t="e" cm="1">
        <f t="array" ref="W950">_xlfn.XLOOKUP(Table1[[#This Row],[5 cm2 cell test code]:[5 cm2 cell test code]],[1]!Table1[[Test code]:[Test code]],[1]!Table1[i @ 1.8 V DIW (A/cm2)],"",0)</f>
        <v>#REF!</v>
      </c>
      <c r="X950" s="69" t="e" cm="1">
        <f t="array" ref="X950">_xlfn.XLOOKUP(Table1[[#This Row],[5 cm2 cell test code]:[5 cm2 cell test code]],[1]!Table1[[Test code]:[Test code]],[1]!Table1[i @ 1.8 V 10 mM KOH (A/cm2)],"",0)</f>
        <v>#REF!</v>
      </c>
      <c r="Y950" s="69" t="e" cm="1">
        <f t="array" ref="Y950">_xlfn.XLOOKUP(Table1[[#This Row],[5 cm2 cell test code]:[5 cm2 cell test code]],[1]!Table1[[Test code]:[Test code]],[1]!Table1[3-E ƞ at 20mAcm-2 (mV)],"",0)</f>
        <v>#REF!</v>
      </c>
      <c r="Z950" s="69" t="e" cm="1">
        <f t="array" ref="Z950">_xlfn.XLOOKUP(Table1[[#This Row],[5 cm2 cell test code]:[5 cm2 cell test code]],[1]!Table1[[Test code]:[Test code]],[1]!Table1[3-E Tafel slope (mV/dec)],"",0)</f>
        <v>#REF!</v>
      </c>
      <c r="AA950" s="69" t="e" cm="1">
        <f t="array" ref="AA950">_xlfn.XLOOKUP(Table1[[#This Row],[5 cm2 cell test code]:[5 cm2 cell test code]],[1]!Table1[[Test code]:[Test code]],[1]!Table1[E @ 100 mA/cm2 DIW/V],"",0)</f>
        <v>#REF!</v>
      </c>
      <c r="AB950" s="69" t="e" cm="1">
        <f t="array" ref="AB950">_xlfn.XLOOKUP(Table1[[#This Row],[5 cm2 cell test code]:[5 cm2 cell test code]],[1]!Table1[[Test code]:[Test code]],[1]!Table1[E @ 100 mA/cm2 10 mM KOH/V],"",0)</f>
        <v>#REF!</v>
      </c>
      <c r="AC950" s="69" t="e" cm="1">
        <f t="array" ref="AC950">_xlfn.XLOOKUP(Table1[[#This Row],[5 cm2 cell test code]:[5 cm2 cell test code]],[1]!Table1[[Test code]:[Test code]],[1]!Table1[Anode ICR/mOhm],"",0)</f>
        <v>#REF!</v>
      </c>
      <c r="AD950" s="69" t="e" cm="1">
        <f t="array" ref="AD950">_xlfn.XLOOKUP(Table1[[#This Row],[5 cm2 cell test code]:[5 cm2 cell test code]],[1]!Table1[[Test code]:[Test code]],[1]!Table1[HFR DIW/ mOhm cm2],"",0)</f>
        <v>#REF!</v>
      </c>
      <c r="AE950" s="69" t="e" cm="1">
        <f t="array" ref="AE950">_xlfn.XLOOKUP(Table1[[#This Row],[5 cm2 cell test code]:[5 cm2 cell test code]],[1]!Table1[[Test code]:[Test code]],[1]!Table1[HFR 10 mM KOH/ mOhm cm2],"",0)</f>
        <v>#REF!</v>
      </c>
      <c r="AF950" s="69" t="e" cm="1">
        <f t="array" ref="AF950">_xlfn.XLOOKUP(Table1[[#This Row],[5 cm2 cell test code]:[5 cm2 cell test code]],[1]!Table1[[Test code]:[Test code]],[1]!Table1[Ionic resistance DIW/Ohm cm2],"",0)</f>
        <v>#REF!</v>
      </c>
      <c r="AG950" s="69" t="e" cm="1">
        <f t="array" ref="AG950">_xlfn.XLOOKUP(Table1[[#This Row],[5 cm2 cell test code]:[5 cm2 cell test code]],[1]!Table1[[Test code]:[Test code]],[1]!Table1[Q_int_frac DIW],"",0)</f>
        <v>#REF!</v>
      </c>
      <c r="AH950" s="69" t="e" cm="1">
        <f t="array" ref="AH950">_xlfn.XLOOKUP(Table1[[#This Row],[5 cm2 cell test code]:[5 cm2 cell test code]],[1]!Table1[[Test code]:[Test code]],[1]!Table1[Ionic resistance 10 mM KOH/Ohm cm2],"",0)</f>
        <v>#REF!</v>
      </c>
      <c r="AI950" s="69" t="e" cm="1">
        <f t="array" ref="AI950">_xlfn.XLOOKUP(Table1[[#This Row],[5 cm2 cell test code]:[5 cm2 cell test code]],[1]!Table1[[Test code]:[Test code]],[1]!Table1[Q_int_frac DIW 10 mM KOH],"",0)</f>
        <v>#REF!</v>
      </c>
      <c r="AJ950" s="69" t="e" cm="1">
        <f t="array" ref="AJ950">_xlfn.XLOOKUP(Table1[[#This Row],[5 cm2 cell test code]:[5 cm2 cell test code]],[1]!Table1[[Test code]:[Test code]],[1]!Table1[DIW conductivity (µS/cm)],"",0)</f>
        <v>#REF!</v>
      </c>
    </row>
    <row r="951" spans="1:36">
      <c r="A951" s="81"/>
      <c r="U951" s="101"/>
      <c r="V951" s="101"/>
      <c r="W951" s="69" t="e" cm="1">
        <f t="array" ref="W951">_xlfn.XLOOKUP(Table1[[#This Row],[5 cm2 cell test code]:[5 cm2 cell test code]],[1]!Table1[[Test code]:[Test code]],[1]!Table1[i @ 1.8 V DIW (A/cm2)],"",0)</f>
        <v>#REF!</v>
      </c>
      <c r="X951" s="69" t="e" cm="1">
        <f t="array" ref="X951">_xlfn.XLOOKUP(Table1[[#This Row],[5 cm2 cell test code]:[5 cm2 cell test code]],[1]!Table1[[Test code]:[Test code]],[1]!Table1[i @ 1.8 V 10 mM KOH (A/cm2)],"",0)</f>
        <v>#REF!</v>
      </c>
      <c r="Y951" s="69" t="e" cm="1">
        <f t="array" ref="Y951">_xlfn.XLOOKUP(Table1[[#This Row],[5 cm2 cell test code]:[5 cm2 cell test code]],[1]!Table1[[Test code]:[Test code]],[1]!Table1[3-E ƞ at 20mAcm-2 (mV)],"",0)</f>
        <v>#REF!</v>
      </c>
      <c r="Z951" s="69" t="e" cm="1">
        <f t="array" ref="Z951">_xlfn.XLOOKUP(Table1[[#This Row],[5 cm2 cell test code]:[5 cm2 cell test code]],[1]!Table1[[Test code]:[Test code]],[1]!Table1[3-E Tafel slope (mV/dec)],"",0)</f>
        <v>#REF!</v>
      </c>
      <c r="AA951" s="69" t="e" cm="1">
        <f t="array" ref="AA951">_xlfn.XLOOKUP(Table1[[#This Row],[5 cm2 cell test code]:[5 cm2 cell test code]],[1]!Table1[[Test code]:[Test code]],[1]!Table1[E @ 100 mA/cm2 DIW/V],"",0)</f>
        <v>#REF!</v>
      </c>
      <c r="AB951" s="69" t="e" cm="1">
        <f t="array" ref="AB951">_xlfn.XLOOKUP(Table1[[#This Row],[5 cm2 cell test code]:[5 cm2 cell test code]],[1]!Table1[[Test code]:[Test code]],[1]!Table1[E @ 100 mA/cm2 10 mM KOH/V],"",0)</f>
        <v>#REF!</v>
      </c>
      <c r="AC951" s="69" t="e" cm="1">
        <f t="array" ref="AC951">_xlfn.XLOOKUP(Table1[[#This Row],[5 cm2 cell test code]:[5 cm2 cell test code]],[1]!Table1[[Test code]:[Test code]],[1]!Table1[Anode ICR/mOhm],"",0)</f>
        <v>#REF!</v>
      </c>
      <c r="AD951" s="69" t="e" cm="1">
        <f t="array" ref="AD951">_xlfn.XLOOKUP(Table1[[#This Row],[5 cm2 cell test code]:[5 cm2 cell test code]],[1]!Table1[[Test code]:[Test code]],[1]!Table1[HFR DIW/ mOhm cm2],"",0)</f>
        <v>#REF!</v>
      </c>
      <c r="AE951" s="69" t="e" cm="1">
        <f t="array" ref="AE951">_xlfn.XLOOKUP(Table1[[#This Row],[5 cm2 cell test code]:[5 cm2 cell test code]],[1]!Table1[[Test code]:[Test code]],[1]!Table1[HFR 10 mM KOH/ mOhm cm2],"",0)</f>
        <v>#REF!</v>
      </c>
      <c r="AF951" s="69" t="e" cm="1">
        <f t="array" ref="AF951">_xlfn.XLOOKUP(Table1[[#This Row],[5 cm2 cell test code]:[5 cm2 cell test code]],[1]!Table1[[Test code]:[Test code]],[1]!Table1[Ionic resistance DIW/Ohm cm2],"",0)</f>
        <v>#REF!</v>
      </c>
      <c r="AG951" s="69" t="e" cm="1">
        <f t="array" ref="AG951">_xlfn.XLOOKUP(Table1[[#This Row],[5 cm2 cell test code]:[5 cm2 cell test code]],[1]!Table1[[Test code]:[Test code]],[1]!Table1[Q_int_frac DIW],"",0)</f>
        <v>#REF!</v>
      </c>
      <c r="AH951" s="69" t="e" cm="1">
        <f t="array" ref="AH951">_xlfn.XLOOKUP(Table1[[#This Row],[5 cm2 cell test code]:[5 cm2 cell test code]],[1]!Table1[[Test code]:[Test code]],[1]!Table1[Ionic resistance 10 mM KOH/Ohm cm2],"",0)</f>
        <v>#REF!</v>
      </c>
      <c r="AI951" s="69" t="e" cm="1">
        <f t="array" ref="AI951">_xlfn.XLOOKUP(Table1[[#This Row],[5 cm2 cell test code]:[5 cm2 cell test code]],[1]!Table1[[Test code]:[Test code]],[1]!Table1[Q_int_frac DIW 10 mM KOH],"",0)</f>
        <v>#REF!</v>
      </c>
      <c r="AJ951" s="69" t="e" cm="1">
        <f t="array" ref="AJ951">_xlfn.XLOOKUP(Table1[[#This Row],[5 cm2 cell test code]:[5 cm2 cell test code]],[1]!Table1[[Test code]:[Test code]],[1]!Table1[DIW conductivity (µS/cm)],"",0)</f>
        <v>#REF!</v>
      </c>
    </row>
    <row r="952" spans="1:36">
      <c r="A952" s="81"/>
      <c r="U952" s="101"/>
      <c r="V952" s="101"/>
      <c r="W952" s="69" t="e" cm="1">
        <f t="array" ref="W952">_xlfn.XLOOKUP(Table1[[#This Row],[5 cm2 cell test code]:[5 cm2 cell test code]],[1]!Table1[[Test code]:[Test code]],[1]!Table1[i @ 1.8 V DIW (A/cm2)],"",0)</f>
        <v>#REF!</v>
      </c>
      <c r="X952" s="69" t="e" cm="1">
        <f t="array" ref="X952">_xlfn.XLOOKUP(Table1[[#This Row],[5 cm2 cell test code]:[5 cm2 cell test code]],[1]!Table1[[Test code]:[Test code]],[1]!Table1[i @ 1.8 V 10 mM KOH (A/cm2)],"",0)</f>
        <v>#REF!</v>
      </c>
      <c r="Y952" s="69" t="e" cm="1">
        <f t="array" ref="Y952">_xlfn.XLOOKUP(Table1[[#This Row],[5 cm2 cell test code]:[5 cm2 cell test code]],[1]!Table1[[Test code]:[Test code]],[1]!Table1[3-E ƞ at 20mAcm-2 (mV)],"",0)</f>
        <v>#REF!</v>
      </c>
      <c r="Z952" s="69" t="e" cm="1">
        <f t="array" ref="Z952">_xlfn.XLOOKUP(Table1[[#This Row],[5 cm2 cell test code]:[5 cm2 cell test code]],[1]!Table1[[Test code]:[Test code]],[1]!Table1[3-E Tafel slope (mV/dec)],"",0)</f>
        <v>#REF!</v>
      </c>
      <c r="AA952" s="69" t="e" cm="1">
        <f t="array" ref="AA952">_xlfn.XLOOKUP(Table1[[#This Row],[5 cm2 cell test code]:[5 cm2 cell test code]],[1]!Table1[[Test code]:[Test code]],[1]!Table1[E @ 100 mA/cm2 DIW/V],"",0)</f>
        <v>#REF!</v>
      </c>
      <c r="AB952" s="69" t="e" cm="1">
        <f t="array" ref="AB952">_xlfn.XLOOKUP(Table1[[#This Row],[5 cm2 cell test code]:[5 cm2 cell test code]],[1]!Table1[[Test code]:[Test code]],[1]!Table1[E @ 100 mA/cm2 10 mM KOH/V],"",0)</f>
        <v>#REF!</v>
      </c>
      <c r="AC952" s="69" t="e" cm="1">
        <f t="array" ref="AC952">_xlfn.XLOOKUP(Table1[[#This Row],[5 cm2 cell test code]:[5 cm2 cell test code]],[1]!Table1[[Test code]:[Test code]],[1]!Table1[Anode ICR/mOhm],"",0)</f>
        <v>#REF!</v>
      </c>
      <c r="AD952" s="69" t="e" cm="1">
        <f t="array" ref="AD952">_xlfn.XLOOKUP(Table1[[#This Row],[5 cm2 cell test code]:[5 cm2 cell test code]],[1]!Table1[[Test code]:[Test code]],[1]!Table1[HFR DIW/ mOhm cm2],"",0)</f>
        <v>#REF!</v>
      </c>
      <c r="AE952" s="69" t="e" cm="1">
        <f t="array" ref="AE952">_xlfn.XLOOKUP(Table1[[#This Row],[5 cm2 cell test code]:[5 cm2 cell test code]],[1]!Table1[[Test code]:[Test code]],[1]!Table1[HFR 10 mM KOH/ mOhm cm2],"",0)</f>
        <v>#REF!</v>
      </c>
      <c r="AF952" s="69" t="e" cm="1">
        <f t="array" ref="AF952">_xlfn.XLOOKUP(Table1[[#This Row],[5 cm2 cell test code]:[5 cm2 cell test code]],[1]!Table1[[Test code]:[Test code]],[1]!Table1[Ionic resistance DIW/Ohm cm2],"",0)</f>
        <v>#REF!</v>
      </c>
      <c r="AG952" s="69" t="e" cm="1">
        <f t="array" ref="AG952">_xlfn.XLOOKUP(Table1[[#This Row],[5 cm2 cell test code]:[5 cm2 cell test code]],[1]!Table1[[Test code]:[Test code]],[1]!Table1[Q_int_frac DIW],"",0)</f>
        <v>#REF!</v>
      </c>
      <c r="AH952" s="69" t="e" cm="1">
        <f t="array" ref="AH952">_xlfn.XLOOKUP(Table1[[#This Row],[5 cm2 cell test code]:[5 cm2 cell test code]],[1]!Table1[[Test code]:[Test code]],[1]!Table1[Ionic resistance 10 mM KOH/Ohm cm2],"",0)</f>
        <v>#REF!</v>
      </c>
      <c r="AI952" s="69" t="e" cm="1">
        <f t="array" ref="AI952">_xlfn.XLOOKUP(Table1[[#This Row],[5 cm2 cell test code]:[5 cm2 cell test code]],[1]!Table1[[Test code]:[Test code]],[1]!Table1[Q_int_frac DIW 10 mM KOH],"",0)</f>
        <v>#REF!</v>
      </c>
      <c r="AJ952" s="69" t="e" cm="1">
        <f t="array" ref="AJ952">_xlfn.XLOOKUP(Table1[[#This Row],[5 cm2 cell test code]:[5 cm2 cell test code]],[1]!Table1[[Test code]:[Test code]],[1]!Table1[DIW conductivity (µS/cm)],"",0)</f>
        <v>#REF!</v>
      </c>
    </row>
    <row r="953" spans="1:36">
      <c r="A953" s="81"/>
      <c r="U953" s="101"/>
      <c r="V953" s="101"/>
      <c r="W953" s="69" t="e" cm="1">
        <f t="array" ref="W953">_xlfn.XLOOKUP(Table1[[#This Row],[5 cm2 cell test code]:[5 cm2 cell test code]],[1]!Table1[[Test code]:[Test code]],[1]!Table1[i @ 1.8 V DIW (A/cm2)],"",0)</f>
        <v>#REF!</v>
      </c>
      <c r="X953" s="69" t="e" cm="1">
        <f t="array" ref="X953">_xlfn.XLOOKUP(Table1[[#This Row],[5 cm2 cell test code]:[5 cm2 cell test code]],[1]!Table1[[Test code]:[Test code]],[1]!Table1[i @ 1.8 V 10 mM KOH (A/cm2)],"",0)</f>
        <v>#REF!</v>
      </c>
      <c r="Y953" s="69" t="e" cm="1">
        <f t="array" ref="Y953">_xlfn.XLOOKUP(Table1[[#This Row],[5 cm2 cell test code]:[5 cm2 cell test code]],[1]!Table1[[Test code]:[Test code]],[1]!Table1[3-E ƞ at 20mAcm-2 (mV)],"",0)</f>
        <v>#REF!</v>
      </c>
      <c r="Z953" s="69" t="e" cm="1">
        <f t="array" ref="Z953">_xlfn.XLOOKUP(Table1[[#This Row],[5 cm2 cell test code]:[5 cm2 cell test code]],[1]!Table1[[Test code]:[Test code]],[1]!Table1[3-E Tafel slope (mV/dec)],"",0)</f>
        <v>#REF!</v>
      </c>
      <c r="AA953" s="69" t="e" cm="1">
        <f t="array" ref="AA953">_xlfn.XLOOKUP(Table1[[#This Row],[5 cm2 cell test code]:[5 cm2 cell test code]],[1]!Table1[[Test code]:[Test code]],[1]!Table1[E @ 100 mA/cm2 DIW/V],"",0)</f>
        <v>#REF!</v>
      </c>
      <c r="AB953" s="69" t="e" cm="1">
        <f t="array" ref="AB953">_xlfn.XLOOKUP(Table1[[#This Row],[5 cm2 cell test code]:[5 cm2 cell test code]],[1]!Table1[[Test code]:[Test code]],[1]!Table1[E @ 100 mA/cm2 10 mM KOH/V],"",0)</f>
        <v>#REF!</v>
      </c>
      <c r="AC953" s="69" t="e" cm="1">
        <f t="array" ref="AC953">_xlfn.XLOOKUP(Table1[[#This Row],[5 cm2 cell test code]:[5 cm2 cell test code]],[1]!Table1[[Test code]:[Test code]],[1]!Table1[Anode ICR/mOhm],"",0)</f>
        <v>#REF!</v>
      </c>
      <c r="AD953" s="69" t="e" cm="1">
        <f t="array" ref="AD953">_xlfn.XLOOKUP(Table1[[#This Row],[5 cm2 cell test code]:[5 cm2 cell test code]],[1]!Table1[[Test code]:[Test code]],[1]!Table1[HFR DIW/ mOhm cm2],"",0)</f>
        <v>#REF!</v>
      </c>
      <c r="AE953" s="69" t="e" cm="1">
        <f t="array" ref="AE953">_xlfn.XLOOKUP(Table1[[#This Row],[5 cm2 cell test code]:[5 cm2 cell test code]],[1]!Table1[[Test code]:[Test code]],[1]!Table1[HFR 10 mM KOH/ mOhm cm2],"",0)</f>
        <v>#REF!</v>
      </c>
      <c r="AF953" s="69" t="e" cm="1">
        <f t="array" ref="AF953">_xlfn.XLOOKUP(Table1[[#This Row],[5 cm2 cell test code]:[5 cm2 cell test code]],[1]!Table1[[Test code]:[Test code]],[1]!Table1[Ionic resistance DIW/Ohm cm2],"",0)</f>
        <v>#REF!</v>
      </c>
      <c r="AG953" s="69" t="e" cm="1">
        <f t="array" ref="AG953">_xlfn.XLOOKUP(Table1[[#This Row],[5 cm2 cell test code]:[5 cm2 cell test code]],[1]!Table1[[Test code]:[Test code]],[1]!Table1[Q_int_frac DIW],"",0)</f>
        <v>#REF!</v>
      </c>
      <c r="AH953" s="69" t="e" cm="1">
        <f t="array" ref="AH953">_xlfn.XLOOKUP(Table1[[#This Row],[5 cm2 cell test code]:[5 cm2 cell test code]],[1]!Table1[[Test code]:[Test code]],[1]!Table1[Ionic resistance 10 mM KOH/Ohm cm2],"",0)</f>
        <v>#REF!</v>
      </c>
      <c r="AI953" s="69" t="e" cm="1">
        <f t="array" ref="AI953">_xlfn.XLOOKUP(Table1[[#This Row],[5 cm2 cell test code]:[5 cm2 cell test code]],[1]!Table1[[Test code]:[Test code]],[1]!Table1[Q_int_frac DIW 10 mM KOH],"",0)</f>
        <v>#REF!</v>
      </c>
      <c r="AJ953" s="69" t="e" cm="1">
        <f t="array" ref="AJ953">_xlfn.XLOOKUP(Table1[[#This Row],[5 cm2 cell test code]:[5 cm2 cell test code]],[1]!Table1[[Test code]:[Test code]],[1]!Table1[DIW conductivity (µS/cm)],"",0)</f>
        <v>#REF!</v>
      </c>
    </row>
    <row r="954" spans="1:36">
      <c r="A954" s="81"/>
      <c r="U954" s="101"/>
      <c r="V954" s="101"/>
      <c r="W954" s="69" t="e" cm="1">
        <f t="array" ref="W954">_xlfn.XLOOKUP(Table1[[#This Row],[5 cm2 cell test code]:[5 cm2 cell test code]],[1]!Table1[[Test code]:[Test code]],[1]!Table1[i @ 1.8 V DIW (A/cm2)],"",0)</f>
        <v>#REF!</v>
      </c>
      <c r="X954" s="69" t="e" cm="1">
        <f t="array" ref="X954">_xlfn.XLOOKUP(Table1[[#This Row],[5 cm2 cell test code]:[5 cm2 cell test code]],[1]!Table1[[Test code]:[Test code]],[1]!Table1[i @ 1.8 V 10 mM KOH (A/cm2)],"",0)</f>
        <v>#REF!</v>
      </c>
      <c r="Y954" s="69" t="e" cm="1">
        <f t="array" ref="Y954">_xlfn.XLOOKUP(Table1[[#This Row],[5 cm2 cell test code]:[5 cm2 cell test code]],[1]!Table1[[Test code]:[Test code]],[1]!Table1[3-E ƞ at 20mAcm-2 (mV)],"",0)</f>
        <v>#REF!</v>
      </c>
      <c r="Z954" s="69" t="e" cm="1">
        <f t="array" ref="Z954">_xlfn.XLOOKUP(Table1[[#This Row],[5 cm2 cell test code]:[5 cm2 cell test code]],[1]!Table1[[Test code]:[Test code]],[1]!Table1[3-E Tafel slope (mV/dec)],"",0)</f>
        <v>#REF!</v>
      </c>
      <c r="AA954" s="69" t="e" cm="1">
        <f t="array" ref="AA954">_xlfn.XLOOKUP(Table1[[#This Row],[5 cm2 cell test code]:[5 cm2 cell test code]],[1]!Table1[[Test code]:[Test code]],[1]!Table1[E @ 100 mA/cm2 DIW/V],"",0)</f>
        <v>#REF!</v>
      </c>
      <c r="AB954" s="69" t="e" cm="1">
        <f t="array" ref="AB954">_xlfn.XLOOKUP(Table1[[#This Row],[5 cm2 cell test code]:[5 cm2 cell test code]],[1]!Table1[[Test code]:[Test code]],[1]!Table1[E @ 100 mA/cm2 10 mM KOH/V],"",0)</f>
        <v>#REF!</v>
      </c>
      <c r="AC954" s="69" t="e" cm="1">
        <f t="array" ref="AC954">_xlfn.XLOOKUP(Table1[[#This Row],[5 cm2 cell test code]:[5 cm2 cell test code]],[1]!Table1[[Test code]:[Test code]],[1]!Table1[Anode ICR/mOhm],"",0)</f>
        <v>#REF!</v>
      </c>
      <c r="AD954" s="69" t="e" cm="1">
        <f t="array" ref="AD954">_xlfn.XLOOKUP(Table1[[#This Row],[5 cm2 cell test code]:[5 cm2 cell test code]],[1]!Table1[[Test code]:[Test code]],[1]!Table1[HFR DIW/ mOhm cm2],"",0)</f>
        <v>#REF!</v>
      </c>
      <c r="AE954" s="69" t="e" cm="1">
        <f t="array" ref="AE954">_xlfn.XLOOKUP(Table1[[#This Row],[5 cm2 cell test code]:[5 cm2 cell test code]],[1]!Table1[[Test code]:[Test code]],[1]!Table1[HFR 10 mM KOH/ mOhm cm2],"",0)</f>
        <v>#REF!</v>
      </c>
      <c r="AF954" s="69" t="e" cm="1">
        <f t="array" ref="AF954">_xlfn.XLOOKUP(Table1[[#This Row],[5 cm2 cell test code]:[5 cm2 cell test code]],[1]!Table1[[Test code]:[Test code]],[1]!Table1[Ionic resistance DIW/Ohm cm2],"",0)</f>
        <v>#REF!</v>
      </c>
      <c r="AG954" s="69" t="e" cm="1">
        <f t="array" ref="AG954">_xlfn.XLOOKUP(Table1[[#This Row],[5 cm2 cell test code]:[5 cm2 cell test code]],[1]!Table1[[Test code]:[Test code]],[1]!Table1[Q_int_frac DIW],"",0)</f>
        <v>#REF!</v>
      </c>
      <c r="AH954" s="69" t="e" cm="1">
        <f t="array" ref="AH954">_xlfn.XLOOKUP(Table1[[#This Row],[5 cm2 cell test code]:[5 cm2 cell test code]],[1]!Table1[[Test code]:[Test code]],[1]!Table1[Ionic resistance 10 mM KOH/Ohm cm2],"",0)</f>
        <v>#REF!</v>
      </c>
      <c r="AI954" s="69" t="e" cm="1">
        <f t="array" ref="AI954">_xlfn.XLOOKUP(Table1[[#This Row],[5 cm2 cell test code]:[5 cm2 cell test code]],[1]!Table1[[Test code]:[Test code]],[1]!Table1[Q_int_frac DIW 10 mM KOH],"",0)</f>
        <v>#REF!</v>
      </c>
      <c r="AJ954" s="69" t="e" cm="1">
        <f t="array" ref="AJ954">_xlfn.XLOOKUP(Table1[[#This Row],[5 cm2 cell test code]:[5 cm2 cell test code]],[1]!Table1[[Test code]:[Test code]],[1]!Table1[DIW conductivity (µS/cm)],"",0)</f>
        <v>#REF!</v>
      </c>
    </row>
    <row r="955" spans="1:36">
      <c r="A955" s="81"/>
      <c r="U955" s="101"/>
      <c r="V955" s="101"/>
      <c r="W955" s="69" t="e" cm="1">
        <f t="array" ref="W955">_xlfn.XLOOKUP(Table1[[#This Row],[5 cm2 cell test code]:[5 cm2 cell test code]],[1]!Table1[[Test code]:[Test code]],[1]!Table1[i @ 1.8 V DIW (A/cm2)],"",0)</f>
        <v>#REF!</v>
      </c>
      <c r="X955" s="69" t="e" cm="1">
        <f t="array" ref="X955">_xlfn.XLOOKUP(Table1[[#This Row],[5 cm2 cell test code]:[5 cm2 cell test code]],[1]!Table1[[Test code]:[Test code]],[1]!Table1[i @ 1.8 V 10 mM KOH (A/cm2)],"",0)</f>
        <v>#REF!</v>
      </c>
      <c r="Y955" s="69" t="e" cm="1">
        <f t="array" ref="Y955">_xlfn.XLOOKUP(Table1[[#This Row],[5 cm2 cell test code]:[5 cm2 cell test code]],[1]!Table1[[Test code]:[Test code]],[1]!Table1[3-E ƞ at 20mAcm-2 (mV)],"",0)</f>
        <v>#REF!</v>
      </c>
      <c r="Z955" s="69" t="e" cm="1">
        <f t="array" ref="Z955">_xlfn.XLOOKUP(Table1[[#This Row],[5 cm2 cell test code]:[5 cm2 cell test code]],[1]!Table1[[Test code]:[Test code]],[1]!Table1[3-E Tafel slope (mV/dec)],"",0)</f>
        <v>#REF!</v>
      </c>
      <c r="AA955" s="69" t="e" cm="1">
        <f t="array" ref="AA955">_xlfn.XLOOKUP(Table1[[#This Row],[5 cm2 cell test code]:[5 cm2 cell test code]],[1]!Table1[[Test code]:[Test code]],[1]!Table1[E @ 100 mA/cm2 DIW/V],"",0)</f>
        <v>#REF!</v>
      </c>
      <c r="AB955" s="69" t="e" cm="1">
        <f t="array" ref="AB955">_xlfn.XLOOKUP(Table1[[#This Row],[5 cm2 cell test code]:[5 cm2 cell test code]],[1]!Table1[[Test code]:[Test code]],[1]!Table1[E @ 100 mA/cm2 10 mM KOH/V],"",0)</f>
        <v>#REF!</v>
      </c>
      <c r="AC955" s="69" t="e" cm="1">
        <f t="array" ref="AC955">_xlfn.XLOOKUP(Table1[[#This Row],[5 cm2 cell test code]:[5 cm2 cell test code]],[1]!Table1[[Test code]:[Test code]],[1]!Table1[Anode ICR/mOhm],"",0)</f>
        <v>#REF!</v>
      </c>
      <c r="AD955" s="69" t="e" cm="1">
        <f t="array" ref="AD955">_xlfn.XLOOKUP(Table1[[#This Row],[5 cm2 cell test code]:[5 cm2 cell test code]],[1]!Table1[[Test code]:[Test code]],[1]!Table1[HFR DIW/ mOhm cm2],"",0)</f>
        <v>#REF!</v>
      </c>
      <c r="AE955" s="69" t="e" cm="1">
        <f t="array" ref="AE955">_xlfn.XLOOKUP(Table1[[#This Row],[5 cm2 cell test code]:[5 cm2 cell test code]],[1]!Table1[[Test code]:[Test code]],[1]!Table1[HFR 10 mM KOH/ mOhm cm2],"",0)</f>
        <v>#REF!</v>
      </c>
      <c r="AF955" s="69" t="e" cm="1">
        <f t="array" ref="AF955">_xlfn.XLOOKUP(Table1[[#This Row],[5 cm2 cell test code]:[5 cm2 cell test code]],[1]!Table1[[Test code]:[Test code]],[1]!Table1[Ionic resistance DIW/Ohm cm2],"",0)</f>
        <v>#REF!</v>
      </c>
      <c r="AG955" s="69" t="e" cm="1">
        <f t="array" ref="AG955">_xlfn.XLOOKUP(Table1[[#This Row],[5 cm2 cell test code]:[5 cm2 cell test code]],[1]!Table1[[Test code]:[Test code]],[1]!Table1[Q_int_frac DIW],"",0)</f>
        <v>#REF!</v>
      </c>
      <c r="AH955" s="69" t="e" cm="1">
        <f t="array" ref="AH955">_xlfn.XLOOKUP(Table1[[#This Row],[5 cm2 cell test code]:[5 cm2 cell test code]],[1]!Table1[[Test code]:[Test code]],[1]!Table1[Ionic resistance 10 mM KOH/Ohm cm2],"",0)</f>
        <v>#REF!</v>
      </c>
      <c r="AI955" s="69" t="e" cm="1">
        <f t="array" ref="AI955">_xlfn.XLOOKUP(Table1[[#This Row],[5 cm2 cell test code]:[5 cm2 cell test code]],[1]!Table1[[Test code]:[Test code]],[1]!Table1[Q_int_frac DIW 10 mM KOH],"",0)</f>
        <v>#REF!</v>
      </c>
      <c r="AJ955" s="69" t="e" cm="1">
        <f t="array" ref="AJ955">_xlfn.XLOOKUP(Table1[[#This Row],[5 cm2 cell test code]:[5 cm2 cell test code]],[1]!Table1[[Test code]:[Test code]],[1]!Table1[DIW conductivity (µS/cm)],"",0)</f>
        <v>#REF!</v>
      </c>
    </row>
    <row r="956" spans="1:36">
      <c r="A956" s="81"/>
      <c r="U956" s="101"/>
      <c r="V956" s="101"/>
      <c r="W956" s="69" t="e" cm="1">
        <f t="array" ref="W956">_xlfn.XLOOKUP(Table1[[#This Row],[5 cm2 cell test code]:[5 cm2 cell test code]],[1]!Table1[[Test code]:[Test code]],[1]!Table1[i @ 1.8 V DIW (A/cm2)],"",0)</f>
        <v>#REF!</v>
      </c>
      <c r="X956" s="69" t="e" cm="1">
        <f t="array" ref="X956">_xlfn.XLOOKUP(Table1[[#This Row],[5 cm2 cell test code]:[5 cm2 cell test code]],[1]!Table1[[Test code]:[Test code]],[1]!Table1[i @ 1.8 V 10 mM KOH (A/cm2)],"",0)</f>
        <v>#REF!</v>
      </c>
      <c r="Y956" s="69" t="e" cm="1">
        <f t="array" ref="Y956">_xlfn.XLOOKUP(Table1[[#This Row],[5 cm2 cell test code]:[5 cm2 cell test code]],[1]!Table1[[Test code]:[Test code]],[1]!Table1[3-E ƞ at 20mAcm-2 (mV)],"",0)</f>
        <v>#REF!</v>
      </c>
      <c r="Z956" s="69" t="e" cm="1">
        <f t="array" ref="Z956">_xlfn.XLOOKUP(Table1[[#This Row],[5 cm2 cell test code]:[5 cm2 cell test code]],[1]!Table1[[Test code]:[Test code]],[1]!Table1[3-E Tafel slope (mV/dec)],"",0)</f>
        <v>#REF!</v>
      </c>
      <c r="AA956" s="69" t="e" cm="1">
        <f t="array" ref="AA956">_xlfn.XLOOKUP(Table1[[#This Row],[5 cm2 cell test code]:[5 cm2 cell test code]],[1]!Table1[[Test code]:[Test code]],[1]!Table1[E @ 100 mA/cm2 DIW/V],"",0)</f>
        <v>#REF!</v>
      </c>
      <c r="AB956" s="69" t="e" cm="1">
        <f t="array" ref="AB956">_xlfn.XLOOKUP(Table1[[#This Row],[5 cm2 cell test code]:[5 cm2 cell test code]],[1]!Table1[[Test code]:[Test code]],[1]!Table1[E @ 100 mA/cm2 10 mM KOH/V],"",0)</f>
        <v>#REF!</v>
      </c>
      <c r="AC956" s="69" t="e" cm="1">
        <f t="array" ref="AC956">_xlfn.XLOOKUP(Table1[[#This Row],[5 cm2 cell test code]:[5 cm2 cell test code]],[1]!Table1[[Test code]:[Test code]],[1]!Table1[Anode ICR/mOhm],"",0)</f>
        <v>#REF!</v>
      </c>
      <c r="AD956" s="69" t="e" cm="1">
        <f t="array" ref="AD956">_xlfn.XLOOKUP(Table1[[#This Row],[5 cm2 cell test code]:[5 cm2 cell test code]],[1]!Table1[[Test code]:[Test code]],[1]!Table1[HFR DIW/ mOhm cm2],"",0)</f>
        <v>#REF!</v>
      </c>
      <c r="AE956" s="69" t="e" cm="1">
        <f t="array" ref="AE956">_xlfn.XLOOKUP(Table1[[#This Row],[5 cm2 cell test code]:[5 cm2 cell test code]],[1]!Table1[[Test code]:[Test code]],[1]!Table1[HFR 10 mM KOH/ mOhm cm2],"",0)</f>
        <v>#REF!</v>
      </c>
      <c r="AF956" s="69" t="e" cm="1">
        <f t="array" ref="AF956">_xlfn.XLOOKUP(Table1[[#This Row],[5 cm2 cell test code]:[5 cm2 cell test code]],[1]!Table1[[Test code]:[Test code]],[1]!Table1[Ionic resistance DIW/Ohm cm2],"",0)</f>
        <v>#REF!</v>
      </c>
      <c r="AG956" s="69" t="e" cm="1">
        <f t="array" ref="AG956">_xlfn.XLOOKUP(Table1[[#This Row],[5 cm2 cell test code]:[5 cm2 cell test code]],[1]!Table1[[Test code]:[Test code]],[1]!Table1[Q_int_frac DIW],"",0)</f>
        <v>#REF!</v>
      </c>
      <c r="AH956" s="69" t="e" cm="1">
        <f t="array" ref="AH956">_xlfn.XLOOKUP(Table1[[#This Row],[5 cm2 cell test code]:[5 cm2 cell test code]],[1]!Table1[[Test code]:[Test code]],[1]!Table1[Ionic resistance 10 mM KOH/Ohm cm2],"",0)</f>
        <v>#REF!</v>
      </c>
      <c r="AI956" s="69" t="e" cm="1">
        <f t="array" ref="AI956">_xlfn.XLOOKUP(Table1[[#This Row],[5 cm2 cell test code]:[5 cm2 cell test code]],[1]!Table1[[Test code]:[Test code]],[1]!Table1[Q_int_frac DIW 10 mM KOH],"",0)</f>
        <v>#REF!</v>
      </c>
      <c r="AJ956" s="69" t="e" cm="1">
        <f t="array" ref="AJ956">_xlfn.XLOOKUP(Table1[[#This Row],[5 cm2 cell test code]:[5 cm2 cell test code]],[1]!Table1[[Test code]:[Test code]],[1]!Table1[DIW conductivity (µS/cm)],"",0)</f>
        <v>#REF!</v>
      </c>
    </row>
    <row r="957" spans="1:36">
      <c r="A957" s="81"/>
      <c r="U957" s="101"/>
      <c r="V957" s="101"/>
      <c r="W957" s="69" t="e" cm="1">
        <f t="array" ref="W957">_xlfn.XLOOKUP(Table1[[#This Row],[5 cm2 cell test code]:[5 cm2 cell test code]],[1]!Table1[[Test code]:[Test code]],[1]!Table1[i @ 1.8 V DIW (A/cm2)],"",0)</f>
        <v>#REF!</v>
      </c>
      <c r="X957" s="69" t="e" cm="1">
        <f t="array" ref="X957">_xlfn.XLOOKUP(Table1[[#This Row],[5 cm2 cell test code]:[5 cm2 cell test code]],[1]!Table1[[Test code]:[Test code]],[1]!Table1[i @ 1.8 V 10 mM KOH (A/cm2)],"",0)</f>
        <v>#REF!</v>
      </c>
      <c r="Y957" s="69" t="e" cm="1">
        <f t="array" ref="Y957">_xlfn.XLOOKUP(Table1[[#This Row],[5 cm2 cell test code]:[5 cm2 cell test code]],[1]!Table1[[Test code]:[Test code]],[1]!Table1[3-E ƞ at 20mAcm-2 (mV)],"",0)</f>
        <v>#REF!</v>
      </c>
      <c r="Z957" s="69" t="e" cm="1">
        <f t="array" ref="Z957">_xlfn.XLOOKUP(Table1[[#This Row],[5 cm2 cell test code]:[5 cm2 cell test code]],[1]!Table1[[Test code]:[Test code]],[1]!Table1[3-E Tafel slope (mV/dec)],"",0)</f>
        <v>#REF!</v>
      </c>
      <c r="AA957" s="69" t="e" cm="1">
        <f t="array" ref="AA957">_xlfn.XLOOKUP(Table1[[#This Row],[5 cm2 cell test code]:[5 cm2 cell test code]],[1]!Table1[[Test code]:[Test code]],[1]!Table1[E @ 100 mA/cm2 DIW/V],"",0)</f>
        <v>#REF!</v>
      </c>
      <c r="AB957" s="69" t="e" cm="1">
        <f t="array" ref="AB957">_xlfn.XLOOKUP(Table1[[#This Row],[5 cm2 cell test code]:[5 cm2 cell test code]],[1]!Table1[[Test code]:[Test code]],[1]!Table1[E @ 100 mA/cm2 10 mM KOH/V],"",0)</f>
        <v>#REF!</v>
      </c>
      <c r="AC957" s="69" t="e" cm="1">
        <f t="array" ref="AC957">_xlfn.XLOOKUP(Table1[[#This Row],[5 cm2 cell test code]:[5 cm2 cell test code]],[1]!Table1[[Test code]:[Test code]],[1]!Table1[Anode ICR/mOhm],"",0)</f>
        <v>#REF!</v>
      </c>
      <c r="AD957" s="69" t="e" cm="1">
        <f t="array" ref="AD957">_xlfn.XLOOKUP(Table1[[#This Row],[5 cm2 cell test code]:[5 cm2 cell test code]],[1]!Table1[[Test code]:[Test code]],[1]!Table1[HFR DIW/ mOhm cm2],"",0)</f>
        <v>#REF!</v>
      </c>
      <c r="AE957" s="69" t="e" cm="1">
        <f t="array" ref="AE957">_xlfn.XLOOKUP(Table1[[#This Row],[5 cm2 cell test code]:[5 cm2 cell test code]],[1]!Table1[[Test code]:[Test code]],[1]!Table1[HFR 10 mM KOH/ mOhm cm2],"",0)</f>
        <v>#REF!</v>
      </c>
      <c r="AF957" s="69" t="e" cm="1">
        <f t="array" ref="AF957">_xlfn.XLOOKUP(Table1[[#This Row],[5 cm2 cell test code]:[5 cm2 cell test code]],[1]!Table1[[Test code]:[Test code]],[1]!Table1[Ionic resistance DIW/Ohm cm2],"",0)</f>
        <v>#REF!</v>
      </c>
      <c r="AG957" s="69" t="e" cm="1">
        <f t="array" ref="AG957">_xlfn.XLOOKUP(Table1[[#This Row],[5 cm2 cell test code]:[5 cm2 cell test code]],[1]!Table1[[Test code]:[Test code]],[1]!Table1[Q_int_frac DIW],"",0)</f>
        <v>#REF!</v>
      </c>
      <c r="AH957" s="69" t="e" cm="1">
        <f t="array" ref="AH957">_xlfn.XLOOKUP(Table1[[#This Row],[5 cm2 cell test code]:[5 cm2 cell test code]],[1]!Table1[[Test code]:[Test code]],[1]!Table1[Ionic resistance 10 mM KOH/Ohm cm2],"",0)</f>
        <v>#REF!</v>
      </c>
      <c r="AI957" s="69" t="e" cm="1">
        <f t="array" ref="AI957">_xlfn.XLOOKUP(Table1[[#This Row],[5 cm2 cell test code]:[5 cm2 cell test code]],[1]!Table1[[Test code]:[Test code]],[1]!Table1[Q_int_frac DIW 10 mM KOH],"",0)</f>
        <v>#REF!</v>
      </c>
      <c r="AJ957" s="69" t="e" cm="1">
        <f t="array" ref="AJ957">_xlfn.XLOOKUP(Table1[[#This Row],[5 cm2 cell test code]:[5 cm2 cell test code]],[1]!Table1[[Test code]:[Test code]],[1]!Table1[DIW conductivity (µS/cm)],"",0)</f>
        <v>#REF!</v>
      </c>
    </row>
    <row r="958" spans="1:36">
      <c r="A958" s="81"/>
      <c r="U958" s="101"/>
      <c r="V958" s="101"/>
      <c r="W958" s="69" t="e" cm="1">
        <f t="array" ref="W958">_xlfn.XLOOKUP(Table1[[#This Row],[5 cm2 cell test code]:[5 cm2 cell test code]],[1]!Table1[[Test code]:[Test code]],[1]!Table1[i @ 1.8 V DIW (A/cm2)],"",0)</f>
        <v>#REF!</v>
      </c>
      <c r="X958" s="69" t="e" cm="1">
        <f t="array" ref="X958">_xlfn.XLOOKUP(Table1[[#This Row],[5 cm2 cell test code]:[5 cm2 cell test code]],[1]!Table1[[Test code]:[Test code]],[1]!Table1[i @ 1.8 V 10 mM KOH (A/cm2)],"",0)</f>
        <v>#REF!</v>
      </c>
      <c r="Y958" s="69" t="e" cm="1">
        <f t="array" ref="Y958">_xlfn.XLOOKUP(Table1[[#This Row],[5 cm2 cell test code]:[5 cm2 cell test code]],[1]!Table1[[Test code]:[Test code]],[1]!Table1[3-E ƞ at 20mAcm-2 (mV)],"",0)</f>
        <v>#REF!</v>
      </c>
      <c r="Z958" s="69" t="e" cm="1">
        <f t="array" ref="Z958">_xlfn.XLOOKUP(Table1[[#This Row],[5 cm2 cell test code]:[5 cm2 cell test code]],[1]!Table1[[Test code]:[Test code]],[1]!Table1[3-E Tafel slope (mV/dec)],"",0)</f>
        <v>#REF!</v>
      </c>
      <c r="AA958" s="69" t="e" cm="1">
        <f t="array" ref="AA958">_xlfn.XLOOKUP(Table1[[#This Row],[5 cm2 cell test code]:[5 cm2 cell test code]],[1]!Table1[[Test code]:[Test code]],[1]!Table1[E @ 100 mA/cm2 DIW/V],"",0)</f>
        <v>#REF!</v>
      </c>
      <c r="AB958" s="69" t="e" cm="1">
        <f t="array" ref="AB958">_xlfn.XLOOKUP(Table1[[#This Row],[5 cm2 cell test code]:[5 cm2 cell test code]],[1]!Table1[[Test code]:[Test code]],[1]!Table1[E @ 100 mA/cm2 10 mM KOH/V],"",0)</f>
        <v>#REF!</v>
      </c>
      <c r="AC958" s="69" t="e" cm="1">
        <f t="array" ref="AC958">_xlfn.XLOOKUP(Table1[[#This Row],[5 cm2 cell test code]:[5 cm2 cell test code]],[1]!Table1[[Test code]:[Test code]],[1]!Table1[Anode ICR/mOhm],"",0)</f>
        <v>#REF!</v>
      </c>
      <c r="AD958" s="69" t="e" cm="1">
        <f t="array" ref="AD958">_xlfn.XLOOKUP(Table1[[#This Row],[5 cm2 cell test code]:[5 cm2 cell test code]],[1]!Table1[[Test code]:[Test code]],[1]!Table1[HFR DIW/ mOhm cm2],"",0)</f>
        <v>#REF!</v>
      </c>
      <c r="AE958" s="69" t="e" cm="1">
        <f t="array" ref="AE958">_xlfn.XLOOKUP(Table1[[#This Row],[5 cm2 cell test code]:[5 cm2 cell test code]],[1]!Table1[[Test code]:[Test code]],[1]!Table1[HFR 10 mM KOH/ mOhm cm2],"",0)</f>
        <v>#REF!</v>
      </c>
      <c r="AF958" s="69" t="e" cm="1">
        <f t="array" ref="AF958">_xlfn.XLOOKUP(Table1[[#This Row],[5 cm2 cell test code]:[5 cm2 cell test code]],[1]!Table1[[Test code]:[Test code]],[1]!Table1[Ionic resistance DIW/Ohm cm2],"",0)</f>
        <v>#REF!</v>
      </c>
      <c r="AG958" s="69" t="e" cm="1">
        <f t="array" ref="AG958">_xlfn.XLOOKUP(Table1[[#This Row],[5 cm2 cell test code]:[5 cm2 cell test code]],[1]!Table1[[Test code]:[Test code]],[1]!Table1[Q_int_frac DIW],"",0)</f>
        <v>#REF!</v>
      </c>
      <c r="AH958" s="69" t="e" cm="1">
        <f t="array" ref="AH958">_xlfn.XLOOKUP(Table1[[#This Row],[5 cm2 cell test code]:[5 cm2 cell test code]],[1]!Table1[[Test code]:[Test code]],[1]!Table1[Ionic resistance 10 mM KOH/Ohm cm2],"",0)</f>
        <v>#REF!</v>
      </c>
      <c r="AI958" s="69" t="e" cm="1">
        <f t="array" ref="AI958">_xlfn.XLOOKUP(Table1[[#This Row],[5 cm2 cell test code]:[5 cm2 cell test code]],[1]!Table1[[Test code]:[Test code]],[1]!Table1[Q_int_frac DIW 10 mM KOH],"",0)</f>
        <v>#REF!</v>
      </c>
      <c r="AJ958" s="69" t="e" cm="1">
        <f t="array" ref="AJ958">_xlfn.XLOOKUP(Table1[[#This Row],[5 cm2 cell test code]:[5 cm2 cell test code]],[1]!Table1[[Test code]:[Test code]],[1]!Table1[DIW conductivity (µS/cm)],"",0)</f>
        <v>#REF!</v>
      </c>
    </row>
    <row r="959" spans="1:36">
      <c r="A959" s="81"/>
      <c r="U959" s="101"/>
      <c r="V959" s="101"/>
      <c r="W959" s="69" t="e" cm="1">
        <f t="array" ref="W959">_xlfn.XLOOKUP(Table1[[#This Row],[5 cm2 cell test code]:[5 cm2 cell test code]],[1]!Table1[[Test code]:[Test code]],[1]!Table1[i @ 1.8 V DIW (A/cm2)],"",0)</f>
        <v>#REF!</v>
      </c>
      <c r="X959" s="69" t="e" cm="1">
        <f t="array" ref="X959">_xlfn.XLOOKUP(Table1[[#This Row],[5 cm2 cell test code]:[5 cm2 cell test code]],[1]!Table1[[Test code]:[Test code]],[1]!Table1[i @ 1.8 V 10 mM KOH (A/cm2)],"",0)</f>
        <v>#REF!</v>
      </c>
      <c r="Y959" s="69" t="e" cm="1">
        <f t="array" ref="Y959">_xlfn.XLOOKUP(Table1[[#This Row],[5 cm2 cell test code]:[5 cm2 cell test code]],[1]!Table1[[Test code]:[Test code]],[1]!Table1[3-E ƞ at 20mAcm-2 (mV)],"",0)</f>
        <v>#REF!</v>
      </c>
      <c r="Z959" s="69" t="e" cm="1">
        <f t="array" ref="Z959">_xlfn.XLOOKUP(Table1[[#This Row],[5 cm2 cell test code]:[5 cm2 cell test code]],[1]!Table1[[Test code]:[Test code]],[1]!Table1[3-E Tafel slope (mV/dec)],"",0)</f>
        <v>#REF!</v>
      </c>
      <c r="AA959" s="69" t="e" cm="1">
        <f t="array" ref="AA959">_xlfn.XLOOKUP(Table1[[#This Row],[5 cm2 cell test code]:[5 cm2 cell test code]],[1]!Table1[[Test code]:[Test code]],[1]!Table1[E @ 100 mA/cm2 DIW/V],"",0)</f>
        <v>#REF!</v>
      </c>
      <c r="AB959" s="69" t="e" cm="1">
        <f t="array" ref="AB959">_xlfn.XLOOKUP(Table1[[#This Row],[5 cm2 cell test code]:[5 cm2 cell test code]],[1]!Table1[[Test code]:[Test code]],[1]!Table1[E @ 100 mA/cm2 10 mM KOH/V],"",0)</f>
        <v>#REF!</v>
      </c>
      <c r="AC959" s="69" t="e" cm="1">
        <f t="array" ref="AC959">_xlfn.XLOOKUP(Table1[[#This Row],[5 cm2 cell test code]:[5 cm2 cell test code]],[1]!Table1[[Test code]:[Test code]],[1]!Table1[Anode ICR/mOhm],"",0)</f>
        <v>#REF!</v>
      </c>
      <c r="AD959" s="69" t="e" cm="1">
        <f t="array" ref="AD959">_xlfn.XLOOKUP(Table1[[#This Row],[5 cm2 cell test code]:[5 cm2 cell test code]],[1]!Table1[[Test code]:[Test code]],[1]!Table1[HFR DIW/ mOhm cm2],"",0)</f>
        <v>#REF!</v>
      </c>
      <c r="AE959" s="69" t="e" cm="1">
        <f t="array" ref="AE959">_xlfn.XLOOKUP(Table1[[#This Row],[5 cm2 cell test code]:[5 cm2 cell test code]],[1]!Table1[[Test code]:[Test code]],[1]!Table1[HFR 10 mM KOH/ mOhm cm2],"",0)</f>
        <v>#REF!</v>
      </c>
      <c r="AF959" s="69" t="e" cm="1">
        <f t="array" ref="AF959">_xlfn.XLOOKUP(Table1[[#This Row],[5 cm2 cell test code]:[5 cm2 cell test code]],[1]!Table1[[Test code]:[Test code]],[1]!Table1[Ionic resistance DIW/Ohm cm2],"",0)</f>
        <v>#REF!</v>
      </c>
      <c r="AG959" s="69" t="e" cm="1">
        <f t="array" ref="AG959">_xlfn.XLOOKUP(Table1[[#This Row],[5 cm2 cell test code]:[5 cm2 cell test code]],[1]!Table1[[Test code]:[Test code]],[1]!Table1[Q_int_frac DIW],"",0)</f>
        <v>#REF!</v>
      </c>
      <c r="AH959" s="69" t="e" cm="1">
        <f t="array" ref="AH959">_xlfn.XLOOKUP(Table1[[#This Row],[5 cm2 cell test code]:[5 cm2 cell test code]],[1]!Table1[[Test code]:[Test code]],[1]!Table1[Ionic resistance 10 mM KOH/Ohm cm2],"",0)</f>
        <v>#REF!</v>
      </c>
      <c r="AI959" s="69" t="e" cm="1">
        <f t="array" ref="AI959">_xlfn.XLOOKUP(Table1[[#This Row],[5 cm2 cell test code]:[5 cm2 cell test code]],[1]!Table1[[Test code]:[Test code]],[1]!Table1[Q_int_frac DIW 10 mM KOH],"",0)</f>
        <v>#REF!</v>
      </c>
      <c r="AJ959" s="69" t="e" cm="1">
        <f t="array" ref="AJ959">_xlfn.XLOOKUP(Table1[[#This Row],[5 cm2 cell test code]:[5 cm2 cell test code]],[1]!Table1[[Test code]:[Test code]],[1]!Table1[DIW conductivity (µS/cm)],"",0)</f>
        <v>#REF!</v>
      </c>
    </row>
    <row r="960" spans="1:36">
      <c r="A960" s="81"/>
      <c r="U960" s="101"/>
      <c r="V960" s="101"/>
      <c r="W960" s="69" t="e" cm="1">
        <f t="array" ref="W960">_xlfn.XLOOKUP(Table1[[#This Row],[5 cm2 cell test code]:[5 cm2 cell test code]],[1]!Table1[[Test code]:[Test code]],[1]!Table1[i @ 1.8 V DIW (A/cm2)],"",0)</f>
        <v>#REF!</v>
      </c>
      <c r="X960" s="69" t="e" cm="1">
        <f t="array" ref="X960">_xlfn.XLOOKUP(Table1[[#This Row],[5 cm2 cell test code]:[5 cm2 cell test code]],[1]!Table1[[Test code]:[Test code]],[1]!Table1[i @ 1.8 V 10 mM KOH (A/cm2)],"",0)</f>
        <v>#REF!</v>
      </c>
      <c r="Y960" s="69" t="e" cm="1">
        <f t="array" ref="Y960">_xlfn.XLOOKUP(Table1[[#This Row],[5 cm2 cell test code]:[5 cm2 cell test code]],[1]!Table1[[Test code]:[Test code]],[1]!Table1[3-E ƞ at 20mAcm-2 (mV)],"",0)</f>
        <v>#REF!</v>
      </c>
      <c r="Z960" s="69" t="e" cm="1">
        <f t="array" ref="Z960">_xlfn.XLOOKUP(Table1[[#This Row],[5 cm2 cell test code]:[5 cm2 cell test code]],[1]!Table1[[Test code]:[Test code]],[1]!Table1[3-E Tafel slope (mV/dec)],"",0)</f>
        <v>#REF!</v>
      </c>
      <c r="AA960" s="69" t="e" cm="1">
        <f t="array" ref="AA960">_xlfn.XLOOKUP(Table1[[#This Row],[5 cm2 cell test code]:[5 cm2 cell test code]],[1]!Table1[[Test code]:[Test code]],[1]!Table1[E @ 100 mA/cm2 DIW/V],"",0)</f>
        <v>#REF!</v>
      </c>
      <c r="AB960" s="69" t="e" cm="1">
        <f t="array" ref="AB960">_xlfn.XLOOKUP(Table1[[#This Row],[5 cm2 cell test code]:[5 cm2 cell test code]],[1]!Table1[[Test code]:[Test code]],[1]!Table1[E @ 100 mA/cm2 10 mM KOH/V],"",0)</f>
        <v>#REF!</v>
      </c>
      <c r="AC960" s="69" t="e" cm="1">
        <f t="array" ref="AC960">_xlfn.XLOOKUP(Table1[[#This Row],[5 cm2 cell test code]:[5 cm2 cell test code]],[1]!Table1[[Test code]:[Test code]],[1]!Table1[Anode ICR/mOhm],"",0)</f>
        <v>#REF!</v>
      </c>
      <c r="AD960" s="69" t="e" cm="1">
        <f t="array" ref="AD960">_xlfn.XLOOKUP(Table1[[#This Row],[5 cm2 cell test code]:[5 cm2 cell test code]],[1]!Table1[[Test code]:[Test code]],[1]!Table1[HFR DIW/ mOhm cm2],"",0)</f>
        <v>#REF!</v>
      </c>
      <c r="AE960" s="69" t="e" cm="1">
        <f t="array" ref="AE960">_xlfn.XLOOKUP(Table1[[#This Row],[5 cm2 cell test code]:[5 cm2 cell test code]],[1]!Table1[[Test code]:[Test code]],[1]!Table1[HFR 10 mM KOH/ mOhm cm2],"",0)</f>
        <v>#REF!</v>
      </c>
      <c r="AF960" s="69" t="e" cm="1">
        <f t="array" ref="AF960">_xlfn.XLOOKUP(Table1[[#This Row],[5 cm2 cell test code]:[5 cm2 cell test code]],[1]!Table1[[Test code]:[Test code]],[1]!Table1[Ionic resistance DIW/Ohm cm2],"",0)</f>
        <v>#REF!</v>
      </c>
      <c r="AG960" s="69" t="e" cm="1">
        <f t="array" ref="AG960">_xlfn.XLOOKUP(Table1[[#This Row],[5 cm2 cell test code]:[5 cm2 cell test code]],[1]!Table1[[Test code]:[Test code]],[1]!Table1[Q_int_frac DIW],"",0)</f>
        <v>#REF!</v>
      </c>
      <c r="AH960" s="69" t="e" cm="1">
        <f t="array" ref="AH960">_xlfn.XLOOKUP(Table1[[#This Row],[5 cm2 cell test code]:[5 cm2 cell test code]],[1]!Table1[[Test code]:[Test code]],[1]!Table1[Ionic resistance 10 mM KOH/Ohm cm2],"",0)</f>
        <v>#REF!</v>
      </c>
      <c r="AI960" s="69" t="e" cm="1">
        <f t="array" ref="AI960">_xlfn.XLOOKUP(Table1[[#This Row],[5 cm2 cell test code]:[5 cm2 cell test code]],[1]!Table1[[Test code]:[Test code]],[1]!Table1[Q_int_frac DIW 10 mM KOH],"",0)</f>
        <v>#REF!</v>
      </c>
      <c r="AJ960" s="69" t="e" cm="1">
        <f t="array" ref="AJ960">_xlfn.XLOOKUP(Table1[[#This Row],[5 cm2 cell test code]:[5 cm2 cell test code]],[1]!Table1[[Test code]:[Test code]],[1]!Table1[DIW conductivity (µS/cm)],"",0)</f>
        <v>#REF!</v>
      </c>
    </row>
    <row r="961" spans="1:36">
      <c r="A961" s="81"/>
      <c r="U961" s="101"/>
      <c r="V961" s="101"/>
      <c r="W961" s="69" t="e" cm="1">
        <f t="array" ref="W961">_xlfn.XLOOKUP(Table1[[#This Row],[5 cm2 cell test code]:[5 cm2 cell test code]],[1]!Table1[[Test code]:[Test code]],[1]!Table1[i @ 1.8 V DIW (A/cm2)],"",0)</f>
        <v>#REF!</v>
      </c>
      <c r="X961" s="69" t="e" cm="1">
        <f t="array" ref="X961">_xlfn.XLOOKUP(Table1[[#This Row],[5 cm2 cell test code]:[5 cm2 cell test code]],[1]!Table1[[Test code]:[Test code]],[1]!Table1[i @ 1.8 V 10 mM KOH (A/cm2)],"",0)</f>
        <v>#REF!</v>
      </c>
      <c r="Y961" s="69" t="e" cm="1">
        <f t="array" ref="Y961">_xlfn.XLOOKUP(Table1[[#This Row],[5 cm2 cell test code]:[5 cm2 cell test code]],[1]!Table1[[Test code]:[Test code]],[1]!Table1[3-E ƞ at 20mAcm-2 (mV)],"",0)</f>
        <v>#REF!</v>
      </c>
      <c r="Z961" s="69" t="e" cm="1">
        <f t="array" ref="Z961">_xlfn.XLOOKUP(Table1[[#This Row],[5 cm2 cell test code]:[5 cm2 cell test code]],[1]!Table1[[Test code]:[Test code]],[1]!Table1[3-E Tafel slope (mV/dec)],"",0)</f>
        <v>#REF!</v>
      </c>
      <c r="AA961" s="69" t="e" cm="1">
        <f t="array" ref="AA961">_xlfn.XLOOKUP(Table1[[#This Row],[5 cm2 cell test code]:[5 cm2 cell test code]],[1]!Table1[[Test code]:[Test code]],[1]!Table1[E @ 100 mA/cm2 DIW/V],"",0)</f>
        <v>#REF!</v>
      </c>
      <c r="AB961" s="69" t="e" cm="1">
        <f t="array" ref="AB961">_xlfn.XLOOKUP(Table1[[#This Row],[5 cm2 cell test code]:[5 cm2 cell test code]],[1]!Table1[[Test code]:[Test code]],[1]!Table1[E @ 100 mA/cm2 10 mM KOH/V],"",0)</f>
        <v>#REF!</v>
      </c>
      <c r="AC961" s="69" t="e" cm="1">
        <f t="array" ref="AC961">_xlfn.XLOOKUP(Table1[[#This Row],[5 cm2 cell test code]:[5 cm2 cell test code]],[1]!Table1[[Test code]:[Test code]],[1]!Table1[Anode ICR/mOhm],"",0)</f>
        <v>#REF!</v>
      </c>
      <c r="AD961" s="69" t="e" cm="1">
        <f t="array" ref="AD961">_xlfn.XLOOKUP(Table1[[#This Row],[5 cm2 cell test code]:[5 cm2 cell test code]],[1]!Table1[[Test code]:[Test code]],[1]!Table1[HFR DIW/ mOhm cm2],"",0)</f>
        <v>#REF!</v>
      </c>
      <c r="AE961" s="69" t="e" cm="1">
        <f t="array" ref="AE961">_xlfn.XLOOKUP(Table1[[#This Row],[5 cm2 cell test code]:[5 cm2 cell test code]],[1]!Table1[[Test code]:[Test code]],[1]!Table1[HFR 10 mM KOH/ mOhm cm2],"",0)</f>
        <v>#REF!</v>
      </c>
      <c r="AF961" s="69" t="e" cm="1">
        <f t="array" ref="AF961">_xlfn.XLOOKUP(Table1[[#This Row],[5 cm2 cell test code]:[5 cm2 cell test code]],[1]!Table1[[Test code]:[Test code]],[1]!Table1[Ionic resistance DIW/Ohm cm2],"",0)</f>
        <v>#REF!</v>
      </c>
      <c r="AG961" s="69" t="e" cm="1">
        <f t="array" ref="AG961">_xlfn.XLOOKUP(Table1[[#This Row],[5 cm2 cell test code]:[5 cm2 cell test code]],[1]!Table1[[Test code]:[Test code]],[1]!Table1[Q_int_frac DIW],"",0)</f>
        <v>#REF!</v>
      </c>
      <c r="AH961" s="69" t="e" cm="1">
        <f t="array" ref="AH961">_xlfn.XLOOKUP(Table1[[#This Row],[5 cm2 cell test code]:[5 cm2 cell test code]],[1]!Table1[[Test code]:[Test code]],[1]!Table1[Ionic resistance 10 mM KOH/Ohm cm2],"",0)</f>
        <v>#REF!</v>
      </c>
      <c r="AI961" s="69" t="e" cm="1">
        <f t="array" ref="AI961">_xlfn.XLOOKUP(Table1[[#This Row],[5 cm2 cell test code]:[5 cm2 cell test code]],[1]!Table1[[Test code]:[Test code]],[1]!Table1[Q_int_frac DIW 10 mM KOH],"",0)</f>
        <v>#REF!</v>
      </c>
      <c r="AJ961" s="69" t="e" cm="1">
        <f t="array" ref="AJ961">_xlfn.XLOOKUP(Table1[[#This Row],[5 cm2 cell test code]:[5 cm2 cell test code]],[1]!Table1[[Test code]:[Test code]],[1]!Table1[DIW conductivity (µS/cm)],"",0)</f>
        <v>#REF!</v>
      </c>
    </row>
    <row r="962" spans="1:36">
      <c r="A962" s="81"/>
      <c r="U962" s="101"/>
      <c r="V962" s="101"/>
      <c r="W962" s="69" t="e" cm="1">
        <f t="array" ref="W962">_xlfn.XLOOKUP(Table1[[#This Row],[5 cm2 cell test code]:[5 cm2 cell test code]],[1]!Table1[[Test code]:[Test code]],[1]!Table1[i @ 1.8 V DIW (A/cm2)],"",0)</f>
        <v>#REF!</v>
      </c>
      <c r="X962" s="69" t="e" cm="1">
        <f t="array" ref="X962">_xlfn.XLOOKUP(Table1[[#This Row],[5 cm2 cell test code]:[5 cm2 cell test code]],[1]!Table1[[Test code]:[Test code]],[1]!Table1[i @ 1.8 V 10 mM KOH (A/cm2)],"",0)</f>
        <v>#REF!</v>
      </c>
      <c r="Y962" s="69" t="e" cm="1">
        <f t="array" ref="Y962">_xlfn.XLOOKUP(Table1[[#This Row],[5 cm2 cell test code]:[5 cm2 cell test code]],[1]!Table1[[Test code]:[Test code]],[1]!Table1[3-E ƞ at 20mAcm-2 (mV)],"",0)</f>
        <v>#REF!</v>
      </c>
      <c r="Z962" s="69" t="e" cm="1">
        <f t="array" ref="Z962">_xlfn.XLOOKUP(Table1[[#This Row],[5 cm2 cell test code]:[5 cm2 cell test code]],[1]!Table1[[Test code]:[Test code]],[1]!Table1[3-E Tafel slope (mV/dec)],"",0)</f>
        <v>#REF!</v>
      </c>
      <c r="AA962" s="69" t="e" cm="1">
        <f t="array" ref="AA962">_xlfn.XLOOKUP(Table1[[#This Row],[5 cm2 cell test code]:[5 cm2 cell test code]],[1]!Table1[[Test code]:[Test code]],[1]!Table1[E @ 100 mA/cm2 DIW/V],"",0)</f>
        <v>#REF!</v>
      </c>
      <c r="AB962" s="69" t="e" cm="1">
        <f t="array" ref="AB962">_xlfn.XLOOKUP(Table1[[#This Row],[5 cm2 cell test code]:[5 cm2 cell test code]],[1]!Table1[[Test code]:[Test code]],[1]!Table1[E @ 100 mA/cm2 10 mM KOH/V],"",0)</f>
        <v>#REF!</v>
      </c>
      <c r="AC962" s="69" t="e" cm="1">
        <f t="array" ref="AC962">_xlfn.XLOOKUP(Table1[[#This Row],[5 cm2 cell test code]:[5 cm2 cell test code]],[1]!Table1[[Test code]:[Test code]],[1]!Table1[Anode ICR/mOhm],"",0)</f>
        <v>#REF!</v>
      </c>
      <c r="AD962" s="69" t="e" cm="1">
        <f t="array" ref="AD962">_xlfn.XLOOKUP(Table1[[#This Row],[5 cm2 cell test code]:[5 cm2 cell test code]],[1]!Table1[[Test code]:[Test code]],[1]!Table1[HFR DIW/ mOhm cm2],"",0)</f>
        <v>#REF!</v>
      </c>
      <c r="AE962" s="69" t="e" cm="1">
        <f t="array" ref="AE962">_xlfn.XLOOKUP(Table1[[#This Row],[5 cm2 cell test code]:[5 cm2 cell test code]],[1]!Table1[[Test code]:[Test code]],[1]!Table1[HFR 10 mM KOH/ mOhm cm2],"",0)</f>
        <v>#REF!</v>
      </c>
      <c r="AF962" s="69" t="e" cm="1">
        <f t="array" ref="AF962">_xlfn.XLOOKUP(Table1[[#This Row],[5 cm2 cell test code]:[5 cm2 cell test code]],[1]!Table1[[Test code]:[Test code]],[1]!Table1[Ionic resistance DIW/Ohm cm2],"",0)</f>
        <v>#REF!</v>
      </c>
      <c r="AG962" s="69" t="e" cm="1">
        <f t="array" ref="AG962">_xlfn.XLOOKUP(Table1[[#This Row],[5 cm2 cell test code]:[5 cm2 cell test code]],[1]!Table1[[Test code]:[Test code]],[1]!Table1[Q_int_frac DIW],"",0)</f>
        <v>#REF!</v>
      </c>
      <c r="AH962" s="69" t="e" cm="1">
        <f t="array" ref="AH962">_xlfn.XLOOKUP(Table1[[#This Row],[5 cm2 cell test code]:[5 cm2 cell test code]],[1]!Table1[[Test code]:[Test code]],[1]!Table1[Ionic resistance 10 mM KOH/Ohm cm2],"",0)</f>
        <v>#REF!</v>
      </c>
      <c r="AI962" s="69" t="e" cm="1">
        <f t="array" ref="AI962">_xlfn.XLOOKUP(Table1[[#This Row],[5 cm2 cell test code]:[5 cm2 cell test code]],[1]!Table1[[Test code]:[Test code]],[1]!Table1[Q_int_frac DIW 10 mM KOH],"",0)</f>
        <v>#REF!</v>
      </c>
      <c r="AJ962" s="69" t="e" cm="1">
        <f t="array" ref="AJ962">_xlfn.XLOOKUP(Table1[[#This Row],[5 cm2 cell test code]:[5 cm2 cell test code]],[1]!Table1[[Test code]:[Test code]],[1]!Table1[DIW conductivity (µS/cm)],"",0)</f>
        <v>#REF!</v>
      </c>
    </row>
    <row r="963" spans="1:36">
      <c r="A963" s="81"/>
      <c r="U963" s="101"/>
      <c r="V963" s="101"/>
      <c r="W963" s="69" t="e" cm="1">
        <f t="array" ref="W963">_xlfn.XLOOKUP(Table1[[#This Row],[5 cm2 cell test code]:[5 cm2 cell test code]],[1]!Table1[[Test code]:[Test code]],[1]!Table1[i @ 1.8 V DIW (A/cm2)],"",0)</f>
        <v>#REF!</v>
      </c>
      <c r="X963" s="69" t="e" cm="1">
        <f t="array" ref="X963">_xlfn.XLOOKUP(Table1[[#This Row],[5 cm2 cell test code]:[5 cm2 cell test code]],[1]!Table1[[Test code]:[Test code]],[1]!Table1[i @ 1.8 V 10 mM KOH (A/cm2)],"",0)</f>
        <v>#REF!</v>
      </c>
      <c r="Y963" s="69" t="e" cm="1">
        <f t="array" ref="Y963">_xlfn.XLOOKUP(Table1[[#This Row],[5 cm2 cell test code]:[5 cm2 cell test code]],[1]!Table1[[Test code]:[Test code]],[1]!Table1[3-E ƞ at 20mAcm-2 (mV)],"",0)</f>
        <v>#REF!</v>
      </c>
      <c r="Z963" s="69" t="e" cm="1">
        <f t="array" ref="Z963">_xlfn.XLOOKUP(Table1[[#This Row],[5 cm2 cell test code]:[5 cm2 cell test code]],[1]!Table1[[Test code]:[Test code]],[1]!Table1[3-E Tafel slope (mV/dec)],"",0)</f>
        <v>#REF!</v>
      </c>
      <c r="AA963" s="69" t="e" cm="1">
        <f t="array" ref="AA963">_xlfn.XLOOKUP(Table1[[#This Row],[5 cm2 cell test code]:[5 cm2 cell test code]],[1]!Table1[[Test code]:[Test code]],[1]!Table1[E @ 100 mA/cm2 DIW/V],"",0)</f>
        <v>#REF!</v>
      </c>
      <c r="AB963" s="69" t="e" cm="1">
        <f t="array" ref="AB963">_xlfn.XLOOKUP(Table1[[#This Row],[5 cm2 cell test code]:[5 cm2 cell test code]],[1]!Table1[[Test code]:[Test code]],[1]!Table1[E @ 100 mA/cm2 10 mM KOH/V],"",0)</f>
        <v>#REF!</v>
      </c>
      <c r="AC963" s="69" t="e" cm="1">
        <f t="array" ref="AC963">_xlfn.XLOOKUP(Table1[[#This Row],[5 cm2 cell test code]:[5 cm2 cell test code]],[1]!Table1[[Test code]:[Test code]],[1]!Table1[Anode ICR/mOhm],"",0)</f>
        <v>#REF!</v>
      </c>
      <c r="AD963" s="69" t="e" cm="1">
        <f t="array" ref="AD963">_xlfn.XLOOKUP(Table1[[#This Row],[5 cm2 cell test code]:[5 cm2 cell test code]],[1]!Table1[[Test code]:[Test code]],[1]!Table1[HFR DIW/ mOhm cm2],"",0)</f>
        <v>#REF!</v>
      </c>
      <c r="AE963" s="69" t="e" cm="1">
        <f t="array" ref="AE963">_xlfn.XLOOKUP(Table1[[#This Row],[5 cm2 cell test code]:[5 cm2 cell test code]],[1]!Table1[[Test code]:[Test code]],[1]!Table1[HFR 10 mM KOH/ mOhm cm2],"",0)</f>
        <v>#REF!</v>
      </c>
      <c r="AF963" s="69" t="e" cm="1">
        <f t="array" ref="AF963">_xlfn.XLOOKUP(Table1[[#This Row],[5 cm2 cell test code]:[5 cm2 cell test code]],[1]!Table1[[Test code]:[Test code]],[1]!Table1[Ionic resistance DIW/Ohm cm2],"",0)</f>
        <v>#REF!</v>
      </c>
      <c r="AG963" s="69" t="e" cm="1">
        <f t="array" ref="AG963">_xlfn.XLOOKUP(Table1[[#This Row],[5 cm2 cell test code]:[5 cm2 cell test code]],[1]!Table1[[Test code]:[Test code]],[1]!Table1[Q_int_frac DIW],"",0)</f>
        <v>#REF!</v>
      </c>
      <c r="AH963" s="69" t="e" cm="1">
        <f t="array" ref="AH963">_xlfn.XLOOKUP(Table1[[#This Row],[5 cm2 cell test code]:[5 cm2 cell test code]],[1]!Table1[[Test code]:[Test code]],[1]!Table1[Ionic resistance 10 mM KOH/Ohm cm2],"",0)</f>
        <v>#REF!</v>
      </c>
      <c r="AI963" s="69" t="e" cm="1">
        <f t="array" ref="AI963">_xlfn.XLOOKUP(Table1[[#This Row],[5 cm2 cell test code]:[5 cm2 cell test code]],[1]!Table1[[Test code]:[Test code]],[1]!Table1[Q_int_frac DIW 10 mM KOH],"",0)</f>
        <v>#REF!</v>
      </c>
      <c r="AJ963" s="69" t="e" cm="1">
        <f t="array" ref="AJ963">_xlfn.XLOOKUP(Table1[[#This Row],[5 cm2 cell test code]:[5 cm2 cell test code]],[1]!Table1[[Test code]:[Test code]],[1]!Table1[DIW conductivity (µS/cm)],"",0)</f>
        <v>#REF!</v>
      </c>
    </row>
    <row r="964" spans="1:36">
      <c r="A964" s="81"/>
      <c r="U964" s="101"/>
      <c r="V964" s="101"/>
      <c r="W964" s="69" t="e" cm="1">
        <f t="array" ref="W964">_xlfn.XLOOKUP(Table1[[#This Row],[5 cm2 cell test code]:[5 cm2 cell test code]],[1]!Table1[[Test code]:[Test code]],[1]!Table1[i @ 1.8 V DIW (A/cm2)],"",0)</f>
        <v>#REF!</v>
      </c>
      <c r="X964" s="69" t="e" cm="1">
        <f t="array" ref="X964">_xlfn.XLOOKUP(Table1[[#This Row],[5 cm2 cell test code]:[5 cm2 cell test code]],[1]!Table1[[Test code]:[Test code]],[1]!Table1[i @ 1.8 V 10 mM KOH (A/cm2)],"",0)</f>
        <v>#REF!</v>
      </c>
      <c r="Y964" s="69" t="e" cm="1">
        <f t="array" ref="Y964">_xlfn.XLOOKUP(Table1[[#This Row],[5 cm2 cell test code]:[5 cm2 cell test code]],[1]!Table1[[Test code]:[Test code]],[1]!Table1[3-E ƞ at 20mAcm-2 (mV)],"",0)</f>
        <v>#REF!</v>
      </c>
      <c r="Z964" s="69" t="e" cm="1">
        <f t="array" ref="Z964">_xlfn.XLOOKUP(Table1[[#This Row],[5 cm2 cell test code]:[5 cm2 cell test code]],[1]!Table1[[Test code]:[Test code]],[1]!Table1[3-E Tafel slope (mV/dec)],"",0)</f>
        <v>#REF!</v>
      </c>
      <c r="AA964" s="69" t="e" cm="1">
        <f t="array" ref="AA964">_xlfn.XLOOKUP(Table1[[#This Row],[5 cm2 cell test code]:[5 cm2 cell test code]],[1]!Table1[[Test code]:[Test code]],[1]!Table1[E @ 100 mA/cm2 DIW/V],"",0)</f>
        <v>#REF!</v>
      </c>
      <c r="AB964" s="69" t="e" cm="1">
        <f t="array" ref="AB964">_xlfn.XLOOKUP(Table1[[#This Row],[5 cm2 cell test code]:[5 cm2 cell test code]],[1]!Table1[[Test code]:[Test code]],[1]!Table1[E @ 100 mA/cm2 10 mM KOH/V],"",0)</f>
        <v>#REF!</v>
      </c>
      <c r="AC964" s="69" t="e" cm="1">
        <f t="array" ref="AC964">_xlfn.XLOOKUP(Table1[[#This Row],[5 cm2 cell test code]:[5 cm2 cell test code]],[1]!Table1[[Test code]:[Test code]],[1]!Table1[Anode ICR/mOhm],"",0)</f>
        <v>#REF!</v>
      </c>
      <c r="AD964" s="69" t="e" cm="1">
        <f t="array" ref="AD964">_xlfn.XLOOKUP(Table1[[#This Row],[5 cm2 cell test code]:[5 cm2 cell test code]],[1]!Table1[[Test code]:[Test code]],[1]!Table1[HFR DIW/ mOhm cm2],"",0)</f>
        <v>#REF!</v>
      </c>
      <c r="AE964" s="69" t="e" cm="1">
        <f t="array" ref="AE964">_xlfn.XLOOKUP(Table1[[#This Row],[5 cm2 cell test code]:[5 cm2 cell test code]],[1]!Table1[[Test code]:[Test code]],[1]!Table1[HFR 10 mM KOH/ mOhm cm2],"",0)</f>
        <v>#REF!</v>
      </c>
      <c r="AF964" s="69" t="e" cm="1">
        <f t="array" ref="AF964">_xlfn.XLOOKUP(Table1[[#This Row],[5 cm2 cell test code]:[5 cm2 cell test code]],[1]!Table1[[Test code]:[Test code]],[1]!Table1[Ionic resistance DIW/Ohm cm2],"",0)</f>
        <v>#REF!</v>
      </c>
      <c r="AG964" s="69" t="e" cm="1">
        <f t="array" ref="AG964">_xlfn.XLOOKUP(Table1[[#This Row],[5 cm2 cell test code]:[5 cm2 cell test code]],[1]!Table1[[Test code]:[Test code]],[1]!Table1[Q_int_frac DIW],"",0)</f>
        <v>#REF!</v>
      </c>
      <c r="AH964" s="69" t="e" cm="1">
        <f t="array" ref="AH964">_xlfn.XLOOKUP(Table1[[#This Row],[5 cm2 cell test code]:[5 cm2 cell test code]],[1]!Table1[[Test code]:[Test code]],[1]!Table1[Ionic resistance 10 mM KOH/Ohm cm2],"",0)</f>
        <v>#REF!</v>
      </c>
      <c r="AI964" s="69" t="e" cm="1">
        <f t="array" ref="AI964">_xlfn.XLOOKUP(Table1[[#This Row],[5 cm2 cell test code]:[5 cm2 cell test code]],[1]!Table1[[Test code]:[Test code]],[1]!Table1[Q_int_frac DIW 10 mM KOH],"",0)</f>
        <v>#REF!</v>
      </c>
      <c r="AJ964" s="69" t="e" cm="1">
        <f t="array" ref="AJ964">_xlfn.XLOOKUP(Table1[[#This Row],[5 cm2 cell test code]:[5 cm2 cell test code]],[1]!Table1[[Test code]:[Test code]],[1]!Table1[DIW conductivity (µS/cm)],"",0)</f>
        <v>#REF!</v>
      </c>
    </row>
    <row r="965" spans="1:36">
      <c r="A965" s="81"/>
      <c r="U965" s="101"/>
      <c r="V965" s="101"/>
      <c r="W965" s="69" t="e" cm="1">
        <f t="array" ref="W965">_xlfn.XLOOKUP(Table1[[#This Row],[5 cm2 cell test code]:[5 cm2 cell test code]],[1]!Table1[[Test code]:[Test code]],[1]!Table1[i @ 1.8 V DIW (A/cm2)],"",0)</f>
        <v>#REF!</v>
      </c>
      <c r="X965" s="69" t="e" cm="1">
        <f t="array" ref="X965">_xlfn.XLOOKUP(Table1[[#This Row],[5 cm2 cell test code]:[5 cm2 cell test code]],[1]!Table1[[Test code]:[Test code]],[1]!Table1[i @ 1.8 V 10 mM KOH (A/cm2)],"",0)</f>
        <v>#REF!</v>
      </c>
      <c r="Y965" s="69" t="e" cm="1">
        <f t="array" ref="Y965">_xlfn.XLOOKUP(Table1[[#This Row],[5 cm2 cell test code]:[5 cm2 cell test code]],[1]!Table1[[Test code]:[Test code]],[1]!Table1[3-E ƞ at 20mAcm-2 (mV)],"",0)</f>
        <v>#REF!</v>
      </c>
      <c r="Z965" s="69" t="e" cm="1">
        <f t="array" ref="Z965">_xlfn.XLOOKUP(Table1[[#This Row],[5 cm2 cell test code]:[5 cm2 cell test code]],[1]!Table1[[Test code]:[Test code]],[1]!Table1[3-E Tafel slope (mV/dec)],"",0)</f>
        <v>#REF!</v>
      </c>
      <c r="AA965" s="69" t="e" cm="1">
        <f t="array" ref="AA965">_xlfn.XLOOKUP(Table1[[#This Row],[5 cm2 cell test code]:[5 cm2 cell test code]],[1]!Table1[[Test code]:[Test code]],[1]!Table1[E @ 100 mA/cm2 DIW/V],"",0)</f>
        <v>#REF!</v>
      </c>
      <c r="AB965" s="69" t="e" cm="1">
        <f t="array" ref="AB965">_xlfn.XLOOKUP(Table1[[#This Row],[5 cm2 cell test code]:[5 cm2 cell test code]],[1]!Table1[[Test code]:[Test code]],[1]!Table1[E @ 100 mA/cm2 10 mM KOH/V],"",0)</f>
        <v>#REF!</v>
      </c>
      <c r="AC965" s="69" t="e" cm="1">
        <f t="array" ref="AC965">_xlfn.XLOOKUP(Table1[[#This Row],[5 cm2 cell test code]:[5 cm2 cell test code]],[1]!Table1[[Test code]:[Test code]],[1]!Table1[Anode ICR/mOhm],"",0)</f>
        <v>#REF!</v>
      </c>
      <c r="AD965" s="69" t="e" cm="1">
        <f t="array" ref="AD965">_xlfn.XLOOKUP(Table1[[#This Row],[5 cm2 cell test code]:[5 cm2 cell test code]],[1]!Table1[[Test code]:[Test code]],[1]!Table1[HFR DIW/ mOhm cm2],"",0)</f>
        <v>#REF!</v>
      </c>
      <c r="AE965" s="69" t="e" cm="1">
        <f t="array" ref="AE965">_xlfn.XLOOKUP(Table1[[#This Row],[5 cm2 cell test code]:[5 cm2 cell test code]],[1]!Table1[[Test code]:[Test code]],[1]!Table1[HFR 10 mM KOH/ mOhm cm2],"",0)</f>
        <v>#REF!</v>
      </c>
      <c r="AF965" s="69" t="e" cm="1">
        <f t="array" ref="AF965">_xlfn.XLOOKUP(Table1[[#This Row],[5 cm2 cell test code]:[5 cm2 cell test code]],[1]!Table1[[Test code]:[Test code]],[1]!Table1[Ionic resistance DIW/Ohm cm2],"",0)</f>
        <v>#REF!</v>
      </c>
      <c r="AG965" s="69" t="e" cm="1">
        <f t="array" ref="AG965">_xlfn.XLOOKUP(Table1[[#This Row],[5 cm2 cell test code]:[5 cm2 cell test code]],[1]!Table1[[Test code]:[Test code]],[1]!Table1[Q_int_frac DIW],"",0)</f>
        <v>#REF!</v>
      </c>
      <c r="AH965" s="69" t="e" cm="1">
        <f t="array" ref="AH965">_xlfn.XLOOKUP(Table1[[#This Row],[5 cm2 cell test code]:[5 cm2 cell test code]],[1]!Table1[[Test code]:[Test code]],[1]!Table1[Ionic resistance 10 mM KOH/Ohm cm2],"",0)</f>
        <v>#REF!</v>
      </c>
      <c r="AI965" s="69" t="e" cm="1">
        <f t="array" ref="AI965">_xlfn.XLOOKUP(Table1[[#This Row],[5 cm2 cell test code]:[5 cm2 cell test code]],[1]!Table1[[Test code]:[Test code]],[1]!Table1[Q_int_frac DIW 10 mM KOH],"",0)</f>
        <v>#REF!</v>
      </c>
      <c r="AJ965" s="69" t="e" cm="1">
        <f t="array" ref="AJ965">_xlfn.XLOOKUP(Table1[[#This Row],[5 cm2 cell test code]:[5 cm2 cell test code]],[1]!Table1[[Test code]:[Test code]],[1]!Table1[DIW conductivity (µS/cm)],"",0)</f>
        <v>#REF!</v>
      </c>
    </row>
    <row r="966" spans="1:36">
      <c r="A966" s="81"/>
      <c r="U966" s="101"/>
      <c r="V966" s="101"/>
      <c r="W966" s="69" t="e" cm="1">
        <f t="array" ref="W966">_xlfn.XLOOKUP(Table1[[#This Row],[5 cm2 cell test code]:[5 cm2 cell test code]],[1]!Table1[[Test code]:[Test code]],[1]!Table1[i @ 1.8 V DIW (A/cm2)],"",0)</f>
        <v>#REF!</v>
      </c>
      <c r="X966" s="69" t="e" cm="1">
        <f t="array" ref="X966">_xlfn.XLOOKUP(Table1[[#This Row],[5 cm2 cell test code]:[5 cm2 cell test code]],[1]!Table1[[Test code]:[Test code]],[1]!Table1[i @ 1.8 V 10 mM KOH (A/cm2)],"",0)</f>
        <v>#REF!</v>
      </c>
      <c r="Y966" s="69" t="e" cm="1">
        <f t="array" ref="Y966">_xlfn.XLOOKUP(Table1[[#This Row],[5 cm2 cell test code]:[5 cm2 cell test code]],[1]!Table1[[Test code]:[Test code]],[1]!Table1[3-E ƞ at 20mAcm-2 (mV)],"",0)</f>
        <v>#REF!</v>
      </c>
      <c r="Z966" s="69" t="e" cm="1">
        <f t="array" ref="Z966">_xlfn.XLOOKUP(Table1[[#This Row],[5 cm2 cell test code]:[5 cm2 cell test code]],[1]!Table1[[Test code]:[Test code]],[1]!Table1[3-E Tafel slope (mV/dec)],"",0)</f>
        <v>#REF!</v>
      </c>
      <c r="AA966" s="69" t="e" cm="1">
        <f t="array" ref="AA966">_xlfn.XLOOKUP(Table1[[#This Row],[5 cm2 cell test code]:[5 cm2 cell test code]],[1]!Table1[[Test code]:[Test code]],[1]!Table1[E @ 100 mA/cm2 DIW/V],"",0)</f>
        <v>#REF!</v>
      </c>
      <c r="AB966" s="69" t="e" cm="1">
        <f t="array" ref="AB966">_xlfn.XLOOKUP(Table1[[#This Row],[5 cm2 cell test code]:[5 cm2 cell test code]],[1]!Table1[[Test code]:[Test code]],[1]!Table1[E @ 100 mA/cm2 10 mM KOH/V],"",0)</f>
        <v>#REF!</v>
      </c>
      <c r="AC966" s="69" t="e" cm="1">
        <f t="array" ref="AC966">_xlfn.XLOOKUP(Table1[[#This Row],[5 cm2 cell test code]:[5 cm2 cell test code]],[1]!Table1[[Test code]:[Test code]],[1]!Table1[Anode ICR/mOhm],"",0)</f>
        <v>#REF!</v>
      </c>
      <c r="AD966" s="69" t="e" cm="1">
        <f t="array" ref="AD966">_xlfn.XLOOKUP(Table1[[#This Row],[5 cm2 cell test code]:[5 cm2 cell test code]],[1]!Table1[[Test code]:[Test code]],[1]!Table1[HFR DIW/ mOhm cm2],"",0)</f>
        <v>#REF!</v>
      </c>
      <c r="AE966" s="69" t="e" cm="1">
        <f t="array" ref="AE966">_xlfn.XLOOKUP(Table1[[#This Row],[5 cm2 cell test code]:[5 cm2 cell test code]],[1]!Table1[[Test code]:[Test code]],[1]!Table1[HFR 10 mM KOH/ mOhm cm2],"",0)</f>
        <v>#REF!</v>
      </c>
      <c r="AF966" s="69" t="e" cm="1">
        <f t="array" ref="AF966">_xlfn.XLOOKUP(Table1[[#This Row],[5 cm2 cell test code]:[5 cm2 cell test code]],[1]!Table1[[Test code]:[Test code]],[1]!Table1[Ionic resistance DIW/Ohm cm2],"",0)</f>
        <v>#REF!</v>
      </c>
      <c r="AG966" s="69" t="e" cm="1">
        <f t="array" ref="AG966">_xlfn.XLOOKUP(Table1[[#This Row],[5 cm2 cell test code]:[5 cm2 cell test code]],[1]!Table1[[Test code]:[Test code]],[1]!Table1[Q_int_frac DIW],"",0)</f>
        <v>#REF!</v>
      </c>
      <c r="AH966" s="69" t="e" cm="1">
        <f t="array" ref="AH966">_xlfn.XLOOKUP(Table1[[#This Row],[5 cm2 cell test code]:[5 cm2 cell test code]],[1]!Table1[[Test code]:[Test code]],[1]!Table1[Ionic resistance 10 mM KOH/Ohm cm2],"",0)</f>
        <v>#REF!</v>
      </c>
      <c r="AI966" s="69" t="e" cm="1">
        <f t="array" ref="AI966">_xlfn.XLOOKUP(Table1[[#This Row],[5 cm2 cell test code]:[5 cm2 cell test code]],[1]!Table1[[Test code]:[Test code]],[1]!Table1[Q_int_frac DIW 10 mM KOH],"",0)</f>
        <v>#REF!</v>
      </c>
      <c r="AJ966" s="69" t="e" cm="1">
        <f t="array" ref="AJ966">_xlfn.XLOOKUP(Table1[[#This Row],[5 cm2 cell test code]:[5 cm2 cell test code]],[1]!Table1[[Test code]:[Test code]],[1]!Table1[DIW conductivity (µS/cm)],"",0)</f>
        <v>#REF!</v>
      </c>
    </row>
    <row r="967" spans="1:36">
      <c r="A967" s="81"/>
      <c r="U967" s="101"/>
      <c r="V967" s="101"/>
      <c r="W967" s="69" t="e" cm="1">
        <f t="array" ref="W967">_xlfn.XLOOKUP(Table1[[#This Row],[5 cm2 cell test code]:[5 cm2 cell test code]],[1]!Table1[[Test code]:[Test code]],[1]!Table1[i @ 1.8 V DIW (A/cm2)],"",0)</f>
        <v>#REF!</v>
      </c>
      <c r="X967" s="69" t="e" cm="1">
        <f t="array" ref="X967">_xlfn.XLOOKUP(Table1[[#This Row],[5 cm2 cell test code]:[5 cm2 cell test code]],[1]!Table1[[Test code]:[Test code]],[1]!Table1[i @ 1.8 V 10 mM KOH (A/cm2)],"",0)</f>
        <v>#REF!</v>
      </c>
      <c r="Y967" s="69" t="e" cm="1">
        <f t="array" ref="Y967">_xlfn.XLOOKUP(Table1[[#This Row],[5 cm2 cell test code]:[5 cm2 cell test code]],[1]!Table1[[Test code]:[Test code]],[1]!Table1[3-E ƞ at 20mAcm-2 (mV)],"",0)</f>
        <v>#REF!</v>
      </c>
      <c r="Z967" s="69" t="e" cm="1">
        <f t="array" ref="Z967">_xlfn.XLOOKUP(Table1[[#This Row],[5 cm2 cell test code]:[5 cm2 cell test code]],[1]!Table1[[Test code]:[Test code]],[1]!Table1[3-E Tafel slope (mV/dec)],"",0)</f>
        <v>#REF!</v>
      </c>
      <c r="AA967" s="69" t="e" cm="1">
        <f t="array" ref="AA967">_xlfn.XLOOKUP(Table1[[#This Row],[5 cm2 cell test code]:[5 cm2 cell test code]],[1]!Table1[[Test code]:[Test code]],[1]!Table1[E @ 100 mA/cm2 DIW/V],"",0)</f>
        <v>#REF!</v>
      </c>
      <c r="AB967" s="69" t="e" cm="1">
        <f t="array" ref="AB967">_xlfn.XLOOKUP(Table1[[#This Row],[5 cm2 cell test code]:[5 cm2 cell test code]],[1]!Table1[[Test code]:[Test code]],[1]!Table1[E @ 100 mA/cm2 10 mM KOH/V],"",0)</f>
        <v>#REF!</v>
      </c>
      <c r="AC967" s="69" t="e" cm="1">
        <f t="array" ref="AC967">_xlfn.XLOOKUP(Table1[[#This Row],[5 cm2 cell test code]:[5 cm2 cell test code]],[1]!Table1[[Test code]:[Test code]],[1]!Table1[Anode ICR/mOhm],"",0)</f>
        <v>#REF!</v>
      </c>
      <c r="AD967" s="69" t="e" cm="1">
        <f t="array" ref="AD967">_xlfn.XLOOKUP(Table1[[#This Row],[5 cm2 cell test code]:[5 cm2 cell test code]],[1]!Table1[[Test code]:[Test code]],[1]!Table1[HFR DIW/ mOhm cm2],"",0)</f>
        <v>#REF!</v>
      </c>
      <c r="AE967" s="69" t="e" cm="1">
        <f t="array" ref="AE967">_xlfn.XLOOKUP(Table1[[#This Row],[5 cm2 cell test code]:[5 cm2 cell test code]],[1]!Table1[[Test code]:[Test code]],[1]!Table1[HFR 10 mM KOH/ mOhm cm2],"",0)</f>
        <v>#REF!</v>
      </c>
      <c r="AF967" s="69" t="e" cm="1">
        <f t="array" ref="AF967">_xlfn.XLOOKUP(Table1[[#This Row],[5 cm2 cell test code]:[5 cm2 cell test code]],[1]!Table1[[Test code]:[Test code]],[1]!Table1[Ionic resistance DIW/Ohm cm2],"",0)</f>
        <v>#REF!</v>
      </c>
      <c r="AG967" s="69" t="e" cm="1">
        <f t="array" ref="AG967">_xlfn.XLOOKUP(Table1[[#This Row],[5 cm2 cell test code]:[5 cm2 cell test code]],[1]!Table1[[Test code]:[Test code]],[1]!Table1[Q_int_frac DIW],"",0)</f>
        <v>#REF!</v>
      </c>
      <c r="AH967" s="69" t="e" cm="1">
        <f t="array" ref="AH967">_xlfn.XLOOKUP(Table1[[#This Row],[5 cm2 cell test code]:[5 cm2 cell test code]],[1]!Table1[[Test code]:[Test code]],[1]!Table1[Ionic resistance 10 mM KOH/Ohm cm2],"",0)</f>
        <v>#REF!</v>
      </c>
      <c r="AI967" s="69" t="e" cm="1">
        <f t="array" ref="AI967">_xlfn.XLOOKUP(Table1[[#This Row],[5 cm2 cell test code]:[5 cm2 cell test code]],[1]!Table1[[Test code]:[Test code]],[1]!Table1[Q_int_frac DIW 10 mM KOH],"",0)</f>
        <v>#REF!</v>
      </c>
      <c r="AJ967" s="69" t="e" cm="1">
        <f t="array" ref="AJ967">_xlfn.XLOOKUP(Table1[[#This Row],[5 cm2 cell test code]:[5 cm2 cell test code]],[1]!Table1[[Test code]:[Test code]],[1]!Table1[DIW conductivity (µS/cm)],"",0)</f>
        <v>#REF!</v>
      </c>
    </row>
    <row r="968" spans="1:36">
      <c r="A968" s="81"/>
      <c r="U968" s="101"/>
      <c r="V968" s="101"/>
      <c r="W968" s="69" t="e" cm="1">
        <f t="array" ref="W968">_xlfn.XLOOKUP(Table1[[#This Row],[5 cm2 cell test code]:[5 cm2 cell test code]],[1]!Table1[[Test code]:[Test code]],[1]!Table1[i @ 1.8 V DIW (A/cm2)],"",0)</f>
        <v>#REF!</v>
      </c>
      <c r="X968" s="69" t="e" cm="1">
        <f t="array" ref="X968">_xlfn.XLOOKUP(Table1[[#This Row],[5 cm2 cell test code]:[5 cm2 cell test code]],[1]!Table1[[Test code]:[Test code]],[1]!Table1[i @ 1.8 V 10 mM KOH (A/cm2)],"",0)</f>
        <v>#REF!</v>
      </c>
      <c r="Y968" s="69" t="e" cm="1">
        <f t="array" ref="Y968">_xlfn.XLOOKUP(Table1[[#This Row],[5 cm2 cell test code]:[5 cm2 cell test code]],[1]!Table1[[Test code]:[Test code]],[1]!Table1[3-E ƞ at 20mAcm-2 (mV)],"",0)</f>
        <v>#REF!</v>
      </c>
      <c r="Z968" s="69" t="e" cm="1">
        <f t="array" ref="Z968">_xlfn.XLOOKUP(Table1[[#This Row],[5 cm2 cell test code]:[5 cm2 cell test code]],[1]!Table1[[Test code]:[Test code]],[1]!Table1[3-E Tafel slope (mV/dec)],"",0)</f>
        <v>#REF!</v>
      </c>
      <c r="AA968" s="69" t="e" cm="1">
        <f t="array" ref="AA968">_xlfn.XLOOKUP(Table1[[#This Row],[5 cm2 cell test code]:[5 cm2 cell test code]],[1]!Table1[[Test code]:[Test code]],[1]!Table1[E @ 100 mA/cm2 DIW/V],"",0)</f>
        <v>#REF!</v>
      </c>
      <c r="AB968" s="69" t="e" cm="1">
        <f t="array" ref="AB968">_xlfn.XLOOKUP(Table1[[#This Row],[5 cm2 cell test code]:[5 cm2 cell test code]],[1]!Table1[[Test code]:[Test code]],[1]!Table1[E @ 100 mA/cm2 10 mM KOH/V],"",0)</f>
        <v>#REF!</v>
      </c>
      <c r="AC968" s="69" t="e" cm="1">
        <f t="array" ref="AC968">_xlfn.XLOOKUP(Table1[[#This Row],[5 cm2 cell test code]:[5 cm2 cell test code]],[1]!Table1[[Test code]:[Test code]],[1]!Table1[Anode ICR/mOhm],"",0)</f>
        <v>#REF!</v>
      </c>
      <c r="AD968" s="69" t="e" cm="1">
        <f t="array" ref="AD968">_xlfn.XLOOKUP(Table1[[#This Row],[5 cm2 cell test code]:[5 cm2 cell test code]],[1]!Table1[[Test code]:[Test code]],[1]!Table1[HFR DIW/ mOhm cm2],"",0)</f>
        <v>#REF!</v>
      </c>
      <c r="AE968" s="69" t="e" cm="1">
        <f t="array" ref="AE968">_xlfn.XLOOKUP(Table1[[#This Row],[5 cm2 cell test code]:[5 cm2 cell test code]],[1]!Table1[[Test code]:[Test code]],[1]!Table1[HFR 10 mM KOH/ mOhm cm2],"",0)</f>
        <v>#REF!</v>
      </c>
      <c r="AF968" s="69" t="e" cm="1">
        <f t="array" ref="AF968">_xlfn.XLOOKUP(Table1[[#This Row],[5 cm2 cell test code]:[5 cm2 cell test code]],[1]!Table1[[Test code]:[Test code]],[1]!Table1[Ionic resistance DIW/Ohm cm2],"",0)</f>
        <v>#REF!</v>
      </c>
      <c r="AG968" s="69" t="e" cm="1">
        <f t="array" ref="AG968">_xlfn.XLOOKUP(Table1[[#This Row],[5 cm2 cell test code]:[5 cm2 cell test code]],[1]!Table1[[Test code]:[Test code]],[1]!Table1[Q_int_frac DIW],"",0)</f>
        <v>#REF!</v>
      </c>
      <c r="AH968" s="69" t="e" cm="1">
        <f t="array" ref="AH968">_xlfn.XLOOKUP(Table1[[#This Row],[5 cm2 cell test code]:[5 cm2 cell test code]],[1]!Table1[[Test code]:[Test code]],[1]!Table1[Ionic resistance 10 mM KOH/Ohm cm2],"",0)</f>
        <v>#REF!</v>
      </c>
      <c r="AI968" s="69" t="e" cm="1">
        <f t="array" ref="AI968">_xlfn.XLOOKUP(Table1[[#This Row],[5 cm2 cell test code]:[5 cm2 cell test code]],[1]!Table1[[Test code]:[Test code]],[1]!Table1[Q_int_frac DIW 10 mM KOH],"",0)</f>
        <v>#REF!</v>
      </c>
      <c r="AJ968" s="69" t="e" cm="1">
        <f t="array" ref="AJ968">_xlfn.XLOOKUP(Table1[[#This Row],[5 cm2 cell test code]:[5 cm2 cell test code]],[1]!Table1[[Test code]:[Test code]],[1]!Table1[DIW conductivity (µS/cm)],"",0)</f>
        <v>#REF!</v>
      </c>
    </row>
    <row r="969" spans="1:36">
      <c r="A969" s="81"/>
      <c r="U969" s="101"/>
      <c r="V969" s="101"/>
      <c r="W969" s="69" t="e" cm="1">
        <f t="array" ref="W969">_xlfn.XLOOKUP(Table1[[#This Row],[5 cm2 cell test code]:[5 cm2 cell test code]],[1]!Table1[[Test code]:[Test code]],[1]!Table1[i @ 1.8 V DIW (A/cm2)],"",0)</f>
        <v>#REF!</v>
      </c>
      <c r="X969" s="69" t="e" cm="1">
        <f t="array" ref="X969">_xlfn.XLOOKUP(Table1[[#This Row],[5 cm2 cell test code]:[5 cm2 cell test code]],[1]!Table1[[Test code]:[Test code]],[1]!Table1[i @ 1.8 V 10 mM KOH (A/cm2)],"",0)</f>
        <v>#REF!</v>
      </c>
      <c r="Y969" s="69" t="e" cm="1">
        <f t="array" ref="Y969">_xlfn.XLOOKUP(Table1[[#This Row],[5 cm2 cell test code]:[5 cm2 cell test code]],[1]!Table1[[Test code]:[Test code]],[1]!Table1[3-E ƞ at 20mAcm-2 (mV)],"",0)</f>
        <v>#REF!</v>
      </c>
      <c r="Z969" s="69" t="e" cm="1">
        <f t="array" ref="Z969">_xlfn.XLOOKUP(Table1[[#This Row],[5 cm2 cell test code]:[5 cm2 cell test code]],[1]!Table1[[Test code]:[Test code]],[1]!Table1[3-E Tafel slope (mV/dec)],"",0)</f>
        <v>#REF!</v>
      </c>
      <c r="AA969" s="69" t="e" cm="1">
        <f t="array" ref="AA969">_xlfn.XLOOKUP(Table1[[#This Row],[5 cm2 cell test code]:[5 cm2 cell test code]],[1]!Table1[[Test code]:[Test code]],[1]!Table1[E @ 100 mA/cm2 DIW/V],"",0)</f>
        <v>#REF!</v>
      </c>
      <c r="AB969" s="69" t="e" cm="1">
        <f t="array" ref="AB969">_xlfn.XLOOKUP(Table1[[#This Row],[5 cm2 cell test code]:[5 cm2 cell test code]],[1]!Table1[[Test code]:[Test code]],[1]!Table1[E @ 100 mA/cm2 10 mM KOH/V],"",0)</f>
        <v>#REF!</v>
      </c>
      <c r="AC969" s="69" t="e" cm="1">
        <f t="array" ref="AC969">_xlfn.XLOOKUP(Table1[[#This Row],[5 cm2 cell test code]:[5 cm2 cell test code]],[1]!Table1[[Test code]:[Test code]],[1]!Table1[Anode ICR/mOhm],"",0)</f>
        <v>#REF!</v>
      </c>
      <c r="AD969" s="69" t="e" cm="1">
        <f t="array" ref="AD969">_xlfn.XLOOKUP(Table1[[#This Row],[5 cm2 cell test code]:[5 cm2 cell test code]],[1]!Table1[[Test code]:[Test code]],[1]!Table1[HFR DIW/ mOhm cm2],"",0)</f>
        <v>#REF!</v>
      </c>
      <c r="AE969" s="69" t="e" cm="1">
        <f t="array" ref="AE969">_xlfn.XLOOKUP(Table1[[#This Row],[5 cm2 cell test code]:[5 cm2 cell test code]],[1]!Table1[[Test code]:[Test code]],[1]!Table1[HFR 10 mM KOH/ mOhm cm2],"",0)</f>
        <v>#REF!</v>
      </c>
      <c r="AF969" s="69" t="e" cm="1">
        <f t="array" ref="AF969">_xlfn.XLOOKUP(Table1[[#This Row],[5 cm2 cell test code]:[5 cm2 cell test code]],[1]!Table1[[Test code]:[Test code]],[1]!Table1[Ionic resistance DIW/Ohm cm2],"",0)</f>
        <v>#REF!</v>
      </c>
      <c r="AG969" s="69" t="e" cm="1">
        <f t="array" ref="AG969">_xlfn.XLOOKUP(Table1[[#This Row],[5 cm2 cell test code]:[5 cm2 cell test code]],[1]!Table1[[Test code]:[Test code]],[1]!Table1[Q_int_frac DIW],"",0)</f>
        <v>#REF!</v>
      </c>
      <c r="AH969" s="69" t="e" cm="1">
        <f t="array" ref="AH969">_xlfn.XLOOKUP(Table1[[#This Row],[5 cm2 cell test code]:[5 cm2 cell test code]],[1]!Table1[[Test code]:[Test code]],[1]!Table1[Ionic resistance 10 mM KOH/Ohm cm2],"",0)</f>
        <v>#REF!</v>
      </c>
      <c r="AI969" s="69" t="e" cm="1">
        <f t="array" ref="AI969">_xlfn.XLOOKUP(Table1[[#This Row],[5 cm2 cell test code]:[5 cm2 cell test code]],[1]!Table1[[Test code]:[Test code]],[1]!Table1[Q_int_frac DIW 10 mM KOH],"",0)</f>
        <v>#REF!</v>
      </c>
      <c r="AJ969" s="69" t="e" cm="1">
        <f t="array" ref="AJ969">_xlfn.XLOOKUP(Table1[[#This Row],[5 cm2 cell test code]:[5 cm2 cell test code]],[1]!Table1[[Test code]:[Test code]],[1]!Table1[DIW conductivity (µS/cm)],"",0)</f>
        <v>#REF!</v>
      </c>
    </row>
    <row r="970" spans="1:36">
      <c r="A970" s="81"/>
      <c r="U970" s="101"/>
      <c r="V970" s="101"/>
      <c r="W970" s="69" t="e" cm="1">
        <f t="array" ref="W970">_xlfn.XLOOKUP(Table1[[#This Row],[5 cm2 cell test code]:[5 cm2 cell test code]],[1]!Table1[[Test code]:[Test code]],[1]!Table1[i @ 1.8 V DIW (A/cm2)],"",0)</f>
        <v>#REF!</v>
      </c>
      <c r="X970" s="69" t="e" cm="1">
        <f t="array" ref="X970">_xlfn.XLOOKUP(Table1[[#This Row],[5 cm2 cell test code]:[5 cm2 cell test code]],[1]!Table1[[Test code]:[Test code]],[1]!Table1[i @ 1.8 V 10 mM KOH (A/cm2)],"",0)</f>
        <v>#REF!</v>
      </c>
      <c r="Y970" s="69" t="e" cm="1">
        <f t="array" ref="Y970">_xlfn.XLOOKUP(Table1[[#This Row],[5 cm2 cell test code]:[5 cm2 cell test code]],[1]!Table1[[Test code]:[Test code]],[1]!Table1[3-E ƞ at 20mAcm-2 (mV)],"",0)</f>
        <v>#REF!</v>
      </c>
      <c r="Z970" s="69" t="e" cm="1">
        <f t="array" ref="Z970">_xlfn.XLOOKUP(Table1[[#This Row],[5 cm2 cell test code]:[5 cm2 cell test code]],[1]!Table1[[Test code]:[Test code]],[1]!Table1[3-E Tafel slope (mV/dec)],"",0)</f>
        <v>#REF!</v>
      </c>
      <c r="AA970" s="69" t="e" cm="1">
        <f t="array" ref="AA970">_xlfn.XLOOKUP(Table1[[#This Row],[5 cm2 cell test code]:[5 cm2 cell test code]],[1]!Table1[[Test code]:[Test code]],[1]!Table1[E @ 100 mA/cm2 DIW/V],"",0)</f>
        <v>#REF!</v>
      </c>
      <c r="AB970" s="69" t="e" cm="1">
        <f t="array" ref="AB970">_xlfn.XLOOKUP(Table1[[#This Row],[5 cm2 cell test code]:[5 cm2 cell test code]],[1]!Table1[[Test code]:[Test code]],[1]!Table1[E @ 100 mA/cm2 10 mM KOH/V],"",0)</f>
        <v>#REF!</v>
      </c>
      <c r="AC970" s="69" t="e" cm="1">
        <f t="array" ref="AC970">_xlfn.XLOOKUP(Table1[[#This Row],[5 cm2 cell test code]:[5 cm2 cell test code]],[1]!Table1[[Test code]:[Test code]],[1]!Table1[Anode ICR/mOhm],"",0)</f>
        <v>#REF!</v>
      </c>
      <c r="AD970" s="69" t="e" cm="1">
        <f t="array" ref="AD970">_xlfn.XLOOKUP(Table1[[#This Row],[5 cm2 cell test code]:[5 cm2 cell test code]],[1]!Table1[[Test code]:[Test code]],[1]!Table1[HFR DIW/ mOhm cm2],"",0)</f>
        <v>#REF!</v>
      </c>
      <c r="AE970" s="69" t="e" cm="1">
        <f t="array" ref="AE970">_xlfn.XLOOKUP(Table1[[#This Row],[5 cm2 cell test code]:[5 cm2 cell test code]],[1]!Table1[[Test code]:[Test code]],[1]!Table1[HFR 10 mM KOH/ mOhm cm2],"",0)</f>
        <v>#REF!</v>
      </c>
      <c r="AF970" s="69" t="e" cm="1">
        <f t="array" ref="AF970">_xlfn.XLOOKUP(Table1[[#This Row],[5 cm2 cell test code]:[5 cm2 cell test code]],[1]!Table1[[Test code]:[Test code]],[1]!Table1[Ionic resistance DIW/Ohm cm2],"",0)</f>
        <v>#REF!</v>
      </c>
      <c r="AG970" s="69" t="e" cm="1">
        <f t="array" ref="AG970">_xlfn.XLOOKUP(Table1[[#This Row],[5 cm2 cell test code]:[5 cm2 cell test code]],[1]!Table1[[Test code]:[Test code]],[1]!Table1[Q_int_frac DIW],"",0)</f>
        <v>#REF!</v>
      </c>
      <c r="AH970" s="69" t="e" cm="1">
        <f t="array" ref="AH970">_xlfn.XLOOKUP(Table1[[#This Row],[5 cm2 cell test code]:[5 cm2 cell test code]],[1]!Table1[[Test code]:[Test code]],[1]!Table1[Ionic resistance 10 mM KOH/Ohm cm2],"",0)</f>
        <v>#REF!</v>
      </c>
      <c r="AI970" s="69" t="e" cm="1">
        <f t="array" ref="AI970">_xlfn.XLOOKUP(Table1[[#This Row],[5 cm2 cell test code]:[5 cm2 cell test code]],[1]!Table1[[Test code]:[Test code]],[1]!Table1[Q_int_frac DIW 10 mM KOH],"",0)</f>
        <v>#REF!</v>
      </c>
      <c r="AJ970" s="69" t="e" cm="1">
        <f t="array" ref="AJ970">_xlfn.XLOOKUP(Table1[[#This Row],[5 cm2 cell test code]:[5 cm2 cell test code]],[1]!Table1[[Test code]:[Test code]],[1]!Table1[DIW conductivity (µS/cm)],"",0)</f>
        <v>#REF!</v>
      </c>
    </row>
    <row r="971" spans="1:36">
      <c r="A971" s="81"/>
      <c r="U971" s="101"/>
      <c r="V971" s="101"/>
      <c r="W971" s="69" t="e" cm="1">
        <f t="array" ref="W971">_xlfn.XLOOKUP(Table1[[#This Row],[5 cm2 cell test code]:[5 cm2 cell test code]],[1]!Table1[[Test code]:[Test code]],[1]!Table1[i @ 1.8 V DIW (A/cm2)],"",0)</f>
        <v>#REF!</v>
      </c>
      <c r="X971" s="69" t="e" cm="1">
        <f t="array" ref="X971">_xlfn.XLOOKUP(Table1[[#This Row],[5 cm2 cell test code]:[5 cm2 cell test code]],[1]!Table1[[Test code]:[Test code]],[1]!Table1[i @ 1.8 V 10 mM KOH (A/cm2)],"",0)</f>
        <v>#REF!</v>
      </c>
      <c r="Y971" s="69" t="e" cm="1">
        <f t="array" ref="Y971">_xlfn.XLOOKUP(Table1[[#This Row],[5 cm2 cell test code]:[5 cm2 cell test code]],[1]!Table1[[Test code]:[Test code]],[1]!Table1[3-E ƞ at 20mAcm-2 (mV)],"",0)</f>
        <v>#REF!</v>
      </c>
      <c r="Z971" s="69" t="e" cm="1">
        <f t="array" ref="Z971">_xlfn.XLOOKUP(Table1[[#This Row],[5 cm2 cell test code]:[5 cm2 cell test code]],[1]!Table1[[Test code]:[Test code]],[1]!Table1[3-E Tafel slope (mV/dec)],"",0)</f>
        <v>#REF!</v>
      </c>
      <c r="AA971" s="69" t="e" cm="1">
        <f t="array" ref="AA971">_xlfn.XLOOKUP(Table1[[#This Row],[5 cm2 cell test code]:[5 cm2 cell test code]],[1]!Table1[[Test code]:[Test code]],[1]!Table1[E @ 100 mA/cm2 DIW/V],"",0)</f>
        <v>#REF!</v>
      </c>
      <c r="AB971" s="69" t="e" cm="1">
        <f t="array" ref="AB971">_xlfn.XLOOKUP(Table1[[#This Row],[5 cm2 cell test code]:[5 cm2 cell test code]],[1]!Table1[[Test code]:[Test code]],[1]!Table1[E @ 100 mA/cm2 10 mM KOH/V],"",0)</f>
        <v>#REF!</v>
      </c>
      <c r="AC971" s="69" t="e" cm="1">
        <f t="array" ref="AC971">_xlfn.XLOOKUP(Table1[[#This Row],[5 cm2 cell test code]:[5 cm2 cell test code]],[1]!Table1[[Test code]:[Test code]],[1]!Table1[Anode ICR/mOhm],"",0)</f>
        <v>#REF!</v>
      </c>
      <c r="AD971" s="69" t="e" cm="1">
        <f t="array" ref="AD971">_xlfn.XLOOKUP(Table1[[#This Row],[5 cm2 cell test code]:[5 cm2 cell test code]],[1]!Table1[[Test code]:[Test code]],[1]!Table1[HFR DIW/ mOhm cm2],"",0)</f>
        <v>#REF!</v>
      </c>
      <c r="AE971" s="69" t="e" cm="1">
        <f t="array" ref="AE971">_xlfn.XLOOKUP(Table1[[#This Row],[5 cm2 cell test code]:[5 cm2 cell test code]],[1]!Table1[[Test code]:[Test code]],[1]!Table1[HFR 10 mM KOH/ mOhm cm2],"",0)</f>
        <v>#REF!</v>
      </c>
      <c r="AF971" s="69" t="e" cm="1">
        <f t="array" ref="AF971">_xlfn.XLOOKUP(Table1[[#This Row],[5 cm2 cell test code]:[5 cm2 cell test code]],[1]!Table1[[Test code]:[Test code]],[1]!Table1[Ionic resistance DIW/Ohm cm2],"",0)</f>
        <v>#REF!</v>
      </c>
      <c r="AG971" s="69" t="e" cm="1">
        <f t="array" ref="AG971">_xlfn.XLOOKUP(Table1[[#This Row],[5 cm2 cell test code]:[5 cm2 cell test code]],[1]!Table1[[Test code]:[Test code]],[1]!Table1[Q_int_frac DIW],"",0)</f>
        <v>#REF!</v>
      </c>
      <c r="AH971" s="69" t="e" cm="1">
        <f t="array" ref="AH971">_xlfn.XLOOKUP(Table1[[#This Row],[5 cm2 cell test code]:[5 cm2 cell test code]],[1]!Table1[[Test code]:[Test code]],[1]!Table1[Ionic resistance 10 mM KOH/Ohm cm2],"",0)</f>
        <v>#REF!</v>
      </c>
      <c r="AI971" s="69" t="e" cm="1">
        <f t="array" ref="AI971">_xlfn.XLOOKUP(Table1[[#This Row],[5 cm2 cell test code]:[5 cm2 cell test code]],[1]!Table1[[Test code]:[Test code]],[1]!Table1[Q_int_frac DIW 10 mM KOH],"",0)</f>
        <v>#REF!</v>
      </c>
      <c r="AJ971" s="69" t="e" cm="1">
        <f t="array" ref="AJ971">_xlfn.XLOOKUP(Table1[[#This Row],[5 cm2 cell test code]:[5 cm2 cell test code]],[1]!Table1[[Test code]:[Test code]],[1]!Table1[DIW conductivity (µS/cm)],"",0)</f>
        <v>#REF!</v>
      </c>
    </row>
    <row r="972" spans="1:36">
      <c r="A972" s="81"/>
      <c r="U972" s="101"/>
      <c r="V972" s="101"/>
      <c r="W972" s="69" t="e" cm="1">
        <f t="array" ref="W972">_xlfn.XLOOKUP(Table1[[#This Row],[5 cm2 cell test code]:[5 cm2 cell test code]],[1]!Table1[[Test code]:[Test code]],[1]!Table1[i @ 1.8 V DIW (A/cm2)],"",0)</f>
        <v>#REF!</v>
      </c>
      <c r="X972" s="69" t="e" cm="1">
        <f t="array" ref="X972">_xlfn.XLOOKUP(Table1[[#This Row],[5 cm2 cell test code]:[5 cm2 cell test code]],[1]!Table1[[Test code]:[Test code]],[1]!Table1[i @ 1.8 V 10 mM KOH (A/cm2)],"",0)</f>
        <v>#REF!</v>
      </c>
      <c r="Y972" s="69" t="e" cm="1">
        <f t="array" ref="Y972">_xlfn.XLOOKUP(Table1[[#This Row],[5 cm2 cell test code]:[5 cm2 cell test code]],[1]!Table1[[Test code]:[Test code]],[1]!Table1[3-E ƞ at 20mAcm-2 (mV)],"",0)</f>
        <v>#REF!</v>
      </c>
      <c r="Z972" s="69" t="e" cm="1">
        <f t="array" ref="Z972">_xlfn.XLOOKUP(Table1[[#This Row],[5 cm2 cell test code]:[5 cm2 cell test code]],[1]!Table1[[Test code]:[Test code]],[1]!Table1[3-E Tafel slope (mV/dec)],"",0)</f>
        <v>#REF!</v>
      </c>
      <c r="AA972" s="69" t="e" cm="1">
        <f t="array" ref="AA972">_xlfn.XLOOKUP(Table1[[#This Row],[5 cm2 cell test code]:[5 cm2 cell test code]],[1]!Table1[[Test code]:[Test code]],[1]!Table1[E @ 100 mA/cm2 DIW/V],"",0)</f>
        <v>#REF!</v>
      </c>
      <c r="AB972" s="69" t="e" cm="1">
        <f t="array" ref="AB972">_xlfn.XLOOKUP(Table1[[#This Row],[5 cm2 cell test code]:[5 cm2 cell test code]],[1]!Table1[[Test code]:[Test code]],[1]!Table1[E @ 100 mA/cm2 10 mM KOH/V],"",0)</f>
        <v>#REF!</v>
      </c>
      <c r="AC972" s="69" t="e" cm="1">
        <f t="array" ref="AC972">_xlfn.XLOOKUP(Table1[[#This Row],[5 cm2 cell test code]:[5 cm2 cell test code]],[1]!Table1[[Test code]:[Test code]],[1]!Table1[Anode ICR/mOhm],"",0)</f>
        <v>#REF!</v>
      </c>
      <c r="AD972" s="69" t="e" cm="1">
        <f t="array" ref="AD972">_xlfn.XLOOKUP(Table1[[#This Row],[5 cm2 cell test code]:[5 cm2 cell test code]],[1]!Table1[[Test code]:[Test code]],[1]!Table1[HFR DIW/ mOhm cm2],"",0)</f>
        <v>#REF!</v>
      </c>
      <c r="AE972" s="69" t="e" cm="1">
        <f t="array" ref="AE972">_xlfn.XLOOKUP(Table1[[#This Row],[5 cm2 cell test code]:[5 cm2 cell test code]],[1]!Table1[[Test code]:[Test code]],[1]!Table1[HFR 10 mM KOH/ mOhm cm2],"",0)</f>
        <v>#REF!</v>
      </c>
      <c r="AF972" s="69" t="e" cm="1">
        <f t="array" ref="AF972">_xlfn.XLOOKUP(Table1[[#This Row],[5 cm2 cell test code]:[5 cm2 cell test code]],[1]!Table1[[Test code]:[Test code]],[1]!Table1[Ionic resistance DIW/Ohm cm2],"",0)</f>
        <v>#REF!</v>
      </c>
      <c r="AG972" s="69" t="e" cm="1">
        <f t="array" ref="AG972">_xlfn.XLOOKUP(Table1[[#This Row],[5 cm2 cell test code]:[5 cm2 cell test code]],[1]!Table1[[Test code]:[Test code]],[1]!Table1[Q_int_frac DIW],"",0)</f>
        <v>#REF!</v>
      </c>
      <c r="AH972" s="69" t="e" cm="1">
        <f t="array" ref="AH972">_xlfn.XLOOKUP(Table1[[#This Row],[5 cm2 cell test code]:[5 cm2 cell test code]],[1]!Table1[[Test code]:[Test code]],[1]!Table1[Ionic resistance 10 mM KOH/Ohm cm2],"",0)</f>
        <v>#REF!</v>
      </c>
      <c r="AI972" s="69" t="e" cm="1">
        <f t="array" ref="AI972">_xlfn.XLOOKUP(Table1[[#This Row],[5 cm2 cell test code]:[5 cm2 cell test code]],[1]!Table1[[Test code]:[Test code]],[1]!Table1[Q_int_frac DIW 10 mM KOH],"",0)</f>
        <v>#REF!</v>
      </c>
      <c r="AJ972" s="69" t="e" cm="1">
        <f t="array" ref="AJ972">_xlfn.XLOOKUP(Table1[[#This Row],[5 cm2 cell test code]:[5 cm2 cell test code]],[1]!Table1[[Test code]:[Test code]],[1]!Table1[DIW conductivity (µS/cm)],"",0)</f>
        <v>#REF!</v>
      </c>
    </row>
    <row r="973" spans="1:36">
      <c r="A973" s="81"/>
      <c r="U973" s="101"/>
      <c r="V973" s="101"/>
      <c r="W973" s="69" t="e" cm="1">
        <f t="array" ref="W973">_xlfn.XLOOKUP(Table1[[#This Row],[5 cm2 cell test code]:[5 cm2 cell test code]],[1]!Table1[[Test code]:[Test code]],[1]!Table1[i @ 1.8 V DIW (A/cm2)],"",0)</f>
        <v>#REF!</v>
      </c>
      <c r="X973" s="69" t="e" cm="1">
        <f t="array" ref="X973">_xlfn.XLOOKUP(Table1[[#This Row],[5 cm2 cell test code]:[5 cm2 cell test code]],[1]!Table1[[Test code]:[Test code]],[1]!Table1[i @ 1.8 V 10 mM KOH (A/cm2)],"",0)</f>
        <v>#REF!</v>
      </c>
      <c r="Y973" s="69" t="e" cm="1">
        <f t="array" ref="Y973">_xlfn.XLOOKUP(Table1[[#This Row],[5 cm2 cell test code]:[5 cm2 cell test code]],[1]!Table1[[Test code]:[Test code]],[1]!Table1[3-E ƞ at 20mAcm-2 (mV)],"",0)</f>
        <v>#REF!</v>
      </c>
      <c r="Z973" s="69" t="e" cm="1">
        <f t="array" ref="Z973">_xlfn.XLOOKUP(Table1[[#This Row],[5 cm2 cell test code]:[5 cm2 cell test code]],[1]!Table1[[Test code]:[Test code]],[1]!Table1[3-E Tafel slope (mV/dec)],"",0)</f>
        <v>#REF!</v>
      </c>
      <c r="AA973" s="69" t="e" cm="1">
        <f t="array" ref="AA973">_xlfn.XLOOKUP(Table1[[#This Row],[5 cm2 cell test code]:[5 cm2 cell test code]],[1]!Table1[[Test code]:[Test code]],[1]!Table1[E @ 100 mA/cm2 DIW/V],"",0)</f>
        <v>#REF!</v>
      </c>
      <c r="AB973" s="69" t="e" cm="1">
        <f t="array" ref="AB973">_xlfn.XLOOKUP(Table1[[#This Row],[5 cm2 cell test code]:[5 cm2 cell test code]],[1]!Table1[[Test code]:[Test code]],[1]!Table1[E @ 100 mA/cm2 10 mM KOH/V],"",0)</f>
        <v>#REF!</v>
      </c>
      <c r="AC973" s="69" t="e" cm="1">
        <f t="array" ref="AC973">_xlfn.XLOOKUP(Table1[[#This Row],[5 cm2 cell test code]:[5 cm2 cell test code]],[1]!Table1[[Test code]:[Test code]],[1]!Table1[Anode ICR/mOhm],"",0)</f>
        <v>#REF!</v>
      </c>
      <c r="AD973" s="69" t="e" cm="1">
        <f t="array" ref="AD973">_xlfn.XLOOKUP(Table1[[#This Row],[5 cm2 cell test code]:[5 cm2 cell test code]],[1]!Table1[[Test code]:[Test code]],[1]!Table1[HFR DIW/ mOhm cm2],"",0)</f>
        <v>#REF!</v>
      </c>
      <c r="AE973" s="69" t="e" cm="1">
        <f t="array" ref="AE973">_xlfn.XLOOKUP(Table1[[#This Row],[5 cm2 cell test code]:[5 cm2 cell test code]],[1]!Table1[[Test code]:[Test code]],[1]!Table1[HFR 10 mM KOH/ mOhm cm2],"",0)</f>
        <v>#REF!</v>
      </c>
      <c r="AF973" s="69" t="e" cm="1">
        <f t="array" ref="AF973">_xlfn.XLOOKUP(Table1[[#This Row],[5 cm2 cell test code]:[5 cm2 cell test code]],[1]!Table1[[Test code]:[Test code]],[1]!Table1[Ionic resistance DIW/Ohm cm2],"",0)</f>
        <v>#REF!</v>
      </c>
      <c r="AG973" s="69" t="e" cm="1">
        <f t="array" ref="AG973">_xlfn.XLOOKUP(Table1[[#This Row],[5 cm2 cell test code]:[5 cm2 cell test code]],[1]!Table1[[Test code]:[Test code]],[1]!Table1[Q_int_frac DIW],"",0)</f>
        <v>#REF!</v>
      </c>
      <c r="AH973" s="69" t="e" cm="1">
        <f t="array" ref="AH973">_xlfn.XLOOKUP(Table1[[#This Row],[5 cm2 cell test code]:[5 cm2 cell test code]],[1]!Table1[[Test code]:[Test code]],[1]!Table1[Ionic resistance 10 mM KOH/Ohm cm2],"",0)</f>
        <v>#REF!</v>
      </c>
      <c r="AI973" s="69" t="e" cm="1">
        <f t="array" ref="AI973">_xlfn.XLOOKUP(Table1[[#This Row],[5 cm2 cell test code]:[5 cm2 cell test code]],[1]!Table1[[Test code]:[Test code]],[1]!Table1[Q_int_frac DIW 10 mM KOH],"",0)</f>
        <v>#REF!</v>
      </c>
      <c r="AJ973" s="69" t="e" cm="1">
        <f t="array" ref="AJ973">_xlfn.XLOOKUP(Table1[[#This Row],[5 cm2 cell test code]:[5 cm2 cell test code]],[1]!Table1[[Test code]:[Test code]],[1]!Table1[DIW conductivity (µS/cm)],"",0)</f>
        <v>#REF!</v>
      </c>
    </row>
    <row r="974" spans="1:36">
      <c r="A974" s="81"/>
      <c r="U974" s="101"/>
      <c r="V974" s="101"/>
      <c r="W974" s="69" t="e" cm="1">
        <f t="array" ref="W974">_xlfn.XLOOKUP(Table1[[#This Row],[5 cm2 cell test code]:[5 cm2 cell test code]],[1]!Table1[[Test code]:[Test code]],[1]!Table1[i @ 1.8 V DIW (A/cm2)],"",0)</f>
        <v>#REF!</v>
      </c>
      <c r="X974" s="69" t="e" cm="1">
        <f t="array" ref="X974">_xlfn.XLOOKUP(Table1[[#This Row],[5 cm2 cell test code]:[5 cm2 cell test code]],[1]!Table1[[Test code]:[Test code]],[1]!Table1[i @ 1.8 V 10 mM KOH (A/cm2)],"",0)</f>
        <v>#REF!</v>
      </c>
      <c r="Y974" s="69" t="e" cm="1">
        <f t="array" ref="Y974">_xlfn.XLOOKUP(Table1[[#This Row],[5 cm2 cell test code]:[5 cm2 cell test code]],[1]!Table1[[Test code]:[Test code]],[1]!Table1[3-E ƞ at 20mAcm-2 (mV)],"",0)</f>
        <v>#REF!</v>
      </c>
      <c r="Z974" s="69" t="e" cm="1">
        <f t="array" ref="Z974">_xlfn.XLOOKUP(Table1[[#This Row],[5 cm2 cell test code]:[5 cm2 cell test code]],[1]!Table1[[Test code]:[Test code]],[1]!Table1[3-E Tafel slope (mV/dec)],"",0)</f>
        <v>#REF!</v>
      </c>
      <c r="AA974" s="69" t="e" cm="1">
        <f t="array" ref="AA974">_xlfn.XLOOKUP(Table1[[#This Row],[5 cm2 cell test code]:[5 cm2 cell test code]],[1]!Table1[[Test code]:[Test code]],[1]!Table1[E @ 100 mA/cm2 DIW/V],"",0)</f>
        <v>#REF!</v>
      </c>
      <c r="AB974" s="69" t="e" cm="1">
        <f t="array" ref="AB974">_xlfn.XLOOKUP(Table1[[#This Row],[5 cm2 cell test code]:[5 cm2 cell test code]],[1]!Table1[[Test code]:[Test code]],[1]!Table1[E @ 100 mA/cm2 10 mM KOH/V],"",0)</f>
        <v>#REF!</v>
      </c>
      <c r="AC974" s="69" t="e" cm="1">
        <f t="array" ref="AC974">_xlfn.XLOOKUP(Table1[[#This Row],[5 cm2 cell test code]:[5 cm2 cell test code]],[1]!Table1[[Test code]:[Test code]],[1]!Table1[Anode ICR/mOhm],"",0)</f>
        <v>#REF!</v>
      </c>
      <c r="AD974" s="69" t="e" cm="1">
        <f t="array" ref="AD974">_xlfn.XLOOKUP(Table1[[#This Row],[5 cm2 cell test code]:[5 cm2 cell test code]],[1]!Table1[[Test code]:[Test code]],[1]!Table1[HFR DIW/ mOhm cm2],"",0)</f>
        <v>#REF!</v>
      </c>
      <c r="AE974" s="69" t="e" cm="1">
        <f t="array" ref="AE974">_xlfn.XLOOKUP(Table1[[#This Row],[5 cm2 cell test code]:[5 cm2 cell test code]],[1]!Table1[[Test code]:[Test code]],[1]!Table1[HFR 10 mM KOH/ mOhm cm2],"",0)</f>
        <v>#REF!</v>
      </c>
      <c r="AF974" s="69" t="e" cm="1">
        <f t="array" ref="AF974">_xlfn.XLOOKUP(Table1[[#This Row],[5 cm2 cell test code]:[5 cm2 cell test code]],[1]!Table1[[Test code]:[Test code]],[1]!Table1[Ionic resistance DIW/Ohm cm2],"",0)</f>
        <v>#REF!</v>
      </c>
      <c r="AG974" s="69" t="e" cm="1">
        <f t="array" ref="AG974">_xlfn.XLOOKUP(Table1[[#This Row],[5 cm2 cell test code]:[5 cm2 cell test code]],[1]!Table1[[Test code]:[Test code]],[1]!Table1[Q_int_frac DIW],"",0)</f>
        <v>#REF!</v>
      </c>
      <c r="AH974" s="69" t="e" cm="1">
        <f t="array" ref="AH974">_xlfn.XLOOKUP(Table1[[#This Row],[5 cm2 cell test code]:[5 cm2 cell test code]],[1]!Table1[[Test code]:[Test code]],[1]!Table1[Ionic resistance 10 mM KOH/Ohm cm2],"",0)</f>
        <v>#REF!</v>
      </c>
      <c r="AI974" s="69" t="e" cm="1">
        <f t="array" ref="AI974">_xlfn.XLOOKUP(Table1[[#This Row],[5 cm2 cell test code]:[5 cm2 cell test code]],[1]!Table1[[Test code]:[Test code]],[1]!Table1[Q_int_frac DIW 10 mM KOH],"",0)</f>
        <v>#REF!</v>
      </c>
      <c r="AJ974" s="69" t="e" cm="1">
        <f t="array" ref="AJ974">_xlfn.XLOOKUP(Table1[[#This Row],[5 cm2 cell test code]:[5 cm2 cell test code]],[1]!Table1[[Test code]:[Test code]],[1]!Table1[DIW conductivity (µS/cm)],"",0)</f>
        <v>#REF!</v>
      </c>
    </row>
    <row r="975" spans="1:36">
      <c r="A975" s="81"/>
      <c r="U975" s="101"/>
      <c r="V975" s="101"/>
      <c r="W975" s="69" t="e" cm="1">
        <f t="array" ref="W975">_xlfn.XLOOKUP(Table1[[#This Row],[5 cm2 cell test code]:[5 cm2 cell test code]],[1]!Table1[[Test code]:[Test code]],[1]!Table1[i @ 1.8 V DIW (A/cm2)],"",0)</f>
        <v>#REF!</v>
      </c>
      <c r="X975" s="69" t="e" cm="1">
        <f t="array" ref="X975">_xlfn.XLOOKUP(Table1[[#This Row],[5 cm2 cell test code]:[5 cm2 cell test code]],[1]!Table1[[Test code]:[Test code]],[1]!Table1[i @ 1.8 V 10 mM KOH (A/cm2)],"",0)</f>
        <v>#REF!</v>
      </c>
      <c r="Y975" s="69" t="e" cm="1">
        <f t="array" ref="Y975">_xlfn.XLOOKUP(Table1[[#This Row],[5 cm2 cell test code]:[5 cm2 cell test code]],[1]!Table1[[Test code]:[Test code]],[1]!Table1[3-E ƞ at 20mAcm-2 (mV)],"",0)</f>
        <v>#REF!</v>
      </c>
      <c r="Z975" s="69" t="e" cm="1">
        <f t="array" ref="Z975">_xlfn.XLOOKUP(Table1[[#This Row],[5 cm2 cell test code]:[5 cm2 cell test code]],[1]!Table1[[Test code]:[Test code]],[1]!Table1[3-E Tafel slope (mV/dec)],"",0)</f>
        <v>#REF!</v>
      </c>
      <c r="AA975" s="69" t="e" cm="1">
        <f t="array" ref="AA975">_xlfn.XLOOKUP(Table1[[#This Row],[5 cm2 cell test code]:[5 cm2 cell test code]],[1]!Table1[[Test code]:[Test code]],[1]!Table1[E @ 100 mA/cm2 DIW/V],"",0)</f>
        <v>#REF!</v>
      </c>
      <c r="AB975" s="69" t="e" cm="1">
        <f t="array" ref="AB975">_xlfn.XLOOKUP(Table1[[#This Row],[5 cm2 cell test code]:[5 cm2 cell test code]],[1]!Table1[[Test code]:[Test code]],[1]!Table1[E @ 100 mA/cm2 10 mM KOH/V],"",0)</f>
        <v>#REF!</v>
      </c>
      <c r="AC975" s="69" t="e" cm="1">
        <f t="array" ref="AC975">_xlfn.XLOOKUP(Table1[[#This Row],[5 cm2 cell test code]:[5 cm2 cell test code]],[1]!Table1[[Test code]:[Test code]],[1]!Table1[Anode ICR/mOhm],"",0)</f>
        <v>#REF!</v>
      </c>
      <c r="AD975" s="69" t="e" cm="1">
        <f t="array" ref="AD975">_xlfn.XLOOKUP(Table1[[#This Row],[5 cm2 cell test code]:[5 cm2 cell test code]],[1]!Table1[[Test code]:[Test code]],[1]!Table1[HFR DIW/ mOhm cm2],"",0)</f>
        <v>#REF!</v>
      </c>
      <c r="AE975" s="69" t="e" cm="1">
        <f t="array" ref="AE975">_xlfn.XLOOKUP(Table1[[#This Row],[5 cm2 cell test code]:[5 cm2 cell test code]],[1]!Table1[[Test code]:[Test code]],[1]!Table1[HFR 10 mM KOH/ mOhm cm2],"",0)</f>
        <v>#REF!</v>
      </c>
      <c r="AF975" s="69" t="e" cm="1">
        <f t="array" ref="AF975">_xlfn.XLOOKUP(Table1[[#This Row],[5 cm2 cell test code]:[5 cm2 cell test code]],[1]!Table1[[Test code]:[Test code]],[1]!Table1[Ionic resistance DIW/Ohm cm2],"",0)</f>
        <v>#REF!</v>
      </c>
      <c r="AG975" s="69" t="e" cm="1">
        <f t="array" ref="AG975">_xlfn.XLOOKUP(Table1[[#This Row],[5 cm2 cell test code]:[5 cm2 cell test code]],[1]!Table1[[Test code]:[Test code]],[1]!Table1[Q_int_frac DIW],"",0)</f>
        <v>#REF!</v>
      </c>
      <c r="AH975" s="69" t="e" cm="1">
        <f t="array" ref="AH975">_xlfn.XLOOKUP(Table1[[#This Row],[5 cm2 cell test code]:[5 cm2 cell test code]],[1]!Table1[[Test code]:[Test code]],[1]!Table1[Ionic resistance 10 mM KOH/Ohm cm2],"",0)</f>
        <v>#REF!</v>
      </c>
      <c r="AI975" s="69" t="e" cm="1">
        <f t="array" ref="AI975">_xlfn.XLOOKUP(Table1[[#This Row],[5 cm2 cell test code]:[5 cm2 cell test code]],[1]!Table1[[Test code]:[Test code]],[1]!Table1[Q_int_frac DIW 10 mM KOH],"",0)</f>
        <v>#REF!</v>
      </c>
      <c r="AJ975" s="69" t="e" cm="1">
        <f t="array" ref="AJ975">_xlfn.XLOOKUP(Table1[[#This Row],[5 cm2 cell test code]:[5 cm2 cell test code]],[1]!Table1[[Test code]:[Test code]],[1]!Table1[DIW conductivity (µS/cm)],"",0)</f>
        <v>#REF!</v>
      </c>
    </row>
    <row r="976" spans="1:36">
      <c r="A976" s="81"/>
      <c r="U976" s="101"/>
      <c r="V976" s="101"/>
      <c r="W976" s="69" t="e" cm="1">
        <f t="array" ref="W976">_xlfn.XLOOKUP(Table1[[#This Row],[5 cm2 cell test code]:[5 cm2 cell test code]],[1]!Table1[[Test code]:[Test code]],[1]!Table1[i @ 1.8 V DIW (A/cm2)],"",0)</f>
        <v>#REF!</v>
      </c>
      <c r="X976" s="69" t="e" cm="1">
        <f t="array" ref="X976">_xlfn.XLOOKUP(Table1[[#This Row],[5 cm2 cell test code]:[5 cm2 cell test code]],[1]!Table1[[Test code]:[Test code]],[1]!Table1[i @ 1.8 V 10 mM KOH (A/cm2)],"",0)</f>
        <v>#REF!</v>
      </c>
      <c r="Y976" s="69" t="e" cm="1">
        <f t="array" ref="Y976">_xlfn.XLOOKUP(Table1[[#This Row],[5 cm2 cell test code]:[5 cm2 cell test code]],[1]!Table1[[Test code]:[Test code]],[1]!Table1[3-E ƞ at 20mAcm-2 (mV)],"",0)</f>
        <v>#REF!</v>
      </c>
      <c r="Z976" s="69" t="e" cm="1">
        <f t="array" ref="Z976">_xlfn.XLOOKUP(Table1[[#This Row],[5 cm2 cell test code]:[5 cm2 cell test code]],[1]!Table1[[Test code]:[Test code]],[1]!Table1[3-E Tafel slope (mV/dec)],"",0)</f>
        <v>#REF!</v>
      </c>
      <c r="AA976" s="69" t="e" cm="1">
        <f t="array" ref="AA976">_xlfn.XLOOKUP(Table1[[#This Row],[5 cm2 cell test code]:[5 cm2 cell test code]],[1]!Table1[[Test code]:[Test code]],[1]!Table1[E @ 100 mA/cm2 DIW/V],"",0)</f>
        <v>#REF!</v>
      </c>
      <c r="AB976" s="69" t="e" cm="1">
        <f t="array" ref="AB976">_xlfn.XLOOKUP(Table1[[#This Row],[5 cm2 cell test code]:[5 cm2 cell test code]],[1]!Table1[[Test code]:[Test code]],[1]!Table1[E @ 100 mA/cm2 10 mM KOH/V],"",0)</f>
        <v>#REF!</v>
      </c>
      <c r="AC976" s="69" t="e" cm="1">
        <f t="array" ref="AC976">_xlfn.XLOOKUP(Table1[[#This Row],[5 cm2 cell test code]:[5 cm2 cell test code]],[1]!Table1[[Test code]:[Test code]],[1]!Table1[Anode ICR/mOhm],"",0)</f>
        <v>#REF!</v>
      </c>
      <c r="AD976" s="69" t="e" cm="1">
        <f t="array" ref="AD976">_xlfn.XLOOKUP(Table1[[#This Row],[5 cm2 cell test code]:[5 cm2 cell test code]],[1]!Table1[[Test code]:[Test code]],[1]!Table1[HFR DIW/ mOhm cm2],"",0)</f>
        <v>#REF!</v>
      </c>
      <c r="AE976" s="69" t="e" cm="1">
        <f t="array" ref="AE976">_xlfn.XLOOKUP(Table1[[#This Row],[5 cm2 cell test code]:[5 cm2 cell test code]],[1]!Table1[[Test code]:[Test code]],[1]!Table1[HFR 10 mM KOH/ mOhm cm2],"",0)</f>
        <v>#REF!</v>
      </c>
      <c r="AF976" s="69" t="e" cm="1">
        <f t="array" ref="AF976">_xlfn.XLOOKUP(Table1[[#This Row],[5 cm2 cell test code]:[5 cm2 cell test code]],[1]!Table1[[Test code]:[Test code]],[1]!Table1[Ionic resistance DIW/Ohm cm2],"",0)</f>
        <v>#REF!</v>
      </c>
      <c r="AG976" s="69" t="e" cm="1">
        <f t="array" ref="AG976">_xlfn.XLOOKUP(Table1[[#This Row],[5 cm2 cell test code]:[5 cm2 cell test code]],[1]!Table1[[Test code]:[Test code]],[1]!Table1[Q_int_frac DIW],"",0)</f>
        <v>#REF!</v>
      </c>
      <c r="AH976" s="69" t="e" cm="1">
        <f t="array" ref="AH976">_xlfn.XLOOKUP(Table1[[#This Row],[5 cm2 cell test code]:[5 cm2 cell test code]],[1]!Table1[[Test code]:[Test code]],[1]!Table1[Ionic resistance 10 mM KOH/Ohm cm2],"",0)</f>
        <v>#REF!</v>
      </c>
      <c r="AI976" s="69" t="e" cm="1">
        <f t="array" ref="AI976">_xlfn.XLOOKUP(Table1[[#This Row],[5 cm2 cell test code]:[5 cm2 cell test code]],[1]!Table1[[Test code]:[Test code]],[1]!Table1[Q_int_frac DIW 10 mM KOH],"",0)</f>
        <v>#REF!</v>
      </c>
      <c r="AJ976" s="69" t="e" cm="1">
        <f t="array" ref="AJ976">_xlfn.XLOOKUP(Table1[[#This Row],[5 cm2 cell test code]:[5 cm2 cell test code]],[1]!Table1[[Test code]:[Test code]],[1]!Table1[DIW conductivity (µS/cm)],"",0)</f>
        <v>#REF!</v>
      </c>
    </row>
    <row r="977" spans="1:36">
      <c r="A977" s="81"/>
      <c r="U977" s="101"/>
      <c r="V977" s="101"/>
      <c r="W977" s="69" t="e" cm="1">
        <f t="array" ref="W977">_xlfn.XLOOKUP(Table1[[#This Row],[5 cm2 cell test code]:[5 cm2 cell test code]],[1]!Table1[[Test code]:[Test code]],[1]!Table1[i @ 1.8 V DIW (A/cm2)],"",0)</f>
        <v>#REF!</v>
      </c>
      <c r="X977" s="69" t="e" cm="1">
        <f t="array" ref="X977">_xlfn.XLOOKUP(Table1[[#This Row],[5 cm2 cell test code]:[5 cm2 cell test code]],[1]!Table1[[Test code]:[Test code]],[1]!Table1[i @ 1.8 V 10 mM KOH (A/cm2)],"",0)</f>
        <v>#REF!</v>
      </c>
      <c r="Y977" s="69" t="e" cm="1">
        <f t="array" ref="Y977">_xlfn.XLOOKUP(Table1[[#This Row],[5 cm2 cell test code]:[5 cm2 cell test code]],[1]!Table1[[Test code]:[Test code]],[1]!Table1[3-E ƞ at 20mAcm-2 (mV)],"",0)</f>
        <v>#REF!</v>
      </c>
      <c r="Z977" s="69" t="e" cm="1">
        <f t="array" ref="Z977">_xlfn.XLOOKUP(Table1[[#This Row],[5 cm2 cell test code]:[5 cm2 cell test code]],[1]!Table1[[Test code]:[Test code]],[1]!Table1[3-E Tafel slope (mV/dec)],"",0)</f>
        <v>#REF!</v>
      </c>
      <c r="AA977" s="69" t="e" cm="1">
        <f t="array" ref="AA977">_xlfn.XLOOKUP(Table1[[#This Row],[5 cm2 cell test code]:[5 cm2 cell test code]],[1]!Table1[[Test code]:[Test code]],[1]!Table1[E @ 100 mA/cm2 DIW/V],"",0)</f>
        <v>#REF!</v>
      </c>
      <c r="AB977" s="69" t="e" cm="1">
        <f t="array" ref="AB977">_xlfn.XLOOKUP(Table1[[#This Row],[5 cm2 cell test code]:[5 cm2 cell test code]],[1]!Table1[[Test code]:[Test code]],[1]!Table1[E @ 100 mA/cm2 10 mM KOH/V],"",0)</f>
        <v>#REF!</v>
      </c>
      <c r="AC977" s="69" t="e" cm="1">
        <f t="array" ref="AC977">_xlfn.XLOOKUP(Table1[[#This Row],[5 cm2 cell test code]:[5 cm2 cell test code]],[1]!Table1[[Test code]:[Test code]],[1]!Table1[Anode ICR/mOhm],"",0)</f>
        <v>#REF!</v>
      </c>
      <c r="AD977" s="69" t="e" cm="1">
        <f t="array" ref="AD977">_xlfn.XLOOKUP(Table1[[#This Row],[5 cm2 cell test code]:[5 cm2 cell test code]],[1]!Table1[[Test code]:[Test code]],[1]!Table1[HFR DIW/ mOhm cm2],"",0)</f>
        <v>#REF!</v>
      </c>
      <c r="AE977" s="69" t="e" cm="1">
        <f t="array" ref="AE977">_xlfn.XLOOKUP(Table1[[#This Row],[5 cm2 cell test code]:[5 cm2 cell test code]],[1]!Table1[[Test code]:[Test code]],[1]!Table1[HFR 10 mM KOH/ mOhm cm2],"",0)</f>
        <v>#REF!</v>
      </c>
      <c r="AF977" s="69" t="e" cm="1">
        <f t="array" ref="AF977">_xlfn.XLOOKUP(Table1[[#This Row],[5 cm2 cell test code]:[5 cm2 cell test code]],[1]!Table1[[Test code]:[Test code]],[1]!Table1[Ionic resistance DIW/Ohm cm2],"",0)</f>
        <v>#REF!</v>
      </c>
      <c r="AG977" s="69" t="e" cm="1">
        <f t="array" ref="AG977">_xlfn.XLOOKUP(Table1[[#This Row],[5 cm2 cell test code]:[5 cm2 cell test code]],[1]!Table1[[Test code]:[Test code]],[1]!Table1[Q_int_frac DIW],"",0)</f>
        <v>#REF!</v>
      </c>
      <c r="AH977" s="69" t="e" cm="1">
        <f t="array" ref="AH977">_xlfn.XLOOKUP(Table1[[#This Row],[5 cm2 cell test code]:[5 cm2 cell test code]],[1]!Table1[[Test code]:[Test code]],[1]!Table1[Ionic resistance 10 mM KOH/Ohm cm2],"",0)</f>
        <v>#REF!</v>
      </c>
      <c r="AI977" s="69" t="e" cm="1">
        <f t="array" ref="AI977">_xlfn.XLOOKUP(Table1[[#This Row],[5 cm2 cell test code]:[5 cm2 cell test code]],[1]!Table1[[Test code]:[Test code]],[1]!Table1[Q_int_frac DIW 10 mM KOH],"",0)</f>
        <v>#REF!</v>
      </c>
      <c r="AJ977" s="69" t="e" cm="1">
        <f t="array" ref="AJ977">_xlfn.XLOOKUP(Table1[[#This Row],[5 cm2 cell test code]:[5 cm2 cell test code]],[1]!Table1[[Test code]:[Test code]],[1]!Table1[DIW conductivity (µS/cm)],"",0)</f>
        <v>#REF!</v>
      </c>
    </row>
    <row r="978" spans="1:36">
      <c r="A978" s="81"/>
      <c r="U978" s="101"/>
      <c r="V978" s="101"/>
      <c r="W978" s="69" t="e" cm="1">
        <f t="array" ref="W978">_xlfn.XLOOKUP(Table1[[#This Row],[5 cm2 cell test code]:[5 cm2 cell test code]],[1]!Table1[[Test code]:[Test code]],[1]!Table1[i @ 1.8 V DIW (A/cm2)],"",0)</f>
        <v>#REF!</v>
      </c>
      <c r="X978" s="69" t="e" cm="1">
        <f t="array" ref="X978">_xlfn.XLOOKUP(Table1[[#This Row],[5 cm2 cell test code]:[5 cm2 cell test code]],[1]!Table1[[Test code]:[Test code]],[1]!Table1[i @ 1.8 V 10 mM KOH (A/cm2)],"",0)</f>
        <v>#REF!</v>
      </c>
      <c r="Y978" s="69" t="e" cm="1">
        <f t="array" ref="Y978">_xlfn.XLOOKUP(Table1[[#This Row],[5 cm2 cell test code]:[5 cm2 cell test code]],[1]!Table1[[Test code]:[Test code]],[1]!Table1[3-E ƞ at 20mAcm-2 (mV)],"",0)</f>
        <v>#REF!</v>
      </c>
      <c r="Z978" s="69" t="e" cm="1">
        <f t="array" ref="Z978">_xlfn.XLOOKUP(Table1[[#This Row],[5 cm2 cell test code]:[5 cm2 cell test code]],[1]!Table1[[Test code]:[Test code]],[1]!Table1[3-E Tafel slope (mV/dec)],"",0)</f>
        <v>#REF!</v>
      </c>
      <c r="AA978" s="69" t="e" cm="1">
        <f t="array" ref="AA978">_xlfn.XLOOKUP(Table1[[#This Row],[5 cm2 cell test code]:[5 cm2 cell test code]],[1]!Table1[[Test code]:[Test code]],[1]!Table1[E @ 100 mA/cm2 DIW/V],"",0)</f>
        <v>#REF!</v>
      </c>
      <c r="AB978" s="69" t="e" cm="1">
        <f t="array" ref="AB978">_xlfn.XLOOKUP(Table1[[#This Row],[5 cm2 cell test code]:[5 cm2 cell test code]],[1]!Table1[[Test code]:[Test code]],[1]!Table1[E @ 100 mA/cm2 10 mM KOH/V],"",0)</f>
        <v>#REF!</v>
      </c>
      <c r="AC978" s="69" t="e" cm="1">
        <f t="array" ref="AC978">_xlfn.XLOOKUP(Table1[[#This Row],[5 cm2 cell test code]:[5 cm2 cell test code]],[1]!Table1[[Test code]:[Test code]],[1]!Table1[Anode ICR/mOhm],"",0)</f>
        <v>#REF!</v>
      </c>
      <c r="AD978" s="69" t="e" cm="1">
        <f t="array" ref="AD978">_xlfn.XLOOKUP(Table1[[#This Row],[5 cm2 cell test code]:[5 cm2 cell test code]],[1]!Table1[[Test code]:[Test code]],[1]!Table1[HFR DIW/ mOhm cm2],"",0)</f>
        <v>#REF!</v>
      </c>
      <c r="AE978" s="69" t="e" cm="1">
        <f t="array" ref="AE978">_xlfn.XLOOKUP(Table1[[#This Row],[5 cm2 cell test code]:[5 cm2 cell test code]],[1]!Table1[[Test code]:[Test code]],[1]!Table1[HFR 10 mM KOH/ mOhm cm2],"",0)</f>
        <v>#REF!</v>
      </c>
      <c r="AF978" s="69" t="e" cm="1">
        <f t="array" ref="AF978">_xlfn.XLOOKUP(Table1[[#This Row],[5 cm2 cell test code]:[5 cm2 cell test code]],[1]!Table1[[Test code]:[Test code]],[1]!Table1[Ionic resistance DIW/Ohm cm2],"",0)</f>
        <v>#REF!</v>
      </c>
      <c r="AG978" s="69" t="e" cm="1">
        <f t="array" ref="AG978">_xlfn.XLOOKUP(Table1[[#This Row],[5 cm2 cell test code]:[5 cm2 cell test code]],[1]!Table1[[Test code]:[Test code]],[1]!Table1[Q_int_frac DIW],"",0)</f>
        <v>#REF!</v>
      </c>
      <c r="AH978" s="69" t="e" cm="1">
        <f t="array" ref="AH978">_xlfn.XLOOKUP(Table1[[#This Row],[5 cm2 cell test code]:[5 cm2 cell test code]],[1]!Table1[[Test code]:[Test code]],[1]!Table1[Ionic resistance 10 mM KOH/Ohm cm2],"",0)</f>
        <v>#REF!</v>
      </c>
      <c r="AI978" s="69" t="e" cm="1">
        <f t="array" ref="AI978">_xlfn.XLOOKUP(Table1[[#This Row],[5 cm2 cell test code]:[5 cm2 cell test code]],[1]!Table1[[Test code]:[Test code]],[1]!Table1[Q_int_frac DIW 10 mM KOH],"",0)</f>
        <v>#REF!</v>
      </c>
      <c r="AJ978" s="69" t="e" cm="1">
        <f t="array" ref="AJ978">_xlfn.XLOOKUP(Table1[[#This Row],[5 cm2 cell test code]:[5 cm2 cell test code]],[1]!Table1[[Test code]:[Test code]],[1]!Table1[DIW conductivity (µS/cm)],"",0)</f>
        <v>#REF!</v>
      </c>
    </row>
    <row r="979" spans="1:36">
      <c r="A979" s="81"/>
      <c r="U979" s="101"/>
      <c r="V979" s="101"/>
      <c r="W979" s="69" t="e" cm="1">
        <f t="array" ref="W979">_xlfn.XLOOKUP(Table1[[#This Row],[5 cm2 cell test code]:[5 cm2 cell test code]],[1]!Table1[[Test code]:[Test code]],[1]!Table1[i @ 1.8 V DIW (A/cm2)],"",0)</f>
        <v>#REF!</v>
      </c>
      <c r="X979" s="69" t="e" cm="1">
        <f t="array" ref="X979">_xlfn.XLOOKUP(Table1[[#This Row],[5 cm2 cell test code]:[5 cm2 cell test code]],[1]!Table1[[Test code]:[Test code]],[1]!Table1[i @ 1.8 V 10 mM KOH (A/cm2)],"",0)</f>
        <v>#REF!</v>
      </c>
      <c r="Y979" s="69" t="e" cm="1">
        <f t="array" ref="Y979">_xlfn.XLOOKUP(Table1[[#This Row],[5 cm2 cell test code]:[5 cm2 cell test code]],[1]!Table1[[Test code]:[Test code]],[1]!Table1[3-E ƞ at 20mAcm-2 (mV)],"",0)</f>
        <v>#REF!</v>
      </c>
      <c r="Z979" s="69" t="e" cm="1">
        <f t="array" ref="Z979">_xlfn.XLOOKUP(Table1[[#This Row],[5 cm2 cell test code]:[5 cm2 cell test code]],[1]!Table1[[Test code]:[Test code]],[1]!Table1[3-E Tafel slope (mV/dec)],"",0)</f>
        <v>#REF!</v>
      </c>
      <c r="AA979" s="69" t="e" cm="1">
        <f t="array" ref="AA979">_xlfn.XLOOKUP(Table1[[#This Row],[5 cm2 cell test code]:[5 cm2 cell test code]],[1]!Table1[[Test code]:[Test code]],[1]!Table1[E @ 100 mA/cm2 DIW/V],"",0)</f>
        <v>#REF!</v>
      </c>
      <c r="AB979" s="69" t="e" cm="1">
        <f t="array" ref="AB979">_xlfn.XLOOKUP(Table1[[#This Row],[5 cm2 cell test code]:[5 cm2 cell test code]],[1]!Table1[[Test code]:[Test code]],[1]!Table1[E @ 100 mA/cm2 10 mM KOH/V],"",0)</f>
        <v>#REF!</v>
      </c>
      <c r="AC979" s="69" t="e" cm="1">
        <f t="array" ref="AC979">_xlfn.XLOOKUP(Table1[[#This Row],[5 cm2 cell test code]:[5 cm2 cell test code]],[1]!Table1[[Test code]:[Test code]],[1]!Table1[Anode ICR/mOhm],"",0)</f>
        <v>#REF!</v>
      </c>
      <c r="AD979" s="69" t="e" cm="1">
        <f t="array" ref="AD979">_xlfn.XLOOKUP(Table1[[#This Row],[5 cm2 cell test code]:[5 cm2 cell test code]],[1]!Table1[[Test code]:[Test code]],[1]!Table1[HFR DIW/ mOhm cm2],"",0)</f>
        <v>#REF!</v>
      </c>
      <c r="AE979" s="69" t="e" cm="1">
        <f t="array" ref="AE979">_xlfn.XLOOKUP(Table1[[#This Row],[5 cm2 cell test code]:[5 cm2 cell test code]],[1]!Table1[[Test code]:[Test code]],[1]!Table1[HFR 10 mM KOH/ mOhm cm2],"",0)</f>
        <v>#REF!</v>
      </c>
      <c r="AF979" s="69" t="e" cm="1">
        <f t="array" ref="AF979">_xlfn.XLOOKUP(Table1[[#This Row],[5 cm2 cell test code]:[5 cm2 cell test code]],[1]!Table1[[Test code]:[Test code]],[1]!Table1[Ionic resistance DIW/Ohm cm2],"",0)</f>
        <v>#REF!</v>
      </c>
      <c r="AG979" s="69" t="e" cm="1">
        <f t="array" ref="AG979">_xlfn.XLOOKUP(Table1[[#This Row],[5 cm2 cell test code]:[5 cm2 cell test code]],[1]!Table1[[Test code]:[Test code]],[1]!Table1[Q_int_frac DIW],"",0)</f>
        <v>#REF!</v>
      </c>
      <c r="AH979" s="69" t="e" cm="1">
        <f t="array" ref="AH979">_xlfn.XLOOKUP(Table1[[#This Row],[5 cm2 cell test code]:[5 cm2 cell test code]],[1]!Table1[[Test code]:[Test code]],[1]!Table1[Ionic resistance 10 mM KOH/Ohm cm2],"",0)</f>
        <v>#REF!</v>
      </c>
      <c r="AI979" s="69" t="e" cm="1">
        <f t="array" ref="AI979">_xlfn.XLOOKUP(Table1[[#This Row],[5 cm2 cell test code]:[5 cm2 cell test code]],[1]!Table1[[Test code]:[Test code]],[1]!Table1[Q_int_frac DIW 10 mM KOH],"",0)</f>
        <v>#REF!</v>
      </c>
      <c r="AJ979" s="69" t="e" cm="1">
        <f t="array" ref="AJ979">_xlfn.XLOOKUP(Table1[[#This Row],[5 cm2 cell test code]:[5 cm2 cell test code]],[1]!Table1[[Test code]:[Test code]],[1]!Table1[DIW conductivity (µS/cm)],"",0)</f>
        <v>#REF!</v>
      </c>
    </row>
    <row r="980" spans="1:36">
      <c r="A980" s="81"/>
      <c r="U980" s="101"/>
      <c r="V980" s="101"/>
      <c r="W980" s="69" t="e" cm="1">
        <f t="array" ref="W980">_xlfn.XLOOKUP(Table1[[#This Row],[5 cm2 cell test code]:[5 cm2 cell test code]],[1]!Table1[[Test code]:[Test code]],[1]!Table1[i @ 1.8 V DIW (A/cm2)],"",0)</f>
        <v>#REF!</v>
      </c>
      <c r="X980" s="69" t="e" cm="1">
        <f t="array" ref="X980">_xlfn.XLOOKUP(Table1[[#This Row],[5 cm2 cell test code]:[5 cm2 cell test code]],[1]!Table1[[Test code]:[Test code]],[1]!Table1[i @ 1.8 V 10 mM KOH (A/cm2)],"",0)</f>
        <v>#REF!</v>
      </c>
      <c r="Y980" s="69" t="e" cm="1">
        <f t="array" ref="Y980">_xlfn.XLOOKUP(Table1[[#This Row],[5 cm2 cell test code]:[5 cm2 cell test code]],[1]!Table1[[Test code]:[Test code]],[1]!Table1[3-E ƞ at 20mAcm-2 (mV)],"",0)</f>
        <v>#REF!</v>
      </c>
      <c r="Z980" s="69" t="e" cm="1">
        <f t="array" ref="Z980">_xlfn.XLOOKUP(Table1[[#This Row],[5 cm2 cell test code]:[5 cm2 cell test code]],[1]!Table1[[Test code]:[Test code]],[1]!Table1[3-E Tafel slope (mV/dec)],"",0)</f>
        <v>#REF!</v>
      </c>
      <c r="AA980" s="69" t="e" cm="1">
        <f t="array" ref="AA980">_xlfn.XLOOKUP(Table1[[#This Row],[5 cm2 cell test code]:[5 cm2 cell test code]],[1]!Table1[[Test code]:[Test code]],[1]!Table1[E @ 100 mA/cm2 DIW/V],"",0)</f>
        <v>#REF!</v>
      </c>
      <c r="AB980" s="69" t="e" cm="1">
        <f t="array" ref="AB980">_xlfn.XLOOKUP(Table1[[#This Row],[5 cm2 cell test code]:[5 cm2 cell test code]],[1]!Table1[[Test code]:[Test code]],[1]!Table1[E @ 100 mA/cm2 10 mM KOH/V],"",0)</f>
        <v>#REF!</v>
      </c>
      <c r="AC980" s="69" t="e" cm="1">
        <f t="array" ref="AC980">_xlfn.XLOOKUP(Table1[[#This Row],[5 cm2 cell test code]:[5 cm2 cell test code]],[1]!Table1[[Test code]:[Test code]],[1]!Table1[Anode ICR/mOhm],"",0)</f>
        <v>#REF!</v>
      </c>
      <c r="AD980" s="69" t="e" cm="1">
        <f t="array" ref="AD980">_xlfn.XLOOKUP(Table1[[#This Row],[5 cm2 cell test code]:[5 cm2 cell test code]],[1]!Table1[[Test code]:[Test code]],[1]!Table1[HFR DIW/ mOhm cm2],"",0)</f>
        <v>#REF!</v>
      </c>
      <c r="AE980" s="69" t="e" cm="1">
        <f t="array" ref="AE980">_xlfn.XLOOKUP(Table1[[#This Row],[5 cm2 cell test code]:[5 cm2 cell test code]],[1]!Table1[[Test code]:[Test code]],[1]!Table1[HFR 10 mM KOH/ mOhm cm2],"",0)</f>
        <v>#REF!</v>
      </c>
      <c r="AF980" s="69" t="e" cm="1">
        <f t="array" ref="AF980">_xlfn.XLOOKUP(Table1[[#This Row],[5 cm2 cell test code]:[5 cm2 cell test code]],[1]!Table1[[Test code]:[Test code]],[1]!Table1[Ionic resistance DIW/Ohm cm2],"",0)</f>
        <v>#REF!</v>
      </c>
      <c r="AG980" s="69" t="e" cm="1">
        <f t="array" ref="AG980">_xlfn.XLOOKUP(Table1[[#This Row],[5 cm2 cell test code]:[5 cm2 cell test code]],[1]!Table1[[Test code]:[Test code]],[1]!Table1[Q_int_frac DIW],"",0)</f>
        <v>#REF!</v>
      </c>
      <c r="AH980" s="69" t="e" cm="1">
        <f t="array" ref="AH980">_xlfn.XLOOKUP(Table1[[#This Row],[5 cm2 cell test code]:[5 cm2 cell test code]],[1]!Table1[[Test code]:[Test code]],[1]!Table1[Ionic resistance 10 mM KOH/Ohm cm2],"",0)</f>
        <v>#REF!</v>
      </c>
      <c r="AI980" s="69" t="e" cm="1">
        <f t="array" ref="AI980">_xlfn.XLOOKUP(Table1[[#This Row],[5 cm2 cell test code]:[5 cm2 cell test code]],[1]!Table1[[Test code]:[Test code]],[1]!Table1[Q_int_frac DIW 10 mM KOH],"",0)</f>
        <v>#REF!</v>
      </c>
      <c r="AJ980" s="69" t="e" cm="1">
        <f t="array" ref="AJ980">_xlfn.XLOOKUP(Table1[[#This Row],[5 cm2 cell test code]:[5 cm2 cell test code]],[1]!Table1[[Test code]:[Test code]],[1]!Table1[DIW conductivity (µS/cm)],"",0)</f>
        <v>#REF!</v>
      </c>
    </row>
    <row r="981" spans="1:36">
      <c r="A981" s="81"/>
      <c r="U981" s="101"/>
      <c r="V981" s="101"/>
      <c r="W981" s="69" t="e" cm="1">
        <f t="array" ref="W981">_xlfn.XLOOKUP(Table1[[#This Row],[5 cm2 cell test code]:[5 cm2 cell test code]],[1]!Table1[[Test code]:[Test code]],[1]!Table1[i @ 1.8 V DIW (A/cm2)],"",0)</f>
        <v>#REF!</v>
      </c>
      <c r="X981" s="69" t="e" cm="1">
        <f t="array" ref="X981">_xlfn.XLOOKUP(Table1[[#This Row],[5 cm2 cell test code]:[5 cm2 cell test code]],[1]!Table1[[Test code]:[Test code]],[1]!Table1[i @ 1.8 V 10 mM KOH (A/cm2)],"",0)</f>
        <v>#REF!</v>
      </c>
      <c r="Y981" s="69" t="e" cm="1">
        <f t="array" ref="Y981">_xlfn.XLOOKUP(Table1[[#This Row],[5 cm2 cell test code]:[5 cm2 cell test code]],[1]!Table1[[Test code]:[Test code]],[1]!Table1[3-E ƞ at 20mAcm-2 (mV)],"",0)</f>
        <v>#REF!</v>
      </c>
      <c r="Z981" s="69" t="e" cm="1">
        <f t="array" ref="Z981">_xlfn.XLOOKUP(Table1[[#This Row],[5 cm2 cell test code]:[5 cm2 cell test code]],[1]!Table1[[Test code]:[Test code]],[1]!Table1[3-E Tafel slope (mV/dec)],"",0)</f>
        <v>#REF!</v>
      </c>
      <c r="AA981" s="69" t="e" cm="1">
        <f t="array" ref="AA981">_xlfn.XLOOKUP(Table1[[#This Row],[5 cm2 cell test code]:[5 cm2 cell test code]],[1]!Table1[[Test code]:[Test code]],[1]!Table1[E @ 100 mA/cm2 DIW/V],"",0)</f>
        <v>#REF!</v>
      </c>
      <c r="AB981" s="69" t="e" cm="1">
        <f t="array" ref="AB981">_xlfn.XLOOKUP(Table1[[#This Row],[5 cm2 cell test code]:[5 cm2 cell test code]],[1]!Table1[[Test code]:[Test code]],[1]!Table1[E @ 100 mA/cm2 10 mM KOH/V],"",0)</f>
        <v>#REF!</v>
      </c>
      <c r="AC981" s="69" t="e" cm="1">
        <f t="array" ref="AC981">_xlfn.XLOOKUP(Table1[[#This Row],[5 cm2 cell test code]:[5 cm2 cell test code]],[1]!Table1[[Test code]:[Test code]],[1]!Table1[Anode ICR/mOhm],"",0)</f>
        <v>#REF!</v>
      </c>
      <c r="AD981" s="69" t="e" cm="1">
        <f t="array" ref="AD981">_xlfn.XLOOKUP(Table1[[#This Row],[5 cm2 cell test code]:[5 cm2 cell test code]],[1]!Table1[[Test code]:[Test code]],[1]!Table1[HFR DIW/ mOhm cm2],"",0)</f>
        <v>#REF!</v>
      </c>
      <c r="AE981" s="69" t="e" cm="1">
        <f t="array" ref="AE981">_xlfn.XLOOKUP(Table1[[#This Row],[5 cm2 cell test code]:[5 cm2 cell test code]],[1]!Table1[[Test code]:[Test code]],[1]!Table1[HFR 10 mM KOH/ mOhm cm2],"",0)</f>
        <v>#REF!</v>
      </c>
      <c r="AF981" s="69" t="e" cm="1">
        <f t="array" ref="AF981">_xlfn.XLOOKUP(Table1[[#This Row],[5 cm2 cell test code]:[5 cm2 cell test code]],[1]!Table1[[Test code]:[Test code]],[1]!Table1[Ionic resistance DIW/Ohm cm2],"",0)</f>
        <v>#REF!</v>
      </c>
      <c r="AG981" s="69" t="e" cm="1">
        <f t="array" ref="AG981">_xlfn.XLOOKUP(Table1[[#This Row],[5 cm2 cell test code]:[5 cm2 cell test code]],[1]!Table1[[Test code]:[Test code]],[1]!Table1[Q_int_frac DIW],"",0)</f>
        <v>#REF!</v>
      </c>
      <c r="AH981" s="69" t="e" cm="1">
        <f t="array" ref="AH981">_xlfn.XLOOKUP(Table1[[#This Row],[5 cm2 cell test code]:[5 cm2 cell test code]],[1]!Table1[[Test code]:[Test code]],[1]!Table1[Ionic resistance 10 mM KOH/Ohm cm2],"",0)</f>
        <v>#REF!</v>
      </c>
      <c r="AI981" s="69" t="e" cm="1">
        <f t="array" ref="AI981">_xlfn.XLOOKUP(Table1[[#This Row],[5 cm2 cell test code]:[5 cm2 cell test code]],[1]!Table1[[Test code]:[Test code]],[1]!Table1[Q_int_frac DIW 10 mM KOH],"",0)</f>
        <v>#REF!</v>
      </c>
      <c r="AJ981" s="69" t="e" cm="1">
        <f t="array" ref="AJ981">_xlfn.XLOOKUP(Table1[[#This Row],[5 cm2 cell test code]:[5 cm2 cell test code]],[1]!Table1[[Test code]:[Test code]],[1]!Table1[DIW conductivity (µS/cm)],"",0)</f>
        <v>#REF!</v>
      </c>
    </row>
    <row r="982" spans="1:36">
      <c r="A982" s="81"/>
      <c r="U982" s="101"/>
      <c r="V982" s="101"/>
      <c r="W982" s="69" t="e" cm="1">
        <f t="array" ref="W982">_xlfn.XLOOKUP(Table1[[#This Row],[5 cm2 cell test code]:[5 cm2 cell test code]],[1]!Table1[[Test code]:[Test code]],[1]!Table1[i @ 1.8 V DIW (A/cm2)],"",0)</f>
        <v>#REF!</v>
      </c>
      <c r="X982" s="69" t="e" cm="1">
        <f t="array" ref="X982">_xlfn.XLOOKUP(Table1[[#This Row],[5 cm2 cell test code]:[5 cm2 cell test code]],[1]!Table1[[Test code]:[Test code]],[1]!Table1[i @ 1.8 V 10 mM KOH (A/cm2)],"",0)</f>
        <v>#REF!</v>
      </c>
      <c r="Y982" s="69" t="e" cm="1">
        <f t="array" ref="Y982">_xlfn.XLOOKUP(Table1[[#This Row],[5 cm2 cell test code]:[5 cm2 cell test code]],[1]!Table1[[Test code]:[Test code]],[1]!Table1[3-E ƞ at 20mAcm-2 (mV)],"",0)</f>
        <v>#REF!</v>
      </c>
      <c r="Z982" s="69" t="e" cm="1">
        <f t="array" ref="Z982">_xlfn.XLOOKUP(Table1[[#This Row],[5 cm2 cell test code]:[5 cm2 cell test code]],[1]!Table1[[Test code]:[Test code]],[1]!Table1[3-E Tafel slope (mV/dec)],"",0)</f>
        <v>#REF!</v>
      </c>
      <c r="AA982" s="69" t="e" cm="1">
        <f t="array" ref="AA982">_xlfn.XLOOKUP(Table1[[#This Row],[5 cm2 cell test code]:[5 cm2 cell test code]],[1]!Table1[[Test code]:[Test code]],[1]!Table1[E @ 100 mA/cm2 DIW/V],"",0)</f>
        <v>#REF!</v>
      </c>
      <c r="AB982" s="69" t="e" cm="1">
        <f t="array" ref="AB982">_xlfn.XLOOKUP(Table1[[#This Row],[5 cm2 cell test code]:[5 cm2 cell test code]],[1]!Table1[[Test code]:[Test code]],[1]!Table1[E @ 100 mA/cm2 10 mM KOH/V],"",0)</f>
        <v>#REF!</v>
      </c>
      <c r="AC982" s="69" t="e" cm="1">
        <f t="array" ref="AC982">_xlfn.XLOOKUP(Table1[[#This Row],[5 cm2 cell test code]:[5 cm2 cell test code]],[1]!Table1[[Test code]:[Test code]],[1]!Table1[Anode ICR/mOhm],"",0)</f>
        <v>#REF!</v>
      </c>
      <c r="AD982" s="69" t="e" cm="1">
        <f t="array" ref="AD982">_xlfn.XLOOKUP(Table1[[#This Row],[5 cm2 cell test code]:[5 cm2 cell test code]],[1]!Table1[[Test code]:[Test code]],[1]!Table1[HFR DIW/ mOhm cm2],"",0)</f>
        <v>#REF!</v>
      </c>
      <c r="AE982" s="69" t="e" cm="1">
        <f t="array" ref="AE982">_xlfn.XLOOKUP(Table1[[#This Row],[5 cm2 cell test code]:[5 cm2 cell test code]],[1]!Table1[[Test code]:[Test code]],[1]!Table1[HFR 10 mM KOH/ mOhm cm2],"",0)</f>
        <v>#REF!</v>
      </c>
      <c r="AF982" s="69" t="e" cm="1">
        <f t="array" ref="AF982">_xlfn.XLOOKUP(Table1[[#This Row],[5 cm2 cell test code]:[5 cm2 cell test code]],[1]!Table1[[Test code]:[Test code]],[1]!Table1[Ionic resistance DIW/Ohm cm2],"",0)</f>
        <v>#REF!</v>
      </c>
      <c r="AG982" s="69" t="e" cm="1">
        <f t="array" ref="AG982">_xlfn.XLOOKUP(Table1[[#This Row],[5 cm2 cell test code]:[5 cm2 cell test code]],[1]!Table1[[Test code]:[Test code]],[1]!Table1[Q_int_frac DIW],"",0)</f>
        <v>#REF!</v>
      </c>
      <c r="AH982" s="69" t="e" cm="1">
        <f t="array" ref="AH982">_xlfn.XLOOKUP(Table1[[#This Row],[5 cm2 cell test code]:[5 cm2 cell test code]],[1]!Table1[[Test code]:[Test code]],[1]!Table1[Ionic resistance 10 mM KOH/Ohm cm2],"",0)</f>
        <v>#REF!</v>
      </c>
      <c r="AI982" s="69" t="e" cm="1">
        <f t="array" ref="AI982">_xlfn.XLOOKUP(Table1[[#This Row],[5 cm2 cell test code]:[5 cm2 cell test code]],[1]!Table1[[Test code]:[Test code]],[1]!Table1[Q_int_frac DIW 10 mM KOH],"",0)</f>
        <v>#REF!</v>
      </c>
      <c r="AJ982" s="69" t="e" cm="1">
        <f t="array" ref="AJ982">_xlfn.XLOOKUP(Table1[[#This Row],[5 cm2 cell test code]:[5 cm2 cell test code]],[1]!Table1[[Test code]:[Test code]],[1]!Table1[DIW conductivity (µS/cm)],"",0)</f>
        <v>#REF!</v>
      </c>
    </row>
    <row r="983" spans="1:36">
      <c r="A983" s="81"/>
      <c r="U983" s="101"/>
      <c r="V983" s="101"/>
      <c r="W983" s="69" t="e" cm="1">
        <f t="array" ref="W983">_xlfn.XLOOKUP(Table1[[#This Row],[5 cm2 cell test code]:[5 cm2 cell test code]],[1]!Table1[[Test code]:[Test code]],[1]!Table1[i @ 1.8 V DIW (A/cm2)],"",0)</f>
        <v>#REF!</v>
      </c>
      <c r="X983" s="69" t="e" cm="1">
        <f t="array" ref="X983">_xlfn.XLOOKUP(Table1[[#This Row],[5 cm2 cell test code]:[5 cm2 cell test code]],[1]!Table1[[Test code]:[Test code]],[1]!Table1[i @ 1.8 V 10 mM KOH (A/cm2)],"",0)</f>
        <v>#REF!</v>
      </c>
      <c r="Y983" s="69" t="e" cm="1">
        <f t="array" ref="Y983">_xlfn.XLOOKUP(Table1[[#This Row],[5 cm2 cell test code]:[5 cm2 cell test code]],[1]!Table1[[Test code]:[Test code]],[1]!Table1[3-E ƞ at 20mAcm-2 (mV)],"",0)</f>
        <v>#REF!</v>
      </c>
      <c r="Z983" s="69" t="e" cm="1">
        <f t="array" ref="Z983">_xlfn.XLOOKUP(Table1[[#This Row],[5 cm2 cell test code]:[5 cm2 cell test code]],[1]!Table1[[Test code]:[Test code]],[1]!Table1[3-E Tafel slope (mV/dec)],"",0)</f>
        <v>#REF!</v>
      </c>
      <c r="AA983" s="69" t="e" cm="1">
        <f t="array" ref="AA983">_xlfn.XLOOKUP(Table1[[#This Row],[5 cm2 cell test code]:[5 cm2 cell test code]],[1]!Table1[[Test code]:[Test code]],[1]!Table1[E @ 100 mA/cm2 DIW/V],"",0)</f>
        <v>#REF!</v>
      </c>
      <c r="AB983" s="69" t="e" cm="1">
        <f t="array" ref="AB983">_xlfn.XLOOKUP(Table1[[#This Row],[5 cm2 cell test code]:[5 cm2 cell test code]],[1]!Table1[[Test code]:[Test code]],[1]!Table1[E @ 100 mA/cm2 10 mM KOH/V],"",0)</f>
        <v>#REF!</v>
      </c>
      <c r="AC983" s="69" t="e" cm="1">
        <f t="array" ref="AC983">_xlfn.XLOOKUP(Table1[[#This Row],[5 cm2 cell test code]:[5 cm2 cell test code]],[1]!Table1[[Test code]:[Test code]],[1]!Table1[Anode ICR/mOhm],"",0)</f>
        <v>#REF!</v>
      </c>
      <c r="AD983" s="69" t="e" cm="1">
        <f t="array" ref="AD983">_xlfn.XLOOKUP(Table1[[#This Row],[5 cm2 cell test code]:[5 cm2 cell test code]],[1]!Table1[[Test code]:[Test code]],[1]!Table1[HFR DIW/ mOhm cm2],"",0)</f>
        <v>#REF!</v>
      </c>
      <c r="AE983" s="69" t="e" cm="1">
        <f t="array" ref="AE983">_xlfn.XLOOKUP(Table1[[#This Row],[5 cm2 cell test code]:[5 cm2 cell test code]],[1]!Table1[[Test code]:[Test code]],[1]!Table1[HFR 10 mM KOH/ mOhm cm2],"",0)</f>
        <v>#REF!</v>
      </c>
      <c r="AF983" s="69" t="e" cm="1">
        <f t="array" ref="AF983">_xlfn.XLOOKUP(Table1[[#This Row],[5 cm2 cell test code]:[5 cm2 cell test code]],[1]!Table1[[Test code]:[Test code]],[1]!Table1[Ionic resistance DIW/Ohm cm2],"",0)</f>
        <v>#REF!</v>
      </c>
      <c r="AG983" s="69" t="e" cm="1">
        <f t="array" ref="AG983">_xlfn.XLOOKUP(Table1[[#This Row],[5 cm2 cell test code]:[5 cm2 cell test code]],[1]!Table1[[Test code]:[Test code]],[1]!Table1[Q_int_frac DIW],"",0)</f>
        <v>#REF!</v>
      </c>
      <c r="AH983" s="69" t="e" cm="1">
        <f t="array" ref="AH983">_xlfn.XLOOKUP(Table1[[#This Row],[5 cm2 cell test code]:[5 cm2 cell test code]],[1]!Table1[[Test code]:[Test code]],[1]!Table1[Ionic resistance 10 mM KOH/Ohm cm2],"",0)</f>
        <v>#REF!</v>
      </c>
      <c r="AI983" s="69" t="e" cm="1">
        <f t="array" ref="AI983">_xlfn.XLOOKUP(Table1[[#This Row],[5 cm2 cell test code]:[5 cm2 cell test code]],[1]!Table1[[Test code]:[Test code]],[1]!Table1[Q_int_frac DIW 10 mM KOH],"",0)</f>
        <v>#REF!</v>
      </c>
      <c r="AJ983" s="69" t="e" cm="1">
        <f t="array" ref="AJ983">_xlfn.XLOOKUP(Table1[[#This Row],[5 cm2 cell test code]:[5 cm2 cell test code]],[1]!Table1[[Test code]:[Test code]],[1]!Table1[DIW conductivity (µS/cm)],"",0)</f>
        <v>#REF!</v>
      </c>
    </row>
    <row r="984" spans="1:36">
      <c r="A984" s="81"/>
      <c r="U984" s="101"/>
      <c r="V984" s="101"/>
      <c r="W984" s="69" t="e" cm="1">
        <f t="array" ref="W984">_xlfn.XLOOKUP(Table1[[#This Row],[5 cm2 cell test code]:[5 cm2 cell test code]],[1]!Table1[[Test code]:[Test code]],[1]!Table1[i @ 1.8 V DIW (A/cm2)],"",0)</f>
        <v>#REF!</v>
      </c>
      <c r="X984" s="69" t="e" cm="1">
        <f t="array" ref="X984">_xlfn.XLOOKUP(Table1[[#This Row],[5 cm2 cell test code]:[5 cm2 cell test code]],[1]!Table1[[Test code]:[Test code]],[1]!Table1[i @ 1.8 V 10 mM KOH (A/cm2)],"",0)</f>
        <v>#REF!</v>
      </c>
      <c r="Y984" s="69" t="e" cm="1">
        <f t="array" ref="Y984">_xlfn.XLOOKUP(Table1[[#This Row],[5 cm2 cell test code]:[5 cm2 cell test code]],[1]!Table1[[Test code]:[Test code]],[1]!Table1[3-E ƞ at 20mAcm-2 (mV)],"",0)</f>
        <v>#REF!</v>
      </c>
      <c r="Z984" s="69" t="e" cm="1">
        <f t="array" ref="Z984">_xlfn.XLOOKUP(Table1[[#This Row],[5 cm2 cell test code]:[5 cm2 cell test code]],[1]!Table1[[Test code]:[Test code]],[1]!Table1[3-E Tafel slope (mV/dec)],"",0)</f>
        <v>#REF!</v>
      </c>
      <c r="AA984" s="69" t="e" cm="1">
        <f t="array" ref="AA984">_xlfn.XLOOKUP(Table1[[#This Row],[5 cm2 cell test code]:[5 cm2 cell test code]],[1]!Table1[[Test code]:[Test code]],[1]!Table1[E @ 100 mA/cm2 DIW/V],"",0)</f>
        <v>#REF!</v>
      </c>
      <c r="AB984" s="69" t="e" cm="1">
        <f t="array" ref="AB984">_xlfn.XLOOKUP(Table1[[#This Row],[5 cm2 cell test code]:[5 cm2 cell test code]],[1]!Table1[[Test code]:[Test code]],[1]!Table1[E @ 100 mA/cm2 10 mM KOH/V],"",0)</f>
        <v>#REF!</v>
      </c>
      <c r="AC984" s="69" t="e" cm="1">
        <f t="array" ref="AC984">_xlfn.XLOOKUP(Table1[[#This Row],[5 cm2 cell test code]:[5 cm2 cell test code]],[1]!Table1[[Test code]:[Test code]],[1]!Table1[Anode ICR/mOhm],"",0)</f>
        <v>#REF!</v>
      </c>
      <c r="AD984" s="69" t="e" cm="1">
        <f t="array" ref="AD984">_xlfn.XLOOKUP(Table1[[#This Row],[5 cm2 cell test code]:[5 cm2 cell test code]],[1]!Table1[[Test code]:[Test code]],[1]!Table1[HFR DIW/ mOhm cm2],"",0)</f>
        <v>#REF!</v>
      </c>
      <c r="AE984" s="69" t="e" cm="1">
        <f t="array" ref="AE984">_xlfn.XLOOKUP(Table1[[#This Row],[5 cm2 cell test code]:[5 cm2 cell test code]],[1]!Table1[[Test code]:[Test code]],[1]!Table1[HFR 10 mM KOH/ mOhm cm2],"",0)</f>
        <v>#REF!</v>
      </c>
      <c r="AF984" s="69" t="e" cm="1">
        <f t="array" ref="AF984">_xlfn.XLOOKUP(Table1[[#This Row],[5 cm2 cell test code]:[5 cm2 cell test code]],[1]!Table1[[Test code]:[Test code]],[1]!Table1[Ionic resistance DIW/Ohm cm2],"",0)</f>
        <v>#REF!</v>
      </c>
      <c r="AG984" s="69" t="e" cm="1">
        <f t="array" ref="AG984">_xlfn.XLOOKUP(Table1[[#This Row],[5 cm2 cell test code]:[5 cm2 cell test code]],[1]!Table1[[Test code]:[Test code]],[1]!Table1[Q_int_frac DIW],"",0)</f>
        <v>#REF!</v>
      </c>
      <c r="AH984" s="69" t="e" cm="1">
        <f t="array" ref="AH984">_xlfn.XLOOKUP(Table1[[#This Row],[5 cm2 cell test code]:[5 cm2 cell test code]],[1]!Table1[[Test code]:[Test code]],[1]!Table1[Ionic resistance 10 mM KOH/Ohm cm2],"",0)</f>
        <v>#REF!</v>
      </c>
      <c r="AI984" s="69" t="e" cm="1">
        <f t="array" ref="AI984">_xlfn.XLOOKUP(Table1[[#This Row],[5 cm2 cell test code]:[5 cm2 cell test code]],[1]!Table1[[Test code]:[Test code]],[1]!Table1[Q_int_frac DIW 10 mM KOH],"",0)</f>
        <v>#REF!</v>
      </c>
      <c r="AJ984" s="69" t="e" cm="1">
        <f t="array" ref="AJ984">_xlfn.XLOOKUP(Table1[[#This Row],[5 cm2 cell test code]:[5 cm2 cell test code]],[1]!Table1[[Test code]:[Test code]],[1]!Table1[DIW conductivity (µS/cm)],"",0)</f>
        <v>#REF!</v>
      </c>
    </row>
    <row r="985" spans="1:36">
      <c r="A985" s="81"/>
      <c r="U985" s="101"/>
      <c r="V985" s="101"/>
      <c r="W985" s="69" t="e" cm="1">
        <f t="array" ref="W985">_xlfn.XLOOKUP(Table1[[#This Row],[5 cm2 cell test code]:[5 cm2 cell test code]],[1]!Table1[[Test code]:[Test code]],[1]!Table1[i @ 1.8 V DIW (A/cm2)],"",0)</f>
        <v>#REF!</v>
      </c>
      <c r="X985" s="69" t="e" cm="1">
        <f t="array" ref="X985">_xlfn.XLOOKUP(Table1[[#This Row],[5 cm2 cell test code]:[5 cm2 cell test code]],[1]!Table1[[Test code]:[Test code]],[1]!Table1[i @ 1.8 V 10 mM KOH (A/cm2)],"",0)</f>
        <v>#REF!</v>
      </c>
      <c r="Y985" s="69" t="e" cm="1">
        <f t="array" ref="Y985">_xlfn.XLOOKUP(Table1[[#This Row],[5 cm2 cell test code]:[5 cm2 cell test code]],[1]!Table1[[Test code]:[Test code]],[1]!Table1[3-E ƞ at 20mAcm-2 (mV)],"",0)</f>
        <v>#REF!</v>
      </c>
      <c r="Z985" s="69" t="e" cm="1">
        <f t="array" ref="Z985">_xlfn.XLOOKUP(Table1[[#This Row],[5 cm2 cell test code]:[5 cm2 cell test code]],[1]!Table1[[Test code]:[Test code]],[1]!Table1[3-E Tafel slope (mV/dec)],"",0)</f>
        <v>#REF!</v>
      </c>
      <c r="AA985" s="69" t="e" cm="1">
        <f t="array" ref="AA985">_xlfn.XLOOKUP(Table1[[#This Row],[5 cm2 cell test code]:[5 cm2 cell test code]],[1]!Table1[[Test code]:[Test code]],[1]!Table1[E @ 100 mA/cm2 DIW/V],"",0)</f>
        <v>#REF!</v>
      </c>
      <c r="AB985" s="69" t="e" cm="1">
        <f t="array" ref="AB985">_xlfn.XLOOKUP(Table1[[#This Row],[5 cm2 cell test code]:[5 cm2 cell test code]],[1]!Table1[[Test code]:[Test code]],[1]!Table1[E @ 100 mA/cm2 10 mM KOH/V],"",0)</f>
        <v>#REF!</v>
      </c>
      <c r="AC985" s="69" t="e" cm="1">
        <f t="array" ref="AC985">_xlfn.XLOOKUP(Table1[[#This Row],[5 cm2 cell test code]:[5 cm2 cell test code]],[1]!Table1[[Test code]:[Test code]],[1]!Table1[Anode ICR/mOhm],"",0)</f>
        <v>#REF!</v>
      </c>
      <c r="AD985" s="69" t="e" cm="1">
        <f t="array" ref="AD985">_xlfn.XLOOKUP(Table1[[#This Row],[5 cm2 cell test code]:[5 cm2 cell test code]],[1]!Table1[[Test code]:[Test code]],[1]!Table1[HFR DIW/ mOhm cm2],"",0)</f>
        <v>#REF!</v>
      </c>
      <c r="AE985" s="69" t="e" cm="1">
        <f t="array" ref="AE985">_xlfn.XLOOKUP(Table1[[#This Row],[5 cm2 cell test code]:[5 cm2 cell test code]],[1]!Table1[[Test code]:[Test code]],[1]!Table1[HFR 10 mM KOH/ mOhm cm2],"",0)</f>
        <v>#REF!</v>
      </c>
      <c r="AF985" s="69" t="e" cm="1">
        <f t="array" ref="AF985">_xlfn.XLOOKUP(Table1[[#This Row],[5 cm2 cell test code]:[5 cm2 cell test code]],[1]!Table1[[Test code]:[Test code]],[1]!Table1[Ionic resistance DIW/Ohm cm2],"",0)</f>
        <v>#REF!</v>
      </c>
      <c r="AG985" s="69" t="e" cm="1">
        <f t="array" ref="AG985">_xlfn.XLOOKUP(Table1[[#This Row],[5 cm2 cell test code]:[5 cm2 cell test code]],[1]!Table1[[Test code]:[Test code]],[1]!Table1[Q_int_frac DIW],"",0)</f>
        <v>#REF!</v>
      </c>
      <c r="AH985" s="69" t="e" cm="1">
        <f t="array" ref="AH985">_xlfn.XLOOKUP(Table1[[#This Row],[5 cm2 cell test code]:[5 cm2 cell test code]],[1]!Table1[[Test code]:[Test code]],[1]!Table1[Ionic resistance 10 mM KOH/Ohm cm2],"",0)</f>
        <v>#REF!</v>
      </c>
      <c r="AI985" s="69" t="e" cm="1">
        <f t="array" ref="AI985">_xlfn.XLOOKUP(Table1[[#This Row],[5 cm2 cell test code]:[5 cm2 cell test code]],[1]!Table1[[Test code]:[Test code]],[1]!Table1[Q_int_frac DIW 10 mM KOH],"",0)</f>
        <v>#REF!</v>
      </c>
      <c r="AJ985" s="69" t="e" cm="1">
        <f t="array" ref="AJ985">_xlfn.XLOOKUP(Table1[[#This Row],[5 cm2 cell test code]:[5 cm2 cell test code]],[1]!Table1[[Test code]:[Test code]],[1]!Table1[DIW conductivity (µS/cm)],"",0)</f>
        <v>#REF!</v>
      </c>
    </row>
    <row r="986" spans="1:36">
      <c r="A986" s="81"/>
      <c r="U986" s="101"/>
      <c r="V986" s="101"/>
      <c r="W986" s="69" t="e" cm="1">
        <f t="array" ref="W986">_xlfn.XLOOKUP(Table1[[#This Row],[5 cm2 cell test code]:[5 cm2 cell test code]],[1]!Table1[[Test code]:[Test code]],[1]!Table1[i @ 1.8 V DIW (A/cm2)],"",0)</f>
        <v>#REF!</v>
      </c>
      <c r="X986" s="69" t="e" cm="1">
        <f t="array" ref="X986">_xlfn.XLOOKUP(Table1[[#This Row],[5 cm2 cell test code]:[5 cm2 cell test code]],[1]!Table1[[Test code]:[Test code]],[1]!Table1[i @ 1.8 V 10 mM KOH (A/cm2)],"",0)</f>
        <v>#REF!</v>
      </c>
      <c r="Y986" s="69" t="e" cm="1">
        <f t="array" ref="Y986">_xlfn.XLOOKUP(Table1[[#This Row],[5 cm2 cell test code]:[5 cm2 cell test code]],[1]!Table1[[Test code]:[Test code]],[1]!Table1[3-E ƞ at 20mAcm-2 (mV)],"",0)</f>
        <v>#REF!</v>
      </c>
      <c r="Z986" s="69" t="e" cm="1">
        <f t="array" ref="Z986">_xlfn.XLOOKUP(Table1[[#This Row],[5 cm2 cell test code]:[5 cm2 cell test code]],[1]!Table1[[Test code]:[Test code]],[1]!Table1[3-E Tafel slope (mV/dec)],"",0)</f>
        <v>#REF!</v>
      </c>
      <c r="AA986" s="69" t="e" cm="1">
        <f t="array" ref="AA986">_xlfn.XLOOKUP(Table1[[#This Row],[5 cm2 cell test code]:[5 cm2 cell test code]],[1]!Table1[[Test code]:[Test code]],[1]!Table1[E @ 100 mA/cm2 DIW/V],"",0)</f>
        <v>#REF!</v>
      </c>
      <c r="AB986" s="69" t="e" cm="1">
        <f t="array" ref="AB986">_xlfn.XLOOKUP(Table1[[#This Row],[5 cm2 cell test code]:[5 cm2 cell test code]],[1]!Table1[[Test code]:[Test code]],[1]!Table1[E @ 100 mA/cm2 10 mM KOH/V],"",0)</f>
        <v>#REF!</v>
      </c>
      <c r="AC986" s="69" t="e" cm="1">
        <f t="array" ref="AC986">_xlfn.XLOOKUP(Table1[[#This Row],[5 cm2 cell test code]:[5 cm2 cell test code]],[1]!Table1[[Test code]:[Test code]],[1]!Table1[Anode ICR/mOhm],"",0)</f>
        <v>#REF!</v>
      </c>
      <c r="AD986" s="69" t="e" cm="1">
        <f t="array" ref="AD986">_xlfn.XLOOKUP(Table1[[#This Row],[5 cm2 cell test code]:[5 cm2 cell test code]],[1]!Table1[[Test code]:[Test code]],[1]!Table1[HFR DIW/ mOhm cm2],"",0)</f>
        <v>#REF!</v>
      </c>
      <c r="AE986" s="69" t="e" cm="1">
        <f t="array" ref="AE986">_xlfn.XLOOKUP(Table1[[#This Row],[5 cm2 cell test code]:[5 cm2 cell test code]],[1]!Table1[[Test code]:[Test code]],[1]!Table1[HFR 10 mM KOH/ mOhm cm2],"",0)</f>
        <v>#REF!</v>
      </c>
      <c r="AF986" s="69" t="e" cm="1">
        <f t="array" ref="AF986">_xlfn.XLOOKUP(Table1[[#This Row],[5 cm2 cell test code]:[5 cm2 cell test code]],[1]!Table1[[Test code]:[Test code]],[1]!Table1[Ionic resistance DIW/Ohm cm2],"",0)</f>
        <v>#REF!</v>
      </c>
      <c r="AG986" s="69" t="e" cm="1">
        <f t="array" ref="AG986">_xlfn.XLOOKUP(Table1[[#This Row],[5 cm2 cell test code]:[5 cm2 cell test code]],[1]!Table1[[Test code]:[Test code]],[1]!Table1[Q_int_frac DIW],"",0)</f>
        <v>#REF!</v>
      </c>
      <c r="AH986" s="69" t="e" cm="1">
        <f t="array" ref="AH986">_xlfn.XLOOKUP(Table1[[#This Row],[5 cm2 cell test code]:[5 cm2 cell test code]],[1]!Table1[[Test code]:[Test code]],[1]!Table1[Ionic resistance 10 mM KOH/Ohm cm2],"",0)</f>
        <v>#REF!</v>
      </c>
      <c r="AI986" s="69" t="e" cm="1">
        <f t="array" ref="AI986">_xlfn.XLOOKUP(Table1[[#This Row],[5 cm2 cell test code]:[5 cm2 cell test code]],[1]!Table1[[Test code]:[Test code]],[1]!Table1[Q_int_frac DIW 10 mM KOH],"",0)</f>
        <v>#REF!</v>
      </c>
      <c r="AJ986" s="69" t="e" cm="1">
        <f t="array" ref="AJ986">_xlfn.XLOOKUP(Table1[[#This Row],[5 cm2 cell test code]:[5 cm2 cell test code]],[1]!Table1[[Test code]:[Test code]],[1]!Table1[DIW conductivity (µS/cm)],"",0)</f>
        <v>#REF!</v>
      </c>
    </row>
    <row r="987" spans="1:36">
      <c r="A987" s="81"/>
      <c r="U987" s="101"/>
      <c r="V987" s="101"/>
      <c r="W987" s="69" t="e" cm="1">
        <f t="array" ref="W987">_xlfn.XLOOKUP(Table1[[#This Row],[5 cm2 cell test code]:[5 cm2 cell test code]],[1]!Table1[[Test code]:[Test code]],[1]!Table1[i @ 1.8 V DIW (A/cm2)],"",0)</f>
        <v>#REF!</v>
      </c>
      <c r="X987" s="69" t="e" cm="1">
        <f t="array" ref="X987">_xlfn.XLOOKUP(Table1[[#This Row],[5 cm2 cell test code]:[5 cm2 cell test code]],[1]!Table1[[Test code]:[Test code]],[1]!Table1[i @ 1.8 V 10 mM KOH (A/cm2)],"",0)</f>
        <v>#REF!</v>
      </c>
      <c r="Y987" s="69" t="e" cm="1">
        <f t="array" ref="Y987">_xlfn.XLOOKUP(Table1[[#This Row],[5 cm2 cell test code]:[5 cm2 cell test code]],[1]!Table1[[Test code]:[Test code]],[1]!Table1[3-E ƞ at 20mAcm-2 (mV)],"",0)</f>
        <v>#REF!</v>
      </c>
      <c r="Z987" s="69" t="e" cm="1">
        <f t="array" ref="Z987">_xlfn.XLOOKUP(Table1[[#This Row],[5 cm2 cell test code]:[5 cm2 cell test code]],[1]!Table1[[Test code]:[Test code]],[1]!Table1[3-E Tafel slope (mV/dec)],"",0)</f>
        <v>#REF!</v>
      </c>
      <c r="AA987" s="69" t="e" cm="1">
        <f t="array" ref="AA987">_xlfn.XLOOKUP(Table1[[#This Row],[5 cm2 cell test code]:[5 cm2 cell test code]],[1]!Table1[[Test code]:[Test code]],[1]!Table1[E @ 100 mA/cm2 DIW/V],"",0)</f>
        <v>#REF!</v>
      </c>
      <c r="AB987" s="69" t="e" cm="1">
        <f t="array" ref="AB987">_xlfn.XLOOKUP(Table1[[#This Row],[5 cm2 cell test code]:[5 cm2 cell test code]],[1]!Table1[[Test code]:[Test code]],[1]!Table1[E @ 100 mA/cm2 10 mM KOH/V],"",0)</f>
        <v>#REF!</v>
      </c>
      <c r="AC987" s="69" t="e" cm="1">
        <f t="array" ref="AC987">_xlfn.XLOOKUP(Table1[[#This Row],[5 cm2 cell test code]:[5 cm2 cell test code]],[1]!Table1[[Test code]:[Test code]],[1]!Table1[Anode ICR/mOhm],"",0)</f>
        <v>#REF!</v>
      </c>
      <c r="AD987" s="69" t="e" cm="1">
        <f t="array" ref="AD987">_xlfn.XLOOKUP(Table1[[#This Row],[5 cm2 cell test code]:[5 cm2 cell test code]],[1]!Table1[[Test code]:[Test code]],[1]!Table1[HFR DIW/ mOhm cm2],"",0)</f>
        <v>#REF!</v>
      </c>
      <c r="AE987" s="69" t="e" cm="1">
        <f t="array" ref="AE987">_xlfn.XLOOKUP(Table1[[#This Row],[5 cm2 cell test code]:[5 cm2 cell test code]],[1]!Table1[[Test code]:[Test code]],[1]!Table1[HFR 10 mM KOH/ mOhm cm2],"",0)</f>
        <v>#REF!</v>
      </c>
      <c r="AF987" s="69" t="e" cm="1">
        <f t="array" ref="AF987">_xlfn.XLOOKUP(Table1[[#This Row],[5 cm2 cell test code]:[5 cm2 cell test code]],[1]!Table1[[Test code]:[Test code]],[1]!Table1[Ionic resistance DIW/Ohm cm2],"",0)</f>
        <v>#REF!</v>
      </c>
      <c r="AG987" s="69" t="e" cm="1">
        <f t="array" ref="AG987">_xlfn.XLOOKUP(Table1[[#This Row],[5 cm2 cell test code]:[5 cm2 cell test code]],[1]!Table1[[Test code]:[Test code]],[1]!Table1[Q_int_frac DIW],"",0)</f>
        <v>#REF!</v>
      </c>
      <c r="AH987" s="69" t="e" cm="1">
        <f t="array" ref="AH987">_xlfn.XLOOKUP(Table1[[#This Row],[5 cm2 cell test code]:[5 cm2 cell test code]],[1]!Table1[[Test code]:[Test code]],[1]!Table1[Ionic resistance 10 mM KOH/Ohm cm2],"",0)</f>
        <v>#REF!</v>
      </c>
      <c r="AI987" s="69" t="e" cm="1">
        <f t="array" ref="AI987">_xlfn.XLOOKUP(Table1[[#This Row],[5 cm2 cell test code]:[5 cm2 cell test code]],[1]!Table1[[Test code]:[Test code]],[1]!Table1[Q_int_frac DIW 10 mM KOH],"",0)</f>
        <v>#REF!</v>
      </c>
      <c r="AJ987" s="69" t="e" cm="1">
        <f t="array" ref="AJ987">_xlfn.XLOOKUP(Table1[[#This Row],[5 cm2 cell test code]:[5 cm2 cell test code]],[1]!Table1[[Test code]:[Test code]],[1]!Table1[DIW conductivity (µS/cm)],"",0)</f>
        <v>#REF!</v>
      </c>
    </row>
    <row r="988" spans="1:36">
      <c r="A988" s="81"/>
      <c r="U988" s="101"/>
      <c r="V988" s="101"/>
      <c r="W988" s="69" t="e" cm="1">
        <f t="array" ref="W988">_xlfn.XLOOKUP(Table1[[#This Row],[5 cm2 cell test code]:[5 cm2 cell test code]],[1]!Table1[[Test code]:[Test code]],[1]!Table1[i @ 1.8 V DIW (A/cm2)],"",0)</f>
        <v>#REF!</v>
      </c>
      <c r="X988" s="69" t="e" cm="1">
        <f t="array" ref="X988">_xlfn.XLOOKUP(Table1[[#This Row],[5 cm2 cell test code]:[5 cm2 cell test code]],[1]!Table1[[Test code]:[Test code]],[1]!Table1[i @ 1.8 V 10 mM KOH (A/cm2)],"",0)</f>
        <v>#REF!</v>
      </c>
      <c r="Y988" s="69" t="e" cm="1">
        <f t="array" ref="Y988">_xlfn.XLOOKUP(Table1[[#This Row],[5 cm2 cell test code]:[5 cm2 cell test code]],[1]!Table1[[Test code]:[Test code]],[1]!Table1[3-E ƞ at 20mAcm-2 (mV)],"",0)</f>
        <v>#REF!</v>
      </c>
      <c r="Z988" s="69" t="e" cm="1">
        <f t="array" ref="Z988">_xlfn.XLOOKUP(Table1[[#This Row],[5 cm2 cell test code]:[5 cm2 cell test code]],[1]!Table1[[Test code]:[Test code]],[1]!Table1[3-E Tafel slope (mV/dec)],"",0)</f>
        <v>#REF!</v>
      </c>
      <c r="AA988" s="69" t="e" cm="1">
        <f t="array" ref="AA988">_xlfn.XLOOKUP(Table1[[#This Row],[5 cm2 cell test code]:[5 cm2 cell test code]],[1]!Table1[[Test code]:[Test code]],[1]!Table1[E @ 100 mA/cm2 DIW/V],"",0)</f>
        <v>#REF!</v>
      </c>
      <c r="AB988" s="69" t="e" cm="1">
        <f t="array" ref="AB988">_xlfn.XLOOKUP(Table1[[#This Row],[5 cm2 cell test code]:[5 cm2 cell test code]],[1]!Table1[[Test code]:[Test code]],[1]!Table1[E @ 100 mA/cm2 10 mM KOH/V],"",0)</f>
        <v>#REF!</v>
      </c>
      <c r="AC988" s="69" t="e" cm="1">
        <f t="array" ref="AC988">_xlfn.XLOOKUP(Table1[[#This Row],[5 cm2 cell test code]:[5 cm2 cell test code]],[1]!Table1[[Test code]:[Test code]],[1]!Table1[Anode ICR/mOhm],"",0)</f>
        <v>#REF!</v>
      </c>
      <c r="AD988" s="69" t="e" cm="1">
        <f t="array" ref="AD988">_xlfn.XLOOKUP(Table1[[#This Row],[5 cm2 cell test code]:[5 cm2 cell test code]],[1]!Table1[[Test code]:[Test code]],[1]!Table1[HFR DIW/ mOhm cm2],"",0)</f>
        <v>#REF!</v>
      </c>
      <c r="AE988" s="69" t="e" cm="1">
        <f t="array" ref="AE988">_xlfn.XLOOKUP(Table1[[#This Row],[5 cm2 cell test code]:[5 cm2 cell test code]],[1]!Table1[[Test code]:[Test code]],[1]!Table1[HFR 10 mM KOH/ mOhm cm2],"",0)</f>
        <v>#REF!</v>
      </c>
      <c r="AF988" s="69" t="e" cm="1">
        <f t="array" ref="AF988">_xlfn.XLOOKUP(Table1[[#This Row],[5 cm2 cell test code]:[5 cm2 cell test code]],[1]!Table1[[Test code]:[Test code]],[1]!Table1[Ionic resistance DIW/Ohm cm2],"",0)</f>
        <v>#REF!</v>
      </c>
      <c r="AG988" s="69" t="e" cm="1">
        <f t="array" ref="AG988">_xlfn.XLOOKUP(Table1[[#This Row],[5 cm2 cell test code]:[5 cm2 cell test code]],[1]!Table1[[Test code]:[Test code]],[1]!Table1[Q_int_frac DIW],"",0)</f>
        <v>#REF!</v>
      </c>
      <c r="AH988" s="69" t="e" cm="1">
        <f t="array" ref="AH988">_xlfn.XLOOKUP(Table1[[#This Row],[5 cm2 cell test code]:[5 cm2 cell test code]],[1]!Table1[[Test code]:[Test code]],[1]!Table1[Ionic resistance 10 mM KOH/Ohm cm2],"",0)</f>
        <v>#REF!</v>
      </c>
      <c r="AI988" s="69" t="e" cm="1">
        <f t="array" ref="AI988">_xlfn.XLOOKUP(Table1[[#This Row],[5 cm2 cell test code]:[5 cm2 cell test code]],[1]!Table1[[Test code]:[Test code]],[1]!Table1[Q_int_frac DIW 10 mM KOH],"",0)</f>
        <v>#REF!</v>
      </c>
      <c r="AJ988" s="69" t="e" cm="1">
        <f t="array" ref="AJ988">_xlfn.XLOOKUP(Table1[[#This Row],[5 cm2 cell test code]:[5 cm2 cell test code]],[1]!Table1[[Test code]:[Test code]],[1]!Table1[DIW conductivity (µS/cm)],"",0)</f>
        <v>#REF!</v>
      </c>
    </row>
    <row r="989" spans="1:36">
      <c r="A989" s="81"/>
      <c r="U989" s="101"/>
      <c r="V989" s="101"/>
      <c r="W989" s="69" t="e" cm="1">
        <f t="array" ref="W989">_xlfn.XLOOKUP(Table1[[#This Row],[5 cm2 cell test code]:[5 cm2 cell test code]],[1]!Table1[[Test code]:[Test code]],[1]!Table1[i @ 1.8 V DIW (A/cm2)],"",0)</f>
        <v>#REF!</v>
      </c>
      <c r="X989" s="69" t="e" cm="1">
        <f t="array" ref="X989">_xlfn.XLOOKUP(Table1[[#This Row],[5 cm2 cell test code]:[5 cm2 cell test code]],[1]!Table1[[Test code]:[Test code]],[1]!Table1[i @ 1.8 V 10 mM KOH (A/cm2)],"",0)</f>
        <v>#REF!</v>
      </c>
      <c r="Y989" s="69" t="e" cm="1">
        <f t="array" ref="Y989">_xlfn.XLOOKUP(Table1[[#This Row],[5 cm2 cell test code]:[5 cm2 cell test code]],[1]!Table1[[Test code]:[Test code]],[1]!Table1[3-E ƞ at 20mAcm-2 (mV)],"",0)</f>
        <v>#REF!</v>
      </c>
      <c r="Z989" s="69" t="e" cm="1">
        <f t="array" ref="Z989">_xlfn.XLOOKUP(Table1[[#This Row],[5 cm2 cell test code]:[5 cm2 cell test code]],[1]!Table1[[Test code]:[Test code]],[1]!Table1[3-E Tafel slope (mV/dec)],"",0)</f>
        <v>#REF!</v>
      </c>
      <c r="AA989" s="69" t="e" cm="1">
        <f t="array" ref="AA989">_xlfn.XLOOKUP(Table1[[#This Row],[5 cm2 cell test code]:[5 cm2 cell test code]],[1]!Table1[[Test code]:[Test code]],[1]!Table1[E @ 100 mA/cm2 DIW/V],"",0)</f>
        <v>#REF!</v>
      </c>
      <c r="AB989" s="69" t="e" cm="1">
        <f t="array" ref="AB989">_xlfn.XLOOKUP(Table1[[#This Row],[5 cm2 cell test code]:[5 cm2 cell test code]],[1]!Table1[[Test code]:[Test code]],[1]!Table1[E @ 100 mA/cm2 10 mM KOH/V],"",0)</f>
        <v>#REF!</v>
      </c>
      <c r="AC989" s="69" t="e" cm="1">
        <f t="array" ref="AC989">_xlfn.XLOOKUP(Table1[[#This Row],[5 cm2 cell test code]:[5 cm2 cell test code]],[1]!Table1[[Test code]:[Test code]],[1]!Table1[Anode ICR/mOhm],"",0)</f>
        <v>#REF!</v>
      </c>
      <c r="AD989" s="69" t="e" cm="1">
        <f t="array" ref="AD989">_xlfn.XLOOKUP(Table1[[#This Row],[5 cm2 cell test code]:[5 cm2 cell test code]],[1]!Table1[[Test code]:[Test code]],[1]!Table1[HFR DIW/ mOhm cm2],"",0)</f>
        <v>#REF!</v>
      </c>
      <c r="AE989" s="69" t="e" cm="1">
        <f t="array" ref="AE989">_xlfn.XLOOKUP(Table1[[#This Row],[5 cm2 cell test code]:[5 cm2 cell test code]],[1]!Table1[[Test code]:[Test code]],[1]!Table1[HFR 10 mM KOH/ mOhm cm2],"",0)</f>
        <v>#REF!</v>
      </c>
      <c r="AF989" s="69" t="e" cm="1">
        <f t="array" ref="AF989">_xlfn.XLOOKUP(Table1[[#This Row],[5 cm2 cell test code]:[5 cm2 cell test code]],[1]!Table1[[Test code]:[Test code]],[1]!Table1[Ionic resistance DIW/Ohm cm2],"",0)</f>
        <v>#REF!</v>
      </c>
      <c r="AG989" s="69" t="e" cm="1">
        <f t="array" ref="AG989">_xlfn.XLOOKUP(Table1[[#This Row],[5 cm2 cell test code]:[5 cm2 cell test code]],[1]!Table1[[Test code]:[Test code]],[1]!Table1[Q_int_frac DIW],"",0)</f>
        <v>#REF!</v>
      </c>
      <c r="AH989" s="69" t="e" cm="1">
        <f t="array" ref="AH989">_xlfn.XLOOKUP(Table1[[#This Row],[5 cm2 cell test code]:[5 cm2 cell test code]],[1]!Table1[[Test code]:[Test code]],[1]!Table1[Ionic resistance 10 mM KOH/Ohm cm2],"",0)</f>
        <v>#REF!</v>
      </c>
      <c r="AI989" s="69" t="e" cm="1">
        <f t="array" ref="AI989">_xlfn.XLOOKUP(Table1[[#This Row],[5 cm2 cell test code]:[5 cm2 cell test code]],[1]!Table1[[Test code]:[Test code]],[1]!Table1[Q_int_frac DIW 10 mM KOH],"",0)</f>
        <v>#REF!</v>
      </c>
      <c r="AJ989" s="69" t="e" cm="1">
        <f t="array" ref="AJ989">_xlfn.XLOOKUP(Table1[[#This Row],[5 cm2 cell test code]:[5 cm2 cell test code]],[1]!Table1[[Test code]:[Test code]],[1]!Table1[DIW conductivity (µS/cm)],"",0)</f>
        <v>#REF!</v>
      </c>
    </row>
    <row r="990" spans="1:36">
      <c r="A990" s="81"/>
      <c r="U990" s="101"/>
      <c r="V990" s="101"/>
      <c r="W990" s="69" t="e" cm="1">
        <f t="array" ref="W990">_xlfn.XLOOKUP(Table1[[#This Row],[5 cm2 cell test code]:[5 cm2 cell test code]],[1]!Table1[[Test code]:[Test code]],[1]!Table1[i @ 1.8 V DIW (A/cm2)],"",0)</f>
        <v>#REF!</v>
      </c>
      <c r="X990" s="69" t="e" cm="1">
        <f t="array" ref="X990">_xlfn.XLOOKUP(Table1[[#This Row],[5 cm2 cell test code]:[5 cm2 cell test code]],[1]!Table1[[Test code]:[Test code]],[1]!Table1[i @ 1.8 V 10 mM KOH (A/cm2)],"",0)</f>
        <v>#REF!</v>
      </c>
      <c r="Y990" s="69" t="e" cm="1">
        <f t="array" ref="Y990">_xlfn.XLOOKUP(Table1[[#This Row],[5 cm2 cell test code]:[5 cm2 cell test code]],[1]!Table1[[Test code]:[Test code]],[1]!Table1[3-E ƞ at 20mAcm-2 (mV)],"",0)</f>
        <v>#REF!</v>
      </c>
      <c r="Z990" s="69" t="e" cm="1">
        <f t="array" ref="Z990">_xlfn.XLOOKUP(Table1[[#This Row],[5 cm2 cell test code]:[5 cm2 cell test code]],[1]!Table1[[Test code]:[Test code]],[1]!Table1[3-E Tafel slope (mV/dec)],"",0)</f>
        <v>#REF!</v>
      </c>
      <c r="AA990" s="69" t="e" cm="1">
        <f t="array" ref="AA990">_xlfn.XLOOKUP(Table1[[#This Row],[5 cm2 cell test code]:[5 cm2 cell test code]],[1]!Table1[[Test code]:[Test code]],[1]!Table1[E @ 100 mA/cm2 DIW/V],"",0)</f>
        <v>#REF!</v>
      </c>
      <c r="AB990" s="69" t="e" cm="1">
        <f t="array" ref="AB990">_xlfn.XLOOKUP(Table1[[#This Row],[5 cm2 cell test code]:[5 cm2 cell test code]],[1]!Table1[[Test code]:[Test code]],[1]!Table1[E @ 100 mA/cm2 10 mM KOH/V],"",0)</f>
        <v>#REF!</v>
      </c>
      <c r="AC990" s="69" t="e" cm="1">
        <f t="array" ref="AC990">_xlfn.XLOOKUP(Table1[[#This Row],[5 cm2 cell test code]:[5 cm2 cell test code]],[1]!Table1[[Test code]:[Test code]],[1]!Table1[Anode ICR/mOhm],"",0)</f>
        <v>#REF!</v>
      </c>
      <c r="AD990" s="69" t="e" cm="1">
        <f t="array" ref="AD990">_xlfn.XLOOKUP(Table1[[#This Row],[5 cm2 cell test code]:[5 cm2 cell test code]],[1]!Table1[[Test code]:[Test code]],[1]!Table1[HFR DIW/ mOhm cm2],"",0)</f>
        <v>#REF!</v>
      </c>
      <c r="AE990" s="69" t="e" cm="1">
        <f t="array" ref="AE990">_xlfn.XLOOKUP(Table1[[#This Row],[5 cm2 cell test code]:[5 cm2 cell test code]],[1]!Table1[[Test code]:[Test code]],[1]!Table1[HFR 10 mM KOH/ mOhm cm2],"",0)</f>
        <v>#REF!</v>
      </c>
      <c r="AF990" s="69" t="e" cm="1">
        <f t="array" ref="AF990">_xlfn.XLOOKUP(Table1[[#This Row],[5 cm2 cell test code]:[5 cm2 cell test code]],[1]!Table1[[Test code]:[Test code]],[1]!Table1[Ionic resistance DIW/Ohm cm2],"",0)</f>
        <v>#REF!</v>
      </c>
      <c r="AG990" s="69" t="e" cm="1">
        <f t="array" ref="AG990">_xlfn.XLOOKUP(Table1[[#This Row],[5 cm2 cell test code]:[5 cm2 cell test code]],[1]!Table1[[Test code]:[Test code]],[1]!Table1[Q_int_frac DIW],"",0)</f>
        <v>#REF!</v>
      </c>
      <c r="AH990" s="69" t="e" cm="1">
        <f t="array" ref="AH990">_xlfn.XLOOKUP(Table1[[#This Row],[5 cm2 cell test code]:[5 cm2 cell test code]],[1]!Table1[[Test code]:[Test code]],[1]!Table1[Ionic resistance 10 mM KOH/Ohm cm2],"",0)</f>
        <v>#REF!</v>
      </c>
      <c r="AI990" s="69" t="e" cm="1">
        <f t="array" ref="AI990">_xlfn.XLOOKUP(Table1[[#This Row],[5 cm2 cell test code]:[5 cm2 cell test code]],[1]!Table1[[Test code]:[Test code]],[1]!Table1[Q_int_frac DIW 10 mM KOH],"",0)</f>
        <v>#REF!</v>
      </c>
      <c r="AJ990" s="69" t="e" cm="1">
        <f t="array" ref="AJ990">_xlfn.XLOOKUP(Table1[[#This Row],[5 cm2 cell test code]:[5 cm2 cell test code]],[1]!Table1[[Test code]:[Test code]],[1]!Table1[DIW conductivity (µS/cm)],"",0)</f>
        <v>#REF!</v>
      </c>
    </row>
    <row r="991" spans="1:36">
      <c r="A991" s="81"/>
      <c r="U991" s="101"/>
      <c r="V991" s="101"/>
      <c r="W991" s="69" t="e" cm="1">
        <f t="array" ref="W991">_xlfn.XLOOKUP(Table1[[#This Row],[5 cm2 cell test code]:[5 cm2 cell test code]],[1]!Table1[[Test code]:[Test code]],[1]!Table1[i @ 1.8 V DIW (A/cm2)],"",0)</f>
        <v>#REF!</v>
      </c>
      <c r="X991" s="69" t="e" cm="1">
        <f t="array" ref="X991">_xlfn.XLOOKUP(Table1[[#This Row],[5 cm2 cell test code]:[5 cm2 cell test code]],[1]!Table1[[Test code]:[Test code]],[1]!Table1[i @ 1.8 V 10 mM KOH (A/cm2)],"",0)</f>
        <v>#REF!</v>
      </c>
      <c r="Y991" s="69" t="e" cm="1">
        <f t="array" ref="Y991">_xlfn.XLOOKUP(Table1[[#This Row],[5 cm2 cell test code]:[5 cm2 cell test code]],[1]!Table1[[Test code]:[Test code]],[1]!Table1[3-E ƞ at 20mAcm-2 (mV)],"",0)</f>
        <v>#REF!</v>
      </c>
      <c r="Z991" s="69" t="e" cm="1">
        <f t="array" ref="Z991">_xlfn.XLOOKUP(Table1[[#This Row],[5 cm2 cell test code]:[5 cm2 cell test code]],[1]!Table1[[Test code]:[Test code]],[1]!Table1[3-E Tafel slope (mV/dec)],"",0)</f>
        <v>#REF!</v>
      </c>
      <c r="AA991" s="69" t="e" cm="1">
        <f t="array" ref="AA991">_xlfn.XLOOKUP(Table1[[#This Row],[5 cm2 cell test code]:[5 cm2 cell test code]],[1]!Table1[[Test code]:[Test code]],[1]!Table1[E @ 100 mA/cm2 DIW/V],"",0)</f>
        <v>#REF!</v>
      </c>
      <c r="AB991" s="69" t="e" cm="1">
        <f t="array" ref="AB991">_xlfn.XLOOKUP(Table1[[#This Row],[5 cm2 cell test code]:[5 cm2 cell test code]],[1]!Table1[[Test code]:[Test code]],[1]!Table1[E @ 100 mA/cm2 10 mM KOH/V],"",0)</f>
        <v>#REF!</v>
      </c>
      <c r="AC991" s="69" t="e" cm="1">
        <f t="array" ref="AC991">_xlfn.XLOOKUP(Table1[[#This Row],[5 cm2 cell test code]:[5 cm2 cell test code]],[1]!Table1[[Test code]:[Test code]],[1]!Table1[Anode ICR/mOhm],"",0)</f>
        <v>#REF!</v>
      </c>
      <c r="AD991" s="69" t="e" cm="1">
        <f t="array" ref="AD991">_xlfn.XLOOKUP(Table1[[#This Row],[5 cm2 cell test code]:[5 cm2 cell test code]],[1]!Table1[[Test code]:[Test code]],[1]!Table1[HFR DIW/ mOhm cm2],"",0)</f>
        <v>#REF!</v>
      </c>
      <c r="AE991" s="69" t="e" cm="1">
        <f t="array" ref="AE991">_xlfn.XLOOKUP(Table1[[#This Row],[5 cm2 cell test code]:[5 cm2 cell test code]],[1]!Table1[[Test code]:[Test code]],[1]!Table1[HFR 10 mM KOH/ mOhm cm2],"",0)</f>
        <v>#REF!</v>
      </c>
      <c r="AF991" s="69" t="e" cm="1">
        <f t="array" ref="AF991">_xlfn.XLOOKUP(Table1[[#This Row],[5 cm2 cell test code]:[5 cm2 cell test code]],[1]!Table1[[Test code]:[Test code]],[1]!Table1[Ionic resistance DIW/Ohm cm2],"",0)</f>
        <v>#REF!</v>
      </c>
      <c r="AG991" s="69" t="e" cm="1">
        <f t="array" ref="AG991">_xlfn.XLOOKUP(Table1[[#This Row],[5 cm2 cell test code]:[5 cm2 cell test code]],[1]!Table1[[Test code]:[Test code]],[1]!Table1[Q_int_frac DIW],"",0)</f>
        <v>#REF!</v>
      </c>
      <c r="AH991" s="69" t="e" cm="1">
        <f t="array" ref="AH991">_xlfn.XLOOKUP(Table1[[#This Row],[5 cm2 cell test code]:[5 cm2 cell test code]],[1]!Table1[[Test code]:[Test code]],[1]!Table1[Ionic resistance 10 mM KOH/Ohm cm2],"",0)</f>
        <v>#REF!</v>
      </c>
      <c r="AI991" s="69" t="e" cm="1">
        <f t="array" ref="AI991">_xlfn.XLOOKUP(Table1[[#This Row],[5 cm2 cell test code]:[5 cm2 cell test code]],[1]!Table1[[Test code]:[Test code]],[1]!Table1[Q_int_frac DIW 10 mM KOH],"",0)</f>
        <v>#REF!</v>
      </c>
      <c r="AJ991" s="69" t="e" cm="1">
        <f t="array" ref="AJ991">_xlfn.XLOOKUP(Table1[[#This Row],[5 cm2 cell test code]:[5 cm2 cell test code]],[1]!Table1[[Test code]:[Test code]],[1]!Table1[DIW conductivity (µS/cm)],"",0)</f>
        <v>#REF!</v>
      </c>
    </row>
    <row r="992" spans="1:36">
      <c r="A992" s="81"/>
      <c r="U992" s="101"/>
      <c r="V992" s="101"/>
      <c r="W992" s="69" t="e" cm="1">
        <f t="array" ref="W992">_xlfn.XLOOKUP(Table1[[#This Row],[5 cm2 cell test code]:[5 cm2 cell test code]],[1]!Table1[[Test code]:[Test code]],[1]!Table1[i @ 1.8 V DIW (A/cm2)],"",0)</f>
        <v>#REF!</v>
      </c>
      <c r="X992" s="69" t="e" cm="1">
        <f t="array" ref="X992">_xlfn.XLOOKUP(Table1[[#This Row],[5 cm2 cell test code]:[5 cm2 cell test code]],[1]!Table1[[Test code]:[Test code]],[1]!Table1[i @ 1.8 V 10 mM KOH (A/cm2)],"",0)</f>
        <v>#REF!</v>
      </c>
      <c r="Y992" s="69" t="e" cm="1">
        <f t="array" ref="Y992">_xlfn.XLOOKUP(Table1[[#This Row],[5 cm2 cell test code]:[5 cm2 cell test code]],[1]!Table1[[Test code]:[Test code]],[1]!Table1[3-E ƞ at 20mAcm-2 (mV)],"",0)</f>
        <v>#REF!</v>
      </c>
      <c r="Z992" s="69" t="e" cm="1">
        <f t="array" ref="Z992">_xlfn.XLOOKUP(Table1[[#This Row],[5 cm2 cell test code]:[5 cm2 cell test code]],[1]!Table1[[Test code]:[Test code]],[1]!Table1[3-E Tafel slope (mV/dec)],"",0)</f>
        <v>#REF!</v>
      </c>
      <c r="AA992" s="69" t="e" cm="1">
        <f t="array" ref="AA992">_xlfn.XLOOKUP(Table1[[#This Row],[5 cm2 cell test code]:[5 cm2 cell test code]],[1]!Table1[[Test code]:[Test code]],[1]!Table1[E @ 100 mA/cm2 DIW/V],"",0)</f>
        <v>#REF!</v>
      </c>
      <c r="AB992" s="69" t="e" cm="1">
        <f t="array" ref="AB992">_xlfn.XLOOKUP(Table1[[#This Row],[5 cm2 cell test code]:[5 cm2 cell test code]],[1]!Table1[[Test code]:[Test code]],[1]!Table1[E @ 100 mA/cm2 10 mM KOH/V],"",0)</f>
        <v>#REF!</v>
      </c>
      <c r="AC992" s="69" t="e" cm="1">
        <f t="array" ref="AC992">_xlfn.XLOOKUP(Table1[[#This Row],[5 cm2 cell test code]:[5 cm2 cell test code]],[1]!Table1[[Test code]:[Test code]],[1]!Table1[Anode ICR/mOhm],"",0)</f>
        <v>#REF!</v>
      </c>
      <c r="AD992" s="69" t="e" cm="1">
        <f t="array" ref="AD992">_xlfn.XLOOKUP(Table1[[#This Row],[5 cm2 cell test code]:[5 cm2 cell test code]],[1]!Table1[[Test code]:[Test code]],[1]!Table1[HFR DIW/ mOhm cm2],"",0)</f>
        <v>#REF!</v>
      </c>
      <c r="AE992" s="69" t="e" cm="1">
        <f t="array" ref="AE992">_xlfn.XLOOKUP(Table1[[#This Row],[5 cm2 cell test code]:[5 cm2 cell test code]],[1]!Table1[[Test code]:[Test code]],[1]!Table1[HFR 10 mM KOH/ mOhm cm2],"",0)</f>
        <v>#REF!</v>
      </c>
      <c r="AF992" s="69" t="e" cm="1">
        <f t="array" ref="AF992">_xlfn.XLOOKUP(Table1[[#This Row],[5 cm2 cell test code]:[5 cm2 cell test code]],[1]!Table1[[Test code]:[Test code]],[1]!Table1[Ionic resistance DIW/Ohm cm2],"",0)</f>
        <v>#REF!</v>
      </c>
      <c r="AG992" s="69" t="e" cm="1">
        <f t="array" ref="AG992">_xlfn.XLOOKUP(Table1[[#This Row],[5 cm2 cell test code]:[5 cm2 cell test code]],[1]!Table1[[Test code]:[Test code]],[1]!Table1[Q_int_frac DIW],"",0)</f>
        <v>#REF!</v>
      </c>
      <c r="AH992" s="69" t="e" cm="1">
        <f t="array" ref="AH992">_xlfn.XLOOKUP(Table1[[#This Row],[5 cm2 cell test code]:[5 cm2 cell test code]],[1]!Table1[[Test code]:[Test code]],[1]!Table1[Ionic resistance 10 mM KOH/Ohm cm2],"",0)</f>
        <v>#REF!</v>
      </c>
      <c r="AI992" s="69" t="e" cm="1">
        <f t="array" ref="AI992">_xlfn.XLOOKUP(Table1[[#This Row],[5 cm2 cell test code]:[5 cm2 cell test code]],[1]!Table1[[Test code]:[Test code]],[1]!Table1[Q_int_frac DIW 10 mM KOH],"",0)</f>
        <v>#REF!</v>
      </c>
      <c r="AJ992" s="69" t="e" cm="1">
        <f t="array" ref="AJ992">_xlfn.XLOOKUP(Table1[[#This Row],[5 cm2 cell test code]:[5 cm2 cell test code]],[1]!Table1[[Test code]:[Test code]],[1]!Table1[DIW conductivity (µS/cm)],"",0)</f>
        <v>#REF!</v>
      </c>
    </row>
    <row r="993" spans="1:36">
      <c r="A993" s="81"/>
      <c r="U993" s="101"/>
      <c r="V993" s="101"/>
      <c r="W993" s="69" t="e" cm="1">
        <f t="array" ref="W993">_xlfn.XLOOKUP(Table1[[#This Row],[5 cm2 cell test code]:[5 cm2 cell test code]],[1]!Table1[[Test code]:[Test code]],[1]!Table1[i @ 1.8 V DIW (A/cm2)],"",0)</f>
        <v>#REF!</v>
      </c>
      <c r="X993" s="69" t="e" cm="1">
        <f t="array" ref="X993">_xlfn.XLOOKUP(Table1[[#This Row],[5 cm2 cell test code]:[5 cm2 cell test code]],[1]!Table1[[Test code]:[Test code]],[1]!Table1[i @ 1.8 V 10 mM KOH (A/cm2)],"",0)</f>
        <v>#REF!</v>
      </c>
      <c r="Y993" s="69" t="e" cm="1">
        <f t="array" ref="Y993">_xlfn.XLOOKUP(Table1[[#This Row],[5 cm2 cell test code]:[5 cm2 cell test code]],[1]!Table1[[Test code]:[Test code]],[1]!Table1[3-E ƞ at 20mAcm-2 (mV)],"",0)</f>
        <v>#REF!</v>
      </c>
      <c r="Z993" s="69" t="e" cm="1">
        <f t="array" ref="Z993">_xlfn.XLOOKUP(Table1[[#This Row],[5 cm2 cell test code]:[5 cm2 cell test code]],[1]!Table1[[Test code]:[Test code]],[1]!Table1[3-E Tafel slope (mV/dec)],"",0)</f>
        <v>#REF!</v>
      </c>
      <c r="AA993" s="69" t="e" cm="1">
        <f t="array" ref="AA993">_xlfn.XLOOKUP(Table1[[#This Row],[5 cm2 cell test code]:[5 cm2 cell test code]],[1]!Table1[[Test code]:[Test code]],[1]!Table1[E @ 100 mA/cm2 DIW/V],"",0)</f>
        <v>#REF!</v>
      </c>
      <c r="AB993" s="69" t="e" cm="1">
        <f t="array" ref="AB993">_xlfn.XLOOKUP(Table1[[#This Row],[5 cm2 cell test code]:[5 cm2 cell test code]],[1]!Table1[[Test code]:[Test code]],[1]!Table1[E @ 100 mA/cm2 10 mM KOH/V],"",0)</f>
        <v>#REF!</v>
      </c>
      <c r="AC993" s="69" t="e" cm="1">
        <f t="array" ref="AC993">_xlfn.XLOOKUP(Table1[[#This Row],[5 cm2 cell test code]:[5 cm2 cell test code]],[1]!Table1[[Test code]:[Test code]],[1]!Table1[Anode ICR/mOhm],"",0)</f>
        <v>#REF!</v>
      </c>
      <c r="AD993" s="69" t="e" cm="1">
        <f t="array" ref="AD993">_xlfn.XLOOKUP(Table1[[#This Row],[5 cm2 cell test code]:[5 cm2 cell test code]],[1]!Table1[[Test code]:[Test code]],[1]!Table1[HFR DIW/ mOhm cm2],"",0)</f>
        <v>#REF!</v>
      </c>
      <c r="AE993" s="69" t="e" cm="1">
        <f t="array" ref="AE993">_xlfn.XLOOKUP(Table1[[#This Row],[5 cm2 cell test code]:[5 cm2 cell test code]],[1]!Table1[[Test code]:[Test code]],[1]!Table1[HFR 10 mM KOH/ mOhm cm2],"",0)</f>
        <v>#REF!</v>
      </c>
      <c r="AF993" s="69" t="e" cm="1">
        <f t="array" ref="AF993">_xlfn.XLOOKUP(Table1[[#This Row],[5 cm2 cell test code]:[5 cm2 cell test code]],[1]!Table1[[Test code]:[Test code]],[1]!Table1[Ionic resistance DIW/Ohm cm2],"",0)</f>
        <v>#REF!</v>
      </c>
      <c r="AG993" s="69" t="e" cm="1">
        <f t="array" ref="AG993">_xlfn.XLOOKUP(Table1[[#This Row],[5 cm2 cell test code]:[5 cm2 cell test code]],[1]!Table1[[Test code]:[Test code]],[1]!Table1[Q_int_frac DIW],"",0)</f>
        <v>#REF!</v>
      </c>
      <c r="AH993" s="69" t="e" cm="1">
        <f t="array" ref="AH993">_xlfn.XLOOKUP(Table1[[#This Row],[5 cm2 cell test code]:[5 cm2 cell test code]],[1]!Table1[[Test code]:[Test code]],[1]!Table1[Ionic resistance 10 mM KOH/Ohm cm2],"",0)</f>
        <v>#REF!</v>
      </c>
      <c r="AI993" s="69" t="e" cm="1">
        <f t="array" ref="AI993">_xlfn.XLOOKUP(Table1[[#This Row],[5 cm2 cell test code]:[5 cm2 cell test code]],[1]!Table1[[Test code]:[Test code]],[1]!Table1[Q_int_frac DIW 10 mM KOH],"",0)</f>
        <v>#REF!</v>
      </c>
      <c r="AJ993" s="69" t="e" cm="1">
        <f t="array" ref="AJ993">_xlfn.XLOOKUP(Table1[[#This Row],[5 cm2 cell test code]:[5 cm2 cell test code]],[1]!Table1[[Test code]:[Test code]],[1]!Table1[DIW conductivity (µS/cm)],"",0)</f>
        <v>#REF!</v>
      </c>
    </row>
    <row r="994" spans="1:36">
      <c r="A994" s="81"/>
      <c r="U994" s="101"/>
      <c r="V994" s="101"/>
      <c r="W994" s="69" t="e" cm="1">
        <f t="array" ref="W994">_xlfn.XLOOKUP(Table1[[#This Row],[5 cm2 cell test code]:[5 cm2 cell test code]],[1]!Table1[[Test code]:[Test code]],[1]!Table1[i @ 1.8 V DIW (A/cm2)],"",0)</f>
        <v>#REF!</v>
      </c>
      <c r="X994" s="69" t="e" cm="1">
        <f t="array" ref="X994">_xlfn.XLOOKUP(Table1[[#This Row],[5 cm2 cell test code]:[5 cm2 cell test code]],[1]!Table1[[Test code]:[Test code]],[1]!Table1[i @ 1.8 V 10 mM KOH (A/cm2)],"",0)</f>
        <v>#REF!</v>
      </c>
      <c r="Y994" s="69" t="e" cm="1">
        <f t="array" ref="Y994">_xlfn.XLOOKUP(Table1[[#This Row],[5 cm2 cell test code]:[5 cm2 cell test code]],[1]!Table1[[Test code]:[Test code]],[1]!Table1[3-E ƞ at 20mAcm-2 (mV)],"",0)</f>
        <v>#REF!</v>
      </c>
      <c r="Z994" s="69" t="e" cm="1">
        <f t="array" ref="Z994">_xlfn.XLOOKUP(Table1[[#This Row],[5 cm2 cell test code]:[5 cm2 cell test code]],[1]!Table1[[Test code]:[Test code]],[1]!Table1[3-E Tafel slope (mV/dec)],"",0)</f>
        <v>#REF!</v>
      </c>
      <c r="AA994" s="69" t="e" cm="1">
        <f t="array" ref="AA994">_xlfn.XLOOKUP(Table1[[#This Row],[5 cm2 cell test code]:[5 cm2 cell test code]],[1]!Table1[[Test code]:[Test code]],[1]!Table1[E @ 100 mA/cm2 DIW/V],"",0)</f>
        <v>#REF!</v>
      </c>
      <c r="AB994" s="69" t="e" cm="1">
        <f t="array" ref="AB994">_xlfn.XLOOKUP(Table1[[#This Row],[5 cm2 cell test code]:[5 cm2 cell test code]],[1]!Table1[[Test code]:[Test code]],[1]!Table1[E @ 100 mA/cm2 10 mM KOH/V],"",0)</f>
        <v>#REF!</v>
      </c>
      <c r="AC994" s="69" t="e" cm="1">
        <f t="array" ref="AC994">_xlfn.XLOOKUP(Table1[[#This Row],[5 cm2 cell test code]:[5 cm2 cell test code]],[1]!Table1[[Test code]:[Test code]],[1]!Table1[Anode ICR/mOhm],"",0)</f>
        <v>#REF!</v>
      </c>
      <c r="AD994" s="69" t="e" cm="1">
        <f t="array" ref="AD994">_xlfn.XLOOKUP(Table1[[#This Row],[5 cm2 cell test code]:[5 cm2 cell test code]],[1]!Table1[[Test code]:[Test code]],[1]!Table1[HFR DIW/ mOhm cm2],"",0)</f>
        <v>#REF!</v>
      </c>
      <c r="AE994" s="69" t="e" cm="1">
        <f t="array" ref="AE994">_xlfn.XLOOKUP(Table1[[#This Row],[5 cm2 cell test code]:[5 cm2 cell test code]],[1]!Table1[[Test code]:[Test code]],[1]!Table1[HFR 10 mM KOH/ mOhm cm2],"",0)</f>
        <v>#REF!</v>
      </c>
      <c r="AF994" s="69" t="e" cm="1">
        <f t="array" ref="AF994">_xlfn.XLOOKUP(Table1[[#This Row],[5 cm2 cell test code]:[5 cm2 cell test code]],[1]!Table1[[Test code]:[Test code]],[1]!Table1[Ionic resistance DIW/Ohm cm2],"",0)</f>
        <v>#REF!</v>
      </c>
      <c r="AG994" s="69" t="e" cm="1">
        <f t="array" ref="AG994">_xlfn.XLOOKUP(Table1[[#This Row],[5 cm2 cell test code]:[5 cm2 cell test code]],[1]!Table1[[Test code]:[Test code]],[1]!Table1[Q_int_frac DIW],"",0)</f>
        <v>#REF!</v>
      </c>
      <c r="AH994" s="69" t="e" cm="1">
        <f t="array" ref="AH994">_xlfn.XLOOKUP(Table1[[#This Row],[5 cm2 cell test code]:[5 cm2 cell test code]],[1]!Table1[[Test code]:[Test code]],[1]!Table1[Ionic resistance 10 mM KOH/Ohm cm2],"",0)</f>
        <v>#REF!</v>
      </c>
      <c r="AI994" s="69" t="e" cm="1">
        <f t="array" ref="AI994">_xlfn.XLOOKUP(Table1[[#This Row],[5 cm2 cell test code]:[5 cm2 cell test code]],[1]!Table1[[Test code]:[Test code]],[1]!Table1[Q_int_frac DIW 10 mM KOH],"",0)</f>
        <v>#REF!</v>
      </c>
      <c r="AJ994" s="69" t="e" cm="1">
        <f t="array" ref="AJ994">_xlfn.XLOOKUP(Table1[[#This Row],[5 cm2 cell test code]:[5 cm2 cell test code]],[1]!Table1[[Test code]:[Test code]],[1]!Table1[DIW conductivity (µS/cm)],"",0)</f>
        <v>#REF!</v>
      </c>
    </row>
    <row r="995" spans="1:36">
      <c r="A995" s="81"/>
      <c r="U995" s="101"/>
      <c r="V995" s="101"/>
      <c r="W995" s="69" t="e" cm="1">
        <f t="array" ref="W995">_xlfn.XLOOKUP(Table1[[#This Row],[5 cm2 cell test code]:[5 cm2 cell test code]],[1]!Table1[[Test code]:[Test code]],[1]!Table1[i @ 1.8 V DIW (A/cm2)],"",0)</f>
        <v>#REF!</v>
      </c>
      <c r="X995" s="69" t="e" cm="1">
        <f t="array" ref="X995">_xlfn.XLOOKUP(Table1[[#This Row],[5 cm2 cell test code]:[5 cm2 cell test code]],[1]!Table1[[Test code]:[Test code]],[1]!Table1[i @ 1.8 V 10 mM KOH (A/cm2)],"",0)</f>
        <v>#REF!</v>
      </c>
      <c r="Y995" s="69" t="e" cm="1">
        <f t="array" ref="Y995">_xlfn.XLOOKUP(Table1[[#This Row],[5 cm2 cell test code]:[5 cm2 cell test code]],[1]!Table1[[Test code]:[Test code]],[1]!Table1[3-E ƞ at 20mAcm-2 (mV)],"",0)</f>
        <v>#REF!</v>
      </c>
      <c r="Z995" s="69" t="e" cm="1">
        <f t="array" ref="Z995">_xlfn.XLOOKUP(Table1[[#This Row],[5 cm2 cell test code]:[5 cm2 cell test code]],[1]!Table1[[Test code]:[Test code]],[1]!Table1[3-E Tafel slope (mV/dec)],"",0)</f>
        <v>#REF!</v>
      </c>
      <c r="AA995" s="69" t="e" cm="1">
        <f t="array" ref="AA995">_xlfn.XLOOKUP(Table1[[#This Row],[5 cm2 cell test code]:[5 cm2 cell test code]],[1]!Table1[[Test code]:[Test code]],[1]!Table1[E @ 100 mA/cm2 DIW/V],"",0)</f>
        <v>#REF!</v>
      </c>
      <c r="AB995" s="69" t="e" cm="1">
        <f t="array" ref="AB995">_xlfn.XLOOKUP(Table1[[#This Row],[5 cm2 cell test code]:[5 cm2 cell test code]],[1]!Table1[[Test code]:[Test code]],[1]!Table1[E @ 100 mA/cm2 10 mM KOH/V],"",0)</f>
        <v>#REF!</v>
      </c>
      <c r="AC995" s="69" t="e" cm="1">
        <f t="array" ref="AC995">_xlfn.XLOOKUP(Table1[[#This Row],[5 cm2 cell test code]:[5 cm2 cell test code]],[1]!Table1[[Test code]:[Test code]],[1]!Table1[Anode ICR/mOhm],"",0)</f>
        <v>#REF!</v>
      </c>
      <c r="AD995" s="69" t="e" cm="1">
        <f t="array" ref="AD995">_xlfn.XLOOKUP(Table1[[#This Row],[5 cm2 cell test code]:[5 cm2 cell test code]],[1]!Table1[[Test code]:[Test code]],[1]!Table1[HFR DIW/ mOhm cm2],"",0)</f>
        <v>#REF!</v>
      </c>
      <c r="AE995" s="69" t="e" cm="1">
        <f t="array" ref="AE995">_xlfn.XLOOKUP(Table1[[#This Row],[5 cm2 cell test code]:[5 cm2 cell test code]],[1]!Table1[[Test code]:[Test code]],[1]!Table1[HFR 10 mM KOH/ mOhm cm2],"",0)</f>
        <v>#REF!</v>
      </c>
      <c r="AF995" s="69" t="e" cm="1">
        <f t="array" ref="AF995">_xlfn.XLOOKUP(Table1[[#This Row],[5 cm2 cell test code]:[5 cm2 cell test code]],[1]!Table1[[Test code]:[Test code]],[1]!Table1[Ionic resistance DIW/Ohm cm2],"",0)</f>
        <v>#REF!</v>
      </c>
      <c r="AG995" s="69" t="e" cm="1">
        <f t="array" ref="AG995">_xlfn.XLOOKUP(Table1[[#This Row],[5 cm2 cell test code]:[5 cm2 cell test code]],[1]!Table1[[Test code]:[Test code]],[1]!Table1[Q_int_frac DIW],"",0)</f>
        <v>#REF!</v>
      </c>
      <c r="AH995" s="69" t="e" cm="1">
        <f t="array" ref="AH995">_xlfn.XLOOKUP(Table1[[#This Row],[5 cm2 cell test code]:[5 cm2 cell test code]],[1]!Table1[[Test code]:[Test code]],[1]!Table1[Ionic resistance 10 mM KOH/Ohm cm2],"",0)</f>
        <v>#REF!</v>
      </c>
      <c r="AI995" s="69" t="e" cm="1">
        <f t="array" ref="AI995">_xlfn.XLOOKUP(Table1[[#This Row],[5 cm2 cell test code]:[5 cm2 cell test code]],[1]!Table1[[Test code]:[Test code]],[1]!Table1[Q_int_frac DIW 10 mM KOH],"",0)</f>
        <v>#REF!</v>
      </c>
      <c r="AJ995" s="69" t="e" cm="1">
        <f t="array" ref="AJ995">_xlfn.XLOOKUP(Table1[[#This Row],[5 cm2 cell test code]:[5 cm2 cell test code]],[1]!Table1[[Test code]:[Test code]],[1]!Table1[DIW conductivity (µS/cm)],"",0)</f>
        <v>#REF!</v>
      </c>
    </row>
    <row r="996" spans="1:36">
      <c r="A996" s="81"/>
      <c r="U996" s="101"/>
      <c r="V996" s="101"/>
      <c r="W996" s="69" t="e" cm="1">
        <f t="array" ref="W996">_xlfn.XLOOKUP(Table1[[#This Row],[5 cm2 cell test code]:[5 cm2 cell test code]],[1]!Table1[[Test code]:[Test code]],[1]!Table1[i @ 1.8 V DIW (A/cm2)],"",0)</f>
        <v>#REF!</v>
      </c>
      <c r="X996" s="69" t="e" cm="1">
        <f t="array" ref="X996">_xlfn.XLOOKUP(Table1[[#This Row],[5 cm2 cell test code]:[5 cm2 cell test code]],[1]!Table1[[Test code]:[Test code]],[1]!Table1[i @ 1.8 V 10 mM KOH (A/cm2)],"",0)</f>
        <v>#REF!</v>
      </c>
      <c r="Y996" s="69" t="e" cm="1">
        <f t="array" ref="Y996">_xlfn.XLOOKUP(Table1[[#This Row],[5 cm2 cell test code]:[5 cm2 cell test code]],[1]!Table1[[Test code]:[Test code]],[1]!Table1[3-E ƞ at 20mAcm-2 (mV)],"",0)</f>
        <v>#REF!</v>
      </c>
      <c r="Z996" s="69" t="e" cm="1">
        <f t="array" ref="Z996">_xlfn.XLOOKUP(Table1[[#This Row],[5 cm2 cell test code]:[5 cm2 cell test code]],[1]!Table1[[Test code]:[Test code]],[1]!Table1[3-E Tafel slope (mV/dec)],"",0)</f>
        <v>#REF!</v>
      </c>
      <c r="AA996" s="69" t="e" cm="1">
        <f t="array" ref="AA996">_xlfn.XLOOKUP(Table1[[#This Row],[5 cm2 cell test code]:[5 cm2 cell test code]],[1]!Table1[[Test code]:[Test code]],[1]!Table1[E @ 100 mA/cm2 DIW/V],"",0)</f>
        <v>#REF!</v>
      </c>
      <c r="AB996" s="69" t="e" cm="1">
        <f t="array" ref="AB996">_xlfn.XLOOKUP(Table1[[#This Row],[5 cm2 cell test code]:[5 cm2 cell test code]],[1]!Table1[[Test code]:[Test code]],[1]!Table1[E @ 100 mA/cm2 10 mM KOH/V],"",0)</f>
        <v>#REF!</v>
      </c>
      <c r="AC996" s="69" t="e" cm="1">
        <f t="array" ref="AC996">_xlfn.XLOOKUP(Table1[[#This Row],[5 cm2 cell test code]:[5 cm2 cell test code]],[1]!Table1[[Test code]:[Test code]],[1]!Table1[Anode ICR/mOhm],"",0)</f>
        <v>#REF!</v>
      </c>
      <c r="AD996" s="69" t="e" cm="1">
        <f t="array" ref="AD996">_xlfn.XLOOKUP(Table1[[#This Row],[5 cm2 cell test code]:[5 cm2 cell test code]],[1]!Table1[[Test code]:[Test code]],[1]!Table1[HFR DIW/ mOhm cm2],"",0)</f>
        <v>#REF!</v>
      </c>
      <c r="AE996" s="69" t="e" cm="1">
        <f t="array" ref="AE996">_xlfn.XLOOKUP(Table1[[#This Row],[5 cm2 cell test code]:[5 cm2 cell test code]],[1]!Table1[[Test code]:[Test code]],[1]!Table1[HFR 10 mM KOH/ mOhm cm2],"",0)</f>
        <v>#REF!</v>
      </c>
      <c r="AF996" s="69" t="e" cm="1">
        <f t="array" ref="AF996">_xlfn.XLOOKUP(Table1[[#This Row],[5 cm2 cell test code]:[5 cm2 cell test code]],[1]!Table1[[Test code]:[Test code]],[1]!Table1[Ionic resistance DIW/Ohm cm2],"",0)</f>
        <v>#REF!</v>
      </c>
      <c r="AG996" s="69" t="e" cm="1">
        <f t="array" ref="AG996">_xlfn.XLOOKUP(Table1[[#This Row],[5 cm2 cell test code]:[5 cm2 cell test code]],[1]!Table1[[Test code]:[Test code]],[1]!Table1[Q_int_frac DIW],"",0)</f>
        <v>#REF!</v>
      </c>
      <c r="AH996" s="69" t="e" cm="1">
        <f t="array" ref="AH996">_xlfn.XLOOKUP(Table1[[#This Row],[5 cm2 cell test code]:[5 cm2 cell test code]],[1]!Table1[[Test code]:[Test code]],[1]!Table1[Ionic resistance 10 mM KOH/Ohm cm2],"",0)</f>
        <v>#REF!</v>
      </c>
      <c r="AI996" s="69" t="e" cm="1">
        <f t="array" ref="AI996">_xlfn.XLOOKUP(Table1[[#This Row],[5 cm2 cell test code]:[5 cm2 cell test code]],[1]!Table1[[Test code]:[Test code]],[1]!Table1[Q_int_frac DIW 10 mM KOH],"",0)</f>
        <v>#REF!</v>
      </c>
      <c r="AJ996" s="69" t="e" cm="1">
        <f t="array" ref="AJ996">_xlfn.XLOOKUP(Table1[[#This Row],[5 cm2 cell test code]:[5 cm2 cell test code]],[1]!Table1[[Test code]:[Test code]],[1]!Table1[DIW conductivity (µS/cm)],"",0)</f>
        <v>#REF!</v>
      </c>
    </row>
    <row r="997" spans="1:36">
      <c r="A997" s="81"/>
      <c r="U997" s="101"/>
      <c r="V997" s="101"/>
      <c r="W997" s="69" t="e" cm="1">
        <f t="array" ref="W997">_xlfn.XLOOKUP(Table1[[#This Row],[5 cm2 cell test code]:[5 cm2 cell test code]],[1]!Table1[[Test code]:[Test code]],[1]!Table1[i @ 1.8 V DIW (A/cm2)],"",0)</f>
        <v>#REF!</v>
      </c>
      <c r="X997" s="69" t="e" cm="1">
        <f t="array" ref="X997">_xlfn.XLOOKUP(Table1[[#This Row],[5 cm2 cell test code]:[5 cm2 cell test code]],[1]!Table1[[Test code]:[Test code]],[1]!Table1[i @ 1.8 V 10 mM KOH (A/cm2)],"",0)</f>
        <v>#REF!</v>
      </c>
      <c r="Y997" s="69" t="e" cm="1">
        <f t="array" ref="Y997">_xlfn.XLOOKUP(Table1[[#This Row],[5 cm2 cell test code]:[5 cm2 cell test code]],[1]!Table1[[Test code]:[Test code]],[1]!Table1[3-E ƞ at 20mAcm-2 (mV)],"",0)</f>
        <v>#REF!</v>
      </c>
      <c r="Z997" s="69" t="e" cm="1">
        <f t="array" ref="Z997">_xlfn.XLOOKUP(Table1[[#This Row],[5 cm2 cell test code]:[5 cm2 cell test code]],[1]!Table1[[Test code]:[Test code]],[1]!Table1[3-E Tafel slope (mV/dec)],"",0)</f>
        <v>#REF!</v>
      </c>
      <c r="AA997" s="69" t="e" cm="1">
        <f t="array" ref="AA997">_xlfn.XLOOKUP(Table1[[#This Row],[5 cm2 cell test code]:[5 cm2 cell test code]],[1]!Table1[[Test code]:[Test code]],[1]!Table1[E @ 100 mA/cm2 DIW/V],"",0)</f>
        <v>#REF!</v>
      </c>
      <c r="AB997" s="69" t="e" cm="1">
        <f t="array" ref="AB997">_xlfn.XLOOKUP(Table1[[#This Row],[5 cm2 cell test code]:[5 cm2 cell test code]],[1]!Table1[[Test code]:[Test code]],[1]!Table1[E @ 100 mA/cm2 10 mM KOH/V],"",0)</f>
        <v>#REF!</v>
      </c>
      <c r="AC997" s="69" t="e" cm="1">
        <f t="array" ref="AC997">_xlfn.XLOOKUP(Table1[[#This Row],[5 cm2 cell test code]:[5 cm2 cell test code]],[1]!Table1[[Test code]:[Test code]],[1]!Table1[Anode ICR/mOhm],"",0)</f>
        <v>#REF!</v>
      </c>
      <c r="AD997" s="69" t="e" cm="1">
        <f t="array" ref="AD997">_xlfn.XLOOKUP(Table1[[#This Row],[5 cm2 cell test code]:[5 cm2 cell test code]],[1]!Table1[[Test code]:[Test code]],[1]!Table1[HFR DIW/ mOhm cm2],"",0)</f>
        <v>#REF!</v>
      </c>
      <c r="AE997" s="69" t="e" cm="1">
        <f t="array" ref="AE997">_xlfn.XLOOKUP(Table1[[#This Row],[5 cm2 cell test code]:[5 cm2 cell test code]],[1]!Table1[[Test code]:[Test code]],[1]!Table1[HFR 10 mM KOH/ mOhm cm2],"",0)</f>
        <v>#REF!</v>
      </c>
      <c r="AF997" s="69" t="e" cm="1">
        <f t="array" ref="AF997">_xlfn.XLOOKUP(Table1[[#This Row],[5 cm2 cell test code]:[5 cm2 cell test code]],[1]!Table1[[Test code]:[Test code]],[1]!Table1[Ionic resistance DIW/Ohm cm2],"",0)</f>
        <v>#REF!</v>
      </c>
      <c r="AG997" s="69" t="e" cm="1">
        <f t="array" ref="AG997">_xlfn.XLOOKUP(Table1[[#This Row],[5 cm2 cell test code]:[5 cm2 cell test code]],[1]!Table1[[Test code]:[Test code]],[1]!Table1[Q_int_frac DIW],"",0)</f>
        <v>#REF!</v>
      </c>
      <c r="AH997" s="69" t="e" cm="1">
        <f t="array" ref="AH997">_xlfn.XLOOKUP(Table1[[#This Row],[5 cm2 cell test code]:[5 cm2 cell test code]],[1]!Table1[[Test code]:[Test code]],[1]!Table1[Ionic resistance 10 mM KOH/Ohm cm2],"",0)</f>
        <v>#REF!</v>
      </c>
      <c r="AI997" s="69" t="e" cm="1">
        <f t="array" ref="AI997">_xlfn.XLOOKUP(Table1[[#This Row],[5 cm2 cell test code]:[5 cm2 cell test code]],[1]!Table1[[Test code]:[Test code]],[1]!Table1[Q_int_frac DIW 10 mM KOH],"",0)</f>
        <v>#REF!</v>
      </c>
      <c r="AJ997" s="69" t="e" cm="1">
        <f t="array" ref="AJ997">_xlfn.XLOOKUP(Table1[[#This Row],[5 cm2 cell test code]:[5 cm2 cell test code]],[1]!Table1[[Test code]:[Test code]],[1]!Table1[DIW conductivity (µS/cm)],"",0)</f>
        <v>#REF!</v>
      </c>
    </row>
    <row r="998" spans="1:36">
      <c r="A998" s="81"/>
      <c r="U998" s="101"/>
      <c r="V998" s="101"/>
      <c r="W998" s="69" t="e" cm="1">
        <f t="array" ref="W998">_xlfn.XLOOKUP(Table1[[#This Row],[5 cm2 cell test code]:[5 cm2 cell test code]],[1]!Table1[[Test code]:[Test code]],[1]!Table1[i @ 1.8 V DIW (A/cm2)],"",0)</f>
        <v>#REF!</v>
      </c>
      <c r="X998" s="69" t="e" cm="1">
        <f t="array" ref="X998">_xlfn.XLOOKUP(Table1[[#This Row],[5 cm2 cell test code]:[5 cm2 cell test code]],[1]!Table1[[Test code]:[Test code]],[1]!Table1[i @ 1.8 V 10 mM KOH (A/cm2)],"",0)</f>
        <v>#REF!</v>
      </c>
      <c r="Y998" s="69" t="e" cm="1">
        <f t="array" ref="Y998">_xlfn.XLOOKUP(Table1[[#This Row],[5 cm2 cell test code]:[5 cm2 cell test code]],[1]!Table1[[Test code]:[Test code]],[1]!Table1[3-E ƞ at 20mAcm-2 (mV)],"",0)</f>
        <v>#REF!</v>
      </c>
      <c r="Z998" s="69" t="e" cm="1">
        <f t="array" ref="Z998">_xlfn.XLOOKUP(Table1[[#This Row],[5 cm2 cell test code]:[5 cm2 cell test code]],[1]!Table1[[Test code]:[Test code]],[1]!Table1[3-E Tafel slope (mV/dec)],"",0)</f>
        <v>#REF!</v>
      </c>
      <c r="AA998" s="69" t="e" cm="1">
        <f t="array" ref="AA998">_xlfn.XLOOKUP(Table1[[#This Row],[5 cm2 cell test code]:[5 cm2 cell test code]],[1]!Table1[[Test code]:[Test code]],[1]!Table1[E @ 100 mA/cm2 DIW/V],"",0)</f>
        <v>#REF!</v>
      </c>
      <c r="AB998" s="69" t="e" cm="1">
        <f t="array" ref="AB998">_xlfn.XLOOKUP(Table1[[#This Row],[5 cm2 cell test code]:[5 cm2 cell test code]],[1]!Table1[[Test code]:[Test code]],[1]!Table1[E @ 100 mA/cm2 10 mM KOH/V],"",0)</f>
        <v>#REF!</v>
      </c>
      <c r="AC998" s="69" t="e" cm="1">
        <f t="array" ref="AC998">_xlfn.XLOOKUP(Table1[[#This Row],[5 cm2 cell test code]:[5 cm2 cell test code]],[1]!Table1[[Test code]:[Test code]],[1]!Table1[Anode ICR/mOhm],"",0)</f>
        <v>#REF!</v>
      </c>
      <c r="AD998" s="69" t="e" cm="1">
        <f t="array" ref="AD998">_xlfn.XLOOKUP(Table1[[#This Row],[5 cm2 cell test code]:[5 cm2 cell test code]],[1]!Table1[[Test code]:[Test code]],[1]!Table1[HFR DIW/ mOhm cm2],"",0)</f>
        <v>#REF!</v>
      </c>
      <c r="AE998" s="69" t="e" cm="1">
        <f t="array" ref="AE998">_xlfn.XLOOKUP(Table1[[#This Row],[5 cm2 cell test code]:[5 cm2 cell test code]],[1]!Table1[[Test code]:[Test code]],[1]!Table1[HFR 10 mM KOH/ mOhm cm2],"",0)</f>
        <v>#REF!</v>
      </c>
      <c r="AF998" s="69" t="e" cm="1">
        <f t="array" ref="AF998">_xlfn.XLOOKUP(Table1[[#This Row],[5 cm2 cell test code]:[5 cm2 cell test code]],[1]!Table1[[Test code]:[Test code]],[1]!Table1[Ionic resistance DIW/Ohm cm2],"",0)</f>
        <v>#REF!</v>
      </c>
      <c r="AG998" s="69" t="e" cm="1">
        <f t="array" ref="AG998">_xlfn.XLOOKUP(Table1[[#This Row],[5 cm2 cell test code]:[5 cm2 cell test code]],[1]!Table1[[Test code]:[Test code]],[1]!Table1[Q_int_frac DIW],"",0)</f>
        <v>#REF!</v>
      </c>
      <c r="AH998" s="69" t="e" cm="1">
        <f t="array" ref="AH998">_xlfn.XLOOKUP(Table1[[#This Row],[5 cm2 cell test code]:[5 cm2 cell test code]],[1]!Table1[[Test code]:[Test code]],[1]!Table1[Ionic resistance 10 mM KOH/Ohm cm2],"",0)</f>
        <v>#REF!</v>
      </c>
      <c r="AI998" s="69" t="e" cm="1">
        <f t="array" ref="AI998">_xlfn.XLOOKUP(Table1[[#This Row],[5 cm2 cell test code]:[5 cm2 cell test code]],[1]!Table1[[Test code]:[Test code]],[1]!Table1[Q_int_frac DIW 10 mM KOH],"",0)</f>
        <v>#REF!</v>
      </c>
      <c r="AJ998" s="69" t="e" cm="1">
        <f t="array" ref="AJ998">_xlfn.XLOOKUP(Table1[[#This Row],[5 cm2 cell test code]:[5 cm2 cell test code]],[1]!Table1[[Test code]:[Test code]],[1]!Table1[DIW conductivity (µS/cm)],"",0)</f>
        <v>#REF!</v>
      </c>
    </row>
    <row r="999" spans="1:36">
      <c r="A999" s="81"/>
      <c r="U999" s="101"/>
      <c r="V999" s="101"/>
      <c r="W999" s="69" t="e" cm="1">
        <f t="array" ref="W999">_xlfn.XLOOKUP(Table1[[#This Row],[5 cm2 cell test code]:[5 cm2 cell test code]],[1]!Table1[[Test code]:[Test code]],[1]!Table1[i @ 1.8 V DIW (A/cm2)],"",0)</f>
        <v>#REF!</v>
      </c>
      <c r="X999" s="69" t="e" cm="1">
        <f t="array" ref="X999">_xlfn.XLOOKUP(Table1[[#This Row],[5 cm2 cell test code]:[5 cm2 cell test code]],[1]!Table1[[Test code]:[Test code]],[1]!Table1[i @ 1.8 V 10 mM KOH (A/cm2)],"",0)</f>
        <v>#REF!</v>
      </c>
      <c r="Y999" s="69" t="e" cm="1">
        <f t="array" ref="Y999">_xlfn.XLOOKUP(Table1[[#This Row],[5 cm2 cell test code]:[5 cm2 cell test code]],[1]!Table1[[Test code]:[Test code]],[1]!Table1[3-E ƞ at 20mAcm-2 (mV)],"",0)</f>
        <v>#REF!</v>
      </c>
      <c r="Z999" s="69" t="e" cm="1">
        <f t="array" ref="Z999">_xlfn.XLOOKUP(Table1[[#This Row],[5 cm2 cell test code]:[5 cm2 cell test code]],[1]!Table1[[Test code]:[Test code]],[1]!Table1[3-E Tafel slope (mV/dec)],"",0)</f>
        <v>#REF!</v>
      </c>
      <c r="AA999" s="69" t="e" cm="1">
        <f t="array" ref="AA999">_xlfn.XLOOKUP(Table1[[#This Row],[5 cm2 cell test code]:[5 cm2 cell test code]],[1]!Table1[[Test code]:[Test code]],[1]!Table1[E @ 100 mA/cm2 DIW/V],"",0)</f>
        <v>#REF!</v>
      </c>
      <c r="AB999" s="69" t="e" cm="1">
        <f t="array" ref="AB999">_xlfn.XLOOKUP(Table1[[#This Row],[5 cm2 cell test code]:[5 cm2 cell test code]],[1]!Table1[[Test code]:[Test code]],[1]!Table1[E @ 100 mA/cm2 10 mM KOH/V],"",0)</f>
        <v>#REF!</v>
      </c>
      <c r="AC999" s="69" t="e" cm="1">
        <f t="array" ref="AC999">_xlfn.XLOOKUP(Table1[[#This Row],[5 cm2 cell test code]:[5 cm2 cell test code]],[1]!Table1[[Test code]:[Test code]],[1]!Table1[Anode ICR/mOhm],"",0)</f>
        <v>#REF!</v>
      </c>
      <c r="AD999" s="69" t="e" cm="1">
        <f t="array" ref="AD999">_xlfn.XLOOKUP(Table1[[#This Row],[5 cm2 cell test code]:[5 cm2 cell test code]],[1]!Table1[[Test code]:[Test code]],[1]!Table1[HFR DIW/ mOhm cm2],"",0)</f>
        <v>#REF!</v>
      </c>
      <c r="AE999" s="69" t="e" cm="1">
        <f t="array" ref="AE999">_xlfn.XLOOKUP(Table1[[#This Row],[5 cm2 cell test code]:[5 cm2 cell test code]],[1]!Table1[[Test code]:[Test code]],[1]!Table1[HFR 10 mM KOH/ mOhm cm2],"",0)</f>
        <v>#REF!</v>
      </c>
      <c r="AF999" s="69" t="e" cm="1">
        <f t="array" ref="AF999">_xlfn.XLOOKUP(Table1[[#This Row],[5 cm2 cell test code]:[5 cm2 cell test code]],[1]!Table1[[Test code]:[Test code]],[1]!Table1[Ionic resistance DIW/Ohm cm2],"",0)</f>
        <v>#REF!</v>
      </c>
      <c r="AG999" s="69" t="e" cm="1">
        <f t="array" ref="AG999">_xlfn.XLOOKUP(Table1[[#This Row],[5 cm2 cell test code]:[5 cm2 cell test code]],[1]!Table1[[Test code]:[Test code]],[1]!Table1[Q_int_frac DIW],"",0)</f>
        <v>#REF!</v>
      </c>
      <c r="AH999" s="69" t="e" cm="1">
        <f t="array" ref="AH999">_xlfn.XLOOKUP(Table1[[#This Row],[5 cm2 cell test code]:[5 cm2 cell test code]],[1]!Table1[[Test code]:[Test code]],[1]!Table1[Ionic resistance 10 mM KOH/Ohm cm2],"",0)</f>
        <v>#REF!</v>
      </c>
      <c r="AI999" s="69" t="e" cm="1">
        <f t="array" ref="AI999">_xlfn.XLOOKUP(Table1[[#This Row],[5 cm2 cell test code]:[5 cm2 cell test code]],[1]!Table1[[Test code]:[Test code]],[1]!Table1[Q_int_frac DIW 10 mM KOH],"",0)</f>
        <v>#REF!</v>
      </c>
      <c r="AJ999" s="69" t="e" cm="1">
        <f t="array" ref="AJ999">_xlfn.XLOOKUP(Table1[[#This Row],[5 cm2 cell test code]:[5 cm2 cell test code]],[1]!Table1[[Test code]:[Test code]],[1]!Table1[DIW conductivity (µS/cm)],"",0)</f>
        <v>#REF!</v>
      </c>
    </row>
    <row r="1000" spans="1:36">
      <c r="A1000" s="81"/>
      <c r="U1000" s="101"/>
      <c r="V1000" s="101"/>
      <c r="W1000" s="69" t="e" cm="1">
        <f t="array" ref="W1000">_xlfn.XLOOKUP(Table1[[#This Row],[5 cm2 cell test code]:[5 cm2 cell test code]],[1]!Table1[[Test code]:[Test code]],[1]!Table1[i @ 1.8 V DIW (A/cm2)],"",0)</f>
        <v>#REF!</v>
      </c>
      <c r="X1000" s="69" t="e" cm="1">
        <f t="array" ref="X1000">_xlfn.XLOOKUP(Table1[[#This Row],[5 cm2 cell test code]:[5 cm2 cell test code]],[1]!Table1[[Test code]:[Test code]],[1]!Table1[i @ 1.8 V 10 mM KOH (A/cm2)],"",0)</f>
        <v>#REF!</v>
      </c>
      <c r="Y1000" s="69" t="e" cm="1">
        <f t="array" ref="Y1000">_xlfn.XLOOKUP(Table1[[#This Row],[5 cm2 cell test code]:[5 cm2 cell test code]],[1]!Table1[[Test code]:[Test code]],[1]!Table1[3-E ƞ at 20mAcm-2 (mV)],"",0)</f>
        <v>#REF!</v>
      </c>
      <c r="Z1000" s="69" t="e" cm="1">
        <f t="array" ref="Z1000">_xlfn.XLOOKUP(Table1[[#This Row],[5 cm2 cell test code]:[5 cm2 cell test code]],[1]!Table1[[Test code]:[Test code]],[1]!Table1[3-E Tafel slope (mV/dec)],"",0)</f>
        <v>#REF!</v>
      </c>
      <c r="AA1000" s="69" t="e" cm="1">
        <f t="array" ref="AA1000">_xlfn.XLOOKUP(Table1[[#This Row],[5 cm2 cell test code]:[5 cm2 cell test code]],[1]!Table1[[Test code]:[Test code]],[1]!Table1[E @ 100 mA/cm2 DIW/V],"",0)</f>
        <v>#REF!</v>
      </c>
      <c r="AB1000" s="69" t="e" cm="1">
        <f t="array" ref="AB1000">_xlfn.XLOOKUP(Table1[[#This Row],[5 cm2 cell test code]:[5 cm2 cell test code]],[1]!Table1[[Test code]:[Test code]],[1]!Table1[E @ 100 mA/cm2 10 mM KOH/V],"",0)</f>
        <v>#REF!</v>
      </c>
      <c r="AC1000" s="69" t="e" cm="1">
        <f t="array" ref="AC1000">_xlfn.XLOOKUP(Table1[[#This Row],[5 cm2 cell test code]:[5 cm2 cell test code]],[1]!Table1[[Test code]:[Test code]],[1]!Table1[Anode ICR/mOhm],"",0)</f>
        <v>#REF!</v>
      </c>
      <c r="AD1000" s="69" t="e" cm="1">
        <f t="array" ref="AD1000">_xlfn.XLOOKUP(Table1[[#This Row],[5 cm2 cell test code]:[5 cm2 cell test code]],[1]!Table1[[Test code]:[Test code]],[1]!Table1[HFR DIW/ mOhm cm2],"",0)</f>
        <v>#REF!</v>
      </c>
      <c r="AE1000" s="69" t="e" cm="1">
        <f t="array" ref="AE1000">_xlfn.XLOOKUP(Table1[[#This Row],[5 cm2 cell test code]:[5 cm2 cell test code]],[1]!Table1[[Test code]:[Test code]],[1]!Table1[HFR 10 mM KOH/ mOhm cm2],"",0)</f>
        <v>#REF!</v>
      </c>
      <c r="AF1000" s="69" t="e" cm="1">
        <f t="array" ref="AF1000">_xlfn.XLOOKUP(Table1[[#This Row],[5 cm2 cell test code]:[5 cm2 cell test code]],[1]!Table1[[Test code]:[Test code]],[1]!Table1[Ionic resistance DIW/Ohm cm2],"",0)</f>
        <v>#REF!</v>
      </c>
      <c r="AG1000" s="69" t="e" cm="1">
        <f t="array" ref="AG1000">_xlfn.XLOOKUP(Table1[[#This Row],[5 cm2 cell test code]:[5 cm2 cell test code]],[1]!Table1[[Test code]:[Test code]],[1]!Table1[Q_int_frac DIW],"",0)</f>
        <v>#REF!</v>
      </c>
      <c r="AH1000" s="69" t="e" cm="1">
        <f t="array" ref="AH1000">_xlfn.XLOOKUP(Table1[[#This Row],[5 cm2 cell test code]:[5 cm2 cell test code]],[1]!Table1[[Test code]:[Test code]],[1]!Table1[Ionic resistance 10 mM KOH/Ohm cm2],"",0)</f>
        <v>#REF!</v>
      </c>
      <c r="AI1000" s="69" t="e" cm="1">
        <f t="array" ref="AI1000">_xlfn.XLOOKUP(Table1[[#This Row],[5 cm2 cell test code]:[5 cm2 cell test code]],[1]!Table1[[Test code]:[Test code]],[1]!Table1[Q_int_frac DIW 10 mM KOH],"",0)</f>
        <v>#REF!</v>
      </c>
      <c r="AJ1000" s="69" t="e" cm="1">
        <f t="array" ref="AJ1000">_xlfn.XLOOKUP(Table1[[#This Row],[5 cm2 cell test code]:[5 cm2 cell test code]],[1]!Table1[[Test code]:[Test code]],[1]!Table1[DIW conductivity (µS/cm)],"",0)</f>
        <v>#REF!</v>
      </c>
    </row>
    <row r="1001" spans="1:36">
      <c r="A1001" s="81"/>
      <c r="U1001" s="101"/>
      <c r="V1001" s="101"/>
      <c r="W1001" s="69" t="e" cm="1">
        <f t="array" ref="W1001">_xlfn.XLOOKUP(Table1[[#This Row],[5 cm2 cell test code]:[5 cm2 cell test code]],[1]!Table1[[Test code]:[Test code]],[1]!Table1[i @ 1.8 V DIW (A/cm2)],"",0)</f>
        <v>#REF!</v>
      </c>
      <c r="X1001" s="69" t="e" cm="1">
        <f t="array" ref="X1001">_xlfn.XLOOKUP(Table1[[#This Row],[5 cm2 cell test code]:[5 cm2 cell test code]],[1]!Table1[[Test code]:[Test code]],[1]!Table1[i @ 1.8 V 10 mM KOH (A/cm2)],"",0)</f>
        <v>#REF!</v>
      </c>
      <c r="Y1001" s="69" t="e" cm="1">
        <f t="array" ref="Y1001">_xlfn.XLOOKUP(Table1[[#This Row],[5 cm2 cell test code]:[5 cm2 cell test code]],[1]!Table1[[Test code]:[Test code]],[1]!Table1[3-E ƞ at 20mAcm-2 (mV)],"",0)</f>
        <v>#REF!</v>
      </c>
      <c r="Z1001" s="69" t="e" cm="1">
        <f t="array" ref="Z1001">_xlfn.XLOOKUP(Table1[[#This Row],[5 cm2 cell test code]:[5 cm2 cell test code]],[1]!Table1[[Test code]:[Test code]],[1]!Table1[3-E Tafel slope (mV/dec)],"",0)</f>
        <v>#REF!</v>
      </c>
      <c r="AA1001" s="69" t="e" cm="1">
        <f t="array" ref="AA1001">_xlfn.XLOOKUP(Table1[[#This Row],[5 cm2 cell test code]:[5 cm2 cell test code]],[1]!Table1[[Test code]:[Test code]],[1]!Table1[E @ 100 mA/cm2 DIW/V],"",0)</f>
        <v>#REF!</v>
      </c>
      <c r="AB1001" s="69" t="e" cm="1">
        <f t="array" ref="AB1001">_xlfn.XLOOKUP(Table1[[#This Row],[5 cm2 cell test code]:[5 cm2 cell test code]],[1]!Table1[[Test code]:[Test code]],[1]!Table1[E @ 100 mA/cm2 10 mM KOH/V],"",0)</f>
        <v>#REF!</v>
      </c>
      <c r="AC1001" s="69" t="e" cm="1">
        <f t="array" ref="AC1001">_xlfn.XLOOKUP(Table1[[#This Row],[5 cm2 cell test code]:[5 cm2 cell test code]],[1]!Table1[[Test code]:[Test code]],[1]!Table1[Anode ICR/mOhm],"",0)</f>
        <v>#REF!</v>
      </c>
      <c r="AD1001" s="69" t="e" cm="1">
        <f t="array" ref="AD1001">_xlfn.XLOOKUP(Table1[[#This Row],[5 cm2 cell test code]:[5 cm2 cell test code]],[1]!Table1[[Test code]:[Test code]],[1]!Table1[HFR DIW/ mOhm cm2],"",0)</f>
        <v>#REF!</v>
      </c>
      <c r="AE1001" s="69" t="e" cm="1">
        <f t="array" ref="AE1001">_xlfn.XLOOKUP(Table1[[#This Row],[5 cm2 cell test code]:[5 cm2 cell test code]],[1]!Table1[[Test code]:[Test code]],[1]!Table1[HFR 10 mM KOH/ mOhm cm2],"",0)</f>
        <v>#REF!</v>
      </c>
      <c r="AF1001" s="69" t="e" cm="1">
        <f t="array" ref="AF1001">_xlfn.XLOOKUP(Table1[[#This Row],[5 cm2 cell test code]:[5 cm2 cell test code]],[1]!Table1[[Test code]:[Test code]],[1]!Table1[Ionic resistance DIW/Ohm cm2],"",0)</f>
        <v>#REF!</v>
      </c>
      <c r="AG1001" s="69" t="e" cm="1">
        <f t="array" ref="AG1001">_xlfn.XLOOKUP(Table1[[#This Row],[5 cm2 cell test code]:[5 cm2 cell test code]],[1]!Table1[[Test code]:[Test code]],[1]!Table1[Q_int_frac DIW],"",0)</f>
        <v>#REF!</v>
      </c>
      <c r="AH1001" s="69" t="e" cm="1">
        <f t="array" ref="AH1001">_xlfn.XLOOKUP(Table1[[#This Row],[5 cm2 cell test code]:[5 cm2 cell test code]],[1]!Table1[[Test code]:[Test code]],[1]!Table1[Ionic resistance 10 mM KOH/Ohm cm2],"",0)</f>
        <v>#REF!</v>
      </c>
      <c r="AI1001" s="69" t="e" cm="1">
        <f t="array" ref="AI1001">_xlfn.XLOOKUP(Table1[[#This Row],[5 cm2 cell test code]:[5 cm2 cell test code]],[1]!Table1[[Test code]:[Test code]],[1]!Table1[Q_int_frac DIW 10 mM KOH],"",0)</f>
        <v>#REF!</v>
      </c>
      <c r="AJ1001" s="69" t="e" cm="1">
        <f t="array" ref="AJ1001">_xlfn.XLOOKUP(Table1[[#This Row],[5 cm2 cell test code]:[5 cm2 cell test code]],[1]!Table1[[Test code]:[Test code]],[1]!Table1[DIW conductivity (µS/cm)],"",0)</f>
        <v>#REF!</v>
      </c>
    </row>
    <row r="1002" spans="1:36">
      <c r="A1002" s="81"/>
      <c r="U1002" s="101"/>
      <c r="V1002" s="101"/>
      <c r="W1002" s="69" t="e" cm="1">
        <f t="array" ref="W1002">_xlfn.XLOOKUP(Table1[[#This Row],[5 cm2 cell test code]:[5 cm2 cell test code]],[1]!Table1[[Test code]:[Test code]],[1]!Table1[i @ 1.8 V DIW (A/cm2)],"",0)</f>
        <v>#REF!</v>
      </c>
      <c r="X1002" s="69" t="e" cm="1">
        <f t="array" ref="X1002">_xlfn.XLOOKUP(Table1[[#This Row],[5 cm2 cell test code]:[5 cm2 cell test code]],[1]!Table1[[Test code]:[Test code]],[1]!Table1[i @ 1.8 V 10 mM KOH (A/cm2)],"",0)</f>
        <v>#REF!</v>
      </c>
      <c r="Y1002" s="69" t="e" cm="1">
        <f t="array" ref="Y1002">_xlfn.XLOOKUP(Table1[[#This Row],[5 cm2 cell test code]:[5 cm2 cell test code]],[1]!Table1[[Test code]:[Test code]],[1]!Table1[3-E ƞ at 20mAcm-2 (mV)],"",0)</f>
        <v>#REF!</v>
      </c>
      <c r="Z1002" s="69" t="e" cm="1">
        <f t="array" ref="Z1002">_xlfn.XLOOKUP(Table1[[#This Row],[5 cm2 cell test code]:[5 cm2 cell test code]],[1]!Table1[[Test code]:[Test code]],[1]!Table1[3-E Tafel slope (mV/dec)],"",0)</f>
        <v>#REF!</v>
      </c>
      <c r="AA1002" s="69" t="e" cm="1">
        <f t="array" ref="AA1002">_xlfn.XLOOKUP(Table1[[#This Row],[5 cm2 cell test code]:[5 cm2 cell test code]],[1]!Table1[[Test code]:[Test code]],[1]!Table1[E @ 100 mA/cm2 DIW/V],"",0)</f>
        <v>#REF!</v>
      </c>
      <c r="AB1002" s="69" t="e" cm="1">
        <f t="array" ref="AB1002">_xlfn.XLOOKUP(Table1[[#This Row],[5 cm2 cell test code]:[5 cm2 cell test code]],[1]!Table1[[Test code]:[Test code]],[1]!Table1[E @ 100 mA/cm2 10 mM KOH/V],"",0)</f>
        <v>#REF!</v>
      </c>
      <c r="AC1002" s="69" t="e" cm="1">
        <f t="array" ref="AC1002">_xlfn.XLOOKUP(Table1[[#This Row],[5 cm2 cell test code]:[5 cm2 cell test code]],[1]!Table1[[Test code]:[Test code]],[1]!Table1[Anode ICR/mOhm],"",0)</f>
        <v>#REF!</v>
      </c>
      <c r="AD1002" s="69" t="e" cm="1">
        <f t="array" ref="AD1002">_xlfn.XLOOKUP(Table1[[#This Row],[5 cm2 cell test code]:[5 cm2 cell test code]],[1]!Table1[[Test code]:[Test code]],[1]!Table1[HFR DIW/ mOhm cm2],"",0)</f>
        <v>#REF!</v>
      </c>
      <c r="AE1002" s="69" t="e" cm="1">
        <f t="array" ref="AE1002">_xlfn.XLOOKUP(Table1[[#This Row],[5 cm2 cell test code]:[5 cm2 cell test code]],[1]!Table1[[Test code]:[Test code]],[1]!Table1[HFR 10 mM KOH/ mOhm cm2],"",0)</f>
        <v>#REF!</v>
      </c>
      <c r="AF1002" s="69" t="e" cm="1">
        <f t="array" ref="AF1002">_xlfn.XLOOKUP(Table1[[#This Row],[5 cm2 cell test code]:[5 cm2 cell test code]],[1]!Table1[[Test code]:[Test code]],[1]!Table1[Ionic resistance DIW/Ohm cm2],"",0)</f>
        <v>#REF!</v>
      </c>
      <c r="AG1002" s="69" t="e" cm="1">
        <f t="array" ref="AG1002">_xlfn.XLOOKUP(Table1[[#This Row],[5 cm2 cell test code]:[5 cm2 cell test code]],[1]!Table1[[Test code]:[Test code]],[1]!Table1[Q_int_frac DIW],"",0)</f>
        <v>#REF!</v>
      </c>
      <c r="AH1002" s="69" t="e" cm="1">
        <f t="array" ref="AH1002">_xlfn.XLOOKUP(Table1[[#This Row],[5 cm2 cell test code]:[5 cm2 cell test code]],[1]!Table1[[Test code]:[Test code]],[1]!Table1[Ionic resistance 10 mM KOH/Ohm cm2],"",0)</f>
        <v>#REF!</v>
      </c>
      <c r="AI1002" s="69" t="e" cm="1">
        <f t="array" ref="AI1002">_xlfn.XLOOKUP(Table1[[#This Row],[5 cm2 cell test code]:[5 cm2 cell test code]],[1]!Table1[[Test code]:[Test code]],[1]!Table1[Q_int_frac DIW 10 mM KOH],"",0)</f>
        <v>#REF!</v>
      </c>
      <c r="AJ1002" s="69" t="e" cm="1">
        <f t="array" ref="AJ1002">_xlfn.XLOOKUP(Table1[[#This Row],[5 cm2 cell test code]:[5 cm2 cell test code]],[1]!Table1[[Test code]:[Test code]],[1]!Table1[DIW conductivity (µS/cm)],"",0)</f>
        <v>#REF!</v>
      </c>
    </row>
    <row r="1003" spans="1:36">
      <c r="A1003" s="81"/>
      <c r="U1003" s="101"/>
      <c r="V1003" s="101"/>
      <c r="W1003" s="69" t="e" cm="1">
        <f t="array" ref="W1003">_xlfn.XLOOKUP(Table1[[#This Row],[5 cm2 cell test code]:[5 cm2 cell test code]],[1]!Table1[[Test code]:[Test code]],[1]!Table1[i @ 1.8 V DIW (A/cm2)],"",0)</f>
        <v>#REF!</v>
      </c>
      <c r="X1003" s="69" t="e" cm="1">
        <f t="array" ref="X1003">_xlfn.XLOOKUP(Table1[[#This Row],[5 cm2 cell test code]:[5 cm2 cell test code]],[1]!Table1[[Test code]:[Test code]],[1]!Table1[i @ 1.8 V 10 mM KOH (A/cm2)],"",0)</f>
        <v>#REF!</v>
      </c>
      <c r="Y1003" s="69" t="e" cm="1">
        <f t="array" ref="Y1003">_xlfn.XLOOKUP(Table1[[#This Row],[5 cm2 cell test code]:[5 cm2 cell test code]],[1]!Table1[[Test code]:[Test code]],[1]!Table1[3-E ƞ at 20mAcm-2 (mV)],"",0)</f>
        <v>#REF!</v>
      </c>
      <c r="Z1003" s="69" t="e" cm="1">
        <f t="array" ref="Z1003">_xlfn.XLOOKUP(Table1[[#This Row],[5 cm2 cell test code]:[5 cm2 cell test code]],[1]!Table1[[Test code]:[Test code]],[1]!Table1[3-E Tafel slope (mV/dec)],"",0)</f>
        <v>#REF!</v>
      </c>
      <c r="AA1003" s="69" t="e" cm="1">
        <f t="array" ref="AA1003">_xlfn.XLOOKUP(Table1[[#This Row],[5 cm2 cell test code]:[5 cm2 cell test code]],[1]!Table1[[Test code]:[Test code]],[1]!Table1[E @ 100 mA/cm2 DIW/V],"",0)</f>
        <v>#REF!</v>
      </c>
      <c r="AB1003" s="69" t="e" cm="1">
        <f t="array" ref="AB1003">_xlfn.XLOOKUP(Table1[[#This Row],[5 cm2 cell test code]:[5 cm2 cell test code]],[1]!Table1[[Test code]:[Test code]],[1]!Table1[E @ 100 mA/cm2 10 mM KOH/V],"",0)</f>
        <v>#REF!</v>
      </c>
      <c r="AC1003" s="69" t="e" cm="1">
        <f t="array" ref="AC1003">_xlfn.XLOOKUP(Table1[[#This Row],[5 cm2 cell test code]:[5 cm2 cell test code]],[1]!Table1[[Test code]:[Test code]],[1]!Table1[Anode ICR/mOhm],"",0)</f>
        <v>#REF!</v>
      </c>
      <c r="AD1003" s="69" t="e" cm="1">
        <f t="array" ref="AD1003">_xlfn.XLOOKUP(Table1[[#This Row],[5 cm2 cell test code]:[5 cm2 cell test code]],[1]!Table1[[Test code]:[Test code]],[1]!Table1[HFR DIW/ mOhm cm2],"",0)</f>
        <v>#REF!</v>
      </c>
      <c r="AE1003" s="69" t="e" cm="1">
        <f t="array" ref="AE1003">_xlfn.XLOOKUP(Table1[[#This Row],[5 cm2 cell test code]:[5 cm2 cell test code]],[1]!Table1[[Test code]:[Test code]],[1]!Table1[HFR 10 mM KOH/ mOhm cm2],"",0)</f>
        <v>#REF!</v>
      </c>
      <c r="AF1003" s="69" t="e" cm="1">
        <f t="array" ref="AF1003">_xlfn.XLOOKUP(Table1[[#This Row],[5 cm2 cell test code]:[5 cm2 cell test code]],[1]!Table1[[Test code]:[Test code]],[1]!Table1[Ionic resistance DIW/Ohm cm2],"",0)</f>
        <v>#REF!</v>
      </c>
      <c r="AG1003" s="69" t="e" cm="1">
        <f t="array" ref="AG1003">_xlfn.XLOOKUP(Table1[[#This Row],[5 cm2 cell test code]:[5 cm2 cell test code]],[1]!Table1[[Test code]:[Test code]],[1]!Table1[Q_int_frac DIW],"",0)</f>
        <v>#REF!</v>
      </c>
      <c r="AH1003" s="69" t="e" cm="1">
        <f t="array" ref="AH1003">_xlfn.XLOOKUP(Table1[[#This Row],[5 cm2 cell test code]:[5 cm2 cell test code]],[1]!Table1[[Test code]:[Test code]],[1]!Table1[Ionic resistance 10 mM KOH/Ohm cm2],"",0)</f>
        <v>#REF!</v>
      </c>
      <c r="AI1003" s="69" t="e" cm="1">
        <f t="array" ref="AI1003">_xlfn.XLOOKUP(Table1[[#This Row],[5 cm2 cell test code]:[5 cm2 cell test code]],[1]!Table1[[Test code]:[Test code]],[1]!Table1[Q_int_frac DIW 10 mM KOH],"",0)</f>
        <v>#REF!</v>
      </c>
      <c r="AJ1003" s="69" t="e" cm="1">
        <f t="array" ref="AJ1003">_xlfn.XLOOKUP(Table1[[#This Row],[5 cm2 cell test code]:[5 cm2 cell test code]],[1]!Table1[[Test code]:[Test code]],[1]!Table1[DIW conductivity (µS/cm)],"",0)</f>
        <v>#REF!</v>
      </c>
    </row>
    <row r="1004" spans="1:36">
      <c r="A1004" s="81"/>
      <c r="U1004" s="101"/>
      <c r="V1004" s="101"/>
      <c r="W1004" s="69" t="e" cm="1">
        <f t="array" ref="W1004">_xlfn.XLOOKUP(Table1[[#This Row],[5 cm2 cell test code]:[5 cm2 cell test code]],[1]!Table1[[Test code]:[Test code]],[1]!Table1[i @ 1.8 V DIW (A/cm2)],"",0)</f>
        <v>#REF!</v>
      </c>
      <c r="X1004" s="69" t="e" cm="1">
        <f t="array" ref="X1004">_xlfn.XLOOKUP(Table1[[#This Row],[5 cm2 cell test code]:[5 cm2 cell test code]],[1]!Table1[[Test code]:[Test code]],[1]!Table1[i @ 1.8 V 10 mM KOH (A/cm2)],"",0)</f>
        <v>#REF!</v>
      </c>
      <c r="Y1004" s="69" t="e" cm="1">
        <f t="array" ref="Y1004">_xlfn.XLOOKUP(Table1[[#This Row],[5 cm2 cell test code]:[5 cm2 cell test code]],[1]!Table1[[Test code]:[Test code]],[1]!Table1[3-E ƞ at 20mAcm-2 (mV)],"",0)</f>
        <v>#REF!</v>
      </c>
      <c r="Z1004" s="69" t="e" cm="1">
        <f t="array" ref="Z1004">_xlfn.XLOOKUP(Table1[[#This Row],[5 cm2 cell test code]:[5 cm2 cell test code]],[1]!Table1[[Test code]:[Test code]],[1]!Table1[3-E Tafel slope (mV/dec)],"",0)</f>
        <v>#REF!</v>
      </c>
      <c r="AA1004" s="69" t="e" cm="1">
        <f t="array" ref="AA1004">_xlfn.XLOOKUP(Table1[[#This Row],[5 cm2 cell test code]:[5 cm2 cell test code]],[1]!Table1[[Test code]:[Test code]],[1]!Table1[E @ 100 mA/cm2 DIW/V],"",0)</f>
        <v>#REF!</v>
      </c>
      <c r="AB1004" s="69" t="e" cm="1">
        <f t="array" ref="AB1004">_xlfn.XLOOKUP(Table1[[#This Row],[5 cm2 cell test code]:[5 cm2 cell test code]],[1]!Table1[[Test code]:[Test code]],[1]!Table1[E @ 100 mA/cm2 10 mM KOH/V],"",0)</f>
        <v>#REF!</v>
      </c>
      <c r="AC1004" s="69" t="e" cm="1">
        <f t="array" ref="AC1004">_xlfn.XLOOKUP(Table1[[#This Row],[5 cm2 cell test code]:[5 cm2 cell test code]],[1]!Table1[[Test code]:[Test code]],[1]!Table1[Anode ICR/mOhm],"",0)</f>
        <v>#REF!</v>
      </c>
      <c r="AD1004" s="69" t="e" cm="1">
        <f t="array" ref="AD1004">_xlfn.XLOOKUP(Table1[[#This Row],[5 cm2 cell test code]:[5 cm2 cell test code]],[1]!Table1[[Test code]:[Test code]],[1]!Table1[HFR DIW/ mOhm cm2],"",0)</f>
        <v>#REF!</v>
      </c>
      <c r="AE1004" s="69" t="e" cm="1">
        <f t="array" ref="AE1004">_xlfn.XLOOKUP(Table1[[#This Row],[5 cm2 cell test code]:[5 cm2 cell test code]],[1]!Table1[[Test code]:[Test code]],[1]!Table1[HFR 10 mM KOH/ mOhm cm2],"",0)</f>
        <v>#REF!</v>
      </c>
      <c r="AF1004" s="69" t="e" cm="1">
        <f t="array" ref="AF1004">_xlfn.XLOOKUP(Table1[[#This Row],[5 cm2 cell test code]:[5 cm2 cell test code]],[1]!Table1[[Test code]:[Test code]],[1]!Table1[Ionic resistance DIW/Ohm cm2],"",0)</f>
        <v>#REF!</v>
      </c>
      <c r="AG1004" s="69" t="e" cm="1">
        <f t="array" ref="AG1004">_xlfn.XLOOKUP(Table1[[#This Row],[5 cm2 cell test code]:[5 cm2 cell test code]],[1]!Table1[[Test code]:[Test code]],[1]!Table1[Q_int_frac DIW],"",0)</f>
        <v>#REF!</v>
      </c>
      <c r="AH1004" s="69" t="e" cm="1">
        <f t="array" ref="AH1004">_xlfn.XLOOKUP(Table1[[#This Row],[5 cm2 cell test code]:[5 cm2 cell test code]],[1]!Table1[[Test code]:[Test code]],[1]!Table1[Ionic resistance 10 mM KOH/Ohm cm2],"",0)</f>
        <v>#REF!</v>
      </c>
      <c r="AI1004" s="69" t="e" cm="1">
        <f t="array" ref="AI1004">_xlfn.XLOOKUP(Table1[[#This Row],[5 cm2 cell test code]:[5 cm2 cell test code]],[1]!Table1[[Test code]:[Test code]],[1]!Table1[Q_int_frac DIW 10 mM KOH],"",0)</f>
        <v>#REF!</v>
      </c>
      <c r="AJ1004" s="69" t="e" cm="1">
        <f t="array" ref="AJ1004">_xlfn.XLOOKUP(Table1[[#This Row],[5 cm2 cell test code]:[5 cm2 cell test code]],[1]!Table1[[Test code]:[Test code]],[1]!Table1[DIW conductivity (µS/cm)],"",0)</f>
        <v>#REF!</v>
      </c>
    </row>
    <row r="1005" spans="1:36">
      <c r="A1005" s="81"/>
      <c r="U1005" s="101"/>
      <c r="V1005" s="101"/>
      <c r="W1005" s="69" t="e" cm="1">
        <f t="array" ref="W1005">_xlfn.XLOOKUP(Table1[[#This Row],[5 cm2 cell test code]:[5 cm2 cell test code]],[1]!Table1[[Test code]:[Test code]],[1]!Table1[i @ 1.8 V DIW (A/cm2)],"",0)</f>
        <v>#REF!</v>
      </c>
      <c r="X1005" s="69" t="e" cm="1">
        <f t="array" ref="X1005">_xlfn.XLOOKUP(Table1[[#This Row],[5 cm2 cell test code]:[5 cm2 cell test code]],[1]!Table1[[Test code]:[Test code]],[1]!Table1[i @ 1.8 V 10 mM KOH (A/cm2)],"",0)</f>
        <v>#REF!</v>
      </c>
      <c r="Y1005" s="69" t="e" cm="1">
        <f t="array" ref="Y1005">_xlfn.XLOOKUP(Table1[[#This Row],[5 cm2 cell test code]:[5 cm2 cell test code]],[1]!Table1[[Test code]:[Test code]],[1]!Table1[3-E ƞ at 20mAcm-2 (mV)],"",0)</f>
        <v>#REF!</v>
      </c>
      <c r="Z1005" s="69" t="e" cm="1">
        <f t="array" ref="Z1005">_xlfn.XLOOKUP(Table1[[#This Row],[5 cm2 cell test code]:[5 cm2 cell test code]],[1]!Table1[[Test code]:[Test code]],[1]!Table1[3-E Tafel slope (mV/dec)],"",0)</f>
        <v>#REF!</v>
      </c>
      <c r="AA1005" s="69" t="e" cm="1">
        <f t="array" ref="AA1005">_xlfn.XLOOKUP(Table1[[#This Row],[5 cm2 cell test code]:[5 cm2 cell test code]],[1]!Table1[[Test code]:[Test code]],[1]!Table1[E @ 100 mA/cm2 DIW/V],"",0)</f>
        <v>#REF!</v>
      </c>
      <c r="AB1005" s="69" t="e" cm="1">
        <f t="array" ref="AB1005">_xlfn.XLOOKUP(Table1[[#This Row],[5 cm2 cell test code]:[5 cm2 cell test code]],[1]!Table1[[Test code]:[Test code]],[1]!Table1[E @ 100 mA/cm2 10 mM KOH/V],"",0)</f>
        <v>#REF!</v>
      </c>
      <c r="AC1005" s="69" t="e" cm="1">
        <f t="array" ref="AC1005">_xlfn.XLOOKUP(Table1[[#This Row],[5 cm2 cell test code]:[5 cm2 cell test code]],[1]!Table1[[Test code]:[Test code]],[1]!Table1[Anode ICR/mOhm],"",0)</f>
        <v>#REF!</v>
      </c>
      <c r="AD1005" s="69" t="e" cm="1">
        <f t="array" ref="AD1005">_xlfn.XLOOKUP(Table1[[#This Row],[5 cm2 cell test code]:[5 cm2 cell test code]],[1]!Table1[[Test code]:[Test code]],[1]!Table1[HFR DIW/ mOhm cm2],"",0)</f>
        <v>#REF!</v>
      </c>
      <c r="AE1005" s="69" t="e" cm="1">
        <f t="array" ref="AE1005">_xlfn.XLOOKUP(Table1[[#This Row],[5 cm2 cell test code]:[5 cm2 cell test code]],[1]!Table1[[Test code]:[Test code]],[1]!Table1[HFR 10 mM KOH/ mOhm cm2],"",0)</f>
        <v>#REF!</v>
      </c>
      <c r="AF1005" s="69" t="e" cm="1">
        <f t="array" ref="AF1005">_xlfn.XLOOKUP(Table1[[#This Row],[5 cm2 cell test code]:[5 cm2 cell test code]],[1]!Table1[[Test code]:[Test code]],[1]!Table1[Ionic resistance DIW/Ohm cm2],"",0)</f>
        <v>#REF!</v>
      </c>
      <c r="AG1005" s="69" t="e" cm="1">
        <f t="array" ref="AG1005">_xlfn.XLOOKUP(Table1[[#This Row],[5 cm2 cell test code]:[5 cm2 cell test code]],[1]!Table1[[Test code]:[Test code]],[1]!Table1[Q_int_frac DIW],"",0)</f>
        <v>#REF!</v>
      </c>
      <c r="AH1005" s="69" t="e" cm="1">
        <f t="array" ref="AH1005">_xlfn.XLOOKUP(Table1[[#This Row],[5 cm2 cell test code]:[5 cm2 cell test code]],[1]!Table1[[Test code]:[Test code]],[1]!Table1[Ionic resistance 10 mM KOH/Ohm cm2],"",0)</f>
        <v>#REF!</v>
      </c>
      <c r="AI1005" s="69" t="e" cm="1">
        <f t="array" ref="AI1005">_xlfn.XLOOKUP(Table1[[#This Row],[5 cm2 cell test code]:[5 cm2 cell test code]],[1]!Table1[[Test code]:[Test code]],[1]!Table1[Q_int_frac DIW 10 mM KOH],"",0)</f>
        <v>#REF!</v>
      </c>
      <c r="AJ1005" s="69" t="e" cm="1">
        <f t="array" ref="AJ1005">_xlfn.XLOOKUP(Table1[[#This Row],[5 cm2 cell test code]:[5 cm2 cell test code]],[1]!Table1[[Test code]:[Test code]],[1]!Table1[DIW conductivity (µS/cm)],"",0)</f>
        <v>#REF!</v>
      </c>
    </row>
    <row r="1006" spans="1:36">
      <c r="A1006" s="81"/>
      <c r="U1006" s="101"/>
      <c r="V1006" s="101"/>
      <c r="W1006" s="69" t="e" cm="1">
        <f t="array" ref="W1006">_xlfn.XLOOKUP(Table1[[#This Row],[5 cm2 cell test code]:[5 cm2 cell test code]],[1]!Table1[[Test code]:[Test code]],[1]!Table1[i @ 1.8 V DIW (A/cm2)],"",0)</f>
        <v>#REF!</v>
      </c>
      <c r="X1006" s="69" t="e" cm="1">
        <f t="array" ref="X1006">_xlfn.XLOOKUP(Table1[[#This Row],[5 cm2 cell test code]:[5 cm2 cell test code]],[1]!Table1[[Test code]:[Test code]],[1]!Table1[i @ 1.8 V 10 mM KOH (A/cm2)],"",0)</f>
        <v>#REF!</v>
      </c>
      <c r="Y1006" s="69" t="e" cm="1">
        <f t="array" ref="Y1006">_xlfn.XLOOKUP(Table1[[#This Row],[5 cm2 cell test code]:[5 cm2 cell test code]],[1]!Table1[[Test code]:[Test code]],[1]!Table1[3-E ƞ at 20mAcm-2 (mV)],"",0)</f>
        <v>#REF!</v>
      </c>
      <c r="Z1006" s="69" t="e" cm="1">
        <f t="array" ref="Z1006">_xlfn.XLOOKUP(Table1[[#This Row],[5 cm2 cell test code]:[5 cm2 cell test code]],[1]!Table1[[Test code]:[Test code]],[1]!Table1[3-E Tafel slope (mV/dec)],"",0)</f>
        <v>#REF!</v>
      </c>
      <c r="AA1006" s="69" t="e" cm="1">
        <f t="array" ref="AA1006">_xlfn.XLOOKUP(Table1[[#This Row],[5 cm2 cell test code]:[5 cm2 cell test code]],[1]!Table1[[Test code]:[Test code]],[1]!Table1[E @ 100 mA/cm2 DIW/V],"",0)</f>
        <v>#REF!</v>
      </c>
      <c r="AB1006" s="69" t="e" cm="1">
        <f t="array" ref="AB1006">_xlfn.XLOOKUP(Table1[[#This Row],[5 cm2 cell test code]:[5 cm2 cell test code]],[1]!Table1[[Test code]:[Test code]],[1]!Table1[E @ 100 mA/cm2 10 mM KOH/V],"",0)</f>
        <v>#REF!</v>
      </c>
      <c r="AC1006" s="69" t="e" cm="1">
        <f t="array" ref="AC1006">_xlfn.XLOOKUP(Table1[[#This Row],[5 cm2 cell test code]:[5 cm2 cell test code]],[1]!Table1[[Test code]:[Test code]],[1]!Table1[Anode ICR/mOhm],"",0)</f>
        <v>#REF!</v>
      </c>
      <c r="AD1006" s="69" t="e" cm="1">
        <f t="array" ref="AD1006">_xlfn.XLOOKUP(Table1[[#This Row],[5 cm2 cell test code]:[5 cm2 cell test code]],[1]!Table1[[Test code]:[Test code]],[1]!Table1[HFR DIW/ mOhm cm2],"",0)</f>
        <v>#REF!</v>
      </c>
      <c r="AE1006" s="69" t="e" cm="1">
        <f t="array" ref="AE1006">_xlfn.XLOOKUP(Table1[[#This Row],[5 cm2 cell test code]:[5 cm2 cell test code]],[1]!Table1[[Test code]:[Test code]],[1]!Table1[HFR 10 mM KOH/ mOhm cm2],"",0)</f>
        <v>#REF!</v>
      </c>
      <c r="AF1006" s="69" t="e" cm="1">
        <f t="array" ref="AF1006">_xlfn.XLOOKUP(Table1[[#This Row],[5 cm2 cell test code]:[5 cm2 cell test code]],[1]!Table1[[Test code]:[Test code]],[1]!Table1[Ionic resistance DIW/Ohm cm2],"",0)</f>
        <v>#REF!</v>
      </c>
      <c r="AG1006" s="69" t="e" cm="1">
        <f t="array" ref="AG1006">_xlfn.XLOOKUP(Table1[[#This Row],[5 cm2 cell test code]:[5 cm2 cell test code]],[1]!Table1[[Test code]:[Test code]],[1]!Table1[Q_int_frac DIW],"",0)</f>
        <v>#REF!</v>
      </c>
      <c r="AH1006" s="69" t="e" cm="1">
        <f t="array" ref="AH1006">_xlfn.XLOOKUP(Table1[[#This Row],[5 cm2 cell test code]:[5 cm2 cell test code]],[1]!Table1[[Test code]:[Test code]],[1]!Table1[Ionic resistance 10 mM KOH/Ohm cm2],"",0)</f>
        <v>#REF!</v>
      </c>
      <c r="AI1006" s="69" t="e" cm="1">
        <f t="array" ref="AI1006">_xlfn.XLOOKUP(Table1[[#This Row],[5 cm2 cell test code]:[5 cm2 cell test code]],[1]!Table1[[Test code]:[Test code]],[1]!Table1[Q_int_frac DIW 10 mM KOH],"",0)</f>
        <v>#REF!</v>
      </c>
      <c r="AJ1006" s="69" t="e" cm="1">
        <f t="array" ref="AJ1006">_xlfn.XLOOKUP(Table1[[#This Row],[5 cm2 cell test code]:[5 cm2 cell test code]],[1]!Table1[[Test code]:[Test code]],[1]!Table1[DIW conductivity (µS/cm)],"",0)</f>
        <v>#REF!</v>
      </c>
    </row>
    <row r="1007" spans="1:36">
      <c r="A1007" s="81"/>
      <c r="U1007" s="101"/>
      <c r="V1007" s="101"/>
      <c r="W1007" s="69" t="e" cm="1">
        <f t="array" ref="W1007">_xlfn.XLOOKUP(Table1[[#This Row],[5 cm2 cell test code]:[5 cm2 cell test code]],[1]!Table1[[Test code]:[Test code]],[1]!Table1[i @ 1.8 V DIW (A/cm2)],"",0)</f>
        <v>#REF!</v>
      </c>
      <c r="X1007" s="69" t="e" cm="1">
        <f t="array" ref="X1007">_xlfn.XLOOKUP(Table1[[#This Row],[5 cm2 cell test code]:[5 cm2 cell test code]],[1]!Table1[[Test code]:[Test code]],[1]!Table1[i @ 1.8 V 10 mM KOH (A/cm2)],"",0)</f>
        <v>#REF!</v>
      </c>
      <c r="Y1007" s="69" t="e" cm="1">
        <f t="array" ref="Y1007">_xlfn.XLOOKUP(Table1[[#This Row],[5 cm2 cell test code]:[5 cm2 cell test code]],[1]!Table1[[Test code]:[Test code]],[1]!Table1[3-E ƞ at 20mAcm-2 (mV)],"",0)</f>
        <v>#REF!</v>
      </c>
      <c r="Z1007" s="69" t="e" cm="1">
        <f t="array" ref="Z1007">_xlfn.XLOOKUP(Table1[[#This Row],[5 cm2 cell test code]:[5 cm2 cell test code]],[1]!Table1[[Test code]:[Test code]],[1]!Table1[3-E Tafel slope (mV/dec)],"",0)</f>
        <v>#REF!</v>
      </c>
      <c r="AA1007" s="69" t="e" cm="1">
        <f t="array" ref="AA1007">_xlfn.XLOOKUP(Table1[[#This Row],[5 cm2 cell test code]:[5 cm2 cell test code]],[1]!Table1[[Test code]:[Test code]],[1]!Table1[E @ 100 mA/cm2 DIW/V],"",0)</f>
        <v>#REF!</v>
      </c>
      <c r="AB1007" s="69" t="e" cm="1">
        <f t="array" ref="AB1007">_xlfn.XLOOKUP(Table1[[#This Row],[5 cm2 cell test code]:[5 cm2 cell test code]],[1]!Table1[[Test code]:[Test code]],[1]!Table1[E @ 100 mA/cm2 10 mM KOH/V],"",0)</f>
        <v>#REF!</v>
      </c>
      <c r="AC1007" s="69" t="e" cm="1">
        <f t="array" ref="AC1007">_xlfn.XLOOKUP(Table1[[#This Row],[5 cm2 cell test code]:[5 cm2 cell test code]],[1]!Table1[[Test code]:[Test code]],[1]!Table1[Anode ICR/mOhm],"",0)</f>
        <v>#REF!</v>
      </c>
      <c r="AD1007" s="69" t="e" cm="1">
        <f t="array" ref="AD1007">_xlfn.XLOOKUP(Table1[[#This Row],[5 cm2 cell test code]:[5 cm2 cell test code]],[1]!Table1[[Test code]:[Test code]],[1]!Table1[HFR DIW/ mOhm cm2],"",0)</f>
        <v>#REF!</v>
      </c>
      <c r="AE1007" s="69" t="e" cm="1">
        <f t="array" ref="AE1007">_xlfn.XLOOKUP(Table1[[#This Row],[5 cm2 cell test code]:[5 cm2 cell test code]],[1]!Table1[[Test code]:[Test code]],[1]!Table1[HFR 10 mM KOH/ mOhm cm2],"",0)</f>
        <v>#REF!</v>
      </c>
      <c r="AF1007" s="69" t="e" cm="1">
        <f t="array" ref="AF1007">_xlfn.XLOOKUP(Table1[[#This Row],[5 cm2 cell test code]:[5 cm2 cell test code]],[1]!Table1[[Test code]:[Test code]],[1]!Table1[Ionic resistance DIW/Ohm cm2],"",0)</f>
        <v>#REF!</v>
      </c>
      <c r="AG1007" s="69" t="e" cm="1">
        <f t="array" ref="AG1007">_xlfn.XLOOKUP(Table1[[#This Row],[5 cm2 cell test code]:[5 cm2 cell test code]],[1]!Table1[[Test code]:[Test code]],[1]!Table1[Q_int_frac DIW],"",0)</f>
        <v>#REF!</v>
      </c>
      <c r="AH1007" s="69" t="e" cm="1">
        <f t="array" ref="AH1007">_xlfn.XLOOKUP(Table1[[#This Row],[5 cm2 cell test code]:[5 cm2 cell test code]],[1]!Table1[[Test code]:[Test code]],[1]!Table1[Ionic resistance 10 mM KOH/Ohm cm2],"",0)</f>
        <v>#REF!</v>
      </c>
      <c r="AI1007" s="69" t="e" cm="1">
        <f t="array" ref="AI1007">_xlfn.XLOOKUP(Table1[[#This Row],[5 cm2 cell test code]:[5 cm2 cell test code]],[1]!Table1[[Test code]:[Test code]],[1]!Table1[Q_int_frac DIW 10 mM KOH],"",0)</f>
        <v>#REF!</v>
      </c>
      <c r="AJ1007" s="69" t="e" cm="1">
        <f t="array" ref="AJ1007">_xlfn.XLOOKUP(Table1[[#This Row],[5 cm2 cell test code]:[5 cm2 cell test code]],[1]!Table1[[Test code]:[Test code]],[1]!Table1[DIW conductivity (µS/cm)],"",0)</f>
        <v>#REF!</v>
      </c>
    </row>
    <row r="1008" spans="1:36">
      <c r="A1008" s="81"/>
      <c r="U1008" s="101"/>
      <c r="V1008" s="101"/>
      <c r="W1008" s="69" t="e" cm="1">
        <f t="array" ref="W1008">_xlfn.XLOOKUP(Table1[[#This Row],[5 cm2 cell test code]:[5 cm2 cell test code]],[1]!Table1[[Test code]:[Test code]],[1]!Table1[i @ 1.8 V DIW (A/cm2)],"",0)</f>
        <v>#REF!</v>
      </c>
      <c r="X1008" s="69" t="e" cm="1">
        <f t="array" ref="X1008">_xlfn.XLOOKUP(Table1[[#This Row],[5 cm2 cell test code]:[5 cm2 cell test code]],[1]!Table1[[Test code]:[Test code]],[1]!Table1[i @ 1.8 V 10 mM KOH (A/cm2)],"",0)</f>
        <v>#REF!</v>
      </c>
      <c r="Y1008" s="69" t="e" cm="1">
        <f t="array" ref="Y1008">_xlfn.XLOOKUP(Table1[[#This Row],[5 cm2 cell test code]:[5 cm2 cell test code]],[1]!Table1[[Test code]:[Test code]],[1]!Table1[3-E ƞ at 20mAcm-2 (mV)],"",0)</f>
        <v>#REF!</v>
      </c>
      <c r="Z1008" s="69" t="e" cm="1">
        <f t="array" ref="Z1008">_xlfn.XLOOKUP(Table1[[#This Row],[5 cm2 cell test code]:[5 cm2 cell test code]],[1]!Table1[[Test code]:[Test code]],[1]!Table1[3-E Tafel slope (mV/dec)],"",0)</f>
        <v>#REF!</v>
      </c>
      <c r="AA1008" s="69" t="e" cm="1">
        <f t="array" ref="AA1008">_xlfn.XLOOKUP(Table1[[#This Row],[5 cm2 cell test code]:[5 cm2 cell test code]],[1]!Table1[[Test code]:[Test code]],[1]!Table1[E @ 100 mA/cm2 DIW/V],"",0)</f>
        <v>#REF!</v>
      </c>
      <c r="AB1008" s="69" t="e" cm="1">
        <f t="array" ref="AB1008">_xlfn.XLOOKUP(Table1[[#This Row],[5 cm2 cell test code]:[5 cm2 cell test code]],[1]!Table1[[Test code]:[Test code]],[1]!Table1[E @ 100 mA/cm2 10 mM KOH/V],"",0)</f>
        <v>#REF!</v>
      </c>
      <c r="AC1008" s="69" t="e" cm="1">
        <f t="array" ref="AC1008">_xlfn.XLOOKUP(Table1[[#This Row],[5 cm2 cell test code]:[5 cm2 cell test code]],[1]!Table1[[Test code]:[Test code]],[1]!Table1[Anode ICR/mOhm],"",0)</f>
        <v>#REF!</v>
      </c>
      <c r="AD1008" s="69" t="e" cm="1">
        <f t="array" ref="AD1008">_xlfn.XLOOKUP(Table1[[#This Row],[5 cm2 cell test code]:[5 cm2 cell test code]],[1]!Table1[[Test code]:[Test code]],[1]!Table1[HFR DIW/ mOhm cm2],"",0)</f>
        <v>#REF!</v>
      </c>
      <c r="AE1008" s="69" t="e" cm="1">
        <f t="array" ref="AE1008">_xlfn.XLOOKUP(Table1[[#This Row],[5 cm2 cell test code]:[5 cm2 cell test code]],[1]!Table1[[Test code]:[Test code]],[1]!Table1[HFR 10 mM KOH/ mOhm cm2],"",0)</f>
        <v>#REF!</v>
      </c>
      <c r="AF1008" s="69" t="e" cm="1">
        <f t="array" ref="AF1008">_xlfn.XLOOKUP(Table1[[#This Row],[5 cm2 cell test code]:[5 cm2 cell test code]],[1]!Table1[[Test code]:[Test code]],[1]!Table1[Ionic resistance DIW/Ohm cm2],"",0)</f>
        <v>#REF!</v>
      </c>
      <c r="AG1008" s="69" t="e" cm="1">
        <f t="array" ref="AG1008">_xlfn.XLOOKUP(Table1[[#This Row],[5 cm2 cell test code]:[5 cm2 cell test code]],[1]!Table1[[Test code]:[Test code]],[1]!Table1[Q_int_frac DIW],"",0)</f>
        <v>#REF!</v>
      </c>
      <c r="AH1008" s="69" t="e" cm="1">
        <f t="array" ref="AH1008">_xlfn.XLOOKUP(Table1[[#This Row],[5 cm2 cell test code]:[5 cm2 cell test code]],[1]!Table1[[Test code]:[Test code]],[1]!Table1[Ionic resistance 10 mM KOH/Ohm cm2],"",0)</f>
        <v>#REF!</v>
      </c>
      <c r="AI1008" s="69" t="e" cm="1">
        <f t="array" ref="AI1008">_xlfn.XLOOKUP(Table1[[#This Row],[5 cm2 cell test code]:[5 cm2 cell test code]],[1]!Table1[[Test code]:[Test code]],[1]!Table1[Q_int_frac DIW 10 mM KOH],"",0)</f>
        <v>#REF!</v>
      </c>
      <c r="AJ1008" s="69" t="e" cm="1">
        <f t="array" ref="AJ1008">_xlfn.XLOOKUP(Table1[[#This Row],[5 cm2 cell test code]:[5 cm2 cell test code]],[1]!Table1[[Test code]:[Test code]],[1]!Table1[DIW conductivity (µS/cm)],"",0)</f>
        <v>#REF!</v>
      </c>
    </row>
    <row r="1009" spans="1:36">
      <c r="A1009" s="81"/>
      <c r="U1009" s="101"/>
      <c r="V1009" s="101"/>
      <c r="W1009" s="69" t="e" cm="1">
        <f t="array" ref="W1009">_xlfn.XLOOKUP(Table1[[#This Row],[5 cm2 cell test code]:[5 cm2 cell test code]],[1]!Table1[[Test code]:[Test code]],[1]!Table1[i @ 1.8 V DIW (A/cm2)],"",0)</f>
        <v>#REF!</v>
      </c>
      <c r="X1009" s="69" t="e" cm="1">
        <f t="array" ref="X1009">_xlfn.XLOOKUP(Table1[[#This Row],[5 cm2 cell test code]:[5 cm2 cell test code]],[1]!Table1[[Test code]:[Test code]],[1]!Table1[i @ 1.8 V 10 mM KOH (A/cm2)],"",0)</f>
        <v>#REF!</v>
      </c>
      <c r="Y1009" s="69" t="e" cm="1">
        <f t="array" ref="Y1009">_xlfn.XLOOKUP(Table1[[#This Row],[5 cm2 cell test code]:[5 cm2 cell test code]],[1]!Table1[[Test code]:[Test code]],[1]!Table1[3-E ƞ at 20mAcm-2 (mV)],"",0)</f>
        <v>#REF!</v>
      </c>
      <c r="Z1009" s="69" t="e" cm="1">
        <f t="array" ref="Z1009">_xlfn.XLOOKUP(Table1[[#This Row],[5 cm2 cell test code]:[5 cm2 cell test code]],[1]!Table1[[Test code]:[Test code]],[1]!Table1[3-E Tafel slope (mV/dec)],"",0)</f>
        <v>#REF!</v>
      </c>
      <c r="AA1009" s="69" t="e" cm="1">
        <f t="array" ref="AA1009">_xlfn.XLOOKUP(Table1[[#This Row],[5 cm2 cell test code]:[5 cm2 cell test code]],[1]!Table1[[Test code]:[Test code]],[1]!Table1[E @ 100 mA/cm2 DIW/V],"",0)</f>
        <v>#REF!</v>
      </c>
      <c r="AB1009" s="69" t="e" cm="1">
        <f t="array" ref="AB1009">_xlfn.XLOOKUP(Table1[[#This Row],[5 cm2 cell test code]:[5 cm2 cell test code]],[1]!Table1[[Test code]:[Test code]],[1]!Table1[E @ 100 mA/cm2 10 mM KOH/V],"",0)</f>
        <v>#REF!</v>
      </c>
      <c r="AC1009" s="69" t="e" cm="1">
        <f t="array" ref="AC1009">_xlfn.XLOOKUP(Table1[[#This Row],[5 cm2 cell test code]:[5 cm2 cell test code]],[1]!Table1[[Test code]:[Test code]],[1]!Table1[Anode ICR/mOhm],"",0)</f>
        <v>#REF!</v>
      </c>
      <c r="AD1009" s="69" t="e" cm="1">
        <f t="array" ref="AD1009">_xlfn.XLOOKUP(Table1[[#This Row],[5 cm2 cell test code]:[5 cm2 cell test code]],[1]!Table1[[Test code]:[Test code]],[1]!Table1[HFR DIW/ mOhm cm2],"",0)</f>
        <v>#REF!</v>
      </c>
      <c r="AE1009" s="69" t="e" cm="1">
        <f t="array" ref="AE1009">_xlfn.XLOOKUP(Table1[[#This Row],[5 cm2 cell test code]:[5 cm2 cell test code]],[1]!Table1[[Test code]:[Test code]],[1]!Table1[HFR 10 mM KOH/ mOhm cm2],"",0)</f>
        <v>#REF!</v>
      </c>
      <c r="AF1009" s="69" t="e" cm="1">
        <f t="array" ref="AF1009">_xlfn.XLOOKUP(Table1[[#This Row],[5 cm2 cell test code]:[5 cm2 cell test code]],[1]!Table1[[Test code]:[Test code]],[1]!Table1[Ionic resistance DIW/Ohm cm2],"",0)</f>
        <v>#REF!</v>
      </c>
      <c r="AG1009" s="69" t="e" cm="1">
        <f t="array" ref="AG1009">_xlfn.XLOOKUP(Table1[[#This Row],[5 cm2 cell test code]:[5 cm2 cell test code]],[1]!Table1[[Test code]:[Test code]],[1]!Table1[Q_int_frac DIW],"",0)</f>
        <v>#REF!</v>
      </c>
      <c r="AH1009" s="69" t="e" cm="1">
        <f t="array" ref="AH1009">_xlfn.XLOOKUP(Table1[[#This Row],[5 cm2 cell test code]:[5 cm2 cell test code]],[1]!Table1[[Test code]:[Test code]],[1]!Table1[Ionic resistance 10 mM KOH/Ohm cm2],"",0)</f>
        <v>#REF!</v>
      </c>
      <c r="AI1009" s="69" t="e" cm="1">
        <f t="array" ref="AI1009">_xlfn.XLOOKUP(Table1[[#This Row],[5 cm2 cell test code]:[5 cm2 cell test code]],[1]!Table1[[Test code]:[Test code]],[1]!Table1[Q_int_frac DIW 10 mM KOH],"",0)</f>
        <v>#REF!</v>
      </c>
      <c r="AJ1009" s="69" t="e" cm="1">
        <f t="array" ref="AJ1009">_xlfn.XLOOKUP(Table1[[#This Row],[5 cm2 cell test code]:[5 cm2 cell test code]],[1]!Table1[[Test code]:[Test code]],[1]!Table1[DIW conductivity (µS/cm)],"",0)</f>
        <v>#REF!</v>
      </c>
    </row>
    <row r="1010" spans="1:36">
      <c r="A1010" s="81"/>
      <c r="U1010" s="101"/>
      <c r="V1010" s="101"/>
      <c r="W1010" s="69" t="e" cm="1">
        <f t="array" ref="W1010">_xlfn.XLOOKUP(Table1[[#This Row],[5 cm2 cell test code]:[5 cm2 cell test code]],[1]!Table1[[Test code]:[Test code]],[1]!Table1[i @ 1.8 V DIW (A/cm2)],"",0)</f>
        <v>#REF!</v>
      </c>
      <c r="X1010" s="69" t="e" cm="1">
        <f t="array" ref="X1010">_xlfn.XLOOKUP(Table1[[#This Row],[5 cm2 cell test code]:[5 cm2 cell test code]],[1]!Table1[[Test code]:[Test code]],[1]!Table1[i @ 1.8 V 10 mM KOH (A/cm2)],"",0)</f>
        <v>#REF!</v>
      </c>
      <c r="Y1010" s="69" t="e" cm="1">
        <f t="array" ref="Y1010">_xlfn.XLOOKUP(Table1[[#This Row],[5 cm2 cell test code]:[5 cm2 cell test code]],[1]!Table1[[Test code]:[Test code]],[1]!Table1[3-E ƞ at 20mAcm-2 (mV)],"",0)</f>
        <v>#REF!</v>
      </c>
      <c r="Z1010" s="69" t="e" cm="1">
        <f t="array" ref="Z1010">_xlfn.XLOOKUP(Table1[[#This Row],[5 cm2 cell test code]:[5 cm2 cell test code]],[1]!Table1[[Test code]:[Test code]],[1]!Table1[3-E Tafel slope (mV/dec)],"",0)</f>
        <v>#REF!</v>
      </c>
      <c r="AA1010" s="69" t="e" cm="1">
        <f t="array" ref="AA1010">_xlfn.XLOOKUP(Table1[[#This Row],[5 cm2 cell test code]:[5 cm2 cell test code]],[1]!Table1[[Test code]:[Test code]],[1]!Table1[E @ 100 mA/cm2 DIW/V],"",0)</f>
        <v>#REF!</v>
      </c>
      <c r="AB1010" s="69" t="e" cm="1">
        <f t="array" ref="AB1010">_xlfn.XLOOKUP(Table1[[#This Row],[5 cm2 cell test code]:[5 cm2 cell test code]],[1]!Table1[[Test code]:[Test code]],[1]!Table1[E @ 100 mA/cm2 10 mM KOH/V],"",0)</f>
        <v>#REF!</v>
      </c>
      <c r="AC1010" s="69" t="e" cm="1">
        <f t="array" ref="AC1010">_xlfn.XLOOKUP(Table1[[#This Row],[5 cm2 cell test code]:[5 cm2 cell test code]],[1]!Table1[[Test code]:[Test code]],[1]!Table1[Anode ICR/mOhm],"",0)</f>
        <v>#REF!</v>
      </c>
      <c r="AD1010" s="69" t="e" cm="1">
        <f t="array" ref="AD1010">_xlfn.XLOOKUP(Table1[[#This Row],[5 cm2 cell test code]:[5 cm2 cell test code]],[1]!Table1[[Test code]:[Test code]],[1]!Table1[HFR DIW/ mOhm cm2],"",0)</f>
        <v>#REF!</v>
      </c>
      <c r="AE1010" s="69" t="e" cm="1">
        <f t="array" ref="AE1010">_xlfn.XLOOKUP(Table1[[#This Row],[5 cm2 cell test code]:[5 cm2 cell test code]],[1]!Table1[[Test code]:[Test code]],[1]!Table1[HFR 10 mM KOH/ mOhm cm2],"",0)</f>
        <v>#REF!</v>
      </c>
      <c r="AF1010" s="69" t="e" cm="1">
        <f t="array" ref="AF1010">_xlfn.XLOOKUP(Table1[[#This Row],[5 cm2 cell test code]:[5 cm2 cell test code]],[1]!Table1[[Test code]:[Test code]],[1]!Table1[Ionic resistance DIW/Ohm cm2],"",0)</f>
        <v>#REF!</v>
      </c>
      <c r="AG1010" s="69" t="e" cm="1">
        <f t="array" ref="AG1010">_xlfn.XLOOKUP(Table1[[#This Row],[5 cm2 cell test code]:[5 cm2 cell test code]],[1]!Table1[[Test code]:[Test code]],[1]!Table1[Q_int_frac DIW],"",0)</f>
        <v>#REF!</v>
      </c>
      <c r="AH1010" s="69" t="e" cm="1">
        <f t="array" ref="AH1010">_xlfn.XLOOKUP(Table1[[#This Row],[5 cm2 cell test code]:[5 cm2 cell test code]],[1]!Table1[[Test code]:[Test code]],[1]!Table1[Ionic resistance 10 mM KOH/Ohm cm2],"",0)</f>
        <v>#REF!</v>
      </c>
      <c r="AI1010" s="69" t="e" cm="1">
        <f t="array" ref="AI1010">_xlfn.XLOOKUP(Table1[[#This Row],[5 cm2 cell test code]:[5 cm2 cell test code]],[1]!Table1[[Test code]:[Test code]],[1]!Table1[Q_int_frac DIW 10 mM KOH],"",0)</f>
        <v>#REF!</v>
      </c>
      <c r="AJ1010" s="69" t="e" cm="1">
        <f t="array" ref="AJ1010">_xlfn.XLOOKUP(Table1[[#This Row],[5 cm2 cell test code]:[5 cm2 cell test code]],[1]!Table1[[Test code]:[Test code]],[1]!Table1[DIW conductivity (µS/cm)],"",0)</f>
        <v>#REF!</v>
      </c>
    </row>
    <row r="1011" spans="1:36">
      <c r="A1011" s="81"/>
      <c r="U1011" s="101"/>
      <c r="V1011" s="101"/>
      <c r="W1011" s="69" t="e" cm="1">
        <f t="array" ref="W1011">_xlfn.XLOOKUP(Table1[[#This Row],[5 cm2 cell test code]:[5 cm2 cell test code]],[1]!Table1[[Test code]:[Test code]],[1]!Table1[i @ 1.8 V DIW (A/cm2)],"",0)</f>
        <v>#REF!</v>
      </c>
      <c r="X1011" s="69" t="e" cm="1">
        <f t="array" ref="X1011">_xlfn.XLOOKUP(Table1[[#This Row],[5 cm2 cell test code]:[5 cm2 cell test code]],[1]!Table1[[Test code]:[Test code]],[1]!Table1[i @ 1.8 V 10 mM KOH (A/cm2)],"",0)</f>
        <v>#REF!</v>
      </c>
      <c r="Y1011" s="69" t="e" cm="1">
        <f t="array" ref="Y1011">_xlfn.XLOOKUP(Table1[[#This Row],[5 cm2 cell test code]:[5 cm2 cell test code]],[1]!Table1[[Test code]:[Test code]],[1]!Table1[3-E ƞ at 20mAcm-2 (mV)],"",0)</f>
        <v>#REF!</v>
      </c>
      <c r="Z1011" s="69" t="e" cm="1">
        <f t="array" ref="Z1011">_xlfn.XLOOKUP(Table1[[#This Row],[5 cm2 cell test code]:[5 cm2 cell test code]],[1]!Table1[[Test code]:[Test code]],[1]!Table1[3-E Tafel slope (mV/dec)],"",0)</f>
        <v>#REF!</v>
      </c>
      <c r="AA1011" s="69" t="e" cm="1">
        <f t="array" ref="AA1011">_xlfn.XLOOKUP(Table1[[#This Row],[5 cm2 cell test code]:[5 cm2 cell test code]],[1]!Table1[[Test code]:[Test code]],[1]!Table1[E @ 100 mA/cm2 DIW/V],"",0)</f>
        <v>#REF!</v>
      </c>
      <c r="AB1011" s="69" t="e" cm="1">
        <f t="array" ref="AB1011">_xlfn.XLOOKUP(Table1[[#This Row],[5 cm2 cell test code]:[5 cm2 cell test code]],[1]!Table1[[Test code]:[Test code]],[1]!Table1[E @ 100 mA/cm2 10 mM KOH/V],"",0)</f>
        <v>#REF!</v>
      </c>
      <c r="AC1011" s="69" t="e" cm="1">
        <f t="array" ref="AC1011">_xlfn.XLOOKUP(Table1[[#This Row],[5 cm2 cell test code]:[5 cm2 cell test code]],[1]!Table1[[Test code]:[Test code]],[1]!Table1[Anode ICR/mOhm],"",0)</f>
        <v>#REF!</v>
      </c>
      <c r="AD1011" s="69" t="e" cm="1">
        <f t="array" ref="AD1011">_xlfn.XLOOKUP(Table1[[#This Row],[5 cm2 cell test code]:[5 cm2 cell test code]],[1]!Table1[[Test code]:[Test code]],[1]!Table1[HFR DIW/ mOhm cm2],"",0)</f>
        <v>#REF!</v>
      </c>
      <c r="AE1011" s="69" t="e" cm="1">
        <f t="array" ref="AE1011">_xlfn.XLOOKUP(Table1[[#This Row],[5 cm2 cell test code]:[5 cm2 cell test code]],[1]!Table1[[Test code]:[Test code]],[1]!Table1[HFR 10 mM KOH/ mOhm cm2],"",0)</f>
        <v>#REF!</v>
      </c>
      <c r="AF1011" s="69" t="e" cm="1">
        <f t="array" ref="AF1011">_xlfn.XLOOKUP(Table1[[#This Row],[5 cm2 cell test code]:[5 cm2 cell test code]],[1]!Table1[[Test code]:[Test code]],[1]!Table1[Ionic resistance DIW/Ohm cm2],"",0)</f>
        <v>#REF!</v>
      </c>
      <c r="AG1011" s="69" t="e" cm="1">
        <f t="array" ref="AG1011">_xlfn.XLOOKUP(Table1[[#This Row],[5 cm2 cell test code]:[5 cm2 cell test code]],[1]!Table1[[Test code]:[Test code]],[1]!Table1[Q_int_frac DIW],"",0)</f>
        <v>#REF!</v>
      </c>
      <c r="AH1011" s="69" t="e" cm="1">
        <f t="array" ref="AH1011">_xlfn.XLOOKUP(Table1[[#This Row],[5 cm2 cell test code]:[5 cm2 cell test code]],[1]!Table1[[Test code]:[Test code]],[1]!Table1[Ionic resistance 10 mM KOH/Ohm cm2],"",0)</f>
        <v>#REF!</v>
      </c>
      <c r="AI1011" s="69" t="e" cm="1">
        <f t="array" ref="AI1011">_xlfn.XLOOKUP(Table1[[#This Row],[5 cm2 cell test code]:[5 cm2 cell test code]],[1]!Table1[[Test code]:[Test code]],[1]!Table1[Q_int_frac DIW 10 mM KOH],"",0)</f>
        <v>#REF!</v>
      </c>
      <c r="AJ1011" s="69" t="e" cm="1">
        <f t="array" ref="AJ1011">_xlfn.XLOOKUP(Table1[[#This Row],[5 cm2 cell test code]:[5 cm2 cell test code]],[1]!Table1[[Test code]:[Test code]],[1]!Table1[DIW conductivity (µS/cm)],"",0)</f>
        <v>#REF!</v>
      </c>
    </row>
    <row r="1012" spans="1:36">
      <c r="A1012" s="81"/>
      <c r="U1012" s="101"/>
      <c r="V1012" s="101"/>
      <c r="W1012" s="69" t="e" cm="1">
        <f t="array" ref="W1012">_xlfn.XLOOKUP(Table1[[#This Row],[5 cm2 cell test code]:[5 cm2 cell test code]],[1]!Table1[[Test code]:[Test code]],[1]!Table1[i @ 1.8 V DIW (A/cm2)],"",0)</f>
        <v>#REF!</v>
      </c>
      <c r="X1012" s="69" t="e" cm="1">
        <f t="array" ref="X1012">_xlfn.XLOOKUP(Table1[[#This Row],[5 cm2 cell test code]:[5 cm2 cell test code]],[1]!Table1[[Test code]:[Test code]],[1]!Table1[i @ 1.8 V 10 mM KOH (A/cm2)],"",0)</f>
        <v>#REF!</v>
      </c>
      <c r="Y1012" s="69" t="e" cm="1">
        <f t="array" ref="Y1012">_xlfn.XLOOKUP(Table1[[#This Row],[5 cm2 cell test code]:[5 cm2 cell test code]],[1]!Table1[[Test code]:[Test code]],[1]!Table1[3-E ƞ at 20mAcm-2 (mV)],"",0)</f>
        <v>#REF!</v>
      </c>
      <c r="Z1012" s="69" t="e" cm="1">
        <f t="array" ref="Z1012">_xlfn.XLOOKUP(Table1[[#This Row],[5 cm2 cell test code]:[5 cm2 cell test code]],[1]!Table1[[Test code]:[Test code]],[1]!Table1[3-E Tafel slope (mV/dec)],"",0)</f>
        <v>#REF!</v>
      </c>
      <c r="AA1012" s="69" t="e" cm="1">
        <f t="array" ref="AA1012">_xlfn.XLOOKUP(Table1[[#This Row],[5 cm2 cell test code]:[5 cm2 cell test code]],[1]!Table1[[Test code]:[Test code]],[1]!Table1[E @ 100 mA/cm2 DIW/V],"",0)</f>
        <v>#REF!</v>
      </c>
      <c r="AB1012" s="69" t="e" cm="1">
        <f t="array" ref="AB1012">_xlfn.XLOOKUP(Table1[[#This Row],[5 cm2 cell test code]:[5 cm2 cell test code]],[1]!Table1[[Test code]:[Test code]],[1]!Table1[E @ 100 mA/cm2 10 mM KOH/V],"",0)</f>
        <v>#REF!</v>
      </c>
      <c r="AC1012" s="69" t="e" cm="1">
        <f t="array" ref="AC1012">_xlfn.XLOOKUP(Table1[[#This Row],[5 cm2 cell test code]:[5 cm2 cell test code]],[1]!Table1[[Test code]:[Test code]],[1]!Table1[Anode ICR/mOhm],"",0)</f>
        <v>#REF!</v>
      </c>
      <c r="AD1012" s="69" t="e" cm="1">
        <f t="array" ref="AD1012">_xlfn.XLOOKUP(Table1[[#This Row],[5 cm2 cell test code]:[5 cm2 cell test code]],[1]!Table1[[Test code]:[Test code]],[1]!Table1[HFR DIW/ mOhm cm2],"",0)</f>
        <v>#REF!</v>
      </c>
      <c r="AE1012" s="69" t="e" cm="1">
        <f t="array" ref="AE1012">_xlfn.XLOOKUP(Table1[[#This Row],[5 cm2 cell test code]:[5 cm2 cell test code]],[1]!Table1[[Test code]:[Test code]],[1]!Table1[HFR 10 mM KOH/ mOhm cm2],"",0)</f>
        <v>#REF!</v>
      </c>
      <c r="AF1012" s="69" t="e" cm="1">
        <f t="array" ref="AF1012">_xlfn.XLOOKUP(Table1[[#This Row],[5 cm2 cell test code]:[5 cm2 cell test code]],[1]!Table1[[Test code]:[Test code]],[1]!Table1[Ionic resistance DIW/Ohm cm2],"",0)</f>
        <v>#REF!</v>
      </c>
      <c r="AG1012" s="69" t="e" cm="1">
        <f t="array" ref="AG1012">_xlfn.XLOOKUP(Table1[[#This Row],[5 cm2 cell test code]:[5 cm2 cell test code]],[1]!Table1[[Test code]:[Test code]],[1]!Table1[Q_int_frac DIW],"",0)</f>
        <v>#REF!</v>
      </c>
      <c r="AH1012" s="69" t="e" cm="1">
        <f t="array" ref="AH1012">_xlfn.XLOOKUP(Table1[[#This Row],[5 cm2 cell test code]:[5 cm2 cell test code]],[1]!Table1[[Test code]:[Test code]],[1]!Table1[Ionic resistance 10 mM KOH/Ohm cm2],"",0)</f>
        <v>#REF!</v>
      </c>
      <c r="AI1012" s="69" t="e" cm="1">
        <f t="array" ref="AI1012">_xlfn.XLOOKUP(Table1[[#This Row],[5 cm2 cell test code]:[5 cm2 cell test code]],[1]!Table1[[Test code]:[Test code]],[1]!Table1[Q_int_frac DIW 10 mM KOH],"",0)</f>
        <v>#REF!</v>
      </c>
      <c r="AJ1012" s="69" t="e" cm="1">
        <f t="array" ref="AJ1012">_xlfn.XLOOKUP(Table1[[#This Row],[5 cm2 cell test code]:[5 cm2 cell test code]],[1]!Table1[[Test code]:[Test code]],[1]!Table1[DIW conductivity (µS/cm)],"",0)</f>
        <v>#REF!</v>
      </c>
    </row>
    <row r="1013" spans="1:36">
      <c r="A1013" s="81"/>
      <c r="U1013" s="101"/>
      <c r="V1013" s="101"/>
      <c r="W1013" s="69" t="e" cm="1">
        <f t="array" ref="W1013">_xlfn.XLOOKUP(Table1[[#This Row],[5 cm2 cell test code]:[5 cm2 cell test code]],[1]!Table1[[Test code]:[Test code]],[1]!Table1[i @ 1.8 V DIW (A/cm2)],"",0)</f>
        <v>#REF!</v>
      </c>
      <c r="X1013" s="69" t="e" cm="1">
        <f t="array" ref="X1013">_xlfn.XLOOKUP(Table1[[#This Row],[5 cm2 cell test code]:[5 cm2 cell test code]],[1]!Table1[[Test code]:[Test code]],[1]!Table1[i @ 1.8 V 10 mM KOH (A/cm2)],"",0)</f>
        <v>#REF!</v>
      </c>
      <c r="Y1013" s="69" t="e" cm="1">
        <f t="array" ref="Y1013">_xlfn.XLOOKUP(Table1[[#This Row],[5 cm2 cell test code]:[5 cm2 cell test code]],[1]!Table1[[Test code]:[Test code]],[1]!Table1[3-E ƞ at 20mAcm-2 (mV)],"",0)</f>
        <v>#REF!</v>
      </c>
      <c r="Z1013" s="69" t="e" cm="1">
        <f t="array" ref="Z1013">_xlfn.XLOOKUP(Table1[[#This Row],[5 cm2 cell test code]:[5 cm2 cell test code]],[1]!Table1[[Test code]:[Test code]],[1]!Table1[3-E Tafel slope (mV/dec)],"",0)</f>
        <v>#REF!</v>
      </c>
      <c r="AA1013" s="69" t="e" cm="1">
        <f t="array" ref="AA1013">_xlfn.XLOOKUP(Table1[[#This Row],[5 cm2 cell test code]:[5 cm2 cell test code]],[1]!Table1[[Test code]:[Test code]],[1]!Table1[E @ 100 mA/cm2 DIW/V],"",0)</f>
        <v>#REF!</v>
      </c>
      <c r="AB1013" s="69" t="e" cm="1">
        <f t="array" ref="AB1013">_xlfn.XLOOKUP(Table1[[#This Row],[5 cm2 cell test code]:[5 cm2 cell test code]],[1]!Table1[[Test code]:[Test code]],[1]!Table1[E @ 100 mA/cm2 10 mM KOH/V],"",0)</f>
        <v>#REF!</v>
      </c>
      <c r="AC1013" s="69" t="e" cm="1">
        <f t="array" ref="AC1013">_xlfn.XLOOKUP(Table1[[#This Row],[5 cm2 cell test code]:[5 cm2 cell test code]],[1]!Table1[[Test code]:[Test code]],[1]!Table1[Anode ICR/mOhm],"",0)</f>
        <v>#REF!</v>
      </c>
      <c r="AD1013" s="69" t="e" cm="1">
        <f t="array" ref="AD1013">_xlfn.XLOOKUP(Table1[[#This Row],[5 cm2 cell test code]:[5 cm2 cell test code]],[1]!Table1[[Test code]:[Test code]],[1]!Table1[HFR DIW/ mOhm cm2],"",0)</f>
        <v>#REF!</v>
      </c>
      <c r="AE1013" s="69" t="e" cm="1">
        <f t="array" ref="AE1013">_xlfn.XLOOKUP(Table1[[#This Row],[5 cm2 cell test code]:[5 cm2 cell test code]],[1]!Table1[[Test code]:[Test code]],[1]!Table1[HFR 10 mM KOH/ mOhm cm2],"",0)</f>
        <v>#REF!</v>
      </c>
      <c r="AF1013" s="69" t="e" cm="1">
        <f t="array" ref="AF1013">_xlfn.XLOOKUP(Table1[[#This Row],[5 cm2 cell test code]:[5 cm2 cell test code]],[1]!Table1[[Test code]:[Test code]],[1]!Table1[Ionic resistance DIW/Ohm cm2],"",0)</f>
        <v>#REF!</v>
      </c>
      <c r="AG1013" s="69" t="e" cm="1">
        <f t="array" ref="AG1013">_xlfn.XLOOKUP(Table1[[#This Row],[5 cm2 cell test code]:[5 cm2 cell test code]],[1]!Table1[[Test code]:[Test code]],[1]!Table1[Q_int_frac DIW],"",0)</f>
        <v>#REF!</v>
      </c>
      <c r="AH1013" s="69" t="e" cm="1">
        <f t="array" ref="AH1013">_xlfn.XLOOKUP(Table1[[#This Row],[5 cm2 cell test code]:[5 cm2 cell test code]],[1]!Table1[[Test code]:[Test code]],[1]!Table1[Ionic resistance 10 mM KOH/Ohm cm2],"",0)</f>
        <v>#REF!</v>
      </c>
      <c r="AI1013" s="69" t="e" cm="1">
        <f t="array" ref="AI1013">_xlfn.XLOOKUP(Table1[[#This Row],[5 cm2 cell test code]:[5 cm2 cell test code]],[1]!Table1[[Test code]:[Test code]],[1]!Table1[Q_int_frac DIW 10 mM KOH],"",0)</f>
        <v>#REF!</v>
      </c>
      <c r="AJ1013" s="69" t="e" cm="1">
        <f t="array" ref="AJ1013">_xlfn.XLOOKUP(Table1[[#This Row],[5 cm2 cell test code]:[5 cm2 cell test code]],[1]!Table1[[Test code]:[Test code]],[1]!Table1[DIW conductivity (µS/cm)],"",0)</f>
        <v>#REF!</v>
      </c>
    </row>
    <row r="1014" spans="1:36">
      <c r="A1014" s="81"/>
      <c r="U1014" s="101"/>
      <c r="V1014" s="101"/>
      <c r="W1014" s="69" t="e" cm="1">
        <f t="array" ref="W1014">_xlfn.XLOOKUP(Table1[[#This Row],[5 cm2 cell test code]:[5 cm2 cell test code]],[1]!Table1[[Test code]:[Test code]],[1]!Table1[i @ 1.8 V DIW (A/cm2)],"",0)</f>
        <v>#REF!</v>
      </c>
      <c r="X1014" s="69" t="e" cm="1">
        <f t="array" ref="X1014">_xlfn.XLOOKUP(Table1[[#This Row],[5 cm2 cell test code]:[5 cm2 cell test code]],[1]!Table1[[Test code]:[Test code]],[1]!Table1[i @ 1.8 V 10 mM KOH (A/cm2)],"",0)</f>
        <v>#REF!</v>
      </c>
      <c r="Y1014" s="69" t="e" cm="1">
        <f t="array" ref="Y1014">_xlfn.XLOOKUP(Table1[[#This Row],[5 cm2 cell test code]:[5 cm2 cell test code]],[1]!Table1[[Test code]:[Test code]],[1]!Table1[3-E ƞ at 20mAcm-2 (mV)],"",0)</f>
        <v>#REF!</v>
      </c>
      <c r="Z1014" s="69" t="e" cm="1">
        <f t="array" ref="Z1014">_xlfn.XLOOKUP(Table1[[#This Row],[5 cm2 cell test code]:[5 cm2 cell test code]],[1]!Table1[[Test code]:[Test code]],[1]!Table1[3-E Tafel slope (mV/dec)],"",0)</f>
        <v>#REF!</v>
      </c>
      <c r="AA1014" s="69" t="e" cm="1">
        <f t="array" ref="AA1014">_xlfn.XLOOKUP(Table1[[#This Row],[5 cm2 cell test code]:[5 cm2 cell test code]],[1]!Table1[[Test code]:[Test code]],[1]!Table1[E @ 100 mA/cm2 DIW/V],"",0)</f>
        <v>#REF!</v>
      </c>
      <c r="AB1014" s="69" t="e" cm="1">
        <f t="array" ref="AB1014">_xlfn.XLOOKUP(Table1[[#This Row],[5 cm2 cell test code]:[5 cm2 cell test code]],[1]!Table1[[Test code]:[Test code]],[1]!Table1[E @ 100 mA/cm2 10 mM KOH/V],"",0)</f>
        <v>#REF!</v>
      </c>
      <c r="AC1014" s="69" t="e" cm="1">
        <f t="array" ref="AC1014">_xlfn.XLOOKUP(Table1[[#This Row],[5 cm2 cell test code]:[5 cm2 cell test code]],[1]!Table1[[Test code]:[Test code]],[1]!Table1[Anode ICR/mOhm],"",0)</f>
        <v>#REF!</v>
      </c>
      <c r="AD1014" s="69" t="e" cm="1">
        <f t="array" ref="AD1014">_xlfn.XLOOKUP(Table1[[#This Row],[5 cm2 cell test code]:[5 cm2 cell test code]],[1]!Table1[[Test code]:[Test code]],[1]!Table1[HFR DIW/ mOhm cm2],"",0)</f>
        <v>#REF!</v>
      </c>
      <c r="AE1014" s="69" t="e" cm="1">
        <f t="array" ref="AE1014">_xlfn.XLOOKUP(Table1[[#This Row],[5 cm2 cell test code]:[5 cm2 cell test code]],[1]!Table1[[Test code]:[Test code]],[1]!Table1[HFR 10 mM KOH/ mOhm cm2],"",0)</f>
        <v>#REF!</v>
      </c>
      <c r="AF1014" s="69" t="e" cm="1">
        <f t="array" ref="AF1014">_xlfn.XLOOKUP(Table1[[#This Row],[5 cm2 cell test code]:[5 cm2 cell test code]],[1]!Table1[[Test code]:[Test code]],[1]!Table1[Ionic resistance DIW/Ohm cm2],"",0)</f>
        <v>#REF!</v>
      </c>
      <c r="AG1014" s="69" t="e" cm="1">
        <f t="array" ref="AG1014">_xlfn.XLOOKUP(Table1[[#This Row],[5 cm2 cell test code]:[5 cm2 cell test code]],[1]!Table1[[Test code]:[Test code]],[1]!Table1[Q_int_frac DIW],"",0)</f>
        <v>#REF!</v>
      </c>
      <c r="AH1014" s="69" t="e" cm="1">
        <f t="array" ref="AH1014">_xlfn.XLOOKUP(Table1[[#This Row],[5 cm2 cell test code]:[5 cm2 cell test code]],[1]!Table1[[Test code]:[Test code]],[1]!Table1[Ionic resistance 10 mM KOH/Ohm cm2],"",0)</f>
        <v>#REF!</v>
      </c>
      <c r="AI1014" s="69" t="e" cm="1">
        <f t="array" ref="AI1014">_xlfn.XLOOKUP(Table1[[#This Row],[5 cm2 cell test code]:[5 cm2 cell test code]],[1]!Table1[[Test code]:[Test code]],[1]!Table1[Q_int_frac DIW 10 mM KOH],"",0)</f>
        <v>#REF!</v>
      </c>
      <c r="AJ1014" s="69" t="e" cm="1">
        <f t="array" ref="AJ1014">_xlfn.XLOOKUP(Table1[[#This Row],[5 cm2 cell test code]:[5 cm2 cell test code]],[1]!Table1[[Test code]:[Test code]],[1]!Table1[DIW conductivity (µS/cm)],"",0)</f>
        <v>#REF!</v>
      </c>
    </row>
    <row r="1015" spans="1:36">
      <c r="A1015" s="81"/>
      <c r="U1015" s="101"/>
      <c r="V1015" s="101"/>
      <c r="W1015" s="69" t="e" cm="1">
        <f t="array" ref="W1015">_xlfn.XLOOKUP(Table1[[#This Row],[5 cm2 cell test code]:[5 cm2 cell test code]],[1]!Table1[[Test code]:[Test code]],[1]!Table1[i @ 1.8 V DIW (A/cm2)],"",0)</f>
        <v>#REF!</v>
      </c>
      <c r="X1015" s="69" t="e" cm="1">
        <f t="array" ref="X1015">_xlfn.XLOOKUP(Table1[[#This Row],[5 cm2 cell test code]:[5 cm2 cell test code]],[1]!Table1[[Test code]:[Test code]],[1]!Table1[i @ 1.8 V 10 mM KOH (A/cm2)],"",0)</f>
        <v>#REF!</v>
      </c>
      <c r="Y1015" s="69" t="e" cm="1">
        <f t="array" ref="Y1015">_xlfn.XLOOKUP(Table1[[#This Row],[5 cm2 cell test code]:[5 cm2 cell test code]],[1]!Table1[[Test code]:[Test code]],[1]!Table1[3-E ƞ at 20mAcm-2 (mV)],"",0)</f>
        <v>#REF!</v>
      </c>
      <c r="Z1015" s="69" t="e" cm="1">
        <f t="array" ref="Z1015">_xlfn.XLOOKUP(Table1[[#This Row],[5 cm2 cell test code]:[5 cm2 cell test code]],[1]!Table1[[Test code]:[Test code]],[1]!Table1[3-E Tafel slope (mV/dec)],"",0)</f>
        <v>#REF!</v>
      </c>
      <c r="AA1015" s="69" t="e" cm="1">
        <f t="array" ref="AA1015">_xlfn.XLOOKUP(Table1[[#This Row],[5 cm2 cell test code]:[5 cm2 cell test code]],[1]!Table1[[Test code]:[Test code]],[1]!Table1[E @ 100 mA/cm2 DIW/V],"",0)</f>
        <v>#REF!</v>
      </c>
      <c r="AB1015" s="69" t="e" cm="1">
        <f t="array" ref="AB1015">_xlfn.XLOOKUP(Table1[[#This Row],[5 cm2 cell test code]:[5 cm2 cell test code]],[1]!Table1[[Test code]:[Test code]],[1]!Table1[E @ 100 mA/cm2 10 mM KOH/V],"",0)</f>
        <v>#REF!</v>
      </c>
      <c r="AC1015" s="69" t="e" cm="1">
        <f t="array" ref="AC1015">_xlfn.XLOOKUP(Table1[[#This Row],[5 cm2 cell test code]:[5 cm2 cell test code]],[1]!Table1[[Test code]:[Test code]],[1]!Table1[Anode ICR/mOhm],"",0)</f>
        <v>#REF!</v>
      </c>
      <c r="AD1015" s="69" t="e" cm="1">
        <f t="array" ref="AD1015">_xlfn.XLOOKUP(Table1[[#This Row],[5 cm2 cell test code]:[5 cm2 cell test code]],[1]!Table1[[Test code]:[Test code]],[1]!Table1[HFR DIW/ mOhm cm2],"",0)</f>
        <v>#REF!</v>
      </c>
      <c r="AE1015" s="69" t="e" cm="1">
        <f t="array" ref="AE1015">_xlfn.XLOOKUP(Table1[[#This Row],[5 cm2 cell test code]:[5 cm2 cell test code]],[1]!Table1[[Test code]:[Test code]],[1]!Table1[HFR 10 mM KOH/ mOhm cm2],"",0)</f>
        <v>#REF!</v>
      </c>
      <c r="AF1015" s="69" t="e" cm="1">
        <f t="array" ref="AF1015">_xlfn.XLOOKUP(Table1[[#This Row],[5 cm2 cell test code]:[5 cm2 cell test code]],[1]!Table1[[Test code]:[Test code]],[1]!Table1[Ionic resistance DIW/Ohm cm2],"",0)</f>
        <v>#REF!</v>
      </c>
      <c r="AG1015" s="69" t="e" cm="1">
        <f t="array" ref="AG1015">_xlfn.XLOOKUP(Table1[[#This Row],[5 cm2 cell test code]:[5 cm2 cell test code]],[1]!Table1[[Test code]:[Test code]],[1]!Table1[Q_int_frac DIW],"",0)</f>
        <v>#REF!</v>
      </c>
      <c r="AH1015" s="69" t="e" cm="1">
        <f t="array" ref="AH1015">_xlfn.XLOOKUP(Table1[[#This Row],[5 cm2 cell test code]:[5 cm2 cell test code]],[1]!Table1[[Test code]:[Test code]],[1]!Table1[Ionic resistance 10 mM KOH/Ohm cm2],"",0)</f>
        <v>#REF!</v>
      </c>
      <c r="AI1015" s="69" t="e" cm="1">
        <f t="array" ref="AI1015">_xlfn.XLOOKUP(Table1[[#This Row],[5 cm2 cell test code]:[5 cm2 cell test code]],[1]!Table1[[Test code]:[Test code]],[1]!Table1[Q_int_frac DIW 10 mM KOH],"",0)</f>
        <v>#REF!</v>
      </c>
      <c r="AJ1015" s="69" t="e" cm="1">
        <f t="array" ref="AJ1015">_xlfn.XLOOKUP(Table1[[#This Row],[5 cm2 cell test code]:[5 cm2 cell test code]],[1]!Table1[[Test code]:[Test code]],[1]!Table1[DIW conductivity (µS/cm)],"",0)</f>
        <v>#REF!</v>
      </c>
    </row>
    <row r="1016" spans="1:36">
      <c r="A1016" s="81"/>
      <c r="U1016" s="101"/>
      <c r="V1016" s="101"/>
      <c r="W1016" s="69" t="e" cm="1">
        <f t="array" ref="W1016">_xlfn.XLOOKUP(Table1[[#This Row],[5 cm2 cell test code]:[5 cm2 cell test code]],[1]!Table1[[Test code]:[Test code]],[1]!Table1[i @ 1.8 V DIW (A/cm2)],"",0)</f>
        <v>#REF!</v>
      </c>
      <c r="X1016" s="69" t="e" cm="1">
        <f t="array" ref="X1016">_xlfn.XLOOKUP(Table1[[#This Row],[5 cm2 cell test code]:[5 cm2 cell test code]],[1]!Table1[[Test code]:[Test code]],[1]!Table1[i @ 1.8 V 10 mM KOH (A/cm2)],"",0)</f>
        <v>#REF!</v>
      </c>
      <c r="Y1016" s="69" t="e" cm="1">
        <f t="array" ref="Y1016">_xlfn.XLOOKUP(Table1[[#This Row],[5 cm2 cell test code]:[5 cm2 cell test code]],[1]!Table1[[Test code]:[Test code]],[1]!Table1[3-E ƞ at 20mAcm-2 (mV)],"",0)</f>
        <v>#REF!</v>
      </c>
      <c r="Z1016" s="69" t="e" cm="1">
        <f t="array" ref="Z1016">_xlfn.XLOOKUP(Table1[[#This Row],[5 cm2 cell test code]:[5 cm2 cell test code]],[1]!Table1[[Test code]:[Test code]],[1]!Table1[3-E Tafel slope (mV/dec)],"",0)</f>
        <v>#REF!</v>
      </c>
      <c r="AA1016" s="69" t="e" cm="1">
        <f t="array" ref="AA1016">_xlfn.XLOOKUP(Table1[[#This Row],[5 cm2 cell test code]:[5 cm2 cell test code]],[1]!Table1[[Test code]:[Test code]],[1]!Table1[E @ 100 mA/cm2 DIW/V],"",0)</f>
        <v>#REF!</v>
      </c>
      <c r="AB1016" s="69" t="e" cm="1">
        <f t="array" ref="AB1016">_xlfn.XLOOKUP(Table1[[#This Row],[5 cm2 cell test code]:[5 cm2 cell test code]],[1]!Table1[[Test code]:[Test code]],[1]!Table1[E @ 100 mA/cm2 10 mM KOH/V],"",0)</f>
        <v>#REF!</v>
      </c>
      <c r="AC1016" s="69" t="e" cm="1">
        <f t="array" ref="AC1016">_xlfn.XLOOKUP(Table1[[#This Row],[5 cm2 cell test code]:[5 cm2 cell test code]],[1]!Table1[[Test code]:[Test code]],[1]!Table1[Anode ICR/mOhm],"",0)</f>
        <v>#REF!</v>
      </c>
      <c r="AD1016" s="69" t="e" cm="1">
        <f t="array" ref="AD1016">_xlfn.XLOOKUP(Table1[[#This Row],[5 cm2 cell test code]:[5 cm2 cell test code]],[1]!Table1[[Test code]:[Test code]],[1]!Table1[HFR DIW/ mOhm cm2],"",0)</f>
        <v>#REF!</v>
      </c>
      <c r="AE1016" s="69" t="e" cm="1">
        <f t="array" ref="AE1016">_xlfn.XLOOKUP(Table1[[#This Row],[5 cm2 cell test code]:[5 cm2 cell test code]],[1]!Table1[[Test code]:[Test code]],[1]!Table1[HFR 10 mM KOH/ mOhm cm2],"",0)</f>
        <v>#REF!</v>
      </c>
      <c r="AF1016" s="69" t="e" cm="1">
        <f t="array" ref="AF1016">_xlfn.XLOOKUP(Table1[[#This Row],[5 cm2 cell test code]:[5 cm2 cell test code]],[1]!Table1[[Test code]:[Test code]],[1]!Table1[Ionic resistance DIW/Ohm cm2],"",0)</f>
        <v>#REF!</v>
      </c>
      <c r="AG1016" s="69" t="e" cm="1">
        <f t="array" ref="AG1016">_xlfn.XLOOKUP(Table1[[#This Row],[5 cm2 cell test code]:[5 cm2 cell test code]],[1]!Table1[[Test code]:[Test code]],[1]!Table1[Q_int_frac DIW],"",0)</f>
        <v>#REF!</v>
      </c>
      <c r="AH1016" s="69" t="e" cm="1">
        <f t="array" ref="AH1016">_xlfn.XLOOKUP(Table1[[#This Row],[5 cm2 cell test code]:[5 cm2 cell test code]],[1]!Table1[[Test code]:[Test code]],[1]!Table1[Ionic resistance 10 mM KOH/Ohm cm2],"",0)</f>
        <v>#REF!</v>
      </c>
      <c r="AI1016" s="69" t="e" cm="1">
        <f t="array" ref="AI1016">_xlfn.XLOOKUP(Table1[[#This Row],[5 cm2 cell test code]:[5 cm2 cell test code]],[1]!Table1[[Test code]:[Test code]],[1]!Table1[Q_int_frac DIW 10 mM KOH],"",0)</f>
        <v>#REF!</v>
      </c>
      <c r="AJ1016" s="69" t="e" cm="1">
        <f t="array" ref="AJ1016">_xlfn.XLOOKUP(Table1[[#This Row],[5 cm2 cell test code]:[5 cm2 cell test code]],[1]!Table1[[Test code]:[Test code]],[1]!Table1[DIW conductivity (µS/cm)],"",0)</f>
        <v>#REF!</v>
      </c>
    </row>
    <row r="1017" spans="1:36">
      <c r="A1017" s="81"/>
      <c r="U1017" s="101"/>
      <c r="V1017" s="101"/>
      <c r="W1017" s="69" t="e" cm="1">
        <f t="array" ref="W1017">_xlfn.XLOOKUP(Table1[[#This Row],[5 cm2 cell test code]:[5 cm2 cell test code]],[1]!Table1[[Test code]:[Test code]],[1]!Table1[i @ 1.8 V DIW (A/cm2)],"",0)</f>
        <v>#REF!</v>
      </c>
      <c r="X1017" s="69" t="e" cm="1">
        <f t="array" ref="X1017">_xlfn.XLOOKUP(Table1[[#This Row],[5 cm2 cell test code]:[5 cm2 cell test code]],[1]!Table1[[Test code]:[Test code]],[1]!Table1[i @ 1.8 V 10 mM KOH (A/cm2)],"",0)</f>
        <v>#REF!</v>
      </c>
      <c r="Y1017" s="69" t="e" cm="1">
        <f t="array" ref="Y1017">_xlfn.XLOOKUP(Table1[[#This Row],[5 cm2 cell test code]:[5 cm2 cell test code]],[1]!Table1[[Test code]:[Test code]],[1]!Table1[3-E ƞ at 20mAcm-2 (mV)],"",0)</f>
        <v>#REF!</v>
      </c>
      <c r="Z1017" s="69" t="e" cm="1">
        <f t="array" ref="Z1017">_xlfn.XLOOKUP(Table1[[#This Row],[5 cm2 cell test code]:[5 cm2 cell test code]],[1]!Table1[[Test code]:[Test code]],[1]!Table1[3-E Tafel slope (mV/dec)],"",0)</f>
        <v>#REF!</v>
      </c>
      <c r="AA1017" s="69" t="e" cm="1">
        <f t="array" ref="AA1017">_xlfn.XLOOKUP(Table1[[#This Row],[5 cm2 cell test code]:[5 cm2 cell test code]],[1]!Table1[[Test code]:[Test code]],[1]!Table1[E @ 100 mA/cm2 DIW/V],"",0)</f>
        <v>#REF!</v>
      </c>
      <c r="AB1017" s="69" t="e" cm="1">
        <f t="array" ref="AB1017">_xlfn.XLOOKUP(Table1[[#This Row],[5 cm2 cell test code]:[5 cm2 cell test code]],[1]!Table1[[Test code]:[Test code]],[1]!Table1[E @ 100 mA/cm2 10 mM KOH/V],"",0)</f>
        <v>#REF!</v>
      </c>
      <c r="AC1017" s="69" t="e" cm="1">
        <f t="array" ref="AC1017">_xlfn.XLOOKUP(Table1[[#This Row],[5 cm2 cell test code]:[5 cm2 cell test code]],[1]!Table1[[Test code]:[Test code]],[1]!Table1[Anode ICR/mOhm],"",0)</f>
        <v>#REF!</v>
      </c>
      <c r="AD1017" s="69" t="e" cm="1">
        <f t="array" ref="AD1017">_xlfn.XLOOKUP(Table1[[#This Row],[5 cm2 cell test code]:[5 cm2 cell test code]],[1]!Table1[[Test code]:[Test code]],[1]!Table1[HFR DIW/ mOhm cm2],"",0)</f>
        <v>#REF!</v>
      </c>
      <c r="AE1017" s="69" t="e" cm="1">
        <f t="array" ref="AE1017">_xlfn.XLOOKUP(Table1[[#This Row],[5 cm2 cell test code]:[5 cm2 cell test code]],[1]!Table1[[Test code]:[Test code]],[1]!Table1[HFR 10 mM KOH/ mOhm cm2],"",0)</f>
        <v>#REF!</v>
      </c>
      <c r="AF1017" s="69" t="e" cm="1">
        <f t="array" ref="AF1017">_xlfn.XLOOKUP(Table1[[#This Row],[5 cm2 cell test code]:[5 cm2 cell test code]],[1]!Table1[[Test code]:[Test code]],[1]!Table1[Ionic resistance DIW/Ohm cm2],"",0)</f>
        <v>#REF!</v>
      </c>
      <c r="AG1017" s="69" t="e" cm="1">
        <f t="array" ref="AG1017">_xlfn.XLOOKUP(Table1[[#This Row],[5 cm2 cell test code]:[5 cm2 cell test code]],[1]!Table1[[Test code]:[Test code]],[1]!Table1[Q_int_frac DIW],"",0)</f>
        <v>#REF!</v>
      </c>
      <c r="AH1017" s="69" t="e" cm="1">
        <f t="array" ref="AH1017">_xlfn.XLOOKUP(Table1[[#This Row],[5 cm2 cell test code]:[5 cm2 cell test code]],[1]!Table1[[Test code]:[Test code]],[1]!Table1[Ionic resistance 10 mM KOH/Ohm cm2],"",0)</f>
        <v>#REF!</v>
      </c>
      <c r="AI1017" s="69" t="e" cm="1">
        <f t="array" ref="AI1017">_xlfn.XLOOKUP(Table1[[#This Row],[5 cm2 cell test code]:[5 cm2 cell test code]],[1]!Table1[[Test code]:[Test code]],[1]!Table1[Q_int_frac DIW 10 mM KOH],"",0)</f>
        <v>#REF!</v>
      </c>
      <c r="AJ1017" s="69" t="e" cm="1">
        <f t="array" ref="AJ1017">_xlfn.XLOOKUP(Table1[[#This Row],[5 cm2 cell test code]:[5 cm2 cell test code]],[1]!Table1[[Test code]:[Test code]],[1]!Table1[DIW conductivity (µS/cm)],"",0)</f>
        <v>#REF!</v>
      </c>
    </row>
    <row r="1018" spans="1:36">
      <c r="A1018" s="81"/>
      <c r="U1018" s="101"/>
      <c r="V1018" s="101"/>
      <c r="W1018" s="69" t="e" cm="1">
        <f t="array" ref="W1018">_xlfn.XLOOKUP(Table1[[#This Row],[5 cm2 cell test code]:[5 cm2 cell test code]],[1]!Table1[[Test code]:[Test code]],[1]!Table1[i @ 1.8 V DIW (A/cm2)],"",0)</f>
        <v>#REF!</v>
      </c>
      <c r="X1018" s="69" t="e" cm="1">
        <f t="array" ref="X1018">_xlfn.XLOOKUP(Table1[[#This Row],[5 cm2 cell test code]:[5 cm2 cell test code]],[1]!Table1[[Test code]:[Test code]],[1]!Table1[i @ 1.8 V 10 mM KOH (A/cm2)],"",0)</f>
        <v>#REF!</v>
      </c>
      <c r="Y1018" s="69" t="e" cm="1">
        <f t="array" ref="Y1018">_xlfn.XLOOKUP(Table1[[#This Row],[5 cm2 cell test code]:[5 cm2 cell test code]],[1]!Table1[[Test code]:[Test code]],[1]!Table1[3-E ƞ at 20mAcm-2 (mV)],"",0)</f>
        <v>#REF!</v>
      </c>
      <c r="Z1018" s="69" t="e" cm="1">
        <f t="array" ref="Z1018">_xlfn.XLOOKUP(Table1[[#This Row],[5 cm2 cell test code]:[5 cm2 cell test code]],[1]!Table1[[Test code]:[Test code]],[1]!Table1[3-E Tafel slope (mV/dec)],"",0)</f>
        <v>#REF!</v>
      </c>
      <c r="AA1018" s="69" t="e" cm="1">
        <f t="array" ref="AA1018">_xlfn.XLOOKUP(Table1[[#This Row],[5 cm2 cell test code]:[5 cm2 cell test code]],[1]!Table1[[Test code]:[Test code]],[1]!Table1[E @ 100 mA/cm2 DIW/V],"",0)</f>
        <v>#REF!</v>
      </c>
      <c r="AB1018" s="69" t="e" cm="1">
        <f t="array" ref="AB1018">_xlfn.XLOOKUP(Table1[[#This Row],[5 cm2 cell test code]:[5 cm2 cell test code]],[1]!Table1[[Test code]:[Test code]],[1]!Table1[E @ 100 mA/cm2 10 mM KOH/V],"",0)</f>
        <v>#REF!</v>
      </c>
      <c r="AC1018" s="69" t="e" cm="1">
        <f t="array" ref="AC1018">_xlfn.XLOOKUP(Table1[[#This Row],[5 cm2 cell test code]:[5 cm2 cell test code]],[1]!Table1[[Test code]:[Test code]],[1]!Table1[Anode ICR/mOhm],"",0)</f>
        <v>#REF!</v>
      </c>
      <c r="AD1018" s="69" t="e" cm="1">
        <f t="array" ref="AD1018">_xlfn.XLOOKUP(Table1[[#This Row],[5 cm2 cell test code]:[5 cm2 cell test code]],[1]!Table1[[Test code]:[Test code]],[1]!Table1[HFR DIW/ mOhm cm2],"",0)</f>
        <v>#REF!</v>
      </c>
      <c r="AE1018" s="69" t="e" cm="1">
        <f t="array" ref="AE1018">_xlfn.XLOOKUP(Table1[[#This Row],[5 cm2 cell test code]:[5 cm2 cell test code]],[1]!Table1[[Test code]:[Test code]],[1]!Table1[HFR 10 mM KOH/ mOhm cm2],"",0)</f>
        <v>#REF!</v>
      </c>
      <c r="AF1018" s="69" t="e" cm="1">
        <f t="array" ref="AF1018">_xlfn.XLOOKUP(Table1[[#This Row],[5 cm2 cell test code]:[5 cm2 cell test code]],[1]!Table1[[Test code]:[Test code]],[1]!Table1[Ionic resistance DIW/Ohm cm2],"",0)</f>
        <v>#REF!</v>
      </c>
      <c r="AG1018" s="69" t="e" cm="1">
        <f t="array" ref="AG1018">_xlfn.XLOOKUP(Table1[[#This Row],[5 cm2 cell test code]:[5 cm2 cell test code]],[1]!Table1[[Test code]:[Test code]],[1]!Table1[Q_int_frac DIW],"",0)</f>
        <v>#REF!</v>
      </c>
      <c r="AH1018" s="69" t="e" cm="1">
        <f t="array" ref="AH1018">_xlfn.XLOOKUP(Table1[[#This Row],[5 cm2 cell test code]:[5 cm2 cell test code]],[1]!Table1[[Test code]:[Test code]],[1]!Table1[Ionic resistance 10 mM KOH/Ohm cm2],"",0)</f>
        <v>#REF!</v>
      </c>
      <c r="AI1018" s="69" t="e" cm="1">
        <f t="array" ref="AI1018">_xlfn.XLOOKUP(Table1[[#This Row],[5 cm2 cell test code]:[5 cm2 cell test code]],[1]!Table1[[Test code]:[Test code]],[1]!Table1[Q_int_frac DIW 10 mM KOH],"",0)</f>
        <v>#REF!</v>
      </c>
      <c r="AJ1018" s="69" t="e" cm="1">
        <f t="array" ref="AJ1018">_xlfn.XLOOKUP(Table1[[#This Row],[5 cm2 cell test code]:[5 cm2 cell test code]],[1]!Table1[[Test code]:[Test code]],[1]!Table1[DIW conductivity (µS/cm)],"",0)</f>
        <v>#REF!</v>
      </c>
    </row>
    <row r="1019" spans="1:36">
      <c r="A1019" s="81"/>
      <c r="U1019" s="101"/>
      <c r="V1019" s="101"/>
      <c r="W1019" s="69" t="e" cm="1">
        <f t="array" ref="W1019">_xlfn.XLOOKUP(Table1[[#This Row],[5 cm2 cell test code]:[5 cm2 cell test code]],[1]!Table1[[Test code]:[Test code]],[1]!Table1[i @ 1.8 V DIW (A/cm2)],"",0)</f>
        <v>#REF!</v>
      </c>
      <c r="X1019" s="69" t="e" cm="1">
        <f t="array" ref="X1019">_xlfn.XLOOKUP(Table1[[#This Row],[5 cm2 cell test code]:[5 cm2 cell test code]],[1]!Table1[[Test code]:[Test code]],[1]!Table1[i @ 1.8 V 10 mM KOH (A/cm2)],"",0)</f>
        <v>#REF!</v>
      </c>
      <c r="Y1019" s="69" t="e" cm="1">
        <f t="array" ref="Y1019">_xlfn.XLOOKUP(Table1[[#This Row],[5 cm2 cell test code]:[5 cm2 cell test code]],[1]!Table1[[Test code]:[Test code]],[1]!Table1[3-E ƞ at 20mAcm-2 (mV)],"",0)</f>
        <v>#REF!</v>
      </c>
      <c r="Z1019" s="69" t="e" cm="1">
        <f t="array" ref="Z1019">_xlfn.XLOOKUP(Table1[[#This Row],[5 cm2 cell test code]:[5 cm2 cell test code]],[1]!Table1[[Test code]:[Test code]],[1]!Table1[3-E Tafel slope (mV/dec)],"",0)</f>
        <v>#REF!</v>
      </c>
      <c r="AA1019" s="69" t="e" cm="1">
        <f t="array" ref="AA1019">_xlfn.XLOOKUP(Table1[[#This Row],[5 cm2 cell test code]:[5 cm2 cell test code]],[1]!Table1[[Test code]:[Test code]],[1]!Table1[E @ 100 mA/cm2 DIW/V],"",0)</f>
        <v>#REF!</v>
      </c>
      <c r="AB1019" s="69" t="e" cm="1">
        <f t="array" ref="AB1019">_xlfn.XLOOKUP(Table1[[#This Row],[5 cm2 cell test code]:[5 cm2 cell test code]],[1]!Table1[[Test code]:[Test code]],[1]!Table1[E @ 100 mA/cm2 10 mM KOH/V],"",0)</f>
        <v>#REF!</v>
      </c>
      <c r="AC1019" s="69" t="e" cm="1">
        <f t="array" ref="AC1019">_xlfn.XLOOKUP(Table1[[#This Row],[5 cm2 cell test code]:[5 cm2 cell test code]],[1]!Table1[[Test code]:[Test code]],[1]!Table1[Anode ICR/mOhm],"",0)</f>
        <v>#REF!</v>
      </c>
      <c r="AD1019" s="69" t="e" cm="1">
        <f t="array" ref="AD1019">_xlfn.XLOOKUP(Table1[[#This Row],[5 cm2 cell test code]:[5 cm2 cell test code]],[1]!Table1[[Test code]:[Test code]],[1]!Table1[HFR DIW/ mOhm cm2],"",0)</f>
        <v>#REF!</v>
      </c>
      <c r="AE1019" s="69" t="e" cm="1">
        <f t="array" ref="AE1019">_xlfn.XLOOKUP(Table1[[#This Row],[5 cm2 cell test code]:[5 cm2 cell test code]],[1]!Table1[[Test code]:[Test code]],[1]!Table1[HFR 10 mM KOH/ mOhm cm2],"",0)</f>
        <v>#REF!</v>
      </c>
      <c r="AF1019" s="69" t="e" cm="1">
        <f t="array" ref="AF1019">_xlfn.XLOOKUP(Table1[[#This Row],[5 cm2 cell test code]:[5 cm2 cell test code]],[1]!Table1[[Test code]:[Test code]],[1]!Table1[Ionic resistance DIW/Ohm cm2],"",0)</f>
        <v>#REF!</v>
      </c>
      <c r="AG1019" s="69" t="e" cm="1">
        <f t="array" ref="AG1019">_xlfn.XLOOKUP(Table1[[#This Row],[5 cm2 cell test code]:[5 cm2 cell test code]],[1]!Table1[[Test code]:[Test code]],[1]!Table1[Q_int_frac DIW],"",0)</f>
        <v>#REF!</v>
      </c>
      <c r="AH1019" s="69" t="e" cm="1">
        <f t="array" ref="AH1019">_xlfn.XLOOKUP(Table1[[#This Row],[5 cm2 cell test code]:[5 cm2 cell test code]],[1]!Table1[[Test code]:[Test code]],[1]!Table1[Ionic resistance 10 mM KOH/Ohm cm2],"",0)</f>
        <v>#REF!</v>
      </c>
      <c r="AI1019" s="69" t="e" cm="1">
        <f t="array" ref="AI1019">_xlfn.XLOOKUP(Table1[[#This Row],[5 cm2 cell test code]:[5 cm2 cell test code]],[1]!Table1[[Test code]:[Test code]],[1]!Table1[Q_int_frac DIW 10 mM KOH],"",0)</f>
        <v>#REF!</v>
      </c>
      <c r="AJ1019" s="69" t="e" cm="1">
        <f t="array" ref="AJ1019">_xlfn.XLOOKUP(Table1[[#This Row],[5 cm2 cell test code]:[5 cm2 cell test code]],[1]!Table1[[Test code]:[Test code]],[1]!Table1[DIW conductivity (µS/cm)],"",0)</f>
        <v>#REF!</v>
      </c>
    </row>
    <row r="1020" spans="1:36">
      <c r="A1020" s="81"/>
      <c r="U1020" s="101"/>
      <c r="V1020" s="101"/>
      <c r="W1020" s="69" t="e" cm="1">
        <f t="array" ref="W1020">_xlfn.XLOOKUP(Table1[[#This Row],[5 cm2 cell test code]:[5 cm2 cell test code]],[1]!Table1[[Test code]:[Test code]],[1]!Table1[i @ 1.8 V DIW (A/cm2)],"",0)</f>
        <v>#REF!</v>
      </c>
      <c r="X1020" s="69" t="e" cm="1">
        <f t="array" ref="X1020">_xlfn.XLOOKUP(Table1[[#This Row],[5 cm2 cell test code]:[5 cm2 cell test code]],[1]!Table1[[Test code]:[Test code]],[1]!Table1[i @ 1.8 V 10 mM KOH (A/cm2)],"",0)</f>
        <v>#REF!</v>
      </c>
      <c r="Y1020" s="69" t="e" cm="1">
        <f t="array" ref="Y1020">_xlfn.XLOOKUP(Table1[[#This Row],[5 cm2 cell test code]:[5 cm2 cell test code]],[1]!Table1[[Test code]:[Test code]],[1]!Table1[3-E ƞ at 20mAcm-2 (mV)],"",0)</f>
        <v>#REF!</v>
      </c>
      <c r="Z1020" s="69" t="e" cm="1">
        <f t="array" ref="Z1020">_xlfn.XLOOKUP(Table1[[#This Row],[5 cm2 cell test code]:[5 cm2 cell test code]],[1]!Table1[[Test code]:[Test code]],[1]!Table1[3-E Tafel slope (mV/dec)],"",0)</f>
        <v>#REF!</v>
      </c>
      <c r="AA1020" s="69" t="e" cm="1">
        <f t="array" ref="AA1020">_xlfn.XLOOKUP(Table1[[#This Row],[5 cm2 cell test code]:[5 cm2 cell test code]],[1]!Table1[[Test code]:[Test code]],[1]!Table1[E @ 100 mA/cm2 DIW/V],"",0)</f>
        <v>#REF!</v>
      </c>
      <c r="AB1020" s="69" t="e" cm="1">
        <f t="array" ref="AB1020">_xlfn.XLOOKUP(Table1[[#This Row],[5 cm2 cell test code]:[5 cm2 cell test code]],[1]!Table1[[Test code]:[Test code]],[1]!Table1[E @ 100 mA/cm2 10 mM KOH/V],"",0)</f>
        <v>#REF!</v>
      </c>
      <c r="AC1020" s="69" t="e" cm="1">
        <f t="array" ref="AC1020">_xlfn.XLOOKUP(Table1[[#This Row],[5 cm2 cell test code]:[5 cm2 cell test code]],[1]!Table1[[Test code]:[Test code]],[1]!Table1[Anode ICR/mOhm],"",0)</f>
        <v>#REF!</v>
      </c>
      <c r="AD1020" s="69" t="e" cm="1">
        <f t="array" ref="AD1020">_xlfn.XLOOKUP(Table1[[#This Row],[5 cm2 cell test code]:[5 cm2 cell test code]],[1]!Table1[[Test code]:[Test code]],[1]!Table1[HFR DIW/ mOhm cm2],"",0)</f>
        <v>#REF!</v>
      </c>
      <c r="AE1020" s="69" t="e" cm="1">
        <f t="array" ref="AE1020">_xlfn.XLOOKUP(Table1[[#This Row],[5 cm2 cell test code]:[5 cm2 cell test code]],[1]!Table1[[Test code]:[Test code]],[1]!Table1[HFR 10 mM KOH/ mOhm cm2],"",0)</f>
        <v>#REF!</v>
      </c>
      <c r="AF1020" s="69" t="e" cm="1">
        <f t="array" ref="AF1020">_xlfn.XLOOKUP(Table1[[#This Row],[5 cm2 cell test code]:[5 cm2 cell test code]],[1]!Table1[[Test code]:[Test code]],[1]!Table1[Ionic resistance DIW/Ohm cm2],"",0)</f>
        <v>#REF!</v>
      </c>
      <c r="AG1020" s="69" t="e" cm="1">
        <f t="array" ref="AG1020">_xlfn.XLOOKUP(Table1[[#This Row],[5 cm2 cell test code]:[5 cm2 cell test code]],[1]!Table1[[Test code]:[Test code]],[1]!Table1[Q_int_frac DIW],"",0)</f>
        <v>#REF!</v>
      </c>
      <c r="AH1020" s="69" t="e" cm="1">
        <f t="array" ref="AH1020">_xlfn.XLOOKUP(Table1[[#This Row],[5 cm2 cell test code]:[5 cm2 cell test code]],[1]!Table1[[Test code]:[Test code]],[1]!Table1[Ionic resistance 10 mM KOH/Ohm cm2],"",0)</f>
        <v>#REF!</v>
      </c>
      <c r="AI1020" s="69" t="e" cm="1">
        <f t="array" ref="AI1020">_xlfn.XLOOKUP(Table1[[#This Row],[5 cm2 cell test code]:[5 cm2 cell test code]],[1]!Table1[[Test code]:[Test code]],[1]!Table1[Q_int_frac DIW 10 mM KOH],"",0)</f>
        <v>#REF!</v>
      </c>
      <c r="AJ1020" s="69" t="e" cm="1">
        <f t="array" ref="AJ1020">_xlfn.XLOOKUP(Table1[[#This Row],[5 cm2 cell test code]:[5 cm2 cell test code]],[1]!Table1[[Test code]:[Test code]],[1]!Table1[DIW conductivity (µS/cm)],"",0)</f>
        <v>#REF!</v>
      </c>
    </row>
    <row r="1021" spans="1:36">
      <c r="A1021" s="81"/>
      <c r="U1021" s="101"/>
      <c r="V1021" s="101"/>
      <c r="W1021" s="69" t="e" cm="1">
        <f t="array" ref="W1021">_xlfn.XLOOKUP(Table1[[#This Row],[5 cm2 cell test code]:[5 cm2 cell test code]],[1]!Table1[[Test code]:[Test code]],[1]!Table1[i @ 1.8 V DIW (A/cm2)],"",0)</f>
        <v>#REF!</v>
      </c>
      <c r="X1021" s="69" t="e" cm="1">
        <f t="array" ref="X1021">_xlfn.XLOOKUP(Table1[[#This Row],[5 cm2 cell test code]:[5 cm2 cell test code]],[1]!Table1[[Test code]:[Test code]],[1]!Table1[i @ 1.8 V 10 mM KOH (A/cm2)],"",0)</f>
        <v>#REF!</v>
      </c>
      <c r="Y1021" s="69" t="e" cm="1">
        <f t="array" ref="Y1021">_xlfn.XLOOKUP(Table1[[#This Row],[5 cm2 cell test code]:[5 cm2 cell test code]],[1]!Table1[[Test code]:[Test code]],[1]!Table1[3-E ƞ at 20mAcm-2 (mV)],"",0)</f>
        <v>#REF!</v>
      </c>
      <c r="Z1021" s="69" t="e" cm="1">
        <f t="array" ref="Z1021">_xlfn.XLOOKUP(Table1[[#This Row],[5 cm2 cell test code]:[5 cm2 cell test code]],[1]!Table1[[Test code]:[Test code]],[1]!Table1[3-E Tafel slope (mV/dec)],"",0)</f>
        <v>#REF!</v>
      </c>
      <c r="AA1021" s="69" t="e" cm="1">
        <f t="array" ref="AA1021">_xlfn.XLOOKUP(Table1[[#This Row],[5 cm2 cell test code]:[5 cm2 cell test code]],[1]!Table1[[Test code]:[Test code]],[1]!Table1[E @ 100 mA/cm2 DIW/V],"",0)</f>
        <v>#REF!</v>
      </c>
      <c r="AB1021" s="69" t="e" cm="1">
        <f t="array" ref="AB1021">_xlfn.XLOOKUP(Table1[[#This Row],[5 cm2 cell test code]:[5 cm2 cell test code]],[1]!Table1[[Test code]:[Test code]],[1]!Table1[E @ 100 mA/cm2 10 mM KOH/V],"",0)</f>
        <v>#REF!</v>
      </c>
      <c r="AC1021" s="69" t="e" cm="1">
        <f t="array" ref="AC1021">_xlfn.XLOOKUP(Table1[[#This Row],[5 cm2 cell test code]:[5 cm2 cell test code]],[1]!Table1[[Test code]:[Test code]],[1]!Table1[Anode ICR/mOhm],"",0)</f>
        <v>#REF!</v>
      </c>
      <c r="AD1021" s="69" t="e" cm="1">
        <f t="array" ref="AD1021">_xlfn.XLOOKUP(Table1[[#This Row],[5 cm2 cell test code]:[5 cm2 cell test code]],[1]!Table1[[Test code]:[Test code]],[1]!Table1[HFR DIW/ mOhm cm2],"",0)</f>
        <v>#REF!</v>
      </c>
      <c r="AE1021" s="69" t="e" cm="1">
        <f t="array" ref="AE1021">_xlfn.XLOOKUP(Table1[[#This Row],[5 cm2 cell test code]:[5 cm2 cell test code]],[1]!Table1[[Test code]:[Test code]],[1]!Table1[HFR 10 mM KOH/ mOhm cm2],"",0)</f>
        <v>#REF!</v>
      </c>
      <c r="AF1021" s="69" t="e" cm="1">
        <f t="array" ref="AF1021">_xlfn.XLOOKUP(Table1[[#This Row],[5 cm2 cell test code]:[5 cm2 cell test code]],[1]!Table1[[Test code]:[Test code]],[1]!Table1[Ionic resistance DIW/Ohm cm2],"",0)</f>
        <v>#REF!</v>
      </c>
      <c r="AG1021" s="69" t="e" cm="1">
        <f t="array" ref="AG1021">_xlfn.XLOOKUP(Table1[[#This Row],[5 cm2 cell test code]:[5 cm2 cell test code]],[1]!Table1[[Test code]:[Test code]],[1]!Table1[Q_int_frac DIW],"",0)</f>
        <v>#REF!</v>
      </c>
      <c r="AH1021" s="69" t="e" cm="1">
        <f t="array" ref="AH1021">_xlfn.XLOOKUP(Table1[[#This Row],[5 cm2 cell test code]:[5 cm2 cell test code]],[1]!Table1[[Test code]:[Test code]],[1]!Table1[Ionic resistance 10 mM KOH/Ohm cm2],"",0)</f>
        <v>#REF!</v>
      </c>
      <c r="AI1021" s="69" t="e" cm="1">
        <f t="array" ref="AI1021">_xlfn.XLOOKUP(Table1[[#This Row],[5 cm2 cell test code]:[5 cm2 cell test code]],[1]!Table1[[Test code]:[Test code]],[1]!Table1[Q_int_frac DIW 10 mM KOH],"",0)</f>
        <v>#REF!</v>
      </c>
      <c r="AJ1021" s="69" t="e" cm="1">
        <f t="array" ref="AJ1021">_xlfn.XLOOKUP(Table1[[#This Row],[5 cm2 cell test code]:[5 cm2 cell test code]],[1]!Table1[[Test code]:[Test code]],[1]!Table1[DIW conductivity (µS/cm)],"",0)</f>
        <v>#REF!</v>
      </c>
    </row>
    <row r="1022" spans="1:36">
      <c r="A1022" s="81"/>
      <c r="U1022" s="101"/>
      <c r="V1022" s="101"/>
      <c r="W1022" s="69" t="e" cm="1">
        <f t="array" ref="W1022">_xlfn.XLOOKUP(Table1[[#This Row],[5 cm2 cell test code]:[5 cm2 cell test code]],[1]!Table1[[Test code]:[Test code]],[1]!Table1[i @ 1.8 V DIW (A/cm2)],"",0)</f>
        <v>#REF!</v>
      </c>
      <c r="X1022" s="69" t="e" cm="1">
        <f t="array" ref="X1022">_xlfn.XLOOKUP(Table1[[#This Row],[5 cm2 cell test code]:[5 cm2 cell test code]],[1]!Table1[[Test code]:[Test code]],[1]!Table1[i @ 1.8 V 10 mM KOH (A/cm2)],"",0)</f>
        <v>#REF!</v>
      </c>
      <c r="Y1022" s="69" t="e" cm="1">
        <f t="array" ref="Y1022">_xlfn.XLOOKUP(Table1[[#This Row],[5 cm2 cell test code]:[5 cm2 cell test code]],[1]!Table1[[Test code]:[Test code]],[1]!Table1[3-E ƞ at 20mAcm-2 (mV)],"",0)</f>
        <v>#REF!</v>
      </c>
      <c r="Z1022" s="69" t="e" cm="1">
        <f t="array" ref="Z1022">_xlfn.XLOOKUP(Table1[[#This Row],[5 cm2 cell test code]:[5 cm2 cell test code]],[1]!Table1[[Test code]:[Test code]],[1]!Table1[3-E Tafel slope (mV/dec)],"",0)</f>
        <v>#REF!</v>
      </c>
      <c r="AA1022" s="69" t="e" cm="1">
        <f t="array" ref="AA1022">_xlfn.XLOOKUP(Table1[[#This Row],[5 cm2 cell test code]:[5 cm2 cell test code]],[1]!Table1[[Test code]:[Test code]],[1]!Table1[E @ 100 mA/cm2 DIW/V],"",0)</f>
        <v>#REF!</v>
      </c>
      <c r="AB1022" s="69" t="e" cm="1">
        <f t="array" ref="AB1022">_xlfn.XLOOKUP(Table1[[#This Row],[5 cm2 cell test code]:[5 cm2 cell test code]],[1]!Table1[[Test code]:[Test code]],[1]!Table1[E @ 100 mA/cm2 10 mM KOH/V],"",0)</f>
        <v>#REF!</v>
      </c>
      <c r="AC1022" s="69" t="e" cm="1">
        <f t="array" ref="AC1022">_xlfn.XLOOKUP(Table1[[#This Row],[5 cm2 cell test code]:[5 cm2 cell test code]],[1]!Table1[[Test code]:[Test code]],[1]!Table1[Anode ICR/mOhm],"",0)</f>
        <v>#REF!</v>
      </c>
      <c r="AD1022" s="69" t="e" cm="1">
        <f t="array" ref="AD1022">_xlfn.XLOOKUP(Table1[[#This Row],[5 cm2 cell test code]:[5 cm2 cell test code]],[1]!Table1[[Test code]:[Test code]],[1]!Table1[HFR DIW/ mOhm cm2],"",0)</f>
        <v>#REF!</v>
      </c>
      <c r="AE1022" s="69" t="e" cm="1">
        <f t="array" ref="AE1022">_xlfn.XLOOKUP(Table1[[#This Row],[5 cm2 cell test code]:[5 cm2 cell test code]],[1]!Table1[[Test code]:[Test code]],[1]!Table1[HFR 10 mM KOH/ mOhm cm2],"",0)</f>
        <v>#REF!</v>
      </c>
      <c r="AF1022" s="69" t="e" cm="1">
        <f t="array" ref="AF1022">_xlfn.XLOOKUP(Table1[[#This Row],[5 cm2 cell test code]:[5 cm2 cell test code]],[1]!Table1[[Test code]:[Test code]],[1]!Table1[Ionic resistance DIW/Ohm cm2],"",0)</f>
        <v>#REF!</v>
      </c>
      <c r="AG1022" s="69" t="e" cm="1">
        <f t="array" ref="AG1022">_xlfn.XLOOKUP(Table1[[#This Row],[5 cm2 cell test code]:[5 cm2 cell test code]],[1]!Table1[[Test code]:[Test code]],[1]!Table1[Q_int_frac DIW],"",0)</f>
        <v>#REF!</v>
      </c>
      <c r="AH1022" s="69" t="e" cm="1">
        <f t="array" ref="AH1022">_xlfn.XLOOKUP(Table1[[#This Row],[5 cm2 cell test code]:[5 cm2 cell test code]],[1]!Table1[[Test code]:[Test code]],[1]!Table1[Ionic resistance 10 mM KOH/Ohm cm2],"",0)</f>
        <v>#REF!</v>
      </c>
      <c r="AI1022" s="69" t="e" cm="1">
        <f t="array" ref="AI1022">_xlfn.XLOOKUP(Table1[[#This Row],[5 cm2 cell test code]:[5 cm2 cell test code]],[1]!Table1[[Test code]:[Test code]],[1]!Table1[Q_int_frac DIW 10 mM KOH],"",0)</f>
        <v>#REF!</v>
      </c>
      <c r="AJ1022" s="69" t="e" cm="1">
        <f t="array" ref="AJ1022">_xlfn.XLOOKUP(Table1[[#This Row],[5 cm2 cell test code]:[5 cm2 cell test code]],[1]!Table1[[Test code]:[Test code]],[1]!Table1[DIW conductivity (µS/cm)],"",0)</f>
        <v>#REF!</v>
      </c>
    </row>
    <row r="1023" spans="1:36">
      <c r="A1023" s="81"/>
      <c r="U1023" s="101"/>
      <c r="V1023" s="101"/>
      <c r="W1023" s="69" t="e" cm="1">
        <f t="array" ref="W1023">_xlfn.XLOOKUP(Table1[[#This Row],[5 cm2 cell test code]:[5 cm2 cell test code]],[1]!Table1[[Test code]:[Test code]],[1]!Table1[i @ 1.8 V DIW (A/cm2)],"",0)</f>
        <v>#REF!</v>
      </c>
      <c r="X1023" s="69" t="e" cm="1">
        <f t="array" ref="X1023">_xlfn.XLOOKUP(Table1[[#This Row],[5 cm2 cell test code]:[5 cm2 cell test code]],[1]!Table1[[Test code]:[Test code]],[1]!Table1[i @ 1.8 V 10 mM KOH (A/cm2)],"",0)</f>
        <v>#REF!</v>
      </c>
      <c r="Y1023" s="69" t="e" cm="1">
        <f t="array" ref="Y1023">_xlfn.XLOOKUP(Table1[[#This Row],[5 cm2 cell test code]:[5 cm2 cell test code]],[1]!Table1[[Test code]:[Test code]],[1]!Table1[3-E ƞ at 20mAcm-2 (mV)],"",0)</f>
        <v>#REF!</v>
      </c>
      <c r="Z1023" s="69" t="e" cm="1">
        <f t="array" ref="Z1023">_xlfn.XLOOKUP(Table1[[#This Row],[5 cm2 cell test code]:[5 cm2 cell test code]],[1]!Table1[[Test code]:[Test code]],[1]!Table1[3-E Tafel slope (mV/dec)],"",0)</f>
        <v>#REF!</v>
      </c>
      <c r="AA1023" s="69" t="e" cm="1">
        <f t="array" ref="AA1023">_xlfn.XLOOKUP(Table1[[#This Row],[5 cm2 cell test code]:[5 cm2 cell test code]],[1]!Table1[[Test code]:[Test code]],[1]!Table1[E @ 100 mA/cm2 DIW/V],"",0)</f>
        <v>#REF!</v>
      </c>
      <c r="AB1023" s="69" t="e" cm="1">
        <f t="array" ref="AB1023">_xlfn.XLOOKUP(Table1[[#This Row],[5 cm2 cell test code]:[5 cm2 cell test code]],[1]!Table1[[Test code]:[Test code]],[1]!Table1[E @ 100 mA/cm2 10 mM KOH/V],"",0)</f>
        <v>#REF!</v>
      </c>
      <c r="AC1023" s="69" t="e" cm="1">
        <f t="array" ref="AC1023">_xlfn.XLOOKUP(Table1[[#This Row],[5 cm2 cell test code]:[5 cm2 cell test code]],[1]!Table1[[Test code]:[Test code]],[1]!Table1[Anode ICR/mOhm],"",0)</f>
        <v>#REF!</v>
      </c>
      <c r="AD1023" s="69" t="e" cm="1">
        <f t="array" ref="AD1023">_xlfn.XLOOKUP(Table1[[#This Row],[5 cm2 cell test code]:[5 cm2 cell test code]],[1]!Table1[[Test code]:[Test code]],[1]!Table1[HFR DIW/ mOhm cm2],"",0)</f>
        <v>#REF!</v>
      </c>
      <c r="AE1023" s="69" t="e" cm="1">
        <f t="array" ref="AE1023">_xlfn.XLOOKUP(Table1[[#This Row],[5 cm2 cell test code]:[5 cm2 cell test code]],[1]!Table1[[Test code]:[Test code]],[1]!Table1[HFR 10 mM KOH/ mOhm cm2],"",0)</f>
        <v>#REF!</v>
      </c>
      <c r="AF1023" s="69" t="e" cm="1">
        <f t="array" ref="AF1023">_xlfn.XLOOKUP(Table1[[#This Row],[5 cm2 cell test code]:[5 cm2 cell test code]],[1]!Table1[[Test code]:[Test code]],[1]!Table1[Ionic resistance DIW/Ohm cm2],"",0)</f>
        <v>#REF!</v>
      </c>
      <c r="AG1023" s="69" t="e" cm="1">
        <f t="array" ref="AG1023">_xlfn.XLOOKUP(Table1[[#This Row],[5 cm2 cell test code]:[5 cm2 cell test code]],[1]!Table1[[Test code]:[Test code]],[1]!Table1[Q_int_frac DIW],"",0)</f>
        <v>#REF!</v>
      </c>
      <c r="AH1023" s="69" t="e" cm="1">
        <f t="array" ref="AH1023">_xlfn.XLOOKUP(Table1[[#This Row],[5 cm2 cell test code]:[5 cm2 cell test code]],[1]!Table1[[Test code]:[Test code]],[1]!Table1[Ionic resistance 10 mM KOH/Ohm cm2],"",0)</f>
        <v>#REF!</v>
      </c>
      <c r="AI1023" s="69" t="e" cm="1">
        <f t="array" ref="AI1023">_xlfn.XLOOKUP(Table1[[#This Row],[5 cm2 cell test code]:[5 cm2 cell test code]],[1]!Table1[[Test code]:[Test code]],[1]!Table1[Q_int_frac DIW 10 mM KOH],"",0)</f>
        <v>#REF!</v>
      </c>
      <c r="AJ1023" s="69" t="e" cm="1">
        <f t="array" ref="AJ1023">_xlfn.XLOOKUP(Table1[[#This Row],[5 cm2 cell test code]:[5 cm2 cell test code]],[1]!Table1[[Test code]:[Test code]],[1]!Table1[DIW conductivity (µS/cm)],"",0)</f>
        <v>#REF!</v>
      </c>
    </row>
    <row r="1024" spans="1:36">
      <c r="A1024" s="81"/>
      <c r="U1024" s="101"/>
      <c r="V1024" s="101"/>
      <c r="W1024" s="69" t="e" cm="1">
        <f t="array" ref="W1024">_xlfn.XLOOKUP(Table1[[#This Row],[5 cm2 cell test code]:[5 cm2 cell test code]],[1]!Table1[[Test code]:[Test code]],[1]!Table1[i @ 1.8 V DIW (A/cm2)],"",0)</f>
        <v>#REF!</v>
      </c>
      <c r="X1024" s="69" t="e" cm="1">
        <f t="array" ref="X1024">_xlfn.XLOOKUP(Table1[[#This Row],[5 cm2 cell test code]:[5 cm2 cell test code]],[1]!Table1[[Test code]:[Test code]],[1]!Table1[i @ 1.8 V 10 mM KOH (A/cm2)],"",0)</f>
        <v>#REF!</v>
      </c>
      <c r="Y1024" s="69" t="e" cm="1">
        <f t="array" ref="Y1024">_xlfn.XLOOKUP(Table1[[#This Row],[5 cm2 cell test code]:[5 cm2 cell test code]],[1]!Table1[[Test code]:[Test code]],[1]!Table1[3-E ƞ at 20mAcm-2 (mV)],"",0)</f>
        <v>#REF!</v>
      </c>
      <c r="Z1024" s="69" t="e" cm="1">
        <f t="array" ref="Z1024">_xlfn.XLOOKUP(Table1[[#This Row],[5 cm2 cell test code]:[5 cm2 cell test code]],[1]!Table1[[Test code]:[Test code]],[1]!Table1[3-E Tafel slope (mV/dec)],"",0)</f>
        <v>#REF!</v>
      </c>
      <c r="AA1024" s="69" t="e" cm="1">
        <f t="array" ref="AA1024">_xlfn.XLOOKUP(Table1[[#This Row],[5 cm2 cell test code]:[5 cm2 cell test code]],[1]!Table1[[Test code]:[Test code]],[1]!Table1[E @ 100 mA/cm2 DIW/V],"",0)</f>
        <v>#REF!</v>
      </c>
      <c r="AB1024" s="69" t="e" cm="1">
        <f t="array" ref="AB1024">_xlfn.XLOOKUP(Table1[[#This Row],[5 cm2 cell test code]:[5 cm2 cell test code]],[1]!Table1[[Test code]:[Test code]],[1]!Table1[E @ 100 mA/cm2 10 mM KOH/V],"",0)</f>
        <v>#REF!</v>
      </c>
      <c r="AC1024" s="69" t="e" cm="1">
        <f t="array" ref="AC1024">_xlfn.XLOOKUP(Table1[[#This Row],[5 cm2 cell test code]:[5 cm2 cell test code]],[1]!Table1[[Test code]:[Test code]],[1]!Table1[Anode ICR/mOhm],"",0)</f>
        <v>#REF!</v>
      </c>
      <c r="AD1024" s="69" t="e" cm="1">
        <f t="array" ref="AD1024">_xlfn.XLOOKUP(Table1[[#This Row],[5 cm2 cell test code]:[5 cm2 cell test code]],[1]!Table1[[Test code]:[Test code]],[1]!Table1[HFR DIW/ mOhm cm2],"",0)</f>
        <v>#REF!</v>
      </c>
      <c r="AE1024" s="69" t="e" cm="1">
        <f t="array" ref="AE1024">_xlfn.XLOOKUP(Table1[[#This Row],[5 cm2 cell test code]:[5 cm2 cell test code]],[1]!Table1[[Test code]:[Test code]],[1]!Table1[HFR 10 mM KOH/ mOhm cm2],"",0)</f>
        <v>#REF!</v>
      </c>
      <c r="AF1024" s="69" t="e" cm="1">
        <f t="array" ref="AF1024">_xlfn.XLOOKUP(Table1[[#This Row],[5 cm2 cell test code]:[5 cm2 cell test code]],[1]!Table1[[Test code]:[Test code]],[1]!Table1[Ionic resistance DIW/Ohm cm2],"",0)</f>
        <v>#REF!</v>
      </c>
      <c r="AG1024" s="69" t="e" cm="1">
        <f t="array" ref="AG1024">_xlfn.XLOOKUP(Table1[[#This Row],[5 cm2 cell test code]:[5 cm2 cell test code]],[1]!Table1[[Test code]:[Test code]],[1]!Table1[Q_int_frac DIW],"",0)</f>
        <v>#REF!</v>
      </c>
      <c r="AH1024" s="69" t="e" cm="1">
        <f t="array" ref="AH1024">_xlfn.XLOOKUP(Table1[[#This Row],[5 cm2 cell test code]:[5 cm2 cell test code]],[1]!Table1[[Test code]:[Test code]],[1]!Table1[Ionic resistance 10 mM KOH/Ohm cm2],"",0)</f>
        <v>#REF!</v>
      </c>
      <c r="AI1024" s="69" t="e" cm="1">
        <f t="array" ref="AI1024">_xlfn.XLOOKUP(Table1[[#This Row],[5 cm2 cell test code]:[5 cm2 cell test code]],[1]!Table1[[Test code]:[Test code]],[1]!Table1[Q_int_frac DIW 10 mM KOH],"",0)</f>
        <v>#REF!</v>
      </c>
      <c r="AJ1024" s="69" t="e" cm="1">
        <f t="array" ref="AJ1024">_xlfn.XLOOKUP(Table1[[#This Row],[5 cm2 cell test code]:[5 cm2 cell test code]],[1]!Table1[[Test code]:[Test code]],[1]!Table1[DIW conductivity (µS/cm)],"",0)</f>
        <v>#REF!</v>
      </c>
    </row>
    <row r="1025" spans="1:36">
      <c r="A1025" s="81"/>
      <c r="U1025" s="101"/>
      <c r="V1025" s="101"/>
      <c r="W1025" s="69" t="e" cm="1">
        <f t="array" ref="W1025">_xlfn.XLOOKUP(Table1[[#This Row],[5 cm2 cell test code]:[5 cm2 cell test code]],[1]!Table1[[Test code]:[Test code]],[1]!Table1[i @ 1.8 V DIW (A/cm2)],"",0)</f>
        <v>#REF!</v>
      </c>
      <c r="X1025" s="69" t="e" cm="1">
        <f t="array" ref="X1025">_xlfn.XLOOKUP(Table1[[#This Row],[5 cm2 cell test code]:[5 cm2 cell test code]],[1]!Table1[[Test code]:[Test code]],[1]!Table1[i @ 1.8 V 10 mM KOH (A/cm2)],"",0)</f>
        <v>#REF!</v>
      </c>
      <c r="Y1025" s="69" t="e" cm="1">
        <f t="array" ref="Y1025">_xlfn.XLOOKUP(Table1[[#This Row],[5 cm2 cell test code]:[5 cm2 cell test code]],[1]!Table1[[Test code]:[Test code]],[1]!Table1[3-E ƞ at 20mAcm-2 (mV)],"",0)</f>
        <v>#REF!</v>
      </c>
      <c r="Z1025" s="69" t="e" cm="1">
        <f t="array" ref="Z1025">_xlfn.XLOOKUP(Table1[[#This Row],[5 cm2 cell test code]:[5 cm2 cell test code]],[1]!Table1[[Test code]:[Test code]],[1]!Table1[3-E Tafel slope (mV/dec)],"",0)</f>
        <v>#REF!</v>
      </c>
      <c r="AA1025" s="69" t="e" cm="1">
        <f t="array" ref="AA1025">_xlfn.XLOOKUP(Table1[[#This Row],[5 cm2 cell test code]:[5 cm2 cell test code]],[1]!Table1[[Test code]:[Test code]],[1]!Table1[E @ 100 mA/cm2 DIW/V],"",0)</f>
        <v>#REF!</v>
      </c>
      <c r="AB1025" s="69" t="e" cm="1">
        <f t="array" ref="AB1025">_xlfn.XLOOKUP(Table1[[#This Row],[5 cm2 cell test code]:[5 cm2 cell test code]],[1]!Table1[[Test code]:[Test code]],[1]!Table1[E @ 100 mA/cm2 10 mM KOH/V],"",0)</f>
        <v>#REF!</v>
      </c>
      <c r="AC1025" s="69" t="e" cm="1">
        <f t="array" ref="AC1025">_xlfn.XLOOKUP(Table1[[#This Row],[5 cm2 cell test code]:[5 cm2 cell test code]],[1]!Table1[[Test code]:[Test code]],[1]!Table1[Anode ICR/mOhm],"",0)</f>
        <v>#REF!</v>
      </c>
      <c r="AD1025" s="69" t="e" cm="1">
        <f t="array" ref="AD1025">_xlfn.XLOOKUP(Table1[[#This Row],[5 cm2 cell test code]:[5 cm2 cell test code]],[1]!Table1[[Test code]:[Test code]],[1]!Table1[HFR DIW/ mOhm cm2],"",0)</f>
        <v>#REF!</v>
      </c>
      <c r="AE1025" s="69" t="e" cm="1">
        <f t="array" ref="AE1025">_xlfn.XLOOKUP(Table1[[#This Row],[5 cm2 cell test code]:[5 cm2 cell test code]],[1]!Table1[[Test code]:[Test code]],[1]!Table1[HFR 10 mM KOH/ mOhm cm2],"",0)</f>
        <v>#REF!</v>
      </c>
      <c r="AF1025" s="69" t="e" cm="1">
        <f t="array" ref="AF1025">_xlfn.XLOOKUP(Table1[[#This Row],[5 cm2 cell test code]:[5 cm2 cell test code]],[1]!Table1[[Test code]:[Test code]],[1]!Table1[Ionic resistance DIW/Ohm cm2],"",0)</f>
        <v>#REF!</v>
      </c>
      <c r="AG1025" s="69" t="e" cm="1">
        <f t="array" ref="AG1025">_xlfn.XLOOKUP(Table1[[#This Row],[5 cm2 cell test code]:[5 cm2 cell test code]],[1]!Table1[[Test code]:[Test code]],[1]!Table1[Q_int_frac DIW],"",0)</f>
        <v>#REF!</v>
      </c>
      <c r="AH1025" s="69" t="e" cm="1">
        <f t="array" ref="AH1025">_xlfn.XLOOKUP(Table1[[#This Row],[5 cm2 cell test code]:[5 cm2 cell test code]],[1]!Table1[[Test code]:[Test code]],[1]!Table1[Ionic resistance 10 mM KOH/Ohm cm2],"",0)</f>
        <v>#REF!</v>
      </c>
      <c r="AI1025" s="69" t="e" cm="1">
        <f t="array" ref="AI1025">_xlfn.XLOOKUP(Table1[[#This Row],[5 cm2 cell test code]:[5 cm2 cell test code]],[1]!Table1[[Test code]:[Test code]],[1]!Table1[Q_int_frac DIW 10 mM KOH],"",0)</f>
        <v>#REF!</v>
      </c>
      <c r="AJ1025" s="69" t="e" cm="1">
        <f t="array" ref="AJ1025">_xlfn.XLOOKUP(Table1[[#This Row],[5 cm2 cell test code]:[5 cm2 cell test code]],[1]!Table1[[Test code]:[Test code]],[1]!Table1[DIW conductivity (µS/cm)],"",0)</f>
        <v>#REF!</v>
      </c>
    </row>
    <row r="1026" spans="1:36">
      <c r="A1026" s="81"/>
      <c r="U1026" s="101"/>
      <c r="V1026" s="101"/>
      <c r="W1026" s="69" t="e" cm="1">
        <f t="array" ref="W1026">_xlfn.XLOOKUP(Table1[[#This Row],[5 cm2 cell test code]:[5 cm2 cell test code]],[1]!Table1[[Test code]:[Test code]],[1]!Table1[i @ 1.8 V DIW (A/cm2)],"",0)</f>
        <v>#REF!</v>
      </c>
      <c r="X1026" s="69" t="e" cm="1">
        <f t="array" ref="X1026">_xlfn.XLOOKUP(Table1[[#This Row],[5 cm2 cell test code]:[5 cm2 cell test code]],[1]!Table1[[Test code]:[Test code]],[1]!Table1[i @ 1.8 V 10 mM KOH (A/cm2)],"",0)</f>
        <v>#REF!</v>
      </c>
      <c r="Y1026" s="69" t="e" cm="1">
        <f t="array" ref="Y1026">_xlfn.XLOOKUP(Table1[[#This Row],[5 cm2 cell test code]:[5 cm2 cell test code]],[1]!Table1[[Test code]:[Test code]],[1]!Table1[3-E ƞ at 20mAcm-2 (mV)],"",0)</f>
        <v>#REF!</v>
      </c>
      <c r="Z1026" s="69" t="e" cm="1">
        <f t="array" ref="Z1026">_xlfn.XLOOKUP(Table1[[#This Row],[5 cm2 cell test code]:[5 cm2 cell test code]],[1]!Table1[[Test code]:[Test code]],[1]!Table1[3-E Tafel slope (mV/dec)],"",0)</f>
        <v>#REF!</v>
      </c>
      <c r="AA1026" s="69" t="e" cm="1">
        <f t="array" ref="AA1026">_xlfn.XLOOKUP(Table1[[#This Row],[5 cm2 cell test code]:[5 cm2 cell test code]],[1]!Table1[[Test code]:[Test code]],[1]!Table1[E @ 100 mA/cm2 DIW/V],"",0)</f>
        <v>#REF!</v>
      </c>
      <c r="AB1026" s="69" t="e" cm="1">
        <f t="array" ref="AB1026">_xlfn.XLOOKUP(Table1[[#This Row],[5 cm2 cell test code]:[5 cm2 cell test code]],[1]!Table1[[Test code]:[Test code]],[1]!Table1[E @ 100 mA/cm2 10 mM KOH/V],"",0)</f>
        <v>#REF!</v>
      </c>
      <c r="AC1026" s="69" t="e" cm="1">
        <f t="array" ref="AC1026">_xlfn.XLOOKUP(Table1[[#This Row],[5 cm2 cell test code]:[5 cm2 cell test code]],[1]!Table1[[Test code]:[Test code]],[1]!Table1[Anode ICR/mOhm],"",0)</f>
        <v>#REF!</v>
      </c>
      <c r="AD1026" s="69" t="e" cm="1">
        <f t="array" ref="AD1026">_xlfn.XLOOKUP(Table1[[#This Row],[5 cm2 cell test code]:[5 cm2 cell test code]],[1]!Table1[[Test code]:[Test code]],[1]!Table1[HFR DIW/ mOhm cm2],"",0)</f>
        <v>#REF!</v>
      </c>
      <c r="AE1026" s="69" t="e" cm="1">
        <f t="array" ref="AE1026">_xlfn.XLOOKUP(Table1[[#This Row],[5 cm2 cell test code]:[5 cm2 cell test code]],[1]!Table1[[Test code]:[Test code]],[1]!Table1[HFR 10 mM KOH/ mOhm cm2],"",0)</f>
        <v>#REF!</v>
      </c>
      <c r="AF1026" s="69" t="e" cm="1">
        <f t="array" ref="AF1026">_xlfn.XLOOKUP(Table1[[#This Row],[5 cm2 cell test code]:[5 cm2 cell test code]],[1]!Table1[[Test code]:[Test code]],[1]!Table1[Ionic resistance DIW/Ohm cm2],"",0)</f>
        <v>#REF!</v>
      </c>
      <c r="AG1026" s="69" t="e" cm="1">
        <f t="array" ref="AG1026">_xlfn.XLOOKUP(Table1[[#This Row],[5 cm2 cell test code]:[5 cm2 cell test code]],[1]!Table1[[Test code]:[Test code]],[1]!Table1[Q_int_frac DIW],"",0)</f>
        <v>#REF!</v>
      </c>
      <c r="AH1026" s="69" t="e" cm="1">
        <f t="array" ref="AH1026">_xlfn.XLOOKUP(Table1[[#This Row],[5 cm2 cell test code]:[5 cm2 cell test code]],[1]!Table1[[Test code]:[Test code]],[1]!Table1[Ionic resistance 10 mM KOH/Ohm cm2],"",0)</f>
        <v>#REF!</v>
      </c>
      <c r="AI1026" s="69" t="e" cm="1">
        <f t="array" ref="AI1026">_xlfn.XLOOKUP(Table1[[#This Row],[5 cm2 cell test code]:[5 cm2 cell test code]],[1]!Table1[[Test code]:[Test code]],[1]!Table1[Q_int_frac DIW 10 mM KOH],"",0)</f>
        <v>#REF!</v>
      </c>
      <c r="AJ1026" s="69" t="e" cm="1">
        <f t="array" ref="AJ1026">_xlfn.XLOOKUP(Table1[[#This Row],[5 cm2 cell test code]:[5 cm2 cell test code]],[1]!Table1[[Test code]:[Test code]],[1]!Table1[DIW conductivity (µS/cm)],"",0)</f>
        <v>#REF!</v>
      </c>
    </row>
    <row r="1027" spans="1:36">
      <c r="A1027" s="81"/>
      <c r="U1027" s="101"/>
      <c r="V1027" s="101"/>
      <c r="W1027" s="69" t="e" cm="1">
        <f t="array" ref="W1027">_xlfn.XLOOKUP(Table1[[#This Row],[5 cm2 cell test code]:[5 cm2 cell test code]],[1]!Table1[[Test code]:[Test code]],[1]!Table1[i @ 1.8 V DIW (A/cm2)],"",0)</f>
        <v>#REF!</v>
      </c>
      <c r="X1027" s="69" t="e" cm="1">
        <f t="array" ref="X1027">_xlfn.XLOOKUP(Table1[[#This Row],[5 cm2 cell test code]:[5 cm2 cell test code]],[1]!Table1[[Test code]:[Test code]],[1]!Table1[i @ 1.8 V 10 mM KOH (A/cm2)],"",0)</f>
        <v>#REF!</v>
      </c>
      <c r="Y1027" s="69" t="e" cm="1">
        <f t="array" ref="Y1027">_xlfn.XLOOKUP(Table1[[#This Row],[5 cm2 cell test code]:[5 cm2 cell test code]],[1]!Table1[[Test code]:[Test code]],[1]!Table1[3-E ƞ at 20mAcm-2 (mV)],"",0)</f>
        <v>#REF!</v>
      </c>
      <c r="Z1027" s="69" t="e" cm="1">
        <f t="array" ref="Z1027">_xlfn.XLOOKUP(Table1[[#This Row],[5 cm2 cell test code]:[5 cm2 cell test code]],[1]!Table1[[Test code]:[Test code]],[1]!Table1[3-E Tafel slope (mV/dec)],"",0)</f>
        <v>#REF!</v>
      </c>
      <c r="AA1027" s="69" t="e" cm="1">
        <f t="array" ref="AA1027">_xlfn.XLOOKUP(Table1[[#This Row],[5 cm2 cell test code]:[5 cm2 cell test code]],[1]!Table1[[Test code]:[Test code]],[1]!Table1[E @ 100 mA/cm2 DIW/V],"",0)</f>
        <v>#REF!</v>
      </c>
      <c r="AB1027" s="69" t="e" cm="1">
        <f t="array" ref="AB1027">_xlfn.XLOOKUP(Table1[[#This Row],[5 cm2 cell test code]:[5 cm2 cell test code]],[1]!Table1[[Test code]:[Test code]],[1]!Table1[E @ 100 mA/cm2 10 mM KOH/V],"",0)</f>
        <v>#REF!</v>
      </c>
      <c r="AC1027" s="69" t="e" cm="1">
        <f t="array" ref="AC1027">_xlfn.XLOOKUP(Table1[[#This Row],[5 cm2 cell test code]:[5 cm2 cell test code]],[1]!Table1[[Test code]:[Test code]],[1]!Table1[Anode ICR/mOhm],"",0)</f>
        <v>#REF!</v>
      </c>
      <c r="AD1027" s="69" t="e" cm="1">
        <f t="array" ref="AD1027">_xlfn.XLOOKUP(Table1[[#This Row],[5 cm2 cell test code]:[5 cm2 cell test code]],[1]!Table1[[Test code]:[Test code]],[1]!Table1[HFR DIW/ mOhm cm2],"",0)</f>
        <v>#REF!</v>
      </c>
      <c r="AE1027" s="69" t="e" cm="1">
        <f t="array" ref="AE1027">_xlfn.XLOOKUP(Table1[[#This Row],[5 cm2 cell test code]:[5 cm2 cell test code]],[1]!Table1[[Test code]:[Test code]],[1]!Table1[HFR 10 mM KOH/ mOhm cm2],"",0)</f>
        <v>#REF!</v>
      </c>
      <c r="AF1027" s="69" t="e" cm="1">
        <f t="array" ref="AF1027">_xlfn.XLOOKUP(Table1[[#This Row],[5 cm2 cell test code]:[5 cm2 cell test code]],[1]!Table1[[Test code]:[Test code]],[1]!Table1[Ionic resistance DIW/Ohm cm2],"",0)</f>
        <v>#REF!</v>
      </c>
      <c r="AG1027" s="69" t="e" cm="1">
        <f t="array" ref="AG1027">_xlfn.XLOOKUP(Table1[[#This Row],[5 cm2 cell test code]:[5 cm2 cell test code]],[1]!Table1[[Test code]:[Test code]],[1]!Table1[Q_int_frac DIW],"",0)</f>
        <v>#REF!</v>
      </c>
      <c r="AH1027" s="69" t="e" cm="1">
        <f t="array" ref="AH1027">_xlfn.XLOOKUP(Table1[[#This Row],[5 cm2 cell test code]:[5 cm2 cell test code]],[1]!Table1[[Test code]:[Test code]],[1]!Table1[Ionic resistance 10 mM KOH/Ohm cm2],"",0)</f>
        <v>#REF!</v>
      </c>
      <c r="AI1027" s="69" t="e" cm="1">
        <f t="array" ref="AI1027">_xlfn.XLOOKUP(Table1[[#This Row],[5 cm2 cell test code]:[5 cm2 cell test code]],[1]!Table1[[Test code]:[Test code]],[1]!Table1[Q_int_frac DIW 10 mM KOH],"",0)</f>
        <v>#REF!</v>
      </c>
      <c r="AJ1027" s="69" t="e" cm="1">
        <f t="array" ref="AJ1027">_xlfn.XLOOKUP(Table1[[#This Row],[5 cm2 cell test code]:[5 cm2 cell test code]],[1]!Table1[[Test code]:[Test code]],[1]!Table1[DIW conductivity (µS/cm)],"",0)</f>
        <v>#REF!</v>
      </c>
    </row>
    <row r="1028" spans="1:36">
      <c r="A1028" s="81"/>
      <c r="U1028" s="101"/>
      <c r="V1028" s="101"/>
      <c r="W1028" s="69" t="e" cm="1">
        <f t="array" ref="W1028">_xlfn.XLOOKUP(Table1[[#This Row],[5 cm2 cell test code]:[5 cm2 cell test code]],[1]!Table1[[Test code]:[Test code]],[1]!Table1[i @ 1.8 V DIW (A/cm2)],"",0)</f>
        <v>#REF!</v>
      </c>
      <c r="X1028" s="69" t="e" cm="1">
        <f t="array" ref="X1028">_xlfn.XLOOKUP(Table1[[#This Row],[5 cm2 cell test code]:[5 cm2 cell test code]],[1]!Table1[[Test code]:[Test code]],[1]!Table1[i @ 1.8 V 10 mM KOH (A/cm2)],"",0)</f>
        <v>#REF!</v>
      </c>
      <c r="Y1028" s="69" t="e" cm="1">
        <f t="array" ref="Y1028">_xlfn.XLOOKUP(Table1[[#This Row],[5 cm2 cell test code]:[5 cm2 cell test code]],[1]!Table1[[Test code]:[Test code]],[1]!Table1[3-E ƞ at 20mAcm-2 (mV)],"",0)</f>
        <v>#REF!</v>
      </c>
      <c r="Z1028" s="69" t="e" cm="1">
        <f t="array" ref="Z1028">_xlfn.XLOOKUP(Table1[[#This Row],[5 cm2 cell test code]:[5 cm2 cell test code]],[1]!Table1[[Test code]:[Test code]],[1]!Table1[3-E Tafel slope (mV/dec)],"",0)</f>
        <v>#REF!</v>
      </c>
      <c r="AA1028" s="69" t="e" cm="1">
        <f t="array" ref="AA1028">_xlfn.XLOOKUP(Table1[[#This Row],[5 cm2 cell test code]:[5 cm2 cell test code]],[1]!Table1[[Test code]:[Test code]],[1]!Table1[E @ 100 mA/cm2 DIW/V],"",0)</f>
        <v>#REF!</v>
      </c>
      <c r="AB1028" s="69" t="e" cm="1">
        <f t="array" ref="AB1028">_xlfn.XLOOKUP(Table1[[#This Row],[5 cm2 cell test code]:[5 cm2 cell test code]],[1]!Table1[[Test code]:[Test code]],[1]!Table1[E @ 100 mA/cm2 10 mM KOH/V],"",0)</f>
        <v>#REF!</v>
      </c>
      <c r="AC1028" s="69" t="e" cm="1">
        <f t="array" ref="AC1028">_xlfn.XLOOKUP(Table1[[#This Row],[5 cm2 cell test code]:[5 cm2 cell test code]],[1]!Table1[[Test code]:[Test code]],[1]!Table1[Anode ICR/mOhm],"",0)</f>
        <v>#REF!</v>
      </c>
      <c r="AD1028" s="69" t="e" cm="1">
        <f t="array" ref="AD1028">_xlfn.XLOOKUP(Table1[[#This Row],[5 cm2 cell test code]:[5 cm2 cell test code]],[1]!Table1[[Test code]:[Test code]],[1]!Table1[HFR DIW/ mOhm cm2],"",0)</f>
        <v>#REF!</v>
      </c>
      <c r="AE1028" s="69" t="e" cm="1">
        <f t="array" ref="AE1028">_xlfn.XLOOKUP(Table1[[#This Row],[5 cm2 cell test code]:[5 cm2 cell test code]],[1]!Table1[[Test code]:[Test code]],[1]!Table1[HFR 10 mM KOH/ mOhm cm2],"",0)</f>
        <v>#REF!</v>
      </c>
      <c r="AF1028" s="69" t="e" cm="1">
        <f t="array" ref="AF1028">_xlfn.XLOOKUP(Table1[[#This Row],[5 cm2 cell test code]:[5 cm2 cell test code]],[1]!Table1[[Test code]:[Test code]],[1]!Table1[Ionic resistance DIW/Ohm cm2],"",0)</f>
        <v>#REF!</v>
      </c>
      <c r="AG1028" s="69" t="e" cm="1">
        <f t="array" ref="AG1028">_xlfn.XLOOKUP(Table1[[#This Row],[5 cm2 cell test code]:[5 cm2 cell test code]],[1]!Table1[[Test code]:[Test code]],[1]!Table1[Q_int_frac DIW],"",0)</f>
        <v>#REF!</v>
      </c>
      <c r="AH1028" s="69" t="e" cm="1">
        <f t="array" ref="AH1028">_xlfn.XLOOKUP(Table1[[#This Row],[5 cm2 cell test code]:[5 cm2 cell test code]],[1]!Table1[[Test code]:[Test code]],[1]!Table1[Ionic resistance 10 mM KOH/Ohm cm2],"",0)</f>
        <v>#REF!</v>
      </c>
      <c r="AI1028" s="69" t="e" cm="1">
        <f t="array" ref="AI1028">_xlfn.XLOOKUP(Table1[[#This Row],[5 cm2 cell test code]:[5 cm2 cell test code]],[1]!Table1[[Test code]:[Test code]],[1]!Table1[Q_int_frac DIW 10 mM KOH],"",0)</f>
        <v>#REF!</v>
      </c>
      <c r="AJ1028" s="69" t="e" cm="1">
        <f t="array" ref="AJ1028">_xlfn.XLOOKUP(Table1[[#This Row],[5 cm2 cell test code]:[5 cm2 cell test code]],[1]!Table1[[Test code]:[Test code]],[1]!Table1[DIW conductivity (µS/cm)],"",0)</f>
        <v>#REF!</v>
      </c>
    </row>
    <row r="1029" spans="1:36">
      <c r="A1029" s="81"/>
      <c r="U1029" s="101"/>
      <c r="V1029" s="101"/>
      <c r="W1029" s="69" t="e" cm="1">
        <f t="array" ref="W1029">_xlfn.XLOOKUP(Table1[[#This Row],[5 cm2 cell test code]:[5 cm2 cell test code]],[1]!Table1[[Test code]:[Test code]],[1]!Table1[i @ 1.8 V DIW (A/cm2)],"",0)</f>
        <v>#REF!</v>
      </c>
      <c r="X1029" s="69" t="e" cm="1">
        <f t="array" ref="X1029">_xlfn.XLOOKUP(Table1[[#This Row],[5 cm2 cell test code]:[5 cm2 cell test code]],[1]!Table1[[Test code]:[Test code]],[1]!Table1[i @ 1.8 V 10 mM KOH (A/cm2)],"",0)</f>
        <v>#REF!</v>
      </c>
      <c r="Y1029" s="69" t="e" cm="1">
        <f t="array" ref="Y1029">_xlfn.XLOOKUP(Table1[[#This Row],[5 cm2 cell test code]:[5 cm2 cell test code]],[1]!Table1[[Test code]:[Test code]],[1]!Table1[3-E ƞ at 20mAcm-2 (mV)],"",0)</f>
        <v>#REF!</v>
      </c>
      <c r="Z1029" s="69" t="e" cm="1">
        <f t="array" ref="Z1029">_xlfn.XLOOKUP(Table1[[#This Row],[5 cm2 cell test code]:[5 cm2 cell test code]],[1]!Table1[[Test code]:[Test code]],[1]!Table1[3-E Tafel slope (mV/dec)],"",0)</f>
        <v>#REF!</v>
      </c>
      <c r="AA1029" s="69" t="e" cm="1">
        <f t="array" ref="AA1029">_xlfn.XLOOKUP(Table1[[#This Row],[5 cm2 cell test code]:[5 cm2 cell test code]],[1]!Table1[[Test code]:[Test code]],[1]!Table1[E @ 100 mA/cm2 DIW/V],"",0)</f>
        <v>#REF!</v>
      </c>
      <c r="AB1029" s="69" t="e" cm="1">
        <f t="array" ref="AB1029">_xlfn.XLOOKUP(Table1[[#This Row],[5 cm2 cell test code]:[5 cm2 cell test code]],[1]!Table1[[Test code]:[Test code]],[1]!Table1[E @ 100 mA/cm2 10 mM KOH/V],"",0)</f>
        <v>#REF!</v>
      </c>
      <c r="AC1029" s="69" t="e" cm="1">
        <f t="array" ref="AC1029">_xlfn.XLOOKUP(Table1[[#This Row],[5 cm2 cell test code]:[5 cm2 cell test code]],[1]!Table1[[Test code]:[Test code]],[1]!Table1[Anode ICR/mOhm],"",0)</f>
        <v>#REF!</v>
      </c>
      <c r="AD1029" s="69" t="e" cm="1">
        <f t="array" ref="AD1029">_xlfn.XLOOKUP(Table1[[#This Row],[5 cm2 cell test code]:[5 cm2 cell test code]],[1]!Table1[[Test code]:[Test code]],[1]!Table1[HFR DIW/ mOhm cm2],"",0)</f>
        <v>#REF!</v>
      </c>
      <c r="AE1029" s="69" t="e" cm="1">
        <f t="array" ref="AE1029">_xlfn.XLOOKUP(Table1[[#This Row],[5 cm2 cell test code]:[5 cm2 cell test code]],[1]!Table1[[Test code]:[Test code]],[1]!Table1[HFR 10 mM KOH/ mOhm cm2],"",0)</f>
        <v>#REF!</v>
      </c>
      <c r="AF1029" s="69" t="e" cm="1">
        <f t="array" ref="AF1029">_xlfn.XLOOKUP(Table1[[#This Row],[5 cm2 cell test code]:[5 cm2 cell test code]],[1]!Table1[[Test code]:[Test code]],[1]!Table1[Ionic resistance DIW/Ohm cm2],"",0)</f>
        <v>#REF!</v>
      </c>
      <c r="AG1029" s="69" t="e" cm="1">
        <f t="array" ref="AG1029">_xlfn.XLOOKUP(Table1[[#This Row],[5 cm2 cell test code]:[5 cm2 cell test code]],[1]!Table1[[Test code]:[Test code]],[1]!Table1[Q_int_frac DIW],"",0)</f>
        <v>#REF!</v>
      </c>
      <c r="AH1029" s="69" t="e" cm="1">
        <f t="array" ref="AH1029">_xlfn.XLOOKUP(Table1[[#This Row],[5 cm2 cell test code]:[5 cm2 cell test code]],[1]!Table1[[Test code]:[Test code]],[1]!Table1[Ionic resistance 10 mM KOH/Ohm cm2],"",0)</f>
        <v>#REF!</v>
      </c>
      <c r="AI1029" s="69" t="e" cm="1">
        <f t="array" ref="AI1029">_xlfn.XLOOKUP(Table1[[#This Row],[5 cm2 cell test code]:[5 cm2 cell test code]],[1]!Table1[[Test code]:[Test code]],[1]!Table1[Q_int_frac DIW 10 mM KOH],"",0)</f>
        <v>#REF!</v>
      </c>
      <c r="AJ1029" s="69" t="e" cm="1">
        <f t="array" ref="AJ1029">_xlfn.XLOOKUP(Table1[[#This Row],[5 cm2 cell test code]:[5 cm2 cell test code]],[1]!Table1[[Test code]:[Test code]],[1]!Table1[DIW conductivity (µS/cm)],"",0)</f>
        <v>#REF!</v>
      </c>
    </row>
    <row r="1030" spans="1:36">
      <c r="A1030" s="81"/>
      <c r="U1030" s="101"/>
      <c r="V1030" s="101"/>
      <c r="W1030" s="69" t="e" cm="1">
        <f t="array" ref="W1030">_xlfn.XLOOKUP(Table1[[#This Row],[5 cm2 cell test code]:[5 cm2 cell test code]],[1]!Table1[[Test code]:[Test code]],[1]!Table1[i @ 1.8 V DIW (A/cm2)],"",0)</f>
        <v>#REF!</v>
      </c>
      <c r="X1030" s="69" t="e" cm="1">
        <f t="array" ref="X1030">_xlfn.XLOOKUP(Table1[[#This Row],[5 cm2 cell test code]:[5 cm2 cell test code]],[1]!Table1[[Test code]:[Test code]],[1]!Table1[i @ 1.8 V 10 mM KOH (A/cm2)],"",0)</f>
        <v>#REF!</v>
      </c>
      <c r="Y1030" s="69" t="e" cm="1">
        <f t="array" ref="Y1030">_xlfn.XLOOKUP(Table1[[#This Row],[5 cm2 cell test code]:[5 cm2 cell test code]],[1]!Table1[[Test code]:[Test code]],[1]!Table1[3-E ƞ at 20mAcm-2 (mV)],"",0)</f>
        <v>#REF!</v>
      </c>
      <c r="Z1030" s="69" t="e" cm="1">
        <f t="array" ref="Z1030">_xlfn.XLOOKUP(Table1[[#This Row],[5 cm2 cell test code]:[5 cm2 cell test code]],[1]!Table1[[Test code]:[Test code]],[1]!Table1[3-E Tafel slope (mV/dec)],"",0)</f>
        <v>#REF!</v>
      </c>
      <c r="AA1030" s="69" t="e" cm="1">
        <f t="array" ref="AA1030">_xlfn.XLOOKUP(Table1[[#This Row],[5 cm2 cell test code]:[5 cm2 cell test code]],[1]!Table1[[Test code]:[Test code]],[1]!Table1[E @ 100 mA/cm2 DIW/V],"",0)</f>
        <v>#REF!</v>
      </c>
      <c r="AB1030" s="69" t="e" cm="1">
        <f t="array" ref="AB1030">_xlfn.XLOOKUP(Table1[[#This Row],[5 cm2 cell test code]:[5 cm2 cell test code]],[1]!Table1[[Test code]:[Test code]],[1]!Table1[E @ 100 mA/cm2 10 mM KOH/V],"",0)</f>
        <v>#REF!</v>
      </c>
      <c r="AC1030" s="69" t="e" cm="1">
        <f t="array" ref="AC1030">_xlfn.XLOOKUP(Table1[[#This Row],[5 cm2 cell test code]:[5 cm2 cell test code]],[1]!Table1[[Test code]:[Test code]],[1]!Table1[Anode ICR/mOhm],"",0)</f>
        <v>#REF!</v>
      </c>
      <c r="AD1030" s="69" t="e" cm="1">
        <f t="array" ref="AD1030">_xlfn.XLOOKUP(Table1[[#This Row],[5 cm2 cell test code]:[5 cm2 cell test code]],[1]!Table1[[Test code]:[Test code]],[1]!Table1[HFR DIW/ mOhm cm2],"",0)</f>
        <v>#REF!</v>
      </c>
      <c r="AE1030" s="69" t="e" cm="1">
        <f t="array" ref="AE1030">_xlfn.XLOOKUP(Table1[[#This Row],[5 cm2 cell test code]:[5 cm2 cell test code]],[1]!Table1[[Test code]:[Test code]],[1]!Table1[HFR 10 mM KOH/ mOhm cm2],"",0)</f>
        <v>#REF!</v>
      </c>
      <c r="AF1030" s="69" t="e" cm="1">
        <f t="array" ref="AF1030">_xlfn.XLOOKUP(Table1[[#This Row],[5 cm2 cell test code]:[5 cm2 cell test code]],[1]!Table1[[Test code]:[Test code]],[1]!Table1[Ionic resistance DIW/Ohm cm2],"",0)</f>
        <v>#REF!</v>
      </c>
      <c r="AG1030" s="69" t="e" cm="1">
        <f t="array" ref="AG1030">_xlfn.XLOOKUP(Table1[[#This Row],[5 cm2 cell test code]:[5 cm2 cell test code]],[1]!Table1[[Test code]:[Test code]],[1]!Table1[Q_int_frac DIW],"",0)</f>
        <v>#REF!</v>
      </c>
      <c r="AH1030" s="69" t="e" cm="1">
        <f t="array" ref="AH1030">_xlfn.XLOOKUP(Table1[[#This Row],[5 cm2 cell test code]:[5 cm2 cell test code]],[1]!Table1[[Test code]:[Test code]],[1]!Table1[Ionic resistance 10 mM KOH/Ohm cm2],"",0)</f>
        <v>#REF!</v>
      </c>
      <c r="AI1030" s="69" t="e" cm="1">
        <f t="array" ref="AI1030">_xlfn.XLOOKUP(Table1[[#This Row],[5 cm2 cell test code]:[5 cm2 cell test code]],[1]!Table1[[Test code]:[Test code]],[1]!Table1[Q_int_frac DIW 10 mM KOH],"",0)</f>
        <v>#REF!</v>
      </c>
      <c r="AJ1030" s="69" t="e" cm="1">
        <f t="array" ref="AJ1030">_xlfn.XLOOKUP(Table1[[#This Row],[5 cm2 cell test code]:[5 cm2 cell test code]],[1]!Table1[[Test code]:[Test code]],[1]!Table1[DIW conductivity (µS/cm)],"",0)</f>
        <v>#REF!</v>
      </c>
    </row>
    <row r="1031" spans="1:36">
      <c r="A1031" s="81"/>
      <c r="U1031" s="101"/>
      <c r="V1031" s="101"/>
      <c r="W1031" s="69" t="e" cm="1">
        <f t="array" ref="W1031">_xlfn.XLOOKUP(Table1[[#This Row],[5 cm2 cell test code]:[5 cm2 cell test code]],[1]!Table1[[Test code]:[Test code]],[1]!Table1[i @ 1.8 V DIW (A/cm2)],"",0)</f>
        <v>#REF!</v>
      </c>
      <c r="X1031" s="69" t="e" cm="1">
        <f t="array" ref="X1031">_xlfn.XLOOKUP(Table1[[#This Row],[5 cm2 cell test code]:[5 cm2 cell test code]],[1]!Table1[[Test code]:[Test code]],[1]!Table1[i @ 1.8 V 10 mM KOH (A/cm2)],"",0)</f>
        <v>#REF!</v>
      </c>
      <c r="Y1031" s="69" t="e" cm="1">
        <f t="array" ref="Y1031">_xlfn.XLOOKUP(Table1[[#This Row],[5 cm2 cell test code]:[5 cm2 cell test code]],[1]!Table1[[Test code]:[Test code]],[1]!Table1[3-E ƞ at 20mAcm-2 (mV)],"",0)</f>
        <v>#REF!</v>
      </c>
      <c r="Z1031" s="69" t="e" cm="1">
        <f t="array" ref="Z1031">_xlfn.XLOOKUP(Table1[[#This Row],[5 cm2 cell test code]:[5 cm2 cell test code]],[1]!Table1[[Test code]:[Test code]],[1]!Table1[3-E Tafel slope (mV/dec)],"",0)</f>
        <v>#REF!</v>
      </c>
      <c r="AA1031" s="69" t="e" cm="1">
        <f t="array" ref="AA1031">_xlfn.XLOOKUP(Table1[[#This Row],[5 cm2 cell test code]:[5 cm2 cell test code]],[1]!Table1[[Test code]:[Test code]],[1]!Table1[E @ 100 mA/cm2 DIW/V],"",0)</f>
        <v>#REF!</v>
      </c>
      <c r="AB1031" s="69" t="e" cm="1">
        <f t="array" ref="AB1031">_xlfn.XLOOKUP(Table1[[#This Row],[5 cm2 cell test code]:[5 cm2 cell test code]],[1]!Table1[[Test code]:[Test code]],[1]!Table1[E @ 100 mA/cm2 10 mM KOH/V],"",0)</f>
        <v>#REF!</v>
      </c>
      <c r="AC1031" s="69" t="e" cm="1">
        <f t="array" ref="AC1031">_xlfn.XLOOKUP(Table1[[#This Row],[5 cm2 cell test code]:[5 cm2 cell test code]],[1]!Table1[[Test code]:[Test code]],[1]!Table1[Anode ICR/mOhm],"",0)</f>
        <v>#REF!</v>
      </c>
      <c r="AD1031" s="69" t="e" cm="1">
        <f t="array" ref="AD1031">_xlfn.XLOOKUP(Table1[[#This Row],[5 cm2 cell test code]:[5 cm2 cell test code]],[1]!Table1[[Test code]:[Test code]],[1]!Table1[HFR DIW/ mOhm cm2],"",0)</f>
        <v>#REF!</v>
      </c>
      <c r="AE1031" s="69" t="e" cm="1">
        <f t="array" ref="AE1031">_xlfn.XLOOKUP(Table1[[#This Row],[5 cm2 cell test code]:[5 cm2 cell test code]],[1]!Table1[[Test code]:[Test code]],[1]!Table1[HFR 10 mM KOH/ mOhm cm2],"",0)</f>
        <v>#REF!</v>
      </c>
      <c r="AF1031" s="69" t="e" cm="1">
        <f t="array" ref="AF1031">_xlfn.XLOOKUP(Table1[[#This Row],[5 cm2 cell test code]:[5 cm2 cell test code]],[1]!Table1[[Test code]:[Test code]],[1]!Table1[Ionic resistance DIW/Ohm cm2],"",0)</f>
        <v>#REF!</v>
      </c>
      <c r="AG1031" s="69" t="e" cm="1">
        <f t="array" ref="AG1031">_xlfn.XLOOKUP(Table1[[#This Row],[5 cm2 cell test code]:[5 cm2 cell test code]],[1]!Table1[[Test code]:[Test code]],[1]!Table1[Q_int_frac DIW],"",0)</f>
        <v>#REF!</v>
      </c>
      <c r="AH1031" s="69" t="e" cm="1">
        <f t="array" ref="AH1031">_xlfn.XLOOKUP(Table1[[#This Row],[5 cm2 cell test code]:[5 cm2 cell test code]],[1]!Table1[[Test code]:[Test code]],[1]!Table1[Ionic resistance 10 mM KOH/Ohm cm2],"",0)</f>
        <v>#REF!</v>
      </c>
      <c r="AI1031" s="69" t="e" cm="1">
        <f t="array" ref="AI1031">_xlfn.XLOOKUP(Table1[[#This Row],[5 cm2 cell test code]:[5 cm2 cell test code]],[1]!Table1[[Test code]:[Test code]],[1]!Table1[Q_int_frac DIW 10 mM KOH],"",0)</f>
        <v>#REF!</v>
      </c>
      <c r="AJ1031" s="69" t="e" cm="1">
        <f t="array" ref="AJ1031">_xlfn.XLOOKUP(Table1[[#This Row],[5 cm2 cell test code]:[5 cm2 cell test code]],[1]!Table1[[Test code]:[Test code]],[1]!Table1[DIW conductivity (µS/cm)],"",0)</f>
        <v>#REF!</v>
      </c>
    </row>
    <row r="1032" spans="1:36">
      <c r="A1032" s="81"/>
      <c r="U1032" s="101"/>
      <c r="V1032" s="101"/>
      <c r="W1032" s="69" t="e" cm="1">
        <f t="array" ref="W1032">_xlfn.XLOOKUP(Table1[[#This Row],[5 cm2 cell test code]:[5 cm2 cell test code]],[1]!Table1[[Test code]:[Test code]],[1]!Table1[i @ 1.8 V DIW (A/cm2)],"",0)</f>
        <v>#REF!</v>
      </c>
      <c r="X1032" s="69" t="e" cm="1">
        <f t="array" ref="X1032">_xlfn.XLOOKUP(Table1[[#This Row],[5 cm2 cell test code]:[5 cm2 cell test code]],[1]!Table1[[Test code]:[Test code]],[1]!Table1[i @ 1.8 V 10 mM KOH (A/cm2)],"",0)</f>
        <v>#REF!</v>
      </c>
      <c r="Y1032" s="69" t="e" cm="1">
        <f t="array" ref="Y1032">_xlfn.XLOOKUP(Table1[[#This Row],[5 cm2 cell test code]:[5 cm2 cell test code]],[1]!Table1[[Test code]:[Test code]],[1]!Table1[3-E ƞ at 20mAcm-2 (mV)],"",0)</f>
        <v>#REF!</v>
      </c>
      <c r="Z1032" s="69" t="e" cm="1">
        <f t="array" ref="Z1032">_xlfn.XLOOKUP(Table1[[#This Row],[5 cm2 cell test code]:[5 cm2 cell test code]],[1]!Table1[[Test code]:[Test code]],[1]!Table1[3-E Tafel slope (mV/dec)],"",0)</f>
        <v>#REF!</v>
      </c>
      <c r="AA1032" s="69" t="e" cm="1">
        <f t="array" ref="AA1032">_xlfn.XLOOKUP(Table1[[#This Row],[5 cm2 cell test code]:[5 cm2 cell test code]],[1]!Table1[[Test code]:[Test code]],[1]!Table1[E @ 100 mA/cm2 DIW/V],"",0)</f>
        <v>#REF!</v>
      </c>
      <c r="AB1032" s="69" t="e" cm="1">
        <f t="array" ref="AB1032">_xlfn.XLOOKUP(Table1[[#This Row],[5 cm2 cell test code]:[5 cm2 cell test code]],[1]!Table1[[Test code]:[Test code]],[1]!Table1[E @ 100 mA/cm2 10 mM KOH/V],"",0)</f>
        <v>#REF!</v>
      </c>
      <c r="AC1032" s="69" t="e" cm="1">
        <f t="array" ref="AC1032">_xlfn.XLOOKUP(Table1[[#This Row],[5 cm2 cell test code]:[5 cm2 cell test code]],[1]!Table1[[Test code]:[Test code]],[1]!Table1[Anode ICR/mOhm],"",0)</f>
        <v>#REF!</v>
      </c>
      <c r="AD1032" s="69" t="e" cm="1">
        <f t="array" ref="AD1032">_xlfn.XLOOKUP(Table1[[#This Row],[5 cm2 cell test code]:[5 cm2 cell test code]],[1]!Table1[[Test code]:[Test code]],[1]!Table1[HFR DIW/ mOhm cm2],"",0)</f>
        <v>#REF!</v>
      </c>
      <c r="AE1032" s="69" t="e" cm="1">
        <f t="array" ref="AE1032">_xlfn.XLOOKUP(Table1[[#This Row],[5 cm2 cell test code]:[5 cm2 cell test code]],[1]!Table1[[Test code]:[Test code]],[1]!Table1[HFR 10 mM KOH/ mOhm cm2],"",0)</f>
        <v>#REF!</v>
      </c>
      <c r="AF1032" s="69" t="e" cm="1">
        <f t="array" ref="AF1032">_xlfn.XLOOKUP(Table1[[#This Row],[5 cm2 cell test code]:[5 cm2 cell test code]],[1]!Table1[[Test code]:[Test code]],[1]!Table1[Ionic resistance DIW/Ohm cm2],"",0)</f>
        <v>#REF!</v>
      </c>
      <c r="AG1032" s="69" t="e" cm="1">
        <f t="array" ref="AG1032">_xlfn.XLOOKUP(Table1[[#This Row],[5 cm2 cell test code]:[5 cm2 cell test code]],[1]!Table1[[Test code]:[Test code]],[1]!Table1[Q_int_frac DIW],"",0)</f>
        <v>#REF!</v>
      </c>
      <c r="AH1032" s="69" t="e" cm="1">
        <f t="array" ref="AH1032">_xlfn.XLOOKUP(Table1[[#This Row],[5 cm2 cell test code]:[5 cm2 cell test code]],[1]!Table1[[Test code]:[Test code]],[1]!Table1[Ionic resistance 10 mM KOH/Ohm cm2],"",0)</f>
        <v>#REF!</v>
      </c>
      <c r="AI1032" s="69" t="e" cm="1">
        <f t="array" ref="AI1032">_xlfn.XLOOKUP(Table1[[#This Row],[5 cm2 cell test code]:[5 cm2 cell test code]],[1]!Table1[[Test code]:[Test code]],[1]!Table1[Q_int_frac DIW 10 mM KOH],"",0)</f>
        <v>#REF!</v>
      </c>
      <c r="AJ1032" s="69" t="e" cm="1">
        <f t="array" ref="AJ1032">_xlfn.XLOOKUP(Table1[[#This Row],[5 cm2 cell test code]:[5 cm2 cell test code]],[1]!Table1[[Test code]:[Test code]],[1]!Table1[DIW conductivity (µS/cm)],"",0)</f>
        <v>#REF!</v>
      </c>
    </row>
    <row r="1033" spans="1:36">
      <c r="A1033" s="81"/>
      <c r="U1033" s="101"/>
      <c r="V1033" s="101"/>
      <c r="W1033" s="69" t="e" cm="1">
        <f t="array" ref="W1033">_xlfn.XLOOKUP(Table1[[#This Row],[5 cm2 cell test code]:[5 cm2 cell test code]],[1]!Table1[[Test code]:[Test code]],[1]!Table1[i @ 1.8 V DIW (A/cm2)],"",0)</f>
        <v>#REF!</v>
      </c>
      <c r="X1033" s="69" t="e" cm="1">
        <f t="array" ref="X1033">_xlfn.XLOOKUP(Table1[[#This Row],[5 cm2 cell test code]:[5 cm2 cell test code]],[1]!Table1[[Test code]:[Test code]],[1]!Table1[i @ 1.8 V 10 mM KOH (A/cm2)],"",0)</f>
        <v>#REF!</v>
      </c>
      <c r="Y1033" s="69" t="e" cm="1">
        <f t="array" ref="Y1033">_xlfn.XLOOKUP(Table1[[#This Row],[5 cm2 cell test code]:[5 cm2 cell test code]],[1]!Table1[[Test code]:[Test code]],[1]!Table1[3-E ƞ at 20mAcm-2 (mV)],"",0)</f>
        <v>#REF!</v>
      </c>
      <c r="Z1033" s="69" t="e" cm="1">
        <f t="array" ref="Z1033">_xlfn.XLOOKUP(Table1[[#This Row],[5 cm2 cell test code]:[5 cm2 cell test code]],[1]!Table1[[Test code]:[Test code]],[1]!Table1[3-E Tafel slope (mV/dec)],"",0)</f>
        <v>#REF!</v>
      </c>
      <c r="AA1033" s="69" t="e" cm="1">
        <f t="array" ref="AA1033">_xlfn.XLOOKUP(Table1[[#This Row],[5 cm2 cell test code]:[5 cm2 cell test code]],[1]!Table1[[Test code]:[Test code]],[1]!Table1[E @ 100 mA/cm2 DIW/V],"",0)</f>
        <v>#REF!</v>
      </c>
      <c r="AB1033" s="69" t="e" cm="1">
        <f t="array" ref="AB1033">_xlfn.XLOOKUP(Table1[[#This Row],[5 cm2 cell test code]:[5 cm2 cell test code]],[1]!Table1[[Test code]:[Test code]],[1]!Table1[E @ 100 mA/cm2 10 mM KOH/V],"",0)</f>
        <v>#REF!</v>
      </c>
      <c r="AC1033" s="69" t="e" cm="1">
        <f t="array" ref="AC1033">_xlfn.XLOOKUP(Table1[[#This Row],[5 cm2 cell test code]:[5 cm2 cell test code]],[1]!Table1[[Test code]:[Test code]],[1]!Table1[Anode ICR/mOhm],"",0)</f>
        <v>#REF!</v>
      </c>
      <c r="AD1033" s="69" t="e" cm="1">
        <f t="array" ref="AD1033">_xlfn.XLOOKUP(Table1[[#This Row],[5 cm2 cell test code]:[5 cm2 cell test code]],[1]!Table1[[Test code]:[Test code]],[1]!Table1[HFR DIW/ mOhm cm2],"",0)</f>
        <v>#REF!</v>
      </c>
      <c r="AE1033" s="69" t="e" cm="1">
        <f t="array" ref="AE1033">_xlfn.XLOOKUP(Table1[[#This Row],[5 cm2 cell test code]:[5 cm2 cell test code]],[1]!Table1[[Test code]:[Test code]],[1]!Table1[HFR 10 mM KOH/ mOhm cm2],"",0)</f>
        <v>#REF!</v>
      </c>
      <c r="AF1033" s="69" t="e" cm="1">
        <f t="array" ref="AF1033">_xlfn.XLOOKUP(Table1[[#This Row],[5 cm2 cell test code]:[5 cm2 cell test code]],[1]!Table1[[Test code]:[Test code]],[1]!Table1[Ionic resistance DIW/Ohm cm2],"",0)</f>
        <v>#REF!</v>
      </c>
      <c r="AG1033" s="69" t="e" cm="1">
        <f t="array" ref="AG1033">_xlfn.XLOOKUP(Table1[[#This Row],[5 cm2 cell test code]:[5 cm2 cell test code]],[1]!Table1[[Test code]:[Test code]],[1]!Table1[Q_int_frac DIW],"",0)</f>
        <v>#REF!</v>
      </c>
      <c r="AH1033" s="69" t="e" cm="1">
        <f t="array" ref="AH1033">_xlfn.XLOOKUP(Table1[[#This Row],[5 cm2 cell test code]:[5 cm2 cell test code]],[1]!Table1[[Test code]:[Test code]],[1]!Table1[Ionic resistance 10 mM KOH/Ohm cm2],"",0)</f>
        <v>#REF!</v>
      </c>
      <c r="AI1033" s="69" t="e" cm="1">
        <f t="array" ref="AI1033">_xlfn.XLOOKUP(Table1[[#This Row],[5 cm2 cell test code]:[5 cm2 cell test code]],[1]!Table1[[Test code]:[Test code]],[1]!Table1[Q_int_frac DIW 10 mM KOH],"",0)</f>
        <v>#REF!</v>
      </c>
      <c r="AJ1033" s="69" t="e" cm="1">
        <f t="array" ref="AJ1033">_xlfn.XLOOKUP(Table1[[#This Row],[5 cm2 cell test code]:[5 cm2 cell test code]],[1]!Table1[[Test code]:[Test code]],[1]!Table1[DIW conductivity (µS/cm)],"",0)</f>
        <v>#REF!</v>
      </c>
    </row>
    <row r="1034" spans="1:36">
      <c r="A1034" s="81"/>
      <c r="U1034" s="101"/>
      <c r="V1034" s="101"/>
      <c r="W1034" s="69" t="e" cm="1">
        <f t="array" ref="W1034">_xlfn.XLOOKUP(Table1[[#This Row],[5 cm2 cell test code]:[5 cm2 cell test code]],[1]!Table1[[Test code]:[Test code]],[1]!Table1[i @ 1.8 V DIW (A/cm2)],"",0)</f>
        <v>#REF!</v>
      </c>
      <c r="X1034" s="69" t="e" cm="1">
        <f t="array" ref="X1034">_xlfn.XLOOKUP(Table1[[#This Row],[5 cm2 cell test code]:[5 cm2 cell test code]],[1]!Table1[[Test code]:[Test code]],[1]!Table1[i @ 1.8 V 10 mM KOH (A/cm2)],"",0)</f>
        <v>#REF!</v>
      </c>
      <c r="Y1034" s="69" t="e" cm="1">
        <f t="array" ref="Y1034">_xlfn.XLOOKUP(Table1[[#This Row],[5 cm2 cell test code]:[5 cm2 cell test code]],[1]!Table1[[Test code]:[Test code]],[1]!Table1[3-E ƞ at 20mAcm-2 (mV)],"",0)</f>
        <v>#REF!</v>
      </c>
      <c r="Z1034" s="69" t="e" cm="1">
        <f t="array" ref="Z1034">_xlfn.XLOOKUP(Table1[[#This Row],[5 cm2 cell test code]:[5 cm2 cell test code]],[1]!Table1[[Test code]:[Test code]],[1]!Table1[3-E Tafel slope (mV/dec)],"",0)</f>
        <v>#REF!</v>
      </c>
      <c r="AA1034" s="69" t="e" cm="1">
        <f t="array" ref="AA1034">_xlfn.XLOOKUP(Table1[[#This Row],[5 cm2 cell test code]:[5 cm2 cell test code]],[1]!Table1[[Test code]:[Test code]],[1]!Table1[E @ 100 mA/cm2 DIW/V],"",0)</f>
        <v>#REF!</v>
      </c>
      <c r="AB1034" s="69" t="e" cm="1">
        <f t="array" ref="AB1034">_xlfn.XLOOKUP(Table1[[#This Row],[5 cm2 cell test code]:[5 cm2 cell test code]],[1]!Table1[[Test code]:[Test code]],[1]!Table1[E @ 100 mA/cm2 10 mM KOH/V],"",0)</f>
        <v>#REF!</v>
      </c>
      <c r="AC1034" s="69" t="e" cm="1">
        <f t="array" ref="AC1034">_xlfn.XLOOKUP(Table1[[#This Row],[5 cm2 cell test code]:[5 cm2 cell test code]],[1]!Table1[[Test code]:[Test code]],[1]!Table1[Anode ICR/mOhm],"",0)</f>
        <v>#REF!</v>
      </c>
      <c r="AD1034" s="69" t="e" cm="1">
        <f t="array" ref="AD1034">_xlfn.XLOOKUP(Table1[[#This Row],[5 cm2 cell test code]:[5 cm2 cell test code]],[1]!Table1[[Test code]:[Test code]],[1]!Table1[HFR DIW/ mOhm cm2],"",0)</f>
        <v>#REF!</v>
      </c>
      <c r="AE1034" s="69" t="e" cm="1">
        <f t="array" ref="AE1034">_xlfn.XLOOKUP(Table1[[#This Row],[5 cm2 cell test code]:[5 cm2 cell test code]],[1]!Table1[[Test code]:[Test code]],[1]!Table1[HFR 10 mM KOH/ mOhm cm2],"",0)</f>
        <v>#REF!</v>
      </c>
      <c r="AF1034" s="69" t="e" cm="1">
        <f t="array" ref="AF1034">_xlfn.XLOOKUP(Table1[[#This Row],[5 cm2 cell test code]:[5 cm2 cell test code]],[1]!Table1[[Test code]:[Test code]],[1]!Table1[Ionic resistance DIW/Ohm cm2],"",0)</f>
        <v>#REF!</v>
      </c>
      <c r="AG1034" s="69" t="e" cm="1">
        <f t="array" ref="AG1034">_xlfn.XLOOKUP(Table1[[#This Row],[5 cm2 cell test code]:[5 cm2 cell test code]],[1]!Table1[[Test code]:[Test code]],[1]!Table1[Q_int_frac DIW],"",0)</f>
        <v>#REF!</v>
      </c>
      <c r="AH1034" s="69" t="e" cm="1">
        <f t="array" ref="AH1034">_xlfn.XLOOKUP(Table1[[#This Row],[5 cm2 cell test code]:[5 cm2 cell test code]],[1]!Table1[[Test code]:[Test code]],[1]!Table1[Ionic resistance 10 mM KOH/Ohm cm2],"",0)</f>
        <v>#REF!</v>
      </c>
      <c r="AI1034" s="69" t="e" cm="1">
        <f t="array" ref="AI1034">_xlfn.XLOOKUP(Table1[[#This Row],[5 cm2 cell test code]:[5 cm2 cell test code]],[1]!Table1[[Test code]:[Test code]],[1]!Table1[Q_int_frac DIW 10 mM KOH],"",0)</f>
        <v>#REF!</v>
      </c>
      <c r="AJ1034" s="69" t="e" cm="1">
        <f t="array" ref="AJ1034">_xlfn.XLOOKUP(Table1[[#This Row],[5 cm2 cell test code]:[5 cm2 cell test code]],[1]!Table1[[Test code]:[Test code]],[1]!Table1[DIW conductivity (µS/cm)],"",0)</f>
        <v>#REF!</v>
      </c>
    </row>
    <row r="1035" spans="1:36">
      <c r="A1035" s="81"/>
      <c r="U1035" s="101"/>
      <c r="V1035" s="101"/>
      <c r="W1035" s="69" t="e" cm="1">
        <f t="array" ref="W1035">_xlfn.XLOOKUP(Table1[[#This Row],[5 cm2 cell test code]:[5 cm2 cell test code]],[1]!Table1[[Test code]:[Test code]],[1]!Table1[i @ 1.8 V DIW (A/cm2)],"",0)</f>
        <v>#REF!</v>
      </c>
      <c r="X1035" s="69" t="e" cm="1">
        <f t="array" ref="X1035">_xlfn.XLOOKUP(Table1[[#This Row],[5 cm2 cell test code]:[5 cm2 cell test code]],[1]!Table1[[Test code]:[Test code]],[1]!Table1[i @ 1.8 V 10 mM KOH (A/cm2)],"",0)</f>
        <v>#REF!</v>
      </c>
      <c r="Y1035" s="69" t="e" cm="1">
        <f t="array" ref="Y1035">_xlfn.XLOOKUP(Table1[[#This Row],[5 cm2 cell test code]:[5 cm2 cell test code]],[1]!Table1[[Test code]:[Test code]],[1]!Table1[3-E ƞ at 20mAcm-2 (mV)],"",0)</f>
        <v>#REF!</v>
      </c>
      <c r="Z1035" s="69" t="e" cm="1">
        <f t="array" ref="Z1035">_xlfn.XLOOKUP(Table1[[#This Row],[5 cm2 cell test code]:[5 cm2 cell test code]],[1]!Table1[[Test code]:[Test code]],[1]!Table1[3-E Tafel slope (mV/dec)],"",0)</f>
        <v>#REF!</v>
      </c>
      <c r="AA1035" s="69" t="e" cm="1">
        <f t="array" ref="AA1035">_xlfn.XLOOKUP(Table1[[#This Row],[5 cm2 cell test code]:[5 cm2 cell test code]],[1]!Table1[[Test code]:[Test code]],[1]!Table1[E @ 100 mA/cm2 DIW/V],"",0)</f>
        <v>#REF!</v>
      </c>
      <c r="AB1035" s="69" t="e" cm="1">
        <f t="array" ref="AB1035">_xlfn.XLOOKUP(Table1[[#This Row],[5 cm2 cell test code]:[5 cm2 cell test code]],[1]!Table1[[Test code]:[Test code]],[1]!Table1[E @ 100 mA/cm2 10 mM KOH/V],"",0)</f>
        <v>#REF!</v>
      </c>
      <c r="AC1035" s="69" t="e" cm="1">
        <f t="array" ref="AC1035">_xlfn.XLOOKUP(Table1[[#This Row],[5 cm2 cell test code]:[5 cm2 cell test code]],[1]!Table1[[Test code]:[Test code]],[1]!Table1[Anode ICR/mOhm],"",0)</f>
        <v>#REF!</v>
      </c>
      <c r="AD1035" s="69" t="e" cm="1">
        <f t="array" ref="AD1035">_xlfn.XLOOKUP(Table1[[#This Row],[5 cm2 cell test code]:[5 cm2 cell test code]],[1]!Table1[[Test code]:[Test code]],[1]!Table1[HFR DIW/ mOhm cm2],"",0)</f>
        <v>#REF!</v>
      </c>
      <c r="AE1035" s="69" t="e" cm="1">
        <f t="array" ref="AE1035">_xlfn.XLOOKUP(Table1[[#This Row],[5 cm2 cell test code]:[5 cm2 cell test code]],[1]!Table1[[Test code]:[Test code]],[1]!Table1[HFR 10 mM KOH/ mOhm cm2],"",0)</f>
        <v>#REF!</v>
      </c>
      <c r="AF1035" s="69" t="e" cm="1">
        <f t="array" ref="AF1035">_xlfn.XLOOKUP(Table1[[#This Row],[5 cm2 cell test code]:[5 cm2 cell test code]],[1]!Table1[[Test code]:[Test code]],[1]!Table1[Ionic resistance DIW/Ohm cm2],"",0)</f>
        <v>#REF!</v>
      </c>
      <c r="AG1035" s="69" t="e" cm="1">
        <f t="array" ref="AG1035">_xlfn.XLOOKUP(Table1[[#This Row],[5 cm2 cell test code]:[5 cm2 cell test code]],[1]!Table1[[Test code]:[Test code]],[1]!Table1[Q_int_frac DIW],"",0)</f>
        <v>#REF!</v>
      </c>
      <c r="AH1035" s="69" t="e" cm="1">
        <f t="array" ref="AH1035">_xlfn.XLOOKUP(Table1[[#This Row],[5 cm2 cell test code]:[5 cm2 cell test code]],[1]!Table1[[Test code]:[Test code]],[1]!Table1[Ionic resistance 10 mM KOH/Ohm cm2],"",0)</f>
        <v>#REF!</v>
      </c>
      <c r="AI1035" s="69" t="e" cm="1">
        <f t="array" ref="AI1035">_xlfn.XLOOKUP(Table1[[#This Row],[5 cm2 cell test code]:[5 cm2 cell test code]],[1]!Table1[[Test code]:[Test code]],[1]!Table1[Q_int_frac DIW 10 mM KOH],"",0)</f>
        <v>#REF!</v>
      </c>
      <c r="AJ1035" s="69" t="e" cm="1">
        <f t="array" ref="AJ1035">_xlfn.XLOOKUP(Table1[[#This Row],[5 cm2 cell test code]:[5 cm2 cell test code]],[1]!Table1[[Test code]:[Test code]],[1]!Table1[DIW conductivity (µS/cm)],"",0)</f>
        <v>#REF!</v>
      </c>
    </row>
    <row r="1036" spans="1:36">
      <c r="A1036" s="81"/>
      <c r="U1036" s="101"/>
      <c r="V1036" s="101"/>
      <c r="W1036" s="69" t="e" cm="1">
        <f t="array" ref="W1036">_xlfn.XLOOKUP(Table1[[#This Row],[5 cm2 cell test code]:[5 cm2 cell test code]],[1]!Table1[[Test code]:[Test code]],[1]!Table1[i @ 1.8 V DIW (A/cm2)],"",0)</f>
        <v>#REF!</v>
      </c>
      <c r="X1036" s="69" t="e" cm="1">
        <f t="array" ref="X1036">_xlfn.XLOOKUP(Table1[[#This Row],[5 cm2 cell test code]:[5 cm2 cell test code]],[1]!Table1[[Test code]:[Test code]],[1]!Table1[i @ 1.8 V 10 mM KOH (A/cm2)],"",0)</f>
        <v>#REF!</v>
      </c>
      <c r="Y1036" s="69" t="e" cm="1">
        <f t="array" ref="Y1036">_xlfn.XLOOKUP(Table1[[#This Row],[5 cm2 cell test code]:[5 cm2 cell test code]],[1]!Table1[[Test code]:[Test code]],[1]!Table1[3-E ƞ at 20mAcm-2 (mV)],"",0)</f>
        <v>#REF!</v>
      </c>
      <c r="Z1036" s="69" t="e" cm="1">
        <f t="array" ref="Z1036">_xlfn.XLOOKUP(Table1[[#This Row],[5 cm2 cell test code]:[5 cm2 cell test code]],[1]!Table1[[Test code]:[Test code]],[1]!Table1[3-E Tafel slope (mV/dec)],"",0)</f>
        <v>#REF!</v>
      </c>
      <c r="AA1036" s="69" t="e" cm="1">
        <f t="array" ref="AA1036">_xlfn.XLOOKUP(Table1[[#This Row],[5 cm2 cell test code]:[5 cm2 cell test code]],[1]!Table1[[Test code]:[Test code]],[1]!Table1[E @ 100 mA/cm2 DIW/V],"",0)</f>
        <v>#REF!</v>
      </c>
      <c r="AB1036" s="69" t="e" cm="1">
        <f t="array" ref="AB1036">_xlfn.XLOOKUP(Table1[[#This Row],[5 cm2 cell test code]:[5 cm2 cell test code]],[1]!Table1[[Test code]:[Test code]],[1]!Table1[E @ 100 mA/cm2 10 mM KOH/V],"",0)</f>
        <v>#REF!</v>
      </c>
      <c r="AC1036" s="69" t="e" cm="1">
        <f t="array" ref="AC1036">_xlfn.XLOOKUP(Table1[[#This Row],[5 cm2 cell test code]:[5 cm2 cell test code]],[1]!Table1[[Test code]:[Test code]],[1]!Table1[Anode ICR/mOhm],"",0)</f>
        <v>#REF!</v>
      </c>
      <c r="AD1036" s="69" t="e" cm="1">
        <f t="array" ref="AD1036">_xlfn.XLOOKUP(Table1[[#This Row],[5 cm2 cell test code]:[5 cm2 cell test code]],[1]!Table1[[Test code]:[Test code]],[1]!Table1[HFR DIW/ mOhm cm2],"",0)</f>
        <v>#REF!</v>
      </c>
      <c r="AE1036" s="69" t="e" cm="1">
        <f t="array" ref="AE1036">_xlfn.XLOOKUP(Table1[[#This Row],[5 cm2 cell test code]:[5 cm2 cell test code]],[1]!Table1[[Test code]:[Test code]],[1]!Table1[HFR 10 mM KOH/ mOhm cm2],"",0)</f>
        <v>#REF!</v>
      </c>
      <c r="AF1036" s="69" t="e" cm="1">
        <f t="array" ref="AF1036">_xlfn.XLOOKUP(Table1[[#This Row],[5 cm2 cell test code]:[5 cm2 cell test code]],[1]!Table1[[Test code]:[Test code]],[1]!Table1[Ionic resistance DIW/Ohm cm2],"",0)</f>
        <v>#REF!</v>
      </c>
      <c r="AG1036" s="69" t="e" cm="1">
        <f t="array" ref="AG1036">_xlfn.XLOOKUP(Table1[[#This Row],[5 cm2 cell test code]:[5 cm2 cell test code]],[1]!Table1[[Test code]:[Test code]],[1]!Table1[Q_int_frac DIW],"",0)</f>
        <v>#REF!</v>
      </c>
      <c r="AH1036" s="69" t="e" cm="1">
        <f t="array" ref="AH1036">_xlfn.XLOOKUP(Table1[[#This Row],[5 cm2 cell test code]:[5 cm2 cell test code]],[1]!Table1[[Test code]:[Test code]],[1]!Table1[Ionic resistance 10 mM KOH/Ohm cm2],"",0)</f>
        <v>#REF!</v>
      </c>
      <c r="AI1036" s="69" t="e" cm="1">
        <f t="array" ref="AI1036">_xlfn.XLOOKUP(Table1[[#This Row],[5 cm2 cell test code]:[5 cm2 cell test code]],[1]!Table1[[Test code]:[Test code]],[1]!Table1[Q_int_frac DIW 10 mM KOH],"",0)</f>
        <v>#REF!</v>
      </c>
      <c r="AJ1036" s="69" t="e" cm="1">
        <f t="array" ref="AJ1036">_xlfn.XLOOKUP(Table1[[#This Row],[5 cm2 cell test code]:[5 cm2 cell test code]],[1]!Table1[[Test code]:[Test code]],[1]!Table1[DIW conductivity (µS/cm)],"",0)</f>
        <v>#REF!</v>
      </c>
    </row>
    <row r="1037" spans="1:36">
      <c r="A1037" s="81"/>
      <c r="U1037" s="101"/>
      <c r="V1037" s="101"/>
      <c r="W1037" s="69" t="e" cm="1">
        <f t="array" ref="W1037">_xlfn.XLOOKUP(Table1[[#This Row],[5 cm2 cell test code]:[5 cm2 cell test code]],[1]!Table1[[Test code]:[Test code]],[1]!Table1[i @ 1.8 V DIW (A/cm2)],"",0)</f>
        <v>#REF!</v>
      </c>
      <c r="X1037" s="69" t="e" cm="1">
        <f t="array" ref="X1037">_xlfn.XLOOKUP(Table1[[#This Row],[5 cm2 cell test code]:[5 cm2 cell test code]],[1]!Table1[[Test code]:[Test code]],[1]!Table1[i @ 1.8 V 10 mM KOH (A/cm2)],"",0)</f>
        <v>#REF!</v>
      </c>
      <c r="Y1037" s="69" t="e" cm="1">
        <f t="array" ref="Y1037">_xlfn.XLOOKUP(Table1[[#This Row],[5 cm2 cell test code]:[5 cm2 cell test code]],[1]!Table1[[Test code]:[Test code]],[1]!Table1[3-E ƞ at 20mAcm-2 (mV)],"",0)</f>
        <v>#REF!</v>
      </c>
      <c r="Z1037" s="69" t="e" cm="1">
        <f t="array" ref="Z1037">_xlfn.XLOOKUP(Table1[[#This Row],[5 cm2 cell test code]:[5 cm2 cell test code]],[1]!Table1[[Test code]:[Test code]],[1]!Table1[3-E Tafel slope (mV/dec)],"",0)</f>
        <v>#REF!</v>
      </c>
      <c r="AA1037" s="69" t="e" cm="1">
        <f t="array" ref="AA1037">_xlfn.XLOOKUP(Table1[[#This Row],[5 cm2 cell test code]:[5 cm2 cell test code]],[1]!Table1[[Test code]:[Test code]],[1]!Table1[E @ 100 mA/cm2 DIW/V],"",0)</f>
        <v>#REF!</v>
      </c>
      <c r="AB1037" s="69" t="e" cm="1">
        <f t="array" ref="AB1037">_xlfn.XLOOKUP(Table1[[#This Row],[5 cm2 cell test code]:[5 cm2 cell test code]],[1]!Table1[[Test code]:[Test code]],[1]!Table1[E @ 100 mA/cm2 10 mM KOH/V],"",0)</f>
        <v>#REF!</v>
      </c>
      <c r="AC1037" s="69" t="e" cm="1">
        <f t="array" ref="AC1037">_xlfn.XLOOKUP(Table1[[#This Row],[5 cm2 cell test code]:[5 cm2 cell test code]],[1]!Table1[[Test code]:[Test code]],[1]!Table1[Anode ICR/mOhm],"",0)</f>
        <v>#REF!</v>
      </c>
      <c r="AD1037" s="69" t="e" cm="1">
        <f t="array" ref="AD1037">_xlfn.XLOOKUP(Table1[[#This Row],[5 cm2 cell test code]:[5 cm2 cell test code]],[1]!Table1[[Test code]:[Test code]],[1]!Table1[HFR DIW/ mOhm cm2],"",0)</f>
        <v>#REF!</v>
      </c>
      <c r="AE1037" s="69" t="e" cm="1">
        <f t="array" ref="AE1037">_xlfn.XLOOKUP(Table1[[#This Row],[5 cm2 cell test code]:[5 cm2 cell test code]],[1]!Table1[[Test code]:[Test code]],[1]!Table1[HFR 10 mM KOH/ mOhm cm2],"",0)</f>
        <v>#REF!</v>
      </c>
      <c r="AF1037" s="69" t="e" cm="1">
        <f t="array" ref="AF1037">_xlfn.XLOOKUP(Table1[[#This Row],[5 cm2 cell test code]:[5 cm2 cell test code]],[1]!Table1[[Test code]:[Test code]],[1]!Table1[Ionic resistance DIW/Ohm cm2],"",0)</f>
        <v>#REF!</v>
      </c>
      <c r="AG1037" s="69" t="e" cm="1">
        <f t="array" ref="AG1037">_xlfn.XLOOKUP(Table1[[#This Row],[5 cm2 cell test code]:[5 cm2 cell test code]],[1]!Table1[[Test code]:[Test code]],[1]!Table1[Q_int_frac DIW],"",0)</f>
        <v>#REF!</v>
      </c>
      <c r="AH1037" s="69" t="e" cm="1">
        <f t="array" ref="AH1037">_xlfn.XLOOKUP(Table1[[#This Row],[5 cm2 cell test code]:[5 cm2 cell test code]],[1]!Table1[[Test code]:[Test code]],[1]!Table1[Ionic resistance 10 mM KOH/Ohm cm2],"",0)</f>
        <v>#REF!</v>
      </c>
      <c r="AI1037" s="69" t="e" cm="1">
        <f t="array" ref="AI1037">_xlfn.XLOOKUP(Table1[[#This Row],[5 cm2 cell test code]:[5 cm2 cell test code]],[1]!Table1[[Test code]:[Test code]],[1]!Table1[Q_int_frac DIW 10 mM KOH],"",0)</f>
        <v>#REF!</v>
      </c>
      <c r="AJ1037" s="69" t="e" cm="1">
        <f t="array" ref="AJ1037">_xlfn.XLOOKUP(Table1[[#This Row],[5 cm2 cell test code]:[5 cm2 cell test code]],[1]!Table1[[Test code]:[Test code]],[1]!Table1[DIW conductivity (µS/cm)],"",0)</f>
        <v>#REF!</v>
      </c>
    </row>
    <row r="1038" spans="1:36">
      <c r="A1038" s="81"/>
      <c r="U1038" s="101"/>
      <c r="V1038" s="101"/>
      <c r="W1038" s="69" t="e" cm="1">
        <f t="array" ref="W1038">_xlfn.XLOOKUP(Table1[[#This Row],[5 cm2 cell test code]:[5 cm2 cell test code]],[1]!Table1[[Test code]:[Test code]],[1]!Table1[i @ 1.8 V DIW (A/cm2)],"",0)</f>
        <v>#REF!</v>
      </c>
      <c r="X1038" s="69" t="e" cm="1">
        <f t="array" ref="X1038">_xlfn.XLOOKUP(Table1[[#This Row],[5 cm2 cell test code]:[5 cm2 cell test code]],[1]!Table1[[Test code]:[Test code]],[1]!Table1[i @ 1.8 V 10 mM KOH (A/cm2)],"",0)</f>
        <v>#REF!</v>
      </c>
      <c r="Y1038" s="69" t="e" cm="1">
        <f t="array" ref="Y1038">_xlfn.XLOOKUP(Table1[[#This Row],[5 cm2 cell test code]:[5 cm2 cell test code]],[1]!Table1[[Test code]:[Test code]],[1]!Table1[3-E ƞ at 20mAcm-2 (mV)],"",0)</f>
        <v>#REF!</v>
      </c>
      <c r="Z1038" s="69" t="e" cm="1">
        <f t="array" ref="Z1038">_xlfn.XLOOKUP(Table1[[#This Row],[5 cm2 cell test code]:[5 cm2 cell test code]],[1]!Table1[[Test code]:[Test code]],[1]!Table1[3-E Tafel slope (mV/dec)],"",0)</f>
        <v>#REF!</v>
      </c>
      <c r="AA1038" s="69" t="e" cm="1">
        <f t="array" ref="AA1038">_xlfn.XLOOKUP(Table1[[#This Row],[5 cm2 cell test code]:[5 cm2 cell test code]],[1]!Table1[[Test code]:[Test code]],[1]!Table1[E @ 100 mA/cm2 DIW/V],"",0)</f>
        <v>#REF!</v>
      </c>
      <c r="AB1038" s="69" t="e" cm="1">
        <f t="array" ref="AB1038">_xlfn.XLOOKUP(Table1[[#This Row],[5 cm2 cell test code]:[5 cm2 cell test code]],[1]!Table1[[Test code]:[Test code]],[1]!Table1[E @ 100 mA/cm2 10 mM KOH/V],"",0)</f>
        <v>#REF!</v>
      </c>
      <c r="AC1038" s="69" t="e" cm="1">
        <f t="array" ref="AC1038">_xlfn.XLOOKUP(Table1[[#This Row],[5 cm2 cell test code]:[5 cm2 cell test code]],[1]!Table1[[Test code]:[Test code]],[1]!Table1[Anode ICR/mOhm],"",0)</f>
        <v>#REF!</v>
      </c>
      <c r="AD1038" s="69" t="e" cm="1">
        <f t="array" ref="AD1038">_xlfn.XLOOKUP(Table1[[#This Row],[5 cm2 cell test code]:[5 cm2 cell test code]],[1]!Table1[[Test code]:[Test code]],[1]!Table1[HFR DIW/ mOhm cm2],"",0)</f>
        <v>#REF!</v>
      </c>
      <c r="AE1038" s="69" t="e" cm="1">
        <f t="array" ref="AE1038">_xlfn.XLOOKUP(Table1[[#This Row],[5 cm2 cell test code]:[5 cm2 cell test code]],[1]!Table1[[Test code]:[Test code]],[1]!Table1[HFR 10 mM KOH/ mOhm cm2],"",0)</f>
        <v>#REF!</v>
      </c>
      <c r="AF1038" s="69" t="e" cm="1">
        <f t="array" ref="AF1038">_xlfn.XLOOKUP(Table1[[#This Row],[5 cm2 cell test code]:[5 cm2 cell test code]],[1]!Table1[[Test code]:[Test code]],[1]!Table1[Ionic resistance DIW/Ohm cm2],"",0)</f>
        <v>#REF!</v>
      </c>
      <c r="AG1038" s="69" t="e" cm="1">
        <f t="array" ref="AG1038">_xlfn.XLOOKUP(Table1[[#This Row],[5 cm2 cell test code]:[5 cm2 cell test code]],[1]!Table1[[Test code]:[Test code]],[1]!Table1[Q_int_frac DIW],"",0)</f>
        <v>#REF!</v>
      </c>
      <c r="AH1038" s="69" t="e" cm="1">
        <f t="array" ref="AH1038">_xlfn.XLOOKUP(Table1[[#This Row],[5 cm2 cell test code]:[5 cm2 cell test code]],[1]!Table1[[Test code]:[Test code]],[1]!Table1[Ionic resistance 10 mM KOH/Ohm cm2],"",0)</f>
        <v>#REF!</v>
      </c>
      <c r="AI1038" s="69" t="e" cm="1">
        <f t="array" ref="AI1038">_xlfn.XLOOKUP(Table1[[#This Row],[5 cm2 cell test code]:[5 cm2 cell test code]],[1]!Table1[[Test code]:[Test code]],[1]!Table1[Q_int_frac DIW 10 mM KOH],"",0)</f>
        <v>#REF!</v>
      </c>
      <c r="AJ1038" s="69" t="e" cm="1">
        <f t="array" ref="AJ1038">_xlfn.XLOOKUP(Table1[[#This Row],[5 cm2 cell test code]:[5 cm2 cell test code]],[1]!Table1[[Test code]:[Test code]],[1]!Table1[DIW conductivity (µS/cm)],"",0)</f>
        <v>#REF!</v>
      </c>
    </row>
    <row r="1039" spans="1:36">
      <c r="A1039" s="81"/>
      <c r="U1039" s="101"/>
      <c r="V1039" s="101"/>
      <c r="W1039" s="69" t="e" cm="1">
        <f t="array" ref="W1039">_xlfn.XLOOKUP(Table1[[#This Row],[5 cm2 cell test code]:[5 cm2 cell test code]],[1]!Table1[[Test code]:[Test code]],[1]!Table1[i @ 1.8 V DIW (A/cm2)],"",0)</f>
        <v>#REF!</v>
      </c>
      <c r="X1039" s="69" t="e" cm="1">
        <f t="array" ref="X1039">_xlfn.XLOOKUP(Table1[[#This Row],[5 cm2 cell test code]:[5 cm2 cell test code]],[1]!Table1[[Test code]:[Test code]],[1]!Table1[i @ 1.8 V 10 mM KOH (A/cm2)],"",0)</f>
        <v>#REF!</v>
      </c>
      <c r="Y1039" s="69" t="e" cm="1">
        <f t="array" ref="Y1039">_xlfn.XLOOKUP(Table1[[#This Row],[5 cm2 cell test code]:[5 cm2 cell test code]],[1]!Table1[[Test code]:[Test code]],[1]!Table1[3-E ƞ at 20mAcm-2 (mV)],"",0)</f>
        <v>#REF!</v>
      </c>
      <c r="Z1039" s="69" t="e" cm="1">
        <f t="array" ref="Z1039">_xlfn.XLOOKUP(Table1[[#This Row],[5 cm2 cell test code]:[5 cm2 cell test code]],[1]!Table1[[Test code]:[Test code]],[1]!Table1[3-E Tafel slope (mV/dec)],"",0)</f>
        <v>#REF!</v>
      </c>
      <c r="AA1039" s="69" t="e" cm="1">
        <f t="array" ref="AA1039">_xlfn.XLOOKUP(Table1[[#This Row],[5 cm2 cell test code]:[5 cm2 cell test code]],[1]!Table1[[Test code]:[Test code]],[1]!Table1[E @ 100 mA/cm2 DIW/V],"",0)</f>
        <v>#REF!</v>
      </c>
      <c r="AB1039" s="69" t="e" cm="1">
        <f t="array" ref="AB1039">_xlfn.XLOOKUP(Table1[[#This Row],[5 cm2 cell test code]:[5 cm2 cell test code]],[1]!Table1[[Test code]:[Test code]],[1]!Table1[E @ 100 mA/cm2 10 mM KOH/V],"",0)</f>
        <v>#REF!</v>
      </c>
      <c r="AC1039" s="69" t="e" cm="1">
        <f t="array" ref="AC1039">_xlfn.XLOOKUP(Table1[[#This Row],[5 cm2 cell test code]:[5 cm2 cell test code]],[1]!Table1[[Test code]:[Test code]],[1]!Table1[Anode ICR/mOhm],"",0)</f>
        <v>#REF!</v>
      </c>
      <c r="AD1039" s="69" t="e" cm="1">
        <f t="array" ref="AD1039">_xlfn.XLOOKUP(Table1[[#This Row],[5 cm2 cell test code]:[5 cm2 cell test code]],[1]!Table1[[Test code]:[Test code]],[1]!Table1[HFR DIW/ mOhm cm2],"",0)</f>
        <v>#REF!</v>
      </c>
      <c r="AE1039" s="69" t="e" cm="1">
        <f t="array" ref="AE1039">_xlfn.XLOOKUP(Table1[[#This Row],[5 cm2 cell test code]:[5 cm2 cell test code]],[1]!Table1[[Test code]:[Test code]],[1]!Table1[HFR 10 mM KOH/ mOhm cm2],"",0)</f>
        <v>#REF!</v>
      </c>
      <c r="AF1039" s="69" t="e" cm="1">
        <f t="array" ref="AF1039">_xlfn.XLOOKUP(Table1[[#This Row],[5 cm2 cell test code]:[5 cm2 cell test code]],[1]!Table1[[Test code]:[Test code]],[1]!Table1[Ionic resistance DIW/Ohm cm2],"",0)</f>
        <v>#REF!</v>
      </c>
      <c r="AG1039" s="69" t="e" cm="1">
        <f t="array" ref="AG1039">_xlfn.XLOOKUP(Table1[[#This Row],[5 cm2 cell test code]:[5 cm2 cell test code]],[1]!Table1[[Test code]:[Test code]],[1]!Table1[Q_int_frac DIW],"",0)</f>
        <v>#REF!</v>
      </c>
      <c r="AH1039" s="69" t="e" cm="1">
        <f t="array" ref="AH1039">_xlfn.XLOOKUP(Table1[[#This Row],[5 cm2 cell test code]:[5 cm2 cell test code]],[1]!Table1[[Test code]:[Test code]],[1]!Table1[Ionic resistance 10 mM KOH/Ohm cm2],"",0)</f>
        <v>#REF!</v>
      </c>
      <c r="AI1039" s="69" t="e" cm="1">
        <f t="array" ref="AI1039">_xlfn.XLOOKUP(Table1[[#This Row],[5 cm2 cell test code]:[5 cm2 cell test code]],[1]!Table1[[Test code]:[Test code]],[1]!Table1[Q_int_frac DIW 10 mM KOH],"",0)</f>
        <v>#REF!</v>
      </c>
      <c r="AJ1039" s="69" t="e" cm="1">
        <f t="array" ref="AJ1039">_xlfn.XLOOKUP(Table1[[#This Row],[5 cm2 cell test code]:[5 cm2 cell test code]],[1]!Table1[[Test code]:[Test code]],[1]!Table1[DIW conductivity (µS/cm)],"",0)</f>
        <v>#REF!</v>
      </c>
    </row>
    <row r="1040" spans="1:36">
      <c r="A1040" s="81"/>
      <c r="U1040" s="101"/>
      <c r="V1040" s="101"/>
      <c r="W1040" s="69" t="e" cm="1">
        <f t="array" ref="W1040">_xlfn.XLOOKUP(Table1[[#This Row],[5 cm2 cell test code]:[5 cm2 cell test code]],[1]!Table1[[Test code]:[Test code]],[1]!Table1[i @ 1.8 V DIW (A/cm2)],"",0)</f>
        <v>#REF!</v>
      </c>
      <c r="X1040" s="69" t="e" cm="1">
        <f t="array" ref="X1040">_xlfn.XLOOKUP(Table1[[#This Row],[5 cm2 cell test code]:[5 cm2 cell test code]],[1]!Table1[[Test code]:[Test code]],[1]!Table1[i @ 1.8 V 10 mM KOH (A/cm2)],"",0)</f>
        <v>#REF!</v>
      </c>
      <c r="Y1040" s="69" t="e" cm="1">
        <f t="array" ref="Y1040">_xlfn.XLOOKUP(Table1[[#This Row],[5 cm2 cell test code]:[5 cm2 cell test code]],[1]!Table1[[Test code]:[Test code]],[1]!Table1[3-E ƞ at 20mAcm-2 (mV)],"",0)</f>
        <v>#REF!</v>
      </c>
      <c r="Z1040" s="69" t="e" cm="1">
        <f t="array" ref="Z1040">_xlfn.XLOOKUP(Table1[[#This Row],[5 cm2 cell test code]:[5 cm2 cell test code]],[1]!Table1[[Test code]:[Test code]],[1]!Table1[3-E Tafel slope (mV/dec)],"",0)</f>
        <v>#REF!</v>
      </c>
      <c r="AA1040" s="69" t="e" cm="1">
        <f t="array" ref="AA1040">_xlfn.XLOOKUP(Table1[[#This Row],[5 cm2 cell test code]:[5 cm2 cell test code]],[1]!Table1[[Test code]:[Test code]],[1]!Table1[E @ 100 mA/cm2 DIW/V],"",0)</f>
        <v>#REF!</v>
      </c>
      <c r="AB1040" s="69" t="e" cm="1">
        <f t="array" ref="AB1040">_xlfn.XLOOKUP(Table1[[#This Row],[5 cm2 cell test code]:[5 cm2 cell test code]],[1]!Table1[[Test code]:[Test code]],[1]!Table1[E @ 100 mA/cm2 10 mM KOH/V],"",0)</f>
        <v>#REF!</v>
      </c>
      <c r="AC1040" s="69" t="e" cm="1">
        <f t="array" ref="AC1040">_xlfn.XLOOKUP(Table1[[#This Row],[5 cm2 cell test code]:[5 cm2 cell test code]],[1]!Table1[[Test code]:[Test code]],[1]!Table1[Anode ICR/mOhm],"",0)</f>
        <v>#REF!</v>
      </c>
      <c r="AD1040" s="69" t="e" cm="1">
        <f t="array" ref="AD1040">_xlfn.XLOOKUP(Table1[[#This Row],[5 cm2 cell test code]:[5 cm2 cell test code]],[1]!Table1[[Test code]:[Test code]],[1]!Table1[HFR DIW/ mOhm cm2],"",0)</f>
        <v>#REF!</v>
      </c>
      <c r="AE1040" s="69" t="e" cm="1">
        <f t="array" ref="AE1040">_xlfn.XLOOKUP(Table1[[#This Row],[5 cm2 cell test code]:[5 cm2 cell test code]],[1]!Table1[[Test code]:[Test code]],[1]!Table1[HFR 10 mM KOH/ mOhm cm2],"",0)</f>
        <v>#REF!</v>
      </c>
      <c r="AF1040" s="69" t="e" cm="1">
        <f t="array" ref="AF1040">_xlfn.XLOOKUP(Table1[[#This Row],[5 cm2 cell test code]:[5 cm2 cell test code]],[1]!Table1[[Test code]:[Test code]],[1]!Table1[Ionic resistance DIW/Ohm cm2],"",0)</f>
        <v>#REF!</v>
      </c>
      <c r="AG1040" s="69" t="e" cm="1">
        <f t="array" ref="AG1040">_xlfn.XLOOKUP(Table1[[#This Row],[5 cm2 cell test code]:[5 cm2 cell test code]],[1]!Table1[[Test code]:[Test code]],[1]!Table1[Q_int_frac DIW],"",0)</f>
        <v>#REF!</v>
      </c>
      <c r="AH1040" s="69" t="e" cm="1">
        <f t="array" ref="AH1040">_xlfn.XLOOKUP(Table1[[#This Row],[5 cm2 cell test code]:[5 cm2 cell test code]],[1]!Table1[[Test code]:[Test code]],[1]!Table1[Ionic resistance 10 mM KOH/Ohm cm2],"",0)</f>
        <v>#REF!</v>
      </c>
      <c r="AI1040" s="69" t="e" cm="1">
        <f t="array" ref="AI1040">_xlfn.XLOOKUP(Table1[[#This Row],[5 cm2 cell test code]:[5 cm2 cell test code]],[1]!Table1[[Test code]:[Test code]],[1]!Table1[Q_int_frac DIW 10 mM KOH],"",0)</f>
        <v>#REF!</v>
      </c>
      <c r="AJ1040" s="69" t="e" cm="1">
        <f t="array" ref="AJ1040">_xlfn.XLOOKUP(Table1[[#This Row],[5 cm2 cell test code]:[5 cm2 cell test code]],[1]!Table1[[Test code]:[Test code]],[1]!Table1[DIW conductivity (µS/cm)],"",0)</f>
        <v>#REF!</v>
      </c>
    </row>
    <row r="1041" spans="1:36">
      <c r="A1041" s="81"/>
      <c r="U1041" s="101"/>
      <c r="V1041" s="101"/>
      <c r="W1041" s="69" t="e" cm="1">
        <f t="array" ref="W1041">_xlfn.XLOOKUP(Table1[[#This Row],[5 cm2 cell test code]:[5 cm2 cell test code]],[1]!Table1[[Test code]:[Test code]],[1]!Table1[i @ 1.8 V DIW (A/cm2)],"",0)</f>
        <v>#REF!</v>
      </c>
      <c r="X1041" s="69" t="e" cm="1">
        <f t="array" ref="X1041">_xlfn.XLOOKUP(Table1[[#This Row],[5 cm2 cell test code]:[5 cm2 cell test code]],[1]!Table1[[Test code]:[Test code]],[1]!Table1[i @ 1.8 V 10 mM KOH (A/cm2)],"",0)</f>
        <v>#REF!</v>
      </c>
      <c r="Y1041" s="69" t="e" cm="1">
        <f t="array" ref="Y1041">_xlfn.XLOOKUP(Table1[[#This Row],[5 cm2 cell test code]:[5 cm2 cell test code]],[1]!Table1[[Test code]:[Test code]],[1]!Table1[3-E ƞ at 20mAcm-2 (mV)],"",0)</f>
        <v>#REF!</v>
      </c>
      <c r="Z1041" s="69" t="e" cm="1">
        <f t="array" ref="Z1041">_xlfn.XLOOKUP(Table1[[#This Row],[5 cm2 cell test code]:[5 cm2 cell test code]],[1]!Table1[[Test code]:[Test code]],[1]!Table1[3-E Tafel slope (mV/dec)],"",0)</f>
        <v>#REF!</v>
      </c>
      <c r="AA1041" s="69" t="e" cm="1">
        <f t="array" ref="AA1041">_xlfn.XLOOKUP(Table1[[#This Row],[5 cm2 cell test code]:[5 cm2 cell test code]],[1]!Table1[[Test code]:[Test code]],[1]!Table1[E @ 100 mA/cm2 DIW/V],"",0)</f>
        <v>#REF!</v>
      </c>
      <c r="AB1041" s="69" t="e" cm="1">
        <f t="array" ref="AB1041">_xlfn.XLOOKUP(Table1[[#This Row],[5 cm2 cell test code]:[5 cm2 cell test code]],[1]!Table1[[Test code]:[Test code]],[1]!Table1[E @ 100 mA/cm2 10 mM KOH/V],"",0)</f>
        <v>#REF!</v>
      </c>
      <c r="AC1041" s="69" t="e" cm="1">
        <f t="array" ref="AC1041">_xlfn.XLOOKUP(Table1[[#This Row],[5 cm2 cell test code]:[5 cm2 cell test code]],[1]!Table1[[Test code]:[Test code]],[1]!Table1[Anode ICR/mOhm],"",0)</f>
        <v>#REF!</v>
      </c>
      <c r="AD1041" s="69" t="e" cm="1">
        <f t="array" ref="AD1041">_xlfn.XLOOKUP(Table1[[#This Row],[5 cm2 cell test code]:[5 cm2 cell test code]],[1]!Table1[[Test code]:[Test code]],[1]!Table1[HFR DIW/ mOhm cm2],"",0)</f>
        <v>#REF!</v>
      </c>
      <c r="AE1041" s="69" t="e" cm="1">
        <f t="array" ref="AE1041">_xlfn.XLOOKUP(Table1[[#This Row],[5 cm2 cell test code]:[5 cm2 cell test code]],[1]!Table1[[Test code]:[Test code]],[1]!Table1[HFR 10 mM KOH/ mOhm cm2],"",0)</f>
        <v>#REF!</v>
      </c>
      <c r="AF1041" s="69" t="e" cm="1">
        <f t="array" ref="AF1041">_xlfn.XLOOKUP(Table1[[#This Row],[5 cm2 cell test code]:[5 cm2 cell test code]],[1]!Table1[[Test code]:[Test code]],[1]!Table1[Ionic resistance DIW/Ohm cm2],"",0)</f>
        <v>#REF!</v>
      </c>
      <c r="AG1041" s="69" t="e" cm="1">
        <f t="array" ref="AG1041">_xlfn.XLOOKUP(Table1[[#This Row],[5 cm2 cell test code]:[5 cm2 cell test code]],[1]!Table1[[Test code]:[Test code]],[1]!Table1[Q_int_frac DIW],"",0)</f>
        <v>#REF!</v>
      </c>
      <c r="AH1041" s="69" t="e" cm="1">
        <f t="array" ref="AH1041">_xlfn.XLOOKUP(Table1[[#This Row],[5 cm2 cell test code]:[5 cm2 cell test code]],[1]!Table1[[Test code]:[Test code]],[1]!Table1[Ionic resistance 10 mM KOH/Ohm cm2],"",0)</f>
        <v>#REF!</v>
      </c>
      <c r="AI1041" s="69" t="e" cm="1">
        <f t="array" ref="AI1041">_xlfn.XLOOKUP(Table1[[#This Row],[5 cm2 cell test code]:[5 cm2 cell test code]],[1]!Table1[[Test code]:[Test code]],[1]!Table1[Q_int_frac DIW 10 mM KOH],"",0)</f>
        <v>#REF!</v>
      </c>
      <c r="AJ1041" s="69" t="e" cm="1">
        <f t="array" ref="AJ1041">_xlfn.XLOOKUP(Table1[[#This Row],[5 cm2 cell test code]:[5 cm2 cell test code]],[1]!Table1[[Test code]:[Test code]],[1]!Table1[DIW conductivity (µS/cm)],"",0)</f>
        <v>#REF!</v>
      </c>
    </row>
    <row r="1042" spans="1:36">
      <c r="A1042" s="81"/>
      <c r="U1042" s="101"/>
      <c r="V1042" s="101"/>
      <c r="W1042" s="69" t="e" cm="1">
        <f t="array" ref="W1042">_xlfn.XLOOKUP(Table1[[#This Row],[5 cm2 cell test code]:[5 cm2 cell test code]],[1]!Table1[[Test code]:[Test code]],[1]!Table1[i @ 1.8 V DIW (A/cm2)],"",0)</f>
        <v>#REF!</v>
      </c>
      <c r="X1042" s="69" t="e" cm="1">
        <f t="array" ref="X1042">_xlfn.XLOOKUP(Table1[[#This Row],[5 cm2 cell test code]:[5 cm2 cell test code]],[1]!Table1[[Test code]:[Test code]],[1]!Table1[i @ 1.8 V 10 mM KOH (A/cm2)],"",0)</f>
        <v>#REF!</v>
      </c>
      <c r="Y1042" s="69" t="e" cm="1">
        <f t="array" ref="Y1042">_xlfn.XLOOKUP(Table1[[#This Row],[5 cm2 cell test code]:[5 cm2 cell test code]],[1]!Table1[[Test code]:[Test code]],[1]!Table1[3-E ƞ at 20mAcm-2 (mV)],"",0)</f>
        <v>#REF!</v>
      </c>
      <c r="Z1042" s="69" t="e" cm="1">
        <f t="array" ref="Z1042">_xlfn.XLOOKUP(Table1[[#This Row],[5 cm2 cell test code]:[5 cm2 cell test code]],[1]!Table1[[Test code]:[Test code]],[1]!Table1[3-E Tafel slope (mV/dec)],"",0)</f>
        <v>#REF!</v>
      </c>
      <c r="AA1042" s="69" t="e" cm="1">
        <f t="array" ref="AA1042">_xlfn.XLOOKUP(Table1[[#This Row],[5 cm2 cell test code]:[5 cm2 cell test code]],[1]!Table1[[Test code]:[Test code]],[1]!Table1[E @ 100 mA/cm2 DIW/V],"",0)</f>
        <v>#REF!</v>
      </c>
      <c r="AB1042" s="69" t="e" cm="1">
        <f t="array" ref="AB1042">_xlfn.XLOOKUP(Table1[[#This Row],[5 cm2 cell test code]:[5 cm2 cell test code]],[1]!Table1[[Test code]:[Test code]],[1]!Table1[E @ 100 mA/cm2 10 mM KOH/V],"",0)</f>
        <v>#REF!</v>
      </c>
      <c r="AC1042" s="69" t="e" cm="1">
        <f t="array" ref="AC1042">_xlfn.XLOOKUP(Table1[[#This Row],[5 cm2 cell test code]:[5 cm2 cell test code]],[1]!Table1[[Test code]:[Test code]],[1]!Table1[Anode ICR/mOhm],"",0)</f>
        <v>#REF!</v>
      </c>
      <c r="AD1042" s="69" t="e" cm="1">
        <f t="array" ref="AD1042">_xlfn.XLOOKUP(Table1[[#This Row],[5 cm2 cell test code]:[5 cm2 cell test code]],[1]!Table1[[Test code]:[Test code]],[1]!Table1[HFR DIW/ mOhm cm2],"",0)</f>
        <v>#REF!</v>
      </c>
      <c r="AE1042" s="69" t="e" cm="1">
        <f t="array" ref="AE1042">_xlfn.XLOOKUP(Table1[[#This Row],[5 cm2 cell test code]:[5 cm2 cell test code]],[1]!Table1[[Test code]:[Test code]],[1]!Table1[HFR 10 mM KOH/ mOhm cm2],"",0)</f>
        <v>#REF!</v>
      </c>
      <c r="AF1042" s="69" t="e" cm="1">
        <f t="array" ref="AF1042">_xlfn.XLOOKUP(Table1[[#This Row],[5 cm2 cell test code]:[5 cm2 cell test code]],[1]!Table1[[Test code]:[Test code]],[1]!Table1[Ionic resistance DIW/Ohm cm2],"",0)</f>
        <v>#REF!</v>
      </c>
      <c r="AG1042" s="69" t="e" cm="1">
        <f t="array" ref="AG1042">_xlfn.XLOOKUP(Table1[[#This Row],[5 cm2 cell test code]:[5 cm2 cell test code]],[1]!Table1[[Test code]:[Test code]],[1]!Table1[Q_int_frac DIW],"",0)</f>
        <v>#REF!</v>
      </c>
      <c r="AH1042" s="69" t="e" cm="1">
        <f t="array" ref="AH1042">_xlfn.XLOOKUP(Table1[[#This Row],[5 cm2 cell test code]:[5 cm2 cell test code]],[1]!Table1[[Test code]:[Test code]],[1]!Table1[Ionic resistance 10 mM KOH/Ohm cm2],"",0)</f>
        <v>#REF!</v>
      </c>
      <c r="AI1042" s="69" t="e" cm="1">
        <f t="array" ref="AI1042">_xlfn.XLOOKUP(Table1[[#This Row],[5 cm2 cell test code]:[5 cm2 cell test code]],[1]!Table1[[Test code]:[Test code]],[1]!Table1[Q_int_frac DIW 10 mM KOH],"",0)</f>
        <v>#REF!</v>
      </c>
      <c r="AJ1042" s="69" t="e" cm="1">
        <f t="array" ref="AJ1042">_xlfn.XLOOKUP(Table1[[#This Row],[5 cm2 cell test code]:[5 cm2 cell test code]],[1]!Table1[[Test code]:[Test code]],[1]!Table1[DIW conductivity (µS/cm)],"",0)</f>
        <v>#REF!</v>
      </c>
    </row>
    <row r="1043" spans="1:36">
      <c r="A1043" s="81"/>
      <c r="U1043" s="101"/>
      <c r="V1043" s="101"/>
      <c r="W1043" s="69" t="e" cm="1">
        <f t="array" ref="W1043">_xlfn.XLOOKUP(Table1[[#This Row],[5 cm2 cell test code]:[5 cm2 cell test code]],[1]!Table1[[Test code]:[Test code]],[1]!Table1[i @ 1.8 V DIW (A/cm2)],"",0)</f>
        <v>#REF!</v>
      </c>
      <c r="X1043" s="69" t="e" cm="1">
        <f t="array" ref="X1043">_xlfn.XLOOKUP(Table1[[#This Row],[5 cm2 cell test code]:[5 cm2 cell test code]],[1]!Table1[[Test code]:[Test code]],[1]!Table1[i @ 1.8 V 10 mM KOH (A/cm2)],"",0)</f>
        <v>#REF!</v>
      </c>
      <c r="Y1043" s="69" t="e" cm="1">
        <f t="array" ref="Y1043">_xlfn.XLOOKUP(Table1[[#This Row],[5 cm2 cell test code]:[5 cm2 cell test code]],[1]!Table1[[Test code]:[Test code]],[1]!Table1[3-E ƞ at 20mAcm-2 (mV)],"",0)</f>
        <v>#REF!</v>
      </c>
      <c r="Z1043" s="69" t="e" cm="1">
        <f t="array" ref="Z1043">_xlfn.XLOOKUP(Table1[[#This Row],[5 cm2 cell test code]:[5 cm2 cell test code]],[1]!Table1[[Test code]:[Test code]],[1]!Table1[3-E Tafel slope (mV/dec)],"",0)</f>
        <v>#REF!</v>
      </c>
      <c r="AA1043" s="69" t="e" cm="1">
        <f t="array" ref="AA1043">_xlfn.XLOOKUP(Table1[[#This Row],[5 cm2 cell test code]:[5 cm2 cell test code]],[1]!Table1[[Test code]:[Test code]],[1]!Table1[E @ 100 mA/cm2 DIW/V],"",0)</f>
        <v>#REF!</v>
      </c>
      <c r="AB1043" s="69" t="e" cm="1">
        <f t="array" ref="AB1043">_xlfn.XLOOKUP(Table1[[#This Row],[5 cm2 cell test code]:[5 cm2 cell test code]],[1]!Table1[[Test code]:[Test code]],[1]!Table1[E @ 100 mA/cm2 10 mM KOH/V],"",0)</f>
        <v>#REF!</v>
      </c>
      <c r="AC1043" s="69" t="e" cm="1">
        <f t="array" ref="AC1043">_xlfn.XLOOKUP(Table1[[#This Row],[5 cm2 cell test code]:[5 cm2 cell test code]],[1]!Table1[[Test code]:[Test code]],[1]!Table1[Anode ICR/mOhm],"",0)</f>
        <v>#REF!</v>
      </c>
      <c r="AD1043" s="69" t="e" cm="1">
        <f t="array" ref="AD1043">_xlfn.XLOOKUP(Table1[[#This Row],[5 cm2 cell test code]:[5 cm2 cell test code]],[1]!Table1[[Test code]:[Test code]],[1]!Table1[HFR DIW/ mOhm cm2],"",0)</f>
        <v>#REF!</v>
      </c>
      <c r="AE1043" s="69" t="e" cm="1">
        <f t="array" ref="AE1043">_xlfn.XLOOKUP(Table1[[#This Row],[5 cm2 cell test code]:[5 cm2 cell test code]],[1]!Table1[[Test code]:[Test code]],[1]!Table1[HFR 10 mM KOH/ mOhm cm2],"",0)</f>
        <v>#REF!</v>
      </c>
      <c r="AF1043" s="69" t="e" cm="1">
        <f t="array" ref="AF1043">_xlfn.XLOOKUP(Table1[[#This Row],[5 cm2 cell test code]:[5 cm2 cell test code]],[1]!Table1[[Test code]:[Test code]],[1]!Table1[Ionic resistance DIW/Ohm cm2],"",0)</f>
        <v>#REF!</v>
      </c>
      <c r="AG1043" s="69" t="e" cm="1">
        <f t="array" ref="AG1043">_xlfn.XLOOKUP(Table1[[#This Row],[5 cm2 cell test code]:[5 cm2 cell test code]],[1]!Table1[[Test code]:[Test code]],[1]!Table1[Q_int_frac DIW],"",0)</f>
        <v>#REF!</v>
      </c>
      <c r="AH1043" s="69" t="e" cm="1">
        <f t="array" ref="AH1043">_xlfn.XLOOKUP(Table1[[#This Row],[5 cm2 cell test code]:[5 cm2 cell test code]],[1]!Table1[[Test code]:[Test code]],[1]!Table1[Ionic resistance 10 mM KOH/Ohm cm2],"",0)</f>
        <v>#REF!</v>
      </c>
      <c r="AI1043" s="69" t="e" cm="1">
        <f t="array" ref="AI1043">_xlfn.XLOOKUP(Table1[[#This Row],[5 cm2 cell test code]:[5 cm2 cell test code]],[1]!Table1[[Test code]:[Test code]],[1]!Table1[Q_int_frac DIW 10 mM KOH],"",0)</f>
        <v>#REF!</v>
      </c>
      <c r="AJ1043" s="69" t="e" cm="1">
        <f t="array" ref="AJ1043">_xlfn.XLOOKUP(Table1[[#This Row],[5 cm2 cell test code]:[5 cm2 cell test code]],[1]!Table1[[Test code]:[Test code]],[1]!Table1[DIW conductivity (µS/cm)],"",0)</f>
        <v>#REF!</v>
      </c>
    </row>
    <row r="1044" spans="1:36">
      <c r="A1044" s="81"/>
      <c r="U1044" s="101"/>
      <c r="V1044" s="101"/>
      <c r="W1044" s="69" t="e" cm="1">
        <f t="array" ref="W1044">_xlfn.XLOOKUP(Table1[[#This Row],[5 cm2 cell test code]:[5 cm2 cell test code]],[1]!Table1[[Test code]:[Test code]],[1]!Table1[i @ 1.8 V DIW (A/cm2)],"",0)</f>
        <v>#REF!</v>
      </c>
      <c r="X1044" s="69" t="e" cm="1">
        <f t="array" ref="X1044">_xlfn.XLOOKUP(Table1[[#This Row],[5 cm2 cell test code]:[5 cm2 cell test code]],[1]!Table1[[Test code]:[Test code]],[1]!Table1[i @ 1.8 V 10 mM KOH (A/cm2)],"",0)</f>
        <v>#REF!</v>
      </c>
      <c r="Y1044" s="69" t="e" cm="1">
        <f t="array" ref="Y1044">_xlfn.XLOOKUP(Table1[[#This Row],[5 cm2 cell test code]:[5 cm2 cell test code]],[1]!Table1[[Test code]:[Test code]],[1]!Table1[3-E ƞ at 20mAcm-2 (mV)],"",0)</f>
        <v>#REF!</v>
      </c>
      <c r="Z1044" s="69" t="e" cm="1">
        <f t="array" ref="Z1044">_xlfn.XLOOKUP(Table1[[#This Row],[5 cm2 cell test code]:[5 cm2 cell test code]],[1]!Table1[[Test code]:[Test code]],[1]!Table1[3-E Tafel slope (mV/dec)],"",0)</f>
        <v>#REF!</v>
      </c>
      <c r="AA1044" s="69" t="e" cm="1">
        <f t="array" ref="AA1044">_xlfn.XLOOKUP(Table1[[#This Row],[5 cm2 cell test code]:[5 cm2 cell test code]],[1]!Table1[[Test code]:[Test code]],[1]!Table1[E @ 100 mA/cm2 DIW/V],"",0)</f>
        <v>#REF!</v>
      </c>
      <c r="AB1044" s="69" t="e" cm="1">
        <f t="array" ref="AB1044">_xlfn.XLOOKUP(Table1[[#This Row],[5 cm2 cell test code]:[5 cm2 cell test code]],[1]!Table1[[Test code]:[Test code]],[1]!Table1[E @ 100 mA/cm2 10 mM KOH/V],"",0)</f>
        <v>#REF!</v>
      </c>
      <c r="AC1044" s="69" t="e" cm="1">
        <f t="array" ref="AC1044">_xlfn.XLOOKUP(Table1[[#This Row],[5 cm2 cell test code]:[5 cm2 cell test code]],[1]!Table1[[Test code]:[Test code]],[1]!Table1[Anode ICR/mOhm],"",0)</f>
        <v>#REF!</v>
      </c>
      <c r="AD1044" s="69" t="e" cm="1">
        <f t="array" ref="AD1044">_xlfn.XLOOKUP(Table1[[#This Row],[5 cm2 cell test code]:[5 cm2 cell test code]],[1]!Table1[[Test code]:[Test code]],[1]!Table1[HFR DIW/ mOhm cm2],"",0)</f>
        <v>#REF!</v>
      </c>
      <c r="AE1044" s="69" t="e" cm="1">
        <f t="array" ref="AE1044">_xlfn.XLOOKUP(Table1[[#This Row],[5 cm2 cell test code]:[5 cm2 cell test code]],[1]!Table1[[Test code]:[Test code]],[1]!Table1[HFR 10 mM KOH/ mOhm cm2],"",0)</f>
        <v>#REF!</v>
      </c>
      <c r="AF1044" s="69" t="e" cm="1">
        <f t="array" ref="AF1044">_xlfn.XLOOKUP(Table1[[#This Row],[5 cm2 cell test code]:[5 cm2 cell test code]],[1]!Table1[[Test code]:[Test code]],[1]!Table1[Ionic resistance DIW/Ohm cm2],"",0)</f>
        <v>#REF!</v>
      </c>
      <c r="AG1044" s="69" t="e" cm="1">
        <f t="array" ref="AG1044">_xlfn.XLOOKUP(Table1[[#This Row],[5 cm2 cell test code]:[5 cm2 cell test code]],[1]!Table1[[Test code]:[Test code]],[1]!Table1[Q_int_frac DIW],"",0)</f>
        <v>#REF!</v>
      </c>
      <c r="AH1044" s="69" t="e" cm="1">
        <f t="array" ref="AH1044">_xlfn.XLOOKUP(Table1[[#This Row],[5 cm2 cell test code]:[5 cm2 cell test code]],[1]!Table1[[Test code]:[Test code]],[1]!Table1[Ionic resistance 10 mM KOH/Ohm cm2],"",0)</f>
        <v>#REF!</v>
      </c>
      <c r="AI1044" s="69" t="e" cm="1">
        <f t="array" ref="AI1044">_xlfn.XLOOKUP(Table1[[#This Row],[5 cm2 cell test code]:[5 cm2 cell test code]],[1]!Table1[[Test code]:[Test code]],[1]!Table1[Q_int_frac DIW 10 mM KOH],"",0)</f>
        <v>#REF!</v>
      </c>
      <c r="AJ1044" s="69" t="e" cm="1">
        <f t="array" ref="AJ1044">_xlfn.XLOOKUP(Table1[[#This Row],[5 cm2 cell test code]:[5 cm2 cell test code]],[1]!Table1[[Test code]:[Test code]],[1]!Table1[DIW conductivity (µS/cm)],"",0)</f>
        <v>#REF!</v>
      </c>
    </row>
    <row r="1045" spans="1:36">
      <c r="A1045" s="81"/>
      <c r="U1045" s="101"/>
      <c r="V1045" s="101"/>
      <c r="W1045" s="69" t="e" cm="1">
        <f t="array" ref="W1045">_xlfn.XLOOKUP(Table1[[#This Row],[5 cm2 cell test code]:[5 cm2 cell test code]],[1]!Table1[[Test code]:[Test code]],[1]!Table1[i @ 1.8 V DIW (A/cm2)],"",0)</f>
        <v>#REF!</v>
      </c>
      <c r="X1045" s="69" t="e" cm="1">
        <f t="array" ref="X1045">_xlfn.XLOOKUP(Table1[[#This Row],[5 cm2 cell test code]:[5 cm2 cell test code]],[1]!Table1[[Test code]:[Test code]],[1]!Table1[i @ 1.8 V 10 mM KOH (A/cm2)],"",0)</f>
        <v>#REF!</v>
      </c>
      <c r="Y1045" s="69" t="e" cm="1">
        <f t="array" ref="Y1045">_xlfn.XLOOKUP(Table1[[#This Row],[5 cm2 cell test code]:[5 cm2 cell test code]],[1]!Table1[[Test code]:[Test code]],[1]!Table1[3-E ƞ at 20mAcm-2 (mV)],"",0)</f>
        <v>#REF!</v>
      </c>
      <c r="Z1045" s="69" t="e" cm="1">
        <f t="array" ref="Z1045">_xlfn.XLOOKUP(Table1[[#This Row],[5 cm2 cell test code]:[5 cm2 cell test code]],[1]!Table1[[Test code]:[Test code]],[1]!Table1[3-E Tafel slope (mV/dec)],"",0)</f>
        <v>#REF!</v>
      </c>
      <c r="AA1045" s="69" t="e" cm="1">
        <f t="array" ref="AA1045">_xlfn.XLOOKUP(Table1[[#This Row],[5 cm2 cell test code]:[5 cm2 cell test code]],[1]!Table1[[Test code]:[Test code]],[1]!Table1[E @ 100 mA/cm2 DIW/V],"",0)</f>
        <v>#REF!</v>
      </c>
      <c r="AB1045" s="69" t="e" cm="1">
        <f t="array" ref="AB1045">_xlfn.XLOOKUP(Table1[[#This Row],[5 cm2 cell test code]:[5 cm2 cell test code]],[1]!Table1[[Test code]:[Test code]],[1]!Table1[E @ 100 mA/cm2 10 mM KOH/V],"",0)</f>
        <v>#REF!</v>
      </c>
      <c r="AC1045" s="69" t="e" cm="1">
        <f t="array" ref="AC1045">_xlfn.XLOOKUP(Table1[[#This Row],[5 cm2 cell test code]:[5 cm2 cell test code]],[1]!Table1[[Test code]:[Test code]],[1]!Table1[Anode ICR/mOhm],"",0)</f>
        <v>#REF!</v>
      </c>
      <c r="AD1045" s="69" t="e" cm="1">
        <f t="array" ref="AD1045">_xlfn.XLOOKUP(Table1[[#This Row],[5 cm2 cell test code]:[5 cm2 cell test code]],[1]!Table1[[Test code]:[Test code]],[1]!Table1[HFR DIW/ mOhm cm2],"",0)</f>
        <v>#REF!</v>
      </c>
      <c r="AE1045" s="69" t="e" cm="1">
        <f t="array" ref="AE1045">_xlfn.XLOOKUP(Table1[[#This Row],[5 cm2 cell test code]:[5 cm2 cell test code]],[1]!Table1[[Test code]:[Test code]],[1]!Table1[HFR 10 mM KOH/ mOhm cm2],"",0)</f>
        <v>#REF!</v>
      </c>
      <c r="AF1045" s="69" t="e" cm="1">
        <f t="array" ref="AF1045">_xlfn.XLOOKUP(Table1[[#This Row],[5 cm2 cell test code]:[5 cm2 cell test code]],[1]!Table1[[Test code]:[Test code]],[1]!Table1[Ionic resistance DIW/Ohm cm2],"",0)</f>
        <v>#REF!</v>
      </c>
      <c r="AG1045" s="69" t="e" cm="1">
        <f t="array" ref="AG1045">_xlfn.XLOOKUP(Table1[[#This Row],[5 cm2 cell test code]:[5 cm2 cell test code]],[1]!Table1[[Test code]:[Test code]],[1]!Table1[Q_int_frac DIW],"",0)</f>
        <v>#REF!</v>
      </c>
      <c r="AH1045" s="69" t="e" cm="1">
        <f t="array" ref="AH1045">_xlfn.XLOOKUP(Table1[[#This Row],[5 cm2 cell test code]:[5 cm2 cell test code]],[1]!Table1[[Test code]:[Test code]],[1]!Table1[Ionic resistance 10 mM KOH/Ohm cm2],"",0)</f>
        <v>#REF!</v>
      </c>
      <c r="AI1045" s="69" t="e" cm="1">
        <f t="array" ref="AI1045">_xlfn.XLOOKUP(Table1[[#This Row],[5 cm2 cell test code]:[5 cm2 cell test code]],[1]!Table1[[Test code]:[Test code]],[1]!Table1[Q_int_frac DIW 10 mM KOH],"",0)</f>
        <v>#REF!</v>
      </c>
      <c r="AJ1045" s="69" t="e" cm="1">
        <f t="array" ref="AJ1045">_xlfn.XLOOKUP(Table1[[#This Row],[5 cm2 cell test code]:[5 cm2 cell test code]],[1]!Table1[[Test code]:[Test code]],[1]!Table1[DIW conductivity (µS/cm)],"",0)</f>
        <v>#REF!</v>
      </c>
    </row>
    <row r="1046" spans="1:36">
      <c r="A1046" s="81"/>
      <c r="U1046" s="101"/>
      <c r="V1046" s="101"/>
      <c r="W1046" s="69" t="e" cm="1">
        <f t="array" ref="W1046">_xlfn.XLOOKUP(Table1[[#This Row],[5 cm2 cell test code]:[5 cm2 cell test code]],[1]!Table1[[Test code]:[Test code]],[1]!Table1[i @ 1.8 V DIW (A/cm2)],"",0)</f>
        <v>#REF!</v>
      </c>
      <c r="X1046" s="69" t="e" cm="1">
        <f t="array" ref="X1046">_xlfn.XLOOKUP(Table1[[#This Row],[5 cm2 cell test code]:[5 cm2 cell test code]],[1]!Table1[[Test code]:[Test code]],[1]!Table1[i @ 1.8 V 10 mM KOH (A/cm2)],"",0)</f>
        <v>#REF!</v>
      </c>
      <c r="Y1046" s="69" t="e" cm="1">
        <f t="array" ref="Y1046">_xlfn.XLOOKUP(Table1[[#This Row],[5 cm2 cell test code]:[5 cm2 cell test code]],[1]!Table1[[Test code]:[Test code]],[1]!Table1[3-E ƞ at 20mAcm-2 (mV)],"",0)</f>
        <v>#REF!</v>
      </c>
      <c r="Z1046" s="69" t="e" cm="1">
        <f t="array" ref="Z1046">_xlfn.XLOOKUP(Table1[[#This Row],[5 cm2 cell test code]:[5 cm2 cell test code]],[1]!Table1[[Test code]:[Test code]],[1]!Table1[3-E Tafel slope (mV/dec)],"",0)</f>
        <v>#REF!</v>
      </c>
      <c r="AA1046" s="69" t="e" cm="1">
        <f t="array" ref="AA1046">_xlfn.XLOOKUP(Table1[[#This Row],[5 cm2 cell test code]:[5 cm2 cell test code]],[1]!Table1[[Test code]:[Test code]],[1]!Table1[E @ 100 mA/cm2 DIW/V],"",0)</f>
        <v>#REF!</v>
      </c>
      <c r="AB1046" s="69" t="e" cm="1">
        <f t="array" ref="AB1046">_xlfn.XLOOKUP(Table1[[#This Row],[5 cm2 cell test code]:[5 cm2 cell test code]],[1]!Table1[[Test code]:[Test code]],[1]!Table1[E @ 100 mA/cm2 10 mM KOH/V],"",0)</f>
        <v>#REF!</v>
      </c>
      <c r="AC1046" s="69" t="e" cm="1">
        <f t="array" ref="AC1046">_xlfn.XLOOKUP(Table1[[#This Row],[5 cm2 cell test code]:[5 cm2 cell test code]],[1]!Table1[[Test code]:[Test code]],[1]!Table1[Anode ICR/mOhm],"",0)</f>
        <v>#REF!</v>
      </c>
      <c r="AD1046" s="69" t="e" cm="1">
        <f t="array" ref="AD1046">_xlfn.XLOOKUP(Table1[[#This Row],[5 cm2 cell test code]:[5 cm2 cell test code]],[1]!Table1[[Test code]:[Test code]],[1]!Table1[HFR DIW/ mOhm cm2],"",0)</f>
        <v>#REF!</v>
      </c>
      <c r="AE1046" s="69" t="e" cm="1">
        <f t="array" ref="AE1046">_xlfn.XLOOKUP(Table1[[#This Row],[5 cm2 cell test code]:[5 cm2 cell test code]],[1]!Table1[[Test code]:[Test code]],[1]!Table1[HFR 10 mM KOH/ mOhm cm2],"",0)</f>
        <v>#REF!</v>
      </c>
      <c r="AF1046" s="69" t="e" cm="1">
        <f t="array" ref="AF1046">_xlfn.XLOOKUP(Table1[[#This Row],[5 cm2 cell test code]:[5 cm2 cell test code]],[1]!Table1[[Test code]:[Test code]],[1]!Table1[Ionic resistance DIW/Ohm cm2],"",0)</f>
        <v>#REF!</v>
      </c>
      <c r="AG1046" s="69" t="e" cm="1">
        <f t="array" ref="AG1046">_xlfn.XLOOKUP(Table1[[#This Row],[5 cm2 cell test code]:[5 cm2 cell test code]],[1]!Table1[[Test code]:[Test code]],[1]!Table1[Q_int_frac DIW],"",0)</f>
        <v>#REF!</v>
      </c>
      <c r="AH1046" s="69" t="e" cm="1">
        <f t="array" ref="AH1046">_xlfn.XLOOKUP(Table1[[#This Row],[5 cm2 cell test code]:[5 cm2 cell test code]],[1]!Table1[[Test code]:[Test code]],[1]!Table1[Ionic resistance 10 mM KOH/Ohm cm2],"",0)</f>
        <v>#REF!</v>
      </c>
      <c r="AI1046" s="69" t="e" cm="1">
        <f t="array" ref="AI1046">_xlfn.XLOOKUP(Table1[[#This Row],[5 cm2 cell test code]:[5 cm2 cell test code]],[1]!Table1[[Test code]:[Test code]],[1]!Table1[Q_int_frac DIW 10 mM KOH],"",0)</f>
        <v>#REF!</v>
      </c>
      <c r="AJ1046" s="69" t="e" cm="1">
        <f t="array" ref="AJ1046">_xlfn.XLOOKUP(Table1[[#This Row],[5 cm2 cell test code]:[5 cm2 cell test code]],[1]!Table1[[Test code]:[Test code]],[1]!Table1[DIW conductivity (µS/cm)],"",0)</f>
        <v>#REF!</v>
      </c>
    </row>
    <row r="1047" spans="1:36">
      <c r="A1047" s="81"/>
      <c r="U1047" s="101"/>
      <c r="V1047" s="101"/>
      <c r="W1047" s="69" t="e" cm="1">
        <f t="array" ref="W1047">_xlfn.XLOOKUP(Table1[[#This Row],[5 cm2 cell test code]:[5 cm2 cell test code]],[1]!Table1[[Test code]:[Test code]],[1]!Table1[i @ 1.8 V DIW (A/cm2)],"",0)</f>
        <v>#REF!</v>
      </c>
      <c r="X1047" s="69" t="e" cm="1">
        <f t="array" ref="X1047">_xlfn.XLOOKUP(Table1[[#This Row],[5 cm2 cell test code]:[5 cm2 cell test code]],[1]!Table1[[Test code]:[Test code]],[1]!Table1[i @ 1.8 V 10 mM KOH (A/cm2)],"",0)</f>
        <v>#REF!</v>
      </c>
      <c r="Y1047" s="69" t="e" cm="1">
        <f t="array" ref="Y1047">_xlfn.XLOOKUP(Table1[[#This Row],[5 cm2 cell test code]:[5 cm2 cell test code]],[1]!Table1[[Test code]:[Test code]],[1]!Table1[3-E ƞ at 20mAcm-2 (mV)],"",0)</f>
        <v>#REF!</v>
      </c>
      <c r="Z1047" s="69" t="e" cm="1">
        <f t="array" ref="Z1047">_xlfn.XLOOKUP(Table1[[#This Row],[5 cm2 cell test code]:[5 cm2 cell test code]],[1]!Table1[[Test code]:[Test code]],[1]!Table1[3-E Tafel slope (mV/dec)],"",0)</f>
        <v>#REF!</v>
      </c>
      <c r="AA1047" s="69" t="e" cm="1">
        <f t="array" ref="AA1047">_xlfn.XLOOKUP(Table1[[#This Row],[5 cm2 cell test code]:[5 cm2 cell test code]],[1]!Table1[[Test code]:[Test code]],[1]!Table1[E @ 100 mA/cm2 DIW/V],"",0)</f>
        <v>#REF!</v>
      </c>
      <c r="AB1047" s="69" t="e" cm="1">
        <f t="array" ref="AB1047">_xlfn.XLOOKUP(Table1[[#This Row],[5 cm2 cell test code]:[5 cm2 cell test code]],[1]!Table1[[Test code]:[Test code]],[1]!Table1[E @ 100 mA/cm2 10 mM KOH/V],"",0)</f>
        <v>#REF!</v>
      </c>
      <c r="AC1047" s="69" t="e" cm="1">
        <f t="array" ref="AC1047">_xlfn.XLOOKUP(Table1[[#This Row],[5 cm2 cell test code]:[5 cm2 cell test code]],[1]!Table1[[Test code]:[Test code]],[1]!Table1[Anode ICR/mOhm],"",0)</f>
        <v>#REF!</v>
      </c>
      <c r="AD1047" s="69" t="e" cm="1">
        <f t="array" ref="AD1047">_xlfn.XLOOKUP(Table1[[#This Row],[5 cm2 cell test code]:[5 cm2 cell test code]],[1]!Table1[[Test code]:[Test code]],[1]!Table1[HFR DIW/ mOhm cm2],"",0)</f>
        <v>#REF!</v>
      </c>
      <c r="AE1047" s="69" t="e" cm="1">
        <f t="array" ref="AE1047">_xlfn.XLOOKUP(Table1[[#This Row],[5 cm2 cell test code]:[5 cm2 cell test code]],[1]!Table1[[Test code]:[Test code]],[1]!Table1[HFR 10 mM KOH/ mOhm cm2],"",0)</f>
        <v>#REF!</v>
      </c>
      <c r="AF1047" s="69" t="e" cm="1">
        <f t="array" ref="AF1047">_xlfn.XLOOKUP(Table1[[#This Row],[5 cm2 cell test code]:[5 cm2 cell test code]],[1]!Table1[[Test code]:[Test code]],[1]!Table1[Ionic resistance DIW/Ohm cm2],"",0)</f>
        <v>#REF!</v>
      </c>
      <c r="AG1047" s="69" t="e" cm="1">
        <f t="array" ref="AG1047">_xlfn.XLOOKUP(Table1[[#This Row],[5 cm2 cell test code]:[5 cm2 cell test code]],[1]!Table1[[Test code]:[Test code]],[1]!Table1[Q_int_frac DIW],"",0)</f>
        <v>#REF!</v>
      </c>
      <c r="AH1047" s="69" t="e" cm="1">
        <f t="array" ref="AH1047">_xlfn.XLOOKUP(Table1[[#This Row],[5 cm2 cell test code]:[5 cm2 cell test code]],[1]!Table1[[Test code]:[Test code]],[1]!Table1[Ionic resistance 10 mM KOH/Ohm cm2],"",0)</f>
        <v>#REF!</v>
      </c>
      <c r="AI1047" s="69" t="e" cm="1">
        <f t="array" ref="AI1047">_xlfn.XLOOKUP(Table1[[#This Row],[5 cm2 cell test code]:[5 cm2 cell test code]],[1]!Table1[[Test code]:[Test code]],[1]!Table1[Q_int_frac DIW 10 mM KOH],"",0)</f>
        <v>#REF!</v>
      </c>
      <c r="AJ1047" s="69" t="e" cm="1">
        <f t="array" ref="AJ1047">_xlfn.XLOOKUP(Table1[[#This Row],[5 cm2 cell test code]:[5 cm2 cell test code]],[1]!Table1[[Test code]:[Test code]],[1]!Table1[DIW conductivity (µS/cm)],"",0)</f>
        <v>#REF!</v>
      </c>
    </row>
    <row r="1048" spans="1:36">
      <c r="A1048" s="81"/>
      <c r="U1048" s="101"/>
      <c r="V1048" s="101"/>
      <c r="W1048" s="69" t="e" cm="1">
        <f t="array" ref="W1048">_xlfn.XLOOKUP(Table1[[#This Row],[5 cm2 cell test code]:[5 cm2 cell test code]],[1]!Table1[[Test code]:[Test code]],[1]!Table1[i @ 1.8 V DIW (A/cm2)],"",0)</f>
        <v>#REF!</v>
      </c>
      <c r="X1048" s="69" t="e" cm="1">
        <f t="array" ref="X1048">_xlfn.XLOOKUP(Table1[[#This Row],[5 cm2 cell test code]:[5 cm2 cell test code]],[1]!Table1[[Test code]:[Test code]],[1]!Table1[i @ 1.8 V 10 mM KOH (A/cm2)],"",0)</f>
        <v>#REF!</v>
      </c>
      <c r="Y1048" s="69" t="e" cm="1">
        <f t="array" ref="Y1048">_xlfn.XLOOKUP(Table1[[#This Row],[5 cm2 cell test code]:[5 cm2 cell test code]],[1]!Table1[[Test code]:[Test code]],[1]!Table1[3-E ƞ at 20mAcm-2 (mV)],"",0)</f>
        <v>#REF!</v>
      </c>
      <c r="Z1048" s="69" t="e" cm="1">
        <f t="array" ref="Z1048">_xlfn.XLOOKUP(Table1[[#This Row],[5 cm2 cell test code]:[5 cm2 cell test code]],[1]!Table1[[Test code]:[Test code]],[1]!Table1[3-E Tafel slope (mV/dec)],"",0)</f>
        <v>#REF!</v>
      </c>
      <c r="AA1048" s="69" t="e" cm="1">
        <f t="array" ref="AA1048">_xlfn.XLOOKUP(Table1[[#This Row],[5 cm2 cell test code]:[5 cm2 cell test code]],[1]!Table1[[Test code]:[Test code]],[1]!Table1[E @ 100 mA/cm2 DIW/V],"",0)</f>
        <v>#REF!</v>
      </c>
      <c r="AB1048" s="69" t="e" cm="1">
        <f t="array" ref="AB1048">_xlfn.XLOOKUP(Table1[[#This Row],[5 cm2 cell test code]:[5 cm2 cell test code]],[1]!Table1[[Test code]:[Test code]],[1]!Table1[E @ 100 mA/cm2 10 mM KOH/V],"",0)</f>
        <v>#REF!</v>
      </c>
      <c r="AC1048" s="69" t="e" cm="1">
        <f t="array" ref="AC1048">_xlfn.XLOOKUP(Table1[[#This Row],[5 cm2 cell test code]:[5 cm2 cell test code]],[1]!Table1[[Test code]:[Test code]],[1]!Table1[Anode ICR/mOhm],"",0)</f>
        <v>#REF!</v>
      </c>
      <c r="AD1048" s="69" t="e" cm="1">
        <f t="array" ref="AD1048">_xlfn.XLOOKUP(Table1[[#This Row],[5 cm2 cell test code]:[5 cm2 cell test code]],[1]!Table1[[Test code]:[Test code]],[1]!Table1[HFR DIW/ mOhm cm2],"",0)</f>
        <v>#REF!</v>
      </c>
      <c r="AE1048" s="69" t="e" cm="1">
        <f t="array" ref="AE1048">_xlfn.XLOOKUP(Table1[[#This Row],[5 cm2 cell test code]:[5 cm2 cell test code]],[1]!Table1[[Test code]:[Test code]],[1]!Table1[HFR 10 mM KOH/ mOhm cm2],"",0)</f>
        <v>#REF!</v>
      </c>
      <c r="AF1048" s="69" t="e" cm="1">
        <f t="array" ref="AF1048">_xlfn.XLOOKUP(Table1[[#This Row],[5 cm2 cell test code]:[5 cm2 cell test code]],[1]!Table1[[Test code]:[Test code]],[1]!Table1[Ionic resistance DIW/Ohm cm2],"",0)</f>
        <v>#REF!</v>
      </c>
      <c r="AG1048" s="69" t="e" cm="1">
        <f t="array" ref="AG1048">_xlfn.XLOOKUP(Table1[[#This Row],[5 cm2 cell test code]:[5 cm2 cell test code]],[1]!Table1[[Test code]:[Test code]],[1]!Table1[Q_int_frac DIW],"",0)</f>
        <v>#REF!</v>
      </c>
      <c r="AH1048" s="69" t="e" cm="1">
        <f t="array" ref="AH1048">_xlfn.XLOOKUP(Table1[[#This Row],[5 cm2 cell test code]:[5 cm2 cell test code]],[1]!Table1[[Test code]:[Test code]],[1]!Table1[Ionic resistance 10 mM KOH/Ohm cm2],"",0)</f>
        <v>#REF!</v>
      </c>
      <c r="AI1048" s="69" t="e" cm="1">
        <f t="array" ref="AI1048">_xlfn.XLOOKUP(Table1[[#This Row],[5 cm2 cell test code]:[5 cm2 cell test code]],[1]!Table1[[Test code]:[Test code]],[1]!Table1[Q_int_frac DIW 10 mM KOH],"",0)</f>
        <v>#REF!</v>
      </c>
      <c r="AJ1048" s="69" t="e" cm="1">
        <f t="array" ref="AJ1048">_xlfn.XLOOKUP(Table1[[#This Row],[5 cm2 cell test code]:[5 cm2 cell test code]],[1]!Table1[[Test code]:[Test code]],[1]!Table1[DIW conductivity (µS/cm)],"",0)</f>
        <v>#REF!</v>
      </c>
    </row>
    <row r="1049" spans="1:36">
      <c r="A1049" s="81"/>
      <c r="U1049" s="101"/>
      <c r="V1049" s="101"/>
      <c r="W1049" s="69" t="e" cm="1">
        <f t="array" ref="W1049">_xlfn.XLOOKUP(Table1[[#This Row],[5 cm2 cell test code]:[5 cm2 cell test code]],[1]!Table1[[Test code]:[Test code]],[1]!Table1[i @ 1.8 V DIW (A/cm2)],"",0)</f>
        <v>#REF!</v>
      </c>
      <c r="X1049" s="69" t="e" cm="1">
        <f t="array" ref="X1049">_xlfn.XLOOKUP(Table1[[#This Row],[5 cm2 cell test code]:[5 cm2 cell test code]],[1]!Table1[[Test code]:[Test code]],[1]!Table1[i @ 1.8 V 10 mM KOH (A/cm2)],"",0)</f>
        <v>#REF!</v>
      </c>
      <c r="Y1049" s="69" t="e" cm="1">
        <f t="array" ref="Y1049">_xlfn.XLOOKUP(Table1[[#This Row],[5 cm2 cell test code]:[5 cm2 cell test code]],[1]!Table1[[Test code]:[Test code]],[1]!Table1[3-E ƞ at 20mAcm-2 (mV)],"",0)</f>
        <v>#REF!</v>
      </c>
      <c r="Z1049" s="69" t="e" cm="1">
        <f t="array" ref="Z1049">_xlfn.XLOOKUP(Table1[[#This Row],[5 cm2 cell test code]:[5 cm2 cell test code]],[1]!Table1[[Test code]:[Test code]],[1]!Table1[3-E Tafel slope (mV/dec)],"",0)</f>
        <v>#REF!</v>
      </c>
      <c r="AA1049" s="69" t="e" cm="1">
        <f t="array" ref="AA1049">_xlfn.XLOOKUP(Table1[[#This Row],[5 cm2 cell test code]:[5 cm2 cell test code]],[1]!Table1[[Test code]:[Test code]],[1]!Table1[E @ 100 mA/cm2 DIW/V],"",0)</f>
        <v>#REF!</v>
      </c>
      <c r="AB1049" s="69" t="e" cm="1">
        <f t="array" ref="AB1049">_xlfn.XLOOKUP(Table1[[#This Row],[5 cm2 cell test code]:[5 cm2 cell test code]],[1]!Table1[[Test code]:[Test code]],[1]!Table1[E @ 100 mA/cm2 10 mM KOH/V],"",0)</f>
        <v>#REF!</v>
      </c>
      <c r="AC1049" s="69" t="e" cm="1">
        <f t="array" ref="AC1049">_xlfn.XLOOKUP(Table1[[#This Row],[5 cm2 cell test code]:[5 cm2 cell test code]],[1]!Table1[[Test code]:[Test code]],[1]!Table1[Anode ICR/mOhm],"",0)</f>
        <v>#REF!</v>
      </c>
      <c r="AD1049" s="69" t="e" cm="1">
        <f t="array" ref="AD1049">_xlfn.XLOOKUP(Table1[[#This Row],[5 cm2 cell test code]:[5 cm2 cell test code]],[1]!Table1[[Test code]:[Test code]],[1]!Table1[HFR DIW/ mOhm cm2],"",0)</f>
        <v>#REF!</v>
      </c>
      <c r="AE1049" s="69" t="e" cm="1">
        <f t="array" ref="AE1049">_xlfn.XLOOKUP(Table1[[#This Row],[5 cm2 cell test code]:[5 cm2 cell test code]],[1]!Table1[[Test code]:[Test code]],[1]!Table1[HFR 10 mM KOH/ mOhm cm2],"",0)</f>
        <v>#REF!</v>
      </c>
      <c r="AF1049" s="69" t="e" cm="1">
        <f t="array" ref="AF1049">_xlfn.XLOOKUP(Table1[[#This Row],[5 cm2 cell test code]:[5 cm2 cell test code]],[1]!Table1[[Test code]:[Test code]],[1]!Table1[Ionic resistance DIW/Ohm cm2],"",0)</f>
        <v>#REF!</v>
      </c>
      <c r="AG1049" s="69" t="e" cm="1">
        <f t="array" ref="AG1049">_xlfn.XLOOKUP(Table1[[#This Row],[5 cm2 cell test code]:[5 cm2 cell test code]],[1]!Table1[[Test code]:[Test code]],[1]!Table1[Q_int_frac DIW],"",0)</f>
        <v>#REF!</v>
      </c>
      <c r="AH1049" s="69" t="e" cm="1">
        <f t="array" ref="AH1049">_xlfn.XLOOKUP(Table1[[#This Row],[5 cm2 cell test code]:[5 cm2 cell test code]],[1]!Table1[[Test code]:[Test code]],[1]!Table1[Ionic resistance 10 mM KOH/Ohm cm2],"",0)</f>
        <v>#REF!</v>
      </c>
      <c r="AI1049" s="69" t="e" cm="1">
        <f t="array" ref="AI1049">_xlfn.XLOOKUP(Table1[[#This Row],[5 cm2 cell test code]:[5 cm2 cell test code]],[1]!Table1[[Test code]:[Test code]],[1]!Table1[Q_int_frac DIW 10 mM KOH],"",0)</f>
        <v>#REF!</v>
      </c>
      <c r="AJ1049" s="69" t="e" cm="1">
        <f t="array" ref="AJ1049">_xlfn.XLOOKUP(Table1[[#This Row],[5 cm2 cell test code]:[5 cm2 cell test code]],[1]!Table1[[Test code]:[Test code]],[1]!Table1[DIW conductivity (µS/cm)],"",0)</f>
        <v>#REF!</v>
      </c>
    </row>
    <row r="1050" spans="1:36">
      <c r="A1050" s="81"/>
      <c r="U1050" s="101"/>
      <c r="V1050" s="101"/>
      <c r="W1050" s="69" t="e" cm="1">
        <f t="array" ref="W1050">_xlfn.XLOOKUP(Table1[[#This Row],[5 cm2 cell test code]:[5 cm2 cell test code]],[1]!Table1[[Test code]:[Test code]],[1]!Table1[i @ 1.8 V DIW (A/cm2)],"",0)</f>
        <v>#REF!</v>
      </c>
      <c r="X1050" s="69" t="e" cm="1">
        <f t="array" ref="X1050">_xlfn.XLOOKUP(Table1[[#This Row],[5 cm2 cell test code]:[5 cm2 cell test code]],[1]!Table1[[Test code]:[Test code]],[1]!Table1[i @ 1.8 V 10 mM KOH (A/cm2)],"",0)</f>
        <v>#REF!</v>
      </c>
      <c r="Y1050" s="69" t="e" cm="1">
        <f t="array" ref="Y1050">_xlfn.XLOOKUP(Table1[[#This Row],[5 cm2 cell test code]:[5 cm2 cell test code]],[1]!Table1[[Test code]:[Test code]],[1]!Table1[3-E ƞ at 20mAcm-2 (mV)],"",0)</f>
        <v>#REF!</v>
      </c>
      <c r="Z1050" s="69" t="e" cm="1">
        <f t="array" ref="Z1050">_xlfn.XLOOKUP(Table1[[#This Row],[5 cm2 cell test code]:[5 cm2 cell test code]],[1]!Table1[[Test code]:[Test code]],[1]!Table1[3-E Tafel slope (mV/dec)],"",0)</f>
        <v>#REF!</v>
      </c>
      <c r="AA1050" s="69" t="e" cm="1">
        <f t="array" ref="AA1050">_xlfn.XLOOKUP(Table1[[#This Row],[5 cm2 cell test code]:[5 cm2 cell test code]],[1]!Table1[[Test code]:[Test code]],[1]!Table1[E @ 100 mA/cm2 DIW/V],"",0)</f>
        <v>#REF!</v>
      </c>
      <c r="AB1050" s="69" t="e" cm="1">
        <f t="array" ref="AB1050">_xlfn.XLOOKUP(Table1[[#This Row],[5 cm2 cell test code]:[5 cm2 cell test code]],[1]!Table1[[Test code]:[Test code]],[1]!Table1[E @ 100 mA/cm2 10 mM KOH/V],"",0)</f>
        <v>#REF!</v>
      </c>
      <c r="AC1050" s="69" t="e" cm="1">
        <f t="array" ref="AC1050">_xlfn.XLOOKUP(Table1[[#This Row],[5 cm2 cell test code]:[5 cm2 cell test code]],[1]!Table1[[Test code]:[Test code]],[1]!Table1[Anode ICR/mOhm],"",0)</f>
        <v>#REF!</v>
      </c>
      <c r="AD1050" s="69" t="e" cm="1">
        <f t="array" ref="AD1050">_xlfn.XLOOKUP(Table1[[#This Row],[5 cm2 cell test code]:[5 cm2 cell test code]],[1]!Table1[[Test code]:[Test code]],[1]!Table1[HFR DIW/ mOhm cm2],"",0)</f>
        <v>#REF!</v>
      </c>
      <c r="AE1050" s="69" t="e" cm="1">
        <f t="array" ref="AE1050">_xlfn.XLOOKUP(Table1[[#This Row],[5 cm2 cell test code]:[5 cm2 cell test code]],[1]!Table1[[Test code]:[Test code]],[1]!Table1[HFR 10 mM KOH/ mOhm cm2],"",0)</f>
        <v>#REF!</v>
      </c>
      <c r="AF1050" s="69" t="e" cm="1">
        <f t="array" ref="AF1050">_xlfn.XLOOKUP(Table1[[#This Row],[5 cm2 cell test code]:[5 cm2 cell test code]],[1]!Table1[[Test code]:[Test code]],[1]!Table1[Ionic resistance DIW/Ohm cm2],"",0)</f>
        <v>#REF!</v>
      </c>
      <c r="AG1050" s="69" t="e" cm="1">
        <f t="array" ref="AG1050">_xlfn.XLOOKUP(Table1[[#This Row],[5 cm2 cell test code]:[5 cm2 cell test code]],[1]!Table1[[Test code]:[Test code]],[1]!Table1[Q_int_frac DIW],"",0)</f>
        <v>#REF!</v>
      </c>
      <c r="AH1050" s="69" t="e" cm="1">
        <f t="array" ref="AH1050">_xlfn.XLOOKUP(Table1[[#This Row],[5 cm2 cell test code]:[5 cm2 cell test code]],[1]!Table1[[Test code]:[Test code]],[1]!Table1[Ionic resistance 10 mM KOH/Ohm cm2],"",0)</f>
        <v>#REF!</v>
      </c>
      <c r="AI1050" s="69" t="e" cm="1">
        <f t="array" ref="AI1050">_xlfn.XLOOKUP(Table1[[#This Row],[5 cm2 cell test code]:[5 cm2 cell test code]],[1]!Table1[[Test code]:[Test code]],[1]!Table1[Q_int_frac DIW 10 mM KOH],"",0)</f>
        <v>#REF!</v>
      </c>
      <c r="AJ1050" s="69" t="e" cm="1">
        <f t="array" ref="AJ1050">_xlfn.XLOOKUP(Table1[[#This Row],[5 cm2 cell test code]:[5 cm2 cell test code]],[1]!Table1[[Test code]:[Test code]],[1]!Table1[DIW conductivity (µS/cm)],"",0)</f>
        <v>#REF!</v>
      </c>
    </row>
    <row r="1051" spans="1:36">
      <c r="A1051" s="81"/>
      <c r="U1051" s="101"/>
      <c r="V1051" s="101"/>
      <c r="W1051" s="69" t="e" cm="1">
        <f t="array" ref="W1051">_xlfn.XLOOKUP(Table1[[#This Row],[5 cm2 cell test code]:[5 cm2 cell test code]],[1]!Table1[[Test code]:[Test code]],[1]!Table1[i @ 1.8 V DIW (A/cm2)],"",0)</f>
        <v>#REF!</v>
      </c>
      <c r="X1051" s="69" t="e" cm="1">
        <f t="array" ref="X1051">_xlfn.XLOOKUP(Table1[[#This Row],[5 cm2 cell test code]:[5 cm2 cell test code]],[1]!Table1[[Test code]:[Test code]],[1]!Table1[i @ 1.8 V 10 mM KOH (A/cm2)],"",0)</f>
        <v>#REF!</v>
      </c>
      <c r="Y1051" s="69" t="e" cm="1">
        <f t="array" ref="Y1051">_xlfn.XLOOKUP(Table1[[#This Row],[5 cm2 cell test code]:[5 cm2 cell test code]],[1]!Table1[[Test code]:[Test code]],[1]!Table1[3-E ƞ at 20mAcm-2 (mV)],"",0)</f>
        <v>#REF!</v>
      </c>
      <c r="Z1051" s="69" t="e" cm="1">
        <f t="array" ref="Z1051">_xlfn.XLOOKUP(Table1[[#This Row],[5 cm2 cell test code]:[5 cm2 cell test code]],[1]!Table1[[Test code]:[Test code]],[1]!Table1[3-E Tafel slope (mV/dec)],"",0)</f>
        <v>#REF!</v>
      </c>
      <c r="AA1051" s="69" t="e" cm="1">
        <f t="array" ref="AA1051">_xlfn.XLOOKUP(Table1[[#This Row],[5 cm2 cell test code]:[5 cm2 cell test code]],[1]!Table1[[Test code]:[Test code]],[1]!Table1[E @ 100 mA/cm2 DIW/V],"",0)</f>
        <v>#REF!</v>
      </c>
      <c r="AB1051" s="69" t="e" cm="1">
        <f t="array" ref="AB1051">_xlfn.XLOOKUP(Table1[[#This Row],[5 cm2 cell test code]:[5 cm2 cell test code]],[1]!Table1[[Test code]:[Test code]],[1]!Table1[E @ 100 mA/cm2 10 mM KOH/V],"",0)</f>
        <v>#REF!</v>
      </c>
      <c r="AC1051" s="69" t="e" cm="1">
        <f t="array" ref="AC1051">_xlfn.XLOOKUP(Table1[[#This Row],[5 cm2 cell test code]:[5 cm2 cell test code]],[1]!Table1[[Test code]:[Test code]],[1]!Table1[Anode ICR/mOhm],"",0)</f>
        <v>#REF!</v>
      </c>
      <c r="AD1051" s="69" t="e" cm="1">
        <f t="array" ref="AD1051">_xlfn.XLOOKUP(Table1[[#This Row],[5 cm2 cell test code]:[5 cm2 cell test code]],[1]!Table1[[Test code]:[Test code]],[1]!Table1[HFR DIW/ mOhm cm2],"",0)</f>
        <v>#REF!</v>
      </c>
      <c r="AE1051" s="69" t="e" cm="1">
        <f t="array" ref="AE1051">_xlfn.XLOOKUP(Table1[[#This Row],[5 cm2 cell test code]:[5 cm2 cell test code]],[1]!Table1[[Test code]:[Test code]],[1]!Table1[HFR 10 mM KOH/ mOhm cm2],"",0)</f>
        <v>#REF!</v>
      </c>
      <c r="AF1051" s="69" t="e" cm="1">
        <f t="array" ref="AF1051">_xlfn.XLOOKUP(Table1[[#This Row],[5 cm2 cell test code]:[5 cm2 cell test code]],[1]!Table1[[Test code]:[Test code]],[1]!Table1[Ionic resistance DIW/Ohm cm2],"",0)</f>
        <v>#REF!</v>
      </c>
      <c r="AG1051" s="69" t="e" cm="1">
        <f t="array" ref="AG1051">_xlfn.XLOOKUP(Table1[[#This Row],[5 cm2 cell test code]:[5 cm2 cell test code]],[1]!Table1[[Test code]:[Test code]],[1]!Table1[Q_int_frac DIW],"",0)</f>
        <v>#REF!</v>
      </c>
      <c r="AH1051" s="69" t="e" cm="1">
        <f t="array" ref="AH1051">_xlfn.XLOOKUP(Table1[[#This Row],[5 cm2 cell test code]:[5 cm2 cell test code]],[1]!Table1[[Test code]:[Test code]],[1]!Table1[Ionic resistance 10 mM KOH/Ohm cm2],"",0)</f>
        <v>#REF!</v>
      </c>
      <c r="AI1051" s="69" t="e" cm="1">
        <f t="array" ref="AI1051">_xlfn.XLOOKUP(Table1[[#This Row],[5 cm2 cell test code]:[5 cm2 cell test code]],[1]!Table1[[Test code]:[Test code]],[1]!Table1[Q_int_frac DIW 10 mM KOH],"",0)</f>
        <v>#REF!</v>
      </c>
      <c r="AJ1051" s="69" t="e" cm="1">
        <f t="array" ref="AJ1051">_xlfn.XLOOKUP(Table1[[#This Row],[5 cm2 cell test code]:[5 cm2 cell test code]],[1]!Table1[[Test code]:[Test code]],[1]!Table1[DIW conductivity (µS/cm)],"",0)</f>
        <v>#REF!</v>
      </c>
    </row>
    <row r="1052" spans="1:36">
      <c r="A1052" s="81"/>
      <c r="U1052" s="101"/>
      <c r="V1052" s="101"/>
      <c r="W1052" s="69" t="e" cm="1">
        <f t="array" ref="W1052">_xlfn.XLOOKUP(Table1[[#This Row],[5 cm2 cell test code]:[5 cm2 cell test code]],[1]!Table1[[Test code]:[Test code]],[1]!Table1[i @ 1.8 V DIW (A/cm2)],"",0)</f>
        <v>#REF!</v>
      </c>
      <c r="X1052" s="69" t="e" cm="1">
        <f t="array" ref="X1052">_xlfn.XLOOKUP(Table1[[#This Row],[5 cm2 cell test code]:[5 cm2 cell test code]],[1]!Table1[[Test code]:[Test code]],[1]!Table1[i @ 1.8 V 10 mM KOH (A/cm2)],"",0)</f>
        <v>#REF!</v>
      </c>
      <c r="Y1052" s="69" t="e" cm="1">
        <f t="array" ref="Y1052">_xlfn.XLOOKUP(Table1[[#This Row],[5 cm2 cell test code]:[5 cm2 cell test code]],[1]!Table1[[Test code]:[Test code]],[1]!Table1[3-E ƞ at 20mAcm-2 (mV)],"",0)</f>
        <v>#REF!</v>
      </c>
      <c r="Z1052" s="69" t="e" cm="1">
        <f t="array" ref="Z1052">_xlfn.XLOOKUP(Table1[[#This Row],[5 cm2 cell test code]:[5 cm2 cell test code]],[1]!Table1[[Test code]:[Test code]],[1]!Table1[3-E Tafel slope (mV/dec)],"",0)</f>
        <v>#REF!</v>
      </c>
      <c r="AA1052" s="69" t="e" cm="1">
        <f t="array" ref="AA1052">_xlfn.XLOOKUP(Table1[[#This Row],[5 cm2 cell test code]:[5 cm2 cell test code]],[1]!Table1[[Test code]:[Test code]],[1]!Table1[E @ 100 mA/cm2 DIW/V],"",0)</f>
        <v>#REF!</v>
      </c>
      <c r="AB1052" s="69" t="e" cm="1">
        <f t="array" ref="AB1052">_xlfn.XLOOKUP(Table1[[#This Row],[5 cm2 cell test code]:[5 cm2 cell test code]],[1]!Table1[[Test code]:[Test code]],[1]!Table1[E @ 100 mA/cm2 10 mM KOH/V],"",0)</f>
        <v>#REF!</v>
      </c>
      <c r="AC1052" s="69" t="e" cm="1">
        <f t="array" ref="AC1052">_xlfn.XLOOKUP(Table1[[#This Row],[5 cm2 cell test code]:[5 cm2 cell test code]],[1]!Table1[[Test code]:[Test code]],[1]!Table1[Anode ICR/mOhm],"",0)</f>
        <v>#REF!</v>
      </c>
      <c r="AD1052" s="69" t="e" cm="1">
        <f t="array" ref="AD1052">_xlfn.XLOOKUP(Table1[[#This Row],[5 cm2 cell test code]:[5 cm2 cell test code]],[1]!Table1[[Test code]:[Test code]],[1]!Table1[HFR DIW/ mOhm cm2],"",0)</f>
        <v>#REF!</v>
      </c>
      <c r="AE1052" s="69" t="e" cm="1">
        <f t="array" ref="AE1052">_xlfn.XLOOKUP(Table1[[#This Row],[5 cm2 cell test code]:[5 cm2 cell test code]],[1]!Table1[[Test code]:[Test code]],[1]!Table1[HFR 10 mM KOH/ mOhm cm2],"",0)</f>
        <v>#REF!</v>
      </c>
      <c r="AF1052" s="69" t="e" cm="1">
        <f t="array" ref="AF1052">_xlfn.XLOOKUP(Table1[[#This Row],[5 cm2 cell test code]:[5 cm2 cell test code]],[1]!Table1[[Test code]:[Test code]],[1]!Table1[Ionic resistance DIW/Ohm cm2],"",0)</f>
        <v>#REF!</v>
      </c>
      <c r="AG1052" s="69" t="e" cm="1">
        <f t="array" ref="AG1052">_xlfn.XLOOKUP(Table1[[#This Row],[5 cm2 cell test code]:[5 cm2 cell test code]],[1]!Table1[[Test code]:[Test code]],[1]!Table1[Q_int_frac DIW],"",0)</f>
        <v>#REF!</v>
      </c>
      <c r="AH1052" s="69" t="e" cm="1">
        <f t="array" ref="AH1052">_xlfn.XLOOKUP(Table1[[#This Row],[5 cm2 cell test code]:[5 cm2 cell test code]],[1]!Table1[[Test code]:[Test code]],[1]!Table1[Ionic resistance 10 mM KOH/Ohm cm2],"",0)</f>
        <v>#REF!</v>
      </c>
      <c r="AI1052" s="69" t="e" cm="1">
        <f t="array" ref="AI1052">_xlfn.XLOOKUP(Table1[[#This Row],[5 cm2 cell test code]:[5 cm2 cell test code]],[1]!Table1[[Test code]:[Test code]],[1]!Table1[Q_int_frac DIW 10 mM KOH],"",0)</f>
        <v>#REF!</v>
      </c>
      <c r="AJ1052" s="69" t="e" cm="1">
        <f t="array" ref="AJ1052">_xlfn.XLOOKUP(Table1[[#This Row],[5 cm2 cell test code]:[5 cm2 cell test code]],[1]!Table1[[Test code]:[Test code]],[1]!Table1[DIW conductivity (µS/cm)],"",0)</f>
        <v>#REF!</v>
      </c>
    </row>
    <row r="1053" spans="1:36">
      <c r="A1053" s="81"/>
      <c r="U1053" s="101"/>
      <c r="V1053" s="101"/>
      <c r="W1053" s="69" t="e" cm="1">
        <f t="array" ref="W1053">_xlfn.XLOOKUP(Table1[[#This Row],[5 cm2 cell test code]:[5 cm2 cell test code]],[1]!Table1[[Test code]:[Test code]],[1]!Table1[i @ 1.8 V DIW (A/cm2)],"",0)</f>
        <v>#REF!</v>
      </c>
      <c r="X1053" s="69" t="e" cm="1">
        <f t="array" ref="X1053">_xlfn.XLOOKUP(Table1[[#This Row],[5 cm2 cell test code]:[5 cm2 cell test code]],[1]!Table1[[Test code]:[Test code]],[1]!Table1[i @ 1.8 V 10 mM KOH (A/cm2)],"",0)</f>
        <v>#REF!</v>
      </c>
      <c r="Y1053" s="69" t="e" cm="1">
        <f t="array" ref="Y1053">_xlfn.XLOOKUP(Table1[[#This Row],[5 cm2 cell test code]:[5 cm2 cell test code]],[1]!Table1[[Test code]:[Test code]],[1]!Table1[3-E ƞ at 20mAcm-2 (mV)],"",0)</f>
        <v>#REF!</v>
      </c>
      <c r="Z1053" s="69" t="e" cm="1">
        <f t="array" ref="Z1053">_xlfn.XLOOKUP(Table1[[#This Row],[5 cm2 cell test code]:[5 cm2 cell test code]],[1]!Table1[[Test code]:[Test code]],[1]!Table1[3-E Tafel slope (mV/dec)],"",0)</f>
        <v>#REF!</v>
      </c>
      <c r="AA1053" s="69" t="e" cm="1">
        <f t="array" ref="AA1053">_xlfn.XLOOKUP(Table1[[#This Row],[5 cm2 cell test code]:[5 cm2 cell test code]],[1]!Table1[[Test code]:[Test code]],[1]!Table1[E @ 100 mA/cm2 DIW/V],"",0)</f>
        <v>#REF!</v>
      </c>
      <c r="AB1053" s="69" t="e" cm="1">
        <f t="array" ref="AB1053">_xlfn.XLOOKUP(Table1[[#This Row],[5 cm2 cell test code]:[5 cm2 cell test code]],[1]!Table1[[Test code]:[Test code]],[1]!Table1[E @ 100 mA/cm2 10 mM KOH/V],"",0)</f>
        <v>#REF!</v>
      </c>
      <c r="AC1053" s="69" t="e" cm="1">
        <f t="array" ref="AC1053">_xlfn.XLOOKUP(Table1[[#This Row],[5 cm2 cell test code]:[5 cm2 cell test code]],[1]!Table1[[Test code]:[Test code]],[1]!Table1[Anode ICR/mOhm],"",0)</f>
        <v>#REF!</v>
      </c>
      <c r="AD1053" s="69" t="e" cm="1">
        <f t="array" ref="AD1053">_xlfn.XLOOKUP(Table1[[#This Row],[5 cm2 cell test code]:[5 cm2 cell test code]],[1]!Table1[[Test code]:[Test code]],[1]!Table1[HFR DIW/ mOhm cm2],"",0)</f>
        <v>#REF!</v>
      </c>
      <c r="AE1053" s="69" t="e" cm="1">
        <f t="array" ref="AE1053">_xlfn.XLOOKUP(Table1[[#This Row],[5 cm2 cell test code]:[5 cm2 cell test code]],[1]!Table1[[Test code]:[Test code]],[1]!Table1[HFR 10 mM KOH/ mOhm cm2],"",0)</f>
        <v>#REF!</v>
      </c>
      <c r="AF1053" s="69" t="e" cm="1">
        <f t="array" ref="AF1053">_xlfn.XLOOKUP(Table1[[#This Row],[5 cm2 cell test code]:[5 cm2 cell test code]],[1]!Table1[[Test code]:[Test code]],[1]!Table1[Ionic resistance DIW/Ohm cm2],"",0)</f>
        <v>#REF!</v>
      </c>
      <c r="AG1053" s="69" t="e" cm="1">
        <f t="array" ref="AG1053">_xlfn.XLOOKUP(Table1[[#This Row],[5 cm2 cell test code]:[5 cm2 cell test code]],[1]!Table1[[Test code]:[Test code]],[1]!Table1[Q_int_frac DIW],"",0)</f>
        <v>#REF!</v>
      </c>
      <c r="AH1053" s="69" t="e" cm="1">
        <f t="array" ref="AH1053">_xlfn.XLOOKUP(Table1[[#This Row],[5 cm2 cell test code]:[5 cm2 cell test code]],[1]!Table1[[Test code]:[Test code]],[1]!Table1[Ionic resistance 10 mM KOH/Ohm cm2],"",0)</f>
        <v>#REF!</v>
      </c>
      <c r="AI1053" s="69" t="e" cm="1">
        <f t="array" ref="AI1053">_xlfn.XLOOKUP(Table1[[#This Row],[5 cm2 cell test code]:[5 cm2 cell test code]],[1]!Table1[[Test code]:[Test code]],[1]!Table1[Q_int_frac DIW 10 mM KOH],"",0)</f>
        <v>#REF!</v>
      </c>
      <c r="AJ1053" s="69" t="e" cm="1">
        <f t="array" ref="AJ1053">_xlfn.XLOOKUP(Table1[[#This Row],[5 cm2 cell test code]:[5 cm2 cell test code]],[1]!Table1[[Test code]:[Test code]],[1]!Table1[DIW conductivity (µS/cm)],"",0)</f>
        <v>#REF!</v>
      </c>
    </row>
    <row r="1054" spans="1:36">
      <c r="A1054" s="81"/>
      <c r="U1054" s="101"/>
      <c r="V1054" s="101"/>
      <c r="W1054" s="69" t="e" cm="1">
        <f t="array" ref="W1054">_xlfn.XLOOKUP(Table1[[#This Row],[5 cm2 cell test code]:[5 cm2 cell test code]],[1]!Table1[[Test code]:[Test code]],[1]!Table1[i @ 1.8 V DIW (A/cm2)],"",0)</f>
        <v>#REF!</v>
      </c>
      <c r="X1054" s="69" t="e" cm="1">
        <f t="array" ref="X1054">_xlfn.XLOOKUP(Table1[[#This Row],[5 cm2 cell test code]:[5 cm2 cell test code]],[1]!Table1[[Test code]:[Test code]],[1]!Table1[i @ 1.8 V 10 mM KOH (A/cm2)],"",0)</f>
        <v>#REF!</v>
      </c>
      <c r="Y1054" s="69" t="e" cm="1">
        <f t="array" ref="Y1054">_xlfn.XLOOKUP(Table1[[#This Row],[5 cm2 cell test code]:[5 cm2 cell test code]],[1]!Table1[[Test code]:[Test code]],[1]!Table1[3-E ƞ at 20mAcm-2 (mV)],"",0)</f>
        <v>#REF!</v>
      </c>
      <c r="Z1054" s="69" t="e" cm="1">
        <f t="array" ref="Z1054">_xlfn.XLOOKUP(Table1[[#This Row],[5 cm2 cell test code]:[5 cm2 cell test code]],[1]!Table1[[Test code]:[Test code]],[1]!Table1[3-E Tafel slope (mV/dec)],"",0)</f>
        <v>#REF!</v>
      </c>
      <c r="AA1054" s="69" t="e" cm="1">
        <f t="array" ref="AA1054">_xlfn.XLOOKUP(Table1[[#This Row],[5 cm2 cell test code]:[5 cm2 cell test code]],[1]!Table1[[Test code]:[Test code]],[1]!Table1[E @ 100 mA/cm2 DIW/V],"",0)</f>
        <v>#REF!</v>
      </c>
      <c r="AB1054" s="69" t="e" cm="1">
        <f t="array" ref="AB1054">_xlfn.XLOOKUP(Table1[[#This Row],[5 cm2 cell test code]:[5 cm2 cell test code]],[1]!Table1[[Test code]:[Test code]],[1]!Table1[E @ 100 mA/cm2 10 mM KOH/V],"",0)</f>
        <v>#REF!</v>
      </c>
      <c r="AC1054" s="69" t="e" cm="1">
        <f t="array" ref="AC1054">_xlfn.XLOOKUP(Table1[[#This Row],[5 cm2 cell test code]:[5 cm2 cell test code]],[1]!Table1[[Test code]:[Test code]],[1]!Table1[Anode ICR/mOhm],"",0)</f>
        <v>#REF!</v>
      </c>
      <c r="AD1054" s="69" t="e" cm="1">
        <f t="array" ref="AD1054">_xlfn.XLOOKUP(Table1[[#This Row],[5 cm2 cell test code]:[5 cm2 cell test code]],[1]!Table1[[Test code]:[Test code]],[1]!Table1[HFR DIW/ mOhm cm2],"",0)</f>
        <v>#REF!</v>
      </c>
      <c r="AE1054" s="69" t="e" cm="1">
        <f t="array" ref="AE1054">_xlfn.XLOOKUP(Table1[[#This Row],[5 cm2 cell test code]:[5 cm2 cell test code]],[1]!Table1[[Test code]:[Test code]],[1]!Table1[HFR 10 mM KOH/ mOhm cm2],"",0)</f>
        <v>#REF!</v>
      </c>
      <c r="AF1054" s="69" t="e" cm="1">
        <f t="array" ref="AF1054">_xlfn.XLOOKUP(Table1[[#This Row],[5 cm2 cell test code]:[5 cm2 cell test code]],[1]!Table1[[Test code]:[Test code]],[1]!Table1[Ionic resistance DIW/Ohm cm2],"",0)</f>
        <v>#REF!</v>
      </c>
      <c r="AG1054" s="69" t="e" cm="1">
        <f t="array" ref="AG1054">_xlfn.XLOOKUP(Table1[[#This Row],[5 cm2 cell test code]:[5 cm2 cell test code]],[1]!Table1[[Test code]:[Test code]],[1]!Table1[Q_int_frac DIW],"",0)</f>
        <v>#REF!</v>
      </c>
      <c r="AH1054" s="69" t="e" cm="1">
        <f t="array" ref="AH1054">_xlfn.XLOOKUP(Table1[[#This Row],[5 cm2 cell test code]:[5 cm2 cell test code]],[1]!Table1[[Test code]:[Test code]],[1]!Table1[Ionic resistance 10 mM KOH/Ohm cm2],"",0)</f>
        <v>#REF!</v>
      </c>
      <c r="AI1054" s="69" t="e" cm="1">
        <f t="array" ref="AI1054">_xlfn.XLOOKUP(Table1[[#This Row],[5 cm2 cell test code]:[5 cm2 cell test code]],[1]!Table1[[Test code]:[Test code]],[1]!Table1[Q_int_frac DIW 10 mM KOH],"",0)</f>
        <v>#REF!</v>
      </c>
      <c r="AJ1054" s="69" t="e" cm="1">
        <f t="array" ref="AJ1054">_xlfn.XLOOKUP(Table1[[#This Row],[5 cm2 cell test code]:[5 cm2 cell test code]],[1]!Table1[[Test code]:[Test code]],[1]!Table1[DIW conductivity (µS/cm)],"",0)</f>
        <v>#REF!</v>
      </c>
    </row>
    <row r="1055" spans="1:36">
      <c r="A1055" s="81"/>
      <c r="U1055" s="101"/>
      <c r="V1055" s="101"/>
      <c r="W1055" s="69" t="e" cm="1">
        <f t="array" ref="W1055">_xlfn.XLOOKUP(Table1[[#This Row],[5 cm2 cell test code]:[5 cm2 cell test code]],[1]!Table1[[Test code]:[Test code]],[1]!Table1[i @ 1.8 V DIW (A/cm2)],"",0)</f>
        <v>#REF!</v>
      </c>
      <c r="X1055" s="69" t="e" cm="1">
        <f t="array" ref="X1055">_xlfn.XLOOKUP(Table1[[#This Row],[5 cm2 cell test code]:[5 cm2 cell test code]],[1]!Table1[[Test code]:[Test code]],[1]!Table1[i @ 1.8 V 10 mM KOH (A/cm2)],"",0)</f>
        <v>#REF!</v>
      </c>
      <c r="Y1055" s="69" t="e" cm="1">
        <f t="array" ref="Y1055">_xlfn.XLOOKUP(Table1[[#This Row],[5 cm2 cell test code]:[5 cm2 cell test code]],[1]!Table1[[Test code]:[Test code]],[1]!Table1[3-E ƞ at 20mAcm-2 (mV)],"",0)</f>
        <v>#REF!</v>
      </c>
      <c r="Z1055" s="69" t="e" cm="1">
        <f t="array" ref="Z1055">_xlfn.XLOOKUP(Table1[[#This Row],[5 cm2 cell test code]:[5 cm2 cell test code]],[1]!Table1[[Test code]:[Test code]],[1]!Table1[3-E Tafel slope (mV/dec)],"",0)</f>
        <v>#REF!</v>
      </c>
      <c r="AA1055" s="69" t="e" cm="1">
        <f t="array" ref="AA1055">_xlfn.XLOOKUP(Table1[[#This Row],[5 cm2 cell test code]:[5 cm2 cell test code]],[1]!Table1[[Test code]:[Test code]],[1]!Table1[E @ 100 mA/cm2 DIW/V],"",0)</f>
        <v>#REF!</v>
      </c>
      <c r="AB1055" s="69" t="e" cm="1">
        <f t="array" ref="AB1055">_xlfn.XLOOKUP(Table1[[#This Row],[5 cm2 cell test code]:[5 cm2 cell test code]],[1]!Table1[[Test code]:[Test code]],[1]!Table1[E @ 100 mA/cm2 10 mM KOH/V],"",0)</f>
        <v>#REF!</v>
      </c>
      <c r="AC1055" s="69" t="e" cm="1">
        <f t="array" ref="AC1055">_xlfn.XLOOKUP(Table1[[#This Row],[5 cm2 cell test code]:[5 cm2 cell test code]],[1]!Table1[[Test code]:[Test code]],[1]!Table1[Anode ICR/mOhm],"",0)</f>
        <v>#REF!</v>
      </c>
      <c r="AD1055" s="69" t="e" cm="1">
        <f t="array" ref="AD1055">_xlfn.XLOOKUP(Table1[[#This Row],[5 cm2 cell test code]:[5 cm2 cell test code]],[1]!Table1[[Test code]:[Test code]],[1]!Table1[HFR DIW/ mOhm cm2],"",0)</f>
        <v>#REF!</v>
      </c>
      <c r="AE1055" s="69" t="e" cm="1">
        <f t="array" ref="AE1055">_xlfn.XLOOKUP(Table1[[#This Row],[5 cm2 cell test code]:[5 cm2 cell test code]],[1]!Table1[[Test code]:[Test code]],[1]!Table1[HFR 10 mM KOH/ mOhm cm2],"",0)</f>
        <v>#REF!</v>
      </c>
      <c r="AF1055" s="69" t="e" cm="1">
        <f t="array" ref="AF1055">_xlfn.XLOOKUP(Table1[[#This Row],[5 cm2 cell test code]:[5 cm2 cell test code]],[1]!Table1[[Test code]:[Test code]],[1]!Table1[Ionic resistance DIW/Ohm cm2],"",0)</f>
        <v>#REF!</v>
      </c>
      <c r="AG1055" s="69" t="e" cm="1">
        <f t="array" ref="AG1055">_xlfn.XLOOKUP(Table1[[#This Row],[5 cm2 cell test code]:[5 cm2 cell test code]],[1]!Table1[[Test code]:[Test code]],[1]!Table1[Q_int_frac DIW],"",0)</f>
        <v>#REF!</v>
      </c>
      <c r="AH1055" s="69" t="e" cm="1">
        <f t="array" ref="AH1055">_xlfn.XLOOKUP(Table1[[#This Row],[5 cm2 cell test code]:[5 cm2 cell test code]],[1]!Table1[[Test code]:[Test code]],[1]!Table1[Ionic resistance 10 mM KOH/Ohm cm2],"",0)</f>
        <v>#REF!</v>
      </c>
      <c r="AI1055" s="69" t="e" cm="1">
        <f t="array" ref="AI1055">_xlfn.XLOOKUP(Table1[[#This Row],[5 cm2 cell test code]:[5 cm2 cell test code]],[1]!Table1[[Test code]:[Test code]],[1]!Table1[Q_int_frac DIW 10 mM KOH],"",0)</f>
        <v>#REF!</v>
      </c>
      <c r="AJ1055" s="69" t="e" cm="1">
        <f t="array" ref="AJ1055">_xlfn.XLOOKUP(Table1[[#This Row],[5 cm2 cell test code]:[5 cm2 cell test code]],[1]!Table1[[Test code]:[Test code]],[1]!Table1[DIW conductivity (µS/cm)],"",0)</f>
        <v>#REF!</v>
      </c>
    </row>
    <row r="1056" spans="1:36">
      <c r="A1056" s="81"/>
      <c r="U1056" s="101"/>
      <c r="V1056" s="101"/>
      <c r="W1056" s="69" t="e" cm="1">
        <f t="array" ref="W1056">_xlfn.XLOOKUP(Table1[[#This Row],[5 cm2 cell test code]:[5 cm2 cell test code]],[1]!Table1[[Test code]:[Test code]],[1]!Table1[i @ 1.8 V DIW (A/cm2)],"",0)</f>
        <v>#REF!</v>
      </c>
      <c r="X1056" s="69" t="e" cm="1">
        <f t="array" ref="X1056">_xlfn.XLOOKUP(Table1[[#This Row],[5 cm2 cell test code]:[5 cm2 cell test code]],[1]!Table1[[Test code]:[Test code]],[1]!Table1[i @ 1.8 V 10 mM KOH (A/cm2)],"",0)</f>
        <v>#REF!</v>
      </c>
      <c r="Y1056" s="69" t="e" cm="1">
        <f t="array" ref="Y1056">_xlfn.XLOOKUP(Table1[[#This Row],[5 cm2 cell test code]:[5 cm2 cell test code]],[1]!Table1[[Test code]:[Test code]],[1]!Table1[3-E ƞ at 20mAcm-2 (mV)],"",0)</f>
        <v>#REF!</v>
      </c>
      <c r="Z1056" s="69" t="e" cm="1">
        <f t="array" ref="Z1056">_xlfn.XLOOKUP(Table1[[#This Row],[5 cm2 cell test code]:[5 cm2 cell test code]],[1]!Table1[[Test code]:[Test code]],[1]!Table1[3-E Tafel slope (mV/dec)],"",0)</f>
        <v>#REF!</v>
      </c>
      <c r="AA1056" s="69" t="e" cm="1">
        <f t="array" ref="AA1056">_xlfn.XLOOKUP(Table1[[#This Row],[5 cm2 cell test code]:[5 cm2 cell test code]],[1]!Table1[[Test code]:[Test code]],[1]!Table1[E @ 100 mA/cm2 DIW/V],"",0)</f>
        <v>#REF!</v>
      </c>
      <c r="AB1056" s="69" t="e" cm="1">
        <f t="array" ref="AB1056">_xlfn.XLOOKUP(Table1[[#This Row],[5 cm2 cell test code]:[5 cm2 cell test code]],[1]!Table1[[Test code]:[Test code]],[1]!Table1[E @ 100 mA/cm2 10 mM KOH/V],"",0)</f>
        <v>#REF!</v>
      </c>
      <c r="AC1056" s="69" t="e" cm="1">
        <f t="array" ref="AC1056">_xlfn.XLOOKUP(Table1[[#This Row],[5 cm2 cell test code]:[5 cm2 cell test code]],[1]!Table1[[Test code]:[Test code]],[1]!Table1[Anode ICR/mOhm],"",0)</f>
        <v>#REF!</v>
      </c>
      <c r="AD1056" s="69" t="e" cm="1">
        <f t="array" ref="AD1056">_xlfn.XLOOKUP(Table1[[#This Row],[5 cm2 cell test code]:[5 cm2 cell test code]],[1]!Table1[[Test code]:[Test code]],[1]!Table1[HFR DIW/ mOhm cm2],"",0)</f>
        <v>#REF!</v>
      </c>
      <c r="AE1056" s="69" t="e" cm="1">
        <f t="array" ref="AE1056">_xlfn.XLOOKUP(Table1[[#This Row],[5 cm2 cell test code]:[5 cm2 cell test code]],[1]!Table1[[Test code]:[Test code]],[1]!Table1[HFR 10 mM KOH/ mOhm cm2],"",0)</f>
        <v>#REF!</v>
      </c>
      <c r="AF1056" s="69" t="e" cm="1">
        <f t="array" ref="AF1056">_xlfn.XLOOKUP(Table1[[#This Row],[5 cm2 cell test code]:[5 cm2 cell test code]],[1]!Table1[[Test code]:[Test code]],[1]!Table1[Ionic resistance DIW/Ohm cm2],"",0)</f>
        <v>#REF!</v>
      </c>
      <c r="AG1056" s="69" t="e" cm="1">
        <f t="array" ref="AG1056">_xlfn.XLOOKUP(Table1[[#This Row],[5 cm2 cell test code]:[5 cm2 cell test code]],[1]!Table1[[Test code]:[Test code]],[1]!Table1[Q_int_frac DIW],"",0)</f>
        <v>#REF!</v>
      </c>
      <c r="AH1056" s="69" t="e" cm="1">
        <f t="array" ref="AH1056">_xlfn.XLOOKUP(Table1[[#This Row],[5 cm2 cell test code]:[5 cm2 cell test code]],[1]!Table1[[Test code]:[Test code]],[1]!Table1[Ionic resistance 10 mM KOH/Ohm cm2],"",0)</f>
        <v>#REF!</v>
      </c>
      <c r="AI1056" s="69" t="e" cm="1">
        <f t="array" ref="AI1056">_xlfn.XLOOKUP(Table1[[#This Row],[5 cm2 cell test code]:[5 cm2 cell test code]],[1]!Table1[[Test code]:[Test code]],[1]!Table1[Q_int_frac DIW 10 mM KOH],"",0)</f>
        <v>#REF!</v>
      </c>
      <c r="AJ1056" s="69" t="e" cm="1">
        <f t="array" ref="AJ1056">_xlfn.XLOOKUP(Table1[[#This Row],[5 cm2 cell test code]:[5 cm2 cell test code]],[1]!Table1[[Test code]:[Test code]],[1]!Table1[DIW conductivity (µS/cm)],"",0)</f>
        <v>#REF!</v>
      </c>
    </row>
    <row r="1057" spans="1:36">
      <c r="A1057" s="81"/>
      <c r="U1057" s="101"/>
      <c r="V1057" s="101"/>
      <c r="W1057" s="69" t="e" cm="1">
        <f t="array" ref="W1057">_xlfn.XLOOKUP(Table1[[#This Row],[5 cm2 cell test code]:[5 cm2 cell test code]],[1]!Table1[[Test code]:[Test code]],[1]!Table1[i @ 1.8 V DIW (A/cm2)],"",0)</f>
        <v>#REF!</v>
      </c>
      <c r="X1057" s="69" t="e" cm="1">
        <f t="array" ref="X1057">_xlfn.XLOOKUP(Table1[[#This Row],[5 cm2 cell test code]:[5 cm2 cell test code]],[1]!Table1[[Test code]:[Test code]],[1]!Table1[i @ 1.8 V 10 mM KOH (A/cm2)],"",0)</f>
        <v>#REF!</v>
      </c>
      <c r="Y1057" s="69" t="e" cm="1">
        <f t="array" ref="Y1057">_xlfn.XLOOKUP(Table1[[#This Row],[5 cm2 cell test code]:[5 cm2 cell test code]],[1]!Table1[[Test code]:[Test code]],[1]!Table1[3-E ƞ at 20mAcm-2 (mV)],"",0)</f>
        <v>#REF!</v>
      </c>
      <c r="Z1057" s="69" t="e" cm="1">
        <f t="array" ref="Z1057">_xlfn.XLOOKUP(Table1[[#This Row],[5 cm2 cell test code]:[5 cm2 cell test code]],[1]!Table1[[Test code]:[Test code]],[1]!Table1[3-E Tafel slope (mV/dec)],"",0)</f>
        <v>#REF!</v>
      </c>
      <c r="AA1057" s="69" t="e" cm="1">
        <f t="array" ref="AA1057">_xlfn.XLOOKUP(Table1[[#This Row],[5 cm2 cell test code]:[5 cm2 cell test code]],[1]!Table1[[Test code]:[Test code]],[1]!Table1[E @ 100 mA/cm2 DIW/V],"",0)</f>
        <v>#REF!</v>
      </c>
      <c r="AB1057" s="69" t="e" cm="1">
        <f t="array" ref="AB1057">_xlfn.XLOOKUP(Table1[[#This Row],[5 cm2 cell test code]:[5 cm2 cell test code]],[1]!Table1[[Test code]:[Test code]],[1]!Table1[E @ 100 mA/cm2 10 mM KOH/V],"",0)</f>
        <v>#REF!</v>
      </c>
      <c r="AC1057" s="69" t="e" cm="1">
        <f t="array" ref="AC1057">_xlfn.XLOOKUP(Table1[[#This Row],[5 cm2 cell test code]:[5 cm2 cell test code]],[1]!Table1[[Test code]:[Test code]],[1]!Table1[Anode ICR/mOhm],"",0)</f>
        <v>#REF!</v>
      </c>
      <c r="AD1057" s="69" t="e" cm="1">
        <f t="array" ref="AD1057">_xlfn.XLOOKUP(Table1[[#This Row],[5 cm2 cell test code]:[5 cm2 cell test code]],[1]!Table1[[Test code]:[Test code]],[1]!Table1[HFR DIW/ mOhm cm2],"",0)</f>
        <v>#REF!</v>
      </c>
      <c r="AE1057" s="69" t="e" cm="1">
        <f t="array" ref="AE1057">_xlfn.XLOOKUP(Table1[[#This Row],[5 cm2 cell test code]:[5 cm2 cell test code]],[1]!Table1[[Test code]:[Test code]],[1]!Table1[HFR 10 mM KOH/ mOhm cm2],"",0)</f>
        <v>#REF!</v>
      </c>
      <c r="AF1057" s="69" t="e" cm="1">
        <f t="array" ref="AF1057">_xlfn.XLOOKUP(Table1[[#This Row],[5 cm2 cell test code]:[5 cm2 cell test code]],[1]!Table1[[Test code]:[Test code]],[1]!Table1[Ionic resistance DIW/Ohm cm2],"",0)</f>
        <v>#REF!</v>
      </c>
      <c r="AG1057" s="69" t="e" cm="1">
        <f t="array" ref="AG1057">_xlfn.XLOOKUP(Table1[[#This Row],[5 cm2 cell test code]:[5 cm2 cell test code]],[1]!Table1[[Test code]:[Test code]],[1]!Table1[Q_int_frac DIW],"",0)</f>
        <v>#REF!</v>
      </c>
      <c r="AH1057" s="69" t="e" cm="1">
        <f t="array" ref="AH1057">_xlfn.XLOOKUP(Table1[[#This Row],[5 cm2 cell test code]:[5 cm2 cell test code]],[1]!Table1[[Test code]:[Test code]],[1]!Table1[Ionic resistance 10 mM KOH/Ohm cm2],"",0)</f>
        <v>#REF!</v>
      </c>
      <c r="AI1057" s="69" t="e" cm="1">
        <f t="array" ref="AI1057">_xlfn.XLOOKUP(Table1[[#This Row],[5 cm2 cell test code]:[5 cm2 cell test code]],[1]!Table1[[Test code]:[Test code]],[1]!Table1[Q_int_frac DIW 10 mM KOH],"",0)</f>
        <v>#REF!</v>
      </c>
      <c r="AJ1057" s="69" t="e" cm="1">
        <f t="array" ref="AJ1057">_xlfn.XLOOKUP(Table1[[#This Row],[5 cm2 cell test code]:[5 cm2 cell test code]],[1]!Table1[[Test code]:[Test code]],[1]!Table1[DIW conductivity (µS/cm)],"",0)</f>
        <v>#REF!</v>
      </c>
    </row>
    <row r="1058" spans="1:36">
      <c r="A1058" s="81"/>
      <c r="U1058" s="101"/>
      <c r="V1058" s="101"/>
      <c r="W1058" s="69" t="e" cm="1">
        <f t="array" ref="W1058">_xlfn.XLOOKUP(Table1[[#This Row],[5 cm2 cell test code]:[5 cm2 cell test code]],[1]!Table1[[Test code]:[Test code]],[1]!Table1[i @ 1.8 V DIW (A/cm2)],"",0)</f>
        <v>#REF!</v>
      </c>
      <c r="X1058" s="69" t="e" cm="1">
        <f t="array" ref="X1058">_xlfn.XLOOKUP(Table1[[#This Row],[5 cm2 cell test code]:[5 cm2 cell test code]],[1]!Table1[[Test code]:[Test code]],[1]!Table1[i @ 1.8 V 10 mM KOH (A/cm2)],"",0)</f>
        <v>#REF!</v>
      </c>
      <c r="Y1058" s="69" t="e" cm="1">
        <f t="array" ref="Y1058">_xlfn.XLOOKUP(Table1[[#This Row],[5 cm2 cell test code]:[5 cm2 cell test code]],[1]!Table1[[Test code]:[Test code]],[1]!Table1[3-E ƞ at 20mAcm-2 (mV)],"",0)</f>
        <v>#REF!</v>
      </c>
      <c r="Z1058" s="69" t="e" cm="1">
        <f t="array" ref="Z1058">_xlfn.XLOOKUP(Table1[[#This Row],[5 cm2 cell test code]:[5 cm2 cell test code]],[1]!Table1[[Test code]:[Test code]],[1]!Table1[3-E Tafel slope (mV/dec)],"",0)</f>
        <v>#REF!</v>
      </c>
      <c r="AA1058" s="69" t="e" cm="1">
        <f t="array" ref="AA1058">_xlfn.XLOOKUP(Table1[[#This Row],[5 cm2 cell test code]:[5 cm2 cell test code]],[1]!Table1[[Test code]:[Test code]],[1]!Table1[E @ 100 mA/cm2 DIW/V],"",0)</f>
        <v>#REF!</v>
      </c>
      <c r="AB1058" s="69" t="e" cm="1">
        <f t="array" ref="AB1058">_xlfn.XLOOKUP(Table1[[#This Row],[5 cm2 cell test code]:[5 cm2 cell test code]],[1]!Table1[[Test code]:[Test code]],[1]!Table1[E @ 100 mA/cm2 10 mM KOH/V],"",0)</f>
        <v>#REF!</v>
      </c>
      <c r="AC1058" s="69" t="e" cm="1">
        <f t="array" ref="AC1058">_xlfn.XLOOKUP(Table1[[#This Row],[5 cm2 cell test code]:[5 cm2 cell test code]],[1]!Table1[[Test code]:[Test code]],[1]!Table1[Anode ICR/mOhm],"",0)</f>
        <v>#REF!</v>
      </c>
      <c r="AD1058" s="69" t="e" cm="1">
        <f t="array" ref="AD1058">_xlfn.XLOOKUP(Table1[[#This Row],[5 cm2 cell test code]:[5 cm2 cell test code]],[1]!Table1[[Test code]:[Test code]],[1]!Table1[HFR DIW/ mOhm cm2],"",0)</f>
        <v>#REF!</v>
      </c>
      <c r="AE1058" s="69" t="e" cm="1">
        <f t="array" ref="AE1058">_xlfn.XLOOKUP(Table1[[#This Row],[5 cm2 cell test code]:[5 cm2 cell test code]],[1]!Table1[[Test code]:[Test code]],[1]!Table1[HFR 10 mM KOH/ mOhm cm2],"",0)</f>
        <v>#REF!</v>
      </c>
      <c r="AF1058" s="69" t="e" cm="1">
        <f t="array" ref="AF1058">_xlfn.XLOOKUP(Table1[[#This Row],[5 cm2 cell test code]:[5 cm2 cell test code]],[1]!Table1[[Test code]:[Test code]],[1]!Table1[Ionic resistance DIW/Ohm cm2],"",0)</f>
        <v>#REF!</v>
      </c>
      <c r="AG1058" s="69" t="e" cm="1">
        <f t="array" ref="AG1058">_xlfn.XLOOKUP(Table1[[#This Row],[5 cm2 cell test code]:[5 cm2 cell test code]],[1]!Table1[[Test code]:[Test code]],[1]!Table1[Q_int_frac DIW],"",0)</f>
        <v>#REF!</v>
      </c>
      <c r="AH1058" s="69" t="e" cm="1">
        <f t="array" ref="AH1058">_xlfn.XLOOKUP(Table1[[#This Row],[5 cm2 cell test code]:[5 cm2 cell test code]],[1]!Table1[[Test code]:[Test code]],[1]!Table1[Ionic resistance 10 mM KOH/Ohm cm2],"",0)</f>
        <v>#REF!</v>
      </c>
      <c r="AI1058" s="69" t="e" cm="1">
        <f t="array" ref="AI1058">_xlfn.XLOOKUP(Table1[[#This Row],[5 cm2 cell test code]:[5 cm2 cell test code]],[1]!Table1[[Test code]:[Test code]],[1]!Table1[Q_int_frac DIW 10 mM KOH],"",0)</f>
        <v>#REF!</v>
      </c>
      <c r="AJ1058" s="69" t="e" cm="1">
        <f t="array" ref="AJ1058">_xlfn.XLOOKUP(Table1[[#This Row],[5 cm2 cell test code]:[5 cm2 cell test code]],[1]!Table1[[Test code]:[Test code]],[1]!Table1[DIW conductivity (µS/cm)],"",0)</f>
        <v>#REF!</v>
      </c>
    </row>
    <row r="1059" spans="1:36">
      <c r="A1059" s="81"/>
      <c r="U1059" s="101"/>
      <c r="V1059" s="101"/>
      <c r="W1059" s="69" t="e" cm="1">
        <f t="array" ref="W1059">_xlfn.XLOOKUP(Table1[[#This Row],[5 cm2 cell test code]:[5 cm2 cell test code]],[1]!Table1[[Test code]:[Test code]],[1]!Table1[i @ 1.8 V DIW (A/cm2)],"",0)</f>
        <v>#REF!</v>
      </c>
      <c r="X1059" s="69" t="e" cm="1">
        <f t="array" ref="X1059">_xlfn.XLOOKUP(Table1[[#This Row],[5 cm2 cell test code]:[5 cm2 cell test code]],[1]!Table1[[Test code]:[Test code]],[1]!Table1[i @ 1.8 V 10 mM KOH (A/cm2)],"",0)</f>
        <v>#REF!</v>
      </c>
      <c r="Y1059" s="69" t="e" cm="1">
        <f t="array" ref="Y1059">_xlfn.XLOOKUP(Table1[[#This Row],[5 cm2 cell test code]:[5 cm2 cell test code]],[1]!Table1[[Test code]:[Test code]],[1]!Table1[3-E ƞ at 20mAcm-2 (mV)],"",0)</f>
        <v>#REF!</v>
      </c>
      <c r="Z1059" s="69" t="e" cm="1">
        <f t="array" ref="Z1059">_xlfn.XLOOKUP(Table1[[#This Row],[5 cm2 cell test code]:[5 cm2 cell test code]],[1]!Table1[[Test code]:[Test code]],[1]!Table1[3-E Tafel slope (mV/dec)],"",0)</f>
        <v>#REF!</v>
      </c>
      <c r="AA1059" s="69" t="e" cm="1">
        <f t="array" ref="AA1059">_xlfn.XLOOKUP(Table1[[#This Row],[5 cm2 cell test code]:[5 cm2 cell test code]],[1]!Table1[[Test code]:[Test code]],[1]!Table1[E @ 100 mA/cm2 DIW/V],"",0)</f>
        <v>#REF!</v>
      </c>
      <c r="AB1059" s="69" t="e" cm="1">
        <f t="array" ref="AB1059">_xlfn.XLOOKUP(Table1[[#This Row],[5 cm2 cell test code]:[5 cm2 cell test code]],[1]!Table1[[Test code]:[Test code]],[1]!Table1[E @ 100 mA/cm2 10 mM KOH/V],"",0)</f>
        <v>#REF!</v>
      </c>
      <c r="AC1059" s="69" t="e" cm="1">
        <f t="array" ref="AC1059">_xlfn.XLOOKUP(Table1[[#This Row],[5 cm2 cell test code]:[5 cm2 cell test code]],[1]!Table1[[Test code]:[Test code]],[1]!Table1[Anode ICR/mOhm],"",0)</f>
        <v>#REF!</v>
      </c>
      <c r="AD1059" s="69" t="e" cm="1">
        <f t="array" ref="AD1059">_xlfn.XLOOKUP(Table1[[#This Row],[5 cm2 cell test code]:[5 cm2 cell test code]],[1]!Table1[[Test code]:[Test code]],[1]!Table1[HFR DIW/ mOhm cm2],"",0)</f>
        <v>#REF!</v>
      </c>
      <c r="AE1059" s="69" t="e" cm="1">
        <f t="array" ref="AE1059">_xlfn.XLOOKUP(Table1[[#This Row],[5 cm2 cell test code]:[5 cm2 cell test code]],[1]!Table1[[Test code]:[Test code]],[1]!Table1[HFR 10 mM KOH/ mOhm cm2],"",0)</f>
        <v>#REF!</v>
      </c>
      <c r="AF1059" s="69" t="e" cm="1">
        <f t="array" ref="AF1059">_xlfn.XLOOKUP(Table1[[#This Row],[5 cm2 cell test code]:[5 cm2 cell test code]],[1]!Table1[[Test code]:[Test code]],[1]!Table1[Ionic resistance DIW/Ohm cm2],"",0)</f>
        <v>#REF!</v>
      </c>
      <c r="AG1059" s="69" t="e" cm="1">
        <f t="array" ref="AG1059">_xlfn.XLOOKUP(Table1[[#This Row],[5 cm2 cell test code]:[5 cm2 cell test code]],[1]!Table1[[Test code]:[Test code]],[1]!Table1[Q_int_frac DIW],"",0)</f>
        <v>#REF!</v>
      </c>
      <c r="AH1059" s="69" t="e" cm="1">
        <f t="array" ref="AH1059">_xlfn.XLOOKUP(Table1[[#This Row],[5 cm2 cell test code]:[5 cm2 cell test code]],[1]!Table1[[Test code]:[Test code]],[1]!Table1[Ionic resistance 10 mM KOH/Ohm cm2],"",0)</f>
        <v>#REF!</v>
      </c>
      <c r="AI1059" s="69" t="e" cm="1">
        <f t="array" ref="AI1059">_xlfn.XLOOKUP(Table1[[#This Row],[5 cm2 cell test code]:[5 cm2 cell test code]],[1]!Table1[[Test code]:[Test code]],[1]!Table1[Q_int_frac DIW 10 mM KOH],"",0)</f>
        <v>#REF!</v>
      </c>
      <c r="AJ1059" s="69" t="e" cm="1">
        <f t="array" ref="AJ1059">_xlfn.XLOOKUP(Table1[[#This Row],[5 cm2 cell test code]:[5 cm2 cell test code]],[1]!Table1[[Test code]:[Test code]],[1]!Table1[DIW conductivity (µS/cm)],"",0)</f>
        <v>#REF!</v>
      </c>
    </row>
    <row r="1060" spans="1:36">
      <c r="A1060" s="81"/>
      <c r="U1060" s="101"/>
      <c r="V1060" s="101"/>
      <c r="W1060" s="69" t="e" cm="1">
        <f t="array" ref="W1060">_xlfn.XLOOKUP(Table1[[#This Row],[5 cm2 cell test code]:[5 cm2 cell test code]],[1]!Table1[[Test code]:[Test code]],[1]!Table1[i @ 1.8 V DIW (A/cm2)],"",0)</f>
        <v>#REF!</v>
      </c>
      <c r="X1060" s="69" t="e" cm="1">
        <f t="array" ref="X1060">_xlfn.XLOOKUP(Table1[[#This Row],[5 cm2 cell test code]:[5 cm2 cell test code]],[1]!Table1[[Test code]:[Test code]],[1]!Table1[i @ 1.8 V 10 mM KOH (A/cm2)],"",0)</f>
        <v>#REF!</v>
      </c>
      <c r="Y1060" s="69" t="e" cm="1">
        <f t="array" ref="Y1060">_xlfn.XLOOKUP(Table1[[#This Row],[5 cm2 cell test code]:[5 cm2 cell test code]],[1]!Table1[[Test code]:[Test code]],[1]!Table1[3-E ƞ at 20mAcm-2 (mV)],"",0)</f>
        <v>#REF!</v>
      </c>
      <c r="Z1060" s="69" t="e" cm="1">
        <f t="array" ref="Z1060">_xlfn.XLOOKUP(Table1[[#This Row],[5 cm2 cell test code]:[5 cm2 cell test code]],[1]!Table1[[Test code]:[Test code]],[1]!Table1[3-E Tafel slope (mV/dec)],"",0)</f>
        <v>#REF!</v>
      </c>
      <c r="AA1060" s="69" t="e" cm="1">
        <f t="array" ref="AA1060">_xlfn.XLOOKUP(Table1[[#This Row],[5 cm2 cell test code]:[5 cm2 cell test code]],[1]!Table1[[Test code]:[Test code]],[1]!Table1[E @ 100 mA/cm2 DIW/V],"",0)</f>
        <v>#REF!</v>
      </c>
      <c r="AB1060" s="69" t="e" cm="1">
        <f t="array" ref="AB1060">_xlfn.XLOOKUP(Table1[[#This Row],[5 cm2 cell test code]:[5 cm2 cell test code]],[1]!Table1[[Test code]:[Test code]],[1]!Table1[E @ 100 mA/cm2 10 mM KOH/V],"",0)</f>
        <v>#REF!</v>
      </c>
      <c r="AC1060" s="69" t="e" cm="1">
        <f t="array" ref="AC1060">_xlfn.XLOOKUP(Table1[[#This Row],[5 cm2 cell test code]:[5 cm2 cell test code]],[1]!Table1[[Test code]:[Test code]],[1]!Table1[Anode ICR/mOhm],"",0)</f>
        <v>#REF!</v>
      </c>
      <c r="AD1060" s="69" t="e" cm="1">
        <f t="array" ref="AD1060">_xlfn.XLOOKUP(Table1[[#This Row],[5 cm2 cell test code]:[5 cm2 cell test code]],[1]!Table1[[Test code]:[Test code]],[1]!Table1[HFR DIW/ mOhm cm2],"",0)</f>
        <v>#REF!</v>
      </c>
      <c r="AE1060" s="69" t="e" cm="1">
        <f t="array" ref="AE1060">_xlfn.XLOOKUP(Table1[[#This Row],[5 cm2 cell test code]:[5 cm2 cell test code]],[1]!Table1[[Test code]:[Test code]],[1]!Table1[HFR 10 mM KOH/ mOhm cm2],"",0)</f>
        <v>#REF!</v>
      </c>
      <c r="AF1060" s="69" t="e" cm="1">
        <f t="array" ref="AF1060">_xlfn.XLOOKUP(Table1[[#This Row],[5 cm2 cell test code]:[5 cm2 cell test code]],[1]!Table1[[Test code]:[Test code]],[1]!Table1[Ionic resistance DIW/Ohm cm2],"",0)</f>
        <v>#REF!</v>
      </c>
      <c r="AG1060" s="69" t="e" cm="1">
        <f t="array" ref="AG1060">_xlfn.XLOOKUP(Table1[[#This Row],[5 cm2 cell test code]:[5 cm2 cell test code]],[1]!Table1[[Test code]:[Test code]],[1]!Table1[Q_int_frac DIW],"",0)</f>
        <v>#REF!</v>
      </c>
      <c r="AH1060" s="69" t="e" cm="1">
        <f t="array" ref="AH1060">_xlfn.XLOOKUP(Table1[[#This Row],[5 cm2 cell test code]:[5 cm2 cell test code]],[1]!Table1[[Test code]:[Test code]],[1]!Table1[Ionic resistance 10 mM KOH/Ohm cm2],"",0)</f>
        <v>#REF!</v>
      </c>
      <c r="AI1060" s="69" t="e" cm="1">
        <f t="array" ref="AI1060">_xlfn.XLOOKUP(Table1[[#This Row],[5 cm2 cell test code]:[5 cm2 cell test code]],[1]!Table1[[Test code]:[Test code]],[1]!Table1[Q_int_frac DIW 10 mM KOH],"",0)</f>
        <v>#REF!</v>
      </c>
      <c r="AJ1060" s="69" t="e" cm="1">
        <f t="array" ref="AJ1060">_xlfn.XLOOKUP(Table1[[#This Row],[5 cm2 cell test code]:[5 cm2 cell test code]],[1]!Table1[[Test code]:[Test code]],[1]!Table1[DIW conductivity (µS/cm)],"",0)</f>
        <v>#REF!</v>
      </c>
    </row>
    <row r="1061" spans="1:36">
      <c r="A1061" s="81"/>
      <c r="U1061" s="101"/>
      <c r="V1061" s="101"/>
      <c r="W1061" s="69" t="e" cm="1">
        <f t="array" ref="W1061">_xlfn.XLOOKUP(Table1[[#This Row],[5 cm2 cell test code]:[5 cm2 cell test code]],[1]!Table1[[Test code]:[Test code]],[1]!Table1[i @ 1.8 V DIW (A/cm2)],"",0)</f>
        <v>#REF!</v>
      </c>
      <c r="X1061" s="69" t="e" cm="1">
        <f t="array" ref="X1061">_xlfn.XLOOKUP(Table1[[#This Row],[5 cm2 cell test code]:[5 cm2 cell test code]],[1]!Table1[[Test code]:[Test code]],[1]!Table1[i @ 1.8 V 10 mM KOH (A/cm2)],"",0)</f>
        <v>#REF!</v>
      </c>
      <c r="Y1061" s="69" t="e" cm="1">
        <f t="array" ref="Y1061">_xlfn.XLOOKUP(Table1[[#This Row],[5 cm2 cell test code]:[5 cm2 cell test code]],[1]!Table1[[Test code]:[Test code]],[1]!Table1[3-E ƞ at 20mAcm-2 (mV)],"",0)</f>
        <v>#REF!</v>
      </c>
      <c r="Z1061" s="69" t="e" cm="1">
        <f t="array" ref="Z1061">_xlfn.XLOOKUP(Table1[[#This Row],[5 cm2 cell test code]:[5 cm2 cell test code]],[1]!Table1[[Test code]:[Test code]],[1]!Table1[3-E Tafel slope (mV/dec)],"",0)</f>
        <v>#REF!</v>
      </c>
      <c r="AA1061" s="69" t="e" cm="1">
        <f t="array" ref="AA1061">_xlfn.XLOOKUP(Table1[[#This Row],[5 cm2 cell test code]:[5 cm2 cell test code]],[1]!Table1[[Test code]:[Test code]],[1]!Table1[E @ 100 mA/cm2 DIW/V],"",0)</f>
        <v>#REF!</v>
      </c>
      <c r="AB1061" s="69" t="e" cm="1">
        <f t="array" ref="AB1061">_xlfn.XLOOKUP(Table1[[#This Row],[5 cm2 cell test code]:[5 cm2 cell test code]],[1]!Table1[[Test code]:[Test code]],[1]!Table1[E @ 100 mA/cm2 10 mM KOH/V],"",0)</f>
        <v>#REF!</v>
      </c>
      <c r="AC1061" s="69" t="e" cm="1">
        <f t="array" ref="AC1061">_xlfn.XLOOKUP(Table1[[#This Row],[5 cm2 cell test code]:[5 cm2 cell test code]],[1]!Table1[[Test code]:[Test code]],[1]!Table1[Anode ICR/mOhm],"",0)</f>
        <v>#REF!</v>
      </c>
      <c r="AD1061" s="69" t="e" cm="1">
        <f t="array" ref="AD1061">_xlfn.XLOOKUP(Table1[[#This Row],[5 cm2 cell test code]:[5 cm2 cell test code]],[1]!Table1[[Test code]:[Test code]],[1]!Table1[HFR DIW/ mOhm cm2],"",0)</f>
        <v>#REF!</v>
      </c>
      <c r="AE1061" s="69" t="e" cm="1">
        <f t="array" ref="AE1061">_xlfn.XLOOKUP(Table1[[#This Row],[5 cm2 cell test code]:[5 cm2 cell test code]],[1]!Table1[[Test code]:[Test code]],[1]!Table1[HFR 10 mM KOH/ mOhm cm2],"",0)</f>
        <v>#REF!</v>
      </c>
      <c r="AF1061" s="69" t="e" cm="1">
        <f t="array" ref="AF1061">_xlfn.XLOOKUP(Table1[[#This Row],[5 cm2 cell test code]:[5 cm2 cell test code]],[1]!Table1[[Test code]:[Test code]],[1]!Table1[Ionic resistance DIW/Ohm cm2],"",0)</f>
        <v>#REF!</v>
      </c>
      <c r="AG1061" s="69" t="e" cm="1">
        <f t="array" ref="AG1061">_xlfn.XLOOKUP(Table1[[#This Row],[5 cm2 cell test code]:[5 cm2 cell test code]],[1]!Table1[[Test code]:[Test code]],[1]!Table1[Q_int_frac DIW],"",0)</f>
        <v>#REF!</v>
      </c>
      <c r="AH1061" s="69" t="e" cm="1">
        <f t="array" ref="AH1061">_xlfn.XLOOKUP(Table1[[#This Row],[5 cm2 cell test code]:[5 cm2 cell test code]],[1]!Table1[[Test code]:[Test code]],[1]!Table1[Ionic resistance 10 mM KOH/Ohm cm2],"",0)</f>
        <v>#REF!</v>
      </c>
      <c r="AI1061" s="69" t="e" cm="1">
        <f t="array" ref="AI1061">_xlfn.XLOOKUP(Table1[[#This Row],[5 cm2 cell test code]:[5 cm2 cell test code]],[1]!Table1[[Test code]:[Test code]],[1]!Table1[Q_int_frac DIW 10 mM KOH],"",0)</f>
        <v>#REF!</v>
      </c>
      <c r="AJ1061" s="69" t="e" cm="1">
        <f t="array" ref="AJ1061">_xlfn.XLOOKUP(Table1[[#This Row],[5 cm2 cell test code]:[5 cm2 cell test code]],[1]!Table1[[Test code]:[Test code]],[1]!Table1[DIW conductivity (µS/cm)],"",0)</f>
        <v>#REF!</v>
      </c>
    </row>
    <row r="1062" spans="1:36">
      <c r="A1062" s="81"/>
      <c r="U1062" s="101"/>
      <c r="V1062" s="101"/>
      <c r="W1062" s="69" t="e" cm="1">
        <f t="array" ref="W1062">_xlfn.XLOOKUP(Table1[[#This Row],[5 cm2 cell test code]:[5 cm2 cell test code]],[1]!Table1[[Test code]:[Test code]],[1]!Table1[i @ 1.8 V DIW (A/cm2)],"",0)</f>
        <v>#REF!</v>
      </c>
      <c r="X1062" s="69" t="e" cm="1">
        <f t="array" ref="X1062">_xlfn.XLOOKUP(Table1[[#This Row],[5 cm2 cell test code]:[5 cm2 cell test code]],[1]!Table1[[Test code]:[Test code]],[1]!Table1[i @ 1.8 V 10 mM KOH (A/cm2)],"",0)</f>
        <v>#REF!</v>
      </c>
      <c r="Y1062" s="69" t="e" cm="1">
        <f t="array" ref="Y1062">_xlfn.XLOOKUP(Table1[[#This Row],[5 cm2 cell test code]:[5 cm2 cell test code]],[1]!Table1[[Test code]:[Test code]],[1]!Table1[3-E ƞ at 20mAcm-2 (mV)],"",0)</f>
        <v>#REF!</v>
      </c>
      <c r="Z1062" s="69" t="e" cm="1">
        <f t="array" ref="Z1062">_xlfn.XLOOKUP(Table1[[#This Row],[5 cm2 cell test code]:[5 cm2 cell test code]],[1]!Table1[[Test code]:[Test code]],[1]!Table1[3-E Tafel slope (mV/dec)],"",0)</f>
        <v>#REF!</v>
      </c>
      <c r="AA1062" s="69" t="e" cm="1">
        <f t="array" ref="AA1062">_xlfn.XLOOKUP(Table1[[#This Row],[5 cm2 cell test code]:[5 cm2 cell test code]],[1]!Table1[[Test code]:[Test code]],[1]!Table1[E @ 100 mA/cm2 DIW/V],"",0)</f>
        <v>#REF!</v>
      </c>
      <c r="AB1062" s="69" t="e" cm="1">
        <f t="array" ref="AB1062">_xlfn.XLOOKUP(Table1[[#This Row],[5 cm2 cell test code]:[5 cm2 cell test code]],[1]!Table1[[Test code]:[Test code]],[1]!Table1[E @ 100 mA/cm2 10 mM KOH/V],"",0)</f>
        <v>#REF!</v>
      </c>
      <c r="AC1062" s="69" t="e" cm="1">
        <f t="array" ref="AC1062">_xlfn.XLOOKUP(Table1[[#This Row],[5 cm2 cell test code]:[5 cm2 cell test code]],[1]!Table1[[Test code]:[Test code]],[1]!Table1[Anode ICR/mOhm],"",0)</f>
        <v>#REF!</v>
      </c>
      <c r="AD1062" s="69" t="e" cm="1">
        <f t="array" ref="AD1062">_xlfn.XLOOKUP(Table1[[#This Row],[5 cm2 cell test code]:[5 cm2 cell test code]],[1]!Table1[[Test code]:[Test code]],[1]!Table1[HFR DIW/ mOhm cm2],"",0)</f>
        <v>#REF!</v>
      </c>
      <c r="AE1062" s="69" t="e" cm="1">
        <f t="array" ref="AE1062">_xlfn.XLOOKUP(Table1[[#This Row],[5 cm2 cell test code]:[5 cm2 cell test code]],[1]!Table1[[Test code]:[Test code]],[1]!Table1[HFR 10 mM KOH/ mOhm cm2],"",0)</f>
        <v>#REF!</v>
      </c>
      <c r="AF1062" s="69" t="e" cm="1">
        <f t="array" ref="AF1062">_xlfn.XLOOKUP(Table1[[#This Row],[5 cm2 cell test code]:[5 cm2 cell test code]],[1]!Table1[[Test code]:[Test code]],[1]!Table1[Ionic resistance DIW/Ohm cm2],"",0)</f>
        <v>#REF!</v>
      </c>
      <c r="AG1062" s="69" t="e" cm="1">
        <f t="array" ref="AG1062">_xlfn.XLOOKUP(Table1[[#This Row],[5 cm2 cell test code]:[5 cm2 cell test code]],[1]!Table1[[Test code]:[Test code]],[1]!Table1[Q_int_frac DIW],"",0)</f>
        <v>#REF!</v>
      </c>
      <c r="AH1062" s="69" t="e" cm="1">
        <f t="array" ref="AH1062">_xlfn.XLOOKUP(Table1[[#This Row],[5 cm2 cell test code]:[5 cm2 cell test code]],[1]!Table1[[Test code]:[Test code]],[1]!Table1[Ionic resistance 10 mM KOH/Ohm cm2],"",0)</f>
        <v>#REF!</v>
      </c>
      <c r="AI1062" s="69" t="e" cm="1">
        <f t="array" ref="AI1062">_xlfn.XLOOKUP(Table1[[#This Row],[5 cm2 cell test code]:[5 cm2 cell test code]],[1]!Table1[[Test code]:[Test code]],[1]!Table1[Q_int_frac DIW 10 mM KOH],"",0)</f>
        <v>#REF!</v>
      </c>
      <c r="AJ1062" s="69" t="e" cm="1">
        <f t="array" ref="AJ1062">_xlfn.XLOOKUP(Table1[[#This Row],[5 cm2 cell test code]:[5 cm2 cell test code]],[1]!Table1[[Test code]:[Test code]],[1]!Table1[DIW conductivity (µS/cm)],"",0)</f>
        <v>#REF!</v>
      </c>
    </row>
    <row r="1063" spans="1:36">
      <c r="A1063" s="81"/>
      <c r="U1063" s="101"/>
      <c r="V1063" s="101"/>
      <c r="W1063" s="69" t="e" cm="1">
        <f t="array" ref="W1063">_xlfn.XLOOKUP(Table1[[#This Row],[5 cm2 cell test code]:[5 cm2 cell test code]],[1]!Table1[[Test code]:[Test code]],[1]!Table1[i @ 1.8 V DIW (A/cm2)],"",0)</f>
        <v>#REF!</v>
      </c>
      <c r="X1063" s="69" t="e" cm="1">
        <f t="array" ref="X1063">_xlfn.XLOOKUP(Table1[[#This Row],[5 cm2 cell test code]:[5 cm2 cell test code]],[1]!Table1[[Test code]:[Test code]],[1]!Table1[i @ 1.8 V 10 mM KOH (A/cm2)],"",0)</f>
        <v>#REF!</v>
      </c>
      <c r="Y1063" s="69" t="e" cm="1">
        <f t="array" ref="Y1063">_xlfn.XLOOKUP(Table1[[#This Row],[5 cm2 cell test code]:[5 cm2 cell test code]],[1]!Table1[[Test code]:[Test code]],[1]!Table1[3-E ƞ at 20mAcm-2 (mV)],"",0)</f>
        <v>#REF!</v>
      </c>
      <c r="Z1063" s="69" t="e" cm="1">
        <f t="array" ref="Z1063">_xlfn.XLOOKUP(Table1[[#This Row],[5 cm2 cell test code]:[5 cm2 cell test code]],[1]!Table1[[Test code]:[Test code]],[1]!Table1[3-E Tafel slope (mV/dec)],"",0)</f>
        <v>#REF!</v>
      </c>
      <c r="AA1063" s="69" t="e" cm="1">
        <f t="array" ref="AA1063">_xlfn.XLOOKUP(Table1[[#This Row],[5 cm2 cell test code]:[5 cm2 cell test code]],[1]!Table1[[Test code]:[Test code]],[1]!Table1[E @ 100 mA/cm2 DIW/V],"",0)</f>
        <v>#REF!</v>
      </c>
      <c r="AB1063" s="69" t="e" cm="1">
        <f t="array" ref="AB1063">_xlfn.XLOOKUP(Table1[[#This Row],[5 cm2 cell test code]:[5 cm2 cell test code]],[1]!Table1[[Test code]:[Test code]],[1]!Table1[E @ 100 mA/cm2 10 mM KOH/V],"",0)</f>
        <v>#REF!</v>
      </c>
      <c r="AC1063" s="69" t="e" cm="1">
        <f t="array" ref="AC1063">_xlfn.XLOOKUP(Table1[[#This Row],[5 cm2 cell test code]:[5 cm2 cell test code]],[1]!Table1[[Test code]:[Test code]],[1]!Table1[Anode ICR/mOhm],"",0)</f>
        <v>#REF!</v>
      </c>
      <c r="AD1063" s="69" t="e" cm="1">
        <f t="array" ref="AD1063">_xlfn.XLOOKUP(Table1[[#This Row],[5 cm2 cell test code]:[5 cm2 cell test code]],[1]!Table1[[Test code]:[Test code]],[1]!Table1[HFR DIW/ mOhm cm2],"",0)</f>
        <v>#REF!</v>
      </c>
      <c r="AE1063" s="69" t="e" cm="1">
        <f t="array" ref="AE1063">_xlfn.XLOOKUP(Table1[[#This Row],[5 cm2 cell test code]:[5 cm2 cell test code]],[1]!Table1[[Test code]:[Test code]],[1]!Table1[HFR 10 mM KOH/ mOhm cm2],"",0)</f>
        <v>#REF!</v>
      </c>
      <c r="AF1063" s="69" t="e" cm="1">
        <f t="array" ref="AF1063">_xlfn.XLOOKUP(Table1[[#This Row],[5 cm2 cell test code]:[5 cm2 cell test code]],[1]!Table1[[Test code]:[Test code]],[1]!Table1[Ionic resistance DIW/Ohm cm2],"",0)</f>
        <v>#REF!</v>
      </c>
      <c r="AG1063" s="69" t="e" cm="1">
        <f t="array" ref="AG1063">_xlfn.XLOOKUP(Table1[[#This Row],[5 cm2 cell test code]:[5 cm2 cell test code]],[1]!Table1[[Test code]:[Test code]],[1]!Table1[Q_int_frac DIW],"",0)</f>
        <v>#REF!</v>
      </c>
      <c r="AH1063" s="69" t="e" cm="1">
        <f t="array" ref="AH1063">_xlfn.XLOOKUP(Table1[[#This Row],[5 cm2 cell test code]:[5 cm2 cell test code]],[1]!Table1[[Test code]:[Test code]],[1]!Table1[Ionic resistance 10 mM KOH/Ohm cm2],"",0)</f>
        <v>#REF!</v>
      </c>
      <c r="AI1063" s="69" t="e" cm="1">
        <f t="array" ref="AI1063">_xlfn.XLOOKUP(Table1[[#This Row],[5 cm2 cell test code]:[5 cm2 cell test code]],[1]!Table1[[Test code]:[Test code]],[1]!Table1[Q_int_frac DIW 10 mM KOH],"",0)</f>
        <v>#REF!</v>
      </c>
      <c r="AJ1063" s="69" t="e" cm="1">
        <f t="array" ref="AJ1063">_xlfn.XLOOKUP(Table1[[#This Row],[5 cm2 cell test code]:[5 cm2 cell test code]],[1]!Table1[[Test code]:[Test code]],[1]!Table1[DIW conductivity (µS/cm)],"",0)</f>
        <v>#REF!</v>
      </c>
    </row>
    <row r="1064" spans="1:36">
      <c r="A1064" s="81"/>
      <c r="U1064" s="101"/>
      <c r="V1064" s="101"/>
      <c r="W1064" s="69" t="e" cm="1">
        <f t="array" ref="W1064">_xlfn.XLOOKUP(Table1[[#This Row],[5 cm2 cell test code]:[5 cm2 cell test code]],[1]!Table1[[Test code]:[Test code]],[1]!Table1[i @ 1.8 V DIW (A/cm2)],"",0)</f>
        <v>#REF!</v>
      </c>
      <c r="X1064" s="69" t="e" cm="1">
        <f t="array" ref="X1064">_xlfn.XLOOKUP(Table1[[#This Row],[5 cm2 cell test code]:[5 cm2 cell test code]],[1]!Table1[[Test code]:[Test code]],[1]!Table1[i @ 1.8 V 10 mM KOH (A/cm2)],"",0)</f>
        <v>#REF!</v>
      </c>
      <c r="Y1064" s="69" t="e" cm="1">
        <f t="array" ref="Y1064">_xlfn.XLOOKUP(Table1[[#This Row],[5 cm2 cell test code]:[5 cm2 cell test code]],[1]!Table1[[Test code]:[Test code]],[1]!Table1[3-E ƞ at 20mAcm-2 (mV)],"",0)</f>
        <v>#REF!</v>
      </c>
      <c r="Z1064" s="69" t="e" cm="1">
        <f t="array" ref="Z1064">_xlfn.XLOOKUP(Table1[[#This Row],[5 cm2 cell test code]:[5 cm2 cell test code]],[1]!Table1[[Test code]:[Test code]],[1]!Table1[3-E Tafel slope (mV/dec)],"",0)</f>
        <v>#REF!</v>
      </c>
      <c r="AA1064" s="69" t="e" cm="1">
        <f t="array" ref="AA1064">_xlfn.XLOOKUP(Table1[[#This Row],[5 cm2 cell test code]:[5 cm2 cell test code]],[1]!Table1[[Test code]:[Test code]],[1]!Table1[E @ 100 mA/cm2 DIW/V],"",0)</f>
        <v>#REF!</v>
      </c>
      <c r="AB1064" s="69" t="e" cm="1">
        <f t="array" ref="AB1064">_xlfn.XLOOKUP(Table1[[#This Row],[5 cm2 cell test code]:[5 cm2 cell test code]],[1]!Table1[[Test code]:[Test code]],[1]!Table1[E @ 100 mA/cm2 10 mM KOH/V],"",0)</f>
        <v>#REF!</v>
      </c>
      <c r="AC1064" s="69" t="e" cm="1">
        <f t="array" ref="AC1064">_xlfn.XLOOKUP(Table1[[#This Row],[5 cm2 cell test code]:[5 cm2 cell test code]],[1]!Table1[[Test code]:[Test code]],[1]!Table1[Anode ICR/mOhm],"",0)</f>
        <v>#REF!</v>
      </c>
      <c r="AD1064" s="69" t="e" cm="1">
        <f t="array" ref="AD1064">_xlfn.XLOOKUP(Table1[[#This Row],[5 cm2 cell test code]:[5 cm2 cell test code]],[1]!Table1[[Test code]:[Test code]],[1]!Table1[HFR DIW/ mOhm cm2],"",0)</f>
        <v>#REF!</v>
      </c>
      <c r="AE1064" s="69" t="e" cm="1">
        <f t="array" ref="AE1064">_xlfn.XLOOKUP(Table1[[#This Row],[5 cm2 cell test code]:[5 cm2 cell test code]],[1]!Table1[[Test code]:[Test code]],[1]!Table1[HFR 10 mM KOH/ mOhm cm2],"",0)</f>
        <v>#REF!</v>
      </c>
      <c r="AF1064" s="69" t="e" cm="1">
        <f t="array" ref="AF1064">_xlfn.XLOOKUP(Table1[[#This Row],[5 cm2 cell test code]:[5 cm2 cell test code]],[1]!Table1[[Test code]:[Test code]],[1]!Table1[Ionic resistance DIW/Ohm cm2],"",0)</f>
        <v>#REF!</v>
      </c>
      <c r="AG1064" s="69" t="e" cm="1">
        <f t="array" ref="AG1064">_xlfn.XLOOKUP(Table1[[#This Row],[5 cm2 cell test code]:[5 cm2 cell test code]],[1]!Table1[[Test code]:[Test code]],[1]!Table1[Q_int_frac DIW],"",0)</f>
        <v>#REF!</v>
      </c>
      <c r="AH1064" s="69" t="e" cm="1">
        <f t="array" ref="AH1064">_xlfn.XLOOKUP(Table1[[#This Row],[5 cm2 cell test code]:[5 cm2 cell test code]],[1]!Table1[[Test code]:[Test code]],[1]!Table1[Ionic resistance 10 mM KOH/Ohm cm2],"",0)</f>
        <v>#REF!</v>
      </c>
      <c r="AI1064" s="69" t="e" cm="1">
        <f t="array" ref="AI1064">_xlfn.XLOOKUP(Table1[[#This Row],[5 cm2 cell test code]:[5 cm2 cell test code]],[1]!Table1[[Test code]:[Test code]],[1]!Table1[Q_int_frac DIW 10 mM KOH],"",0)</f>
        <v>#REF!</v>
      </c>
      <c r="AJ1064" s="69" t="e" cm="1">
        <f t="array" ref="AJ1064">_xlfn.XLOOKUP(Table1[[#This Row],[5 cm2 cell test code]:[5 cm2 cell test code]],[1]!Table1[[Test code]:[Test code]],[1]!Table1[DIW conductivity (µS/cm)],"",0)</f>
        <v>#REF!</v>
      </c>
    </row>
    <row r="1065" spans="1:36">
      <c r="A1065" s="81"/>
      <c r="U1065" s="101"/>
      <c r="V1065" s="101"/>
      <c r="W1065" s="69" t="e" cm="1">
        <f t="array" ref="W1065">_xlfn.XLOOKUP(Table1[[#This Row],[5 cm2 cell test code]:[5 cm2 cell test code]],[1]!Table1[[Test code]:[Test code]],[1]!Table1[i @ 1.8 V DIW (A/cm2)],"",0)</f>
        <v>#REF!</v>
      </c>
      <c r="X1065" s="69" t="e" cm="1">
        <f t="array" ref="X1065">_xlfn.XLOOKUP(Table1[[#This Row],[5 cm2 cell test code]:[5 cm2 cell test code]],[1]!Table1[[Test code]:[Test code]],[1]!Table1[i @ 1.8 V 10 mM KOH (A/cm2)],"",0)</f>
        <v>#REF!</v>
      </c>
      <c r="Y1065" s="69" t="e" cm="1">
        <f t="array" ref="Y1065">_xlfn.XLOOKUP(Table1[[#This Row],[5 cm2 cell test code]:[5 cm2 cell test code]],[1]!Table1[[Test code]:[Test code]],[1]!Table1[3-E ƞ at 20mAcm-2 (mV)],"",0)</f>
        <v>#REF!</v>
      </c>
      <c r="Z1065" s="69" t="e" cm="1">
        <f t="array" ref="Z1065">_xlfn.XLOOKUP(Table1[[#This Row],[5 cm2 cell test code]:[5 cm2 cell test code]],[1]!Table1[[Test code]:[Test code]],[1]!Table1[3-E Tafel slope (mV/dec)],"",0)</f>
        <v>#REF!</v>
      </c>
      <c r="AA1065" s="69" t="e" cm="1">
        <f t="array" ref="AA1065">_xlfn.XLOOKUP(Table1[[#This Row],[5 cm2 cell test code]:[5 cm2 cell test code]],[1]!Table1[[Test code]:[Test code]],[1]!Table1[E @ 100 mA/cm2 DIW/V],"",0)</f>
        <v>#REF!</v>
      </c>
      <c r="AB1065" s="69" t="e" cm="1">
        <f t="array" ref="AB1065">_xlfn.XLOOKUP(Table1[[#This Row],[5 cm2 cell test code]:[5 cm2 cell test code]],[1]!Table1[[Test code]:[Test code]],[1]!Table1[E @ 100 mA/cm2 10 mM KOH/V],"",0)</f>
        <v>#REF!</v>
      </c>
      <c r="AC1065" s="69" t="e" cm="1">
        <f t="array" ref="AC1065">_xlfn.XLOOKUP(Table1[[#This Row],[5 cm2 cell test code]:[5 cm2 cell test code]],[1]!Table1[[Test code]:[Test code]],[1]!Table1[Anode ICR/mOhm],"",0)</f>
        <v>#REF!</v>
      </c>
      <c r="AD1065" s="69" t="e" cm="1">
        <f t="array" ref="AD1065">_xlfn.XLOOKUP(Table1[[#This Row],[5 cm2 cell test code]:[5 cm2 cell test code]],[1]!Table1[[Test code]:[Test code]],[1]!Table1[HFR DIW/ mOhm cm2],"",0)</f>
        <v>#REF!</v>
      </c>
      <c r="AE1065" s="69" t="e" cm="1">
        <f t="array" ref="AE1065">_xlfn.XLOOKUP(Table1[[#This Row],[5 cm2 cell test code]:[5 cm2 cell test code]],[1]!Table1[[Test code]:[Test code]],[1]!Table1[HFR 10 mM KOH/ mOhm cm2],"",0)</f>
        <v>#REF!</v>
      </c>
      <c r="AF1065" s="69" t="e" cm="1">
        <f t="array" ref="AF1065">_xlfn.XLOOKUP(Table1[[#This Row],[5 cm2 cell test code]:[5 cm2 cell test code]],[1]!Table1[[Test code]:[Test code]],[1]!Table1[Ionic resistance DIW/Ohm cm2],"",0)</f>
        <v>#REF!</v>
      </c>
      <c r="AG1065" s="69" t="e" cm="1">
        <f t="array" ref="AG1065">_xlfn.XLOOKUP(Table1[[#This Row],[5 cm2 cell test code]:[5 cm2 cell test code]],[1]!Table1[[Test code]:[Test code]],[1]!Table1[Q_int_frac DIW],"",0)</f>
        <v>#REF!</v>
      </c>
      <c r="AH1065" s="69" t="e" cm="1">
        <f t="array" ref="AH1065">_xlfn.XLOOKUP(Table1[[#This Row],[5 cm2 cell test code]:[5 cm2 cell test code]],[1]!Table1[[Test code]:[Test code]],[1]!Table1[Ionic resistance 10 mM KOH/Ohm cm2],"",0)</f>
        <v>#REF!</v>
      </c>
      <c r="AI1065" s="69" t="e" cm="1">
        <f t="array" ref="AI1065">_xlfn.XLOOKUP(Table1[[#This Row],[5 cm2 cell test code]:[5 cm2 cell test code]],[1]!Table1[[Test code]:[Test code]],[1]!Table1[Q_int_frac DIW 10 mM KOH],"",0)</f>
        <v>#REF!</v>
      </c>
      <c r="AJ1065" s="69" t="e" cm="1">
        <f t="array" ref="AJ1065">_xlfn.XLOOKUP(Table1[[#This Row],[5 cm2 cell test code]:[5 cm2 cell test code]],[1]!Table1[[Test code]:[Test code]],[1]!Table1[DIW conductivity (µS/cm)],"",0)</f>
        <v>#REF!</v>
      </c>
    </row>
    <row r="1066" spans="1:36">
      <c r="A1066" s="81"/>
      <c r="U1066" s="101"/>
      <c r="V1066" s="101"/>
      <c r="W1066" s="69" t="e" cm="1">
        <f t="array" ref="W1066">_xlfn.XLOOKUP(Table1[[#This Row],[5 cm2 cell test code]:[5 cm2 cell test code]],[1]!Table1[[Test code]:[Test code]],[1]!Table1[i @ 1.8 V DIW (A/cm2)],"",0)</f>
        <v>#REF!</v>
      </c>
      <c r="X1066" s="69" t="e" cm="1">
        <f t="array" ref="X1066">_xlfn.XLOOKUP(Table1[[#This Row],[5 cm2 cell test code]:[5 cm2 cell test code]],[1]!Table1[[Test code]:[Test code]],[1]!Table1[i @ 1.8 V 10 mM KOH (A/cm2)],"",0)</f>
        <v>#REF!</v>
      </c>
      <c r="Y1066" s="69" t="e" cm="1">
        <f t="array" ref="Y1066">_xlfn.XLOOKUP(Table1[[#This Row],[5 cm2 cell test code]:[5 cm2 cell test code]],[1]!Table1[[Test code]:[Test code]],[1]!Table1[3-E ƞ at 20mAcm-2 (mV)],"",0)</f>
        <v>#REF!</v>
      </c>
      <c r="Z1066" s="69" t="e" cm="1">
        <f t="array" ref="Z1066">_xlfn.XLOOKUP(Table1[[#This Row],[5 cm2 cell test code]:[5 cm2 cell test code]],[1]!Table1[[Test code]:[Test code]],[1]!Table1[3-E Tafel slope (mV/dec)],"",0)</f>
        <v>#REF!</v>
      </c>
      <c r="AA1066" s="69" t="e" cm="1">
        <f t="array" ref="AA1066">_xlfn.XLOOKUP(Table1[[#This Row],[5 cm2 cell test code]:[5 cm2 cell test code]],[1]!Table1[[Test code]:[Test code]],[1]!Table1[E @ 100 mA/cm2 DIW/V],"",0)</f>
        <v>#REF!</v>
      </c>
      <c r="AB1066" s="69" t="e" cm="1">
        <f t="array" ref="AB1066">_xlfn.XLOOKUP(Table1[[#This Row],[5 cm2 cell test code]:[5 cm2 cell test code]],[1]!Table1[[Test code]:[Test code]],[1]!Table1[E @ 100 mA/cm2 10 mM KOH/V],"",0)</f>
        <v>#REF!</v>
      </c>
      <c r="AC1066" s="69" t="e" cm="1">
        <f t="array" ref="AC1066">_xlfn.XLOOKUP(Table1[[#This Row],[5 cm2 cell test code]:[5 cm2 cell test code]],[1]!Table1[[Test code]:[Test code]],[1]!Table1[Anode ICR/mOhm],"",0)</f>
        <v>#REF!</v>
      </c>
      <c r="AD1066" s="69" t="e" cm="1">
        <f t="array" ref="AD1066">_xlfn.XLOOKUP(Table1[[#This Row],[5 cm2 cell test code]:[5 cm2 cell test code]],[1]!Table1[[Test code]:[Test code]],[1]!Table1[HFR DIW/ mOhm cm2],"",0)</f>
        <v>#REF!</v>
      </c>
      <c r="AE1066" s="69" t="e" cm="1">
        <f t="array" ref="AE1066">_xlfn.XLOOKUP(Table1[[#This Row],[5 cm2 cell test code]:[5 cm2 cell test code]],[1]!Table1[[Test code]:[Test code]],[1]!Table1[HFR 10 mM KOH/ mOhm cm2],"",0)</f>
        <v>#REF!</v>
      </c>
      <c r="AF1066" s="69" t="e" cm="1">
        <f t="array" ref="AF1066">_xlfn.XLOOKUP(Table1[[#This Row],[5 cm2 cell test code]:[5 cm2 cell test code]],[1]!Table1[[Test code]:[Test code]],[1]!Table1[Ionic resistance DIW/Ohm cm2],"",0)</f>
        <v>#REF!</v>
      </c>
      <c r="AG1066" s="69" t="e" cm="1">
        <f t="array" ref="AG1066">_xlfn.XLOOKUP(Table1[[#This Row],[5 cm2 cell test code]:[5 cm2 cell test code]],[1]!Table1[[Test code]:[Test code]],[1]!Table1[Q_int_frac DIW],"",0)</f>
        <v>#REF!</v>
      </c>
      <c r="AH1066" s="69" t="e" cm="1">
        <f t="array" ref="AH1066">_xlfn.XLOOKUP(Table1[[#This Row],[5 cm2 cell test code]:[5 cm2 cell test code]],[1]!Table1[[Test code]:[Test code]],[1]!Table1[Ionic resistance 10 mM KOH/Ohm cm2],"",0)</f>
        <v>#REF!</v>
      </c>
      <c r="AI1066" s="69" t="e" cm="1">
        <f t="array" ref="AI1066">_xlfn.XLOOKUP(Table1[[#This Row],[5 cm2 cell test code]:[5 cm2 cell test code]],[1]!Table1[[Test code]:[Test code]],[1]!Table1[Q_int_frac DIW 10 mM KOH],"",0)</f>
        <v>#REF!</v>
      </c>
      <c r="AJ1066" s="69" t="e" cm="1">
        <f t="array" ref="AJ1066">_xlfn.XLOOKUP(Table1[[#This Row],[5 cm2 cell test code]:[5 cm2 cell test code]],[1]!Table1[[Test code]:[Test code]],[1]!Table1[DIW conductivity (µS/cm)],"",0)</f>
        <v>#REF!</v>
      </c>
    </row>
    <row r="1067" spans="1:36">
      <c r="A1067" s="81"/>
      <c r="U1067" s="101"/>
      <c r="V1067" s="101"/>
      <c r="W1067" s="69" t="e" cm="1">
        <f t="array" ref="W1067">_xlfn.XLOOKUP(Table1[[#This Row],[5 cm2 cell test code]:[5 cm2 cell test code]],[1]!Table1[[Test code]:[Test code]],[1]!Table1[i @ 1.8 V DIW (A/cm2)],"",0)</f>
        <v>#REF!</v>
      </c>
      <c r="X1067" s="69" t="e" cm="1">
        <f t="array" ref="X1067">_xlfn.XLOOKUP(Table1[[#This Row],[5 cm2 cell test code]:[5 cm2 cell test code]],[1]!Table1[[Test code]:[Test code]],[1]!Table1[i @ 1.8 V 10 mM KOH (A/cm2)],"",0)</f>
        <v>#REF!</v>
      </c>
      <c r="Y1067" s="69" t="e" cm="1">
        <f t="array" ref="Y1067">_xlfn.XLOOKUP(Table1[[#This Row],[5 cm2 cell test code]:[5 cm2 cell test code]],[1]!Table1[[Test code]:[Test code]],[1]!Table1[3-E ƞ at 20mAcm-2 (mV)],"",0)</f>
        <v>#REF!</v>
      </c>
      <c r="Z1067" s="69" t="e" cm="1">
        <f t="array" ref="Z1067">_xlfn.XLOOKUP(Table1[[#This Row],[5 cm2 cell test code]:[5 cm2 cell test code]],[1]!Table1[[Test code]:[Test code]],[1]!Table1[3-E Tafel slope (mV/dec)],"",0)</f>
        <v>#REF!</v>
      </c>
      <c r="AA1067" s="69" t="e" cm="1">
        <f t="array" ref="AA1067">_xlfn.XLOOKUP(Table1[[#This Row],[5 cm2 cell test code]:[5 cm2 cell test code]],[1]!Table1[[Test code]:[Test code]],[1]!Table1[E @ 100 mA/cm2 DIW/V],"",0)</f>
        <v>#REF!</v>
      </c>
      <c r="AB1067" s="69" t="e" cm="1">
        <f t="array" ref="AB1067">_xlfn.XLOOKUP(Table1[[#This Row],[5 cm2 cell test code]:[5 cm2 cell test code]],[1]!Table1[[Test code]:[Test code]],[1]!Table1[E @ 100 mA/cm2 10 mM KOH/V],"",0)</f>
        <v>#REF!</v>
      </c>
      <c r="AC1067" s="69" t="e" cm="1">
        <f t="array" ref="AC1067">_xlfn.XLOOKUP(Table1[[#This Row],[5 cm2 cell test code]:[5 cm2 cell test code]],[1]!Table1[[Test code]:[Test code]],[1]!Table1[Anode ICR/mOhm],"",0)</f>
        <v>#REF!</v>
      </c>
      <c r="AD1067" s="69" t="e" cm="1">
        <f t="array" ref="AD1067">_xlfn.XLOOKUP(Table1[[#This Row],[5 cm2 cell test code]:[5 cm2 cell test code]],[1]!Table1[[Test code]:[Test code]],[1]!Table1[HFR DIW/ mOhm cm2],"",0)</f>
        <v>#REF!</v>
      </c>
      <c r="AE1067" s="69" t="e" cm="1">
        <f t="array" ref="AE1067">_xlfn.XLOOKUP(Table1[[#This Row],[5 cm2 cell test code]:[5 cm2 cell test code]],[1]!Table1[[Test code]:[Test code]],[1]!Table1[HFR 10 mM KOH/ mOhm cm2],"",0)</f>
        <v>#REF!</v>
      </c>
      <c r="AF1067" s="69" t="e" cm="1">
        <f t="array" ref="AF1067">_xlfn.XLOOKUP(Table1[[#This Row],[5 cm2 cell test code]:[5 cm2 cell test code]],[1]!Table1[[Test code]:[Test code]],[1]!Table1[Ionic resistance DIW/Ohm cm2],"",0)</f>
        <v>#REF!</v>
      </c>
      <c r="AG1067" s="69" t="e" cm="1">
        <f t="array" ref="AG1067">_xlfn.XLOOKUP(Table1[[#This Row],[5 cm2 cell test code]:[5 cm2 cell test code]],[1]!Table1[[Test code]:[Test code]],[1]!Table1[Q_int_frac DIW],"",0)</f>
        <v>#REF!</v>
      </c>
      <c r="AH1067" s="69" t="e" cm="1">
        <f t="array" ref="AH1067">_xlfn.XLOOKUP(Table1[[#This Row],[5 cm2 cell test code]:[5 cm2 cell test code]],[1]!Table1[[Test code]:[Test code]],[1]!Table1[Ionic resistance 10 mM KOH/Ohm cm2],"",0)</f>
        <v>#REF!</v>
      </c>
      <c r="AI1067" s="69" t="e" cm="1">
        <f t="array" ref="AI1067">_xlfn.XLOOKUP(Table1[[#This Row],[5 cm2 cell test code]:[5 cm2 cell test code]],[1]!Table1[[Test code]:[Test code]],[1]!Table1[Q_int_frac DIW 10 mM KOH],"",0)</f>
        <v>#REF!</v>
      </c>
      <c r="AJ1067" s="69" t="e" cm="1">
        <f t="array" ref="AJ1067">_xlfn.XLOOKUP(Table1[[#This Row],[5 cm2 cell test code]:[5 cm2 cell test code]],[1]!Table1[[Test code]:[Test code]],[1]!Table1[DIW conductivity (µS/cm)],"",0)</f>
        <v>#REF!</v>
      </c>
    </row>
    <row r="1068" spans="1:36">
      <c r="A1068" s="81"/>
      <c r="U1068" s="101"/>
      <c r="V1068" s="101"/>
      <c r="W1068" s="69" t="e" cm="1">
        <f t="array" ref="W1068">_xlfn.XLOOKUP(Table1[[#This Row],[5 cm2 cell test code]:[5 cm2 cell test code]],[1]!Table1[[Test code]:[Test code]],[1]!Table1[i @ 1.8 V DIW (A/cm2)],"",0)</f>
        <v>#REF!</v>
      </c>
      <c r="X1068" s="69" t="e" cm="1">
        <f t="array" ref="X1068">_xlfn.XLOOKUP(Table1[[#This Row],[5 cm2 cell test code]:[5 cm2 cell test code]],[1]!Table1[[Test code]:[Test code]],[1]!Table1[i @ 1.8 V 10 mM KOH (A/cm2)],"",0)</f>
        <v>#REF!</v>
      </c>
      <c r="Y1068" s="69" t="e" cm="1">
        <f t="array" ref="Y1068">_xlfn.XLOOKUP(Table1[[#This Row],[5 cm2 cell test code]:[5 cm2 cell test code]],[1]!Table1[[Test code]:[Test code]],[1]!Table1[3-E ƞ at 20mAcm-2 (mV)],"",0)</f>
        <v>#REF!</v>
      </c>
      <c r="Z1068" s="69" t="e" cm="1">
        <f t="array" ref="Z1068">_xlfn.XLOOKUP(Table1[[#This Row],[5 cm2 cell test code]:[5 cm2 cell test code]],[1]!Table1[[Test code]:[Test code]],[1]!Table1[3-E Tafel slope (mV/dec)],"",0)</f>
        <v>#REF!</v>
      </c>
      <c r="AA1068" s="69" t="e" cm="1">
        <f t="array" ref="AA1068">_xlfn.XLOOKUP(Table1[[#This Row],[5 cm2 cell test code]:[5 cm2 cell test code]],[1]!Table1[[Test code]:[Test code]],[1]!Table1[E @ 100 mA/cm2 DIW/V],"",0)</f>
        <v>#REF!</v>
      </c>
      <c r="AB1068" s="69" t="e" cm="1">
        <f t="array" ref="AB1068">_xlfn.XLOOKUP(Table1[[#This Row],[5 cm2 cell test code]:[5 cm2 cell test code]],[1]!Table1[[Test code]:[Test code]],[1]!Table1[E @ 100 mA/cm2 10 mM KOH/V],"",0)</f>
        <v>#REF!</v>
      </c>
      <c r="AC1068" s="69" t="e" cm="1">
        <f t="array" ref="AC1068">_xlfn.XLOOKUP(Table1[[#This Row],[5 cm2 cell test code]:[5 cm2 cell test code]],[1]!Table1[[Test code]:[Test code]],[1]!Table1[Anode ICR/mOhm],"",0)</f>
        <v>#REF!</v>
      </c>
      <c r="AD1068" s="69" t="e" cm="1">
        <f t="array" ref="AD1068">_xlfn.XLOOKUP(Table1[[#This Row],[5 cm2 cell test code]:[5 cm2 cell test code]],[1]!Table1[[Test code]:[Test code]],[1]!Table1[HFR DIW/ mOhm cm2],"",0)</f>
        <v>#REF!</v>
      </c>
      <c r="AE1068" s="69" t="e" cm="1">
        <f t="array" ref="AE1068">_xlfn.XLOOKUP(Table1[[#This Row],[5 cm2 cell test code]:[5 cm2 cell test code]],[1]!Table1[[Test code]:[Test code]],[1]!Table1[HFR 10 mM KOH/ mOhm cm2],"",0)</f>
        <v>#REF!</v>
      </c>
      <c r="AF1068" s="69" t="e" cm="1">
        <f t="array" ref="AF1068">_xlfn.XLOOKUP(Table1[[#This Row],[5 cm2 cell test code]:[5 cm2 cell test code]],[1]!Table1[[Test code]:[Test code]],[1]!Table1[Ionic resistance DIW/Ohm cm2],"",0)</f>
        <v>#REF!</v>
      </c>
      <c r="AG1068" s="69" t="e" cm="1">
        <f t="array" ref="AG1068">_xlfn.XLOOKUP(Table1[[#This Row],[5 cm2 cell test code]:[5 cm2 cell test code]],[1]!Table1[[Test code]:[Test code]],[1]!Table1[Q_int_frac DIW],"",0)</f>
        <v>#REF!</v>
      </c>
      <c r="AH1068" s="69" t="e" cm="1">
        <f t="array" ref="AH1068">_xlfn.XLOOKUP(Table1[[#This Row],[5 cm2 cell test code]:[5 cm2 cell test code]],[1]!Table1[[Test code]:[Test code]],[1]!Table1[Ionic resistance 10 mM KOH/Ohm cm2],"",0)</f>
        <v>#REF!</v>
      </c>
      <c r="AI1068" s="69" t="e" cm="1">
        <f t="array" ref="AI1068">_xlfn.XLOOKUP(Table1[[#This Row],[5 cm2 cell test code]:[5 cm2 cell test code]],[1]!Table1[[Test code]:[Test code]],[1]!Table1[Q_int_frac DIW 10 mM KOH],"",0)</f>
        <v>#REF!</v>
      </c>
      <c r="AJ1068" s="69" t="e" cm="1">
        <f t="array" ref="AJ1068">_xlfn.XLOOKUP(Table1[[#This Row],[5 cm2 cell test code]:[5 cm2 cell test code]],[1]!Table1[[Test code]:[Test code]],[1]!Table1[DIW conductivity (µS/cm)],"",0)</f>
        <v>#REF!</v>
      </c>
    </row>
    <row r="1069" spans="1:36">
      <c r="A1069" s="81"/>
      <c r="U1069" s="101"/>
      <c r="V1069" s="101"/>
      <c r="W1069" s="69" t="e" cm="1">
        <f t="array" ref="W1069">_xlfn.XLOOKUP(Table1[[#This Row],[5 cm2 cell test code]:[5 cm2 cell test code]],[1]!Table1[[Test code]:[Test code]],[1]!Table1[i @ 1.8 V DIW (A/cm2)],"",0)</f>
        <v>#REF!</v>
      </c>
      <c r="X1069" s="69" t="e" cm="1">
        <f t="array" ref="X1069">_xlfn.XLOOKUP(Table1[[#This Row],[5 cm2 cell test code]:[5 cm2 cell test code]],[1]!Table1[[Test code]:[Test code]],[1]!Table1[i @ 1.8 V 10 mM KOH (A/cm2)],"",0)</f>
        <v>#REF!</v>
      </c>
      <c r="Y1069" s="69" t="e" cm="1">
        <f t="array" ref="Y1069">_xlfn.XLOOKUP(Table1[[#This Row],[5 cm2 cell test code]:[5 cm2 cell test code]],[1]!Table1[[Test code]:[Test code]],[1]!Table1[3-E ƞ at 20mAcm-2 (mV)],"",0)</f>
        <v>#REF!</v>
      </c>
      <c r="Z1069" s="69" t="e" cm="1">
        <f t="array" ref="Z1069">_xlfn.XLOOKUP(Table1[[#This Row],[5 cm2 cell test code]:[5 cm2 cell test code]],[1]!Table1[[Test code]:[Test code]],[1]!Table1[3-E Tafel slope (mV/dec)],"",0)</f>
        <v>#REF!</v>
      </c>
      <c r="AA1069" s="69" t="e" cm="1">
        <f t="array" ref="AA1069">_xlfn.XLOOKUP(Table1[[#This Row],[5 cm2 cell test code]:[5 cm2 cell test code]],[1]!Table1[[Test code]:[Test code]],[1]!Table1[E @ 100 mA/cm2 DIW/V],"",0)</f>
        <v>#REF!</v>
      </c>
      <c r="AB1069" s="69" t="e" cm="1">
        <f t="array" ref="AB1069">_xlfn.XLOOKUP(Table1[[#This Row],[5 cm2 cell test code]:[5 cm2 cell test code]],[1]!Table1[[Test code]:[Test code]],[1]!Table1[E @ 100 mA/cm2 10 mM KOH/V],"",0)</f>
        <v>#REF!</v>
      </c>
      <c r="AC1069" s="69" t="e" cm="1">
        <f t="array" ref="AC1069">_xlfn.XLOOKUP(Table1[[#This Row],[5 cm2 cell test code]:[5 cm2 cell test code]],[1]!Table1[[Test code]:[Test code]],[1]!Table1[Anode ICR/mOhm],"",0)</f>
        <v>#REF!</v>
      </c>
      <c r="AD1069" s="69" t="e" cm="1">
        <f t="array" ref="AD1069">_xlfn.XLOOKUP(Table1[[#This Row],[5 cm2 cell test code]:[5 cm2 cell test code]],[1]!Table1[[Test code]:[Test code]],[1]!Table1[HFR DIW/ mOhm cm2],"",0)</f>
        <v>#REF!</v>
      </c>
      <c r="AE1069" s="69" t="e" cm="1">
        <f t="array" ref="AE1069">_xlfn.XLOOKUP(Table1[[#This Row],[5 cm2 cell test code]:[5 cm2 cell test code]],[1]!Table1[[Test code]:[Test code]],[1]!Table1[HFR 10 mM KOH/ mOhm cm2],"",0)</f>
        <v>#REF!</v>
      </c>
      <c r="AF1069" s="69" t="e" cm="1">
        <f t="array" ref="AF1069">_xlfn.XLOOKUP(Table1[[#This Row],[5 cm2 cell test code]:[5 cm2 cell test code]],[1]!Table1[[Test code]:[Test code]],[1]!Table1[Ionic resistance DIW/Ohm cm2],"",0)</f>
        <v>#REF!</v>
      </c>
      <c r="AG1069" s="69" t="e" cm="1">
        <f t="array" ref="AG1069">_xlfn.XLOOKUP(Table1[[#This Row],[5 cm2 cell test code]:[5 cm2 cell test code]],[1]!Table1[[Test code]:[Test code]],[1]!Table1[Q_int_frac DIW],"",0)</f>
        <v>#REF!</v>
      </c>
      <c r="AH1069" s="69" t="e" cm="1">
        <f t="array" ref="AH1069">_xlfn.XLOOKUP(Table1[[#This Row],[5 cm2 cell test code]:[5 cm2 cell test code]],[1]!Table1[[Test code]:[Test code]],[1]!Table1[Ionic resistance 10 mM KOH/Ohm cm2],"",0)</f>
        <v>#REF!</v>
      </c>
      <c r="AI1069" s="69" t="e" cm="1">
        <f t="array" ref="AI1069">_xlfn.XLOOKUP(Table1[[#This Row],[5 cm2 cell test code]:[5 cm2 cell test code]],[1]!Table1[[Test code]:[Test code]],[1]!Table1[Q_int_frac DIW 10 mM KOH],"",0)</f>
        <v>#REF!</v>
      </c>
      <c r="AJ1069" s="69" t="e" cm="1">
        <f t="array" ref="AJ1069">_xlfn.XLOOKUP(Table1[[#This Row],[5 cm2 cell test code]:[5 cm2 cell test code]],[1]!Table1[[Test code]:[Test code]],[1]!Table1[DIW conductivity (µS/cm)],"",0)</f>
        <v>#REF!</v>
      </c>
    </row>
    <row r="1070" spans="1:36">
      <c r="A1070" s="81"/>
      <c r="U1070" s="101"/>
      <c r="V1070" s="101"/>
      <c r="W1070" s="69" t="e" cm="1">
        <f t="array" ref="W1070">_xlfn.XLOOKUP(Table1[[#This Row],[5 cm2 cell test code]:[5 cm2 cell test code]],[1]!Table1[[Test code]:[Test code]],[1]!Table1[i @ 1.8 V DIW (A/cm2)],"",0)</f>
        <v>#REF!</v>
      </c>
      <c r="X1070" s="69" t="e" cm="1">
        <f t="array" ref="X1070">_xlfn.XLOOKUP(Table1[[#This Row],[5 cm2 cell test code]:[5 cm2 cell test code]],[1]!Table1[[Test code]:[Test code]],[1]!Table1[i @ 1.8 V 10 mM KOH (A/cm2)],"",0)</f>
        <v>#REF!</v>
      </c>
      <c r="Y1070" s="69" t="e" cm="1">
        <f t="array" ref="Y1070">_xlfn.XLOOKUP(Table1[[#This Row],[5 cm2 cell test code]:[5 cm2 cell test code]],[1]!Table1[[Test code]:[Test code]],[1]!Table1[3-E ƞ at 20mAcm-2 (mV)],"",0)</f>
        <v>#REF!</v>
      </c>
      <c r="Z1070" s="69" t="e" cm="1">
        <f t="array" ref="Z1070">_xlfn.XLOOKUP(Table1[[#This Row],[5 cm2 cell test code]:[5 cm2 cell test code]],[1]!Table1[[Test code]:[Test code]],[1]!Table1[3-E Tafel slope (mV/dec)],"",0)</f>
        <v>#REF!</v>
      </c>
      <c r="AA1070" s="69" t="e" cm="1">
        <f t="array" ref="AA1070">_xlfn.XLOOKUP(Table1[[#This Row],[5 cm2 cell test code]:[5 cm2 cell test code]],[1]!Table1[[Test code]:[Test code]],[1]!Table1[E @ 100 mA/cm2 DIW/V],"",0)</f>
        <v>#REF!</v>
      </c>
      <c r="AB1070" s="69" t="e" cm="1">
        <f t="array" ref="AB1070">_xlfn.XLOOKUP(Table1[[#This Row],[5 cm2 cell test code]:[5 cm2 cell test code]],[1]!Table1[[Test code]:[Test code]],[1]!Table1[E @ 100 mA/cm2 10 mM KOH/V],"",0)</f>
        <v>#REF!</v>
      </c>
      <c r="AC1070" s="69" t="e" cm="1">
        <f t="array" ref="AC1070">_xlfn.XLOOKUP(Table1[[#This Row],[5 cm2 cell test code]:[5 cm2 cell test code]],[1]!Table1[[Test code]:[Test code]],[1]!Table1[Anode ICR/mOhm],"",0)</f>
        <v>#REF!</v>
      </c>
      <c r="AD1070" s="69" t="e" cm="1">
        <f t="array" ref="AD1070">_xlfn.XLOOKUP(Table1[[#This Row],[5 cm2 cell test code]:[5 cm2 cell test code]],[1]!Table1[[Test code]:[Test code]],[1]!Table1[HFR DIW/ mOhm cm2],"",0)</f>
        <v>#REF!</v>
      </c>
      <c r="AE1070" s="69" t="e" cm="1">
        <f t="array" ref="AE1070">_xlfn.XLOOKUP(Table1[[#This Row],[5 cm2 cell test code]:[5 cm2 cell test code]],[1]!Table1[[Test code]:[Test code]],[1]!Table1[HFR 10 mM KOH/ mOhm cm2],"",0)</f>
        <v>#REF!</v>
      </c>
      <c r="AF1070" s="69" t="e" cm="1">
        <f t="array" ref="AF1070">_xlfn.XLOOKUP(Table1[[#This Row],[5 cm2 cell test code]:[5 cm2 cell test code]],[1]!Table1[[Test code]:[Test code]],[1]!Table1[Ionic resistance DIW/Ohm cm2],"",0)</f>
        <v>#REF!</v>
      </c>
      <c r="AG1070" s="69" t="e" cm="1">
        <f t="array" ref="AG1070">_xlfn.XLOOKUP(Table1[[#This Row],[5 cm2 cell test code]:[5 cm2 cell test code]],[1]!Table1[[Test code]:[Test code]],[1]!Table1[Q_int_frac DIW],"",0)</f>
        <v>#REF!</v>
      </c>
      <c r="AH1070" s="69" t="e" cm="1">
        <f t="array" ref="AH1070">_xlfn.XLOOKUP(Table1[[#This Row],[5 cm2 cell test code]:[5 cm2 cell test code]],[1]!Table1[[Test code]:[Test code]],[1]!Table1[Ionic resistance 10 mM KOH/Ohm cm2],"",0)</f>
        <v>#REF!</v>
      </c>
      <c r="AI1070" s="69" t="e" cm="1">
        <f t="array" ref="AI1070">_xlfn.XLOOKUP(Table1[[#This Row],[5 cm2 cell test code]:[5 cm2 cell test code]],[1]!Table1[[Test code]:[Test code]],[1]!Table1[Q_int_frac DIW 10 mM KOH],"",0)</f>
        <v>#REF!</v>
      </c>
      <c r="AJ1070" s="69" t="e" cm="1">
        <f t="array" ref="AJ1070">_xlfn.XLOOKUP(Table1[[#This Row],[5 cm2 cell test code]:[5 cm2 cell test code]],[1]!Table1[[Test code]:[Test code]],[1]!Table1[DIW conductivity (µS/cm)],"",0)</f>
        <v>#REF!</v>
      </c>
    </row>
    <row r="1071" spans="1:36">
      <c r="A1071" s="81"/>
      <c r="U1071" s="101"/>
      <c r="V1071" s="101"/>
      <c r="W1071" s="69" t="e" cm="1">
        <f t="array" ref="W1071">_xlfn.XLOOKUP(Table1[[#This Row],[5 cm2 cell test code]:[5 cm2 cell test code]],[1]!Table1[[Test code]:[Test code]],[1]!Table1[i @ 1.8 V DIW (A/cm2)],"",0)</f>
        <v>#REF!</v>
      </c>
      <c r="X1071" s="69" t="e" cm="1">
        <f t="array" ref="X1071">_xlfn.XLOOKUP(Table1[[#This Row],[5 cm2 cell test code]:[5 cm2 cell test code]],[1]!Table1[[Test code]:[Test code]],[1]!Table1[i @ 1.8 V 10 mM KOH (A/cm2)],"",0)</f>
        <v>#REF!</v>
      </c>
      <c r="Y1071" s="69" t="e" cm="1">
        <f t="array" ref="Y1071">_xlfn.XLOOKUP(Table1[[#This Row],[5 cm2 cell test code]:[5 cm2 cell test code]],[1]!Table1[[Test code]:[Test code]],[1]!Table1[3-E ƞ at 20mAcm-2 (mV)],"",0)</f>
        <v>#REF!</v>
      </c>
      <c r="Z1071" s="69" t="e" cm="1">
        <f t="array" ref="Z1071">_xlfn.XLOOKUP(Table1[[#This Row],[5 cm2 cell test code]:[5 cm2 cell test code]],[1]!Table1[[Test code]:[Test code]],[1]!Table1[3-E Tafel slope (mV/dec)],"",0)</f>
        <v>#REF!</v>
      </c>
      <c r="AA1071" s="69" t="e" cm="1">
        <f t="array" ref="AA1071">_xlfn.XLOOKUP(Table1[[#This Row],[5 cm2 cell test code]:[5 cm2 cell test code]],[1]!Table1[[Test code]:[Test code]],[1]!Table1[E @ 100 mA/cm2 DIW/V],"",0)</f>
        <v>#REF!</v>
      </c>
      <c r="AB1071" s="69" t="e" cm="1">
        <f t="array" ref="AB1071">_xlfn.XLOOKUP(Table1[[#This Row],[5 cm2 cell test code]:[5 cm2 cell test code]],[1]!Table1[[Test code]:[Test code]],[1]!Table1[E @ 100 mA/cm2 10 mM KOH/V],"",0)</f>
        <v>#REF!</v>
      </c>
      <c r="AC1071" s="69" t="e" cm="1">
        <f t="array" ref="AC1071">_xlfn.XLOOKUP(Table1[[#This Row],[5 cm2 cell test code]:[5 cm2 cell test code]],[1]!Table1[[Test code]:[Test code]],[1]!Table1[Anode ICR/mOhm],"",0)</f>
        <v>#REF!</v>
      </c>
      <c r="AD1071" s="69" t="e" cm="1">
        <f t="array" ref="AD1071">_xlfn.XLOOKUP(Table1[[#This Row],[5 cm2 cell test code]:[5 cm2 cell test code]],[1]!Table1[[Test code]:[Test code]],[1]!Table1[HFR DIW/ mOhm cm2],"",0)</f>
        <v>#REF!</v>
      </c>
      <c r="AE1071" s="69" t="e" cm="1">
        <f t="array" ref="AE1071">_xlfn.XLOOKUP(Table1[[#This Row],[5 cm2 cell test code]:[5 cm2 cell test code]],[1]!Table1[[Test code]:[Test code]],[1]!Table1[HFR 10 mM KOH/ mOhm cm2],"",0)</f>
        <v>#REF!</v>
      </c>
      <c r="AF1071" s="69" t="e" cm="1">
        <f t="array" ref="AF1071">_xlfn.XLOOKUP(Table1[[#This Row],[5 cm2 cell test code]:[5 cm2 cell test code]],[1]!Table1[[Test code]:[Test code]],[1]!Table1[Ionic resistance DIW/Ohm cm2],"",0)</f>
        <v>#REF!</v>
      </c>
      <c r="AG1071" s="69" t="e" cm="1">
        <f t="array" ref="AG1071">_xlfn.XLOOKUP(Table1[[#This Row],[5 cm2 cell test code]:[5 cm2 cell test code]],[1]!Table1[[Test code]:[Test code]],[1]!Table1[Q_int_frac DIW],"",0)</f>
        <v>#REF!</v>
      </c>
      <c r="AH1071" s="69" t="e" cm="1">
        <f t="array" ref="AH1071">_xlfn.XLOOKUP(Table1[[#This Row],[5 cm2 cell test code]:[5 cm2 cell test code]],[1]!Table1[[Test code]:[Test code]],[1]!Table1[Ionic resistance 10 mM KOH/Ohm cm2],"",0)</f>
        <v>#REF!</v>
      </c>
      <c r="AI1071" s="69" t="e" cm="1">
        <f t="array" ref="AI1071">_xlfn.XLOOKUP(Table1[[#This Row],[5 cm2 cell test code]:[5 cm2 cell test code]],[1]!Table1[[Test code]:[Test code]],[1]!Table1[Q_int_frac DIW 10 mM KOH],"",0)</f>
        <v>#REF!</v>
      </c>
      <c r="AJ1071" s="69" t="e" cm="1">
        <f t="array" ref="AJ1071">_xlfn.XLOOKUP(Table1[[#This Row],[5 cm2 cell test code]:[5 cm2 cell test code]],[1]!Table1[[Test code]:[Test code]],[1]!Table1[DIW conductivity (µS/cm)],"",0)</f>
        <v>#REF!</v>
      </c>
    </row>
    <row r="1072" spans="1:36">
      <c r="A1072" s="81"/>
      <c r="U1072" s="101"/>
      <c r="V1072" s="101"/>
      <c r="W1072" s="69" t="e" cm="1">
        <f t="array" ref="W1072">_xlfn.XLOOKUP(Table1[[#This Row],[5 cm2 cell test code]:[5 cm2 cell test code]],[1]!Table1[[Test code]:[Test code]],[1]!Table1[i @ 1.8 V DIW (A/cm2)],"",0)</f>
        <v>#REF!</v>
      </c>
      <c r="X1072" s="69" t="e" cm="1">
        <f t="array" ref="X1072">_xlfn.XLOOKUP(Table1[[#This Row],[5 cm2 cell test code]:[5 cm2 cell test code]],[1]!Table1[[Test code]:[Test code]],[1]!Table1[i @ 1.8 V 10 mM KOH (A/cm2)],"",0)</f>
        <v>#REF!</v>
      </c>
      <c r="Y1072" s="69" t="e" cm="1">
        <f t="array" ref="Y1072">_xlfn.XLOOKUP(Table1[[#This Row],[5 cm2 cell test code]:[5 cm2 cell test code]],[1]!Table1[[Test code]:[Test code]],[1]!Table1[3-E ƞ at 20mAcm-2 (mV)],"",0)</f>
        <v>#REF!</v>
      </c>
      <c r="Z1072" s="69" t="e" cm="1">
        <f t="array" ref="Z1072">_xlfn.XLOOKUP(Table1[[#This Row],[5 cm2 cell test code]:[5 cm2 cell test code]],[1]!Table1[[Test code]:[Test code]],[1]!Table1[3-E Tafel slope (mV/dec)],"",0)</f>
        <v>#REF!</v>
      </c>
      <c r="AA1072" s="69" t="e" cm="1">
        <f t="array" ref="AA1072">_xlfn.XLOOKUP(Table1[[#This Row],[5 cm2 cell test code]:[5 cm2 cell test code]],[1]!Table1[[Test code]:[Test code]],[1]!Table1[E @ 100 mA/cm2 DIW/V],"",0)</f>
        <v>#REF!</v>
      </c>
      <c r="AB1072" s="69" t="e" cm="1">
        <f t="array" ref="AB1072">_xlfn.XLOOKUP(Table1[[#This Row],[5 cm2 cell test code]:[5 cm2 cell test code]],[1]!Table1[[Test code]:[Test code]],[1]!Table1[E @ 100 mA/cm2 10 mM KOH/V],"",0)</f>
        <v>#REF!</v>
      </c>
      <c r="AC1072" s="69" t="e" cm="1">
        <f t="array" ref="AC1072">_xlfn.XLOOKUP(Table1[[#This Row],[5 cm2 cell test code]:[5 cm2 cell test code]],[1]!Table1[[Test code]:[Test code]],[1]!Table1[Anode ICR/mOhm],"",0)</f>
        <v>#REF!</v>
      </c>
      <c r="AD1072" s="69" t="e" cm="1">
        <f t="array" ref="AD1072">_xlfn.XLOOKUP(Table1[[#This Row],[5 cm2 cell test code]:[5 cm2 cell test code]],[1]!Table1[[Test code]:[Test code]],[1]!Table1[HFR DIW/ mOhm cm2],"",0)</f>
        <v>#REF!</v>
      </c>
      <c r="AE1072" s="69" t="e" cm="1">
        <f t="array" ref="AE1072">_xlfn.XLOOKUP(Table1[[#This Row],[5 cm2 cell test code]:[5 cm2 cell test code]],[1]!Table1[[Test code]:[Test code]],[1]!Table1[HFR 10 mM KOH/ mOhm cm2],"",0)</f>
        <v>#REF!</v>
      </c>
      <c r="AF1072" s="69" t="e" cm="1">
        <f t="array" ref="AF1072">_xlfn.XLOOKUP(Table1[[#This Row],[5 cm2 cell test code]:[5 cm2 cell test code]],[1]!Table1[[Test code]:[Test code]],[1]!Table1[Ionic resistance DIW/Ohm cm2],"",0)</f>
        <v>#REF!</v>
      </c>
      <c r="AG1072" s="69" t="e" cm="1">
        <f t="array" ref="AG1072">_xlfn.XLOOKUP(Table1[[#This Row],[5 cm2 cell test code]:[5 cm2 cell test code]],[1]!Table1[[Test code]:[Test code]],[1]!Table1[Q_int_frac DIW],"",0)</f>
        <v>#REF!</v>
      </c>
      <c r="AH1072" s="69" t="e" cm="1">
        <f t="array" ref="AH1072">_xlfn.XLOOKUP(Table1[[#This Row],[5 cm2 cell test code]:[5 cm2 cell test code]],[1]!Table1[[Test code]:[Test code]],[1]!Table1[Ionic resistance 10 mM KOH/Ohm cm2],"",0)</f>
        <v>#REF!</v>
      </c>
      <c r="AI1072" s="69" t="e" cm="1">
        <f t="array" ref="AI1072">_xlfn.XLOOKUP(Table1[[#This Row],[5 cm2 cell test code]:[5 cm2 cell test code]],[1]!Table1[[Test code]:[Test code]],[1]!Table1[Q_int_frac DIW 10 mM KOH],"",0)</f>
        <v>#REF!</v>
      </c>
      <c r="AJ1072" s="69" t="e" cm="1">
        <f t="array" ref="AJ1072">_xlfn.XLOOKUP(Table1[[#This Row],[5 cm2 cell test code]:[5 cm2 cell test code]],[1]!Table1[[Test code]:[Test code]],[1]!Table1[DIW conductivity (µS/cm)],"",0)</f>
        <v>#REF!</v>
      </c>
    </row>
    <row r="1073" spans="1:36">
      <c r="A1073" s="81"/>
      <c r="U1073" s="101"/>
      <c r="V1073" s="101"/>
      <c r="W1073" s="69" t="e" cm="1">
        <f t="array" ref="W1073">_xlfn.XLOOKUP(Table1[[#This Row],[5 cm2 cell test code]:[5 cm2 cell test code]],[1]!Table1[[Test code]:[Test code]],[1]!Table1[i @ 1.8 V DIW (A/cm2)],"",0)</f>
        <v>#REF!</v>
      </c>
      <c r="X1073" s="69" t="e" cm="1">
        <f t="array" ref="X1073">_xlfn.XLOOKUP(Table1[[#This Row],[5 cm2 cell test code]:[5 cm2 cell test code]],[1]!Table1[[Test code]:[Test code]],[1]!Table1[i @ 1.8 V 10 mM KOH (A/cm2)],"",0)</f>
        <v>#REF!</v>
      </c>
      <c r="Y1073" s="69" t="e" cm="1">
        <f t="array" ref="Y1073">_xlfn.XLOOKUP(Table1[[#This Row],[5 cm2 cell test code]:[5 cm2 cell test code]],[1]!Table1[[Test code]:[Test code]],[1]!Table1[3-E ƞ at 20mAcm-2 (mV)],"",0)</f>
        <v>#REF!</v>
      </c>
      <c r="Z1073" s="69" t="e" cm="1">
        <f t="array" ref="Z1073">_xlfn.XLOOKUP(Table1[[#This Row],[5 cm2 cell test code]:[5 cm2 cell test code]],[1]!Table1[[Test code]:[Test code]],[1]!Table1[3-E Tafel slope (mV/dec)],"",0)</f>
        <v>#REF!</v>
      </c>
      <c r="AA1073" s="69" t="e" cm="1">
        <f t="array" ref="AA1073">_xlfn.XLOOKUP(Table1[[#This Row],[5 cm2 cell test code]:[5 cm2 cell test code]],[1]!Table1[[Test code]:[Test code]],[1]!Table1[E @ 100 mA/cm2 DIW/V],"",0)</f>
        <v>#REF!</v>
      </c>
      <c r="AB1073" s="69" t="e" cm="1">
        <f t="array" ref="AB1073">_xlfn.XLOOKUP(Table1[[#This Row],[5 cm2 cell test code]:[5 cm2 cell test code]],[1]!Table1[[Test code]:[Test code]],[1]!Table1[E @ 100 mA/cm2 10 mM KOH/V],"",0)</f>
        <v>#REF!</v>
      </c>
      <c r="AC1073" s="69" t="e" cm="1">
        <f t="array" ref="AC1073">_xlfn.XLOOKUP(Table1[[#This Row],[5 cm2 cell test code]:[5 cm2 cell test code]],[1]!Table1[[Test code]:[Test code]],[1]!Table1[Anode ICR/mOhm],"",0)</f>
        <v>#REF!</v>
      </c>
      <c r="AD1073" s="69" t="e" cm="1">
        <f t="array" ref="AD1073">_xlfn.XLOOKUP(Table1[[#This Row],[5 cm2 cell test code]:[5 cm2 cell test code]],[1]!Table1[[Test code]:[Test code]],[1]!Table1[HFR DIW/ mOhm cm2],"",0)</f>
        <v>#REF!</v>
      </c>
      <c r="AE1073" s="69" t="e" cm="1">
        <f t="array" ref="AE1073">_xlfn.XLOOKUP(Table1[[#This Row],[5 cm2 cell test code]:[5 cm2 cell test code]],[1]!Table1[[Test code]:[Test code]],[1]!Table1[HFR 10 mM KOH/ mOhm cm2],"",0)</f>
        <v>#REF!</v>
      </c>
      <c r="AF1073" s="69" t="e" cm="1">
        <f t="array" ref="AF1073">_xlfn.XLOOKUP(Table1[[#This Row],[5 cm2 cell test code]:[5 cm2 cell test code]],[1]!Table1[[Test code]:[Test code]],[1]!Table1[Ionic resistance DIW/Ohm cm2],"",0)</f>
        <v>#REF!</v>
      </c>
      <c r="AG1073" s="69" t="e" cm="1">
        <f t="array" ref="AG1073">_xlfn.XLOOKUP(Table1[[#This Row],[5 cm2 cell test code]:[5 cm2 cell test code]],[1]!Table1[[Test code]:[Test code]],[1]!Table1[Q_int_frac DIW],"",0)</f>
        <v>#REF!</v>
      </c>
      <c r="AH1073" s="69" t="e" cm="1">
        <f t="array" ref="AH1073">_xlfn.XLOOKUP(Table1[[#This Row],[5 cm2 cell test code]:[5 cm2 cell test code]],[1]!Table1[[Test code]:[Test code]],[1]!Table1[Ionic resistance 10 mM KOH/Ohm cm2],"",0)</f>
        <v>#REF!</v>
      </c>
      <c r="AI1073" s="69" t="e" cm="1">
        <f t="array" ref="AI1073">_xlfn.XLOOKUP(Table1[[#This Row],[5 cm2 cell test code]:[5 cm2 cell test code]],[1]!Table1[[Test code]:[Test code]],[1]!Table1[Q_int_frac DIW 10 mM KOH],"",0)</f>
        <v>#REF!</v>
      </c>
      <c r="AJ1073" s="69" t="e" cm="1">
        <f t="array" ref="AJ1073">_xlfn.XLOOKUP(Table1[[#This Row],[5 cm2 cell test code]:[5 cm2 cell test code]],[1]!Table1[[Test code]:[Test code]],[1]!Table1[DIW conductivity (µS/cm)],"",0)</f>
        <v>#REF!</v>
      </c>
    </row>
    <row r="1074" spans="1:36">
      <c r="A1074" s="81"/>
      <c r="U1074" s="101"/>
      <c r="V1074" s="101"/>
      <c r="W1074" s="69" t="e" cm="1">
        <f t="array" ref="W1074">_xlfn.XLOOKUP(Table1[[#This Row],[5 cm2 cell test code]:[5 cm2 cell test code]],[1]!Table1[[Test code]:[Test code]],[1]!Table1[i @ 1.8 V DIW (A/cm2)],"",0)</f>
        <v>#REF!</v>
      </c>
      <c r="X1074" s="69" t="e" cm="1">
        <f t="array" ref="X1074">_xlfn.XLOOKUP(Table1[[#This Row],[5 cm2 cell test code]:[5 cm2 cell test code]],[1]!Table1[[Test code]:[Test code]],[1]!Table1[i @ 1.8 V 10 mM KOH (A/cm2)],"",0)</f>
        <v>#REF!</v>
      </c>
      <c r="Y1074" s="69" t="e" cm="1">
        <f t="array" ref="Y1074">_xlfn.XLOOKUP(Table1[[#This Row],[5 cm2 cell test code]:[5 cm2 cell test code]],[1]!Table1[[Test code]:[Test code]],[1]!Table1[3-E ƞ at 20mAcm-2 (mV)],"",0)</f>
        <v>#REF!</v>
      </c>
      <c r="Z1074" s="69" t="e" cm="1">
        <f t="array" ref="Z1074">_xlfn.XLOOKUP(Table1[[#This Row],[5 cm2 cell test code]:[5 cm2 cell test code]],[1]!Table1[[Test code]:[Test code]],[1]!Table1[3-E Tafel slope (mV/dec)],"",0)</f>
        <v>#REF!</v>
      </c>
      <c r="AA1074" s="69" t="e" cm="1">
        <f t="array" ref="AA1074">_xlfn.XLOOKUP(Table1[[#This Row],[5 cm2 cell test code]:[5 cm2 cell test code]],[1]!Table1[[Test code]:[Test code]],[1]!Table1[E @ 100 mA/cm2 DIW/V],"",0)</f>
        <v>#REF!</v>
      </c>
      <c r="AB1074" s="69" t="e" cm="1">
        <f t="array" ref="AB1074">_xlfn.XLOOKUP(Table1[[#This Row],[5 cm2 cell test code]:[5 cm2 cell test code]],[1]!Table1[[Test code]:[Test code]],[1]!Table1[E @ 100 mA/cm2 10 mM KOH/V],"",0)</f>
        <v>#REF!</v>
      </c>
      <c r="AC1074" s="69" t="e" cm="1">
        <f t="array" ref="AC1074">_xlfn.XLOOKUP(Table1[[#This Row],[5 cm2 cell test code]:[5 cm2 cell test code]],[1]!Table1[[Test code]:[Test code]],[1]!Table1[Anode ICR/mOhm],"",0)</f>
        <v>#REF!</v>
      </c>
      <c r="AD1074" s="69" t="e" cm="1">
        <f t="array" ref="AD1074">_xlfn.XLOOKUP(Table1[[#This Row],[5 cm2 cell test code]:[5 cm2 cell test code]],[1]!Table1[[Test code]:[Test code]],[1]!Table1[HFR DIW/ mOhm cm2],"",0)</f>
        <v>#REF!</v>
      </c>
      <c r="AE1074" s="69" t="e" cm="1">
        <f t="array" ref="AE1074">_xlfn.XLOOKUP(Table1[[#This Row],[5 cm2 cell test code]:[5 cm2 cell test code]],[1]!Table1[[Test code]:[Test code]],[1]!Table1[HFR 10 mM KOH/ mOhm cm2],"",0)</f>
        <v>#REF!</v>
      </c>
      <c r="AF1074" s="69" t="e" cm="1">
        <f t="array" ref="AF1074">_xlfn.XLOOKUP(Table1[[#This Row],[5 cm2 cell test code]:[5 cm2 cell test code]],[1]!Table1[[Test code]:[Test code]],[1]!Table1[Ionic resistance DIW/Ohm cm2],"",0)</f>
        <v>#REF!</v>
      </c>
      <c r="AG1074" s="69" t="e" cm="1">
        <f t="array" ref="AG1074">_xlfn.XLOOKUP(Table1[[#This Row],[5 cm2 cell test code]:[5 cm2 cell test code]],[1]!Table1[[Test code]:[Test code]],[1]!Table1[Q_int_frac DIW],"",0)</f>
        <v>#REF!</v>
      </c>
      <c r="AH1074" s="69" t="e" cm="1">
        <f t="array" ref="AH1074">_xlfn.XLOOKUP(Table1[[#This Row],[5 cm2 cell test code]:[5 cm2 cell test code]],[1]!Table1[[Test code]:[Test code]],[1]!Table1[Ionic resistance 10 mM KOH/Ohm cm2],"",0)</f>
        <v>#REF!</v>
      </c>
      <c r="AI1074" s="69" t="e" cm="1">
        <f t="array" ref="AI1074">_xlfn.XLOOKUP(Table1[[#This Row],[5 cm2 cell test code]:[5 cm2 cell test code]],[1]!Table1[[Test code]:[Test code]],[1]!Table1[Q_int_frac DIW 10 mM KOH],"",0)</f>
        <v>#REF!</v>
      </c>
      <c r="AJ1074" s="69" t="e" cm="1">
        <f t="array" ref="AJ1074">_xlfn.XLOOKUP(Table1[[#This Row],[5 cm2 cell test code]:[5 cm2 cell test code]],[1]!Table1[[Test code]:[Test code]],[1]!Table1[DIW conductivity (µS/cm)],"",0)</f>
        <v>#REF!</v>
      </c>
    </row>
    <row r="1075" spans="1:36">
      <c r="A1075" s="81"/>
      <c r="U1075" s="101"/>
      <c r="V1075" s="101"/>
      <c r="W1075" s="69" t="e" cm="1">
        <f t="array" ref="W1075">_xlfn.XLOOKUP(Table1[[#This Row],[5 cm2 cell test code]:[5 cm2 cell test code]],[1]!Table1[[Test code]:[Test code]],[1]!Table1[i @ 1.8 V DIW (A/cm2)],"",0)</f>
        <v>#REF!</v>
      </c>
      <c r="X1075" s="69" t="e" cm="1">
        <f t="array" ref="X1075">_xlfn.XLOOKUP(Table1[[#This Row],[5 cm2 cell test code]:[5 cm2 cell test code]],[1]!Table1[[Test code]:[Test code]],[1]!Table1[i @ 1.8 V 10 mM KOH (A/cm2)],"",0)</f>
        <v>#REF!</v>
      </c>
      <c r="Y1075" s="69" t="e" cm="1">
        <f t="array" ref="Y1075">_xlfn.XLOOKUP(Table1[[#This Row],[5 cm2 cell test code]:[5 cm2 cell test code]],[1]!Table1[[Test code]:[Test code]],[1]!Table1[3-E ƞ at 20mAcm-2 (mV)],"",0)</f>
        <v>#REF!</v>
      </c>
      <c r="Z1075" s="69" t="e" cm="1">
        <f t="array" ref="Z1075">_xlfn.XLOOKUP(Table1[[#This Row],[5 cm2 cell test code]:[5 cm2 cell test code]],[1]!Table1[[Test code]:[Test code]],[1]!Table1[3-E Tafel slope (mV/dec)],"",0)</f>
        <v>#REF!</v>
      </c>
      <c r="AA1075" s="69" t="e" cm="1">
        <f t="array" ref="AA1075">_xlfn.XLOOKUP(Table1[[#This Row],[5 cm2 cell test code]:[5 cm2 cell test code]],[1]!Table1[[Test code]:[Test code]],[1]!Table1[E @ 100 mA/cm2 DIW/V],"",0)</f>
        <v>#REF!</v>
      </c>
      <c r="AB1075" s="69" t="e" cm="1">
        <f t="array" ref="AB1075">_xlfn.XLOOKUP(Table1[[#This Row],[5 cm2 cell test code]:[5 cm2 cell test code]],[1]!Table1[[Test code]:[Test code]],[1]!Table1[E @ 100 mA/cm2 10 mM KOH/V],"",0)</f>
        <v>#REF!</v>
      </c>
      <c r="AC1075" s="69" t="e" cm="1">
        <f t="array" ref="AC1075">_xlfn.XLOOKUP(Table1[[#This Row],[5 cm2 cell test code]:[5 cm2 cell test code]],[1]!Table1[[Test code]:[Test code]],[1]!Table1[Anode ICR/mOhm],"",0)</f>
        <v>#REF!</v>
      </c>
      <c r="AD1075" s="69" t="e" cm="1">
        <f t="array" ref="AD1075">_xlfn.XLOOKUP(Table1[[#This Row],[5 cm2 cell test code]:[5 cm2 cell test code]],[1]!Table1[[Test code]:[Test code]],[1]!Table1[HFR DIW/ mOhm cm2],"",0)</f>
        <v>#REF!</v>
      </c>
      <c r="AE1075" s="69" t="e" cm="1">
        <f t="array" ref="AE1075">_xlfn.XLOOKUP(Table1[[#This Row],[5 cm2 cell test code]:[5 cm2 cell test code]],[1]!Table1[[Test code]:[Test code]],[1]!Table1[HFR 10 mM KOH/ mOhm cm2],"",0)</f>
        <v>#REF!</v>
      </c>
      <c r="AF1075" s="69" t="e" cm="1">
        <f t="array" ref="AF1075">_xlfn.XLOOKUP(Table1[[#This Row],[5 cm2 cell test code]:[5 cm2 cell test code]],[1]!Table1[[Test code]:[Test code]],[1]!Table1[Ionic resistance DIW/Ohm cm2],"",0)</f>
        <v>#REF!</v>
      </c>
      <c r="AG1075" s="69" t="e" cm="1">
        <f t="array" ref="AG1075">_xlfn.XLOOKUP(Table1[[#This Row],[5 cm2 cell test code]:[5 cm2 cell test code]],[1]!Table1[[Test code]:[Test code]],[1]!Table1[Q_int_frac DIW],"",0)</f>
        <v>#REF!</v>
      </c>
      <c r="AH1075" s="69" t="e" cm="1">
        <f t="array" ref="AH1075">_xlfn.XLOOKUP(Table1[[#This Row],[5 cm2 cell test code]:[5 cm2 cell test code]],[1]!Table1[[Test code]:[Test code]],[1]!Table1[Ionic resistance 10 mM KOH/Ohm cm2],"",0)</f>
        <v>#REF!</v>
      </c>
      <c r="AI1075" s="69" t="e" cm="1">
        <f t="array" ref="AI1075">_xlfn.XLOOKUP(Table1[[#This Row],[5 cm2 cell test code]:[5 cm2 cell test code]],[1]!Table1[[Test code]:[Test code]],[1]!Table1[Q_int_frac DIW 10 mM KOH],"",0)</f>
        <v>#REF!</v>
      </c>
      <c r="AJ1075" s="69" t="e" cm="1">
        <f t="array" ref="AJ1075">_xlfn.XLOOKUP(Table1[[#This Row],[5 cm2 cell test code]:[5 cm2 cell test code]],[1]!Table1[[Test code]:[Test code]],[1]!Table1[DIW conductivity (µS/cm)],"",0)</f>
        <v>#REF!</v>
      </c>
    </row>
    <row r="1076" spans="1:36">
      <c r="A1076" s="81"/>
      <c r="U1076" s="101"/>
      <c r="V1076" s="101"/>
      <c r="W1076" s="69" t="e" cm="1">
        <f t="array" ref="W1076">_xlfn.XLOOKUP(Table1[[#This Row],[5 cm2 cell test code]:[5 cm2 cell test code]],[1]!Table1[[Test code]:[Test code]],[1]!Table1[i @ 1.8 V DIW (A/cm2)],"",0)</f>
        <v>#REF!</v>
      </c>
      <c r="X1076" s="69" t="e" cm="1">
        <f t="array" ref="X1076">_xlfn.XLOOKUP(Table1[[#This Row],[5 cm2 cell test code]:[5 cm2 cell test code]],[1]!Table1[[Test code]:[Test code]],[1]!Table1[i @ 1.8 V 10 mM KOH (A/cm2)],"",0)</f>
        <v>#REF!</v>
      </c>
      <c r="Y1076" s="69" t="e" cm="1">
        <f t="array" ref="Y1076">_xlfn.XLOOKUP(Table1[[#This Row],[5 cm2 cell test code]:[5 cm2 cell test code]],[1]!Table1[[Test code]:[Test code]],[1]!Table1[3-E ƞ at 20mAcm-2 (mV)],"",0)</f>
        <v>#REF!</v>
      </c>
      <c r="Z1076" s="69" t="e" cm="1">
        <f t="array" ref="Z1076">_xlfn.XLOOKUP(Table1[[#This Row],[5 cm2 cell test code]:[5 cm2 cell test code]],[1]!Table1[[Test code]:[Test code]],[1]!Table1[3-E Tafel slope (mV/dec)],"",0)</f>
        <v>#REF!</v>
      </c>
      <c r="AA1076" s="69" t="e" cm="1">
        <f t="array" ref="AA1076">_xlfn.XLOOKUP(Table1[[#This Row],[5 cm2 cell test code]:[5 cm2 cell test code]],[1]!Table1[[Test code]:[Test code]],[1]!Table1[E @ 100 mA/cm2 DIW/V],"",0)</f>
        <v>#REF!</v>
      </c>
      <c r="AB1076" s="69" t="e" cm="1">
        <f t="array" ref="AB1076">_xlfn.XLOOKUP(Table1[[#This Row],[5 cm2 cell test code]:[5 cm2 cell test code]],[1]!Table1[[Test code]:[Test code]],[1]!Table1[E @ 100 mA/cm2 10 mM KOH/V],"",0)</f>
        <v>#REF!</v>
      </c>
      <c r="AC1076" s="69" t="e" cm="1">
        <f t="array" ref="AC1076">_xlfn.XLOOKUP(Table1[[#This Row],[5 cm2 cell test code]:[5 cm2 cell test code]],[1]!Table1[[Test code]:[Test code]],[1]!Table1[Anode ICR/mOhm],"",0)</f>
        <v>#REF!</v>
      </c>
      <c r="AD1076" s="69" t="e" cm="1">
        <f t="array" ref="AD1076">_xlfn.XLOOKUP(Table1[[#This Row],[5 cm2 cell test code]:[5 cm2 cell test code]],[1]!Table1[[Test code]:[Test code]],[1]!Table1[HFR DIW/ mOhm cm2],"",0)</f>
        <v>#REF!</v>
      </c>
      <c r="AE1076" s="69" t="e" cm="1">
        <f t="array" ref="AE1076">_xlfn.XLOOKUP(Table1[[#This Row],[5 cm2 cell test code]:[5 cm2 cell test code]],[1]!Table1[[Test code]:[Test code]],[1]!Table1[HFR 10 mM KOH/ mOhm cm2],"",0)</f>
        <v>#REF!</v>
      </c>
      <c r="AF1076" s="69" t="e" cm="1">
        <f t="array" ref="AF1076">_xlfn.XLOOKUP(Table1[[#This Row],[5 cm2 cell test code]:[5 cm2 cell test code]],[1]!Table1[[Test code]:[Test code]],[1]!Table1[Ionic resistance DIW/Ohm cm2],"",0)</f>
        <v>#REF!</v>
      </c>
      <c r="AG1076" s="69" t="e" cm="1">
        <f t="array" ref="AG1076">_xlfn.XLOOKUP(Table1[[#This Row],[5 cm2 cell test code]:[5 cm2 cell test code]],[1]!Table1[[Test code]:[Test code]],[1]!Table1[Q_int_frac DIW],"",0)</f>
        <v>#REF!</v>
      </c>
      <c r="AH1076" s="69" t="e" cm="1">
        <f t="array" ref="AH1076">_xlfn.XLOOKUP(Table1[[#This Row],[5 cm2 cell test code]:[5 cm2 cell test code]],[1]!Table1[[Test code]:[Test code]],[1]!Table1[Ionic resistance 10 mM KOH/Ohm cm2],"",0)</f>
        <v>#REF!</v>
      </c>
      <c r="AI1076" s="69" t="e" cm="1">
        <f t="array" ref="AI1076">_xlfn.XLOOKUP(Table1[[#This Row],[5 cm2 cell test code]:[5 cm2 cell test code]],[1]!Table1[[Test code]:[Test code]],[1]!Table1[Q_int_frac DIW 10 mM KOH],"",0)</f>
        <v>#REF!</v>
      </c>
      <c r="AJ1076" s="69" t="e" cm="1">
        <f t="array" ref="AJ1076">_xlfn.XLOOKUP(Table1[[#This Row],[5 cm2 cell test code]:[5 cm2 cell test code]],[1]!Table1[[Test code]:[Test code]],[1]!Table1[DIW conductivity (µS/cm)],"",0)</f>
        <v>#REF!</v>
      </c>
    </row>
    <row r="1077" spans="1:36">
      <c r="A1077" s="81"/>
      <c r="U1077" s="101"/>
      <c r="V1077" s="101"/>
      <c r="W1077" s="69" t="e" cm="1">
        <f t="array" ref="W1077">_xlfn.XLOOKUP(Table1[[#This Row],[5 cm2 cell test code]:[5 cm2 cell test code]],[1]!Table1[[Test code]:[Test code]],[1]!Table1[i @ 1.8 V DIW (A/cm2)],"",0)</f>
        <v>#REF!</v>
      </c>
      <c r="X1077" s="69" t="e" cm="1">
        <f t="array" ref="X1077">_xlfn.XLOOKUP(Table1[[#This Row],[5 cm2 cell test code]:[5 cm2 cell test code]],[1]!Table1[[Test code]:[Test code]],[1]!Table1[i @ 1.8 V 10 mM KOH (A/cm2)],"",0)</f>
        <v>#REF!</v>
      </c>
      <c r="Y1077" s="69" t="e" cm="1">
        <f t="array" ref="Y1077">_xlfn.XLOOKUP(Table1[[#This Row],[5 cm2 cell test code]:[5 cm2 cell test code]],[1]!Table1[[Test code]:[Test code]],[1]!Table1[3-E ƞ at 20mAcm-2 (mV)],"",0)</f>
        <v>#REF!</v>
      </c>
      <c r="Z1077" s="69" t="e" cm="1">
        <f t="array" ref="Z1077">_xlfn.XLOOKUP(Table1[[#This Row],[5 cm2 cell test code]:[5 cm2 cell test code]],[1]!Table1[[Test code]:[Test code]],[1]!Table1[3-E Tafel slope (mV/dec)],"",0)</f>
        <v>#REF!</v>
      </c>
      <c r="AA1077" s="69" t="e" cm="1">
        <f t="array" ref="AA1077">_xlfn.XLOOKUP(Table1[[#This Row],[5 cm2 cell test code]:[5 cm2 cell test code]],[1]!Table1[[Test code]:[Test code]],[1]!Table1[E @ 100 mA/cm2 DIW/V],"",0)</f>
        <v>#REF!</v>
      </c>
      <c r="AB1077" s="69" t="e" cm="1">
        <f t="array" ref="AB1077">_xlfn.XLOOKUP(Table1[[#This Row],[5 cm2 cell test code]:[5 cm2 cell test code]],[1]!Table1[[Test code]:[Test code]],[1]!Table1[E @ 100 mA/cm2 10 mM KOH/V],"",0)</f>
        <v>#REF!</v>
      </c>
      <c r="AC1077" s="69" t="e" cm="1">
        <f t="array" ref="AC1077">_xlfn.XLOOKUP(Table1[[#This Row],[5 cm2 cell test code]:[5 cm2 cell test code]],[1]!Table1[[Test code]:[Test code]],[1]!Table1[Anode ICR/mOhm],"",0)</f>
        <v>#REF!</v>
      </c>
      <c r="AD1077" s="69" t="e" cm="1">
        <f t="array" ref="AD1077">_xlfn.XLOOKUP(Table1[[#This Row],[5 cm2 cell test code]:[5 cm2 cell test code]],[1]!Table1[[Test code]:[Test code]],[1]!Table1[HFR DIW/ mOhm cm2],"",0)</f>
        <v>#REF!</v>
      </c>
      <c r="AE1077" s="69" t="e" cm="1">
        <f t="array" ref="AE1077">_xlfn.XLOOKUP(Table1[[#This Row],[5 cm2 cell test code]:[5 cm2 cell test code]],[1]!Table1[[Test code]:[Test code]],[1]!Table1[HFR 10 mM KOH/ mOhm cm2],"",0)</f>
        <v>#REF!</v>
      </c>
      <c r="AF1077" s="69" t="e" cm="1">
        <f t="array" ref="AF1077">_xlfn.XLOOKUP(Table1[[#This Row],[5 cm2 cell test code]:[5 cm2 cell test code]],[1]!Table1[[Test code]:[Test code]],[1]!Table1[Ionic resistance DIW/Ohm cm2],"",0)</f>
        <v>#REF!</v>
      </c>
      <c r="AG1077" s="69" t="e" cm="1">
        <f t="array" ref="AG1077">_xlfn.XLOOKUP(Table1[[#This Row],[5 cm2 cell test code]:[5 cm2 cell test code]],[1]!Table1[[Test code]:[Test code]],[1]!Table1[Q_int_frac DIW],"",0)</f>
        <v>#REF!</v>
      </c>
      <c r="AH1077" s="69" t="e" cm="1">
        <f t="array" ref="AH1077">_xlfn.XLOOKUP(Table1[[#This Row],[5 cm2 cell test code]:[5 cm2 cell test code]],[1]!Table1[[Test code]:[Test code]],[1]!Table1[Ionic resistance 10 mM KOH/Ohm cm2],"",0)</f>
        <v>#REF!</v>
      </c>
      <c r="AI1077" s="69" t="e" cm="1">
        <f t="array" ref="AI1077">_xlfn.XLOOKUP(Table1[[#This Row],[5 cm2 cell test code]:[5 cm2 cell test code]],[1]!Table1[[Test code]:[Test code]],[1]!Table1[Q_int_frac DIW 10 mM KOH],"",0)</f>
        <v>#REF!</v>
      </c>
      <c r="AJ1077" s="69" t="e" cm="1">
        <f t="array" ref="AJ1077">_xlfn.XLOOKUP(Table1[[#This Row],[5 cm2 cell test code]:[5 cm2 cell test code]],[1]!Table1[[Test code]:[Test code]],[1]!Table1[DIW conductivity (µS/cm)],"",0)</f>
        <v>#REF!</v>
      </c>
    </row>
    <row r="1078" spans="1:36">
      <c r="A1078" s="81"/>
      <c r="U1078" s="101"/>
      <c r="V1078" s="101"/>
      <c r="W1078" s="69" t="e" cm="1">
        <f t="array" ref="W1078">_xlfn.XLOOKUP(Table1[[#This Row],[5 cm2 cell test code]:[5 cm2 cell test code]],[1]!Table1[[Test code]:[Test code]],[1]!Table1[i @ 1.8 V DIW (A/cm2)],"",0)</f>
        <v>#REF!</v>
      </c>
      <c r="X1078" s="69" t="e" cm="1">
        <f t="array" ref="X1078">_xlfn.XLOOKUP(Table1[[#This Row],[5 cm2 cell test code]:[5 cm2 cell test code]],[1]!Table1[[Test code]:[Test code]],[1]!Table1[i @ 1.8 V 10 mM KOH (A/cm2)],"",0)</f>
        <v>#REF!</v>
      </c>
      <c r="Y1078" s="69" t="e" cm="1">
        <f t="array" ref="Y1078">_xlfn.XLOOKUP(Table1[[#This Row],[5 cm2 cell test code]:[5 cm2 cell test code]],[1]!Table1[[Test code]:[Test code]],[1]!Table1[3-E ƞ at 20mAcm-2 (mV)],"",0)</f>
        <v>#REF!</v>
      </c>
      <c r="Z1078" s="69" t="e" cm="1">
        <f t="array" ref="Z1078">_xlfn.XLOOKUP(Table1[[#This Row],[5 cm2 cell test code]:[5 cm2 cell test code]],[1]!Table1[[Test code]:[Test code]],[1]!Table1[3-E Tafel slope (mV/dec)],"",0)</f>
        <v>#REF!</v>
      </c>
      <c r="AA1078" s="69" t="e" cm="1">
        <f t="array" ref="AA1078">_xlfn.XLOOKUP(Table1[[#This Row],[5 cm2 cell test code]:[5 cm2 cell test code]],[1]!Table1[[Test code]:[Test code]],[1]!Table1[E @ 100 mA/cm2 DIW/V],"",0)</f>
        <v>#REF!</v>
      </c>
      <c r="AB1078" s="69" t="e" cm="1">
        <f t="array" ref="AB1078">_xlfn.XLOOKUP(Table1[[#This Row],[5 cm2 cell test code]:[5 cm2 cell test code]],[1]!Table1[[Test code]:[Test code]],[1]!Table1[E @ 100 mA/cm2 10 mM KOH/V],"",0)</f>
        <v>#REF!</v>
      </c>
      <c r="AC1078" s="69" t="e" cm="1">
        <f t="array" ref="AC1078">_xlfn.XLOOKUP(Table1[[#This Row],[5 cm2 cell test code]:[5 cm2 cell test code]],[1]!Table1[[Test code]:[Test code]],[1]!Table1[Anode ICR/mOhm],"",0)</f>
        <v>#REF!</v>
      </c>
      <c r="AD1078" s="69" t="e" cm="1">
        <f t="array" ref="AD1078">_xlfn.XLOOKUP(Table1[[#This Row],[5 cm2 cell test code]:[5 cm2 cell test code]],[1]!Table1[[Test code]:[Test code]],[1]!Table1[HFR DIW/ mOhm cm2],"",0)</f>
        <v>#REF!</v>
      </c>
      <c r="AE1078" s="69" t="e" cm="1">
        <f t="array" ref="AE1078">_xlfn.XLOOKUP(Table1[[#This Row],[5 cm2 cell test code]:[5 cm2 cell test code]],[1]!Table1[[Test code]:[Test code]],[1]!Table1[HFR 10 mM KOH/ mOhm cm2],"",0)</f>
        <v>#REF!</v>
      </c>
      <c r="AF1078" s="69" t="e" cm="1">
        <f t="array" ref="AF1078">_xlfn.XLOOKUP(Table1[[#This Row],[5 cm2 cell test code]:[5 cm2 cell test code]],[1]!Table1[[Test code]:[Test code]],[1]!Table1[Ionic resistance DIW/Ohm cm2],"",0)</f>
        <v>#REF!</v>
      </c>
      <c r="AG1078" s="69" t="e" cm="1">
        <f t="array" ref="AG1078">_xlfn.XLOOKUP(Table1[[#This Row],[5 cm2 cell test code]:[5 cm2 cell test code]],[1]!Table1[[Test code]:[Test code]],[1]!Table1[Q_int_frac DIW],"",0)</f>
        <v>#REF!</v>
      </c>
      <c r="AH1078" s="69" t="e" cm="1">
        <f t="array" ref="AH1078">_xlfn.XLOOKUP(Table1[[#This Row],[5 cm2 cell test code]:[5 cm2 cell test code]],[1]!Table1[[Test code]:[Test code]],[1]!Table1[Ionic resistance 10 mM KOH/Ohm cm2],"",0)</f>
        <v>#REF!</v>
      </c>
      <c r="AI1078" s="69" t="e" cm="1">
        <f t="array" ref="AI1078">_xlfn.XLOOKUP(Table1[[#This Row],[5 cm2 cell test code]:[5 cm2 cell test code]],[1]!Table1[[Test code]:[Test code]],[1]!Table1[Q_int_frac DIW 10 mM KOH],"",0)</f>
        <v>#REF!</v>
      </c>
      <c r="AJ1078" s="69" t="e" cm="1">
        <f t="array" ref="AJ1078">_xlfn.XLOOKUP(Table1[[#This Row],[5 cm2 cell test code]:[5 cm2 cell test code]],[1]!Table1[[Test code]:[Test code]],[1]!Table1[DIW conductivity (µS/cm)],"",0)</f>
        <v>#REF!</v>
      </c>
    </row>
    <row r="1079" spans="1:36">
      <c r="A1079" s="81"/>
      <c r="U1079" s="101"/>
      <c r="V1079" s="101"/>
      <c r="W1079" s="69" t="e" cm="1">
        <f t="array" ref="W1079">_xlfn.XLOOKUP(Table1[[#This Row],[5 cm2 cell test code]:[5 cm2 cell test code]],[1]!Table1[[Test code]:[Test code]],[1]!Table1[i @ 1.8 V DIW (A/cm2)],"",0)</f>
        <v>#REF!</v>
      </c>
      <c r="X1079" s="69" t="e" cm="1">
        <f t="array" ref="X1079">_xlfn.XLOOKUP(Table1[[#This Row],[5 cm2 cell test code]:[5 cm2 cell test code]],[1]!Table1[[Test code]:[Test code]],[1]!Table1[i @ 1.8 V 10 mM KOH (A/cm2)],"",0)</f>
        <v>#REF!</v>
      </c>
      <c r="Y1079" s="69" t="e" cm="1">
        <f t="array" ref="Y1079">_xlfn.XLOOKUP(Table1[[#This Row],[5 cm2 cell test code]:[5 cm2 cell test code]],[1]!Table1[[Test code]:[Test code]],[1]!Table1[3-E ƞ at 20mAcm-2 (mV)],"",0)</f>
        <v>#REF!</v>
      </c>
      <c r="Z1079" s="69" t="e" cm="1">
        <f t="array" ref="Z1079">_xlfn.XLOOKUP(Table1[[#This Row],[5 cm2 cell test code]:[5 cm2 cell test code]],[1]!Table1[[Test code]:[Test code]],[1]!Table1[3-E Tafel slope (mV/dec)],"",0)</f>
        <v>#REF!</v>
      </c>
      <c r="AA1079" s="69" t="e" cm="1">
        <f t="array" ref="AA1079">_xlfn.XLOOKUP(Table1[[#This Row],[5 cm2 cell test code]:[5 cm2 cell test code]],[1]!Table1[[Test code]:[Test code]],[1]!Table1[E @ 100 mA/cm2 DIW/V],"",0)</f>
        <v>#REF!</v>
      </c>
      <c r="AB1079" s="69" t="e" cm="1">
        <f t="array" ref="AB1079">_xlfn.XLOOKUP(Table1[[#This Row],[5 cm2 cell test code]:[5 cm2 cell test code]],[1]!Table1[[Test code]:[Test code]],[1]!Table1[E @ 100 mA/cm2 10 mM KOH/V],"",0)</f>
        <v>#REF!</v>
      </c>
      <c r="AC1079" s="69" t="e" cm="1">
        <f t="array" ref="AC1079">_xlfn.XLOOKUP(Table1[[#This Row],[5 cm2 cell test code]:[5 cm2 cell test code]],[1]!Table1[[Test code]:[Test code]],[1]!Table1[Anode ICR/mOhm],"",0)</f>
        <v>#REF!</v>
      </c>
      <c r="AD1079" s="69" t="e" cm="1">
        <f t="array" ref="AD1079">_xlfn.XLOOKUP(Table1[[#This Row],[5 cm2 cell test code]:[5 cm2 cell test code]],[1]!Table1[[Test code]:[Test code]],[1]!Table1[HFR DIW/ mOhm cm2],"",0)</f>
        <v>#REF!</v>
      </c>
      <c r="AE1079" s="69" t="e" cm="1">
        <f t="array" ref="AE1079">_xlfn.XLOOKUP(Table1[[#This Row],[5 cm2 cell test code]:[5 cm2 cell test code]],[1]!Table1[[Test code]:[Test code]],[1]!Table1[HFR 10 mM KOH/ mOhm cm2],"",0)</f>
        <v>#REF!</v>
      </c>
      <c r="AF1079" s="69" t="e" cm="1">
        <f t="array" ref="AF1079">_xlfn.XLOOKUP(Table1[[#This Row],[5 cm2 cell test code]:[5 cm2 cell test code]],[1]!Table1[[Test code]:[Test code]],[1]!Table1[Ionic resistance DIW/Ohm cm2],"",0)</f>
        <v>#REF!</v>
      </c>
      <c r="AG1079" s="69" t="e" cm="1">
        <f t="array" ref="AG1079">_xlfn.XLOOKUP(Table1[[#This Row],[5 cm2 cell test code]:[5 cm2 cell test code]],[1]!Table1[[Test code]:[Test code]],[1]!Table1[Q_int_frac DIW],"",0)</f>
        <v>#REF!</v>
      </c>
      <c r="AH1079" s="69" t="e" cm="1">
        <f t="array" ref="AH1079">_xlfn.XLOOKUP(Table1[[#This Row],[5 cm2 cell test code]:[5 cm2 cell test code]],[1]!Table1[[Test code]:[Test code]],[1]!Table1[Ionic resistance 10 mM KOH/Ohm cm2],"",0)</f>
        <v>#REF!</v>
      </c>
      <c r="AI1079" s="69" t="e" cm="1">
        <f t="array" ref="AI1079">_xlfn.XLOOKUP(Table1[[#This Row],[5 cm2 cell test code]:[5 cm2 cell test code]],[1]!Table1[[Test code]:[Test code]],[1]!Table1[Q_int_frac DIW 10 mM KOH],"",0)</f>
        <v>#REF!</v>
      </c>
      <c r="AJ1079" s="69" t="e" cm="1">
        <f t="array" ref="AJ1079">_xlfn.XLOOKUP(Table1[[#This Row],[5 cm2 cell test code]:[5 cm2 cell test code]],[1]!Table1[[Test code]:[Test code]],[1]!Table1[DIW conductivity (µS/cm)],"",0)</f>
        <v>#REF!</v>
      </c>
    </row>
    <row r="1080" spans="1:36">
      <c r="A1080" s="81"/>
      <c r="U1080" s="101"/>
      <c r="V1080" s="101"/>
      <c r="W1080" s="69" t="e" cm="1">
        <f t="array" ref="W1080">_xlfn.XLOOKUP(Table1[[#This Row],[5 cm2 cell test code]:[5 cm2 cell test code]],[1]!Table1[[Test code]:[Test code]],[1]!Table1[i @ 1.8 V DIW (A/cm2)],"",0)</f>
        <v>#REF!</v>
      </c>
      <c r="X1080" s="69" t="e" cm="1">
        <f t="array" ref="X1080">_xlfn.XLOOKUP(Table1[[#This Row],[5 cm2 cell test code]:[5 cm2 cell test code]],[1]!Table1[[Test code]:[Test code]],[1]!Table1[i @ 1.8 V 10 mM KOH (A/cm2)],"",0)</f>
        <v>#REF!</v>
      </c>
      <c r="Y1080" s="69" t="e" cm="1">
        <f t="array" ref="Y1080">_xlfn.XLOOKUP(Table1[[#This Row],[5 cm2 cell test code]:[5 cm2 cell test code]],[1]!Table1[[Test code]:[Test code]],[1]!Table1[3-E ƞ at 20mAcm-2 (mV)],"",0)</f>
        <v>#REF!</v>
      </c>
      <c r="Z1080" s="69" t="e" cm="1">
        <f t="array" ref="Z1080">_xlfn.XLOOKUP(Table1[[#This Row],[5 cm2 cell test code]:[5 cm2 cell test code]],[1]!Table1[[Test code]:[Test code]],[1]!Table1[3-E Tafel slope (mV/dec)],"",0)</f>
        <v>#REF!</v>
      </c>
      <c r="AA1080" s="69" t="e" cm="1">
        <f t="array" ref="AA1080">_xlfn.XLOOKUP(Table1[[#This Row],[5 cm2 cell test code]:[5 cm2 cell test code]],[1]!Table1[[Test code]:[Test code]],[1]!Table1[E @ 100 mA/cm2 DIW/V],"",0)</f>
        <v>#REF!</v>
      </c>
      <c r="AB1080" s="69" t="e" cm="1">
        <f t="array" ref="AB1080">_xlfn.XLOOKUP(Table1[[#This Row],[5 cm2 cell test code]:[5 cm2 cell test code]],[1]!Table1[[Test code]:[Test code]],[1]!Table1[E @ 100 mA/cm2 10 mM KOH/V],"",0)</f>
        <v>#REF!</v>
      </c>
      <c r="AC1080" s="69" t="e" cm="1">
        <f t="array" ref="AC1080">_xlfn.XLOOKUP(Table1[[#This Row],[5 cm2 cell test code]:[5 cm2 cell test code]],[1]!Table1[[Test code]:[Test code]],[1]!Table1[Anode ICR/mOhm],"",0)</f>
        <v>#REF!</v>
      </c>
      <c r="AD1080" s="69" t="e" cm="1">
        <f t="array" ref="AD1080">_xlfn.XLOOKUP(Table1[[#This Row],[5 cm2 cell test code]:[5 cm2 cell test code]],[1]!Table1[[Test code]:[Test code]],[1]!Table1[HFR DIW/ mOhm cm2],"",0)</f>
        <v>#REF!</v>
      </c>
      <c r="AE1080" s="69" t="e" cm="1">
        <f t="array" ref="AE1080">_xlfn.XLOOKUP(Table1[[#This Row],[5 cm2 cell test code]:[5 cm2 cell test code]],[1]!Table1[[Test code]:[Test code]],[1]!Table1[HFR 10 mM KOH/ mOhm cm2],"",0)</f>
        <v>#REF!</v>
      </c>
      <c r="AF1080" s="69" t="e" cm="1">
        <f t="array" ref="AF1080">_xlfn.XLOOKUP(Table1[[#This Row],[5 cm2 cell test code]:[5 cm2 cell test code]],[1]!Table1[[Test code]:[Test code]],[1]!Table1[Ionic resistance DIW/Ohm cm2],"",0)</f>
        <v>#REF!</v>
      </c>
      <c r="AG1080" s="69" t="e" cm="1">
        <f t="array" ref="AG1080">_xlfn.XLOOKUP(Table1[[#This Row],[5 cm2 cell test code]:[5 cm2 cell test code]],[1]!Table1[[Test code]:[Test code]],[1]!Table1[Q_int_frac DIW],"",0)</f>
        <v>#REF!</v>
      </c>
      <c r="AH1080" s="69" t="e" cm="1">
        <f t="array" ref="AH1080">_xlfn.XLOOKUP(Table1[[#This Row],[5 cm2 cell test code]:[5 cm2 cell test code]],[1]!Table1[[Test code]:[Test code]],[1]!Table1[Ionic resistance 10 mM KOH/Ohm cm2],"",0)</f>
        <v>#REF!</v>
      </c>
      <c r="AI1080" s="69" t="e" cm="1">
        <f t="array" ref="AI1080">_xlfn.XLOOKUP(Table1[[#This Row],[5 cm2 cell test code]:[5 cm2 cell test code]],[1]!Table1[[Test code]:[Test code]],[1]!Table1[Q_int_frac DIW 10 mM KOH],"",0)</f>
        <v>#REF!</v>
      </c>
      <c r="AJ1080" s="69" t="e" cm="1">
        <f t="array" ref="AJ1080">_xlfn.XLOOKUP(Table1[[#This Row],[5 cm2 cell test code]:[5 cm2 cell test code]],[1]!Table1[[Test code]:[Test code]],[1]!Table1[DIW conductivity (µS/cm)],"",0)</f>
        <v>#REF!</v>
      </c>
    </row>
    <row r="1081" spans="1:36">
      <c r="A1081" s="81"/>
      <c r="U1081" s="101"/>
      <c r="V1081" s="101"/>
      <c r="W1081" s="69" t="e" cm="1">
        <f t="array" ref="W1081">_xlfn.XLOOKUP(Table1[[#This Row],[5 cm2 cell test code]:[5 cm2 cell test code]],[1]!Table1[[Test code]:[Test code]],[1]!Table1[i @ 1.8 V DIW (A/cm2)],"",0)</f>
        <v>#REF!</v>
      </c>
      <c r="X1081" s="69" t="e" cm="1">
        <f t="array" ref="X1081">_xlfn.XLOOKUP(Table1[[#This Row],[5 cm2 cell test code]:[5 cm2 cell test code]],[1]!Table1[[Test code]:[Test code]],[1]!Table1[i @ 1.8 V 10 mM KOH (A/cm2)],"",0)</f>
        <v>#REF!</v>
      </c>
      <c r="Y1081" s="69" t="e" cm="1">
        <f t="array" ref="Y1081">_xlfn.XLOOKUP(Table1[[#This Row],[5 cm2 cell test code]:[5 cm2 cell test code]],[1]!Table1[[Test code]:[Test code]],[1]!Table1[3-E ƞ at 20mAcm-2 (mV)],"",0)</f>
        <v>#REF!</v>
      </c>
      <c r="Z1081" s="69" t="e" cm="1">
        <f t="array" ref="Z1081">_xlfn.XLOOKUP(Table1[[#This Row],[5 cm2 cell test code]:[5 cm2 cell test code]],[1]!Table1[[Test code]:[Test code]],[1]!Table1[3-E Tafel slope (mV/dec)],"",0)</f>
        <v>#REF!</v>
      </c>
      <c r="AA1081" s="69" t="e" cm="1">
        <f t="array" ref="AA1081">_xlfn.XLOOKUP(Table1[[#This Row],[5 cm2 cell test code]:[5 cm2 cell test code]],[1]!Table1[[Test code]:[Test code]],[1]!Table1[E @ 100 mA/cm2 DIW/V],"",0)</f>
        <v>#REF!</v>
      </c>
      <c r="AB1081" s="69" t="e" cm="1">
        <f t="array" ref="AB1081">_xlfn.XLOOKUP(Table1[[#This Row],[5 cm2 cell test code]:[5 cm2 cell test code]],[1]!Table1[[Test code]:[Test code]],[1]!Table1[E @ 100 mA/cm2 10 mM KOH/V],"",0)</f>
        <v>#REF!</v>
      </c>
      <c r="AC1081" s="69" t="e" cm="1">
        <f t="array" ref="AC1081">_xlfn.XLOOKUP(Table1[[#This Row],[5 cm2 cell test code]:[5 cm2 cell test code]],[1]!Table1[[Test code]:[Test code]],[1]!Table1[Anode ICR/mOhm],"",0)</f>
        <v>#REF!</v>
      </c>
      <c r="AD1081" s="69" t="e" cm="1">
        <f t="array" ref="AD1081">_xlfn.XLOOKUP(Table1[[#This Row],[5 cm2 cell test code]:[5 cm2 cell test code]],[1]!Table1[[Test code]:[Test code]],[1]!Table1[HFR DIW/ mOhm cm2],"",0)</f>
        <v>#REF!</v>
      </c>
      <c r="AE1081" s="69" t="e" cm="1">
        <f t="array" ref="AE1081">_xlfn.XLOOKUP(Table1[[#This Row],[5 cm2 cell test code]:[5 cm2 cell test code]],[1]!Table1[[Test code]:[Test code]],[1]!Table1[HFR 10 mM KOH/ mOhm cm2],"",0)</f>
        <v>#REF!</v>
      </c>
      <c r="AF1081" s="69" t="e" cm="1">
        <f t="array" ref="AF1081">_xlfn.XLOOKUP(Table1[[#This Row],[5 cm2 cell test code]:[5 cm2 cell test code]],[1]!Table1[[Test code]:[Test code]],[1]!Table1[Ionic resistance DIW/Ohm cm2],"",0)</f>
        <v>#REF!</v>
      </c>
      <c r="AG1081" s="69" t="e" cm="1">
        <f t="array" ref="AG1081">_xlfn.XLOOKUP(Table1[[#This Row],[5 cm2 cell test code]:[5 cm2 cell test code]],[1]!Table1[[Test code]:[Test code]],[1]!Table1[Q_int_frac DIW],"",0)</f>
        <v>#REF!</v>
      </c>
      <c r="AH1081" s="69" t="e" cm="1">
        <f t="array" ref="AH1081">_xlfn.XLOOKUP(Table1[[#This Row],[5 cm2 cell test code]:[5 cm2 cell test code]],[1]!Table1[[Test code]:[Test code]],[1]!Table1[Ionic resistance 10 mM KOH/Ohm cm2],"",0)</f>
        <v>#REF!</v>
      </c>
      <c r="AI1081" s="69" t="e" cm="1">
        <f t="array" ref="AI1081">_xlfn.XLOOKUP(Table1[[#This Row],[5 cm2 cell test code]:[5 cm2 cell test code]],[1]!Table1[[Test code]:[Test code]],[1]!Table1[Q_int_frac DIW 10 mM KOH],"",0)</f>
        <v>#REF!</v>
      </c>
      <c r="AJ1081" s="69" t="e" cm="1">
        <f t="array" ref="AJ1081">_xlfn.XLOOKUP(Table1[[#This Row],[5 cm2 cell test code]:[5 cm2 cell test code]],[1]!Table1[[Test code]:[Test code]],[1]!Table1[DIW conductivity (µS/cm)],"",0)</f>
        <v>#REF!</v>
      </c>
    </row>
    <row r="1082" spans="1:36">
      <c r="A1082" s="81"/>
      <c r="U1082" s="101"/>
      <c r="V1082" s="101"/>
      <c r="W1082" s="69" t="e" cm="1">
        <f t="array" ref="W1082">_xlfn.XLOOKUP(Table1[[#This Row],[5 cm2 cell test code]:[5 cm2 cell test code]],[1]!Table1[[Test code]:[Test code]],[1]!Table1[i @ 1.8 V DIW (A/cm2)],"",0)</f>
        <v>#REF!</v>
      </c>
      <c r="X1082" s="69" t="e" cm="1">
        <f t="array" ref="X1082">_xlfn.XLOOKUP(Table1[[#This Row],[5 cm2 cell test code]:[5 cm2 cell test code]],[1]!Table1[[Test code]:[Test code]],[1]!Table1[i @ 1.8 V 10 mM KOH (A/cm2)],"",0)</f>
        <v>#REF!</v>
      </c>
      <c r="Y1082" s="69" t="e" cm="1">
        <f t="array" ref="Y1082">_xlfn.XLOOKUP(Table1[[#This Row],[5 cm2 cell test code]:[5 cm2 cell test code]],[1]!Table1[[Test code]:[Test code]],[1]!Table1[3-E ƞ at 20mAcm-2 (mV)],"",0)</f>
        <v>#REF!</v>
      </c>
      <c r="Z1082" s="69" t="e" cm="1">
        <f t="array" ref="Z1082">_xlfn.XLOOKUP(Table1[[#This Row],[5 cm2 cell test code]:[5 cm2 cell test code]],[1]!Table1[[Test code]:[Test code]],[1]!Table1[3-E Tafel slope (mV/dec)],"",0)</f>
        <v>#REF!</v>
      </c>
      <c r="AA1082" s="69" t="e" cm="1">
        <f t="array" ref="AA1082">_xlfn.XLOOKUP(Table1[[#This Row],[5 cm2 cell test code]:[5 cm2 cell test code]],[1]!Table1[[Test code]:[Test code]],[1]!Table1[E @ 100 mA/cm2 DIW/V],"",0)</f>
        <v>#REF!</v>
      </c>
      <c r="AB1082" s="69" t="e" cm="1">
        <f t="array" ref="AB1082">_xlfn.XLOOKUP(Table1[[#This Row],[5 cm2 cell test code]:[5 cm2 cell test code]],[1]!Table1[[Test code]:[Test code]],[1]!Table1[E @ 100 mA/cm2 10 mM KOH/V],"",0)</f>
        <v>#REF!</v>
      </c>
      <c r="AC1082" s="69" t="e" cm="1">
        <f t="array" ref="AC1082">_xlfn.XLOOKUP(Table1[[#This Row],[5 cm2 cell test code]:[5 cm2 cell test code]],[1]!Table1[[Test code]:[Test code]],[1]!Table1[Anode ICR/mOhm],"",0)</f>
        <v>#REF!</v>
      </c>
      <c r="AD1082" s="69" t="e" cm="1">
        <f t="array" ref="AD1082">_xlfn.XLOOKUP(Table1[[#This Row],[5 cm2 cell test code]:[5 cm2 cell test code]],[1]!Table1[[Test code]:[Test code]],[1]!Table1[HFR DIW/ mOhm cm2],"",0)</f>
        <v>#REF!</v>
      </c>
      <c r="AE1082" s="69" t="e" cm="1">
        <f t="array" ref="AE1082">_xlfn.XLOOKUP(Table1[[#This Row],[5 cm2 cell test code]:[5 cm2 cell test code]],[1]!Table1[[Test code]:[Test code]],[1]!Table1[HFR 10 mM KOH/ mOhm cm2],"",0)</f>
        <v>#REF!</v>
      </c>
      <c r="AF1082" s="69" t="e" cm="1">
        <f t="array" ref="AF1082">_xlfn.XLOOKUP(Table1[[#This Row],[5 cm2 cell test code]:[5 cm2 cell test code]],[1]!Table1[[Test code]:[Test code]],[1]!Table1[Ionic resistance DIW/Ohm cm2],"",0)</f>
        <v>#REF!</v>
      </c>
      <c r="AG1082" s="69" t="e" cm="1">
        <f t="array" ref="AG1082">_xlfn.XLOOKUP(Table1[[#This Row],[5 cm2 cell test code]:[5 cm2 cell test code]],[1]!Table1[[Test code]:[Test code]],[1]!Table1[Q_int_frac DIW],"",0)</f>
        <v>#REF!</v>
      </c>
      <c r="AH1082" s="69" t="e" cm="1">
        <f t="array" ref="AH1082">_xlfn.XLOOKUP(Table1[[#This Row],[5 cm2 cell test code]:[5 cm2 cell test code]],[1]!Table1[[Test code]:[Test code]],[1]!Table1[Ionic resistance 10 mM KOH/Ohm cm2],"",0)</f>
        <v>#REF!</v>
      </c>
      <c r="AI1082" s="69" t="e" cm="1">
        <f t="array" ref="AI1082">_xlfn.XLOOKUP(Table1[[#This Row],[5 cm2 cell test code]:[5 cm2 cell test code]],[1]!Table1[[Test code]:[Test code]],[1]!Table1[Q_int_frac DIW 10 mM KOH],"",0)</f>
        <v>#REF!</v>
      </c>
      <c r="AJ1082" s="69" t="e" cm="1">
        <f t="array" ref="AJ1082">_xlfn.XLOOKUP(Table1[[#This Row],[5 cm2 cell test code]:[5 cm2 cell test code]],[1]!Table1[[Test code]:[Test code]],[1]!Table1[DIW conductivity (µS/cm)],"",0)</f>
        <v>#REF!</v>
      </c>
    </row>
    <row r="1083" spans="1:36">
      <c r="A1083" s="81"/>
      <c r="U1083" s="101"/>
      <c r="V1083" s="101"/>
      <c r="W1083" s="69" t="e" cm="1">
        <f t="array" ref="W1083">_xlfn.XLOOKUP(Table1[[#This Row],[5 cm2 cell test code]:[5 cm2 cell test code]],[1]!Table1[[Test code]:[Test code]],[1]!Table1[i @ 1.8 V DIW (A/cm2)],"",0)</f>
        <v>#REF!</v>
      </c>
      <c r="X1083" s="69" t="e" cm="1">
        <f t="array" ref="X1083">_xlfn.XLOOKUP(Table1[[#This Row],[5 cm2 cell test code]:[5 cm2 cell test code]],[1]!Table1[[Test code]:[Test code]],[1]!Table1[i @ 1.8 V 10 mM KOH (A/cm2)],"",0)</f>
        <v>#REF!</v>
      </c>
      <c r="Y1083" s="69" t="e" cm="1">
        <f t="array" ref="Y1083">_xlfn.XLOOKUP(Table1[[#This Row],[5 cm2 cell test code]:[5 cm2 cell test code]],[1]!Table1[[Test code]:[Test code]],[1]!Table1[3-E ƞ at 20mAcm-2 (mV)],"",0)</f>
        <v>#REF!</v>
      </c>
      <c r="Z1083" s="69" t="e" cm="1">
        <f t="array" ref="Z1083">_xlfn.XLOOKUP(Table1[[#This Row],[5 cm2 cell test code]:[5 cm2 cell test code]],[1]!Table1[[Test code]:[Test code]],[1]!Table1[3-E Tafel slope (mV/dec)],"",0)</f>
        <v>#REF!</v>
      </c>
      <c r="AA1083" s="69" t="e" cm="1">
        <f t="array" ref="AA1083">_xlfn.XLOOKUP(Table1[[#This Row],[5 cm2 cell test code]:[5 cm2 cell test code]],[1]!Table1[[Test code]:[Test code]],[1]!Table1[E @ 100 mA/cm2 DIW/V],"",0)</f>
        <v>#REF!</v>
      </c>
      <c r="AB1083" s="69" t="e" cm="1">
        <f t="array" ref="AB1083">_xlfn.XLOOKUP(Table1[[#This Row],[5 cm2 cell test code]:[5 cm2 cell test code]],[1]!Table1[[Test code]:[Test code]],[1]!Table1[E @ 100 mA/cm2 10 mM KOH/V],"",0)</f>
        <v>#REF!</v>
      </c>
      <c r="AC1083" s="69" t="e" cm="1">
        <f t="array" ref="AC1083">_xlfn.XLOOKUP(Table1[[#This Row],[5 cm2 cell test code]:[5 cm2 cell test code]],[1]!Table1[[Test code]:[Test code]],[1]!Table1[Anode ICR/mOhm],"",0)</f>
        <v>#REF!</v>
      </c>
      <c r="AD1083" s="69" t="e" cm="1">
        <f t="array" ref="AD1083">_xlfn.XLOOKUP(Table1[[#This Row],[5 cm2 cell test code]:[5 cm2 cell test code]],[1]!Table1[[Test code]:[Test code]],[1]!Table1[HFR DIW/ mOhm cm2],"",0)</f>
        <v>#REF!</v>
      </c>
      <c r="AE1083" s="69" t="e" cm="1">
        <f t="array" ref="AE1083">_xlfn.XLOOKUP(Table1[[#This Row],[5 cm2 cell test code]:[5 cm2 cell test code]],[1]!Table1[[Test code]:[Test code]],[1]!Table1[HFR 10 mM KOH/ mOhm cm2],"",0)</f>
        <v>#REF!</v>
      </c>
      <c r="AF1083" s="69" t="e" cm="1">
        <f t="array" ref="AF1083">_xlfn.XLOOKUP(Table1[[#This Row],[5 cm2 cell test code]:[5 cm2 cell test code]],[1]!Table1[[Test code]:[Test code]],[1]!Table1[Ionic resistance DIW/Ohm cm2],"",0)</f>
        <v>#REF!</v>
      </c>
      <c r="AG1083" s="69" t="e" cm="1">
        <f t="array" ref="AG1083">_xlfn.XLOOKUP(Table1[[#This Row],[5 cm2 cell test code]:[5 cm2 cell test code]],[1]!Table1[[Test code]:[Test code]],[1]!Table1[Q_int_frac DIW],"",0)</f>
        <v>#REF!</v>
      </c>
      <c r="AH1083" s="69" t="e" cm="1">
        <f t="array" ref="AH1083">_xlfn.XLOOKUP(Table1[[#This Row],[5 cm2 cell test code]:[5 cm2 cell test code]],[1]!Table1[[Test code]:[Test code]],[1]!Table1[Ionic resistance 10 mM KOH/Ohm cm2],"",0)</f>
        <v>#REF!</v>
      </c>
      <c r="AI1083" s="69" t="e" cm="1">
        <f t="array" ref="AI1083">_xlfn.XLOOKUP(Table1[[#This Row],[5 cm2 cell test code]:[5 cm2 cell test code]],[1]!Table1[[Test code]:[Test code]],[1]!Table1[Q_int_frac DIW 10 mM KOH],"",0)</f>
        <v>#REF!</v>
      </c>
      <c r="AJ1083" s="69" t="e" cm="1">
        <f t="array" ref="AJ1083">_xlfn.XLOOKUP(Table1[[#This Row],[5 cm2 cell test code]:[5 cm2 cell test code]],[1]!Table1[[Test code]:[Test code]],[1]!Table1[DIW conductivity (µS/cm)],"",0)</f>
        <v>#REF!</v>
      </c>
    </row>
    <row r="1084" spans="1:36">
      <c r="A1084" s="81"/>
      <c r="U1084" s="101"/>
      <c r="V1084" s="101"/>
      <c r="W1084" s="69" t="e" cm="1">
        <f t="array" ref="W1084">_xlfn.XLOOKUP(Table1[[#This Row],[5 cm2 cell test code]:[5 cm2 cell test code]],[1]!Table1[[Test code]:[Test code]],[1]!Table1[i @ 1.8 V DIW (A/cm2)],"",0)</f>
        <v>#REF!</v>
      </c>
      <c r="X1084" s="69" t="e" cm="1">
        <f t="array" ref="X1084">_xlfn.XLOOKUP(Table1[[#This Row],[5 cm2 cell test code]:[5 cm2 cell test code]],[1]!Table1[[Test code]:[Test code]],[1]!Table1[i @ 1.8 V 10 mM KOH (A/cm2)],"",0)</f>
        <v>#REF!</v>
      </c>
      <c r="Y1084" s="69" t="e" cm="1">
        <f t="array" ref="Y1084">_xlfn.XLOOKUP(Table1[[#This Row],[5 cm2 cell test code]:[5 cm2 cell test code]],[1]!Table1[[Test code]:[Test code]],[1]!Table1[3-E ƞ at 20mAcm-2 (mV)],"",0)</f>
        <v>#REF!</v>
      </c>
      <c r="Z1084" s="69" t="e" cm="1">
        <f t="array" ref="Z1084">_xlfn.XLOOKUP(Table1[[#This Row],[5 cm2 cell test code]:[5 cm2 cell test code]],[1]!Table1[[Test code]:[Test code]],[1]!Table1[3-E Tafel slope (mV/dec)],"",0)</f>
        <v>#REF!</v>
      </c>
      <c r="AA1084" s="69" t="e" cm="1">
        <f t="array" ref="AA1084">_xlfn.XLOOKUP(Table1[[#This Row],[5 cm2 cell test code]:[5 cm2 cell test code]],[1]!Table1[[Test code]:[Test code]],[1]!Table1[E @ 100 mA/cm2 DIW/V],"",0)</f>
        <v>#REF!</v>
      </c>
      <c r="AB1084" s="69" t="e" cm="1">
        <f t="array" ref="AB1084">_xlfn.XLOOKUP(Table1[[#This Row],[5 cm2 cell test code]:[5 cm2 cell test code]],[1]!Table1[[Test code]:[Test code]],[1]!Table1[E @ 100 mA/cm2 10 mM KOH/V],"",0)</f>
        <v>#REF!</v>
      </c>
      <c r="AC1084" s="69" t="e" cm="1">
        <f t="array" ref="AC1084">_xlfn.XLOOKUP(Table1[[#This Row],[5 cm2 cell test code]:[5 cm2 cell test code]],[1]!Table1[[Test code]:[Test code]],[1]!Table1[Anode ICR/mOhm],"",0)</f>
        <v>#REF!</v>
      </c>
      <c r="AD1084" s="69" t="e" cm="1">
        <f t="array" ref="AD1084">_xlfn.XLOOKUP(Table1[[#This Row],[5 cm2 cell test code]:[5 cm2 cell test code]],[1]!Table1[[Test code]:[Test code]],[1]!Table1[HFR DIW/ mOhm cm2],"",0)</f>
        <v>#REF!</v>
      </c>
      <c r="AE1084" s="69" t="e" cm="1">
        <f t="array" ref="AE1084">_xlfn.XLOOKUP(Table1[[#This Row],[5 cm2 cell test code]:[5 cm2 cell test code]],[1]!Table1[[Test code]:[Test code]],[1]!Table1[HFR 10 mM KOH/ mOhm cm2],"",0)</f>
        <v>#REF!</v>
      </c>
      <c r="AF1084" s="69" t="e" cm="1">
        <f t="array" ref="AF1084">_xlfn.XLOOKUP(Table1[[#This Row],[5 cm2 cell test code]:[5 cm2 cell test code]],[1]!Table1[[Test code]:[Test code]],[1]!Table1[Ionic resistance DIW/Ohm cm2],"",0)</f>
        <v>#REF!</v>
      </c>
      <c r="AG1084" s="69" t="e" cm="1">
        <f t="array" ref="AG1084">_xlfn.XLOOKUP(Table1[[#This Row],[5 cm2 cell test code]:[5 cm2 cell test code]],[1]!Table1[[Test code]:[Test code]],[1]!Table1[Q_int_frac DIW],"",0)</f>
        <v>#REF!</v>
      </c>
      <c r="AH1084" s="69" t="e" cm="1">
        <f t="array" ref="AH1084">_xlfn.XLOOKUP(Table1[[#This Row],[5 cm2 cell test code]:[5 cm2 cell test code]],[1]!Table1[[Test code]:[Test code]],[1]!Table1[Ionic resistance 10 mM KOH/Ohm cm2],"",0)</f>
        <v>#REF!</v>
      </c>
      <c r="AI1084" s="69" t="e" cm="1">
        <f t="array" ref="AI1084">_xlfn.XLOOKUP(Table1[[#This Row],[5 cm2 cell test code]:[5 cm2 cell test code]],[1]!Table1[[Test code]:[Test code]],[1]!Table1[Q_int_frac DIW 10 mM KOH],"",0)</f>
        <v>#REF!</v>
      </c>
      <c r="AJ1084" s="69" t="e" cm="1">
        <f t="array" ref="AJ1084">_xlfn.XLOOKUP(Table1[[#This Row],[5 cm2 cell test code]:[5 cm2 cell test code]],[1]!Table1[[Test code]:[Test code]],[1]!Table1[DIW conductivity (µS/cm)],"",0)</f>
        <v>#REF!</v>
      </c>
    </row>
    <row r="1085" spans="1:36">
      <c r="A1085" s="81"/>
      <c r="U1085" s="101"/>
      <c r="V1085" s="101"/>
      <c r="W1085" s="69" t="e" cm="1">
        <f t="array" ref="W1085">_xlfn.XLOOKUP(Table1[[#This Row],[5 cm2 cell test code]:[5 cm2 cell test code]],[1]!Table1[[Test code]:[Test code]],[1]!Table1[i @ 1.8 V DIW (A/cm2)],"",0)</f>
        <v>#REF!</v>
      </c>
      <c r="X1085" s="69" t="e" cm="1">
        <f t="array" ref="X1085">_xlfn.XLOOKUP(Table1[[#This Row],[5 cm2 cell test code]:[5 cm2 cell test code]],[1]!Table1[[Test code]:[Test code]],[1]!Table1[i @ 1.8 V 10 mM KOH (A/cm2)],"",0)</f>
        <v>#REF!</v>
      </c>
      <c r="Y1085" s="69" t="e" cm="1">
        <f t="array" ref="Y1085">_xlfn.XLOOKUP(Table1[[#This Row],[5 cm2 cell test code]:[5 cm2 cell test code]],[1]!Table1[[Test code]:[Test code]],[1]!Table1[3-E ƞ at 20mAcm-2 (mV)],"",0)</f>
        <v>#REF!</v>
      </c>
      <c r="Z1085" s="69" t="e" cm="1">
        <f t="array" ref="Z1085">_xlfn.XLOOKUP(Table1[[#This Row],[5 cm2 cell test code]:[5 cm2 cell test code]],[1]!Table1[[Test code]:[Test code]],[1]!Table1[3-E Tafel slope (mV/dec)],"",0)</f>
        <v>#REF!</v>
      </c>
      <c r="AA1085" s="69" t="e" cm="1">
        <f t="array" ref="AA1085">_xlfn.XLOOKUP(Table1[[#This Row],[5 cm2 cell test code]:[5 cm2 cell test code]],[1]!Table1[[Test code]:[Test code]],[1]!Table1[E @ 100 mA/cm2 DIW/V],"",0)</f>
        <v>#REF!</v>
      </c>
      <c r="AB1085" s="69" t="e" cm="1">
        <f t="array" ref="AB1085">_xlfn.XLOOKUP(Table1[[#This Row],[5 cm2 cell test code]:[5 cm2 cell test code]],[1]!Table1[[Test code]:[Test code]],[1]!Table1[E @ 100 mA/cm2 10 mM KOH/V],"",0)</f>
        <v>#REF!</v>
      </c>
      <c r="AC1085" s="69" t="e" cm="1">
        <f t="array" ref="AC1085">_xlfn.XLOOKUP(Table1[[#This Row],[5 cm2 cell test code]:[5 cm2 cell test code]],[1]!Table1[[Test code]:[Test code]],[1]!Table1[Anode ICR/mOhm],"",0)</f>
        <v>#REF!</v>
      </c>
      <c r="AD1085" s="69" t="e" cm="1">
        <f t="array" ref="AD1085">_xlfn.XLOOKUP(Table1[[#This Row],[5 cm2 cell test code]:[5 cm2 cell test code]],[1]!Table1[[Test code]:[Test code]],[1]!Table1[HFR DIW/ mOhm cm2],"",0)</f>
        <v>#REF!</v>
      </c>
      <c r="AE1085" s="69" t="e" cm="1">
        <f t="array" ref="AE1085">_xlfn.XLOOKUP(Table1[[#This Row],[5 cm2 cell test code]:[5 cm2 cell test code]],[1]!Table1[[Test code]:[Test code]],[1]!Table1[HFR 10 mM KOH/ mOhm cm2],"",0)</f>
        <v>#REF!</v>
      </c>
      <c r="AF1085" s="69" t="e" cm="1">
        <f t="array" ref="AF1085">_xlfn.XLOOKUP(Table1[[#This Row],[5 cm2 cell test code]:[5 cm2 cell test code]],[1]!Table1[[Test code]:[Test code]],[1]!Table1[Ionic resistance DIW/Ohm cm2],"",0)</f>
        <v>#REF!</v>
      </c>
      <c r="AG1085" s="69" t="e" cm="1">
        <f t="array" ref="AG1085">_xlfn.XLOOKUP(Table1[[#This Row],[5 cm2 cell test code]:[5 cm2 cell test code]],[1]!Table1[[Test code]:[Test code]],[1]!Table1[Q_int_frac DIW],"",0)</f>
        <v>#REF!</v>
      </c>
      <c r="AH1085" s="69" t="e" cm="1">
        <f t="array" ref="AH1085">_xlfn.XLOOKUP(Table1[[#This Row],[5 cm2 cell test code]:[5 cm2 cell test code]],[1]!Table1[[Test code]:[Test code]],[1]!Table1[Ionic resistance 10 mM KOH/Ohm cm2],"",0)</f>
        <v>#REF!</v>
      </c>
      <c r="AI1085" s="69" t="e" cm="1">
        <f t="array" ref="AI1085">_xlfn.XLOOKUP(Table1[[#This Row],[5 cm2 cell test code]:[5 cm2 cell test code]],[1]!Table1[[Test code]:[Test code]],[1]!Table1[Q_int_frac DIW 10 mM KOH],"",0)</f>
        <v>#REF!</v>
      </c>
      <c r="AJ1085" s="69" t="e" cm="1">
        <f t="array" ref="AJ1085">_xlfn.XLOOKUP(Table1[[#This Row],[5 cm2 cell test code]:[5 cm2 cell test code]],[1]!Table1[[Test code]:[Test code]],[1]!Table1[DIW conductivity (µS/cm)],"",0)</f>
        <v>#REF!</v>
      </c>
    </row>
    <row r="1086" spans="1:36">
      <c r="A1086" s="81"/>
      <c r="U1086" s="101"/>
      <c r="V1086" s="101"/>
      <c r="W1086" s="69" t="e" cm="1">
        <f t="array" ref="W1086">_xlfn.XLOOKUP(Table1[[#This Row],[5 cm2 cell test code]:[5 cm2 cell test code]],[1]!Table1[[Test code]:[Test code]],[1]!Table1[i @ 1.8 V DIW (A/cm2)],"",0)</f>
        <v>#REF!</v>
      </c>
      <c r="X1086" s="69" t="e" cm="1">
        <f t="array" ref="X1086">_xlfn.XLOOKUP(Table1[[#This Row],[5 cm2 cell test code]:[5 cm2 cell test code]],[1]!Table1[[Test code]:[Test code]],[1]!Table1[i @ 1.8 V 10 mM KOH (A/cm2)],"",0)</f>
        <v>#REF!</v>
      </c>
      <c r="Y1086" s="69" t="e" cm="1">
        <f t="array" ref="Y1086">_xlfn.XLOOKUP(Table1[[#This Row],[5 cm2 cell test code]:[5 cm2 cell test code]],[1]!Table1[[Test code]:[Test code]],[1]!Table1[3-E ƞ at 20mAcm-2 (mV)],"",0)</f>
        <v>#REF!</v>
      </c>
      <c r="Z1086" s="69" t="e" cm="1">
        <f t="array" ref="Z1086">_xlfn.XLOOKUP(Table1[[#This Row],[5 cm2 cell test code]:[5 cm2 cell test code]],[1]!Table1[[Test code]:[Test code]],[1]!Table1[3-E Tafel slope (mV/dec)],"",0)</f>
        <v>#REF!</v>
      </c>
      <c r="AA1086" s="69" t="e" cm="1">
        <f t="array" ref="AA1086">_xlfn.XLOOKUP(Table1[[#This Row],[5 cm2 cell test code]:[5 cm2 cell test code]],[1]!Table1[[Test code]:[Test code]],[1]!Table1[E @ 100 mA/cm2 DIW/V],"",0)</f>
        <v>#REF!</v>
      </c>
      <c r="AB1086" s="69" t="e" cm="1">
        <f t="array" ref="AB1086">_xlfn.XLOOKUP(Table1[[#This Row],[5 cm2 cell test code]:[5 cm2 cell test code]],[1]!Table1[[Test code]:[Test code]],[1]!Table1[E @ 100 mA/cm2 10 mM KOH/V],"",0)</f>
        <v>#REF!</v>
      </c>
      <c r="AC1086" s="69" t="e" cm="1">
        <f t="array" ref="AC1086">_xlfn.XLOOKUP(Table1[[#This Row],[5 cm2 cell test code]:[5 cm2 cell test code]],[1]!Table1[[Test code]:[Test code]],[1]!Table1[Anode ICR/mOhm],"",0)</f>
        <v>#REF!</v>
      </c>
      <c r="AD1086" s="69" t="e" cm="1">
        <f t="array" ref="AD1086">_xlfn.XLOOKUP(Table1[[#This Row],[5 cm2 cell test code]:[5 cm2 cell test code]],[1]!Table1[[Test code]:[Test code]],[1]!Table1[HFR DIW/ mOhm cm2],"",0)</f>
        <v>#REF!</v>
      </c>
      <c r="AE1086" s="69" t="e" cm="1">
        <f t="array" ref="AE1086">_xlfn.XLOOKUP(Table1[[#This Row],[5 cm2 cell test code]:[5 cm2 cell test code]],[1]!Table1[[Test code]:[Test code]],[1]!Table1[HFR 10 mM KOH/ mOhm cm2],"",0)</f>
        <v>#REF!</v>
      </c>
      <c r="AF1086" s="69" t="e" cm="1">
        <f t="array" ref="AF1086">_xlfn.XLOOKUP(Table1[[#This Row],[5 cm2 cell test code]:[5 cm2 cell test code]],[1]!Table1[[Test code]:[Test code]],[1]!Table1[Ionic resistance DIW/Ohm cm2],"",0)</f>
        <v>#REF!</v>
      </c>
      <c r="AG1086" s="69" t="e" cm="1">
        <f t="array" ref="AG1086">_xlfn.XLOOKUP(Table1[[#This Row],[5 cm2 cell test code]:[5 cm2 cell test code]],[1]!Table1[[Test code]:[Test code]],[1]!Table1[Q_int_frac DIW],"",0)</f>
        <v>#REF!</v>
      </c>
      <c r="AH1086" s="69" t="e" cm="1">
        <f t="array" ref="AH1086">_xlfn.XLOOKUP(Table1[[#This Row],[5 cm2 cell test code]:[5 cm2 cell test code]],[1]!Table1[[Test code]:[Test code]],[1]!Table1[Ionic resistance 10 mM KOH/Ohm cm2],"",0)</f>
        <v>#REF!</v>
      </c>
      <c r="AI1086" s="69" t="e" cm="1">
        <f t="array" ref="AI1086">_xlfn.XLOOKUP(Table1[[#This Row],[5 cm2 cell test code]:[5 cm2 cell test code]],[1]!Table1[[Test code]:[Test code]],[1]!Table1[Q_int_frac DIW 10 mM KOH],"",0)</f>
        <v>#REF!</v>
      </c>
      <c r="AJ1086" s="69" t="e" cm="1">
        <f t="array" ref="AJ1086">_xlfn.XLOOKUP(Table1[[#This Row],[5 cm2 cell test code]:[5 cm2 cell test code]],[1]!Table1[[Test code]:[Test code]],[1]!Table1[DIW conductivity (µS/cm)],"",0)</f>
        <v>#REF!</v>
      </c>
    </row>
    <row r="1087" spans="1:36">
      <c r="A1087" s="81"/>
      <c r="U1087" s="101"/>
      <c r="V1087" s="101"/>
      <c r="W1087" s="69" t="e" cm="1">
        <f t="array" ref="W1087">_xlfn.XLOOKUP(Table1[[#This Row],[5 cm2 cell test code]:[5 cm2 cell test code]],[1]!Table1[[Test code]:[Test code]],[1]!Table1[i @ 1.8 V DIW (A/cm2)],"",0)</f>
        <v>#REF!</v>
      </c>
      <c r="X1087" s="69" t="e" cm="1">
        <f t="array" ref="X1087">_xlfn.XLOOKUP(Table1[[#This Row],[5 cm2 cell test code]:[5 cm2 cell test code]],[1]!Table1[[Test code]:[Test code]],[1]!Table1[i @ 1.8 V 10 mM KOH (A/cm2)],"",0)</f>
        <v>#REF!</v>
      </c>
      <c r="Y1087" s="69" t="e" cm="1">
        <f t="array" ref="Y1087">_xlfn.XLOOKUP(Table1[[#This Row],[5 cm2 cell test code]:[5 cm2 cell test code]],[1]!Table1[[Test code]:[Test code]],[1]!Table1[3-E ƞ at 20mAcm-2 (mV)],"",0)</f>
        <v>#REF!</v>
      </c>
      <c r="Z1087" s="69" t="e" cm="1">
        <f t="array" ref="Z1087">_xlfn.XLOOKUP(Table1[[#This Row],[5 cm2 cell test code]:[5 cm2 cell test code]],[1]!Table1[[Test code]:[Test code]],[1]!Table1[3-E Tafel slope (mV/dec)],"",0)</f>
        <v>#REF!</v>
      </c>
      <c r="AA1087" s="69" t="e" cm="1">
        <f t="array" ref="AA1087">_xlfn.XLOOKUP(Table1[[#This Row],[5 cm2 cell test code]:[5 cm2 cell test code]],[1]!Table1[[Test code]:[Test code]],[1]!Table1[E @ 100 mA/cm2 DIW/V],"",0)</f>
        <v>#REF!</v>
      </c>
      <c r="AB1087" s="69" t="e" cm="1">
        <f t="array" ref="AB1087">_xlfn.XLOOKUP(Table1[[#This Row],[5 cm2 cell test code]:[5 cm2 cell test code]],[1]!Table1[[Test code]:[Test code]],[1]!Table1[E @ 100 mA/cm2 10 mM KOH/V],"",0)</f>
        <v>#REF!</v>
      </c>
      <c r="AC1087" s="69" t="e" cm="1">
        <f t="array" ref="AC1087">_xlfn.XLOOKUP(Table1[[#This Row],[5 cm2 cell test code]:[5 cm2 cell test code]],[1]!Table1[[Test code]:[Test code]],[1]!Table1[Anode ICR/mOhm],"",0)</f>
        <v>#REF!</v>
      </c>
      <c r="AD1087" s="69" t="e" cm="1">
        <f t="array" ref="AD1087">_xlfn.XLOOKUP(Table1[[#This Row],[5 cm2 cell test code]:[5 cm2 cell test code]],[1]!Table1[[Test code]:[Test code]],[1]!Table1[HFR DIW/ mOhm cm2],"",0)</f>
        <v>#REF!</v>
      </c>
      <c r="AE1087" s="69" t="e" cm="1">
        <f t="array" ref="AE1087">_xlfn.XLOOKUP(Table1[[#This Row],[5 cm2 cell test code]:[5 cm2 cell test code]],[1]!Table1[[Test code]:[Test code]],[1]!Table1[HFR 10 mM KOH/ mOhm cm2],"",0)</f>
        <v>#REF!</v>
      </c>
      <c r="AF1087" s="69" t="e" cm="1">
        <f t="array" ref="AF1087">_xlfn.XLOOKUP(Table1[[#This Row],[5 cm2 cell test code]:[5 cm2 cell test code]],[1]!Table1[[Test code]:[Test code]],[1]!Table1[Ionic resistance DIW/Ohm cm2],"",0)</f>
        <v>#REF!</v>
      </c>
      <c r="AG1087" s="69" t="e" cm="1">
        <f t="array" ref="AG1087">_xlfn.XLOOKUP(Table1[[#This Row],[5 cm2 cell test code]:[5 cm2 cell test code]],[1]!Table1[[Test code]:[Test code]],[1]!Table1[Q_int_frac DIW],"",0)</f>
        <v>#REF!</v>
      </c>
      <c r="AH1087" s="69" t="e" cm="1">
        <f t="array" ref="AH1087">_xlfn.XLOOKUP(Table1[[#This Row],[5 cm2 cell test code]:[5 cm2 cell test code]],[1]!Table1[[Test code]:[Test code]],[1]!Table1[Ionic resistance 10 mM KOH/Ohm cm2],"",0)</f>
        <v>#REF!</v>
      </c>
      <c r="AI1087" s="69" t="e" cm="1">
        <f t="array" ref="AI1087">_xlfn.XLOOKUP(Table1[[#This Row],[5 cm2 cell test code]:[5 cm2 cell test code]],[1]!Table1[[Test code]:[Test code]],[1]!Table1[Q_int_frac DIW 10 mM KOH],"",0)</f>
        <v>#REF!</v>
      </c>
      <c r="AJ1087" s="69" t="e" cm="1">
        <f t="array" ref="AJ1087">_xlfn.XLOOKUP(Table1[[#This Row],[5 cm2 cell test code]:[5 cm2 cell test code]],[1]!Table1[[Test code]:[Test code]],[1]!Table1[DIW conductivity (µS/cm)],"",0)</f>
        <v>#REF!</v>
      </c>
    </row>
    <row r="1088" spans="1:36">
      <c r="A1088" s="81"/>
      <c r="U1088" s="101"/>
      <c r="V1088" s="101"/>
      <c r="W1088" s="69" t="e" cm="1">
        <f t="array" ref="W1088">_xlfn.XLOOKUP(Table1[[#This Row],[5 cm2 cell test code]:[5 cm2 cell test code]],[1]!Table1[[Test code]:[Test code]],[1]!Table1[i @ 1.8 V DIW (A/cm2)],"",0)</f>
        <v>#REF!</v>
      </c>
      <c r="X1088" s="69" t="e" cm="1">
        <f t="array" ref="X1088">_xlfn.XLOOKUP(Table1[[#This Row],[5 cm2 cell test code]:[5 cm2 cell test code]],[1]!Table1[[Test code]:[Test code]],[1]!Table1[i @ 1.8 V 10 mM KOH (A/cm2)],"",0)</f>
        <v>#REF!</v>
      </c>
      <c r="Y1088" s="69" t="e" cm="1">
        <f t="array" ref="Y1088">_xlfn.XLOOKUP(Table1[[#This Row],[5 cm2 cell test code]:[5 cm2 cell test code]],[1]!Table1[[Test code]:[Test code]],[1]!Table1[3-E ƞ at 20mAcm-2 (mV)],"",0)</f>
        <v>#REF!</v>
      </c>
      <c r="Z1088" s="69" t="e" cm="1">
        <f t="array" ref="Z1088">_xlfn.XLOOKUP(Table1[[#This Row],[5 cm2 cell test code]:[5 cm2 cell test code]],[1]!Table1[[Test code]:[Test code]],[1]!Table1[3-E Tafel slope (mV/dec)],"",0)</f>
        <v>#REF!</v>
      </c>
      <c r="AA1088" s="69" t="e" cm="1">
        <f t="array" ref="AA1088">_xlfn.XLOOKUP(Table1[[#This Row],[5 cm2 cell test code]:[5 cm2 cell test code]],[1]!Table1[[Test code]:[Test code]],[1]!Table1[E @ 100 mA/cm2 DIW/V],"",0)</f>
        <v>#REF!</v>
      </c>
      <c r="AB1088" s="69" t="e" cm="1">
        <f t="array" ref="AB1088">_xlfn.XLOOKUP(Table1[[#This Row],[5 cm2 cell test code]:[5 cm2 cell test code]],[1]!Table1[[Test code]:[Test code]],[1]!Table1[E @ 100 mA/cm2 10 mM KOH/V],"",0)</f>
        <v>#REF!</v>
      </c>
      <c r="AC1088" s="69" t="e" cm="1">
        <f t="array" ref="AC1088">_xlfn.XLOOKUP(Table1[[#This Row],[5 cm2 cell test code]:[5 cm2 cell test code]],[1]!Table1[[Test code]:[Test code]],[1]!Table1[Anode ICR/mOhm],"",0)</f>
        <v>#REF!</v>
      </c>
      <c r="AD1088" s="69" t="e" cm="1">
        <f t="array" ref="AD1088">_xlfn.XLOOKUP(Table1[[#This Row],[5 cm2 cell test code]:[5 cm2 cell test code]],[1]!Table1[[Test code]:[Test code]],[1]!Table1[HFR DIW/ mOhm cm2],"",0)</f>
        <v>#REF!</v>
      </c>
      <c r="AE1088" s="69" t="e" cm="1">
        <f t="array" ref="AE1088">_xlfn.XLOOKUP(Table1[[#This Row],[5 cm2 cell test code]:[5 cm2 cell test code]],[1]!Table1[[Test code]:[Test code]],[1]!Table1[HFR 10 mM KOH/ mOhm cm2],"",0)</f>
        <v>#REF!</v>
      </c>
      <c r="AF1088" s="69" t="e" cm="1">
        <f t="array" ref="AF1088">_xlfn.XLOOKUP(Table1[[#This Row],[5 cm2 cell test code]:[5 cm2 cell test code]],[1]!Table1[[Test code]:[Test code]],[1]!Table1[Ionic resistance DIW/Ohm cm2],"",0)</f>
        <v>#REF!</v>
      </c>
      <c r="AG1088" s="69" t="e" cm="1">
        <f t="array" ref="AG1088">_xlfn.XLOOKUP(Table1[[#This Row],[5 cm2 cell test code]:[5 cm2 cell test code]],[1]!Table1[[Test code]:[Test code]],[1]!Table1[Q_int_frac DIW],"",0)</f>
        <v>#REF!</v>
      </c>
      <c r="AH1088" s="69" t="e" cm="1">
        <f t="array" ref="AH1088">_xlfn.XLOOKUP(Table1[[#This Row],[5 cm2 cell test code]:[5 cm2 cell test code]],[1]!Table1[[Test code]:[Test code]],[1]!Table1[Ionic resistance 10 mM KOH/Ohm cm2],"",0)</f>
        <v>#REF!</v>
      </c>
      <c r="AI1088" s="69" t="e" cm="1">
        <f t="array" ref="AI1088">_xlfn.XLOOKUP(Table1[[#This Row],[5 cm2 cell test code]:[5 cm2 cell test code]],[1]!Table1[[Test code]:[Test code]],[1]!Table1[Q_int_frac DIW 10 mM KOH],"",0)</f>
        <v>#REF!</v>
      </c>
      <c r="AJ1088" s="69" t="e" cm="1">
        <f t="array" ref="AJ1088">_xlfn.XLOOKUP(Table1[[#This Row],[5 cm2 cell test code]:[5 cm2 cell test code]],[1]!Table1[[Test code]:[Test code]],[1]!Table1[DIW conductivity (µS/cm)],"",0)</f>
        <v>#REF!</v>
      </c>
    </row>
    <row r="1089" spans="1:36">
      <c r="A1089" s="81"/>
      <c r="U1089" s="101"/>
      <c r="V1089" s="101"/>
      <c r="W1089" s="69" t="e" cm="1">
        <f t="array" ref="W1089">_xlfn.XLOOKUP(Table1[[#This Row],[5 cm2 cell test code]:[5 cm2 cell test code]],[1]!Table1[[Test code]:[Test code]],[1]!Table1[i @ 1.8 V DIW (A/cm2)],"",0)</f>
        <v>#REF!</v>
      </c>
      <c r="X1089" s="69" t="e" cm="1">
        <f t="array" ref="X1089">_xlfn.XLOOKUP(Table1[[#This Row],[5 cm2 cell test code]:[5 cm2 cell test code]],[1]!Table1[[Test code]:[Test code]],[1]!Table1[i @ 1.8 V 10 mM KOH (A/cm2)],"",0)</f>
        <v>#REF!</v>
      </c>
      <c r="Y1089" s="69" t="e" cm="1">
        <f t="array" ref="Y1089">_xlfn.XLOOKUP(Table1[[#This Row],[5 cm2 cell test code]:[5 cm2 cell test code]],[1]!Table1[[Test code]:[Test code]],[1]!Table1[3-E ƞ at 20mAcm-2 (mV)],"",0)</f>
        <v>#REF!</v>
      </c>
      <c r="Z1089" s="69" t="e" cm="1">
        <f t="array" ref="Z1089">_xlfn.XLOOKUP(Table1[[#This Row],[5 cm2 cell test code]:[5 cm2 cell test code]],[1]!Table1[[Test code]:[Test code]],[1]!Table1[3-E Tafel slope (mV/dec)],"",0)</f>
        <v>#REF!</v>
      </c>
      <c r="AA1089" s="69" t="e" cm="1">
        <f t="array" ref="AA1089">_xlfn.XLOOKUP(Table1[[#This Row],[5 cm2 cell test code]:[5 cm2 cell test code]],[1]!Table1[[Test code]:[Test code]],[1]!Table1[E @ 100 mA/cm2 DIW/V],"",0)</f>
        <v>#REF!</v>
      </c>
      <c r="AB1089" s="69" t="e" cm="1">
        <f t="array" ref="AB1089">_xlfn.XLOOKUP(Table1[[#This Row],[5 cm2 cell test code]:[5 cm2 cell test code]],[1]!Table1[[Test code]:[Test code]],[1]!Table1[E @ 100 mA/cm2 10 mM KOH/V],"",0)</f>
        <v>#REF!</v>
      </c>
      <c r="AC1089" s="69" t="e" cm="1">
        <f t="array" ref="AC1089">_xlfn.XLOOKUP(Table1[[#This Row],[5 cm2 cell test code]:[5 cm2 cell test code]],[1]!Table1[[Test code]:[Test code]],[1]!Table1[Anode ICR/mOhm],"",0)</f>
        <v>#REF!</v>
      </c>
      <c r="AD1089" s="69" t="e" cm="1">
        <f t="array" ref="AD1089">_xlfn.XLOOKUP(Table1[[#This Row],[5 cm2 cell test code]:[5 cm2 cell test code]],[1]!Table1[[Test code]:[Test code]],[1]!Table1[HFR DIW/ mOhm cm2],"",0)</f>
        <v>#REF!</v>
      </c>
      <c r="AE1089" s="69" t="e" cm="1">
        <f t="array" ref="AE1089">_xlfn.XLOOKUP(Table1[[#This Row],[5 cm2 cell test code]:[5 cm2 cell test code]],[1]!Table1[[Test code]:[Test code]],[1]!Table1[HFR 10 mM KOH/ mOhm cm2],"",0)</f>
        <v>#REF!</v>
      </c>
      <c r="AF1089" s="69" t="e" cm="1">
        <f t="array" ref="AF1089">_xlfn.XLOOKUP(Table1[[#This Row],[5 cm2 cell test code]:[5 cm2 cell test code]],[1]!Table1[[Test code]:[Test code]],[1]!Table1[Ionic resistance DIW/Ohm cm2],"",0)</f>
        <v>#REF!</v>
      </c>
      <c r="AG1089" s="69" t="e" cm="1">
        <f t="array" ref="AG1089">_xlfn.XLOOKUP(Table1[[#This Row],[5 cm2 cell test code]:[5 cm2 cell test code]],[1]!Table1[[Test code]:[Test code]],[1]!Table1[Q_int_frac DIW],"",0)</f>
        <v>#REF!</v>
      </c>
      <c r="AH1089" s="69" t="e" cm="1">
        <f t="array" ref="AH1089">_xlfn.XLOOKUP(Table1[[#This Row],[5 cm2 cell test code]:[5 cm2 cell test code]],[1]!Table1[[Test code]:[Test code]],[1]!Table1[Ionic resistance 10 mM KOH/Ohm cm2],"",0)</f>
        <v>#REF!</v>
      </c>
      <c r="AI1089" s="69" t="e" cm="1">
        <f t="array" ref="AI1089">_xlfn.XLOOKUP(Table1[[#This Row],[5 cm2 cell test code]:[5 cm2 cell test code]],[1]!Table1[[Test code]:[Test code]],[1]!Table1[Q_int_frac DIW 10 mM KOH],"",0)</f>
        <v>#REF!</v>
      </c>
      <c r="AJ1089" s="69" t="e" cm="1">
        <f t="array" ref="AJ1089">_xlfn.XLOOKUP(Table1[[#This Row],[5 cm2 cell test code]:[5 cm2 cell test code]],[1]!Table1[[Test code]:[Test code]],[1]!Table1[DIW conductivity (µS/cm)],"",0)</f>
        <v>#REF!</v>
      </c>
    </row>
    <row r="1090" spans="1:36">
      <c r="A1090" s="81"/>
      <c r="U1090" s="101"/>
      <c r="V1090" s="101"/>
      <c r="W1090" s="69" t="e" cm="1">
        <f t="array" ref="W1090">_xlfn.XLOOKUP(Table1[[#This Row],[5 cm2 cell test code]:[5 cm2 cell test code]],[1]!Table1[[Test code]:[Test code]],[1]!Table1[i @ 1.8 V DIW (A/cm2)],"",0)</f>
        <v>#REF!</v>
      </c>
      <c r="X1090" s="69" t="e" cm="1">
        <f t="array" ref="X1090">_xlfn.XLOOKUP(Table1[[#This Row],[5 cm2 cell test code]:[5 cm2 cell test code]],[1]!Table1[[Test code]:[Test code]],[1]!Table1[i @ 1.8 V 10 mM KOH (A/cm2)],"",0)</f>
        <v>#REF!</v>
      </c>
      <c r="Y1090" s="69" t="e" cm="1">
        <f t="array" ref="Y1090">_xlfn.XLOOKUP(Table1[[#This Row],[5 cm2 cell test code]:[5 cm2 cell test code]],[1]!Table1[[Test code]:[Test code]],[1]!Table1[3-E ƞ at 20mAcm-2 (mV)],"",0)</f>
        <v>#REF!</v>
      </c>
      <c r="Z1090" s="69" t="e" cm="1">
        <f t="array" ref="Z1090">_xlfn.XLOOKUP(Table1[[#This Row],[5 cm2 cell test code]:[5 cm2 cell test code]],[1]!Table1[[Test code]:[Test code]],[1]!Table1[3-E Tafel slope (mV/dec)],"",0)</f>
        <v>#REF!</v>
      </c>
      <c r="AA1090" s="69" t="e" cm="1">
        <f t="array" ref="AA1090">_xlfn.XLOOKUP(Table1[[#This Row],[5 cm2 cell test code]:[5 cm2 cell test code]],[1]!Table1[[Test code]:[Test code]],[1]!Table1[E @ 100 mA/cm2 DIW/V],"",0)</f>
        <v>#REF!</v>
      </c>
      <c r="AB1090" s="69" t="e" cm="1">
        <f t="array" ref="AB1090">_xlfn.XLOOKUP(Table1[[#This Row],[5 cm2 cell test code]:[5 cm2 cell test code]],[1]!Table1[[Test code]:[Test code]],[1]!Table1[E @ 100 mA/cm2 10 mM KOH/V],"",0)</f>
        <v>#REF!</v>
      </c>
      <c r="AC1090" s="69" t="e" cm="1">
        <f t="array" ref="AC1090">_xlfn.XLOOKUP(Table1[[#This Row],[5 cm2 cell test code]:[5 cm2 cell test code]],[1]!Table1[[Test code]:[Test code]],[1]!Table1[Anode ICR/mOhm],"",0)</f>
        <v>#REF!</v>
      </c>
      <c r="AD1090" s="69" t="e" cm="1">
        <f t="array" ref="AD1090">_xlfn.XLOOKUP(Table1[[#This Row],[5 cm2 cell test code]:[5 cm2 cell test code]],[1]!Table1[[Test code]:[Test code]],[1]!Table1[HFR DIW/ mOhm cm2],"",0)</f>
        <v>#REF!</v>
      </c>
      <c r="AE1090" s="69" t="e" cm="1">
        <f t="array" ref="AE1090">_xlfn.XLOOKUP(Table1[[#This Row],[5 cm2 cell test code]:[5 cm2 cell test code]],[1]!Table1[[Test code]:[Test code]],[1]!Table1[HFR 10 mM KOH/ mOhm cm2],"",0)</f>
        <v>#REF!</v>
      </c>
      <c r="AF1090" s="69" t="e" cm="1">
        <f t="array" ref="AF1090">_xlfn.XLOOKUP(Table1[[#This Row],[5 cm2 cell test code]:[5 cm2 cell test code]],[1]!Table1[[Test code]:[Test code]],[1]!Table1[Ionic resistance DIW/Ohm cm2],"",0)</f>
        <v>#REF!</v>
      </c>
      <c r="AG1090" s="69" t="e" cm="1">
        <f t="array" ref="AG1090">_xlfn.XLOOKUP(Table1[[#This Row],[5 cm2 cell test code]:[5 cm2 cell test code]],[1]!Table1[[Test code]:[Test code]],[1]!Table1[Q_int_frac DIW],"",0)</f>
        <v>#REF!</v>
      </c>
      <c r="AH1090" s="69" t="e" cm="1">
        <f t="array" ref="AH1090">_xlfn.XLOOKUP(Table1[[#This Row],[5 cm2 cell test code]:[5 cm2 cell test code]],[1]!Table1[[Test code]:[Test code]],[1]!Table1[Ionic resistance 10 mM KOH/Ohm cm2],"",0)</f>
        <v>#REF!</v>
      </c>
      <c r="AI1090" s="69" t="e" cm="1">
        <f t="array" ref="AI1090">_xlfn.XLOOKUP(Table1[[#This Row],[5 cm2 cell test code]:[5 cm2 cell test code]],[1]!Table1[[Test code]:[Test code]],[1]!Table1[Q_int_frac DIW 10 mM KOH],"",0)</f>
        <v>#REF!</v>
      </c>
      <c r="AJ1090" s="69" t="e" cm="1">
        <f t="array" ref="AJ1090">_xlfn.XLOOKUP(Table1[[#This Row],[5 cm2 cell test code]:[5 cm2 cell test code]],[1]!Table1[[Test code]:[Test code]],[1]!Table1[DIW conductivity (µS/cm)],"",0)</f>
        <v>#REF!</v>
      </c>
    </row>
    <row r="1091" spans="1:36">
      <c r="A1091" s="81"/>
      <c r="U1091" s="101"/>
      <c r="V1091" s="101"/>
      <c r="W1091" s="69" t="e" cm="1">
        <f t="array" ref="W1091">_xlfn.XLOOKUP(Table1[[#This Row],[5 cm2 cell test code]:[5 cm2 cell test code]],[1]!Table1[[Test code]:[Test code]],[1]!Table1[i @ 1.8 V DIW (A/cm2)],"",0)</f>
        <v>#REF!</v>
      </c>
      <c r="X1091" s="69" t="e" cm="1">
        <f t="array" ref="X1091">_xlfn.XLOOKUP(Table1[[#This Row],[5 cm2 cell test code]:[5 cm2 cell test code]],[1]!Table1[[Test code]:[Test code]],[1]!Table1[i @ 1.8 V 10 mM KOH (A/cm2)],"",0)</f>
        <v>#REF!</v>
      </c>
      <c r="Y1091" s="69" t="e" cm="1">
        <f t="array" ref="Y1091">_xlfn.XLOOKUP(Table1[[#This Row],[5 cm2 cell test code]:[5 cm2 cell test code]],[1]!Table1[[Test code]:[Test code]],[1]!Table1[3-E ƞ at 20mAcm-2 (mV)],"",0)</f>
        <v>#REF!</v>
      </c>
      <c r="Z1091" s="69" t="e" cm="1">
        <f t="array" ref="Z1091">_xlfn.XLOOKUP(Table1[[#This Row],[5 cm2 cell test code]:[5 cm2 cell test code]],[1]!Table1[[Test code]:[Test code]],[1]!Table1[3-E Tafel slope (mV/dec)],"",0)</f>
        <v>#REF!</v>
      </c>
      <c r="AA1091" s="69" t="e" cm="1">
        <f t="array" ref="AA1091">_xlfn.XLOOKUP(Table1[[#This Row],[5 cm2 cell test code]:[5 cm2 cell test code]],[1]!Table1[[Test code]:[Test code]],[1]!Table1[E @ 100 mA/cm2 DIW/V],"",0)</f>
        <v>#REF!</v>
      </c>
      <c r="AB1091" s="69" t="e" cm="1">
        <f t="array" ref="AB1091">_xlfn.XLOOKUP(Table1[[#This Row],[5 cm2 cell test code]:[5 cm2 cell test code]],[1]!Table1[[Test code]:[Test code]],[1]!Table1[E @ 100 mA/cm2 10 mM KOH/V],"",0)</f>
        <v>#REF!</v>
      </c>
      <c r="AC1091" s="69" t="e" cm="1">
        <f t="array" ref="AC1091">_xlfn.XLOOKUP(Table1[[#This Row],[5 cm2 cell test code]:[5 cm2 cell test code]],[1]!Table1[[Test code]:[Test code]],[1]!Table1[Anode ICR/mOhm],"",0)</f>
        <v>#REF!</v>
      </c>
      <c r="AD1091" s="69" t="e" cm="1">
        <f t="array" ref="AD1091">_xlfn.XLOOKUP(Table1[[#This Row],[5 cm2 cell test code]:[5 cm2 cell test code]],[1]!Table1[[Test code]:[Test code]],[1]!Table1[HFR DIW/ mOhm cm2],"",0)</f>
        <v>#REF!</v>
      </c>
      <c r="AE1091" s="69" t="e" cm="1">
        <f t="array" ref="AE1091">_xlfn.XLOOKUP(Table1[[#This Row],[5 cm2 cell test code]:[5 cm2 cell test code]],[1]!Table1[[Test code]:[Test code]],[1]!Table1[HFR 10 mM KOH/ mOhm cm2],"",0)</f>
        <v>#REF!</v>
      </c>
      <c r="AF1091" s="69" t="e" cm="1">
        <f t="array" ref="AF1091">_xlfn.XLOOKUP(Table1[[#This Row],[5 cm2 cell test code]:[5 cm2 cell test code]],[1]!Table1[[Test code]:[Test code]],[1]!Table1[Ionic resistance DIW/Ohm cm2],"",0)</f>
        <v>#REF!</v>
      </c>
      <c r="AG1091" s="69" t="e" cm="1">
        <f t="array" ref="AG1091">_xlfn.XLOOKUP(Table1[[#This Row],[5 cm2 cell test code]:[5 cm2 cell test code]],[1]!Table1[[Test code]:[Test code]],[1]!Table1[Q_int_frac DIW],"",0)</f>
        <v>#REF!</v>
      </c>
      <c r="AH1091" s="69" t="e" cm="1">
        <f t="array" ref="AH1091">_xlfn.XLOOKUP(Table1[[#This Row],[5 cm2 cell test code]:[5 cm2 cell test code]],[1]!Table1[[Test code]:[Test code]],[1]!Table1[Ionic resistance 10 mM KOH/Ohm cm2],"",0)</f>
        <v>#REF!</v>
      </c>
      <c r="AI1091" s="69" t="e" cm="1">
        <f t="array" ref="AI1091">_xlfn.XLOOKUP(Table1[[#This Row],[5 cm2 cell test code]:[5 cm2 cell test code]],[1]!Table1[[Test code]:[Test code]],[1]!Table1[Q_int_frac DIW 10 mM KOH],"",0)</f>
        <v>#REF!</v>
      </c>
      <c r="AJ1091" s="69" t="e" cm="1">
        <f t="array" ref="AJ1091">_xlfn.XLOOKUP(Table1[[#This Row],[5 cm2 cell test code]:[5 cm2 cell test code]],[1]!Table1[[Test code]:[Test code]],[1]!Table1[DIW conductivity (µS/cm)],"",0)</f>
        <v>#REF!</v>
      </c>
    </row>
    <row r="1092" spans="1:36">
      <c r="A1092" s="81"/>
      <c r="U1092" s="101"/>
      <c r="V1092" s="101"/>
      <c r="W1092" s="69" t="e" cm="1">
        <f t="array" ref="W1092">_xlfn.XLOOKUP(Table1[[#This Row],[5 cm2 cell test code]:[5 cm2 cell test code]],[1]!Table1[[Test code]:[Test code]],[1]!Table1[i @ 1.8 V DIW (A/cm2)],"",0)</f>
        <v>#REF!</v>
      </c>
      <c r="X1092" s="69" t="e" cm="1">
        <f t="array" ref="X1092">_xlfn.XLOOKUP(Table1[[#This Row],[5 cm2 cell test code]:[5 cm2 cell test code]],[1]!Table1[[Test code]:[Test code]],[1]!Table1[i @ 1.8 V 10 mM KOH (A/cm2)],"",0)</f>
        <v>#REF!</v>
      </c>
      <c r="Y1092" s="69" t="e" cm="1">
        <f t="array" ref="Y1092">_xlfn.XLOOKUP(Table1[[#This Row],[5 cm2 cell test code]:[5 cm2 cell test code]],[1]!Table1[[Test code]:[Test code]],[1]!Table1[3-E ƞ at 20mAcm-2 (mV)],"",0)</f>
        <v>#REF!</v>
      </c>
      <c r="Z1092" s="69" t="e" cm="1">
        <f t="array" ref="Z1092">_xlfn.XLOOKUP(Table1[[#This Row],[5 cm2 cell test code]:[5 cm2 cell test code]],[1]!Table1[[Test code]:[Test code]],[1]!Table1[3-E Tafel slope (mV/dec)],"",0)</f>
        <v>#REF!</v>
      </c>
      <c r="AA1092" s="69" t="e" cm="1">
        <f t="array" ref="AA1092">_xlfn.XLOOKUP(Table1[[#This Row],[5 cm2 cell test code]:[5 cm2 cell test code]],[1]!Table1[[Test code]:[Test code]],[1]!Table1[E @ 100 mA/cm2 DIW/V],"",0)</f>
        <v>#REF!</v>
      </c>
      <c r="AB1092" s="69" t="e" cm="1">
        <f t="array" ref="AB1092">_xlfn.XLOOKUP(Table1[[#This Row],[5 cm2 cell test code]:[5 cm2 cell test code]],[1]!Table1[[Test code]:[Test code]],[1]!Table1[E @ 100 mA/cm2 10 mM KOH/V],"",0)</f>
        <v>#REF!</v>
      </c>
      <c r="AC1092" s="69" t="e" cm="1">
        <f t="array" ref="AC1092">_xlfn.XLOOKUP(Table1[[#This Row],[5 cm2 cell test code]:[5 cm2 cell test code]],[1]!Table1[[Test code]:[Test code]],[1]!Table1[Anode ICR/mOhm],"",0)</f>
        <v>#REF!</v>
      </c>
      <c r="AD1092" s="69" t="e" cm="1">
        <f t="array" ref="AD1092">_xlfn.XLOOKUP(Table1[[#This Row],[5 cm2 cell test code]:[5 cm2 cell test code]],[1]!Table1[[Test code]:[Test code]],[1]!Table1[HFR DIW/ mOhm cm2],"",0)</f>
        <v>#REF!</v>
      </c>
      <c r="AE1092" s="69" t="e" cm="1">
        <f t="array" ref="AE1092">_xlfn.XLOOKUP(Table1[[#This Row],[5 cm2 cell test code]:[5 cm2 cell test code]],[1]!Table1[[Test code]:[Test code]],[1]!Table1[HFR 10 mM KOH/ mOhm cm2],"",0)</f>
        <v>#REF!</v>
      </c>
      <c r="AF1092" s="69" t="e" cm="1">
        <f t="array" ref="AF1092">_xlfn.XLOOKUP(Table1[[#This Row],[5 cm2 cell test code]:[5 cm2 cell test code]],[1]!Table1[[Test code]:[Test code]],[1]!Table1[Ionic resistance DIW/Ohm cm2],"",0)</f>
        <v>#REF!</v>
      </c>
      <c r="AG1092" s="69" t="e" cm="1">
        <f t="array" ref="AG1092">_xlfn.XLOOKUP(Table1[[#This Row],[5 cm2 cell test code]:[5 cm2 cell test code]],[1]!Table1[[Test code]:[Test code]],[1]!Table1[Q_int_frac DIW],"",0)</f>
        <v>#REF!</v>
      </c>
      <c r="AH1092" s="69" t="e" cm="1">
        <f t="array" ref="AH1092">_xlfn.XLOOKUP(Table1[[#This Row],[5 cm2 cell test code]:[5 cm2 cell test code]],[1]!Table1[[Test code]:[Test code]],[1]!Table1[Ionic resistance 10 mM KOH/Ohm cm2],"",0)</f>
        <v>#REF!</v>
      </c>
      <c r="AI1092" s="69" t="e" cm="1">
        <f t="array" ref="AI1092">_xlfn.XLOOKUP(Table1[[#This Row],[5 cm2 cell test code]:[5 cm2 cell test code]],[1]!Table1[[Test code]:[Test code]],[1]!Table1[Q_int_frac DIW 10 mM KOH],"",0)</f>
        <v>#REF!</v>
      </c>
      <c r="AJ1092" s="69" t="e" cm="1">
        <f t="array" ref="AJ1092">_xlfn.XLOOKUP(Table1[[#This Row],[5 cm2 cell test code]:[5 cm2 cell test code]],[1]!Table1[[Test code]:[Test code]],[1]!Table1[DIW conductivity (µS/cm)],"",0)</f>
        <v>#REF!</v>
      </c>
    </row>
    <row r="1093" spans="1:36">
      <c r="A1093" s="81"/>
      <c r="U1093" s="101"/>
      <c r="V1093" s="101"/>
      <c r="W1093" s="69" t="e" cm="1">
        <f t="array" ref="W1093">_xlfn.XLOOKUP(Table1[[#This Row],[5 cm2 cell test code]:[5 cm2 cell test code]],[1]!Table1[[Test code]:[Test code]],[1]!Table1[i @ 1.8 V DIW (A/cm2)],"",0)</f>
        <v>#REF!</v>
      </c>
      <c r="X1093" s="69" t="e" cm="1">
        <f t="array" ref="X1093">_xlfn.XLOOKUP(Table1[[#This Row],[5 cm2 cell test code]:[5 cm2 cell test code]],[1]!Table1[[Test code]:[Test code]],[1]!Table1[i @ 1.8 V 10 mM KOH (A/cm2)],"",0)</f>
        <v>#REF!</v>
      </c>
      <c r="Y1093" s="69" t="e" cm="1">
        <f t="array" ref="Y1093">_xlfn.XLOOKUP(Table1[[#This Row],[5 cm2 cell test code]:[5 cm2 cell test code]],[1]!Table1[[Test code]:[Test code]],[1]!Table1[3-E ƞ at 20mAcm-2 (mV)],"",0)</f>
        <v>#REF!</v>
      </c>
      <c r="Z1093" s="69" t="e" cm="1">
        <f t="array" ref="Z1093">_xlfn.XLOOKUP(Table1[[#This Row],[5 cm2 cell test code]:[5 cm2 cell test code]],[1]!Table1[[Test code]:[Test code]],[1]!Table1[3-E Tafel slope (mV/dec)],"",0)</f>
        <v>#REF!</v>
      </c>
      <c r="AA1093" s="69" t="e" cm="1">
        <f t="array" ref="AA1093">_xlfn.XLOOKUP(Table1[[#This Row],[5 cm2 cell test code]:[5 cm2 cell test code]],[1]!Table1[[Test code]:[Test code]],[1]!Table1[E @ 100 mA/cm2 DIW/V],"",0)</f>
        <v>#REF!</v>
      </c>
      <c r="AB1093" s="69" t="e" cm="1">
        <f t="array" ref="AB1093">_xlfn.XLOOKUP(Table1[[#This Row],[5 cm2 cell test code]:[5 cm2 cell test code]],[1]!Table1[[Test code]:[Test code]],[1]!Table1[E @ 100 mA/cm2 10 mM KOH/V],"",0)</f>
        <v>#REF!</v>
      </c>
      <c r="AC1093" s="69" t="e" cm="1">
        <f t="array" ref="AC1093">_xlfn.XLOOKUP(Table1[[#This Row],[5 cm2 cell test code]:[5 cm2 cell test code]],[1]!Table1[[Test code]:[Test code]],[1]!Table1[Anode ICR/mOhm],"",0)</f>
        <v>#REF!</v>
      </c>
      <c r="AD1093" s="69" t="e" cm="1">
        <f t="array" ref="AD1093">_xlfn.XLOOKUP(Table1[[#This Row],[5 cm2 cell test code]:[5 cm2 cell test code]],[1]!Table1[[Test code]:[Test code]],[1]!Table1[HFR DIW/ mOhm cm2],"",0)</f>
        <v>#REF!</v>
      </c>
      <c r="AE1093" s="69" t="e" cm="1">
        <f t="array" ref="AE1093">_xlfn.XLOOKUP(Table1[[#This Row],[5 cm2 cell test code]:[5 cm2 cell test code]],[1]!Table1[[Test code]:[Test code]],[1]!Table1[HFR 10 mM KOH/ mOhm cm2],"",0)</f>
        <v>#REF!</v>
      </c>
      <c r="AF1093" s="69" t="e" cm="1">
        <f t="array" ref="AF1093">_xlfn.XLOOKUP(Table1[[#This Row],[5 cm2 cell test code]:[5 cm2 cell test code]],[1]!Table1[[Test code]:[Test code]],[1]!Table1[Ionic resistance DIW/Ohm cm2],"",0)</f>
        <v>#REF!</v>
      </c>
      <c r="AG1093" s="69" t="e" cm="1">
        <f t="array" ref="AG1093">_xlfn.XLOOKUP(Table1[[#This Row],[5 cm2 cell test code]:[5 cm2 cell test code]],[1]!Table1[[Test code]:[Test code]],[1]!Table1[Q_int_frac DIW],"",0)</f>
        <v>#REF!</v>
      </c>
      <c r="AH1093" s="69" t="e" cm="1">
        <f t="array" ref="AH1093">_xlfn.XLOOKUP(Table1[[#This Row],[5 cm2 cell test code]:[5 cm2 cell test code]],[1]!Table1[[Test code]:[Test code]],[1]!Table1[Ionic resistance 10 mM KOH/Ohm cm2],"",0)</f>
        <v>#REF!</v>
      </c>
      <c r="AI1093" s="69" t="e" cm="1">
        <f t="array" ref="AI1093">_xlfn.XLOOKUP(Table1[[#This Row],[5 cm2 cell test code]:[5 cm2 cell test code]],[1]!Table1[[Test code]:[Test code]],[1]!Table1[Q_int_frac DIW 10 mM KOH],"",0)</f>
        <v>#REF!</v>
      </c>
      <c r="AJ1093" s="69" t="e" cm="1">
        <f t="array" ref="AJ1093">_xlfn.XLOOKUP(Table1[[#This Row],[5 cm2 cell test code]:[5 cm2 cell test code]],[1]!Table1[[Test code]:[Test code]],[1]!Table1[DIW conductivity (µS/cm)],"",0)</f>
        <v>#REF!</v>
      </c>
    </row>
    <row r="1094" spans="1:36">
      <c r="A1094" s="81"/>
      <c r="U1094" s="101"/>
      <c r="V1094" s="101"/>
      <c r="W1094" s="69" t="e" cm="1">
        <f t="array" ref="W1094">_xlfn.XLOOKUP(Table1[[#This Row],[5 cm2 cell test code]:[5 cm2 cell test code]],[1]!Table1[[Test code]:[Test code]],[1]!Table1[i @ 1.8 V DIW (A/cm2)],"",0)</f>
        <v>#REF!</v>
      </c>
      <c r="X1094" s="69" t="e" cm="1">
        <f t="array" ref="X1094">_xlfn.XLOOKUP(Table1[[#This Row],[5 cm2 cell test code]:[5 cm2 cell test code]],[1]!Table1[[Test code]:[Test code]],[1]!Table1[i @ 1.8 V 10 mM KOH (A/cm2)],"",0)</f>
        <v>#REF!</v>
      </c>
      <c r="Y1094" s="69" t="e" cm="1">
        <f t="array" ref="Y1094">_xlfn.XLOOKUP(Table1[[#This Row],[5 cm2 cell test code]:[5 cm2 cell test code]],[1]!Table1[[Test code]:[Test code]],[1]!Table1[3-E ƞ at 20mAcm-2 (mV)],"",0)</f>
        <v>#REF!</v>
      </c>
      <c r="Z1094" s="69" t="e" cm="1">
        <f t="array" ref="Z1094">_xlfn.XLOOKUP(Table1[[#This Row],[5 cm2 cell test code]:[5 cm2 cell test code]],[1]!Table1[[Test code]:[Test code]],[1]!Table1[3-E Tafel slope (mV/dec)],"",0)</f>
        <v>#REF!</v>
      </c>
      <c r="AA1094" s="69" t="e" cm="1">
        <f t="array" ref="AA1094">_xlfn.XLOOKUP(Table1[[#This Row],[5 cm2 cell test code]:[5 cm2 cell test code]],[1]!Table1[[Test code]:[Test code]],[1]!Table1[E @ 100 mA/cm2 DIW/V],"",0)</f>
        <v>#REF!</v>
      </c>
      <c r="AB1094" s="69" t="e" cm="1">
        <f t="array" ref="AB1094">_xlfn.XLOOKUP(Table1[[#This Row],[5 cm2 cell test code]:[5 cm2 cell test code]],[1]!Table1[[Test code]:[Test code]],[1]!Table1[E @ 100 mA/cm2 10 mM KOH/V],"",0)</f>
        <v>#REF!</v>
      </c>
      <c r="AC1094" s="69" t="e" cm="1">
        <f t="array" ref="AC1094">_xlfn.XLOOKUP(Table1[[#This Row],[5 cm2 cell test code]:[5 cm2 cell test code]],[1]!Table1[[Test code]:[Test code]],[1]!Table1[Anode ICR/mOhm],"",0)</f>
        <v>#REF!</v>
      </c>
      <c r="AD1094" s="69" t="e" cm="1">
        <f t="array" ref="AD1094">_xlfn.XLOOKUP(Table1[[#This Row],[5 cm2 cell test code]:[5 cm2 cell test code]],[1]!Table1[[Test code]:[Test code]],[1]!Table1[HFR DIW/ mOhm cm2],"",0)</f>
        <v>#REF!</v>
      </c>
      <c r="AE1094" s="69" t="e" cm="1">
        <f t="array" ref="AE1094">_xlfn.XLOOKUP(Table1[[#This Row],[5 cm2 cell test code]:[5 cm2 cell test code]],[1]!Table1[[Test code]:[Test code]],[1]!Table1[HFR 10 mM KOH/ mOhm cm2],"",0)</f>
        <v>#REF!</v>
      </c>
      <c r="AF1094" s="69" t="e" cm="1">
        <f t="array" ref="AF1094">_xlfn.XLOOKUP(Table1[[#This Row],[5 cm2 cell test code]:[5 cm2 cell test code]],[1]!Table1[[Test code]:[Test code]],[1]!Table1[Ionic resistance DIW/Ohm cm2],"",0)</f>
        <v>#REF!</v>
      </c>
      <c r="AG1094" s="69" t="e" cm="1">
        <f t="array" ref="AG1094">_xlfn.XLOOKUP(Table1[[#This Row],[5 cm2 cell test code]:[5 cm2 cell test code]],[1]!Table1[[Test code]:[Test code]],[1]!Table1[Q_int_frac DIW],"",0)</f>
        <v>#REF!</v>
      </c>
      <c r="AH1094" s="69" t="e" cm="1">
        <f t="array" ref="AH1094">_xlfn.XLOOKUP(Table1[[#This Row],[5 cm2 cell test code]:[5 cm2 cell test code]],[1]!Table1[[Test code]:[Test code]],[1]!Table1[Ionic resistance 10 mM KOH/Ohm cm2],"",0)</f>
        <v>#REF!</v>
      </c>
      <c r="AI1094" s="69" t="e" cm="1">
        <f t="array" ref="AI1094">_xlfn.XLOOKUP(Table1[[#This Row],[5 cm2 cell test code]:[5 cm2 cell test code]],[1]!Table1[[Test code]:[Test code]],[1]!Table1[Q_int_frac DIW 10 mM KOH],"",0)</f>
        <v>#REF!</v>
      </c>
      <c r="AJ1094" s="69" t="e" cm="1">
        <f t="array" ref="AJ1094">_xlfn.XLOOKUP(Table1[[#This Row],[5 cm2 cell test code]:[5 cm2 cell test code]],[1]!Table1[[Test code]:[Test code]],[1]!Table1[DIW conductivity (µS/cm)],"",0)</f>
        <v>#REF!</v>
      </c>
    </row>
    <row r="1095" spans="1:36">
      <c r="A1095" s="81"/>
      <c r="U1095" s="101"/>
      <c r="V1095" s="101"/>
      <c r="W1095" s="69" t="e" cm="1">
        <f t="array" ref="W1095">_xlfn.XLOOKUP(Table1[[#This Row],[5 cm2 cell test code]:[5 cm2 cell test code]],[1]!Table1[[Test code]:[Test code]],[1]!Table1[i @ 1.8 V DIW (A/cm2)],"",0)</f>
        <v>#REF!</v>
      </c>
      <c r="X1095" s="69" t="e" cm="1">
        <f t="array" ref="X1095">_xlfn.XLOOKUP(Table1[[#This Row],[5 cm2 cell test code]:[5 cm2 cell test code]],[1]!Table1[[Test code]:[Test code]],[1]!Table1[i @ 1.8 V 10 mM KOH (A/cm2)],"",0)</f>
        <v>#REF!</v>
      </c>
      <c r="Y1095" s="69" t="e" cm="1">
        <f t="array" ref="Y1095">_xlfn.XLOOKUP(Table1[[#This Row],[5 cm2 cell test code]:[5 cm2 cell test code]],[1]!Table1[[Test code]:[Test code]],[1]!Table1[3-E ƞ at 20mAcm-2 (mV)],"",0)</f>
        <v>#REF!</v>
      </c>
      <c r="Z1095" s="69" t="e" cm="1">
        <f t="array" ref="Z1095">_xlfn.XLOOKUP(Table1[[#This Row],[5 cm2 cell test code]:[5 cm2 cell test code]],[1]!Table1[[Test code]:[Test code]],[1]!Table1[3-E Tafel slope (mV/dec)],"",0)</f>
        <v>#REF!</v>
      </c>
      <c r="AA1095" s="69" t="e" cm="1">
        <f t="array" ref="AA1095">_xlfn.XLOOKUP(Table1[[#This Row],[5 cm2 cell test code]:[5 cm2 cell test code]],[1]!Table1[[Test code]:[Test code]],[1]!Table1[E @ 100 mA/cm2 DIW/V],"",0)</f>
        <v>#REF!</v>
      </c>
      <c r="AB1095" s="69" t="e" cm="1">
        <f t="array" ref="AB1095">_xlfn.XLOOKUP(Table1[[#This Row],[5 cm2 cell test code]:[5 cm2 cell test code]],[1]!Table1[[Test code]:[Test code]],[1]!Table1[E @ 100 mA/cm2 10 mM KOH/V],"",0)</f>
        <v>#REF!</v>
      </c>
      <c r="AC1095" s="69" t="e" cm="1">
        <f t="array" ref="AC1095">_xlfn.XLOOKUP(Table1[[#This Row],[5 cm2 cell test code]:[5 cm2 cell test code]],[1]!Table1[[Test code]:[Test code]],[1]!Table1[Anode ICR/mOhm],"",0)</f>
        <v>#REF!</v>
      </c>
      <c r="AD1095" s="69" t="e" cm="1">
        <f t="array" ref="AD1095">_xlfn.XLOOKUP(Table1[[#This Row],[5 cm2 cell test code]:[5 cm2 cell test code]],[1]!Table1[[Test code]:[Test code]],[1]!Table1[HFR DIW/ mOhm cm2],"",0)</f>
        <v>#REF!</v>
      </c>
      <c r="AE1095" s="69" t="e" cm="1">
        <f t="array" ref="AE1095">_xlfn.XLOOKUP(Table1[[#This Row],[5 cm2 cell test code]:[5 cm2 cell test code]],[1]!Table1[[Test code]:[Test code]],[1]!Table1[HFR 10 mM KOH/ mOhm cm2],"",0)</f>
        <v>#REF!</v>
      </c>
      <c r="AF1095" s="69" t="e" cm="1">
        <f t="array" ref="AF1095">_xlfn.XLOOKUP(Table1[[#This Row],[5 cm2 cell test code]:[5 cm2 cell test code]],[1]!Table1[[Test code]:[Test code]],[1]!Table1[Ionic resistance DIW/Ohm cm2],"",0)</f>
        <v>#REF!</v>
      </c>
      <c r="AG1095" s="69" t="e" cm="1">
        <f t="array" ref="AG1095">_xlfn.XLOOKUP(Table1[[#This Row],[5 cm2 cell test code]:[5 cm2 cell test code]],[1]!Table1[[Test code]:[Test code]],[1]!Table1[Q_int_frac DIW],"",0)</f>
        <v>#REF!</v>
      </c>
      <c r="AH1095" s="69" t="e" cm="1">
        <f t="array" ref="AH1095">_xlfn.XLOOKUP(Table1[[#This Row],[5 cm2 cell test code]:[5 cm2 cell test code]],[1]!Table1[[Test code]:[Test code]],[1]!Table1[Ionic resistance 10 mM KOH/Ohm cm2],"",0)</f>
        <v>#REF!</v>
      </c>
      <c r="AI1095" s="69" t="e" cm="1">
        <f t="array" ref="AI1095">_xlfn.XLOOKUP(Table1[[#This Row],[5 cm2 cell test code]:[5 cm2 cell test code]],[1]!Table1[[Test code]:[Test code]],[1]!Table1[Q_int_frac DIW 10 mM KOH],"",0)</f>
        <v>#REF!</v>
      </c>
      <c r="AJ1095" s="69" t="e" cm="1">
        <f t="array" ref="AJ1095">_xlfn.XLOOKUP(Table1[[#This Row],[5 cm2 cell test code]:[5 cm2 cell test code]],[1]!Table1[[Test code]:[Test code]],[1]!Table1[DIW conductivity (µS/cm)],"",0)</f>
        <v>#REF!</v>
      </c>
    </row>
    <row r="1096" spans="1:36">
      <c r="A1096" s="81"/>
      <c r="U1096" s="101"/>
      <c r="V1096" s="101"/>
      <c r="W1096" s="69" t="e" cm="1">
        <f t="array" ref="W1096">_xlfn.XLOOKUP(Table1[[#This Row],[5 cm2 cell test code]:[5 cm2 cell test code]],[1]!Table1[[Test code]:[Test code]],[1]!Table1[i @ 1.8 V DIW (A/cm2)],"",0)</f>
        <v>#REF!</v>
      </c>
      <c r="X1096" s="69" t="e" cm="1">
        <f t="array" ref="X1096">_xlfn.XLOOKUP(Table1[[#This Row],[5 cm2 cell test code]:[5 cm2 cell test code]],[1]!Table1[[Test code]:[Test code]],[1]!Table1[i @ 1.8 V 10 mM KOH (A/cm2)],"",0)</f>
        <v>#REF!</v>
      </c>
      <c r="Y1096" s="69" t="e" cm="1">
        <f t="array" ref="Y1096">_xlfn.XLOOKUP(Table1[[#This Row],[5 cm2 cell test code]:[5 cm2 cell test code]],[1]!Table1[[Test code]:[Test code]],[1]!Table1[3-E ƞ at 20mAcm-2 (mV)],"",0)</f>
        <v>#REF!</v>
      </c>
      <c r="Z1096" s="69" t="e" cm="1">
        <f t="array" ref="Z1096">_xlfn.XLOOKUP(Table1[[#This Row],[5 cm2 cell test code]:[5 cm2 cell test code]],[1]!Table1[[Test code]:[Test code]],[1]!Table1[3-E Tafel slope (mV/dec)],"",0)</f>
        <v>#REF!</v>
      </c>
      <c r="AA1096" s="69" t="e" cm="1">
        <f t="array" ref="AA1096">_xlfn.XLOOKUP(Table1[[#This Row],[5 cm2 cell test code]:[5 cm2 cell test code]],[1]!Table1[[Test code]:[Test code]],[1]!Table1[E @ 100 mA/cm2 DIW/V],"",0)</f>
        <v>#REF!</v>
      </c>
      <c r="AB1096" s="69" t="e" cm="1">
        <f t="array" ref="AB1096">_xlfn.XLOOKUP(Table1[[#This Row],[5 cm2 cell test code]:[5 cm2 cell test code]],[1]!Table1[[Test code]:[Test code]],[1]!Table1[E @ 100 mA/cm2 10 mM KOH/V],"",0)</f>
        <v>#REF!</v>
      </c>
      <c r="AC1096" s="69" t="e" cm="1">
        <f t="array" ref="AC1096">_xlfn.XLOOKUP(Table1[[#This Row],[5 cm2 cell test code]:[5 cm2 cell test code]],[1]!Table1[[Test code]:[Test code]],[1]!Table1[Anode ICR/mOhm],"",0)</f>
        <v>#REF!</v>
      </c>
      <c r="AD1096" s="69" t="e" cm="1">
        <f t="array" ref="AD1096">_xlfn.XLOOKUP(Table1[[#This Row],[5 cm2 cell test code]:[5 cm2 cell test code]],[1]!Table1[[Test code]:[Test code]],[1]!Table1[HFR DIW/ mOhm cm2],"",0)</f>
        <v>#REF!</v>
      </c>
      <c r="AE1096" s="69" t="e" cm="1">
        <f t="array" ref="AE1096">_xlfn.XLOOKUP(Table1[[#This Row],[5 cm2 cell test code]:[5 cm2 cell test code]],[1]!Table1[[Test code]:[Test code]],[1]!Table1[HFR 10 mM KOH/ mOhm cm2],"",0)</f>
        <v>#REF!</v>
      </c>
      <c r="AF1096" s="69" t="e" cm="1">
        <f t="array" ref="AF1096">_xlfn.XLOOKUP(Table1[[#This Row],[5 cm2 cell test code]:[5 cm2 cell test code]],[1]!Table1[[Test code]:[Test code]],[1]!Table1[Ionic resistance DIW/Ohm cm2],"",0)</f>
        <v>#REF!</v>
      </c>
      <c r="AG1096" s="69" t="e" cm="1">
        <f t="array" ref="AG1096">_xlfn.XLOOKUP(Table1[[#This Row],[5 cm2 cell test code]:[5 cm2 cell test code]],[1]!Table1[[Test code]:[Test code]],[1]!Table1[Q_int_frac DIW],"",0)</f>
        <v>#REF!</v>
      </c>
      <c r="AH1096" s="69" t="e" cm="1">
        <f t="array" ref="AH1096">_xlfn.XLOOKUP(Table1[[#This Row],[5 cm2 cell test code]:[5 cm2 cell test code]],[1]!Table1[[Test code]:[Test code]],[1]!Table1[Ionic resistance 10 mM KOH/Ohm cm2],"",0)</f>
        <v>#REF!</v>
      </c>
      <c r="AI1096" s="69" t="e" cm="1">
        <f t="array" ref="AI1096">_xlfn.XLOOKUP(Table1[[#This Row],[5 cm2 cell test code]:[5 cm2 cell test code]],[1]!Table1[[Test code]:[Test code]],[1]!Table1[Q_int_frac DIW 10 mM KOH],"",0)</f>
        <v>#REF!</v>
      </c>
      <c r="AJ1096" s="69" t="e" cm="1">
        <f t="array" ref="AJ1096">_xlfn.XLOOKUP(Table1[[#This Row],[5 cm2 cell test code]:[5 cm2 cell test code]],[1]!Table1[[Test code]:[Test code]],[1]!Table1[DIW conductivity (µS/cm)],"",0)</f>
        <v>#REF!</v>
      </c>
    </row>
    <row r="1097" spans="1:36">
      <c r="A1097" s="81"/>
      <c r="U1097" s="101"/>
      <c r="V1097" s="101"/>
      <c r="W1097" s="69" t="e" cm="1">
        <f t="array" ref="W1097">_xlfn.XLOOKUP(Table1[[#This Row],[5 cm2 cell test code]:[5 cm2 cell test code]],[1]!Table1[[Test code]:[Test code]],[1]!Table1[i @ 1.8 V DIW (A/cm2)],"",0)</f>
        <v>#REF!</v>
      </c>
      <c r="X1097" s="69" t="e" cm="1">
        <f t="array" ref="X1097">_xlfn.XLOOKUP(Table1[[#This Row],[5 cm2 cell test code]:[5 cm2 cell test code]],[1]!Table1[[Test code]:[Test code]],[1]!Table1[i @ 1.8 V 10 mM KOH (A/cm2)],"",0)</f>
        <v>#REF!</v>
      </c>
      <c r="Y1097" s="69" t="e" cm="1">
        <f t="array" ref="Y1097">_xlfn.XLOOKUP(Table1[[#This Row],[5 cm2 cell test code]:[5 cm2 cell test code]],[1]!Table1[[Test code]:[Test code]],[1]!Table1[3-E ƞ at 20mAcm-2 (mV)],"",0)</f>
        <v>#REF!</v>
      </c>
      <c r="Z1097" s="69" t="e" cm="1">
        <f t="array" ref="Z1097">_xlfn.XLOOKUP(Table1[[#This Row],[5 cm2 cell test code]:[5 cm2 cell test code]],[1]!Table1[[Test code]:[Test code]],[1]!Table1[3-E Tafel slope (mV/dec)],"",0)</f>
        <v>#REF!</v>
      </c>
      <c r="AA1097" s="69" t="e" cm="1">
        <f t="array" ref="AA1097">_xlfn.XLOOKUP(Table1[[#This Row],[5 cm2 cell test code]:[5 cm2 cell test code]],[1]!Table1[[Test code]:[Test code]],[1]!Table1[E @ 100 mA/cm2 DIW/V],"",0)</f>
        <v>#REF!</v>
      </c>
      <c r="AB1097" s="69" t="e" cm="1">
        <f t="array" ref="AB1097">_xlfn.XLOOKUP(Table1[[#This Row],[5 cm2 cell test code]:[5 cm2 cell test code]],[1]!Table1[[Test code]:[Test code]],[1]!Table1[E @ 100 mA/cm2 10 mM KOH/V],"",0)</f>
        <v>#REF!</v>
      </c>
      <c r="AC1097" s="69" t="e" cm="1">
        <f t="array" ref="AC1097">_xlfn.XLOOKUP(Table1[[#This Row],[5 cm2 cell test code]:[5 cm2 cell test code]],[1]!Table1[[Test code]:[Test code]],[1]!Table1[Anode ICR/mOhm],"",0)</f>
        <v>#REF!</v>
      </c>
      <c r="AD1097" s="69" t="e" cm="1">
        <f t="array" ref="AD1097">_xlfn.XLOOKUP(Table1[[#This Row],[5 cm2 cell test code]:[5 cm2 cell test code]],[1]!Table1[[Test code]:[Test code]],[1]!Table1[HFR DIW/ mOhm cm2],"",0)</f>
        <v>#REF!</v>
      </c>
      <c r="AE1097" s="69" t="e" cm="1">
        <f t="array" ref="AE1097">_xlfn.XLOOKUP(Table1[[#This Row],[5 cm2 cell test code]:[5 cm2 cell test code]],[1]!Table1[[Test code]:[Test code]],[1]!Table1[HFR 10 mM KOH/ mOhm cm2],"",0)</f>
        <v>#REF!</v>
      </c>
      <c r="AF1097" s="69" t="e" cm="1">
        <f t="array" ref="AF1097">_xlfn.XLOOKUP(Table1[[#This Row],[5 cm2 cell test code]:[5 cm2 cell test code]],[1]!Table1[[Test code]:[Test code]],[1]!Table1[Ionic resistance DIW/Ohm cm2],"",0)</f>
        <v>#REF!</v>
      </c>
      <c r="AG1097" s="69" t="e" cm="1">
        <f t="array" ref="AG1097">_xlfn.XLOOKUP(Table1[[#This Row],[5 cm2 cell test code]:[5 cm2 cell test code]],[1]!Table1[[Test code]:[Test code]],[1]!Table1[Q_int_frac DIW],"",0)</f>
        <v>#REF!</v>
      </c>
      <c r="AH1097" s="69" t="e" cm="1">
        <f t="array" ref="AH1097">_xlfn.XLOOKUP(Table1[[#This Row],[5 cm2 cell test code]:[5 cm2 cell test code]],[1]!Table1[[Test code]:[Test code]],[1]!Table1[Ionic resistance 10 mM KOH/Ohm cm2],"",0)</f>
        <v>#REF!</v>
      </c>
      <c r="AI1097" s="69" t="e" cm="1">
        <f t="array" ref="AI1097">_xlfn.XLOOKUP(Table1[[#This Row],[5 cm2 cell test code]:[5 cm2 cell test code]],[1]!Table1[[Test code]:[Test code]],[1]!Table1[Q_int_frac DIW 10 mM KOH],"",0)</f>
        <v>#REF!</v>
      </c>
      <c r="AJ1097" s="69" t="e" cm="1">
        <f t="array" ref="AJ1097">_xlfn.XLOOKUP(Table1[[#This Row],[5 cm2 cell test code]:[5 cm2 cell test code]],[1]!Table1[[Test code]:[Test code]],[1]!Table1[DIW conductivity (µS/cm)],"",0)</f>
        <v>#REF!</v>
      </c>
    </row>
    <row r="1098" spans="1:36">
      <c r="A1098" s="81"/>
      <c r="U1098" s="101"/>
      <c r="V1098" s="101"/>
      <c r="W1098" s="69" t="e" cm="1">
        <f t="array" ref="W1098">_xlfn.XLOOKUP(Table1[[#This Row],[5 cm2 cell test code]:[5 cm2 cell test code]],[1]!Table1[[Test code]:[Test code]],[1]!Table1[i @ 1.8 V DIW (A/cm2)],"",0)</f>
        <v>#REF!</v>
      </c>
      <c r="X1098" s="69" t="e" cm="1">
        <f t="array" ref="X1098">_xlfn.XLOOKUP(Table1[[#This Row],[5 cm2 cell test code]:[5 cm2 cell test code]],[1]!Table1[[Test code]:[Test code]],[1]!Table1[i @ 1.8 V 10 mM KOH (A/cm2)],"",0)</f>
        <v>#REF!</v>
      </c>
      <c r="Y1098" s="69" t="e" cm="1">
        <f t="array" ref="Y1098">_xlfn.XLOOKUP(Table1[[#This Row],[5 cm2 cell test code]:[5 cm2 cell test code]],[1]!Table1[[Test code]:[Test code]],[1]!Table1[3-E ƞ at 20mAcm-2 (mV)],"",0)</f>
        <v>#REF!</v>
      </c>
      <c r="Z1098" s="69" t="e" cm="1">
        <f t="array" ref="Z1098">_xlfn.XLOOKUP(Table1[[#This Row],[5 cm2 cell test code]:[5 cm2 cell test code]],[1]!Table1[[Test code]:[Test code]],[1]!Table1[3-E Tafel slope (mV/dec)],"",0)</f>
        <v>#REF!</v>
      </c>
      <c r="AA1098" s="69" t="e" cm="1">
        <f t="array" ref="AA1098">_xlfn.XLOOKUP(Table1[[#This Row],[5 cm2 cell test code]:[5 cm2 cell test code]],[1]!Table1[[Test code]:[Test code]],[1]!Table1[E @ 100 mA/cm2 DIW/V],"",0)</f>
        <v>#REF!</v>
      </c>
      <c r="AB1098" s="69" t="e" cm="1">
        <f t="array" ref="AB1098">_xlfn.XLOOKUP(Table1[[#This Row],[5 cm2 cell test code]:[5 cm2 cell test code]],[1]!Table1[[Test code]:[Test code]],[1]!Table1[E @ 100 mA/cm2 10 mM KOH/V],"",0)</f>
        <v>#REF!</v>
      </c>
      <c r="AC1098" s="69" t="e" cm="1">
        <f t="array" ref="AC1098">_xlfn.XLOOKUP(Table1[[#This Row],[5 cm2 cell test code]:[5 cm2 cell test code]],[1]!Table1[[Test code]:[Test code]],[1]!Table1[Anode ICR/mOhm],"",0)</f>
        <v>#REF!</v>
      </c>
      <c r="AD1098" s="69" t="e" cm="1">
        <f t="array" ref="AD1098">_xlfn.XLOOKUP(Table1[[#This Row],[5 cm2 cell test code]:[5 cm2 cell test code]],[1]!Table1[[Test code]:[Test code]],[1]!Table1[HFR DIW/ mOhm cm2],"",0)</f>
        <v>#REF!</v>
      </c>
      <c r="AE1098" s="69" t="e" cm="1">
        <f t="array" ref="AE1098">_xlfn.XLOOKUP(Table1[[#This Row],[5 cm2 cell test code]:[5 cm2 cell test code]],[1]!Table1[[Test code]:[Test code]],[1]!Table1[HFR 10 mM KOH/ mOhm cm2],"",0)</f>
        <v>#REF!</v>
      </c>
      <c r="AF1098" s="69" t="e" cm="1">
        <f t="array" ref="AF1098">_xlfn.XLOOKUP(Table1[[#This Row],[5 cm2 cell test code]:[5 cm2 cell test code]],[1]!Table1[[Test code]:[Test code]],[1]!Table1[Ionic resistance DIW/Ohm cm2],"",0)</f>
        <v>#REF!</v>
      </c>
      <c r="AG1098" s="69" t="e" cm="1">
        <f t="array" ref="AG1098">_xlfn.XLOOKUP(Table1[[#This Row],[5 cm2 cell test code]:[5 cm2 cell test code]],[1]!Table1[[Test code]:[Test code]],[1]!Table1[Q_int_frac DIW],"",0)</f>
        <v>#REF!</v>
      </c>
      <c r="AH1098" s="69" t="e" cm="1">
        <f t="array" ref="AH1098">_xlfn.XLOOKUP(Table1[[#This Row],[5 cm2 cell test code]:[5 cm2 cell test code]],[1]!Table1[[Test code]:[Test code]],[1]!Table1[Ionic resistance 10 mM KOH/Ohm cm2],"",0)</f>
        <v>#REF!</v>
      </c>
      <c r="AI1098" s="69" t="e" cm="1">
        <f t="array" ref="AI1098">_xlfn.XLOOKUP(Table1[[#This Row],[5 cm2 cell test code]:[5 cm2 cell test code]],[1]!Table1[[Test code]:[Test code]],[1]!Table1[Q_int_frac DIW 10 mM KOH],"",0)</f>
        <v>#REF!</v>
      </c>
      <c r="AJ1098" s="69" t="e" cm="1">
        <f t="array" ref="AJ1098">_xlfn.XLOOKUP(Table1[[#This Row],[5 cm2 cell test code]:[5 cm2 cell test code]],[1]!Table1[[Test code]:[Test code]],[1]!Table1[DIW conductivity (µS/cm)],"",0)</f>
        <v>#REF!</v>
      </c>
    </row>
    <row r="1099" spans="1:36">
      <c r="A1099" s="81"/>
      <c r="U1099" s="101"/>
      <c r="V1099" s="101"/>
      <c r="W1099" s="69" t="e" cm="1">
        <f t="array" ref="W1099">_xlfn.XLOOKUP(Table1[[#This Row],[5 cm2 cell test code]:[5 cm2 cell test code]],[1]!Table1[[Test code]:[Test code]],[1]!Table1[i @ 1.8 V DIW (A/cm2)],"",0)</f>
        <v>#REF!</v>
      </c>
      <c r="X1099" s="69" t="e" cm="1">
        <f t="array" ref="X1099">_xlfn.XLOOKUP(Table1[[#This Row],[5 cm2 cell test code]:[5 cm2 cell test code]],[1]!Table1[[Test code]:[Test code]],[1]!Table1[i @ 1.8 V 10 mM KOH (A/cm2)],"",0)</f>
        <v>#REF!</v>
      </c>
      <c r="Y1099" s="69" t="e" cm="1">
        <f t="array" ref="Y1099">_xlfn.XLOOKUP(Table1[[#This Row],[5 cm2 cell test code]:[5 cm2 cell test code]],[1]!Table1[[Test code]:[Test code]],[1]!Table1[3-E ƞ at 20mAcm-2 (mV)],"",0)</f>
        <v>#REF!</v>
      </c>
      <c r="Z1099" s="69" t="e" cm="1">
        <f t="array" ref="Z1099">_xlfn.XLOOKUP(Table1[[#This Row],[5 cm2 cell test code]:[5 cm2 cell test code]],[1]!Table1[[Test code]:[Test code]],[1]!Table1[3-E Tafel slope (mV/dec)],"",0)</f>
        <v>#REF!</v>
      </c>
      <c r="AA1099" s="69" t="e" cm="1">
        <f t="array" ref="AA1099">_xlfn.XLOOKUP(Table1[[#This Row],[5 cm2 cell test code]:[5 cm2 cell test code]],[1]!Table1[[Test code]:[Test code]],[1]!Table1[E @ 100 mA/cm2 DIW/V],"",0)</f>
        <v>#REF!</v>
      </c>
      <c r="AB1099" s="69" t="e" cm="1">
        <f t="array" ref="AB1099">_xlfn.XLOOKUP(Table1[[#This Row],[5 cm2 cell test code]:[5 cm2 cell test code]],[1]!Table1[[Test code]:[Test code]],[1]!Table1[E @ 100 mA/cm2 10 mM KOH/V],"",0)</f>
        <v>#REF!</v>
      </c>
      <c r="AC1099" s="69" t="e" cm="1">
        <f t="array" ref="AC1099">_xlfn.XLOOKUP(Table1[[#This Row],[5 cm2 cell test code]:[5 cm2 cell test code]],[1]!Table1[[Test code]:[Test code]],[1]!Table1[Anode ICR/mOhm],"",0)</f>
        <v>#REF!</v>
      </c>
      <c r="AD1099" s="69" t="e" cm="1">
        <f t="array" ref="AD1099">_xlfn.XLOOKUP(Table1[[#This Row],[5 cm2 cell test code]:[5 cm2 cell test code]],[1]!Table1[[Test code]:[Test code]],[1]!Table1[HFR DIW/ mOhm cm2],"",0)</f>
        <v>#REF!</v>
      </c>
      <c r="AE1099" s="69" t="e" cm="1">
        <f t="array" ref="AE1099">_xlfn.XLOOKUP(Table1[[#This Row],[5 cm2 cell test code]:[5 cm2 cell test code]],[1]!Table1[[Test code]:[Test code]],[1]!Table1[HFR 10 mM KOH/ mOhm cm2],"",0)</f>
        <v>#REF!</v>
      </c>
      <c r="AF1099" s="69" t="e" cm="1">
        <f t="array" ref="AF1099">_xlfn.XLOOKUP(Table1[[#This Row],[5 cm2 cell test code]:[5 cm2 cell test code]],[1]!Table1[[Test code]:[Test code]],[1]!Table1[Ionic resistance DIW/Ohm cm2],"",0)</f>
        <v>#REF!</v>
      </c>
      <c r="AG1099" s="69" t="e" cm="1">
        <f t="array" ref="AG1099">_xlfn.XLOOKUP(Table1[[#This Row],[5 cm2 cell test code]:[5 cm2 cell test code]],[1]!Table1[[Test code]:[Test code]],[1]!Table1[Q_int_frac DIW],"",0)</f>
        <v>#REF!</v>
      </c>
      <c r="AH1099" s="69" t="e" cm="1">
        <f t="array" ref="AH1099">_xlfn.XLOOKUP(Table1[[#This Row],[5 cm2 cell test code]:[5 cm2 cell test code]],[1]!Table1[[Test code]:[Test code]],[1]!Table1[Ionic resistance 10 mM KOH/Ohm cm2],"",0)</f>
        <v>#REF!</v>
      </c>
      <c r="AI1099" s="69" t="e" cm="1">
        <f t="array" ref="AI1099">_xlfn.XLOOKUP(Table1[[#This Row],[5 cm2 cell test code]:[5 cm2 cell test code]],[1]!Table1[[Test code]:[Test code]],[1]!Table1[Q_int_frac DIW 10 mM KOH],"",0)</f>
        <v>#REF!</v>
      </c>
      <c r="AJ1099" s="69" t="e" cm="1">
        <f t="array" ref="AJ1099">_xlfn.XLOOKUP(Table1[[#This Row],[5 cm2 cell test code]:[5 cm2 cell test code]],[1]!Table1[[Test code]:[Test code]],[1]!Table1[DIW conductivity (µS/cm)],"",0)</f>
        <v>#REF!</v>
      </c>
    </row>
    <row r="1100" spans="1:36">
      <c r="A1100" s="81"/>
      <c r="U1100" s="101"/>
      <c r="V1100" s="101"/>
      <c r="W1100" s="69" t="e" cm="1">
        <f t="array" ref="W1100">_xlfn.XLOOKUP(Table1[[#This Row],[5 cm2 cell test code]:[5 cm2 cell test code]],[1]!Table1[[Test code]:[Test code]],[1]!Table1[i @ 1.8 V DIW (A/cm2)],"",0)</f>
        <v>#REF!</v>
      </c>
      <c r="X1100" s="69" t="e" cm="1">
        <f t="array" ref="X1100">_xlfn.XLOOKUP(Table1[[#This Row],[5 cm2 cell test code]:[5 cm2 cell test code]],[1]!Table1[[Test code]:[Test code]],[1]!Table1[i @ 1.8 V 10 mM KOH (A/cm2)],"",0)</f>
        <v>#REF!</v>
      </c>
      <c r="Y1100" s="69" t="e" cm="1">
        <f t="array" ref="Y1100">_xlfn.XLOOKUP(Table1[[#This Row],[5 cm2 cell test code]:[5 cm2 cell test code]],[1]!Table1[[Test code]:[Test code]],[1]!Table1[3-E ƞ at 20mAcm-2 (mV)],"",0)</f>
        <v>#REF!</v>
      </c>
      <c r="Z1100" s="69" t="e" cm="1">
        <f t="array" ref="Z1100">_xlfn.XLOOKUP(Table1[[#This Row],[5 cm2 cell test code]:[5 cm2 cell test code]],[1]!Table1[[Test code]:[Test code]],[1]!Table1[3-E Tafel slope (mV/dec)],"",0)</f>
        <v>#REF!</v>
      </c>
      <c r="AA1100" s="69" t="e" cm="1">
        <f t="array" ref="AA1100">_xlfn.XLOOKUP(Table1[[#This Row],[5 cm2 cell test code]:[5 cm2 cell test code]],[1]!Table1[[Test code]:[Test code]],[1]!Table1[E @ 100 mA/cm2 DIW/V],"",0)</f>
        <v>#REF!</v>
      </c>
      <c r="AB1100" s="69" t="e" cm="1">
        <f t="array" ref="AB1100">_xlfn.XLOOKUP(Table1[[#This Row],[5 cm2 cell test code]:[5 cm2 cell test code]],[1]!Table1[[Test code]:[Test code]],[1]!Table1[E @ 100 mA/cm2 10 mM KOH/V],"",0)</f>
        <v>#REF!</v>
      </c>
      <c r="AC1100" s="69" t="e" cm="1">
        <f t="array" ref="AC1100">_xlfn.XLOOKUP(Table1[[#This Row],[5 cm2 cell test code]:[5 cm2 cell test code]],[1]!Table1[[Test code]:[Test code]],[1]!Table1[Anode ICR/mOhm],"",0)</f>
        <v>#REF!</v>
      </c>
      <c r="AD1100" s="69" t="e" cm="1">
        <f t="array" ref="AD1100">_xlfn.XLOOKUP(Table1[[#This Row],[5 cm2 cell test code]:[5 cm2 cell test code]],[1]!Table1[[Test code]:[Test code]],[1]!Table1[HFR DIW/ mOhm cm2],"",0)</f>
        <v>#REF!</v>
      </c>
      <c r="AE1100" s="69" t="e" cm="1">
        <f t="array" ref="AE1100">_xlfn.XLOOKUP(Table1[[#This Row],[5 cm2 cell test code]:[5 cm2 cell test code]],[1]!Table1[[Test code]:[Test code]],[1]!Table1[HFR 10 mM KOH/ mOhm cm2],"",0)</f>
        <v>#REF!</v>
      </c>
      <c r="AF1100" s="69" t="e" cm="1">
        <f t="array" ref="AF1100">_xlfn.XLOOKUP(Table1[[#This Row],[5 cm2 cell test code]:[5 cm2 cell test code]],[1]!Table1[[Test code]:[Test code]],[1]!Table1[Ionic resistance DIW/Ohm cm2],"",0)</f>
        <v>#REF!</v>
      </c>
      <c r="AG1100" s="69" t="e" cm="1">
        <f t="array" ref="AG1100">_xlfn.XLOOKUP(Table1[[#This Row],[5 cm2 cell test code]:[5 cm2 cell test code]],[1]!Table1[[Test code]:[Test code]],[1]!Table1[Q_int_frac DIW],"",0)</f>
        <v>#REF!</v>
      </c>
      <c r="AH1100" s="69" t="e" cm="1">
        <f t="array" ref="AH1100">_xlfn.XLOOKUP(Table1[[#This Row],[5 cm2 cell test code]:[5 cm2 cell test code]],[1]!Table1[[Test code]:[Test code]],[1]!Table1[Ionic resistance 10 mM KOH/Ohm cm2],"",0)</f>
        <v>#REF!</v>
      </c>
      <c r="AI1100" s="69" t="e" cm="1">
        <f t="array" ref="AI1100">_xlfn.XLOOKUP(Table1[[#This Row],[5 cm2 cell test code]:[5 cm2 cell test code]],[1]!Table1[[Test code]:[Test code]],[1]!Table1[Q_int_frac DIW 10 mM KOH],"",0)</f>
        <v>#REF!</v>
      </c>
      <c r="AJ1100" s="69" t="e" cm="1">
        <f t="array" ref="AJ1100">_xlfn.XLOOKUP(Table1[[#This Row],[5 cm2 cell test code]:[5 cm2 cell test code]],[1]!Table1[[Test code]:[Test code]],[1]!Table1[DIW conductivity (µS/cm)],"",0)</f>
        <v>#REF!</v>
      </c>
    </row>
    <row r="1101" spans="1:36">
      <c r="A1101" s="81"/>
      <c r="U1101" s="101"/>
      <c r="V1101" s="101"/>
      <c r="W1101" s="69" t="e" cm="1">
        <f t="array" ref="W1101">_xlfn.XLOOKUP(Table1[[#This Row],[5 cm2 cell test code]:[5 cm2 cell test code]],[1]!Table1[[Test code]:[Test code]],[1]!Table1[i @ 1.8 V DIW (A/cm2)],"",0)</f>
        <v>#REF!</v>
      </c>
      <c r="X1101" s="69" t="e" cm="1">
        <f t="array" ref="X1101">_xlfn.XLOOKUP(Table1[[#This Row],[5 cm2 cell test code]:[5 cm2 cell test code]],[1]!Table1[[Test code]:[Test code]],[1]!Table1[i @ 1.8 V 10 mM KOH (A/cm2)],"",0)</f>
        <v>#REF!</v>
      </c>
      <c r="Y1101" s="69" t="e" cm="1">
        <f t="array" ref="Y1101">_xlfn.XLOOKUP(Table1[[#This Row],[5 cm2 cell test code]:[5 cm2 cell test code]],[1]!Table1[[Test code]:[Test code]],[1]!Table1[3-E ƞ at 20mAcm-2 (mV)],"",0)</f>
        <v>#REF!</v>
      </c>
      <c r="Z1101" s="69" t="e" cm="1">
        <f t="array" ref="Z1101">_xlfn.XLOOKUP(Table1[[#This Row],[5 cm2 cell test code]:[5 cm2 cell test code]],[1]!Table1[[Test code]:[Test code]],[1]!Table1[3-E Tafel slope (mV/dec)],"",0)</f>
        <v>#REF!</v>
      </c>
      <c r="AA1101" s="69" t="e" cm="1">
        <f t="array" ref="AA1101">_xlfn.XLOOKUP(Table1[[#This Row],[5 cm2 cell test code]:[5 cm2 cell test code]],[1]!Table1[[Test code]:[Test code]],[1]!Table1[E @ 100 mA/cm2 DIW/V],"",0)</f>
        <v>#REF!</v>
      </c>
      <c r="AB1101" s="69" t="e" cm="1">
        <f t="array" ref="AB1101">_xlfn.XLOOKUP(Table1[[#This Row],[5 cm2 cell test code]:[5 cm2 cell test code]],[1]!Table1[[Test code]:[Test code]],[1]!Table1[E @ 100 mA/cm2 10 mM KOH/V],"",0)</f>
        <v>#REF!</v>
      </c>
      <c r="AC1101" s="69" t="e" cm="1">
        <f t="array" ref="AC1101">_xlfn.XLOOKUP(Table1[[#This Row],[5 cm2 cell test code]:[5 cm2 cell test code]],[1]!Table1[[Test code]:[Test code]],[1]!Table1[Anode ICR/mOhm],"",0)</f>
        <v>#REF!</v>
      </c>
      <c r="AD1101" s="69" t="e" cm="1">
        <f t="array" ref="AD1101">_xlfn.XLOOKUP(Table1[[#This Row],[5 cm2 cell test code]:[5 cm2 cell test code]],[1]!Table1[[Test code]:[Test code]],[1]!Table1[HFR DIW/ mOhm cm2],"",0)</f>
        <v>#REF!</v>
      </c>
      <c r="AE1101" s="69" t="e" cm="1">
        <f t="array" ref="AE1101">_xlfn.XLOOKUP(Table1[[#This Row],[5 cm2 cell test code]:[5 cm2 cell test code]],[1]!Table1[[Test code]:[Test code]],[1]!Table1[HFR 10 mM KOH/ mOhm cm2],"",0)</f>
        <v>#REF!</v>
      </c>
      <c r="AF1101" s="69" t="e" cm="1">
        <f t="array" ref="AF1101">_xlfn.XLOOKUP(Table1[[#This Row],[5 cm2 cell test code]:[5 cm2 cell test code]],[1]!Table1[[Test code]:[Test code]],[1]!Table1[Ionic resistance DIW/Ohm cm2],"",0)</f>
        <v>#REF!</v>
      </c>
      <c r="AG1101" s="69" t="e" cm="1">
        <f t="array" ref="AG1101">_xlfn.XLOOKUP(Table1[[#This Row],[5 cm2 cell test code]:[5 cm2 cell test code]],[1]!Table1[[Test code]:[Test code]],[1]!Table1[Q_int_frac DIW],"",0)</f>
        <v>#REF!</v>
      </c>
      <c r="AH1101" s="69" t="e" cm="1">
        <f t="array" ref="AH1101">_xlfn.XLOOKUP(Table1[[#This Row],[5 cm2 cell test code]:[5 cm2 cell test code]],[1]!Table1[[Test code]:[Test code]],[1]!Table1[Ionic resistance 10 mM KOH/Ohm cm2],"",0)</f>
        <v>#REF!</v>
      </c>
      <c r="AI1101" s="69" t="e" cm="1">
        <f t="array" ref="AI1101">_xlfn.XLOOKUP(Table1[[#This Row],[5 cm2 cell test code]:[5 cm2 cell test code]],[1]!Table1[[Test code]:[Test code]],[1]!Table1[Q_int_frac DIW 10 mM KOH],"",0)</f>
        <v>#REF!</v>
      </c>
      <c r="AJ1101" s="69" t="e" cm="1">
        <f t="array" ref="AJ1101">_xlfn.XLOOKUP(Table1[[#This Row],[5 cm2 cell test code]:[5 cm2 cell test code]],[1]!Table1[[Test code]:[Test code]],[1]!Table1[DIW conductivity (µS/cm)],"",0)</f>
        <v>#REF!</v>
      </c>
    </row>
    <row r="1102" spans="1:36">
      <c r="A1102" s="81"/>
      <c r="U1102" s="101"/>
      <c r="V1102" s="101"/>
      <c r="W1102" s="69" t="e" cm="1">
        <f t="array" ref="W1102">_xlfn.XLOOKUP(Table1[[#This Row],[5 cm2 cell test code]:[5 cm2 cell test code]],[1]!Table1[[Test code]:[Test code]],[1]!Table1[i @ 1.8 V DIW (A/cm2)],"",0)</f>
        <v>#REF!</v>
      </c>
      <c r="X1102" s="69" t="e" cm="1">
        <f t="array" ref="X1102">_xlfn.XLOOKUP(Table1[[#This Row],[5 cm2 cell test code]:[5 cm2 cell test code]],[1]!Table1[[Test code]:[Test code]],[1]!Table1[i @ 1.8 V 10 mM KOH (A/cm2)],"",0)</f>
        <v>#REF!</v>
      </c>
      <c r="Y1102" s="69" t="e" cm="1">
        <f t="array" ref="Y1102">_xlfn.XLOOKUP(Table1[[#This Row],[5 cm2 cell test code]:[5 cm2 cell test code]],[1]!Table1[[Test code]:[Test code]],[1]!Table1[3-E ƞ at 20mAcm-2 (mV)],"",0)</f>
        <v>#REF!</v>
      </c>
      <c r="Z1102" s="69" t="e" cm="1">
        <f t="array" ref="Z1102">_xlfn.XLOOKUP(Table1[[#This Row],[5 cm2 cell test code]:[5 cm2 cell test code]],[1]!Table1[[Test code]:[Test code]],[1]!Table1[3-E Tafel slope (mV/dec)],"",0)</f>
        <v>#REF!</v>
      </c>
      <c r="AA1102" s="69" t="e" cm="1">
        <f t="array" ref="AA1102">_xlfn.XLOOKUP(Table1[[#This Row],[5 cm2 cell test code]:[5 cm2 cell test code]],[1]!Table1[[Test code]:[Test code]],[1]!Table1[E @ 100 mA/cm2 DIW/V],"",0)</f>
        <v>#REF!</v>
      </c>
      <c r="AB1102" s="69" t="e" cm="1">
        <f t="array" ref="AB1102">_xlfn.XLOOKUP(Table1[[#This Row],[5 cm2 cell test code]:[5 cm2 cell test code]],[1]!Table1[[Test code]:[Test code]],[1]!Table1[E @ 100 mA/cm2 10 mM KOH/V],"",0)</f>
        <v>#REF!</v>
      </c>
      <c r="AC1102" s="69" t="e" cm="1">
        <f t="array" ref="AC1102">_xlfn.XLOOKUP(Table1[[#This Row],[5 cm2 cell test code]:[5 cm2 cell test code]],[1]!Table1[[Test code]:[Test code]],[1]!Table1[Anode ICR/mOhm],"",0)</f>
        <v>#REF!</v>
      </c>
      <c r="AD1102" s="69" t="e" cm="1">
        <f t="array" ref="AD1102">_xlfn.XLOOKUP(Table1[[#This Row],[5 cm2 cell test code]:[5 cm2 cell test code]],[1]!Table1[[Test code]:[Test code]],[1]!Table1[HFR DIW/ mOhm cm2],"",0)</f>
        <v>#REF!</v>
      </c>
      <c r="AE1102" s="69" t="e" cm="1">
        <f t="array" ref="AE1102">_xlfn.XLOOKUP(Table1[[#This Row],[5 cm2 cell test code]:[5 cm2 cell test code]],[1]!Table1[[Test code]:[Test code]],[1]!Table1[HFR 10 mM KOH/ mOhm cm2],"",0)</f>
        <v>#REF!</v>
      </c>
      <c r="AF1102" s="69" t="e" cm="1">
        <f t="array" ref="AF1102">_xlfn.XLOOKUP(Table1[[#This Row],[5 cm2 cell test code]:[5 cm2 cell test code]],[1]!Table1[[Test code]:[Test code]],[1]!Table1[Ionic resistance DIW/Ohm cm2],"",0)</f>
        <v>#REF!</v>
      </c>
      <c r="AG1102" s="69" t="e" cm="1">
        <f t="array" ref="AG1102">_xlfn.XLOOKUP(Table1[[#This Row],[5 cm2 cell test code]:[5 cm2 cell test code]],[1]!Table1[[Test code]:[Test code]],[1]!Table1[Q_int_frac DIW],"",0)</f>
        <v>#REF!</v>
      </c>
      <c r="AH1102" s="69" t="e" cm="1">
        <f t="array" ref="AH1102">_xlfn.XLOOKUP(Table1[[#This Row],[5 cm2 cell test code]:[5 cm2 cell test code]],[1]!Table1[[Test code]:[Test code]],[1]!Table1[Ionic resistance 10 mM KOH/Ohm cm2],"",0)</f>
        <v>#REF!</v>
      </c>
      <c r="AI1102" s="69" t="e" cm="1">
        <f t="array" ref="AI1102">_xlfn.XLOOKUP(Table1[[#This Row],[5 cm2 cell test code]:[5 cm2 cell test code]],[1]!Table1[[Test code]:[Test code]],[1]!Table1[Q_int_frac DIW 10 mM KOH],"",0)</f>
        <v>#REF!</v>
      </c>
      <c r="AJ1102" s="69" t="e" cm="1">
        <f t="array" ref="AJ1102">_xlfn.XLOOKUP(Table1[[#This Row],[5 cm2 cell test code]:[5 cm2 cell test code]],[1]!Table1[[Test code]:[Test code]],[1]!Table1[DIW conductivity (µS/cm)],"",0)</f>
        <v>#REF!</v>
      </c>
    </row>
    <row r="1103" spans="1:36">
      <c r="A1103" s="81"/>
      <c r="U1103" s="101"/>
      <c r="V1103" s="101"/>
      <c r="W1103" s="69" t="e" cm="1">
        <f t="array" ref="W1103">_xlfn.XLOOKUP(Table1[[#This Row],[5 cm2 cell test code]:[5 cm2 cell test code]],[1]!Table1[[Test code]:[Test code]],[1]!Table1[i @ 1.8 V DIW (A/cm2)],"",0)</f>
        <v>#REF!</v>
      </c>
      <c r="X1103" s="69" t="e" cm="1">
        <f t="array" ref="X1103">_xlfn.XLOOKUP(Table1[[#This Row],[5 cm2 cell test code]:[5 cm2 cell test code]],[1]!Table1[[Test code]:[Test code]],[1]!Table1[i @ 1.8 V 10 mM KOH (A/cm2)],"",0)</f>
        <v>#REF!</v>
      </c>
      <c r="Y1103" s="69" t="e" cm="1">
        <f t="array" ref="Y1103">_xlfn.XLOOKUP(Table1[[#This Row],[5 cm2 cell test code]:[5 cm2 cell test code]],[1]!Table1[[Test code]:[Test code]],[1]!Table1[3-E ƞ at 20mAcm-2 (mV)],"",0)</f>
        <v>#REF!</v>
      </c>
      <c r="Z1103" s="69" t="e" cm="1">
        <f t="array" ref="Z1103">_xlfn.XLOOKUP(Table1[[#This Row],[5 cm2 cell test code]:[5 cm2 cell test code]],[1]!Table1[[Test code]:[Test code]],[1]!Table1[3-E Tafel slope (mV/dec)],"",0)</f>
        <v>#REF!</v>
      </c>
      <c r="AA1103" s="69" t="e" cm="1">
        <f t="array" ref="AA1103">_xlfn.XLOOKUP(Table1[[#This Row],[5 cm2 cell test code]:[5 cm2 cell test code]],[1]!Table1[[Test code]:[Test code]],[1]!Table1[E @ 100 mA/cm2 DIW/V],"",0)</f>
        <v>#REF!</v>
      </c>
      <c r="AB1103" s="69" t="e" cm="1">
        <f t="array" ref="AB1103">_xlfn.XLOOKUP(Table1[[#This Row],[5 cm2 cell test code]:[5 cm2 cell test code]],[1]!Table1[[Test code]:[Test code]],[1]!Table1[E @ 100 mA/cm2 10 mM KOH/V],"",0)</f>
        <v>#REF!</v>
      </c>
      <c r="AC1103" s="69" t="e" cm="1">
        <f t="array" ref="AC1103">_xlfn.XLOOKUP(Table1[[#This Row],[5 cm2 cell test code]:[5 cm2 cell test code]],[1]!Table1[[Test code]:[Test code]],[1]!Table1[Anode ICR/mOhm],"",0)</f>
        <v>#REF!</v>
      </c>
      <c r="AD1103" s="69" t="e" cm="1">
        <f t="array" ref="AD1103">_xlfn.XLOOKUP(Table1[[#This Row],[5 cm2 cell test code]:[5 cm2 cell test code]],[1]!Table1[[Test code]:[Test code]],[1]!Table1[HFR DIW/ mOhm cm2],"",0)</f>
        <v>#REF!</v>
      </c>
      <c r="AE1103" s="69" t="e" cm="1">
        <f t="array" ref="AE1103">_xlfn.XLOOKUP(Table1[[#This Row],[5 cm2 cell test code]:[5 cm2 cell test code]],[1]!Table1[[Test code]:[Test code]],[1]!Table1[HFR 10 mM KOH/ mOhm cm2],"",0)</f>
        <v>#REF!</v>
      </c>
      <c r="AF1103" s="69" t="e" cm="1">
        <f t="array" ref="AF1103">_xlfn.XLOOKUP(Table1[[#This Row],[5 cm2 cell test code]:[5 cm2 cell test code]],[1]!Table1[[Test code]:[Test code]],[1]!Table1[Ionic resistance DIW/Ohm cm2],"",0)</f>
        <v>#REF!</v>
      </c>
      <c r="AG1103" s="69" t="e" cm="1">
        <f t="array" ref="AG1103">_xlfn.XLOOKUP(Table1[[#This Row],[5 cm2 cell test code]:[5 cm2 cell test code]],[1]!Table1[[Test code]:[Test code]],[1]!Table1[Q_int_frac DIW],"",0)</f>
        <v>#REF!</v>
      </c>
      <c r="AH1103" s="69" t="e" cm="1">
        <f t="array" ref="AH1103">_xlfn.XLOOKUP(Table1[[#This Row],[5 cm2 cell test code]:[5 cm2 cell test code]],[1]!Table1[[Test code]:[Test code]],[1]!Table1[Ionic resistance 10 mM KOH/Ohm cm2],"",0)</f>
        <v>#REF!</v>
      </c>
      <c r="AI1103" s="69" t="e" cm="1">
        <f t="array" ref="AI1103">_xlfn.XLOOKUP(Table1[[#This Row],[5 cm2 cell test code]:[5 cm2 cell test code]],[1]!Table1[[Test code]:[Test code]],[1]!Table1[Q_int_frac DIW 10 mM KOH],"",0)</f>
        <v>#REF!</v>
      </c>
      <c r="AJ1103" s="69" t="e" cm="1">
        <f t="array" ref="AJ1103">_xlfn.XLOOKUP(Table1[[#This Row],[5 cm2 cell test code]:[5 cm2 cell test code]],[1]!Table1[[Test code]:[Test code]],[1]!Table1[DIW conductivity (µS/cm)],"",0)</f>
        <v>#REF!</v>
      </c>
    </row>
    <row r="1104" spans="1:36">
      <c r="A1104" s="81"/>
      <c r="U1104" s="101"/>
      <c r="V1104" s="101"/>
      <c r="W1104" s="69" t="e" cm="1">
        <f t="array" ref="W1104">_xlfn.XLOOKUP(Table1[[#This Row],[5 cm2 cell test code]:[5 cm2 cell test code]],[1]!Table1[[Test code]:[Test code]],[1]!Table1[i @ 1.8 V DIW (A/cm2)],"",0)</f>
        <v>#REF!</v>
      </c>
      <c r="X1104" s="69" t="e" cm="1">
        <f t="array" ref="X1104">_xlfn.XLOOKUP(Table1[[#This Row],[5 cm2 cell test code]:[5 cm2 cell test code]],[1]!Table1[[Test code]:[Test code]],[1]!Table1[i @ 1.8 V 10 mM KOH (A/cm2)],"",0)</f>
        <v>#REF!</v>
      </c>
      <c r="Y1104" s="69" t="e" cm="1">
        <f t="array" ref="Y1104">_xlfn.XLOOKUP(Table1[[#This Row],[5 cm2 cell test code]:[5 cm2 cell test code]],[1]!Table1[[Test code]:[Test code]],[1]!Table1[3-E ƞ at 20mAcm-2 (mV)],"",0)</f>
        <v>#REF!</v>
      </c>
      <c r="Z1104" s="69" t="e" cm="1">
        <f t="array" ref="Z1104">_xlfn.XLOOKUP(Table1[[#This Row],[5 cm2 cell test code]:[5 cm2 cell test code]],[1]!Table1[[Test code]:[Test code]],[1]!Table1[3-E Tafel slope (mV/dec)],"",0)</f>
        <v>#REF!</v>
      </c>
      <c r="AA1104" s="69" t="e" cm="1">
        <f t="array" ref="AA1104">_xlfn.XLOOKUP(Table1[[#This Row],[5 cm2 cell test code]:[5 cm2 cell test code]],[1]!Table1[[Test code]:[Test code]],[1]!Table1[E @ 100 mA/cm2 DIW/V],"",0)</f>
        <v>#REF!</v>
      </c>
      <c r="AB1104" s="69" t="e" cm="1">
        <f t="array" ref="AB1104">_xlfn.XLOOKUP(Table1[[#This Row],[5 cm2 cell test code]:[5 cm2 cell test code]],[1]!Table1[[Test code]:[Test code]],[1]!Table1[E @ 100 mA/cm2 10 mM KOH/V],"",0)</f>
        <v>#REF!</v>
      </c>
      <c r="AC1104" s="69" t="e" cm="1">
        <f t="array" ref="AC1104">_xlfn.XLOOKUP(Table1[[#This Row],[5 cm2 cell test code]:[5 cm2 cell test code]],[1]!Table1[[Test code]:[Test code]],[1]!Table1[Anode ICR/mOhm],"",0)</f>
        <v>#REF!</v>
      </c>
      <c r="AD1104" s="69" t="e" cm="1">
        <f t="array" ref="AD1104">_xlfn.XLOOKUP(Table1[[#This Row],[5 cm2 cell test code]:[5 cm2 cell test code]],[1]!Table1[[Test code]:[Test code]],[1]!Table1[HFR DIW/ mOhm cm2],"",0)</f>
        <v>#REF!</v>
      </c>
      <c r="AE1104" s="69" t="e" cm="1">
        <f t="array" ref="AE1104">_xlfn.XLOOKUP(Table1[[#This Row],[5 cm2 cell test code]:[5 cm2 cell test code]],[1]!Table1[[Test code]:[Test code]],[1]!Table1[HFR 10 mM KOH/ mOhm cm2],"",0)</f>
        <v>#REF!</v>
      </c>
      <c r="AF1104" s="69" t="e" cm="1">
        <f t="array" ref="AF1104">_xlfn.XLOOKUP(Table1[[#This Row],[5 cm2 cell test code]:[5 cm2 cell test code]],[1]!Table1[[Test code]:[Test code]],[1]!Table1[Ionic resistance DIW/Ohm cm2],"",0)</f>
        <v>#REF!</v>
      </c>
      <c r="AG1104" s="69" t="e" cm="1">
        <f t="array" ref="AG1104">_xlfn.XLOOKUP(Table1[[#This Row],[5 cm2 cell test code]:[5 cm2 cell test code]],[1]!Table1[[Test code]:[Test code]],[1]!Table1[Q_int_frac DIW],"",0)</f>
        <v>#REF!</v>
      </c>
      <c r="AH1104" s="69" t="e" cm="1">
        <f t="array" ref="AH1104">_xlfn.XLOOKUP(Table1[[#This Row],[5 cm2 cell test code]:[5 cm2 cell test code]],[1]!Table1[[Test code]:[Test code]],[1]!Table1[Ionic resistance 10 mM KOH/Ohm cm2],"",0)</f>
        <v>#REF!</v>
      </c>
      <c r="AI1104" s="69" t="e" cm="1">
        <f t="array" ref="AI1104">_xlfn.XLOOKUP(Table1[[#This Row],[5 cm2 cell test code]:[5 cm2 cell test code]],[1]!Table1[[Test code]:[Test code]],[1]!Table1[Q_int_frac DIW 10 mM KOH],"",0)</f>
        <v>#REF!</v>
      </c>
      <c r="AJ1104" s="69" t="e" cm="1">
        <f t="array" ref="AJ1104">_xlfn.XLOOKUP(Table1[[#This Row],[5 cm2 cell test code]:[5 cm2 cell test code]],[1]!Table1[[Test code]:[Test code]],[1]!Table1[DIW conductivity (µS/cm)],"",0)</f>
        <v>#REF!</v>
      </c>
    </row>
    <row r="1105" spans="1:36">
      <c r="A1105" s="81"/>
      <c r="U1105" s="101"/>
      <c r="V1105" s="101"/>
      <c r="W1105" s="69" t="e" cm="1">
        <f t="array" ref="W1105">_xlfn.XLOOKUP(Table1[[#This Row],[5 cm2 cell test code]:[5 cm2 cell test code]],[1]!Table1[[Test code]:[Test code]],[1]!Table1[i @ 1.8 V DIW (A/cm2)],"",0)</f>
        <v>#REF!</v>
      </c>
      <c r="X1105" s="69" t="e" cm="1">
        <f t="array" ref="X1105">_xlfn.XLOOKUP(Table1[[#This Row],[5 cm2 cell test code]:[5 cm2 cell test code]],[1]!Table1[[Test code]:[Test code]],[1]!Table1[i @ 1.8 V 10 mM KOH (A/cm2)],"",0)</f>
        <v>#REF!</v>
      </c>
      <c r="Y1105" s="69" t="e" cm="1">
        <f t="array" ref="Y1105">_xlfn.XLOOKUP(Table1[[#This Row],[5 cm2 cell test code]:[5 cm2 cell test code]],[1]!Table1[[Test code]:[Test code]],[1]!Table1[3-E ƞ at 20mAcm-2 (mV)],"",0)</f>
        <v>#REF!</v>
      </c>
      <c r="Z1105" s="69" t="e" cm="1">
        <f t="array" ref="Z1105">_xlfn.XLOOKUP(Table1[[#This Row],[5 cm2 cell test code]:[5 cm2 cell test code]],[1]!Table1[[Test code]:[Test code]],[1]!Table1[3-E Tafel slope (mV/dec)],"",0)</f>
        <v>#REF!</v>
      </c>
      <c r="AA1105" s="69" t="e" cm="1">
        <f t="array" ref="AA1105">_xlfn.XLOOKUP(Table1[[#This Row],[5 cm2 cell test code]:[5 cm2 cell test code]],[1]!Table1[[Test code]:[Test code]],[1]!Table1[E @ 100 mA/cm2 DIW/V],"",0)</f>
        <v>#REF!</v>
      </c>
      <c r="AB1105" s="69" t="e" cm="1">
        <f t="array" ref="AB1105">_xlfn.XLOOKUP(Table1[[#This Row],[5 cm2 cell test code]:[5 cm2 cell test code]],[1]!Table1[[Test code]:[Test code]],[1]!Table1[E @ 100 mA/cm2 10 mM KOH/V],"",0)</f>
        <v>#REF!</v>
      </c>
      <c r="AC1105" s="69" t="e" cm="1">
        <f t="array" ref="AC1105">_xlfn.XLOOKUP(Table1[[#This Row],[5 cm2 cell test code]:[5 cm2 cell test code]],[1]!Table1[[Test code]:[Test code]],[1]!Table1[Anode ICR/mOhm],"",0)</f>
        <v>#REF!</v>
      </c>
      <c r="AD1105" s="69" t="e" cm="1">
        <f t="array" ref="AD1105">_xlfn.XLOOKUP(Table1[[#This Row],[5 cm2 cell test code]:[5 cm2 cell test code]],[1]!Table1[[Test code]:[Test code]],[1]!Table1[HFR DIW/ mOhm cm2],"",0)</f>
        <v>#REF!</v>
      </c>
      <c r="AE1105" s="69" t="e" cm="1">
        <f t="array" ref="AE1105">_xlfn.XLOOKUP(Table1[[#This Row],[5 cm2 cell test code]:[5 cm2 cell test code]],[1]!Table1[[Test code]:[Test code]],[1]!Table1[HFR 10 mM KOH/ mOhm cm2],"",0)</f>
        <v>#REF!</v>
      </c>
      <c r="AF1105" s="69" t="e" cm="1">
        <f t="array" ref="AF1105">_xlfn.XLOOKUP(Table1[[#This Row],[5 cm2 cell test code]:[5 cm2 cell test code]],[1]!Table1[[Test code]:[Test code]],[1]!Table1[Ionic resistance DIW/Ohm cm2],"",0)</f>
        <v>#REF!</v>
      </c>
      <c r="AG1105" s="69" t="e" cm="1">
        <f t="array" ref="AG1105">_xlfn.XLOOKUP(Table1[[#This Row],[5 cm2 cell test code]:[5 cm2 cell test code]],[1]!Table1[[Test code]:[Test code]],[1]!Table1[Q_int_frac DIW],"",0)</f>
        <v>#REF!</v>
      </c>
      <c r="AH1105" s="69" t="e" cm="1">
        <f t="array" ref="AH1105">_xlfn.XLOOKUP(Table1[[#This Row],[5 cm2 cell test code]:[5 cm2 cell test code]],[1]!Table1[[Test code]:[Test code]],[1]!Table1[Ionic resistance 10 mM KOH/Ohm cm2],"",0)</f>
        <v>#REF!</v>
      </c>
      <c r="AI1105" s="69" t="e" cm="1">
        <f t="array" ref="AI1105">_xlfn.XLOOKUP(Table1[[#This Row],[5 cm2 cell test code]:[5 cm2 cell test code]],[1]!Table1[[Test code]:[Test code]],[1]!Table1[Q_int_frac DIW 10 mM KOH],"",0)</f>
        <v>#REF!</v>
      </c>
      <c r="AJ1105" s="69" t="e" cm="1">
        <f t="array" ref="AJ1105">_xlfn.XLOOKUP(Table1[[#This Row],[5 cm2 cell test code]:[5 cm2 cell test code]],[1]!Table1[[Test code]:[Test code]],[1]!Table1[DIW conductivity (µS/cm)],"",0)</f>
        <v>#REF!</v>
      </c>
    </row>
    <row r="1106" spans="1:36">
      <c r="A1106" s="81"/>
      <c r="U1106" s="101"/>
      <c r="V1106" s="101"/>
      <c r="W1106" s="69" t="e" cm="1">
        <f t="array" ref="W1106">_xlfn.XLOOKUP(Table1[[#This Row],[5 cm2 cell test code]:[5 cm2 cell test code]],[1]!Table1[[Test code]:[Test code]],[1]!Table1[i @ 1.8 V DIW (A/cm2)],"",0)</f>
        <v>#REF!</v>
      </c>
      <c r="X1106" s="69" t="e" cm="1">
        <f t="array" ref="X1106">_xlfn.XLOOKUP(Table1[[#This Row],[5 cm2 cell test code]:[5 cm2 cell test code]],[1]!Table1[[Test code]:[Test code]],[1]!Table1[i @ 1.8 V 10 mM KOH (A/cm2)],"",0)</f>
        <v>#REF!</v>
      </c>
      <c r="Y1106" s="69" t="e" cm="1">
        <f t="array" ref="Y1106">_xlfn.XLOOKUP(Table1[[#This Row],[5 cm2 cell test code]:[5 cm2 cell test code]],[1]!Table1[[Test code]:[Test code]],[1]!Table1[3-E ƞ at 20mAcm-2 (mV)],"",0)</f>
        <v>#REF!</v>
      </c>
      <c r="Z1106" s="69" t="e" cm="1">
        <f t="array" ref="Z1106">_xlfn.XLOOKUP(Table1[[#This Row],[5 cm2 cell test code]:[5 cm2 cell test code]],[1]!Table1[[Test code]:[Test code]],[1]!Table1[3-E Tafel slope (mV/dec)],"",0)</f>
        <v>#REF!</v>
      </c>
      <c r="AA1106" s="69" t="e" cm="1">
        <f t="array" ref="AA1106">_xlfn.XLOOKUP(Table1[[#This Row],[5 cm2 cell test code]:[5 cm2 cell test code]],[1]!Table1[[Test code]:[Test code]],[1]!Table1[E @ 100 mA/cm2 DIW/V],"",0)</f>
        <v>#REF!</v>
      </c>
      <c r="AB1106" s="69" t="e" cm="1">
        <f t="array" ref="AB1106">_xlfn.XLOOKUP(Table1[[#This Row],[5 cm2 cell test code]:[5 cm2 cell test code]],[1]!Table1[[Test code]:[Test code]],[1]!Table1[E @ 100 mA/cm2 10 mM KOH/V],"",0)</f>
        <v>#REF!</v>
      </c>
      <c r="AC1106" s="69" t="e" cm="1">
        <f t="array" ref="AC1106">_xlfn.XLOOKUP(Table1[[#This Row],[5 cm2 cell test code]:[5 cm2 cell test code]],[1]!Table1[[Test code]:[Test code]],[1]!Table1[Anode ICR/mOhm],"",0)</f>
        <v>#REF!</v>
      </c>
      <c r="AD1106" s="69" t="e" cm="1">
        <f t="array" ref="AD1106">_xlfn.XLOOKUP(Table1[[#This Row],[5 cm2 cell test code]:[5 cm2 cell test code]],[1]!Table1[[Test code]:[Test code]],[1]!Table1[HFR DIW/ mOhm cm2],"",0)</f>
        <v>#REF!</v>
      </c>
      <c r="AE1106" s="69" t="e" cm="1">
        <f t="array" ref="AE1106">_xlfn.XLOOKUP(Table1[[#This Row],[5 cm2 cell test code]:[5 cm2 cell test code]],[1]!Table1[[Test code]:[Test code]],[1]!Table1[HFR 10 mM KOH/ mOhm cm2],"",0)</f>
        <v>#REF!</v>
      </c>
      <c r="AF1106" s="69" t="e" cm="1">
        <f t="array" ref="AF1106">_xlfn.XLOOKUP(Table1[[#This Row],[5 cm2 cell test code]:[5 cm2 cell test code]],[1]!Table1[[Test code]:[Test code]],[1]!Table1[Ionic resistance DIW/Ohm cm2],"",0)</f>
        <v>#REF!</v>
      </c>
      <c r="AG1106" s="69" t="e" cm="1">
        <f t="array" ref="AG1106">_xlfn.XLOOKUP(Table1[[#This Row],[5 cm2 cell test code]:[5 cm2 cell test code]],[1]!Table1[[Test code]:[Test code]],[1]!Table1[Q_int_frac DIW],"",0)</f>
        <v>#REF!</v>
      </c>
      <c r="AH1106" s="69" t="e" cm="1">
        <f t="array" ref="AH1106">_xlfn.XLOOKUP(Table1[[#This Row],[5 cm2 cell test code]:[5 cm2 cell test code]],[1]!Table1[[Test code]:[Test code]],[1]!Table1[Ionic resistance 10 mM KOH/Ohm cm2],"",0)</f>
        <v>#REF!</v>
      </c>
      <c r="AI1106" s="69" t="e" cm="1">
        <f t="array" ref="AI1106">_xlfn.XLOOKUP(Table1[[#This Row],[5 cm2 cell test code]:[5 cm2 cell test code]],[1]!Table1[[Test code]:[Test code]],[1]!Table1[Q_int_frac DIW 10 mM KOH],"",0)</f>
        <v>#REF!</v>
      </c>
      <c r="AJ1106" s="69" t="e" cm="1">
        <f t="array" ref="AJ1106">_xlfn.XLOOKUP(Table1[[#This Row],[5 cm2 cell test code]:[5 cm2 cell test code]],[1]!Table1[[Test code]:[Test code]],[1]!Table1[DIW conductivity (µS/cm)],"",0)</f>
        <v>#REF!</v>
      </c>
    </row>
    <row r="1107" spans="1:36">
      <c r="A1107" s="81"/>
      <c r="U1107" s="101"/>
      <c r="V1107" s="101"/>
      <c r="W1107" s="69" t="e" cm="1">
        <f t="array" ref="W1107">_xlfn.XLOOKUP(Table1[[#This Row],[5 cm2 cell test code]:[5 cm2 cell test code]],[1]!Table1[[Test code]:[Test code]],[1]!Table1[i @ 1.8 V DIW (A/cm2)],"",0)</f>
        <v>#REF!</v>
      </c>
      <c r="X1107" s="69" t="e" cm="1">
        <f t="array" ref="X1107">_xlfn.XLOOKUP(Table1[[#This Row],[5 cm2 cell test code]:[5 cm2 cell test code]],[1]!Table1[[Test code]:[Test code]],[1]!Table1[i @ 1.8 V 10 mM KOH (A/cm2)],"",0)</f>
        <v>#REF!</v>
      </c>
      <c r="Y1107" s="69" t="e" cm="1">
        <f t="array" ref="Y1107">_xlfn.XLOOKUP(Table1[[#This Row],[5 cm2 cell test code]:[5 cm2 cell test code]],[1]!Table1[[Test code]:[Test code]],[1]!Table1[3-E ƞ at 20mAcm-2 (mV)],"",0)</f>
        <v>#REF!</v>
      </c>
      <c r="Z1107" s="69" t="e" cm="1">
        <f t="array" ref="Z1107">_xlfn.XLOOKUP(Table1[[#This Row],[5 cm2 cell test code]:[5 cm2 cell test code]],[1]!Table1[[Test code]:[Test code]],[1]!Table1[3-E Tafel slope (mV/dec)],"",0)</f>
        <v>#REF!</v>
      </c>
      <c r="AA1107" s="69" t="e" cm="1">
        <f t="array" ref="AA1107">_xlfn.XLOOKUP(Table1[[#This Row],[5 cm2 cell test code]:[5 cm2 cell test code]],[1]!Table1[[Test code]:[Test code]],[1]!Table1[E @ 100 mA/cm2 DIW/V],"",0)</f>
        <v>#REF!</v>
      </c>
      <c r="AB1107" s="69" t="e" cm="1">
        <f t="array" ref="AB1107">_xlfn.XLOOKUP(Table1[[#This Row],[5 cm2 cell test code]:[5 cm2 cell test code]],[1]!Table1[[Test code]:[Test code]],[1]!Table1[E @ 100 mA/cm2 10 mM KOH/V],"",0)</f>
        <v>#REF!</v>
      </c>
      <c r="AC1107" s="69" t="e" cm="1">
        <f t="array" ref="AC1107">_xlfn.XLOOKUP(Table1[[#This Row],[5 cm2 cell test code]:[5 cm2 cell test code]],[1]!Table1[[Test code]:[Test code]],[1]!Table1[Anode ICR/mOhm],"",0)</f>
        <v>#REF!</v>
      </c>
      <c r="AD1107" s="69" t="e" cm="1">
        <f t="array" ref="AD1107">_xlfn.XLOOKUP(Table1[[#This Row],[5 cm2 cell test code]:[5 cm2 cell test code]],[1]!Table1[[Test code]:[Test code]],[1]!Table1[HFR DIW/ mOhm cm2],"",0)</f>
        <v>#REF!</v>
      </c>
      <c r="AE1107" s="69" t="e" cm="1">
        <f t="array" ref="AE1107">_xlfn.XLOOKUP(Table1[[#This Row],[5 cm2 cell test code]:[5 cm2 cell test code]],[1]!Table1[[Test code]:[Test code]],[1]!Table1[HFR 10 mM KOH/ mOhm cm2],"",0)</f>
        <v>#REF!</v>
      </c>
      <c r="AF1107" s="69" t="e" cm="1">
        <f t="array" ref="AF1107">_xlfn.XLOOKUP(Table1[[#This Row],[5 cm2 cell test code]:[5 cm2 cell test code]],[1]!Table1[[Test code]:[Test code]],[1]!Table1[Ionic resistance DIW/Ohm cm2],"",0)</f>
        <v>#REF!</v>
      </c>
      <c r="AG1107" s="69" t="e" cm="1">
        <f t="array" ref="AG1107">_xlfn.XLOOKUP(Table1[[#This Row],[5 cm2 cell test code]:[5 cm2 cell test code]],[1]!Table1[[Test code]:[Test code]],[1]!Table1[Q_int_frac DIW],"",0)</f>
        <v>#REF!</v>
      </c>
      <c r="AH1107" s="69" t="e" cm="1">
        <f t="array" ref="AH1107">_xlfn.XLOOKUP(Table1[[#This Row],[5 cm2 cell test code]:[5 cm2 cell test code]],[1]!Table1[[Test code]:[Test code]],[1]!Table1[Ionic resistance 10 mM KOH/Ohm cm2],"",0)</f>
        <v>#REF!</v>
      </c>
      <c r="AI1107" s="69" t="e" cm="1">
        <f t="array" ref="AI1107">_xlfn.XLOOKUP(Table1[[#This Row],[5 cm2 cell test code]:[5 cm2 cell test code]],[1]!Table1[[Test code]:[Test code]],[1]!Table1[Q_int_frac DIW 10 mM KOH],"",0)</f>
        <v>#REF!</v>
      </c>
      <c r="AJ1107" s="69" t="e" cm="1">
        <f t="array" ref="AJ1107">_xlfn.XLOOKUP(Table1[[#This Row],[5 cm2 cell test code]:[5 cm2 cell test code]],[1]!Table1[[Test code]:[Test code]],[1]!Table1[DIW conductivity (µS/cm)],"",0)</f>
        <v>#REF!</v>
      </c>
    </row>
    <row r="1108" spans="1:36">
      <c r="A1108" s="81"/>
      <c r="U1108" s="101"/>
      <c r="V1108" s="101"/>
      <c r="W1108" s="69" t="e" cm="1">
        <f t="array" ref="W1108">_xlfn.XLOOKUP(Table1[[#This Row],[5 cm2 cell test code]:[5 cm2 cell test code]],[1]!Table1[[Test code]:[Test code]],[1]!Table1[i @ 1.8 V DIW (A/cm2)],"",0)</f>
        <v>#REF!</v>
      </c>
      <c r="X1108" s="69" t="e" cm="1">
        <f t="array" ref="X1108">_xlfn.XLOOKUP(Table1[[#This Row],[5 cm2 cell test code]:[5 cm2 cell test code]],[1]!Table1[[Test code]:[Test code]],[1]!Table1[i @ 1.8 V 10 mM KOH (A/cm2)],"",0)</f>
        <v>#REF!</v>
      </c>
      <c r="Y1108" s="69" t="e" cm="1">
        <f t="array" ref="Y1108">_xlfn.XLOOKUP(Table1[[#This Row],[5 cm2 cell test code]:[5 cm2 cell test code]],[1]!Table1[[Test code]:[Test code]],[1]!Table1[3-E ƞ at 20mAcm-2 (mV)],"",0)</f>
        <v>#REF!</v>
      </c>
      <c r="Z1108" s="69" t="e" cm="1">
        <f t="array" ref="Z1108">_xlfn.XLOOKUP(Table1[[#This Row],[5 cm2 cell test code]:[5 cm2 cell test code]],[1]!Table1[[Test code]:[Test code]],[1]!Table1[3-E Tafel slope (mV/dec)],"",0)</f>
        <v>#REF!</v>
      </c>
      <c r="AA1108" s="69" t="e" cm="1">
        <f t="array" ref="AA1108">_xlfn.XLOOKUP(Table1[[#This Row],[5 cm2 cell test code]:[5 cm2 cell test code]],[1]!Table1[[Test code]:[Test code]],[1]!Table1[E @ 100 mA/cm2 DIW/V],"",0)</f>
        <v>#REF!</v>
      </c>
      <c r="AB1108" s="69" t="e" cm="1">
        <f t="array" ref="AB1108">_xlfn.XLOOKUP(Table1[[#This Row],[5 cm2 cell test code]:[5 cm2 cell test code]],[1]!Table1[[Test code]:[Test code]],[1]!Table1[E @ 100 mA/cm2 10 mM KOH/V],"",0)</f>
        <v>#REF!</v>
      </c>
      <c r="AC1108" s="69" t="e" cm="1">
        <f t="array" ref="AC1108">_xlfn.XLOOKUP(Table1[[#This Row],[5 cm2 cell test code]:[5 cm2 cell test code]],[1]!Table1[[Test code]:[Test code]],[1]!Table1[Anode ICR/mOhm],"",0)</f>
        <v>#REF!</v>
      </c>
      <c r="AD1108" s="69" t="e" cm="1">
        <f t="array" ref="AD1108">_xlfn.XLOOKUP(Table1[[#This Row],[5 cm2 cell test code]:[5 cm2 cell test code]],[1]!Table1[[Test code]:[Test code]],[1]!Table1[HFR DIW/ mOhm cm2],"",0)</f>
        <v>#REF!</v>
      </c>
      <c r="AE1108" s="69" t="e" cm="1">
        <f t="array" ref="AE1108">_xlfn.XLOOKUP(Table1[[#This Row],[5 cm2 cell test code]:[5 cm2 cell test code]],[1]!Table1[[Test code]:[Test code]],[1]!Table1[HFR 10 mM KOH/ mOhm cm2],"",0)</f>
        <v>#REF!</v>
      </c>
      <c r="AF1108" s="69" t="e" cm="1">
        <f t="array" ref="AF1108">_xlfn.XLOOKUP(Table1[[#This Row],[5 cm2 cell test code]:[5 cm2 cell test code]],[1]!Table1[[Test code]:[Test code]],[1]!Table1[Ionic resistance DIW/Ohm cm2],"",0)</f>
        <v>#REF!</v>
      </c>
      <c r="AG1108" s="69" t="e" cm="1">
        <f t="array" ref="AG1108">_xlfn.XLOOKUP(Table1[[#This Row],[5 cm2 cell test code]:[5 cm2 cell test code]],[1]!Table1[[Test code]:[Test code]],[1]!Table1[Q_int_frac DIW],"",0)</f>
        <v>#REF!</v>
      </c>
      <c r="AH1108" s="69" t="e" cm="1">
        <f t="array" ref="AH1108">_xlfn.XLOOKUP(Table1[[#This Row],[5 cm2 cell test code]:[5 cm2 cell test code]],[1]!Table1[[Test code]:[Test code]],[1]!Table1[Ionic resistance 10 mM KOH/Ohm cm2],"",0)</f>
        <v>#REF!</v>
      </c>
      <c r="AI1108" s="69" t="e" cm="1">
        <f t="array" ref="AI1108">_xlfn.XLOOKUP(Table1[[#This Row],[5 cm2 cell test code]:[5 cm2 cell test code]],[1]!Table1[[Test code]:[Test code]],[1]!Table1[Q_int_frac DIW 10 mM KOH],"",0)</f>
        <v>#REF!</v>
      </c>
      <c r="AJ1108" s="69" t="e" cm="1">
        <f t="array" ref="AJ1108">_xlfn.XLOOKUP(Table1[[#This Row],[5 cm2 cell test code]:[5 cm2 cell test code]],[1]!Table1[[Test code]:[Test code]],[1]!Table1[DIW conductivity (µS/cm)],"",0)</f>
        <v>#REF!</v>
      </c>
    </row>
    <row r="1109" spans="1:36">
      <c r="A1109" s="81"/>
      <c r="U1109" s="101"/>
      <c r="V1109" s="101"/>
      <c r="W1109" s="69" t="e" cm="1">
        <f t="array" ref="W1109">_xlfn.XLOOKUP(Table1[[#This Row],[5 cm2 cell test code]:[5 cm2 cell test code]],[1]!Table1[[Test code]:[Test code]],[1]!Table1[i @ 1.8 V DIW (A/cm2)],"",0)</f>
        <v>#REF!</v>
      </c>
      <c r="X1109" s="69" t="e" cm="1">
        <f t="array" ref="X1109">_xlfn.XLOOKUP(Table1[[#This Row],[5 cm2 cell test code]:[5 cm2 cell test code]],[1]!Table1[[Test code]:[Test code]],[1]!Table1[i @ 1.8 V 10 mM KOH (A/cm2)],"",0)</f>
        <v>#REF!</v>
      </c>
      <c r="Y1109" s="69" t="e" cm="1">
        <f t="array" ref="Y1109">_xlfn.XLOOKUP(Table1[[#This Row],[5 cm2 cell test code]:[5 cm2 cell test code]],[1]!Table1[[Test code]:[Test code]],[1]!Table1[3-E ƞ at 20mAcm-2 (mV)],"",0)</f>
        <v>#REF!</v>
      </c>
      <c r="Z1109" s="69" t="e" cm="1">
        <f t="array" ref="Z1109">_xlfn.XLOOKUP(Table1[[#This Row],[5 cm2 cell test code]:[5 cm2 cell test code]],[1]!Table1[[Test code]:[Test code]],[1]!Table1[3-E Tafel slope (mV/dec)],"",0)</f>
        <v>#REF!</v>
      </c>
      <c r="AA1109" s="69" t="e" cm="1">
        <f t="array" ref="AA1109">_xlfn.XLOOKUP(Table1[[#This Row],[5 cm2 cell test code]:[5 cm2 cell test code]],[1]!Table1[[Test code]:[Test code]],[1]!Table1[E @ 100 mA/cm2 DIW/V],"",0)</f>
        <v>#REF!</v>
      </c>
      <c r="AB1109" s="69" t="e" cm="1">
        <f t="array" ref="AB1109">_xlfn.XLOOKUP(Table1[[#This Row],[5 cm2 cell test code]:[5 cm2 cell test code]],[1]!Table1[[Test code]:[Test code]],[1]!Table1[E @ 100 mA/cm2 10 mM KOH/V],"",0)</f>
        <v>#REF!</v>
      </c>
      <c r="AC1109" s="69" t="e" cm="1">
        <f t="array" ref="AC1109">_xlfn.XLOOKUP(Table1[[#This Row],[5 cm2 cell test code]:[5 cm2 cell test code]],[1]!Table1[[Test code]:[Test code]],[1]!Table1[Anode ICR/mOhm],"",0)</f>
        <v>#REF!</v>
      </c>
      <c r="AD1109" s="69" t="e" cm="1">
        <f t="array" ref="AD1109">_xlfn.XLOOKUP(Table1[[#This Row],[5 cm2 cell test code]:[5 cm2 cell test code]],[1]!Table1[[Test code]:[Test code]],[1]!Table1[HFR DIW/ mOhm cm2],"",0)</f>
        <v>#REF!</v>
      </c>
      <c r="AE1109" s="69" t="e" cm="1">
        <f t="array" ref="AE1109">_xlfn.XLOOKUP(Table1[[#This Row],[5 cm2 cell test code]:[5 cm2 cell test code]],[1]!Table1[[Test code]:[Test code]],[1]!Table1[HFR 10 mM KOH/ mOhm cm2],"",0)</f>
        <v>#REF!</v>
      </c>
      <c r="AF1109" s="69" t="e" cm="1">
        <f t="array" ref="AF1109">_xlfn.XLOOKUP(Table1[[#This Row],[5 cm2 cell test code]:[5 cm2 cell test code]],[1]!Table1[[Test code]:[Test code]],[1]!Table1[Ionic resistance DIW/Ohm cm2],"",0)</f>
        <v>#REF!</v>
      </c>
      <c r="AG1109" s="69" t="e" cm="1">
        <f t="array" ref="AG1109">_xlfn.XLOOKUP(Table1[[#This Row],[5 cm2 cell test code]:[5 cm2 cell test code]],[1]!Table1[[Test code]:[Test code]],[1]!Table1[Q_int_frac DIW],"",0)</f>
        <v>#REF!</v>
      </c>
      <c r="AH1109" s="69" t="e" cm="1">
        <f t="array" ref="AH1109">_xlfn.XLOOKUP(Table1[[#This Row],[5 cm2 cell test code]:[5 cm2 cell test code]],[1]!Table1[[Test code]:[Test code]],[1]!Table1[Ionic resistance 10 mM KOH/Ohm cm2],"",0)</f>
        <v>#REF!</v>
      </c>
      <c r="AI1109" s="69" t="e" cm="1">
        <f t="array" ref="AI1109">_xlfn.XLOOKUP(Table1[[#This Row],[5 cm2 cell test code]:[5 cm2 cell test code]],[1]!Table1[[Test code]:[Test code]],[1]!Table1[Q_int_frac DIW 10 mM KOH],"",0)</f>
        <v>#REF!</v>
      </c>
      <c r="AJ1109" s="69" t="e" cm="1">
        <f t="array" ref="AJ1109">_xlfn.XLOOKUP(Table1[[#This Row],[5 cm2 cell test code]:[5 cm2 cell test code]],[1]!Table1[[Test code]:[Test code]],[1]!Table1[DIW conductivity (µS/cm)],"",0)</f>
        <v>#REF!</v>
      </c>
    </row>
    <row r="1110" spans="1:36">
      <c r="A1110" s="81"/>
      <c r="U1110" s="101"/>
      <c r="V1110" s="101"/>
      <c r="W1110" s="69" t="e" cm="1">
        <f t="array" ref="W1110">_xlfn.XLOOKUP(Table1[[#This Row],[5 cm2 cell test code]:[5 cm2 cell test code]],[1]!Table1[[Test code]:[Test code]],[1]!Table1[i @ 1.8 V DIW (A/cm2)],"",0)</f>
        <v>#REF!</v>
      </c>
      <c r="X1110" s="69" t="e" cm="1">
        <f t="array" ref="X1110">_xlfn.XLOOKUP(Table1[[#This Row],[5 cm2 cell test code]:[5 cm2 cell test code]],[1]!Table1[[Test code]:[Test code]],[1]!Table1[i @ 1.8 V 10 mM KOH (A/cm2)],"",0)</f>
        <v>#REF!</v>
      </c>
      <c r="Y1110" s="69" t="e" cm="1">
        <f t="array" ref="Y1110">_xlfn.XLOOKUP(Table1[[#This Row],[5 cm2 cell test code]:[5 cm2 cell test code]],[1]!Table1[[Test code]:[Test code]],[1]!Table1[3-E ƞ at 20mAcm-2 (mV)],"",0)</f>
        <v>#REF!</v>
      </c>
      <c r="Z1110" s="69" t="e" cm="1">
        <f t="array" ref="Z1110">_xlfn.XLOOKUP(Table1[[#This Row],[5 cm2 cell test code]:[5 cm2 cell test code]],[1]!Table1[[Test code]:[Test code]],[1]!Table1[3-E Tafel slope (mV/dec)],"",0)</f>
        <v>#REF!</v>
      </c>
      <c r="AA1110" s="69" t="e" cm="1">
        <f t="array" ref="AA1110">_xlfn.XLOOKUP(Table1[[#This Row],[5 cm2 cell test code]:[5 cm2 cell test code]],[1]!Table1[[Test code]:[Test code]],[1]!Table1[E @ 100 mA/cm2 DIW/V],"",0)</f>
        <v>#REF!</v>
      </c>
      <c r="AB1110" s="69" t="e" cm="1">
        <f t="array" ref="AB1110">_xlfn.XLOOKUP(Table1[[#This Row],[5 cm2 cell test code]:[5 cm2 cell test code]],[1]!Table1[[Test code]:[Test code]],[1]!Table1[E @ 100 mA/cm2 10 mM KOH/V],"",0)</f>
        <v>#REF!</v>
      </c>
      <c r="AC1110" s="69" t="e" cm="1">
        <f t="array" ref="AC1110">_xlfn.XLOOKUP(Table1[[#This Row],[5 cm2 cell test code]:[5 cm2 cell test code]],[1]!Table1[[Test code]:[Test code]],[1]!Table1[Anode ICR/mOhm],"",0)</f>
        <v>#REF!</v>
      </c>
      <c r="AD1110" s="69" t="e" cm="1">
        <f t="array" ref="AD1110">_xlfn.XLOOKUP(Table1[[#This Row],[5 cm2 cell test code]:[5 cm2 cell test code]],[1]!Table1[[Test code]:[Test code]],[1]!Table1[HFR DIW/ mOhm cm2],"",0)</f>
        <v>#REF!</v>
      </c>
      <c r="AE1110" s="69" t="e" cm="1">
        <f t="array" ref="AE1110">_xlfn.XLOOKUP(Table1[[#This Row],[5 cm2 cell test code]:[5 cm2 cell test code]],[1]!Table1[[Test code]:[Test code]],[1]!Table1[HFR 10 mM KOH/ mOhm cm2],"",0)</f>
        <v>#REF!</v>
      </c>
      <c r="AF1110" s="69" t="e" cm="1">
        <f t="array" ref="AF1110">_xlfn.XLOOKUP(Table1[[#This Row],[5 cm2 cell test code]:[5 cm2 cell test code]],[1]!Table1[[Test code]:[Test code]],[1]!Table1[Ionic resistance DIW/Ohm cm2],"",0)</f>
        <v>#REF!</v>
      </c>
      <c r="AG1110" s="69" t="e" cm="1">
        <f t="array" ref="AG1110">_xlfn.XLOOKUP(Table1[[#This Row],[5 cm2 cell test code]:[5 cm2 cell test code]],[1]!Table1[[Test code]:[Test code]],[1]!Table1[Q_int_frac DIW],"",0)</f>
        <v>#REF!</v>
      </c>
      <c r="AH1110" s="69" t="e" cm="1">
        <f t="array" ref="AH1110">_xlfn.XLOOKUP(Table1[[#This Row],[5 cm2 cell test code]:[5 cm2 cell test code]],[1]!Table1[[Test code]:[Test code]],[1]!Table1[Ionic resistance 10 mM KOH/Ohm cm2],"",0)</f>
        <v>#REF!</v>
      </c>
      <c r="AI1110" s="69" t="e" cm="1">
        <f t="array" ref="AI1110">_xlfn.XLOOKUP(Table1[[#This Row],[5 cm2 cell test code]:[5 cm2 cell test code]],[1]!Table1[[Test code]:[Test code]],[1]!Table1[Q_int_frac DIW 10 mM KOH],"",0)</f>
        <v>#REF!</v>
      </c>
      <c r="AJ1110" s="69" t="e" cm="1">
        <f t="array" ref="AJ1110">_xlfn.XLOOKUP(Table1[[#This Row],[5 cm2 cell test code]:[5 cm2 cell test code]],[1]!Table1[[Test code]:[Test code]],[1]!Table1[DIW conductivity (µS/cm)],"",0)</f>
        <v>#REF!</v>
      </c>
    </row>
    <row r="1111" spans="1:36">
      <c r="A1111" s="81"/>
      <c r="U1111" s="101"/>
      <c r="V1111" s="101"/>
      <c r="W1111" s="69" t="e" cm="1">
        <f t="array" ref="W1111">_xlfn.XLOOKUP(Table1[[#This Row],[5 cm2 cell test code]:[5 cm2 cell test code]],[1]!Table1[[Test code]:[Test code]],[1]!Table1[i @ 1.8 V DIW (A/cm2)],"",0)</f>
        <v>#REF!</v>
      </c>
      <c r="X1111" s="69" t="e" cm="1">
        <f t="array" ref="X1111">_xlfn.XLOOKUP(Table1[[#This Row],[5 cm2 cell test code]:[5 cm2 cell test code]],[1]!Table1[[Test code]:[Test code]],[1]!Table1[i @ 1.8 V 10 mM KOH (A/cm2)],"",0)</f>
        <v>#REF!</v>
      </c>
      <c r="Y1111" s="69" t="e" cm="1">
        <f t="array" ref="Y1111">_xlfn.XLOOKUP(Table1[[#This Row],[5 cm2 cell test code]:[5 cm2 cell test code]],[1]!Table1[[Test code]:[Test code]],[1]!Table1[3-E ƞ at 20mAcm-2 (mV)],"",0)</f>
        <v>#REF!</v>
      </c>
      <c r="Z1111" s="69" t="e" cm="1">
        <f t="array" ref="Z1111">_xlfn.XLOOKUP(Table1[[#This Row],[5 cm2 cell test code]:[5 cm2 cell test code]],[1]!Table1[[Test code]:[Test code]],[1]!Table1[3-E Tafel slope (mV/dec)],"",0)</f>
        <v>#REF!</v>
      </c>
      <c r="AA1111" s="69" t="e" cm="1">
        <f t="array" ref="AA1111">_xlfn.XLOOKUP(Table1[[#This Row],[5 cm2 cell test code]:[5 cm2 cell test code]],[1]!Table1[[Test code]:[Test code]],[1]!Table1[E @ 100 mA/cm2 DIW/V],"",0)</f>
        <v>#REF!</v>
      </c>
      <c r="AB1111" s="69" t="e" cm="1">
        <f t="array" ref="AB1111">_xlfn.XLOOKUP(Table1[[#This Row],[5 cm2 cell test code]:[5 cm2 cell test code]],[1]!Table1[[Test code]:[Test code]],[1]!Table1[E @ 100 mA/cm2 10 mM KOH/V],"",0)</f>
        <v>#REF!</v>
      </c>
      <c r="AC1111" s="69" t="e" cm="1">
        <f t="array" ref="AC1111">_xlfn.XLOOKUP(Table1[[#This Row],[5 cm2 cell test code]:[5 cm2 cell test code]],[1]!Table1[[Test code]:[Test code]],[1]!Table1[Anode ICR/mOhm],"",0)</f>
        <v>#REF!</v>
      </c>
      <c r="AD1111" s="69" t="e" cm="1">
        <f t="array" ref="AD1111">_xlfn.XLOOKUP(Table1[[#This Row],[5 cm2 cell test code]:[5 cm2 cell test code]],[1]!Table1[[Test code]:[Test code]],[1]!Table1[HFR DIW/ mOhm cm2],"",0)</f>
        <v>#REF!</v>
      </c>
      <c r="AE1111" s="69" t="e" cm="1">
        <f t="array" ref="AE1111">_xlfn.XLOOKUP(Table1[[#This Row],[5 cm2 cell test code]:[5 cm2 cell test code]],[1]!Table1[[Test code]:[Test code]],[1]!Table1[HFR 10 mM KOH/ mOhm cm2],"",0)</f>
        <v>#REF!</v>
      </c>
      <c r="AF1111" s="69" t="e" cm="1">
        <f t="array" ref="AF1111">_xlfn.XLOOKUP(Table1[[#This Row],[5 cm2 cell test code]:[5 cm2 cell test code]],[1]!Table1[[Test code]:[Test code]],[1]!Table1[Ionic resistance DIW/Ohm cm2],"",0)</f>
        <v>#REF!</v>
      </c>
      <c r="AG1111" s="69" t="e" cm="1">
        <f t="array" ref="AG1111">_xlfn.XLOOKUP(Table1[[#This Row],[5 cm2 cell test code]:[5 cm2 cell test code]],[1]!Table1[[Test code]:[Test code]],[1]!Table1[Q_int_frac DIW],"",0)</f>
        <v>#REF!</v>
      </c>
      <c r="AH1111" s="69" t="e" cm="1">
        <f t="array" ref="AH1111">_xlfn.XLOOKUP(Table1[[#This Row],[5 cm2 cell test code]:[5 cm2 cell test code]],[1]!Table1[[Test code]:[Test code]],[1]!Table1[Ionic resistance 10 mM KOH/Ohm cm2],"",0)</f>
        <v>#REF!</v>
      </c>
      <c r="AI1111" s="69" t="e" cm="1">
        <f t="array" ref="AI1111">_xlfn.XLOOKUP(Table1[[#This Row],[5 cm2 cell test code]:[5 cm2 cell test code]],[1]!Table1[[Test code]:[Test code]],[1]!Table1[Q_int_frac DIW 10 mM KOH],"",0)</f>
        <v>#REF!</v>
      </c>
      <c r="AJ1111" s="69" t="e" cm="1">
        <f t="array" ref="AJ1111">_xlfn.XLOOKUP(Table1[[#This Row],[5 cm2 cell test code]:[5 cm2 cell test code]],[1]!Table1[[Test code]:[Test code]],[1]!Table1[DIW conductivity (µS/cm)],"",0)</f>
        <v>#REF!</v>
      </c>
    </row>
    <row r="1112" spans="1:36">
      <c r="A1112" s="81"/>
      <c r="U1112" s="101"/>
      <c r="V1112" s="101"/>
      <c r="W1112" s="69" t="e" cm="1">
        <f t="array" ref="W1112">_xlfn.XLOOKUP(Table1[[#This Row],[5 cm2 cell test code]:[5 cm2 cell test code]],[1]!Table1[[Test code]:[Test code]],[1]!Table1[i @ 1.8 V DIW (A/cm2)],"",0)</f>
        <v>#REF!</v>
      </c>
      <c r="X1112" s="69" t="e" cm="1">
        <f t="array" ref="X1112">_xlfn.XLOOKUP(Table1[[#This Row],[5 cm2 cell test code]:[5 cm2 cell test code]],[1]!Table1[[Test code]:[Test code]],[1]!Table1[i @ 1.8 V 10 mM KOH (A/cm2)],"",0)</f>
        <v>#REF!</v>
      </c>
      <c r="Y1112" s="69" t="e" cm="1">
        <f t="array" ref="Y1112">_xlfn.XLOOKUP(Table1[[#This Row],[5 cm2 cell test code]:[5 cm2 cell test code]],[1]!Table1[[Test code]:[Test code]],[1]!Table1[3-E ƞ at 20mAcm-2 (mV)],"",0)</f>
        <v>#REF!</v>
      </c>
      <c r="Z1112" s="69" t="e" cm="1">
        <f t="array" ref="Z1112">_xlfn.XLOOKUP(Table1[[#This Row],[5 cm2 cell test code]:[5 cm2 cell test code]],[1]!Table1[[Test code]:[Test code]],[1]!Table1[3-E Tafel slope (mV/dec)],"",0)</f>
        <v>#REF!</v>
      </c>
      <c r="AA1112" s="69" t="e" cm="1">
        <f t="array" ref="AA1112">_xlfn.XLOOKUP(Table1[[#This Row],[5 cm2 cell test code]:[5 cm2 cell test code]],[1]!Table1[[Test code]:[Test code]],[1]!Table1[E @ 100 mA/cm2 DIW/V],"",0)</f>
        <v>#REF!</v>
      </c>
      <c r="AB1112" s="69" t="e" cm="1">
        <f t="array" ref="AB1112">_xlfn.XLOOKUP(Table1[[#This Row],[5 cm2 cell test code]:[5 cm2 cell test code]],[1]!Table1[[Test code]:[Test code]],[1]!Table1[E @ 100 mA/cm2 10 mM KOH/V],"",0)</f>
        <v>#REF!</v>
      </c>
      <c r="AC1112" s="69" t="e" cm="1">
        <f t="array" ref="AC1112">_xlfn.XLOOKUP(Table1[[#This Row],[5 cm2 cell test code]:[5 cm2 cell test code]],[1]!Table1[[Test code]:[Test code]],[1]!Table1[Anode ICR/mOhm],"",0)</f>
        <v>#REF!</v>
      </c>
      <c r="AD1112" s="69" t="e" cm="1">
        <f t="array" ref="AD1112">_xlfn.XLOOKUP(Table1[[#This Row],[5 cm2 cell test code]:[5 cm2 cell test code]],[1]!Table1[[Test code]:[Test code]],[1]!Table1[HFR DIW/ mOhm cm2],"",0)</f>
        <v>#REF!</v>
      </c>
      <c r="AE1112" s="69" t="e" cm="1">
        <f t="array" ref="AE1112">_xlfn.XLOOKUP(Table1[[#This Row],[5 cm2 cell test code]:[5 cm2 cell test code]],[1]!Table1[[Test code]:[Test code]],[1]!Table1[HFR 10 mM KOH/ mOhm cm2],"",0)</f>
        <v>#REF!</v>
      </c>
      <c r="AF1112" s="69" t="e" cm="1">
        <f t="array" ref="AF1112">_xlfn.XLOOKUP(Table1[[#This Row],[5 cm2 cell test code]:[5 cm2 cell test code]],[1]!Table1[[Test code]:[Test code]],[1]!Table1[Ionic resistance DIW/Ohm cm2],"",0)</f>
        <v>#REF!</v>
      </c>
      <c r="AG1112" s="69" t="e" cm="1">
        <f t="array" ref="AG1112">_xlfn.XLOOKUP(Table1[[#This Row],[5 cm2 cell test code]:[5 cm2 cell test code]],[1]!Table1[[Test code]:[Test code]],[1]!Table1[Q_int_frac DIW],"",0)</f>
        <v>#REF!</v>
      </c>
      <c r="AH1112" s="69" t="e" cm="1">
        <f t="array" ref="AH1112">_xlfn.XLOOKUP(Table1[[#This Row],[5 cm2 cell test code]:[5 cm2 cell test code]],[1]!Table1[[Test code]:[Test code]],[1]!Table1[Ionic resistance 10 mM KOH/Ohm cm2],"",0)</f>
        <v>#REF!</v>
      </c>
      <c r="AI1112" s="69" t="e" cm="1">
        <f t="array" ref="AI1112">_xlfn.XLOOKUP(Table1[[#This Row],[5 cm2 cell test code]:[5 cm2 cell test code]],[1]!Table1[[Test code]:[Test code]],[1]!Table1[Q_int_frac DIW 10 mM KOH],"",0)</f>
        <v>#REF!</v>
      </c>
      <c r="AJ1112" s="69" t="e" cm="1">
        <f t="array" ref="AJ1112">_xlfn.XLOOKUP(Table1[[#This Row],[5 cm2 cell test code]:[5 cm2 cell test code]],[1]!Table1[[Test code]:[Test code]],[1]!Table1[DIW conductivity (µS/cm)],"",0)</f>
        <v>#REF!</v>
      </c>
    </row>
    <row r="1113" spans="1:36">
      <c r="A1113" s="81"/>
      <c r="U1113" s="101"/>
      <c r="V1113" s="101"/>
      <c r="W1113" s="69" t="e" cm="1">
        <f t="array" ref="W1113">_xlfn.XLOOKUP(Table1[[#This Row],[5 cm2 cell test code]:[5 cm2 cell test code]],[1]!Table1[[Test code]:[Test code]],[1]!Table1[i @ 1.8 V DIW (A/cm2)],"",0)</f>
        <v>#REF!</v>
      </c>
      <c r="X1113" s="69" t="e" cm="1">
        <f t="array" ref="X1113">_xlfn.XLOOKUP(Table1[[#This Row],[5 cm2 cell test code]:[5 cm2 cell test code]],[1]!Table1[[Test code]:[Test code]],[1]!Table1[i @ 1.8 V 10 mM KOH (A/cm2)],"",0)</f>
        <v>#REF!</v>
      </c>
      <c r="Y1113" s="69" t="e" cm="1">
        <f t="array" ref="Y1113">_xlfn.XLOOKUP(Table1[[#This Row],[5 cm2 cell test code]:[5 cm2 cell test code]],[1]!Table1[[Test code]:[Test code]],[1]!Table1[3-E ƞ at 20mAcm-2 (mV)],"",0)</f>
        <v>#REF!</v>
      </c>
      <c r="Z1113" s="69" t="e" cm="1">
        <f t="array" ref="Z1113">_xlfn.XLOOKUP(Table1[[#This Row],[5 cm2 cell test code]:[5 cm2 cell test code]],[1]!Table1[[Test code]:[Test code]],[1]!Table1[3-E Tafel slope (mV/dec)],"",0)</f>
        <v>#REF!</v>
      </c>
      <c r="AA1113" s="69" t="e" cm="1">
        <f t="array" ref="AA1113">_xlfn.XLOOKUP(Table1[[#This Row],[5 cm2 cell test code]:[5 cm2 cell test code]],[1]!Table1[[Test code]:[Test code]],[1]!Table1[E @ 100 mA/cm2 DIW/V],"",0)</f>
        <v>#REF!</v>
      </c>
      <c r="AB1113" s="69" t="e" cm="1">
        <f t="array" ref="AB1113">_xlfn.XLOOKUP(Table1[[#This Row],[5 cm2 cell test code]:[5 cm2 cell test code]],[1]!Table1[[Test code]:[Test code]],[1]!Table1[E @ 100 mA/cm2 10 mM KOH/V],"",0)</f>
        <v>#REF!</v>
      </c>
      <c r="AC1113" s="69" t="e" cm="1">
        <f t="array" ref="AC1113">_xlfn.XLOOKUP(Table1[[#This Row],[5 cm2 cell test code]:[5 cm2 cell test code]],[1]!Table1[[Test code]:[Test code]],[1]!Table1[Anode ICR/mOhm],"",0)</f>
        <v>#REF!</v>
      </c>
      <c r="AD1113" s="69" t="e" cm="1">
        <f t="array" ref="AD1113">_xlfn.XLOOKUP(Table1[[#This Row],[5 cm2 cell test code]:[5 cm2 cell test code]],[1]!Table1[[Test code]:[Test code]],[1]!Table1[HFR DIW/ mOhm cm2],"",0)</f>
        <v>#REF!</v>
      </c>
      <c r="AE1113" s="69" t="e" cm="1">
        <f t="array" ref="AE1113">_xlfn.XLOOKUP(Table1[[#This Row],[5 cm2 cell test code]:[5 cm2 cell test code]],[1]!Table1[[Test code]:[Test code]],[1]!Table1[HFR 10 mM KOH/ mOhm cm2],"",0)</f>
        <v>#REF!</v>
      </c>
      <c r="AF1113" s="69" t="e" cm="1">
        <f t="array" ref="AF1113">_xlfn.XLOOKUP(Table1[[#This Row],[5 cm2 cell test code]:[5 cm2 cell test code]],[1]!Table1[[Test code]:[Test code]],[1]!Table1[Ionic resistance DIW/Ohm cm2],"",0)</f>
        <v>#REF!</v>
      </c>
      <c r="AG1113" s="69" t="e" cm="1">
        <f t="array" ref="AG1113">_xlfn.XLOOKUP(Table1[[#This Row],[5 cm2 cell test code]:[5 cm2 cell test code]],[1]!Table1[[Test code]:[Test code]],[1]!Table1[Q_int_frac DIW],"",0)</f>
        <v>#REF!</v>
      </c>
      <c r="AH1113" s="69" t="e" cm="1">
        <f t="array" ref="AH1113">_xlfn.XLOOKUP(Table1[[#This Row],[5 cm2 cell test code]:[5 cm2 cell test code]],[1]!Table1[[Test code]:[Test code]],[1]!Table1[Ionic resistance 10 mM KOH/Ohm cm2],"",0)</f>
        <v>#REF!</v>
      </c>
      <c r="AI1113" s="69" t="e" cm="1">
        <f t="array" ref="AI1113">_xlfn.XLOOKUP(Table1[[#This Row],[5 cm2 cell test code]:[5 cm2 cell test code]],[1]!Table1[[Test code]:[Test code]],[1]!Table1[Q_int_frac DIW 10 mM KOH],"",0)</f>
        <v>#REF!</v>
      </c>
      <c r="AJ1113" s="69" t="e" cm="1">
        <f t="array" ref="AJ1113">_xlfn.XLOOKUP(Table1[[#This Row],[5 cm2 cell test code]:[5 cm2 cell test code]],[1]!Table1[[Test code]:[Test code]],[1]!Table1[DIW conductivity (µS/cm)],"",0)</f>
        <v>#REF!</v>
      </c>
    </row>
    <row r="1114" spans="1:36">
      <c r="A1114" s="81"/>
      <c r="U1114" s="101"/>
      <c r="V1114" s="101"/>
      <c r="W1114" s="69" t="e" cm="1">
        <f t="array" ref="W1114">_xlfn.XLOOKUP(Table1[[#This Row],[5 cm2 cell test code]:[5 cm2 cell test code]],[1]!Table1[[Test code]:[Test code]],[1]!Table1[i @ 1.8 V DIW (A/cm2)],"",0)</f>
        <v>#REF!</v>
      </c>
      <c r="X1114" s="69" t="e" cm="1">
        <f t="array" ref="X1114">_xlfn.XLOOKUP(Table1[[#This Row],[5 cm2 cell test code]:[5 cm2 cell test code]],[1]!Table1[[Test code]:[Test code]],[1]!Table1[i @ 1.8 V 10 mM KOH (A/cm2)],"",0)</f>
        <v>#REF!</v>
      </c>
      <c r="Y1114" s="69" t="e" cm="1">
        <f t="array" ref="Y1114">_xlfn.XLOOKUP(Table1[[#This Row],[5 cm2 cell test code]:[5 cm2 cell test code]],[1]!Table1[[Test code]:[Test code]],[1]!Table1[3-E ƞ at 20mAcm-2 (mV)],"",0)</f>
        <v>#REF!</v>
      </c>
      <c r="Z1114" s="69" t="e" cm="1">
        <f t="array" ref="Z1114">_xlfn.XLOOKUP(Table1[[#This Row],[5 cm2 cell test code]:[5 cm2 cell test code]],[1]!Table1[[Test code]:[Test code]],[1]!Table1[3-E Tafel slope (mV/dec)],"",0)</f>
        <v>#REF!</v>
      </c>
      <c r="AA1114" s="69" t="e" cm="1">
        <f t="array" ref="AA1114">_xlfn.XLOOKUP(Table1[[#This Row],[5 cm2 cell test code]:[5 cm2 cell test code]],[1]!Table1[[Test code]:[Test code]],[1]!Table1[E @ 100 mA/cm2 DIW/V],"",0)</f>
        <v>#REF!</v>
      </c>
      <c r="AB1114" s="69" t="e" cm="1">
        <f t="array" ref="AB1114">_xlfn.XLOOKUP(Table1[[#This Row],[5 cm2 cell test code]:[5 cm2 cell test code]],[1]!Table1[[Test code]:[Test code]],[1]!Table1[E @ 100 mA/cm2 10 mM KOH/V],"",0)</f>
        <v>#REF!</v>
      </c>
      <c r="AC1114" s="69" t="e" cm="1">
        <f t="array" ref="AC1114">_xlfn.XLOOKUP(Table1[[#This Row],[5 cm2 cell test code]:[5 cm2 cell test code]],[1]!Table1[[Test code]:[Test code]],[1]!Table1[Anode ICR/mOhm],"",0)</f>
        <v>#REF!</v>
      </c>
      <c r="AD1114" s="69" t="e" cm="1">
        <f t="array" ref="AD1114">_xlfn.XLOOKUP(Table1[[#This Row],[5 cm2 cell test code]:[5 cm2 cell test code]],[1]!Table1[[Test code]:[Test code]],[1]!Table1[HFR DIW/ mOhm cm2],"",0)</f>
        <v>#REF!</v>
      </c>
      <c r="AE1114" s="69" t="e" cm="1">
        <f t="array" ref="AE1114">_xlfn.XLOOKUP(Table1[[#This Row],[5 cm2 cell test code]:[5 cm2 cell test code]],[1]!Table1[[Test code]:[Test code]],[1]!Table1[HFR 10 mM KOH/ mOhm cm2],"",0)</f>
        <v>#REF!</v>
      </c>
      <c r="AF1114" s="69" t="e" cm="1">
        <f t="array" ref="AF1114">_xlfn.XLOOKUP(Table1[[#This Row],[5 cm2 cell test code]:[5 cm2 cell test code]],[1]!Table1[[Test code]:[Test code]],[1]!Table1[Ionic resistance DIW/Ohm cm2],"",0)</f>
        <v>#REF!</v>
      </c>
      <c r="AG1114" s="69" t="e" cm="1">
        <f t="array" ref="AG1114">_xlfn.XLOOKUP(Table1[[#This Row],[5 cm2 cell test code]:[5 cm2 cell test code]],[1]!Table1[[Test code]:[Test code]],[1]!Table1[Q_int_frac DIW],"",0)</f>
        <v>#REF!</v>
      </c>
      <c r="AH1114" s="69" t="e" cm="1">
        <f t="array" ref="AH1114">_xlfn.XLOOKUP(Table1[[#This Row],[5 cm2 cell test code]:[5 cm2 cell test code]],[1]!Table1[[Test code]:[Test code]],[1]!Table1[Ionic resistance 10 mM KOH/Ohm cm2],"",0)</f>
        <v>#REF!</v>
      </c>
      <c r="AI1114" s="69" t="e" cm="1">
        <f t="array" ref="AI1114">_xlfn.XLOOKUP(Table1[[#This Row],[5 cm2 cell test code]:[5 cm2 cell test code]],[1]!Table1[[Test code]:[Test code]],[1]!Table1[Q_int_frac DIW 10 mM KOH],"",0)</f>
        <v>#REF!</v>
      </c>
      <c r="AJ1114" s="69" t="e" cm="1">
        <f t="array" ref="AJ1114">_xlfn.XLOOKUP(Table1[[#This Row],[5 cm2 cell test code]:[5 cm2 cell test code]],[1]!Table1[[Test code]:[Test code]],[1]!Table1[DIW conductivity (µS/cm)],"",0)</f>
        <v>#REF!</v>
      </c>
    </row>
    <row r="1115" spans="1:36">
      <c r="A1115" s="81"/>
      <c r="U1115" s="101"/>
      <c r="V1115" s="101"/>
      <c r="W1115" s="69" t="e" cm="1">
        <f t="array" ref="W1115">_xlfn.XLOOKUP(Table1[[#This Row],[5 cm2 cell test code]:[5 cm2 cell test code]],[1]!Table1[[Test code]:[Test code]],[1]!Table1[i @ 1.8 V DIW (A/cm2)],"",0)</f>
        <v>#REF!</v>
      </c>
      <c r="X1115" s="69" t="e" cm="1">
        <f t="array" ref="X1115">_xlfn.XLOOKUP(Table1[[#This Row],[5 cm2 cell test code]:[5 cm2 cell test code]],[1]!Table1[[Test code]:[Test code]],[1]!Table1[i @ 1.8 V 10 mM KOH (A/cm2)],"",0)</f>
        <v>#REF!</v>
      </c>
      <c r="Y1115" s="69" t="e" cm="1">
        <f t="array" ref="Y1115">_xlfn.XLOOKUP(Table1[[#This Row],[5 cm2 cell test code]:[5 cm2 cell test code]],[1]!Table1[[Test code]:[Test code]],[1]!Table1[3-E ƞ at 20mAcm-2 (mV)],"",0)</f>
        <v>#REF!</v>
      </c>
      <c r="Z1115" s="69" t="e" cm="1">
        <f t="array" ref="Z1115">_xlfn.XLOOKUP(Table1[[#This Row],[5 cm2 cell test code]:[5 cm2 cell test code]],[1]!Table1[[Test code]:[Test code]],[1]!Table1[3-E Tafel slope (mV/dec)],"",0)</f>
        <v>#REF!</v>
      </c>
      <c r="AA1115" s="69" t="e" cm="1">
        <f t="array" ref="AA1115">_xlfn.XLOOKUP(Table1[[#This Row],[5 cm2 cell test code]:[5 cm2 cell test code]],[1]!Table1[[Test code]:[Test code]],[1]!Table1[E @ 100 mA/cm2 DIW/V],"",0)</f>
        <v>#REF!</v>
      </c>
      <c r="AB1115" s="69" t="e" cm="1">
        <f t="array" ref="AB1115">_xlfn.XLOOKUP(Table1[[#This Row],[5 cm2 cell test code]:[5 cm2 cell test code]],[1]!Table1[[Test code]:[Test code]],[1]!Table1[E @ 100 mA/cm2 10 mM KOH/V],"",0)</f>
        <v>#REF!</v>
      </c>
      <c r="AC1115" s="69" t="e" cm="1">
        <f t="array" ref="AC1115">_xlfn.XLOOKUP(Table1[[#This Row],[5 cm2 cell test code]:[5 cm2 cell test code]],[1]!Table1[[Test code]:[Test code]],[1]!Table1[Anode ICR/mOhm],"",0)</f>
        <v>#REF!</v>
      </c>
      <c r="AD1115" s="69" t="e" cm="1">
        <f t="array" ref="AD1115">_xlfn.XLOOKUP(Table1[[#This Row],[5 cm2 cell test code]:[5 cm2 cell test code]],[1]!Table1[[Test code]:[Test code]],[1]!Table1[HFR DIW/ mOhm cm2],"",0)</f>
        <v>#REF!</v>
      </c>
      <c r="AE1115" s="69" t="e" cm="1">
        <f t="array" ref="AE1115">_xlfn.XLOOKUP(Table1[[#This Row],[5 cm2 cell test code]:[5 cm2 cell test code]],[1]!Table1[[Test code]:[Test code]],[1]!Table1[HFR 10 mM KOH/ mOhm cm2],"",0)</f>
        <v>#REF!</v>
      </c>
      <c r="AF1115" s="69" t="e" cm="1">
        <f t="array" ref="AF1115">_xlfn.XLOOKUP(Table1[[#This Row],[5 cm2 cell test code]:[5 cm2 cell test code]],[1]!Table1[[Test code]:[Test code]],[1]!Table1[Ionic resistance DIW/Ohm cm2],"",0)</f>
        <v>#REF!</v>
      </c>
      <c r="AG1115" s="69" t="e" cm="1">
        <f t="array" ref="AG1115">_xlfn.XLOOKUP(Table1[[#This Row],[5 cm2 cell test code]:[5 cm2 cell test code]],[1]!Table1[[Test code]:[Test code]],[1]!Table1[Q_int_frac DIW],"",0)</f>
        <v>#REF!</v>
      </c>
      <c r="AH1115" s="69" t="e" cm="1">
        <f t="array" ref="AH1115">_xlfn.XLOOKUP(Table1[[#This Row],[5 cm2 cell test code]:[5 cm2 cell test code]],[1]!Table1[[Test code]:[Test code]],[1]!Table1[Ionic resistance 10 mM KOH/Ohm cm2],"",0)</f>
        <v>#REF!</v>
      </c>
      <c r="AI1115" s="69" t="e" cm="1">
        <f t="array" ref="AI1115">_xlfn.XLOOKUP(Table1[[#This Row],[5 cm2 cell test code]:[5 cm2 cell test code]],[1]!Table1[[Test code]:[Test code]],[1]!Table1[Q_int_frac DIW 10 mM KOH],"",0)</f>
        <v>#REF!</v>
      </c>
      <c r="AJ1115" s="69" t="e" cm="1">
        <f t="array" ref="AJ1115">_xlfn.XLOOKUP(Table1[[#This Row],[5 cm2 cell test code]:[5 cm2 cell test code]],[1]!Table1[[Test code]:[Test code]],[1]!Table1[DIW conductivity (µS/cm)],"",0)</f>
        <v>#REF!</v>
      </c>
    </row>
    <row r="1116" spans="1:36">
      <c r="A1116" s="81"/>
      <c r="U1116" s="101"/>
      <c r="V1116" s="101"/>
      <c r="W1116" s="69" t="e" cm="1">
        <f t="array" ref="W1116">_xlfn.XLOOKUP(Table1[[#This Row],[5 cm2 cell test code]:[5 cm2 cell test code]],[1]!Table1[[Test code]:[Test code]],[1]!Table1[i @ 1.8 V DIW (A/cm2)],"",0)</f>
        <v>#REF!</v>
      </c>
      <c r="X1116" s="69" t="e" cm="1">
        <f t="array" ref="X1116">_xlfn.XLOOKUP(Table1[[#This Row],[5 cm2 cell test code]:[5 cm2 cell test code]],[1]!Table1[[Test code]:[Test code]],[1]!Table1[i @ 1.8 V 10 mM KOH (A/cm2)],"",0)</f>
        <v>#REF!</v>
      </c>
      <c r="Y1116" s="69" t="e" cm="1">
        <f t="array" ref="Y1116">_xlfn.XLOOKUP(Table1[[#This Row],[5 cm2 cell test code]:[5 cm2 cell test code]],[1]!Table1[[Test code]:[Test code]],[1]!Table1[3-E ƞ at 20mAcm-2 (mV)],"",0)</f>
        <v>#REF!</v>
      </c>
      <c r="Z1116" s="69" t="e" cm="1">
        <f t="array" ref="Z1116">_xlfn.XLOOKUP(Table1[[#This Row],[5 cm2 cell test code]:[5 cm2 cell test code]],[1]!Table1[[Test code]:[Test code]],[1]!Table1[3-E Tafel slope (mV/dec)],"",0)</f>
        <v>#REF!</v>
      </c>
      <c r="AA1116" s="69" t="e" cm="1">
        <f t="array" ref="AA1116">_xlfn.XLOOKUP(Table1[[#This Row],[5 cm2 cell test code]:[5 cm2 cell test code]],[1]!Table1[[Test code]:[Test code]],[1]!Table1[E @ 100 mA/cm2 DIW/V],"",0)</f>
        <v>#REF!</v>
      </c>
      <c r="AB1116" s="69" t="e" cm="1">
        <f t="array" ref="AB1116">_xlfn.XLOOKUP(Table1[[#This Row],[5 cm2 cell test code]:[5 cm2 cell test code]],[1]!Table1[[Test code]:[Test code]],[1]!Table1[E @ 100 mA/cm2 10 mM KOH/V],"",0)</f>
        <v>#REF!</v>
      </c>
      <c r="AC1116" s="69" t="e" cm="1">
        <f t="array" ref="AC1116">_xlfn.XLOOKUP(Table1[[#This Row],[5 cm2 cell test code]:[5 cm2 cell test code]],[1]!Table1[[Test code]:[Test code]],[1]!Table1[Anode ICR/mOhm],"",0)</f>
        <v>#REF!</v>
      </c>
      <c r="AD1116" s="69" t="e" cm="1">
        <f t="array" ref="AD1116">_xlfn.XLOOKUP(Table1[[#This Row],[5 cm2 cell test code]:[5 cm2 cell test code]],[1]!Table1[[Test code]:[Test code]],[1]!Table1[HFR DIW/ mOhm cm2],"",0)</f>
        <v>#REF!</v>
      </c>
      <c r="AE1116" s="69" t="e" cm="1">
        <f t="array" ref="AE1116">_xlfn.XLOOKUP(Table1[[#This Row],[5 cm2 cell test code]:[5 cm2 cell test code]],[1]!Table1[[Test code]:[Test code]],[1]!Table1[HFR 10 mM KOH/ mOhm cm2],"",0)</f>
        <v>#REF!</v>
      </c>
      <c r="AF1116" s="69" t="e" cm="1">
        <f t="array" ref="AF1116">_xlfn.XLOOKUP(Table1[[#This Row],[5 cm2 cell test code]:[5 cm2 cell test code]],[1]!Table1[[Test code]:[Test code]],[1]!Table1[Ionic resistance DIW/Ohm cm2],"",0)</f>
        <v>#REF!</v>
      </c>
      <c r="AG1116" s="69" t="e" cm="1">
        <f t="array" ref="AG1116">_xlfn.XLOOKUP(Table1[[#This Row],[5 cm2 cell test code]:[5 cm2 cell test code]],[1]!Table1[[Test code]:[Test code]],[1]!Table1[Q_int_frac DIW],"",0)</f>
        <v>#REF!</v>
      </c>
      <c r="AH1116" s="69" t="e" cm="1">
        <f t="array" ref="AH1116">_xlfn.XLOOKUP(Table1[[#This Row],[5 cm2 cell test code]:[5 cm2 cell test code]],[1]!Table1[[Test code]:[Test code]],[1]!Table1[Ionic resistance 10 mM KOH/Ohm cm2],"",0)</f>
        <v>#REF!</v>
      </c>
      <c r="AI1116" s="69" t="e" cm="1">
        <f t="array" ref="AI1116">_xlfn.XLOOKUP(Table1[[#This Row],[5 cm2 cell test code]:[5 cm2 cell test code]],[1]!Table1[[Test code]:[Test code]],[1]!Table1[Q_int_frac DIW 10 mM KOH],"",0)</f>
        <v>#REF!</v>
      </c>
      <c r="AJ1116" s="69" t="e" cm="1">
        <f t="array" ref="AJ1116">_xlfn.XLOOKUP(Table1[[#This Row],[5 cm2 cell test code]:[5 cm2 cell test code]],[1]!Table1[[Test code]:[Test code]],[1]!Table1[DIW conductivity (µS/cm)],"",0)</f>
        <v>#REF!</v>
      </c>
    </row>
    <row r="1117" spans="1:36">
      <c r="A1117" s="81"/>
      <c r="U1117" s="101"/>
      <c r="V1117" s="101"/>
      <c r="W1117" s="69" t="e" cm="1">
        <f t="array" ref="W1117">_xlfn.XLOOKUP(Table1[[#This Row],[5 cm2 cell test code]:[5 cm2 cell test code]],[1]!Table1[[Test code]:[Test code]],[1]!Table1[i @ 1.8 V DIW (A/cm2)],"",0)</f>
        <v>#REF!</v>
      </c>
      <c r="X1117" s="69" t="e" cm="1">
        <f t="array" ref="X1117">_xlfn.XLOOKUP(Table1[[#This Row],[5 cm2 cell test code]:[5 cm2 cell test code]],[1]!Table1[[Test code]:[Test code]],[1]!Table1[i @ 1.8 V 10 mM KOH (A/cm2)],"",0)</f>
        <v>#REF!</v>
      </c>
      <c r="Y1117" s="69" t="e" cm="1">
        <f t="array" ref="Y1117">_xlfn.XLOOKUP(Table1[[#This Row],[5 cm2 cell test code]:[5 cm2 cell test code]],[1]!Table1[[Test code]:[Test code]],[1]!Table1[3-E ƞ at 20mAcm-2 (mV)],"",0)</f>
        <v>#REF!</v>
      </c>
      <c r="Z1117" s="69" t="e" cm="1">
        <f t="array" ref="Z1117">_xlfn.XLOOKUP(Table1[[#This Row],[5 cm2 cell test code]:[5 cm2 cell test code]],[1]!Table1[[Test code]:[Test code]],[1]!Table1[3-E Tafel slope (mV/dec)],"",0)</f>
        <v>#REF!</v>
      </c>
      <c r="AA1117" s="69" t="e" cm="1">
        <f t="array" ref="AA1117">_xlfn.XLOOKUP(Table1[[#This Row],[5 cm2 cell test code]:[5 cm2 cell test code]],[1]!Table1[[Test code]:[Test code]],[1]!Table1[E @ 100 mA/cm2 DIW/V],"",0)</f>
        <v>#REF!</v>
      </c>
      <c r="AB1117" s="69" t="e" cm="1">
        <f t="array" ref="AB1117">_xlfn.XLOOKUP(Table1[[#This Row],[5 cm2 cell test code]:[5 cm2 cell test code]],[1]!Table1[[Test code]:[Test code]],[1]!Table1[E @ 100 mA/cm2 10 mM KOH/V],"",0)</f>
        <v>#REF!</v>
      </c>
      <c r="AC1117" s="69" t="e" cm="1">
        <f t="array" ref="AC1117">_xlfn.XLOOKUP(Table1[[#This Row],[5 cm2 cell test code]:[5 cm2 cell test code]],[1]!Table1[[Test code]:[Test code]],[1]!Table1[Anode ICR/mOhm],"",0)</f>
        <v>#REF!</v>
      </c>
      <c r="AD1117" s="69" t="e" cm="1">
        <f t="array" ref="AD1117">_xlfn.XLOOKUP(Table1[[#This Row],[5 cm2 cell test code]:[5 cm2 cell test code]],[1]!Table1[[Test code]:[Test code]],[1]!Table1[HFR DIW/ mOhm cm2],"",0)</f>
        <v>#REF!</v>
      </c>
      <c r="AE1117" s="69" t="e" cm="1">
        <f t="array" ref="AE1117">_xlfn.XLOOKUP(Table1[[#This Row],[5 cm2 cell test code]:[5 cm2 cell test code]],[1]!Table1[[Test code]:[Test code]],[1]!Table1[HFR 10 mM KOH/ mOhm cm2],"",0)</f>
        <v>#REF!</v>
      </c>
      <c r="AF1117" s="69" t="e" cm="1">
        <f t="array" ref="AF1117">_xlfn.XLOOKUP(Table1[[#This Row],[5 cm2 cell test code]:[5 cm2 cell test code]],[1]!Table1[[Test code]:[Test code]],[1]!Table1[Ionic resistance DIW/Ohm cm2],"",0)</f>
        <v>#REF!</v>
      </c>
      <c r="AG1117" s="69" t="e" cm="1">
        <f t="array" ref="AG1117">_xlfn.XLOOKUP(Table1[[#This Row],[5 cm2 cell test code]:[5 cm2 cell test code]],[1]!Table1[[Test code]:[Test code]],[1]!Table1[Q_int_frac DIW],"",0)</f>
        <v>#REF!</v>
      </c>
      <c r="AH1117" s="69" t="e" cm="1">
        <f t="array" ref="AH1117">_xlfn.XLOOKUP(Table1[[#This Row],[5 cm2 cell test code]:[5 cm2 cell test code]],[1]!Table1[[Test code]:[Test code]],[1]!Table1[Ionic resistance 10 mM KOH/Ohm cm2],"",0)</f>
        <v>#REF!</v>
      </c>
      <c r="AI1117" s="69" t="e" cm="1">
        <f t="array" ref="AI1117">_xlfn.XLOOKUP(Table1[[#This Row],[5 cm2 cell test code]:[5 cm2 cell test code]],[1]!Table1[[Test code]:[Test code]],[1]!Table1[Q_int_frac DIW 10 mM KOH],"",0)</f>
        <v>#REF!</v>
      </c>
      <c r="AJ1117" s="69" t="e" cm="1">
        <f t="array" ref="AJ1117">_xlfn.XLOOKUP(Table1[[#This Row],[5 cm2 cell test code]:[5 cm2 cell test code]],[1]!Table1[[Test code]:[Test code]],[1]!Table1[DIW conductivity (µS/cm)],"",0)</f>
        <v>#REF!</v>
      </c>
    </row>
    <row r="1118" spans="1:36">
      <c r="A1118" s="81"/>
      <c r="U1118" s="101"/>
      <c r="V1118" s="101"/>
      <c r="W1118" s="69" t="e" cm="1">
        <f t="array" ref="W1118">_xlfn.XLOOKUP(Table1[[#This Row],[5 cm2 cell test code]:[5 cm2 cell test code]],[1]!Table1[[Test code]:[Test code]],[1]!Table1[i @ 1.8 V DIW (A/cm2)],"",0)</f>
        <v>#REF!</v>
      </c>
      <c r="X1118" s="69" t="e" cm="1">
        <f t="array" ref="X1118">_xlfn.XLOOKUP(Table1[[#This Row],[5 cm2 cell test code]:[5 cm2 cell test code]],[1]!Table1[[Test code]:[Test code]],[1]!Table1[i @ 1.8 V 10 mM KOH (A/cm2)],"",0)</f>
        <v>#REF!</v>
      </c>
      <c r="Y1118" s="69" t="e" cm="1">
        <f t="array" ref="Y1118">_xlfn.XLOOKUP(Table1[[#This Row],[5 cm2 cell test code]:[5 cm2 cell test code]],[1]!Table1[[Test code]:[Test code]],[1]!Table1[3-E ƞ at 20mAcm-2 (mV)],"",0)</f>
        <v>#REF!</v>
      </c>
      <c r="Z1118" s="69" t="e" cm="1">
        <f t="array" ref="Z1118">_xlfn.XLOOKUP(Table1[[#This Row],[5 cm2 cell test code]:[5 cm2 cell test code]],[1]!Table1[[Test code]:[Test code]],[1]!Table1[3-E Tafel slope (mV/dec)],"",0)</f>
        <v>#REF!</v>
      </c>
      <c r="AA1118" s="69" t="e" cm="1">
        <f t="array" ref="AA1118">_xlfn.XLOOKUP(Table1[[#This Row],[5 cm2 cell test code]:[5 cm2 cell test code]],[1]!Table1[[Test code]:[Test code]],[1]!Table1[E @ 100 mA/cm2 DIW/V],"",0)</f>
        <v>#REF!</v>
      </c>
      <c r="AB1118" s="69" t="e" cm="1">
        <f t="array" ref="AB1118">_xlfn.XLOOKUP(Table1[[#This Row],[5 cm2 cell test code]:[5 cm2 cell test code]],[1]!Table1[[Test code]:[Test code]],[1]!Table1[E @ 100 mA/cm2 10 mM KOH/V],"",0)</f>
        <v>#REF!</v>
      </c>
      <c r="AC1118" s="69" t="e" cm="1">
        <f t="array" ref="AC1118">_xlfn.XLOOKUP(Table1[[#This Row],[5 cm2 cell test code]:[5 cm2 cell test code]],[1]!Table1[[Test code]:[Test code]],[1]!Table1[Anode ICR/mOhm],"",0)</f>
        <v>#REF!</v>
      </c>
      <c r="AD1118" s="69" t="e" cm="1">
        <f t="array" ref="AD1118">_xlfn.XLOOKUP(Table1[[#This Row],[5 cm2 cell test code]:[5 cm2 cell test code]],[1]!Table1[[Test code]:[Test code]],[1]!Table1[HFR DIW/ mOhm cm2],"",0)</f>
        <v>#REF!</v>
      </c>
      <c r="AE1118" s="69" t="e" cm="1">
        <f t="array" ref="AE1118">_xlfn.XLOOKUP(Table1[[#This Row],[5 cm2 cell test code]:[5 cm2 cell test code]],[1]!Table1[[Test code]:[Test code]],[1]!Table1[HFR 10 mM KOH/ mOhm cm2],"",0)</f>
        <v>#REF!</v>
      </c>
      <c r="AF1118" s="69" t="e" cm="1">
        <f t="array" ref="AF1118">_xlfn.XLOOKUP(Table1[[#This Row],[5 cm2 cell test code]:[5 cm2 cell test code]],[1]!Table1[[Test code]:[Test code]],[1]!Table1[Ionic resistance DIW/Ohm cm2],"",0)</f>
        <v>#REF!</v>
      </c>
      <c r="AG1118" s="69" t="e" cm="1">
        <f t="array" ref="AG1118">_xlfn.XLOOKUP(Table1[[#This Row],[5 cm2 cell test code]:[5 cm2 cell test code]],[1]!Table1[[Test code]:[Test code]],[1]!Table1[Q_int_frac DIW],"",0)</f>
        <v>#REF!</v>
      </c>
      <c r="AH1118" s="69" t="e" cm="1">
        <f t="array" ref="AH1118">_xlfn.XLOOKUP(Table1[[#This Row],[5 cm2 cell test code]:[5 cm2 cell test code]],[1]!Table1[[Test code]:[Test code]],[1]!Table1[Ionic resistance 10 mM KOH/Ohm cm2],"",0)</f>
        <v>#REF!</v>
      </c>
      <c r="AI1118" s="69" t="e" cm="1">
        <f t="array" ref="AI1118">_xlfn.XLOOKUP(Table1[[#This Row],[5 cm2 cell test code]:[5 cm2 cell test code]],[1]!Table1[[Test code]:[Test code]],[1]!Table1[Q_int_frac DIW 10 mM KOH],"",0)</f>
        <v>#REF!</v>
      </c>
      <c r="AJ1118" s="69" t="e" cm="1">
        <f t="array" ref="AJ1118">_xlfn.XLOOKUP(Table1[[#This Row],[5 cm2 cell test code]:[5 cm2 cell test code]],[1]!Table1[[Test code]:[Test code]],[1]!Table1[DIW conductivity (µS/cm)],"",0)</f>
        <v>#REF!</v>
      </c>
    </row>
    <row r="1119" spans="1:36">
      <c r="A1119" s="81"/>
      <c r="U1119" s="101"/>
      <c r="V1119" s="101"/>
      <c r="W1119" s="69" t="e" cm="1">
        <f t="array" ref="W1119">_xlfn.XLOOKUP(Table1[[#This Row],[5 cm2 cell test code]:[5 cm2 cell test code]],[1]!Table1[[Test code]:[Test code]],[1]!Table1[i @ 1.8 V DIW (A/cm2)],"",0)</f>
        <v>#REF!</v>
      </c>
      <c r="X1119" s="69" t="e" cm="1">
        <f t="array" ref="X1119">_xlfn.XLOOKUP(Table1[[#This Row],[5 cm2 cell test code]:[5 cm2 cell test code]],[1]!Table1[[Test code]:[Test code]],[1]!Table1[i @ 1.8 V 10 mM KOH (A/cm2)],"",0)</f>
        <v>#REF!</v>
      </c>
      <c r="Y1119" s="69" t="e" cm="1">
        <f t="array" ref="Y1119">_xlfn.XLOOKUP(Table1[[#This Row],[5 cm2 cell test code]:[5 cm2 cell test code]],[1]!Table1[[Test code]:[Test code]],[1]!Table1[3-E ƞ at 20mAcm-2 (mV)],"",0)</f>
        <v>#REF!</v>
      </c>
      <c r="Z1119" s="69" t="e" cm="1">
        <f t="array" ref="Z1119">_xlfn.XLOOKUP(Table1[[#This Row],[5 cm2 cell test code]:[5 cm2 cell test code]],[1]!Table1[[Test code]:[Test code]],[1]!Table1[3-E Tafel slope (mV/dec)],"",0)</f>
        <v>#REF!</v>
      </c>
      <c r="AA1119" s="69" t="e" cm="1">
        <f t="array" ref="AA1119">_xlfn.XLOOKUP(Table1[[#This Row],[5 cm2 cell test code]:[5 cm2 cell test code]],[1]!Table1[[Test code]:[Test code]],[1]!Table1[E @ 100 mA/cm2 DIW/V],"",0)</f>
        <v>#REF!</v>
      </c>
      <c r="AB1119" s="69" t="e" cm="1">
        <f t="array" ref="AB1119">_xlfn.XLOOKUP(Table1[[#This Row],[5 cm2 cell test code]:[5 cm2 cell test code]],[1]!Table1[[Test code]:[Test code]],[1]!Table1[E @ 100 mA/cm2 10 mM KOH/V],"",0)</f>
        <v>#REF!</v>
      </c>
      <c r="AC1119" s="69" t="e" cm="1">
        <f t="array" ref="AC1119">_xlfn.XLOOKUP(Table1[[#This Row],[5 cm2 cell test code]:[5 cm2 cell test code]],[1]!Table1[[Test code]:[Test code]],[1]!Table1[Anode ICR/mOhm],"",0)</f>
        <v>#REF!</v>
      </c>
      <c r="AD1119" s="69" t="e" cm="1">
        <f t="array" ref="AD1119">_xlfn.XLOOKUP(Table1[[#This Row],[5 cm2 cell test code]:[5 cm2 cell test code]],[1]!Table1[[Test code]:[Test code]],[1]!Table1[HFR DIW/ mOhm cm2],"",0)</f>
        <v>#REF!</v>
      </c>
      <c r="AE1119" s="69" t="e" cm="1">
        <f t="array" ref="AE1119">_xlfn.XLOOKUP(Table1[[#This Row],[5 cm2 cell test code]:[5 cm2 cell test code]],[1]!Table1[[Test code]:[Test code]],[1]!Table1[HFR 10 mM KOH/ mOhm cm2],"",0)</f>
        <v>#REF!</v>
      </c>
      <c r="AF1119" s="69" t="e" cm="1">
        <f t="array" ref="AF1119">_xlfn.XLOOKUP(Table1[[#This Row],[5 cm2 cell test code]:[5 cm2 cell test code]],[1]!Table1[[Test code]:[Test code]],[1]!Table1[Ionic resistance DIW/Ohm cm2],"",0)</f>
        <v>#REF!</v>
      </c>
      <c r="AG1119" s="69" t="e" cm="1">
        <f t="array" ref="AG1119">_xlfn.XLOOKUP(Table1[[#This Row],[5 cm2 cell test code]:[5 cm2 cell test code]],[1]!Table1[[Test code]:[Test code]],[1]!Table1[Q_int_frac DIW],"",0)</f>
        <v>#REF!</v>
      </c>
      <c r="AH1119" s="69" t="e" cm="1">
        <f t="array" ref="AH1119">_xlfn.XLOOKUP(Table1[[#This Row],[5 cm2 cell test code]:[5 cm2 cell test code]],[1]!Table1[[Test code]:[Test code]],[1]!Table1[Ionic resistance 10 mM KOH/Ohm cm2],"",0)</f>
        <v>#REF!</v>
      </c>
      <c r="AI1119" s="69" t="e" cm="1">
        <f t="array" ref="AI1119">_xlfn.XLOOKUP(Table1[[#This Row],[5 cm2 cell test code]:[5 cm2 cell test code]],[1]!Table1[[Test code]:[Test code]],[1]!Table1[Q_int_frac DIW 10 mM KOH],"",0)</f>
        <v>#REF!</v>
      </c>
      <c r="AJ1119" s="69" t="e" cm="1">
        <f t="array" ref="AJ1119">_xlfn.XLOOKUP(Table1[[#This Row],[5 cm2 cell test code]:[5 cm2 cell test code]],[1]!Table1[[Test code]:[Test code]],[1]!Table1[DIW conductivity (µS/cm)],"",0)</f>
        <v>#REF!</v>
      </c>
    </row>
    <row r="1120" spans="1:36">
      <c r="A1120" s="81"/>
      <c r="U1120" s="101"/>
      <c r="V1120" s="101"/>
      <c r="W1120" s="69" t="e" cm="1">
        <f t="array" ref="W1120">_xlfn.XLOOKUP(Table1[[#This Row],[5 cm2 cell test code]:[5 cm2 cell test code]],[1]!Table1[[Test code]:[Test code]],[1]!Table1[i @ 1.8 V DIW (A/cm2)],"",0)</f>
        <v>#REF!</v>
      </c>
      <c r="X1120" s="69" t="e" cm="1">
        <f t="array" ref="X1120">_xlfn.XLOOKUP(Table1[[#This Row],[5 cm2 cell test code]:[5 cm2 cell test code]],[1]!Table1[[Test code]:[Test code]],[1]!Table1[i @ 1.8 V 10 mM KOH (A/cm2)],"",0)</f>
        <v>#REF!</v>
      </c>
      <c r="Y1120" s="69" t="e" cm="1">
        <f t="array" ref="Y1120">_xlfn.XLOOKUP(Table1[[#This Row],[5 cm2 cell test code]:[5 cm2 cell test code]],[1]!Table1[[Test code]:[Test code]],[1]!Table1[3-E ƞ at 20mAcm-2 (mV)],"",0)</f>
        <v>#REF!</v>
      </c>
      <c r="Z1120" s="69" t="e" cm="1">
        <f t="array" ref="Z1120">_xlfn.XLOOKUP(Table1[[#This Row],[5 cm2 cell test code]:[5 cm2 cell test code]],[1]!Table1[[Test code]:[Test code]],[1]!Table1[3-E Tafel slope (mV/dec)],"",0)</f>
        <v>#REF!</v>
      </c>
      <c r="AA1120" s="69" t="e" cm="1">
        <f t="array" ref="AA1120">_xlfn.XLOOKUP(Table1[[#This Row],[5 cm2 cell test code]:[5 cm2 cell test code]],[1]!Table1[[Test code]:[Test code]],[1]!Table1[E @ 100 mA/cm2 DIW/V],"",0)</f>
        <v>#REF!</v>
      </c>
      <c r="AB1120" s="69" t="e" cm="1">
        <f t="array" ref="AB1120">_xlfn.XLOOKUP(Table1[[#This Row],[5 cm2 cell test code]:[5 cm2 cell test code]],[1]!Table1[[Test code]:[Test code]],[1]!Table1[E @ 100 mA/cm2 10 mM KOH/V],"",0)</f>
        <v>#REF!</v>
      </c>
      <c r="AC1120" s="69" t="e" cm="1">
        <f t="array" ref="AC1120">_xlfn.XLOOKUP(Table1[[#This Row],[5 cm2 cell test code]:[5 cm2 cell test code]],[1]!Table1[[Test code]:[Test code]],[1]!Table1[Anode ICR/mOhm],"",0)</f>
        <v>#REF!</v>
      </c>
      <c r="AD1120" s="69" t="e" cm="1">
        <f t="array" ref="AD1120">_xlfn.XLOOKUP(Table1[[#This Row],[5 cm2 cell test code]:[5 cm2 cell test code]],[1]!Table1[[Test code]:[Test code]],[1]!Table1[HFR DIW/ mOhm cm2],"",0)</f>
        <v>#REF!</v>
      </c>
      <c r="AE1120" s="69" t="e" cm="1">
        <f t="array" ref="AE1120">_xlfn.XLOOKUP(Table1[[#This Row],[5 cm2 cell test code]:[5 cm2 cell test code]],[1]!Table1[[Test code]:[Test code]],[1]!Table1[HFR 10 mM KOH/ mOhm cm2],"",0)</f>
        <v>#REF!</v>
      </c>
      <c r="AF1120" s="69" t="e" cm="1">
        <f t="array" ref="AF1120">_xlfn.XLOOKUP(Table1[[#This Row],[5 cm2 cell test code]:[5 cm2 cell test code]],[1]!Table1[[Test code]:[Test code]],[1]!Table1[Ionic resistance DIW/Ohm cm2],"",0)</f>
        <v>#REF!</v>
      </c>
      <c r="AG1120" s="69" t="e" cm="1">
        <f t="array" ref="AG1120">_xlfn.XLOOKUP(Table1[[#This Row],[5 cm2 cell test code]:[5 cm2 cell test code]],[1]!Table1[[Test code]:[Test code]],[1]!Table1[Q_int_frac DIW],"",0)</f>
        <v>#REF!</v>
      </c>
      <c r="AH1120" s="69" t="e" cm="1">
        <f t="array" ref="AH1120">_xlfn.XLOOKUP(Table1[[#This Row],[5 cm2 cell test code]:[5 cm2 cell test code]],[1]!Table1[[Test code]:[Test code]],[1]!Table1[Ionic resistance 10 mM KOH/Ohm cm2],"",0)</f>
        <v>#REF!</v>
      </c>
      <c r="AI1120" s="69" t="e" cm="1">
        <f t="array" ref="AI1120">_xlfn.XLOOKUP(Table1[[#This Row],[5 cm2 cell test code]:[5 cm2 cell test code]],[1]!Table1[[Test code]:[Test code]],[1]!Table1[Q_int_frac DIW 10 mM KOH],"",0)</f>
        <v>#REF!</v>
      </c>
      <c r="AJ1120" s="69" t="e" cm="1">
        <f t="array" ref="AJ1120">_xlfn.XLOOKUP(Table1[[#This Row],[5 cm2 cell test code]:[5 cm2 cell test code]],[1]!Table1[[Test code]:[Test code]],[1]!Table1[DIW conductivity (µS/cm)],"",0)</f>
        <v>#REF!</v>
      </c>
    </row>
    <row r="1121" spans="1:36">
      <c r="A1121" s="81"/>
      <c r="U1121" s="101"/>
      <c r="V1121" s="101"/>
      <c r="W1121" s="69" t="e" cm="1">
        <f t="array" ref="W1121">_xlfn.XLOOKUP(Table1[[#This Row],[5 cm2 cell test code]:[5 cm2 cell test code]],[1]!Table1[[Test code]:[Test code]],[1]!Table1[i @ 1.8 V DIW (A/cm2)],"",0)</f>
        <v>#REF!</v>
      </c>
      <c r="X1121" s="69" t="e" cm="1">
        <f t="array" ref="X1121">_xlfn.XLOOKUP(Table1[[#This Row],[5 cm2 cell test code]:[5 cm2 cell test code]],[1]!Table1[[Test code]:[Test code]],[1]!Table1[i @ 1.8 V 10 mM KOH (A/cm2)],"",0)</f>
        <v>#REF!</v>
      </c>
      <c r="Y1121" s="69" t="e" cm="1">
        <f t="array" ref="Y1121">_xlfn.XLOOKUP(Table1[[#This Row],[5 cm2 cell test code]:[5 cm2 cell test code]],[1]!Table1[[Test code]:[Test code]],[1]!Table1[3-E ƞ at 20mAcm-2 (mV)],"",0)</f>
        <v>#REF!</v>
      </c>
      <c r="Z1121" s="69" t="e" cm="1">
        <f t="array" ref="Z1121">_xlfn.XLOOKUP(Table1[[#This Row],[5 cm2 cell test code]:[5 cm2 cell test code]],[1]!Table1[[Test code]:[Test code]],[1]!Table1[3-E Tafel slope (mV/dec)],"",0)</f>
        <v>#REF!</v>
      </c>
      <c r="AA1121" s="69" t="e" cm="1">
        <f t="array" ref="AA1121">_xlfn.XLOOKUP(Table1[[#This Row],[5 cm2 cell test code]:[5 cm2 cell test code]],[1]!Table1[[Test code]:[Test code]],[1]!Table1[E @ 100 mA/cm2 DIW/V],"",0)</f>
        <v>#REF!</v>
      </c>
      <c r="AB1121" s="69" t="e" cm="1">
        <f t="array" ref="AB1121">_xlfn.XLOOKUP(Table1[[#This Row],[5 cm2 cell test code]:[5 cm2 cell test code]],[1]!Table1[[Test code]:[Test code]],[1]!Table1[E @ 100 mA/cm2 10 mM KOH/V],"",0)</f>
        <v>#REF!</v>
      </c>
      <c r="AC1121" s="69" t="e" cm="1">
        <f t="array" ref="AC1121">_xlfn.XLOOKUP(Table1[[#This Row],[5 cm2 cell test code]:[5 cm2 cell test code]],[1]!Table1[[Test code]:[Test code]],[1]!Table1[Anode ICR/mOhm],"",0)</f>
        <v>#REF!</v>
      </c>
      <c r="AD1121" s="69" t="e" cm="1">
        <f t="array" ref="AD1121">_xlfn.XLOOKUP(Table1[[#This Row],[5 cm2 cell test code]:[5 cm2 cell test code]],[1]!Table1[[Test code]:[Test code]],[1]!Table1[HFR DIW/ mOhm cm2],"",0)</f>
        <v>#REF!</v>
      </c>
      <c r="AE1121" s="69" t="e" cm="1">
        <f t="array" ref="AE1121">_xlfn.XLOOKUP(Table1[[#This Row],[5 cm2 cell test code]:[5 cm2 cell test code]],[1]!Table1[[Test code]:[Test code]],[1]!Table1[HFR 10 mM KOH/ mOhm cm2],"",0)</f>
        <v>#REF!</v>
      </c>
      <c r="AF1121" s="69" t="e" cm="1">
        <f t="array" ref="AF1121">_xlfn.XLOOKUP(Table1[[#This Row],[5 cm2 cell test code]:[5 cm2 cell test code]],[1]!Table1[[Test code]:[Test code]],[1]!Table1[Ionic resistance DIW/Ohm cm2],"",0)</f>
        <v>#REF!</v>
      </c>
      <c r="AG1121" s="69" t="e" cm="1">
        <f t="array" ref="AG1121">_xlfn.XLOOKUP(Table1[[#This Row],[5 cm2 cell test code]:[5 cm2 cell test code]],[1]!Table1[[Test code]:[Test code]],[1]!Table1[Q_int_frac DIW],"",0)</f>
        <v>#REF!</v>
      </c>
      <c r="AH1121" s="69" t="e" cm="1">
        <f t="array" ref="AH1121">_xlfn.XLOOKUP(Table1[[#This Row],[5 cm2 cell test code]:[5 cm2 cell test code]],[1]!Table1[[Test code]:[Test code]],[1]!Table1[Ionic resistance 10 mM KOH/Ohm cm2],"",0)</f>
        <v>#REF!</v>
      </c>
      <c r="AI1121" s="69" t="e" cm="1">
        <f t="array" ref="AI1121">_xlfn.XLOOKUP(Table1[[#This Row],[5 cm2 cell test code]:[5 cm2 cell test code]],[1]!Table1[[Test code]:[Test code]],[1]!Table1[Q_int_frac DIW 10 mM KOH],"",0)</f>
        <v>#REF!</v>
      </c>
      <c r="AJ1121" s="69" t="e" cm="1">
        <f t="array" ref="AJ1121">_xlfn.XLOOKUP(Table1[[#This Row],[5 cm2 cell test code]:[5 cm2 cell test code]],[1]!Table1[[Test code]:[Test code]],[1]!Table1[DIW conductivity (µS/cm)],"",0)</f>
        <v>#REF!</v>
      </c>
    </row>
    <row r="1122" spans="1:36">
      <c r="A1122" s="81"/>
      <c r="U1122" s="101"/>
      <c r="V1122" s="101"/>
      <c r="W1122" s="69" t="e" cm="1">
        <f t="array" ref="W1122">_xlfn.XLOOKUP(Table1[[#This Row],[5 cm2 cell test code]:[5 cm2 cell test code]],[1]!Table1[[Test code]:[Test code]],[1]!Table1[i @ 1.8 V DIW (A/cm2)],"",0)</f>
        <v>#REF!</v>
      </c>
      <c r="X1122" s="69" t="e" cm="1">
        <f t="array" ref="X1122">_xlfn.XLOOKUP(Table1[[#This Row],[5 cm2 cell test code]:[5 cm2 cell test code]],[1]!Table1[[Test code]:[Test code]],[1]!Table1[i @ 1.8 V 10 mM KOH (A/cm2)],"",0)</f>
        <v>#REF!</v>
      </c>
      <c r="Y1122" s="69" t="e" cm="1">
        <f t="array" ref="Y1122">_xlfn.XLOOKUP(Table1[[#This Row],[5 cm2 cell test code]:[5 cm2 cell test code]],[1]!Table1[[Test code]:[Test code]],[1]!Table1[3-E ƞ at 20mAcm-2 (mV)],"",0)</f>
        <v>#REF!</v>
      </c>
      <c r="Z1122" s="69" t="e" cm="1">
        <f t="array" ref="Z1122">_xlfn.XLOOKUP(Table1[[#This Row],[5 cm2 cell test code]:[5 cm2 cell test code]],[1]!Table1[[Test code]:[Test code]],[1]!Table1[3-E Tafel slope (mV/dec)],"",0)</f>
        <v>#REF!</v>
      </c>
      <c r="AA1122" s="69" t="e" cm="1">
        <f t="array" ref="AA1122">_xlfn.XLOOKUP(Table1[[#This Row],[5 cm2 cell test code]:[5 cm2 cell test code]],[1]!Table1[[Test code]:[Test code]],[1]!Table1[E @ 100 mA/cm2 DIW/V],"",0)</f>
        <v>#REF!</v>
      </c>
      <c r="AB1122" s="69" t="e" cm="1">
        <f t="array" ref="AB1122">_xlfn.XLOOKUP(Table1[[#This Row],[5 cm2 cell test code]:[5 cm2 cell test code]],[1]!Table1[[Test code]:[Test code]],[1]!Table1[E @ 100 mA/cm2 10 mM KOH/V],"",0)</f>
        <v>#REF!</v>
      </c>
      <c r="AC1122" s="69" t="e" cm="1">
        <f t="array" ref="AC1122">_xlfn.XLOOKUP(Table1[[#This Row],[5 cm2 cell test code]:[5 cm2 cell test code]],[1]!Table1[[Test code]:[Test code]],[1]!Table1[Anode ICR/mOhm],"",0)</f>
        <v>#REF!</v>
      </c>
      <c r="AD1122" s="69" t="e" cm="1">
        <f t="array" ref="AD1122">_xlfn.XLOOKUP(Table1[[#This Row],[5 cm2 cell test code]:[5 cm2 cell test code]],[1]!Table1[[Test code]:[Test code]],[1]!Table1[HFR DIW/ mOhm cm2],"",0)</f>
        <v>#REF!</v>
      </c>
      <c r="AE1122" s="69" t="e" cm="1">
        <f t="array" ref="AE1122">_xlfn.XLOOKUP(Table1[[#This Row],[5 cm2 cell test code]:[5 cm2 cell test code]],[1]!Table1[[Test code]:[Test code]],[1]!Table1[HFR 10 mM KOH/ mOhm cm2],"",0)</f>
        <v>#REF!</v>
      </c>
      <c r="AF1122" s="69" t="e" cm="1">
        <f t="array" ref="AF1122">_xlfn.XLOOKUP(Table1[[#This Row],[5 cm2 cell test code]:[5 cm2 cell test code]],[1]!Table1[[Test code]:[Test code]],[1]!Table1[Ionic resistance DIW/Ohm cm2],"",0)</f>
        <v>#REF!</v>
      </c>
      <c r="AG1122" s="69" t="e" cm="1">
        <f t="array" ref="AG1122">_xlfn.XLOOKUP(Table1[[#This Row],[5 cm2 cell test code]:[5 cm2 cell test code]],[1]!Table1[[Test code]:[Test code]],[1]!Table1[Q_int_frac DIW],"",0)</f>
        <v>#REF!</v>
      </c>
      <c r="AH1122" s="69" t="e" cm="1">
        <f t="array" ref="AH1122">_xlfn.XLOOKUP(Table1[[#This Row],[5 cm2 cell test code]:[5 cm2 cell test code]],[1]!Table1[[Test code]:[Test code]],[1]!Table1[Ionic resistance 10 mM KOH/Ohm cm2],"",0)</f>
        <v>#REF!</v>
      </c>
      <c r="AI1122" s="69" t="e" cm="1">
        <f t="array" ref="AI1122">_xlfn.XLOOKUP(Table1[[#This Row],[5 cm2 cell test code]:[5 cm2 cell test code]],[1]!Table1[[Test code]:[Test code]],[1]!Table1[Q_int_frac DIW 10 mM KOH],"",0)</f>
        <v>#REF!</v>
      </c>
      <c r="AJ1122" s="69" t="e" cm="1">
        <f t="array" ref="AJ1122">_xlfn.XLOOKUP(Table1[[#This Row],[5 cm2 cell test code]:[5 cm2 cell test code]],[1]!Table1[[Test code]:[Test code]],[1]!Table1[DIW conductivity (µS/cm)],"",0)</f>
        <v>#REF!</v>
      </c>
    </row>
    <row r="1123" spans="1:36">
      <c r="A1123" s="81"/>
      <c r="U1123" s="101"/>
      <c r="V1123" s="101"/>
      <c r="W1123" s="69" t="e" cm="1">
        <f t="array" ref="W1123">_xlfn.XLOOKUP(Table1[[#This Row],[5 cm2 cell test code]:[5 cm2 cell test code]],[1]!Table1[[Test code]:[Test code]],[1]!Table1[i @ 1.8 V DIW (A/cm2)],"",0)</f>
        <v>#REF!</v>
      </c>
      <c r="X1123" s="69" t="e" cm="1">
        <f t="array" ref="X1123">_xlfn.XLOOKUP(Table1[[#This Row],[5 cm2 cell test code]:[5 cm2 cell test code]],[1]!Table1[[Test code]:[Test code]],[1]!Table1[i @ 1.8 V 10 mM KOH (A/cm2)],"",0)</f>
        <v>#REF!</v>
      </c>
      <c r="Y1123" s="69" t="e" cm="1">
        <f t="array" ref="Y1123">_xlfn.XLOOKUP(Table1[[#This Row],[5 cm2 cell test code]:[5 cm2 cell test code]],[1]!Table1[[Test code]:[Test code]],[1]!Table1[3-E ƞ at 20mAcm-2 (mV)],"",0)</f>
        <v>#REF!</v>
      </c>
      <c r="Z1123" s="69" t="e" cm="1">
        <f t="array" ref="Z1123">_xlfn.XLOOKUP(Table1[[#This Row],[5 cm2 cell test code]:[5 cm2 cell test code]],[1]!Table1[[Test code]:[Test code]],[1]!Table1[3-E Tafel slope (mV/dec)],"",0)</f>
        <v>#REF!</v>
      </c>
      <c r="AA1123" s="69" t="e" cm="1">
        <f t="array" ref="AA1123">_xlfn.XLOOKUP(Table1[[#This Row],[5 cm2 cell test code]:[5 cm2 cell test code]],[1]!Table1[[Test code]:[Test code]],[1]!Table1[E @ 100 mA/cm2 DIW/V],"",0)</f>
        <v>#REF!</v>
      </c>
      <c r="AB1123" s="69" t="e" cm="1">
        <f t="array" ref="AB1123">_xlfn.XLOOKUP(Table1[[#This Row],[5 cm2 cell test code]:[5 cm2 cell test code]],[1]!Table1[[Test code]:[Test code]],[1]!Table1[E @ 100 mA/cm2 10 mM KOH/V],"",0)</f>
        <v>#REF!</v>
      </c>
      <c r="AC1123" s="69" t="e" cm="1">
        <f t="array" ref="AC1123">_xlfn.XLOOKUP(Table1[[#This Row],[5 cm2 cell test code]:[5 cm2 cell test code]],[1]!Table1[[Test code]:[Test code]],[1]!Table1[Anode ICR/mOhm],"",0)</f>
        <v>#REF!</v>
      </c>
      <c r="AD1123" s="69" t="e" cm="1">
        <f t="array" ref="AD1123">_xlfn.XLOOKUP(Table1[[#This Row],[5 cm2 cell test code]:[5 cm2 cell test code]],[1]!Table1[[Test code]:[Test code]],[1]!Table1[HFR DIW/ mOhm cm2],"",0)</f>
        <v>#REF!</v>
      </c>
      <c r="AE1123" s="69" t="e" cm="1">
        <f t="array" ref="AE1123">_xlfn.XLOOKUP(Table1[[#This Row],[5 cm2 cell test code]:[5 cm2 cell test code]],[1]!Table1[[Test code]:[Test code]],[1]!Table1[HFR 10 mM KOH/ mOhm cm2],"",0)</f>
        <v>#REF!</v>
      </c>
      <c r="AF1123" s="69" t="e" cm="1">
        <f t="array" ref="AF1123">_xlfn.XLOOKUP(Table1[[#This Row],[5 cm2 cell test code]:[5 cm2 cell test code]],[1]!Table1[[Test code]:[Test code]],[1]!Table1[Ionic resistance DIW/Ohm cm2],"",0)</f>
        <v>#REF!</v>
      </c>
      <c r="AG1123" s="69" t="e" cm="1">
        <f t="array" ref="AG1123">_xlfn.XLOOKUP(Table1[[#This Row],[5 cm2 cell test code]:[5 cm2 cell test code]],[1]!Table1[[Test code]:[Test code]],[1]!Table1[Q_int_frac DIW],"",0)</f>
        <v>#REF!</v>
      </c>
      <c r="AH1123" s="69" t="e" cm="1">
        <f t="array" ref="AH1123">_xlfn.XLOOKUP(Table1[[#This Row],[5 cm2 cell test code]:[5 cm2 cell test code]],[1]!Table1[[Test code]:[Test code]],[1]!Table1[Ionic resistance 10 mM KOH/Ohm cm2],"",0)</f>
        <v>#REF!</v>
      </c>
      <c r="AI1123" s="69" t="e" cm="1">
        <f t="array" ref="AI1123">_xlfn.XLOOKUP(Table1[[#This Row],[5 cm2 cell test code]:[5 cm2 cell test code]],[1]!Table1[[Test code]:[Test code]],[1]!Table1[Q_int_frac DIW 10 mM KOH],"",0)</f>
        <v>#REF!</v>
      </c>
      <c r="AJ1123" s="69" t="e" cm="1">
        <f t="array" ref="AJ1123">_xlfn.XLOOKUP(Table1[[#This Row],[5 cm2 cell test code]:[5 cm2 cell test code]],[1]!Table1[[Test code]:[Test code]],[1]!Table1[DIW conductivity (µS/cm)],"",0)</f>
        <v>#REF!</v>
      </c>
    </row>
    <row r="1124" spans="1:36">
      <c r="A1124" s="81"/>
      <c r="U1124" s="101"/>
      <c r="V1124" s="101"/>
      <c r="W1124" s="69" t="e" cm="1">
        <f t="array" ref="W1124">_xlfn.XLOOKUP(Table1[[#This Row],[5 cm2 cell test code]:[5 cm2 cell test code]],[1]!Table1[[Test code]:[Test code]],[1]!Table1[i @ 1.8 V DIW (A/cm2)],"",0)</f>
        <v>#REF!</v>
      </c>
      <c r="X1124" s="69" t="e" cm="1">
        <f t="array" ref="X1124">_xlfn.XLOOKUP(Table1[[#This Row],[5 cm2 cell test code]:[5 cm2 cell test code]],[1]!Table1[[Test code]:[Test code]],[1]!Table1[i @ 1.8 V 10 mM KOH (A/cm2)],"",0)</f>
        <v>#REF!</v>
      </c>
      <c r="Y1124" s="69" t="e" cm="1">
        <f t="array" ref="Y1124">_xlfn.XLOOKUP(Table1[[#This Row],[5 cm2 cell test code]:[5 cm2 cell test code]],[1]!Table1[[Test code]:[Test code]],[1]!Table1[3-E ƞ at 20mAcm-2 (mV)],"",0)</f>
        <v>#REF!</v>
      </c>
      <c r="Z1124" s="69" t="e" cm="1">
        <f t="array" ref="Z1124">_xlfn.XLOOKUP(Table1[[#This Row],[5 cm2 cell test code]:[5 cm2 cell test code]],[1]!Table1[[Test code]:[Test code]],[1]!Table1[3-E Tafel slope (mV/dec)],"",0)</f>
        <v>#REF!</v>
      </c>
      <c r="AA1124" s="69" t="e" cm="1">
        <f t="array" ref="AA1124">_xlfn.XLOOKUP(Table1[[#This Row],[5 cm2 cell test code]:[5 cm2 cell test code]],[1]!Table1[[Test code]:[Test code]],[1]!Table1[E @ 100 mA/cm2 DIW/V],"",0)</f>
        <v>#REF!</v>
      </c>
      <c r="AB1124" s="69" t="e" cm="1">
        <f t="array" ref="AB1124">_xlfn.XLOOKUP(Table1[[#This Row],[5 cm2 cell test code]:[5 cm2 cell test code]],[1]!Table1[[Test code]:[Test code]],[1]!Table1[E @ 100 mA/cm2 10 mM KOH/V],"",0)</f>
        <v>#REF!</v>
      </c>
      <c r="AC1124" s="69" t="e" cm="1">
        <f t="array" ref="AC1124">_xlfn.XLOOKUP(Table1[[#This Row],[5 cm2 cell test code]:[5 cm2 cell test code]],[1]!Table1[[Test code]:[Test code]],[1]!Table1[Anode ICR/mOhm],"",0)</f>
        <v>#REF!</v>
      </c>
      <c r="AD1124" s="69" t="e" cm="1">
        <f t="array" ref="AD1124">_xlfn.XLOOKUP(Table1[[#This Row],[5 cm2 cell test code]:[5 cm2 cell test code]],[1]!Table1[[Test code]:[Test code]],[1]!Table1[HFR DIW/ mOhm cm2],"",0)</f>
        <v>#REF!</v>
      </c>
      <c r="AE1124" s="69" t="e" cm="1">
        <f t="array" ref="AE1124">_xlfn.XLOOKUP(Table1[[#This Row],[5 cm2 cell test code]:[5 cm2 cell test code]],[1]!Table1[[Test code]:[Test code]],[1]!Table1[HFR 10 mM KOH/ mOhm cm2],"",0)</f>
        <v>#REF!</v>
      </c>
      <c r="AF1124" s="69" t="e" cm="1">
        <f t="array" ref="AF1124">_xlfn.XLOOKUP(Table1[[#This Row],[5 cm2 cell test code]:[5 cm2 cell test code]],[1]!Table1[[Test code]:[Test code]],[1]!Table1[Ionic resistance DIW/Ohm cm2],"",0)</f>
        <v>#REF!</v>
      </c>
      <c r="AG1124" s="69" t="e" cm="1">
        <f t="array" ref="AG1124">_xlfn.XLOOKUP(Table1[[#This Row],[5 cm2 cell test code]:[5 cm2 cell test code]],[1]!Table1[[Test code]:[Test code]],[1]!Table1[Q_int_frac DIW],"",0)</f>
        <v>#REF!</v>
      </c>
      <c r="AH1124" s="69" t="e" cm="1">
        <f t="array" ref="AH1124">_xlfn.XLOOKUP(Table1[[#This Row],[5 cm2 cell test code]:[5 cm2 cell test code]],[1]!Table1[[Test code]:[Test code]],[1]!Table1[Ionic resistance 10 mM KOH/Ohm cm2],"",0)</f>
        <v>#REF!</v>
      </c>
      <c r="AI1124" s="69" t="e" cm="1">
        <f t="array" ref="AI1124">_xlfn.XLOOKUP(Table1[[#This Row],[5 cm2 cell test code]:[5 cm2 cell test code]],[1]!Table1[[Test code]:[Test code]],[1]!Table1[Q_int_frac DIW 10 mM KOH],"",0)</f>
        <v>#REF!</v>
      </c>
      <c r="AJ1124" s="69" t="e" cm="1">
        <f t="array" ref="AJ1124">_xlfn.XLOOKUP(Table1[[#This Row],[5 cm2 cell test code]:[5 cm2 cell test code]],[1]!Table1[[Test code]:[Test code]],[1]!Table1[DIW conductivity (µS/cm)],"",0)</f>
        <v>#REF!</v>
      </c>
    </row>
    <row r="1125" spans="1:36">
      <c r="A1125" s="81"/>
      <c r="U1125" s="101"/>
      <c r="V1125" s="101"/>
      <c r="W1125" s="69" t="e" cm="1">
        <f t="array" ref="W1125">_xlfn.XLOOKUP(Table1[[#This Row],[5 cm2 cell test code]:[5 cm2 cell test code]],[1]!Table1[[Test code]:[Test code]],[1]!Table1[i @ 1.8 V DIW (A/cm2)],"",0)</f>
        <v>#REF!</v>
      </c>
      <c r="X1125" s="69" t="e" cm="1">
        <f t="array" ref="X1125">_xlfn.XLOOKUP(Table1[[#This Row],[5 cm2 cell test code]:[5 cm2 cell test code]],[1]!Table1[[Test code]:[Test code]],[1]!Table1[i @ 1.8 V 10 mM KOH (A/cm2)],"",0)</f>
        <v>#REF!</v>
      </c>
      <c r="Y1125" s="69" t="e" cm="1">
        <f t="array" ref="Y1125">_xlfn.XLOOKUP(Table1[[#This Row],[5 cm2 cell test code]:[5 cm2 cell test code]],[1]!Table1[[Test code]:[Test code]],[1]!Table1[3-E ƞ at 20mAcm-2 (mV)],"",0)</f>
        <v>#REF!</v>
      </c>
      <c r="Z1125" s="69" t="e" cm="1">
        <f t="array" ref="Z1125">_xlfn.XLOOKUP(Table1[[#This Row],[5 cm2 cell test code]:[5 cm2 cell test code]],[1]!Table1[[Test code]:[Test code]],[1]!Table1[3-E Tafel slope (mV/dec)],"",0)</f>
        <v>#REF!</v>
      </c>
      <c r="AA1125" s="69" t="e" cm="1">
        <f t="array" ref="AA1125">_xlfn.XLOOKUP(Table1[[#This Row],[5 cm2 cell test code]:[5 cm2 cell test code]],[1]!Table1[[Test code]:[Test code]],[1]!Table1[E @ 100 mA/cm2 DIW/V],"",0)</f>
        <v>#REF!</v>
      </c>
      <c r="AB1125" s="69" t="e" cm="1">
        <f t="array" ref="AB1125">_xlfn.XLOOKUP(Table1[[#This Row],[5 cm2 cell test code]:[5 cm2 cell test code]],[1]!Table1[[Test code]:[Test code]],[1]!Table1[E @ 100 mA/cm2 10 mM KOH/V],"",0)</f>
        <v>#REF!</v>
      </c>
      <c r="AC1125" s="69" t="e" cm="1">
        <f t="array" ref="AC1125">_xlfn.XLOOKUP(Table1[[#This Row],[5 cm2 cell test code]:[5 cm2 cell test code]],[1]!Table1[[Test code]:[Test code]],[1]!Table1[Anode ICR/mOhm],"",0)</f>
        <v>#REF!</v>
      </c>
      <c r="AD1125" s="69" t="e" cm="1">
        <f t="array" ref="AD1125">_xlfn.XLOOKUP(Table1[[#This Row],[5 cm2 cell test code]:[5 cm2 cell test code]],[1]!Table1[[Test code]:[Test code]],[1]!Table1[HFR DIW/ mOhm cm2],"",0)</f>
        <v>#REF!</v>
      </c>
      <c r="AE1125" s="69" t="e" cm="1">
        <f t="array" ref="AE1125">_xlfn.XLOOKUP(Table1[[#This Row],[5 cm2 cell test code]:[5 cm2 cell test code]],[1]!Table1[[Test code]:[Test code]],[1]!Table1[HFR 10 mM KOH/ mOhm cm2],"",0)</f>
        <v>#REF!</v>
      </c>
      <c r="AF1125" s="69" t="e" cm="1">
        <f t="array" ref="AF1125">_xlfn.XLOOKUP(Table1[[#This Row],[5 cm2 cell test code]:[5 cm2 cell test code]],[1]!Table1[[Test code]:[Test code]],[1]!Table1[Ionic resistance DIW/Ohm cm2],"",0)</f>
        <v>#REF!</v>
      </c>
      <c r="AG1125" s="69" t="e" cm="1">
        <f t="array" ref="AG1125">_xlfn.XLOOKUP(Table1[[#This Row],[5 cm2 cell test code]:[5 cm2 cell test code]],[1]!Table1[[Test code]:[Test code]],[1]!Table1[Q_int_frac DIW],"",0)</f>
        <v>#REF!</v>
      </c>
      <c r="AH1125" s="69" t="e" cm="1">
        <f t="array" ref="AH1125">_xlfn.XLOOKUP(Table1[[#This Row],[5 cm2 cell test code]:[5 cm2 cell test code]],[1]!Table1[[Test code]:[Test code]],[1]!Table1[Ionic resistance 10 mM KOH/Ohm cm2],"",0)</f>
        <v>#REF!</v>
      </c>
      <c r="AI1125" s="69" t="e" cm="1">
        <f t="array" ref="AI1125">_xlfn.XLOOKUP(Table1[[#This Row],[5 cm2 cell test code]:[5 cm2 cell test code]],[1]!Table1[[Test code]:[Test code]],[1]!Table1[Q_int_frac DIW 10 mM KOH],"",0)</f>
        <v>#REF!</v>
      </c>
      <c r="AJ1125" s="69" t="e" cm="1">
        <f t="array" ref="AJ1125">_xlfn.XLOOKUP(Table1[[#This Row],[5 cm2 cell test code]:[5 cm2 cell test code]],[1]!Table1[[Test code]:[Test code]],[1]!Table1[DIW conductivity (µS/cm)],"",0)</f>
        <v>#REF!</v>
      </c>
    </row>
    <row r="1126" spans="1:36">
      <c r="A1126" s="81"/>
      <c r="U1126" s="101"/>
      <c r="V1126" s="101"/>
      <c r="W1126" s="69" t="e" cm="1">
        <f t="array" ref="W1126">_xlfn.XLOOKUP(Table1[[#This Row],[5 cm2 cell test code]:[5 cm2 cell test code]],[1]!Table1[[Test code]:[Test code]],[1]!Table1[i @ 1.8 V DIW (A/cm2)],"",0)</f>
        <v>#REF!</v>
      </c>
      <c r="X1126" s="69" t="e" cm="1">
        <f t="array" ref="X1126">_xlfn.XLOOKUP(Table1[[#This Row],[5 cm2 cell test code]:[5 cm2 cell test code]],[1]!Table1[[Test code]:[Test code]],[1]!Table1[i @ 1.8 V 10 mM KOH (A/cm2)],"",0)</f>
        <v>#REF!</v>
      </c>
      <c r="Y1126" s="69" t="e" cm="1">
        <f t="array" ref="Y1126">_xlfn.XLOOKUP(Table1[[#This Row],[5 cm2 cell test code]:[5 cm2 cell test code]],[1]!Table1[[Test code]:[Test code]],[1]!Table1[3-E ƞ at 20mAcm-2 (mV)],"",0)</f>
        <v>#REF!</v>
      </c>
      <c r="Z1126" s="69" t="e" cm="1">
        <f t="array" ref="Z1126">_xlfn.XLOOKUP(Table1[[#This Row],[5 cm2 cell test code]:[5 cm2 cell test code]],[1]!Table1[[Test code]:[Test code]],[1]!Table1[3-E Tafel slope (mV/dec)],"",0)</f>
        <v>#REF!</v>
      </c>
      <c r="AA1126" s="69" t="e" cm="1">
        <f t="array" ref="AA1126">_xlfn.XLOOKUP(Table1[[#This Row],[5 cm2 cell test code]:[5 cm2 cell test code]],[1]!Table1[[Test code]:[Test code]],[1]!Table1[E @ 100 mA/cm2 DIW/V],"",0)</f>
        <v>#REF!</v>
      </c>
      <c r="AB1126" s="69" t="e" cm="1">
        <f t="array" ref="AB1126">_xlfn.XLOOKUP(Table1[[#This Row],[5 cm2 cell test code]:[5 cm2 cell test code]],[1]!Table1[[Test code]:[Test code]],[1]!Table1[E @ 100 mA/cm2 10 mM KOH/V],"",0)</f>
        <v>#REF!</v>
      </c>
      <c r="AC1126" s="69" t="e" cm="1">
        <f t="array" ref="AC1126">_xlfn.XLOOKUP(Table1[[#This Row],[5 cm2 cell test code]:[5 cm2 cell test code]],[1]!Table1[[Test code]:[Test code]],[1]!Table1[Anode ICR/mOhm],"",0)</f>
        <v>#REF!</v>
      </c>
      <c r="AD1126" s="69" t="e" cm="1">
        <f t="array" ref="AD1126">_xlfn.XLOOKUP(Table1[[#This Row],[5 cm2 cell test code]:[5 cm2 cell test code]],[1]!Table1[[Test code]:[Test code]],[1]!Table1[HFR DIW/ mOhm cm2],"",0)</f>
        <v>#REF!</v>
      </c>
      <c r="AE1126" s="69" t="e" cm="1">
        <f t="array" ref="AE1126">_xlfn.XLOOKUP(Table1[[#This Row],[5 cm2 cell test code]:[5 cm2 cell test code]],[1]!Table1[[Test code]:[Test code]],[1]!Table1[HFR 10 mM KOH/ mOhm cm2],"",0)</f>
        <v>#REF!</v>
      </c>
      <c r="AF1126" s="69" t="e" cm="1">
        <f t="array" ref="AF1126">_xlfn.XLOOKUP(Table1[[#This Row],[5 cm2 cell test code]:[5 cm2 cell test code]],[1]!Table1[[Test code]:[Test code]],[1]!Table1[Ionic resistance DIW/Ohm cm2],"",0)</f>
        <v>#REF!</v>
      </c>
      <c r="AG1126" s="69" t="e" cm="1">
        <f t="array" ref="AG1126">_xlfn.XLOOKUP(Table1[[#This Row],[5 cm2 cell test code]:[5 cm2 cell test code]],[1]!Table1[[Test code]:[Test code]],[1]!Table1[Q_int_frac DIW],"",0)</f>
        <v>#REF!</v>
      </c>
      <c r="AH1126" s="69" t="e" cm="1">
        <f t="array" ref="AH1126">_xlfn.XLOOKUP(Table1[[#This Row],[5 cm2 cell test code]:[5 cm2 cell test code]],[1]!Table1[[Test code]:[Test code]],[1]!Table1[Ionic resistance 10 mM KOH/Ohm cm2],"",0)</f>
        <v>#REF!</v>
      </c>
      <c r="AI1126" s="69" t="e" cm="1">
        <f t="array" ref="AI1126">_xlfn.XLOOKUP(Table1[[#This Row],[5 cm2 cell test code]:[5 cm2 cell test code]],[1]!Table1[[Test code]:[Test code]],[1]!Table1[Q_int_frac DIW 10 mM KOH],"",0)</f>
        <v>#REF!</v>
      </c>
      <c r="AJ1126" s="69" t="e" cm="1">
        <f t="array" ref="AJ1126">_xlfn.XLOOKUP(Table1[[#This Row],[5 cm2 cell test code]:[5 cm2 cell test code]],[1]!Table1[[Test code]:[Test code]],[1]!Table1[DIW conductivity (µS/cm)],"",0)</f>
        <v>#REF!</v>
      </c>
    </row>
    <row r="1127" spans="1:36">
      <c r="A1127" s="81"/>
      <c r="U1127" s="101"/>
      <c r="V1127" s="101"/>
      <c r="W1127" s="69" t="e" cm="1">
        <f t="array" ref="W1127">_xlfn.XLOOKUP(Table1[[#This Row],[5 cm2 cell test code]:[5 cm2 cell test code]],[1]!Table1[[Test code]:[Test code]],[1]!Table1[i @ 1.8 V DIW (A/cm2)],"",0)</f>
        <v>#REF!</v>
      </c>
      <c r="X1127" s="69" t="e" cm="1">
        <f t="array" ref="X1127">_xlfn.XLOOKUP(Table1[[#This Row],[5 cm2 cell test code]:[5 cm2 cell test code]],[1]!Table1[[Test code]:[Test code]],[1]!Table1[i @ 1.8 V 10 mM KOH (A/cm2)],"",0)</f>
        <v>#REF!</v>
      </c>
      <c r="Y1127" s="69" t="e" cm="1">
        <f t="array" ref="Y1127">_xlfn.XLOOKUP(Table1[[#This Row],[5 cm2 cell test code]:[5 cm2 cell test code]],[1]!Table1[[Test code]:[Test code]],[1]!Table1[3-E ƞ at 20mAcm-2 (mV)],"",0)</f>
        <v>#REF!</v>
      </c>
      <c r="Z1127" s="69" t="e" cm="1">
        <f t="array" ref="Z1127">_xlfn.XLOOKUP(Table1[[#This Row],[5 cm2 cell test code]:[5 cm2 cell test code]],[1]!Table1[[Test code]:[Test code]],[1]!Table1[3-E Tafel slope (mV/dec)],"",0)</f>
        <v>#REF!</v>
      </c>
      <c r="AA1127" s="69" t="e" cm="1">
        <f t="array" ref="AA1127">_xlfn.XLOOKUP(Table1[[#This Row],[5 cm2 cell test code]:[5 cm2 cell test code]],[1]!Table1[[Test code]:[Test code]],[1]!Table1[E @ 100 mA/cm2 DIW/V],"",0)</f>
        <v>#REF!</v>
      </c>
      <c r="AB1127" s="69" t="e" cm="1">
        <f t="array" ref="AB1127">_xlfn.XLOOKUP(Table1[[#This Row],[5 cm2 cell test code]:[5 cm2 cell test code]],[1]!Table1[[Test code]:[Test code]],[1]!Table1[E @ 100 mA/cm2 10 mM KOH/V],"",0)</f>
        <v>#REF!</v>
      </c>
      <c r="AC1127" s="69" t="e" cm="1">
        <f t="array" ref="AC1127">_xlfn.XLOOKUP(Table1[[#This Row],[5 cm2 cell test code]:[5 cm2 cell test code]],[1]!Table1[[Test code]:[Test code]],[1]!Table1[Anode ICR/mOhm],"",0)</f>
        <v>#REF!</v>
      </c>
      <c r="AD1127" s="69" t="e" cm="1">
        <f t="array" ref="AD1127">_xlfn.XLOOKUP(Table1[[#This Row],[5 cm2 cell test code]:[5 cm2 cell test code]],[1]!Table1[[Test code]:[Test code]],[1]!Table1[HFR DIW/ mOhm cm2],"",0)</f>
        <v>#REF!</v>
      </c>
      <c r="AE1127" s="69" t="e" cm="1">
        <f t="array" ref="AE1127">_xlfn.XLOOKUP(Table1[[#This Row],[5 cm2 cell test code]:[5 cm2 cell test code]],[1]!Table1[[Test code]:[Test code]],[1]!Table1[HFR 10 mM KOH/ mOhm cm2],"",0)</f>
        <v>#REF!</v>
      </c>
      <c r="AF1127" s="69" t="e" cm="1">
        <f t="array" ref="AF1127">_xlfn.XLOOKUP(Table1[[#This Row],[5 cm2 cell test code]:[5 cm2 cell test code]],[1]!Table1[[Test code]:[Test code]],[1]!Table1[Ionic resistance DIW/Ohm cm2],"",0)</f>
        <v>#REF!</v>
      </c>
      <c r="AG1127" s="69" t="e" cm="1">
        <f t="array" ref="AG1127">_xlfn.XLOOKUP(Table1[[#This Row],[5 cm2 cell test code]:[5 cm2 cell test code]],[1]!Table1[[Test code]:[Test code]],[1]!Table1[Q_int_frac DIW],"",0)</f>
        <v>#REF!</v>
      </c>
      <c r="AH1127" s="69" t="e" cm="1">
        <f t="array" ref="AH1127">_xlfn.XLOOKUP(Table1[[#This Row],[5 cm2 cell test code]:[5 cm2 cell test code]],[1]!Table1[[Test code]:[Test code]],[1]!Table1[Ionic resistance 10 mM KOH/Ohm cm2],"",0)</f>
        <v>#REF!</v>
      </c>
      <c r="AI1127" s="69" t="e" cm="1">
        <f t="array" ref="AI1127">_xlfn.XLOOKUP(Table1[[#This Row],[5 cm2 cell test code]:[5 cm2 cell test code]],[1]!Table1[[Test code]:[Test code]],[1]!Table1[Q_int_frac DIW 10 mM KOH],"",0)</f>
        <v>#REF!</v>
      </c>
      <c r="AJ1127" s="69" t="e" cm="1">
        <f t="array" ref="AJ1127">_xlfn.XLOOKUP(Table1[[#This Row],[5 cm2 cell test code]:[5 cm2 cell test code]],[1]!Table1[[Test code]:[Test code]],[1]!Table1[DIW conductivity (µS/cm)],"",0)</f>
        <v>#REF!</v>
      </c>
    </row>
    <row r="1128" spans="1:36">
      <c r="A1128" s="81"/>
      <c r="U1128" s="101"/>
      <c r="V1128" s="101"/>
      <c r="W1128" s="69" t="e" cm="1">
        <f t="array" ref="W1128">_xlfn.XLOOKUP(Table1[[#This Row],[5 cm2 cell test code]:[5 cm2 cell test code]],[1]!Table1[[Test code]:[Test code]],[1]!Table1[i @ 1.8 V DIW (A/cm2)],"",0)</f>
        <v>#REF!</v>
      </c>
      <c r="X1128" s="69" t="e" cm="1">
        <f t="array" ref="X1128">_xlfn.XLOOKUP(Table1[[#This Row],[5 cm2 cell test code]:[5 cm2 cell test code]],[1]!Table1[[Test code]:[Test code]],[1]!Table1[i @ 1.8 V 10 mM KOH (A/cm2)],"",0)</f>
        <v>#REF!</v>
      </c>
      <c r="Y1128" s="69" t="e" cm="1">
        <f t="array" ref="Y1128">_xlfn.XLOOKUP(Table1[[#This Row],[5 cm2 cell test code]:[5 cm2 cell test code]],[1]!Table1[[Test code]:[Test code]],[1]!Table1[3-E ƞ at 20mAcm-2 (mV)],"",0)</f>
        <v>#REF!</v>
      </c>
      <c r="Z1128" s="69" t="e" cm="1">
        <f t="array" ref="Z1128">_xlfn.XLOOKUP(Table1[[#This Row],[5 cm2 cell test code]:[5 cm2 cell test code]],[1]!Table1[[Test code]:[Test code]],[1]!Table1[3-E Tafel slope (mV/dec)],"",0)</f>
        <v>#REF!</v>
      </c>
      <c r="AA1128" s="69" t="e" cm="1">
        <f t="array" ref="AA1128">_xlfn.XLOOKUP(Table1[[#This Row],[5 cm2 cell test code]:[5 cm2 cell test code]],[1]!Table1[[Test code]:[Test code]],[1]!Table1[E @ 100 mA/cm2 DIW/V],"",0)</f>
        <v>#REF!</v>
      </c>
      <c r="AB1128" s="69" t="e" cm="1">
        <f t="array" ref="AB1128">_xlfn.XLOOKUP(Table1[[#This Row],[5 cm2 cell test code]:[5 cm2 cell test code]],[1]!Table1[[Test code]:[Test code]],[1]!Table1[E @ 100 mA/cm2 10 mM KOH/V],"",0)</f>
        <v>#REF!</v>
      </c>
      <c r="AC1128" s="69" t="e" cm="1">
        <f t="array" ref="AC1128">_xlfn.XLOOKUP(Table1[[#This Row],[5 cm2 cell test code]:[5 cm2 cell test code]],[1]!Table1[[Test code]:[Test code]],[1]!Table1[Anode ICR/mOhm],"",0)</f>
        <v>#REF!</v>
      </c>
      <c r="AD1128" s="69" t="e" cm="1">
        <f t="array" ref="AD1128">_xlfn.XLOOKUP(Table1[[#This Row],[5 cm2 cell test code]:[5 cm2 cell test code]],[1]!Table1[[Test code]:[Test code]],[1]!Table1[HFR DIW/ mOhm cm2],"",0)</f>
        <v>#REF!</v>
      </c>
      <c r="AE1128" s="69" t="e" cm="1">
        <f t="array" ref="AE1128">_xlfn.XLOOKUP(Table1[[#This Row],[5 cm2 cell test code]:[5 cm2 cell test code]],[1]!Table1[[Test code]:[Test code]],[1]!Table1[HFR 10 mM KOH/ mOhm cm2],"",0)</f>
        <v>#REF!</v>
      </c>
      <c r="AF1128" s="69" t="e" cm="1">
        <f t="array" ref="AF1128">_xlfn.XLOOKUP(Table1[[#This Row],[5 cm2 cell test code]:[5 cm2 cell test code]],[1]!Table1[[Test code]:[Test code]],[1]!Table1[Ionic resistance DIW/Ohm cm2],"",0)</f>
        <v>#REF!</v>
      </c>
      <c r="AG1128" s="69" t="e" cm="1">
        <f t="array" ref="AG1128">_xlfn.XLOOKUP(Table1[[#This Row],[5 cm2 cell test code]:[5 cm2 cell test code]],[1]!Table1[[Test code]:[Test code]],[1]!Table1[Q_int_frac DIW],"",0)</f>
        <v>#REF!</v>
      </c>
      <c r="AH1128" s="69" t="e" cm="1">
        <f t="array" ref="AH1128">_xlfn.XLOOKUP(Table1[[#This Row],[5 cm2 cell test code]:[5 cm2 cell test code]],[1]!Table1[[Test code]:[Test code]],[1]!Table1[Ionic resistance 10 mM KOH/Ohm cm2],"",0)</f>
        <v>#REF!</v>
      </c>
      <c r="AI1128" s="69" t="e" cm="1">
        <f t="array" ref="AI1128">_xlfn.XLOOKUP(Table1[[#This Row],[5 cm2 cell test code]:[5 cm2 cell test code]],[1]!Table1[[Test code]:[Test code]],[1]!Table1[Q_int_frac DIW 10 mM KOH],"",0)</f>
        <v>#REF!</v>
      </c>
      <c r="AJ1128" s="69" t="e" cm="1">
        <f t="array" ref="AJ1128">_xlfn.XLOOKUP(Table1[[#This Row],[5 cm2 cell test code]:[5 cm2 cell test code]],[1]!Table1[[Test code]:[Test code]],[1]!Table1[DIW conductivity (µS/cm)],"",0)</f>
        <v>#REF!</v>
      </c>
    </row>
    <row r="1129" spans="1:36">
      <c r="A1129" s="81"/>
      <c r="U1129" s="101"/>
      <c r="V1129" s="101"/>
      <c r="W1129" s="69" t="e" cm="1">
        <f t="array" ref="W1129">_xlfn.XLOOKUP(Table1[[#This Row],[5 cm2 cell test code]:[5 cm2 cell test code]],[1]!Table1[[Test code]:[Test code]],[1]!Table1[i @ 1.8 V DIW (A/cm2)],"",0)</f>
        <v>#REF!</v>
      </c>
      <c r="X1129" s="69" t="e" cm="1">
        <f t="array" ref="X1129">_xlfn.XLOOKUP(Table1[[#This Row],[5 cm2 cell test code]:[5 cm2 cell test code]],[1]!Table1[[Test code]:[Test code]],[1]!Table1[i @ 1.8 V 10 mM KOH (A/cm2)],"",0)</f>
        <v>#REF!</v>
      </c>
      <c r="Y1129" s="69" t="e" cm="1">
        <f t="array" ref="Y1129">_xlfn.XLOOKUP(Table1[[#This Row],[5 cm2 cell test code]:[5 cm2 cell test code]],[1]!Table1[[Test code]:[Test code]],[1]!Table1[3-E ƞ at 20mAcm-2 (mV)],"",0)</f>
        <v>#REF!</v>
      </c>
      <c r="Z1129" s="69" t="e" cm="1">
        <f t="array" ref="Z1129">_xlfn.XLOOKUP(Table1[[#This Row],[5 cm2 cell test code]:[5 cm2 cell test code]],[1]!Table1[[Test code]:[Test code]],[1]!Table1[3-E Tafel slope (mV/dec)],"",0)</f>
        <v>#REF!</v>
      </c>
      <c r="AA1129" s="69" t="e" cm="1">
        <f t="array" ref="AA1129">_xlfn.XLOOKUP(Table1[[#This Row],[5 cm2 cell test code]:[5 cm2 cell test code]],[1]!Table1[[Test code]:[Test code]],[1]!Table1[E @ 100 mA/cm2 DIW/V],"",0)</f>
        <v>#REF!</v>
      </c>
      <c r="AB1129" s="69" t="e" cm="1">
        <f t="array" ref="AB1129">_xlfn.XLOOKUP(Table1[[#This Row],[5 cm2 cell test code]:[5 cm2 cell test code]],[1]!Table1[[Test code]:[Test code]],[1]!Table1[E @ 100 mA/cm2 10 mM KOH/V],"",0)</f>
        <v>#REF!</v>
      </c>
      <c r="AC1129" s="69" t="e" cm="1">
        <f t="array" ref="AC1129">_xlfn.XLOOKUP(Table1[[#This Row],[5 cm2 cell test code]:[5 cm2 cell test code]],[1]!Table1[[Test code]:[Test code]],[1]!Table1[Anode ICR/mOhm],"",0)</f>
        <v>#REF!</v>
      </c>
      <c r="AD1129" s="69" t="e" cm="1">
        <f t="array" ref="AD1129">_xlfn.XLOOKUP(Table1[[#This Row],[5 cm2 cell test code]:[5 cm2 cell test code]],[1]!Table1[[Test code]:[Test code]],[1]!Table1[HFR DIW/ mOhm cm2],"",0)</f>
        <v>#REF!</v>
      </c>
      <c r="AE1129" s="69" t="e" cm="1">
        <f t="array" ref="AE1129">_xlfn.XLOOKUP(Table1[[#This Row],[5 cm2 cell test code]:[5 cm2 cell test code]],[1]!Table1[[Test code]:[Test code]],[1]!Table1[HFR 10 mM KOH/ mOhm cm2],"",0)</f>
        <v>#REF!</v>
      </c>
      <c r="AF1129" s="69" t="e" cm="1">
        <f t="array" ref="AF1129">_xlfn.XLOOKUP(Table1[[#This Row],[5 cm2 cell test code]:[5 cm2 cell test code]],[1]!Table1[[Test code]:[Test code]],[1]!Table1[Ionic resistance DIW/Ohm cm2],"",0)</f>
        <v>#REF!</v>
      </c>
      <c r="AG1129" s="69" t="e" cm="1">
        <f t="array" ref="AG1129">_xlfn.XLOOKUP(Table1[[#This Row],[5 cm2 cell test code]:[5 cm2 cell test code]],[1]!Table1[[Test code]:[Test code]],[1]!Table1[Q_int_frac DIW],"",0)</f>
        <v>#REF!</v>
      </c>
      <c r="AH1129" s="69" t="e" cm="1">
        <f t="array" ref="AH1129">_xlfn.XLOOKUP(Table1[[#This Row],[5 cm2 cell test code]:[5 cm2 cell test code]],[1]!Table1[[Test code]:[Test code]],[1]!Table1[Ionic resistance 10 mM KOH/Ohm cm2],"",0)</f>
        <v>#REF!</v>
      </c>
      <c r="AI1129" s="69" t="e" cm="1">
        <f t="array" ref="AI1129">_xlfn.XLOOKUP(Table1[[#This Row],[5 cm2 cell test code]:[5 cm2 cell test code]],[1]!Table1[[Test code]:[Test code]],[1]!Table1[Q_int_frac DIW 10 mM KOH],"",0)</f>
        <v>#REF!</v>
      </c>
      <c r="AJ1129" s="69" t="e" cm="1">
        <f t="array" ref="AJ1129">_xlfn.XLOOKUP(Table1[[#This Row],[5 cm2 cell test code]:[5 cm2 cell test code]],[1]!Table1[[Test code]:[Test code]],[1]!Table1[DIW conductivity (µS/cm)],"",0)</f>
        <v>#REF!</v>
      </c>
    </row>
    <row r="1130" spans="1:36">
      <c r="A1130" s="81"/>
      <c r="U1130" s="101"/>
      <c r="V1130" s="101"/>
      <c r="W1130" s="69" t="e" cm="1">
        <f t="array" ref="W1130">_xlfn.XLOOKUP(Table1[[#This Row],[5 cm2 cell test code]:[5 cm2 cell test code]],[1]!Table1[[Test code]:[Test code]],[1]!Table1[i @ 1.8 V DIW (A/cm2)],"",0)</f>
        <v>#REF!</v>
      </c>
      <c r="X1130" s="69" t="e" cm="1">
        <f t="array" ref="X1130">_xlfn.XLOOKUP(Table1[[#This Row],[5 cm2 cell test code]:[5 cm2 cell test code]],[1]!Table1[[Test code]:[Test code]],[1]!Table1[i @ 1.8 V 10 mM KOH (A/cm2)],"",0)</f>
        <v>#REF!</v>
      </c>
      <c r="Y1130" s="69" t="e" cm="1">
        <f t="array" ref="Y1130">_xlfn.XLOOKUP(Table1[[#This Row],[5 cm2 cell test code]:[5 cm2 cell test code]],[1]!Table1[[Test code]:[Test code]],[1]!Table1[3-E ƞ at 20mAcm-2 (mV)],"",0)</f>
        <v>#REF!</v>
      </c>
      <c r="Z1130" s="69" t="e" cm="1">
        <f t="array" ref="Z1130">_xlfn.XLOOKUP(Table1[[#This Row],[5 cm2 cell test code]:[5 cm2 cell test code]],[1]!Table1[[Test code]:[Test code]],[1]!Table1[3-E Tafel slope (mV/dec)],"",0)</f>
        <v>#REF!</v>
      </c>
      <c r="AA1130" s="69" t="e" cm="1">
        <f t="array" ref="AA1130">_xlfn.XLOOKUP(Table1[[#This Row],[5 cm2 cell test code]:[5 cm2 cell test code]],[1]!Table1[[Test code]:[Test code]],[1]!Table1[E @ 100 mA/cm2 DIW/V],"",0)</f>
        <v>#REF!</v>
      </c>
      <c r="AB1130" s="69" t="e" cm="1">
        <f t="array" ref="AB1130">_xlfn.XLOOKUP(Table1[[#This Row],[5 cm2 cell test code]:[5 cm2 cell test code]],[1]!Table1[[Test code]:[Test code]],[1]!Table1[E @ 100 mA/cm2 10 mM KOH/V],"",0)</f>
        <v>#REF!</v>
      </c>
      <c r="AC1130" s="69" t="e" cm="1">
        <f t="array" ref="AC1130">_xlfn.XLOOKUP(Table1[[#This Row],[5 cm2 cell test code]:[5 cm2 cell test code]],[1]!Table1[[Test code]:[Test code]],[1]!Table1[Anode ICR/mOhm],"",0)</f>
        <v>#REF!</v>
      </c>
      <c r="AD1130" s="69" t="e" cm="1">
        <f t="array" ref="AD1130">_xlfn.XLOOKUP(Table1[[#This Row],[5 cm2 cell test code]:[5 cm2 cell test code]],[1]!Table1[[Test code]:[Test code]],[1]!Table1[HFR DIW/ mOhm cm2],"",0)</f>
        <v>#REF!</v>
      </c>
      <c r="AE1130" s="69" t="e" cm="1">
        <f t="array" ref="AE1130">_xlfn.XLOOKUP(Table1[[#This Row],[5 cm2 cell test code]:[5 cm2 cell test code]],[1]!Table1[[Test code]:[Test code]],[1]!Table1[HFR 10 mM KOH/ mOhm cm2],"",0)</f>
        <v>#REF!</v>
      </c>
      <c r="AF1130" s="69" t="e" cm="1">
        <f t="array" ref="AF1130">_xlfn.XLOOKUP(Table1[[#This Row],[5 cm2 cell test code]:[5 cm2 cell test code]],[1]!Table1[[Test code]:[Test code]],[1]!Table1[Ionic resistance DIW/Ohm cm2],"",0)</f>
        <v>#REF!</v>
      </c>
      <c r="AG1130" s="69" t="e" cm="1">
        <f t="array" ref="AG1130">_xlfn.XLOOKUP(Table1[[#This Row],[5 cm2 cell test code]:[5 cm2 cell test code]],[1]!Table1[[Test code]:[Test code]],[1]!Table1[Q_int_frac DIW],"",0)</f>
        <v>#REF!</v>
      </c>
      <c r="AH1130" s="69" t="e" cm="1">
        <f t="array" ref="AH1130">_xlfn.XLOOKUP(Table1[[#This Row],[5 cm2 cell test code]:[5 cm2 cell test code]],[1]!Table1[[Test code]:[Test code]],[1]!Table1[Ionic resistance 10 mM KOH/Ohm cm2],"",0)</f>
        <v>#REF!</v>
      </c>
      <c r="AI1130" s="69" t="e" cm="1">
        <f t="array" ref="AI1130">_xlfn.XLOOKUP(Table1[[#This Row],[5 cm2 cell test code]:[5 cm2 cell test code]],[1]!Table1[[Test code]:[Test code]],[1]!Table1[Q_int_frac DIW 10 mM KOH],"",0)</f>
        <v>#REF!</v>
      </c>
      <c r="AJ1130" s="69" t="e" cm="1">
        <f t="array" ref="AJ1130">_xlfn.XLOOKUP(Table1[[#This Row],[5 cm2 cell test code]:[5 cm2 cell test code]],[1]!Table1[[Test code]:[Test code]],[1]!Table1[DIW conductivity (µS/cm)],"",0)</f>
        <v>#REF!</v>
      </c>
    </row>
    <row r="1131" spans="1:36">
      <c r="A1131" s="81"/>
      <c r="U1131" s="101"/>
      <c r="V1131" s="101"/>
      <c r="W1131" s="69" t="e" cm="1">
        <f t="array" ref="W1131">_xlfn.XLOOKUP(Table1[[#This Row],[5 cm2 cell test code]:[5 cm2 cell test code]],[1]!Table1[[Test code]:[Test code]],[1]!Table1[i @ 1.8 V DIW (A/cm2)],"",0)</f>
        <v>#REF!</v>
      </c>
      <c r="X1131" s="69" t="e" cm="1">
        <f t="array" ref="X1131">_xlfn.XLOOKUP(Table1[[#This Row],[5 cm2 cell test code]:[5 cm2 cell test code]],[1]!Table1[[Test code]:[Test code]],[1]!Table1[i @ 1.8 V 10 mM KOH (A/cm2)],"",0)</f>
        <v>#REF!</v>
      </c>
      <c r="Y1131" s="69" t="e" cm="1">
        <f t="array" ref="Y1131">_xlfn.XLOOKUP(Table1[[#This Row],[5 cm2 cell test code]:[5 cm2 cell test code]],[1]!Table1[[Test code]:[Test code]],[1]!Table1[3-E ƞ at 20mAcm-2 (mV)],"",0)</f>
        <v>#REF!</v>
      </c>
      <c r="Z1131" s="69" t="e" cm="1">
        <f t="array" ref="Z1131">_xlfn.XLOOKUP(Table1[[#This Row],[5 cm2 cell test code]:[5 cm2 cell test code]],[1]!Table1[[Test code]:[Test code]],[1]!Table1[3-E Tafel slope (mV/dec)],"",0)</f>
        <v>#REF!</v>
      </c>
      <c r="AA1131" s="69" t="e" cm="1">
        <f t="array" ref="AA1131">_xlfn.XLOOKUP(Table1[[#This Row],[5 cm2 cell test code]:[5 cm2 cell test code]],[1]!Table1[[Test code]:[Test code]],[1]!Table1[E @ 100 mA/cm2 DIW/V],"",0)</f>
        <v>#REF!</v>
      </c>
      <c r="AB1131" s="69" t="e" cm="1">
        <f t="array" ref="AB1131">_xlfn.XLOOKUP(Table1[[#This Row],[5 cm2 cell test code]:[5 cm2 cell test code]],[1]!Table1[[Test code]:[Test code]],[1]!Table1[E @ 100 mA/cm2 10 mM KOH/V],"",0)</f>
        <v>#REF!</v>
      </c>
      <c r="AC1131" s="69" t="e" cm="1">
        <f t="array" ref="AC1131">_xlfn.XLOOKUP(Table1[[#This Row],[5 cm2 cell test code]:[5 cm2 cell test code]],[1]!Table1[[Test code]:[Test code]],[1]!Table1[Anode ICR/mOhm],"",0)</f>
        <v>#REF!</v>
      </c>
      <c r="AD1131" s="69" t="e" cm="1">
        <f t="array" ref="AD1131">_xlfn.XLOOKUP(Table1[[#This Row],[5 cm2 cell test code]:[5 cm2 cell test code]],[1]!Table1[[Test code]:[Test code]],[1]!Table1[HFR DIW/ mOhm cm2],"",0)</f>
        <v>#REF!</v>
      </c>
      <c r="AE1131" s="69" t="e" cm="1">
        <f t="array" ref="AE1131">_xlfn.XLOOKUP(Table1[[#This Row],[5 cm2 cell test code]:[5 cm2 cell test code]],[1]!Table1[[Test code]:[Test code]],[1]!Table1[HFR 10 mM KOH/ mOhm cm2],"",0)</f>
        <v>#REF!</v>
      </c>
      <c r="AF1131" s="69" t="e" cm="1">
        <f t="array" ref="AF1131">_xlfn.XLOOKUP(Table1[[#This Row],[5 cm2 cell test code]:[5 cm2 cell test code]],[1]!Table1[[Test code]:[Test code]],[1]!Table1[Ionic resistance DIW/Ohm cm2],"",0)</f>
        <v>#REF!</v>
      </c>
      <c r="AG1131" s="69" t="e" cm="1">
        <f t="array" ref="AG1131">_xlfn.XLOOKUP(Table1[[#This Row],[5 cm2 cell test code]:[5 cm2 cell test code]],[1]!Table1[[Test code]:[Test code]],[1]!Table1[Q_int_frac DIW],"",0)</f>
        <v>#REF!</v>
      </c>
      <c r="AH1131" s="69" t="e" cm="1">
        <f t="array" ref="AH1131">_xlfn.XLOOKUP(Table1[[#This Row],[5 cm2 cell test code]:[5 cm2 cell test code]],[1]!Table1[[Test code]:[Test code]],[1]!Table1[Ionic resistance 10 mM KOH/Ohm cm2],"",0)</f>
        <v>#REF!</v>
      </c>
      <c r="AI1131" s="69" t="e" cm="1">
        <f t="array" ref="AI1131">_xlfn.XLOOKUP(Table1[[#This Row],[5 cm2 cell test code]:[5 cm2 cell test code]],[1]!Table1[[Test code]:[Test code]],[1]!Table1[Q_int_frac DIW 10 mM KOH],"",0)</f>
        <v>#REF!</v>
      </c>
      <c r="AJ1131" s="69" t="e" cm="1">
        <f t="array" ref="AJ1131">_xlfn.XLOOKUP(Table1[[#This Row],[5 cm2 cell test code]:[5 cm2 cell test code]],[1]!Table1[[Test code]:[Test code]],[1]!Table1[DIW conductivity (µS/cm)],"",0)</f>
        <v>#REF!</v>
      </c>
    </row>
    <row r="1132" spans="1:36">
      <c r="A1132" s="81"/>
      <c r="U1132" s="101"/>
      <c r="V1132" s="101"/>
      <c r="W1132" s="69" t="e" cm="1">
        <f t="array" ref="W1132">_xlfn.XLOOKUP(Table1[[#This Row],[5 cm2 cell test code]:[5 cm2 cell test code]],[1]!Table1[[Test code]:[Test code]],[1]!Table1[i @ 1.8 V DIW (A/cm2)],"",0)</f>
        <v>#REF!</v>
      </c>
      <c r="X1132" s="69" t="e" cm="1">
        <f t="array" ref="X1132">_xlfn.XLOOKUP(Table1[[#This Row],[5 cm2 cell test code]:[5 cm2 cell test code]],[1]!Table1[[Test code]:[Test code]],[1]!Table1[i @ 1.8 V 10 mM KOH (A/cm2)],"",0)</f>
        <v>#REF!</v>
      </c>
      <c r="Y1132" s="69" t="e" cm="1">
        <f t="array" ref="Y1132">_xlfn.XLOOKUP(Table1[[#This Row],[5 cm2 cell test code]:[5 cm2 cell test code]],[1]!Table1[[Test code]:[Test code]],[1]!Table1[3-E ƞ at 20mAcm-2 (mV)],"",0)</f>
        <v>#REF!</v>
      </c>
      <c r="Z1132" s="69" t="e" cm="1">
        <f t="array" ref="Z1132">_xlfn.XLOOKUP(Table1[[#This Row],[5 cm2 cell test code]:[5 cm2 cell test code]],[1]!Table1[[Test code]:[Test code]],[1]!Table1[3-E Tafel slope (mV/dec)],"",0)</f>
        <v>#REF!</v>
      </c>
      <c r="AA1132" s="69" t="e" cm="1">
        <f t="array" ref="AA1132">_xlfn.XLOOKUP(Table1[[#This Row],[5 cm2 cell test code]:[5 cm2 cell test code]],[1]!Table1[[Test code]:[Test code]],[1]!Table1[E @ 100 mA/cm2 DIW/V],"",0)</f>
        <v>#REF!</v>
      </c>
      <c r="AB1132" s="69" t="e" cm="1">
        <f t="array" ref="AB1132">_xlfn.XLOOKUP(Table1[[#This Row],[5 cm2 cell test code]:[5 cm2 cell test code]],[1]!Table1[[Test code]:[Test code]],[1]!Table1[E @ 100 mA/cm2 10 mM KOH/V],"",0)</f>
        <v>#REF!</v>
      </c>
      <c r="AC1132" s="69" t="e" cm="1">
        <f t="array" ref="AC1132">_xlfn.XLOOKUP(Table1[[#This Row],[5 cm2 cell test code]:[5 cm2 cell test code]],[1]!Table1[[Test code]:[Test code]],[1]!Table1[Anode ICR/mOhm],"",0)</f>
        <v>#REF!</v>
      </c>
      <c r="AD1132" s="69" t="e" cm="1">
        <f t="array" ref="AD1132">_xlfn.XLOOKUP(Table1[[#This Row],[5 cm2 cell test code]:[5 cm2 cell test code]],[1]!Table1[[Test code]:[Test code]],[1]!Table1[HFR DIW/ mOhm cm2],"",0)</f>
        <v>#REF!</v>
      </c>
      <c r="AE1132" s="69" t="e" cm="1">
        <f t="array" ref="AE1132">_xlfn.XLOOKUP(Table1[[#This Row],[5 cm2 cell test code]:[5 cm2 cell test code]],[1]!Table1[[Test code]:[Test code]],[1]!Table1[HFR 10 mM KOH/ mOhm cm2],"",0)</f>
        <v>#REF!</v>
      </c>
      <c r="AF1132" s="69" t="e" cm="1">
        <f t="array" ref="AF1132">_xlfn.XLOOKUP(Table1[[#This Row],[5 cm2 cell test code]:[5 cm2 cell test code]],[1]!Table1[[Test code]:[Test code]],[1]!Table1[Ionic resistance DIW/Ohm cm2],"",0)</f>
        <v>#REF!</v>
      </c>
      <c r="AG1132" s="69" t="e" cm="1">
        <f t="array" ref="AG1132">_xlfn.XLOOKUP(Table1[[#This Row],[5 cm2 cell test code]:[5 cm2 cell test code]],[1]!Table1[[Test code]:[Test code]],[1]!Table1[Q_int_frac DIW],"",0)</f>
        <v>#REF!</v>
      </c>
      <c r="AH1132" s="69" t="e" cm="1">
        <f t="array" ref="AH1132">_xlfn.XLOOKUP(Table1[[#This Row],[5 cm2 cell test code]:[5 cm2 cell test code]],[1]!Table1[[Test code]:[Test code]],[1]!Table1[Ionic resistance 10 mM KOH/Ohm cm2],"",0)</f>
        <v>#REF!</v>
      </c>
      <c r="AI1132" s="69" t="e" cm="1">
        <f t="array" ref="AI1132">_xlfn.XLOOKUP(Table1[[#This Row],[5 cm2 cell test code]:[5 cm2 cell test code]],[1]!Table1[[Test code]:[Test code]],[1]!Table1[Q_int_frac DIW 10 mM KOH],"",0)</f>
        <v>#REF!</v>
      </c>
      <c r="AJ1132" s="69" t="e" cm="1">
        <f t="array" ref="AJ1132">_xlfn.XLOOKUP(Table1[[#This Row],[5 cm2 cell test code]:[5 cm2 cell test code]],[1]!Table1[[Test code]:[Test code]],[1]!Table1[DIW conductivity (µS/cm)],"",0)</f>
        <v>#REF!</v>
      </c>
    </row>
    <row r="1133" spans="1:36">
      <c r="A1133" s="81"/>
      <c r="U1133" s="101"/>
      <c r="V1133" s="101"/>
      <c r="W1133" s="69" t="e" cm="1">
        <f t="array" ref="W1133">_xlfn.XLOOKUP(Table1[[#This Row],[5 cm2 cell test code]:[5 cm2 cell test code]],[1]!Table1[[Test code]:[Test code]],[1]!Table1[i @ 1.8 V DIW (A/cm2)],"",0)</f>
        <v>#REF!</v>
      </c>
      <c r="X1133" s="69" t="e" cm="1">
        <f t="array" ref="X1133">_xlfn.XLOOKUP(Table1[[#This Row],[5 cm2 cell test code]:[5 cm2 cell test code]],[1]!Table1[[Test code]:[Test code]],[1]!Table1[i @ 1.8 V 10 mM KOH (A/cm2)],"",0)</f>
        <v>#REF!</v>
      </c>
      <c r="Y1133" s="69" t="e" cm="1">
        <f t="array" ref="Y1133">_xlfn.XLOOKUP(Table1[[#This Row],[5 cm2 cell test code]:[5 cm2 cell test code]],[1]!Table1[[Test code]:[Test code]],[1]!Table1[3-E ƞ at 20mAcm-2 (mV)],"",0)</f>
        <v>#REF!</v>
      </c>
      <c r="Z1133" s="69" t="e" cm="1">
        <f t="array" ref="Z1133">_xlfn.XLOOKUP(Table1[[#This Row],[5 cm2 cell test code]:[5 cm2 cell test code]],[1]!Table1[[Test code]:[Test code]],[1]!Table1[3-E Tafel slope (mV/dec)],"",0)</f>
        <v>#REF!</v>
      </c>
      <c r="AA1133" s="69" t="e" cm="1">
        <f t="array" ref="AA1133">_xlfn.XLOOKUP(Table1[[#This Row],[5 cm2 cell test code]:[5 cm2 cell test code]],[1]!Table1[[Test code]:[Test code]],[1]!Table1[E @ 100 mA/cm2 DIW/V],"",0)</f>
        <v>#REF!</v>
      </c>
      <c r="AB1133" s="69" t="e" cm="1">
        <f t="array" ref="AB1133">_xlfn.XLOOKUP(Table1[[#This Row],[5 cm2 cell test code]:[5 cm2 cell test code]],[1]!Table1[[Test code]:[Test code]],[1]!Table1[E @ 100 mA/cm2 10 mM KOH/V],"",0)</f>
        <v>#REF!</v>
      </c>
      <c r="AC1133" s="69" t="e" cm="1">
        <f t="array" ref="AC1133">_xlfn.XLOOKUP(Table1[[#This Row],[5 cm2 cell test code]:[5 cm2 cell test code]],[1]!Table1[[Test code]:[Test code]],[1]!Table1[Anode ICR/mOhm],"",0)</f>
        <v>#REF!</v>
      </c>
      <c r="AD1133" s="69" t="e" cm="1">
        <f t="array" ref="AD1133">_xlfn.XLOOKUP(Table1[[#This Row],[5 cm2 cell test code]:[5 cm2 cell test code]],[1]!Table1[[Test code]:[Test code]],[1]!Table1[HFR DIW/ mOhm cm2],"",0)</f>
        <v>#REF!</v>
      </c>
      <c r="AE1133" s="69" t="e" cm="1">
        <f t="array" ref="AE1133">_xlfn.XLOOKUP(Table1[[#This Row],[5 cm2 cell test code]:[5 cm2 cell test code]],[1]!Table1[[Test code]:[Test code]],[1]!Table1[HFR 10 mM KOH/ mOhm cm2],"",0)</f>
        <v>#REF!</v>
      </c>
      <c r="AF1133" s="69" t="e" cm="1">
        <f t="array" ref="AF1133">_xlfn.XLOOKUP(Table1[[#This Row],[5 cm2 cell test code]:[5 cm2 cell test code]],[1]!Table1[[Test code]:[Test code]],[1]!Table1[Ionic resistance DIW/Ohm cm2],"",0)</f>
        <v>#REF!</v>
      </c>
      <c r="AG1133" s="69" t="e" cm="1">
        <f t="array" ref="AG1133">_xlfn.XLOOKUP(Table1[[#This Row],[5 cm2 cell test code]:[5 cm2 cell test code]],[1]!Table1[[Test code]:[Test code]],[1]!Table1[Q_int_frac DIW],"",0)</f>
        <v>#REF!</v>
      </c>
      <c r="AH1133" s="69" t="e" cm="1">
        <f t="array" ref="AH1133">_xlfn.XLOOKUP(Table1[[#This Row],[5 cm2 cell test code]:[5 cm2 cell test code]],[1]!Table1[[Test code]:[Test code]],[1]!Table1[Ionic resistance 10 mM KOH/Ohm cm2],"",0)</f>
        <v>#REF!</v>
      </c>
      <c r="AI1133" s="69" t="e" cm="1">
        <f t="array" ref="AI1133">_xlfn.XLOOKUP(Table1[[#This Row],[5 cm2 cell test code]:[5 cm2 cell test code]],[1]!Table1[[Test code]:[Test code]],[1]!Table1[Q_int_frac DIW 10 mM KOH],"",0)</f>
        <v>#REF!</v>
      </c>
      <c r="AJ1133" s="69" t="e" cm="1">
        <f t="array" ref="AJ1133">_xlfn.XLOOKUP(Table1[[#This Row],[5 cm2 cell test code]:[5 cm2 cell test code]],[1]!Table1[[Test code]:[Test code]],[1]!Table1[DIW conductivity (µS/cm)],"",0)</f>
        <v>#REF!</v>
      </c>
    </row>
    <row r="1134" spans="1:36">
      <c r="A1134" s="81"/>
      <c r="U1134" s="101"/>
      <c r="V1134" s="101"/>
      <c r="W1134" s="69" t="e" cm="1">
        <f t="array" ref="W1134">_xlfn.XLOOKUP(Table1[[#This Row],[5 cm2 cell test code]:[5 cm2 cell test code]],[1]!Table1[[Test code]:[Test code]],[1]!Table1[i @ 1.8 V DIW (A/cm2)],"",0)</f>
        <v>#REF!</v>
      </c>
      <c r="X1134" s="69" t="e" cm="1">
        <f t="array" ref="X1134">_xlfn.XLOOKUP(Table1[[#This Row],[5 cm2 cell test code]:[5 cm2 cell test code]],[1]!Table1[[Test code]:[Test code]],[1]!Table1[i @ 1.8 V 10 mM KOH (A/cm2)],"",0)</f>
        <v>#REF!</v>
      </c>
      <c r="Y1134" s="69" t="e" cm="1">
        <f t="array" ref="Y1134">_xlfn.XLOOKUP(Table1[[#This Row],[5 cm2 cell test code]:[5 cm2 cell test code]],[1]!Table1[[Test code]:[Test code]],[1]!Table1[3-E ƞ at 20mAcm-2 (mV)],"",0)</f>
        <v>#REF!</v>
      </c>
      <c r="Z1134" s="69" t="e" cm="1">
        <f t="array" ref="Z1134">_xlfn.XLOOKUP(Table1[[#This Row],[5 cm2 cell test code]:[5 cm2 cell test code]],[1]!Table1[[Test code]:[Test code]],[1]!Table1[3-E Tafel slope (mV/dec)],"",0)</f>
        <v>#REF!</v>
      </c>
      <c r="AA1134" s="69" t="e" cm="1">
        <f t="array" ref="AA1134">_xlfn.XLOOKUP(Table1[[#This Row],[5 cm2 cell test code]:[5 cm2 cell test code]],[1]!Table1[[Test code]:[Test code]],[1]!Table1[E @ 100 mA/cm2 DIW/V],"",0)</f>
        <v>#REF!</v>
      </c>
      <c r="AB1134" s="69" t="e" cm="1">
        <f t="array" ref="AB1134">_xlfn.XLOOKUP(Table1[[#This Row],[5 cm2 cell test code]:[5 cm2 cell test code]],[1]!Table1[[Test code]:[Test code]],[1]!Table1[E @ 100 mA/cm2 10 mM KOH/V],"",0)</f>
        <v>#REF!</v>
      </c>
      <c r="AC1134" s="69" t="e" cm="1">
        <f t="array" ref="AC1134">_xlfn.XLOOKUP(Table1[[#This Row],[5 cm2 cell test code]:[5 cm2 cell test code]],[1]!Table1[[Test code]:[Test code]],[1]!Table1[Anode ICR/mOhm],"",0)</f>
        <v>#REF!</v>
      </c>
      <c r="AD1134" s="69" t="e" cm="1">
        <f t="array" ref="AD1134">_xlfn.XLOOKUP(Table1[[#This Row],[5 cm2 cell test code]:[5 cm2 cell test code]],[1]!Table1[[Test code]:[Test code]],[1]!Table1[HFR DIW/ mOhm cm2],"",0)</f>
        <v>#REF!</v>
      </c>
      <c r="AE1134" s="69" t="e" cm="1">
        <f t="array" ref="AE1134">_xlfn.XLOOKUP(Table1[[#This Row],[5 cm2 cell test code]:[5 cm2 cell test code]],[1]!Table1[[Test code]:[Test code]],[1]!Table1[HFR 10 mM KOH/ mOhm cm2],"",0)</f>
        <v>#REF!</v>
      </c>
      <c r="AF1134" s="69" t="e" cm="1">
        <f t="array" ref="AF1134">_xlfn.XLOOKUP(Table1[[#This Row],[5 cm2 cell test code]:[5 cm2 cell test code]],[1]!Table1[[Test code]:[Test code]],[1]!Table1[Ionic resistance DIW/Ohm cm2],"",0)</f>
        <v>#REF!</v>
      </c>
      <c r="AG1134" s="69" t="e" cm="1">
        <f t="array" ref="AG1134">_xlfn.XLOOKUP(Table1[[#This Row],[5 cm2 cell test code]:[5 cm2 cell test code]],[1]!Table1[[Test code]:[Test code]],[1]!Table1[Q_int_frac DIW],"",0)</f>
        <v>#REF!</v>
      </c>
      <c r="AH1134" s="69" t="e" cm="1">
        <f t="array" ref="AH1134">_xlfn.XLOOKUP(Table1[[#This Row],[5 cm2 cell test code]:[5 cm2 cell test code]],[1]!Table1[[Test code]:[Test code]],[1]!Table1[Ionic resistance 10 mM KOH/Ohm cm2],"",0)</f>
        <v>#REF!</v>
      </c>
      <c r="AI1134" s="69" t="e" cm="1">
        <f t="array" ref="AI1134">_xlfn.XLOOKUP(Table1[[#This Row],[5 cm2 cell test code]:[5 cm2 cell test code]],[1]!Table1[[Test code]:[Test code]],[1]!Table1[Q_int_frac DIW 10 mM KOH],"",0)</f>
        <v>#REF!</v>
      </c>
      <c r="AJ1134" s="69" t="e" cm="1">
        <f t="array" ref="AJ1134">_xlfn.XLOOKUP(Table1[[#This Row],[5 cm2 cell test code]:[5 cm2 cell test code]],[1]!Table1[[Test code]:[Test code]],[1]!Table1[DIW conductivity (µS/cm)],"",0)</f>
        <v>#REF!</v>
      </c>
    </row>
    <row r="1135" spans="1:36">
      <c r="A1135" s="81"/>
      <c r="U1135" s="101"/>
      <c r="V1135" s="101"/>
      <c r="W1135" s="69" t="e" cm="1">
        <f t="array" ref="W1135">_xlfn.XLOOKUP(Table1[[#This Row],[5 cm2 cell test code]:[5 cm2 cell test code]],[1]!Table1[[Test code]:[Test code]],[1]!Table1[i @ 1.8 V DIW (A/cm2)],"",0)</f>
        <v>#REF!</v>
      </c>
      <c r="X1135" s="69" t="e" cm="1">
        <f t="array" ref="X1135">_xlfn.XLOOKUP(Table1[[#This Row],[5 cm2 cell test code]:[5 cm2 cell test code]],[1]!Table1[[Test code]:[Test code]],[1]!Table1[i @ 1.8 V 10 mM KOH (A/cm2)],"",0)</f>
        <v>#REF!</v>
      </c>
      <c r="Y1135" s="69" t="e" cm="1">
        <f t="array" ref="Y1135">_xlfn.XLOOKUP(Table1[[#This Row],[5 cm2 cell test code]:[5 cm2 cell test code]],[1]!Table1[[Test code]:[Test code]],[1]!Table1[3-E ƞ at 20mAcm-2 (mV)],"",0)</f>
        <v>#REF!</v>
      </c>
      <c r="Z1135" s="69" t="e" cm="1">
        <f t="array" ref="Z1135">_xlfn.XLOOKUP(Table1[[#This Row],[5 cm2 cell test code]:[5 cm2 cell test code]],[1]!Table1[[Test code]:[Test code]],[1]!Table1[3-E Tafel slope (mV/dec)],"",0)</f>
        <v>#REF!</v>
      </c>
      <c r="AA1135" s="69" t="e" cm="1">
        <f t="array" ref="AA1135">_xlfn.XLOOKUP(Table1[[#This Row],[5 cm2 cell test code]:[5 cm2 cell test code]],[1]!Table1[[Test code]:[Test code]],[1]!Table1[E @ 100 mA/cm2 DIW/V],"",0)</f>
        <v>#REF!</v>
      </c>
      <c r="AB1135" s="69" t="e" cm="1">
        <f t="array" ref="AB1135">_xlfn.XLOOKUP(Table1[[#This Row],[5 cm2 cell test code]:[5 cm2 cell test code]],[1]!Table1[[Test code]:[Test code]],[1]!Table1[E @ 100 mA/cm2 10 mM KOH/V],"",0)</f>
        <v>#REF!</v>
      </c>
      <c r="AC1135" s="69" t="e" cm="1">
        <f t="array" ref="AC1135">_xlfn.XLOOKUP(Table1[[#This Row],[5 cm2 cell test code]:[5 cm2 cell test code]],[1]!Table1[[Test code]:[Test code]],[1]!Table1[Anode ICR/mOhm],"",0)</f>
        <v>#REF!</v>
      </c>
      <c r="AD1135" s="69" t="e" cm="1">
        <f t="array" ref="AD1135">_xlfn.XLOOKUP(Table1[[#This Row],[5 cm2 cell test code]:[5 cm2 cell test code]],[1]!Table1[[Test code]:[Test code]],[1]!Table1[HFR DIW/ mOhm cm2],"",0)</f>
        <v>#REF!</v>
      </c>
      <c r="AE1135" s="69" t="e" cm="1">
        <f t="array" ref="AE1135">_xlfn.XLOOKUP(Table1[[#This Row],[5 cm2 cell test code]:[5 cm2 cell test code]],[1]!Table1[[Test code]:[Test code]],[1]!Table1[HFR 10 mM KOH/ mOhm cm2],"",0)</f>
        <v>#REF!</v>
      </c>
      <c r="AF1135" s="69" t="e" cm="1">
        <f t="array" ref="AF1135">_xlfn.XLOOKUP(Table1[[#This Row],[5 cm2 cell test code]:[5 cm2 cell test code]],[1]!Table1[[Test code]:[Test code]],[1]!Table1[Ionic resistance DIW/Ohm cm2],"",0)</f>
        <v>#REF!</v>
      </c>
      <c r="AG1135" s="69" t="e" cm="1">
        <f t="array" ref="AG1135">_xlfn.XLOOKUP(Table1[[#This Row],[5 cm2 cell test code]:[5 cm2 cell test code]],[1]!Table1[[Test code]:[Test code]],[1]!Table1[Q_int_frac DIW],"",0)</f>
        <v>#REF!</v>
      </c>
      <c r="AH1135" s="69" t="e" cm="1">
        <f t="array" ref="AH1135">_xlfn.XLOOKUP(Table1[[#This Row],[5 cm2 cell test code]:[5 cm2 cell test code]],[1]!Table1[[Test code]:[Test code]],[1]!Table1[Ionic resistance 10 mM KOH/Ohm cm2],"",0)</f>
        <v>#REF!</v>
      </c>
      <c r="AI1135" s="69" t="e" cm="1">
        <f t="array" ref="AI1135">_xlfn.XLOOKUP(Table1[[#This Row],[5 cm2 cell test code]:[5 cm2 cell test code]],[1]!Table1[[Test code]:[Test code]],[1]!Table1[Q_int_frac DIW 10 mM KOH],"",0)</f>
        <v>#REF!</v>
      </c>
      <c r="AJ1135" s="69" t="e" cm="1">
        <f t="array" ref="AJ1135">_xlfn.XLOOKUP(Table1[[#This Row],[5 cm2 cell test code]:[5 cm2 cell test code]],[1]!Table1[[Test code]:[Test code]],[1]!Table1[DIW conductivity (µS/cm)],"",0)</f>
        <v>#REF!</v>
      </c>
    </row>
    <row r="1136" spans="1:36">
      <c r="A1136" s="81"/>
      <c r="U1136" s="101"/>
      <c r="V1136" s="101"/>
      <c r="W1136" s="69" t="e" cm="1">
        <f t="array" ref="W1136">_xlfn.XLOOKUP(Table1[[#This Row],[5 cm2 cell test code]:[5 cm2 cell test code]],[1]!Table1[[Test code]:[Test code]],[1]!Table1[i @ 1.8 V DIW (A/cm2)],"",0)</f>
        <v>#REF!</v>
      </c>
      <c r="X1136" s="69" t="e" cm="1">
        <f t="array" ref="X1136">_xlfn.XLOOKUP(Table1[[#This Row],[5 cm2 cell test code]:[5 cm2 cell test code]],[1]!Table1[[Test code]:[Test code]],[1]!Table1[i @ 1.8 V 10 mM KOH (A/cm2)],"",0)</f>
        <v>#REF!</v>
      </c>
      <c r="Y1136" s="69" t="e" cm="1">
        <f t="array" ref="Y1136">_xlfn.XLOOKUP(Table1[[#This Row],[5 cm2 cell test code]:[5 cm2 cell test code]],[1]!Table1[[Test code]:[Test code]],[1]!Table1[3-E ƞ at 20mAcm-2 (mV)],"",0)</f>
        <v>#REF!</v>
      </c>
      <c r="Z1136" s="69" t="e" cm="1">
        <f t="array" ref="Z1136">_xlfn.XLOOKUP(Table1[[#This Row],[5 cm2 cell test code]:[5 cm2 cell test code]],[1]!Table1[[Test code]:[Test code]],[1]!Table1[3-E Tafel slope (mV/dec)],"",0)</f>
        <v>#REF!</v>
      </c>
      <c r="AA1136" s="69" t="e" cm="1">
        <f t="array" ref="AA1136">_xlfn.XLOOKUP(Table1[[#This Row],[5 cm2 cell test code]:[5 cm2 cell test code]],[1]!Table1[[Test code]:[Test code]],[1]!Table1[E @ 100 mA/cm2 DIW/V],"",0)</f>
        <v>#REF!</v>
      </c>
      <c r="AB1136" s="69" t="e" cm="1">
        <f t="array" ref="AB1136">_xlfn.XLOOKUP(Table1[[#This Row],[5 cm2 cell test code]:[5 cm2 cell test code]],[1]!Table1[[Test code]:[Test code]],[1]!Table1[E @ 100 mA/cm2 10 mM KOH/V],"",0)</f>
        <v>#REF!</v>
      </c>
      <c r="AC1136" s="69" t="e" cm="1">
        <f t="array" ref="AC1136">_xlfn.XLOOKUP(Table1[[#This Row],[5 cm2 cell test code]:[5 cm2 cell test code]],[1]!Table1[[Test code]:[Test code]],[1]!Table1[Anode ICR/mOhm],"",0)</f>
        <v>#REF!</v>
      </c>
      <c r="AD1136" s="69" t="e" cm="1">
        <f t="array" ref="AD1136">_xlfn.XLOOKUP(Table1[[#This Row],[5 cm2 cell test code]:[5 cm2 cell test code]],[1]!Table1[[Test code]:[Test code]],[1]!Table1[HFR DIW/ mOhm cm2],"",0)</f>
        <v>#REF!</v>
      </c>
      <c r="AE1136" s="69" t="e" cm="1">
        <f t="array" ref="AE1136">_xlfn.XLOOKUP(Table1[[#This Row],[5 cm2 cell test code]:[5 cm2 cell test code]],[1]!Table1[[Test code]:[Test code]],[1]!Table1[HFR 10 mM KOH/ mOhm cm2],"",0)</f>
        <v>#REF!</v>
      </c>
      <c r="AF1136" s="69" t="e" cm="1">
        <f t="array" ref="AF1136">_xlfn.XLOOKUP(Table1[[#This Row],[5 cm2 cell test code]:[5 cm2 cell test code]],[1]!Table1[[Test code]:[Test code]],[1]!Table1[Ionic resistance DIW/Ohm cm2],"",0)</f>
        <v>#REF!</v>
      </c>
      <c r="AG1136" s="69" t="e" cm="1">
        <f t="array" ref="AG1136">_xlfn.XLOOKUP(Table1[[#This Row],[5 cm2 cell test code]:[5 cm2 cell test code]],[1]!Table1[[Test code]:[Test code]],[1]!Table1[Q_int_frac DIW],"",0)</f>
        <v>#REF!</v>
      </c>
      <c r="AH1136" s="69" t="e" cm="1">
        <f t="array" ref="AH1136">_xlfn.XLOOKUP(Table1[[#This Row],[5 cm2 cell test code]:[5 cm2 cell test code]],[1]!Table1[[Test code]:[Test code]],[1]!Table1[Ionic resistance 10 mM KOH/Ohm cm2],"",0)</f>
        <v>#REF!</v>
      </c>
      <c r="AI1136" s="69" t="e" cm="1">
        <f t="array" ref="AI1136">_xlfn.XLOOKUP(Table1[[#This Row],[5 cm2 cell test code]:[5 cm2 cell test code]],[1]!Table1[[Test code]:[Test code]],[1]!Table1[Q_int_frac DIW 10 mM KOH],"",0)</f>
        <v>#REF!</v>
      </c>
      <c r="AJ1136" s="69" t="e" cm="1">
        <f t="array" ref="AJ1136">_xlfn.XLOOKUP(Table1[[#This Row],[5 cm2 cell test code]:[5 cm2 cell test code]],[1]!Table1[[Test code]:[Test code]],[1]!Table1[DIW conductivity (µS/cm)],"",0)</f>
        <v>#REF!</v>
      </c>
    </row>
    <row r="1137" spans="1:36">
      <c r="A1137" s="81"/>
      <c r="U1137" s="101"/>
      <c r="V1137" s="101"/>
      <c r="W1137" s="69" t="e" cm="1">
        <f t="array" ref="W1137">_xlfn.XLOOKUP(Table1[[#This Row],[5 cm2 cell test code]:[5 cm2 cell test code]],[1]!Table1[[Test code]:[Test code]],[1]!Table1[i @ 1.8 V DIW (A/cm2)],"",0)</f>
        <v>#REF!</v>
      </c>
      <c r="X1137" s="69" t="e" cm="1">
        <f t="array" ref="X1137">_xlfn.XLOOKUP(Table1[[#This Row],[5 cm2 cell test code]:[5 cm2 cell test code]],[1]!Table1[[Test code]:[Test code]],[1]!Table1[i @ 1.8 V 10 mM KOH (A/cm2)],"",0)</f>
        <v>#REF!</v>
      </c>
      <c r="Y1137" s="69" t="e" cm="1">
        <f t="array" ref="Y1137">_xlfn.XLOOKUP(Table1[[#This Row],[5 cm2 cell test code]:[5 cm2 cell test code]],[1]!Table1[[Test code]:[Test code]],[1]!Table1[3-E ƞ at 20mAcm-2 (mV)],"",0)</f>
        <v>#REF!</v>
      </c>
      <c r="Z1137" s="69" t="e" cm="1">
        <f t="array" ref="Z1137">_xlfn.XLOOKUP(Table1[[#This Row],[5 cm2 cell test code]:[5 cm2 cell test code]],[1]!Table1[[Test code]:[Test code]],[1]!Table1[3-E Tafel slope (mV/dec)],"",0)</f>
        <v>#REF!</v>
      </c>
      <c r="AA1137" s="69" t="e" cm="1">
        <f t="array" ref="AA1137">_xlfn.XLOOKUP(Table1[[#This Row],[5 cm2 cell test code]:[5 cm2 cell test code]],[1]!Table1[[Test code]:[Test code]],[1]!Table1[E @ 100 mA/cm2 DIW/V],"",0)</f>
        <v>#REF!</v>
      </c>
      <c r="AB1137" s="69" t="e" cm="1">
        <f t="array" ref="AB1137">_xlfn.XLOOKUP(Table1[[#This Row],[5 cm2 cell test code]:[5 cm2 cell test code]],[1]!Table1[[Test code]:[Test code]],[1]!Table1[E @ 100 mA/cm2 10 mM KOH/V],"",0)</f>
        <v>#REF!</v>
      </c>
      <c r="AC1137" s="69" t="e" cm="1">
        <f t="array" ref="AC1137">_xlfn.XLOOKUP(Table1[[#This Row],[5 cm2 cell test code]:[5 cm2 cell test code]],[1]!Table1[[Test code]:[Test code]],[1]!Table1[Anode ICR/mOhm],"",0)</f>
        <v>#REF!</v>
      </c>
      <c r="AD1137" s="69" t="e" cm="1">
        <f t="array" ref="AD1137">_xlfn.XLOOKUP(Table1[[#This Row],[5 cm2 cell test code]:[5 cm2 cell test code]],[1]!Table1[[Test code]:[Test code]],[1]!Table1[HFR DIW/ mOhm cm2],"",0)</f>
        <v>#REF!</v>
      </c>
      <c r="AE1137" s="69" t="e" cm="1">
        <f t="array" ref="AE1137">_xlfn.XLOOKUP(Table1[[#This Row],[5 cm2 cell test code]:[5 cm2 cell test code]],[1]!Table1[[Test code]:[Test code]],[1]!Table1[HFR 10 mM KOH/ mOhm cm2],"",0)</f>
        <v>#REF!</v>
      </c>
      <c r="AF1137" s="69" t="e" cm="1">
        <f t="array" ref="AF1137">_xlfn.XLOOKUP(Table1[[#This Row],[5 cm2 cell test code]:[5 cm2 cell test code]],[1]!Table1[[Test code]:[Test code]],[1]!Table1[Ionic resistance DIW/Ohm cm2],"",0)</f>
        <v>#REF!</v>
      </c>
      <c r="AG1137" s="69" t="e" cm="1">
        <f t="array" ref="AG1137">_xlfn.XLOOKUP(Table1[[#This Row],[5 cm2 cell test code]:[5 cm2 cell test code]],[1]!Table1[[Test code]:[Test code]],[1]!Table1[Q_int_frac DIW],"",0)</f>
        <v>#REF!</v>
      </c>
      <c r="AH1137" s="69" t="e" cm="1">
        <f t="array" ref="AH1137">_xlfn.XLOOKUP(Table1[[#This Row],[5 cm2 cell test code]:[5 cm2 cell test code]],[1]!Table1[[Test code]:[Test code]],[1]!Table1[Ionic resistance 10 mM KOH/Ohm cm2],"",0)</f>
        <v>#REF!</v>
      </c>
      <c r="AI1137" s="69" t="e" cm="1">
        <f t="array" ref="AI1137">_xlfn.XLOOKUP(Table1[[#This Row],[5 cm2 cell test code]:[5 cm2 cell test code]],[1]!Table1[[Test code]:[Test code]],[1]!Table1[Q_int_frac DIW 10 mM KOH],"",0)</f>
        <v>#REF!</v>
      </c>
      <c r="AJ1137" s="69" t="e" cm="1">
        <f t="array" ref="AJ1137">_xlfn.XLOOKUP(Table1[[#This Row],[5 cm2 cell test code]:[5 cm2 cell test code]],[1]!Table1[[Test code]:[Test code]],[1]!Table1[DIW conductivity (µS/cm)],"",0)</f>
        <v>#REF!</v>
      </c>
    </row>
    <row r="1138" spans="1:36">
      <c r="A1138" s="81"/>
      <c r="U1138" s="101"/>
      <c r="V1138" s="101"/>
      <c r="W1138" s="69" t="e" cm="1">
        <f t="array" ref="W1138">_xlfn.XLOOKUP(Table1[[#This Row],[5 cm2 cell test code]:[5 cm2 cell test code]],[1]!Table1[[Test code]:[Test code]],[1]!Table1[i @ 1.8 V DIW (A/cm2)],"",0)</f>
        <v>#REF!</v>
      </c>
      <c r="X1138" s="69" t="e" cm="1">
        <f t="array" ref="X1138">_xlfn.XLOOKUP(Table1[[#This Row],[5 cm2 cell test code]:[5 cm2 cell test code]],[1]!Table1[[Test code]:[Test code]],[1]!Table1[i @ 1.8 V 10 mM KOH (A/cm2)],"",0)</f>
        <v>#REF!</v>
      </c>
      <c r="Y1138" s="69" t="e" cm="1">
        <f t="array" ref="Y1138">_xlfn.XLOOKUP(Table1[[#This Row],[5 cm2 cell test code]:[5 cm2 cell test code]],[1]!Table1[[Test code]:[Test code]],[1]!Table1[3-E ƞ at 20mAcm-2 (mV)],"",0)</f>
        <v>#REF!</v>
      </c>
      <c r="Z1138" s="69" t="e" cm="1">
        <f t="array" ref="Z1138">_xlfn.XLOOKUP(Table1[[#This Row],[5 cm2 cell test code]:[5 cm2 cell test code]],[1]!Table1[[Test code]:[Test code]],[1]!Table1[3-E Tafel slope (mV/dec)],"",0)</f>
        <v>#REF!</v>
      </c>
      <c r="AA1138" s="69" t="e" cm="1">
        <f t="array" ref="AA1138">_xlfn.XLOOKUP(Table1[[#This Row],[5 cm2 cell test code]:[5 cm2 cell test code]],[1]!Table1[[Test code]:[Test code]],[1]!Table1[E @ 100 mA/cm2 DIW/V],"",0)</f>
        <v>#REF!</v>
      </c>
      <c r="AB1138" s="69" t="e" cm="1">
        <f t="array" ref="AB1138">_xlfn.XLOOKUP(Table1[[#This Row],[5 cm2 cell test code]:[5 cm2 cell test code]],[1]!Table1[[Test code]:[Test code]],[1]!Table1[E @ 100 mA/cm2 10 mM KOH/V],"",0)</f>
        <v>#REF!</v>
      </c>
      <c r="AC1138" s="69" t="e" cm="1">
        <f t="array" ref="AC1138">_xlfn.XLOOKUP(Table1[[#This Row],[5 cm2 cell test code]:[5 cm2 cell test code]],[1]!Table1[[Test code]:[Test code]],[1]!Table1[Anode ICR/mOhm],"",0)</f>
        <v>#REF!</v>
      </c>
      <c r="AD1138" s="69" t="e" cm="1">
        <f t="array" ref="AD1138">_xlfn.XLOOKUP(Table1[[#This Row],[5 cm2 cell test code]:[5 cm2 cell test code]],[1]!Table1[[Test code]:[Test code]],[1]!Table1[HFR DIW/ mOhm cm2],"",0)</f>
        <v>#REF!</v>
      </c>
      <c r="AE1138" s="69" t="e" cm="1">
        <f t="array" ref="AE1138">_xlfn.XLOOKUP(Table1[[#This Row],[5 cm2 cell test code]:[5 cm2 cell test code]],[1]!Table1[[Test code]:[Test code]],[1]!Table1[HFR 10 mM KOH/ mOhm cm2],"",0)</f>
        <v>#REF!</v>
      </c>
      <c r="AF1138" s="69" t="e" cm="1">
        <f t="array" ref="AF1138">_xlfn.XLOOKUP(Table1[[#This Row],[5 cm2 cell test code]:[5 cm2 cell test code]],[1]!Table1[[Test code]:[Test code]],[1]!Table1[Ionic resistance DIW/Ohm cm2],"",0)</f>
        <v>#REF!</v>
      </c>
      <c r="AG1138" s="69" t="e" cm="1">
        <f t="array" ref="AG1138">_xlfn.XLOOKUP(Table1[[#This Row],[5 cm2 cell test code]:[5 cm2 cell test code]],[1]!Table1[[Test code]:[Test code]],[1]!Table1[Q_int_frac DIW],"",0)</f>
        <v>#REF!</v>
      </c>
      <c r="AH1138" s="69" t="e" cm="1">
        <f t="array" ref="AH1138">_xlfn.XLOOKUP(Table1[[#This Row],[5 cm2 cell test code]:[5 cm2 cell test code]],[1]!Table1[[Test code]:[Test code]],[1]!Table1[Ionic resistance 10 mM KOH/Ohm cm2],"",0)</f>
        <v>#REF!</v>
      </c>
      <c r="AI1138" s="69" t="e" cm="1">
        <f t="array" ref="AI1138">_xlfn.XLOOKUP(Table1[[#This Row],[5 cm2 cell test code]:[5 cm2 cell test code]],[1]!Table1[[Test code]:[Test code]],[1]!Table1[Q_int_frac DIW 10 mM KOH],"",0)</f>
        <v>#REF!</v>
      </c>
      <c r="AJ1138" s="69" t="e" cm="1">
        <f t="array" ref="AJ1138">_xlfn.XLOOKUP(Table1[[#This Row],[5 cm2 cell test code]:[5 cm2 cell test code]],[1]!Table1[[Test code]:[Test code]],[1]!Table1[DIW conductivity (µS/cm)],"",0)</f>
        <v>#REF!</v>
      </c>
    </row>
    <row r="1139" spans="1:36">
      <c r="A1139" s="81"/>
      <c r="U1139" s="101"/>
      <c r="V1139" s="101"/>
      <c r="W1139" s="69" t="e" cm="1">
        <f t="array" ref="W1139">_xlfn.XLOOKUP(Table1[[#This Row],[5 cm2 cell test code]:[5 cm2 cell test code]],[1]!Table1[[Test code]:[Test code]],[1]!Table1[i @ 1.8 V DIW (A/cm2)],"",0)</f>
        <v>#REF!</v>
      </c>
      <c r="X1139" s="69" t="e" cm="1">
        <f t="array" ref="X1139">_xlfn.XLOOKUP(Table1[[#This Row],[5 cm2 cell test code]:[5 cm2 cell test code]],[1]!Table1[[Test code]:[Test code]],[1]!Table1[i @ 1.8 V 10 mM KOH (A/cm2)],"",0)</f>
        <v>#REF!</v>
      </c>
      <c r="Y1139" s="69" t="e" cm="1">
        <f t="array" ref="Y1139">_xlfn.XLOOKUP(Table1[[#This Row],[5 cm2 cell test code]:[5 cm2 cell test code]],[1]!Table1[[Test code]:[Test code]],[1]!Table1[3-E ƞ at 20mAcm-2 (mV)],"",0)</f>
        <v>#REF!</v>
      </c>
      <c r="Z1139" s="69" t="e" cm="1">
        <f t="array" ref="Z1139">_xlfn.XLOOKUP(Table1[[#This Row],[5 cm2 cell test code]:[5 cm2 cell test code]],[1]!Table1[[Test code]:[Test code]],[1]!Table1[3-E Tafel slope (mV/dec)],"",0)</f>
        <v>#REF!</v>
      </c>
      <c r="AA1139" s="69" t="e" cm="1">
        <f t="array" ref="AA1139">_xlfn.XLOOKUP(Table1[[#This Row],[5 cm2 cell test code]:[5 cm2 cell test code]],[1]!Table1[[Test code]:[Test code]],[1]!Table1[E @ 100 mA/cm2 DIW/V],"",0)</f>
        <v>#REF!</v>
      </c>
      <c r="AB1139" s="69" t="e" cm="1">
        <f t="array" ref="AB1139">_xlfn.XLOOKUP(Table1[[#This Row],[5 cm2 cell test code]:[5 cm2 cell test code]],[1]!Table1[[Test code]:[Test code]],[1]!Table1[E @ 100 mA/cm2 10 mM KOH/V],"",0)</f>
        <v>#REF!</v>
      </c>
      <c r="AC1139" s="69" t="e" cm="1">
        <f t="array" ref="AC1139">_xlfn.XLOOKUP(Table1[[#This Row],[5 cm2 cell test code]:[5 cm2 cell test code]],[1]!Table1[[Test code]:[Test code]],[1]!Table1[Anode ICR/mOhm],"",0)</f>
        <v>#REF!</v>
      </c>
      <c r="AD1139" s="69" t="e" cm="1">
        <f t="array" ref="AD1139">_xlfn.XLOOKUP(Table1[[#This Row],[5 cm2 cell test code]:[5 cm2 cell test code]],[1]!Table1[[Test code]:[Test code]],[1]!Table1[HFR DIW/ mOhm cm2],"",0)</f>
        <v>#REF!</v>
      </c>
      <c r="AE1139" s="69" t="e" cm="1">
        <f t="array" ref="AE1139">_xlfn.XLOOKUP(Table1[[#This Row],[5 cm2 cell test code]:[5 cm2 cell test code]],[1]!Table1[[Test code]:[Test code]],[1]!Table1[HFR 10 mM KOH/ mOhm cm2],"",0)</f>
        <v>#REF!</v>
      </c>
      <c r="AF1139" s="69" t="e" cm="1">
        <f t="array" ref="AF1139">_xlfn.XLOOKUP(Table1[[#This Row],[5 cm2 cell test code]:[5 cm2 cell test code]],[1]!Table1[[Test code]:[Test code]],[1]!Table1[Ionic resistance DIW/Ohm cm2],"",0)</f>
        <v>#REF!</v>
      </c>
      <c r="AG1139" s="69" t="e" cm="1">
        <f t="array" ref="AG1139">_xlfn.XLOOKUP(Table1[[#This Row],[5 cm2 cell test code]:[5 cm2 cell test code]],[1]!Table1[[Test code]:[Test code]],[1]!Table1[Q_int_frac DIW],"",0)</f>
        <v>#REF!</v>
      </c>
      <c r="AH1139" s="69" t="e" cm="1">
        <f t="array" ref="AH1139">_xlfn.XLOOKUP(Table1[[#This Row],[5 cm2 cell test code]:[5 cm2 cell test code]],[1]!Table1[[Test code]:[Test code]],[1]!Table1[Ionic resistance 10 mM KOH/Ohm cm2],"",0)</f>
        <v>#REF!</v>
      </c>
      <c r="AI1139" s="69" t="e" cm="1">
        <f t="array" ref="AI1139">_xlfn.XLOOKUP(Table1[[#This Row],[5 cm2 cell test code]:[5 cm2 cell test code]],[1]!Table1[[Test code]:[Test code]],[1]!Table1[Q_int_frac DIW 10 mM KOH],"",0)</f>
        <v>#REF!</v>
      </c>
      <c r="AJ1139" s="69" t="e" cm="1">
        <f t="array" ref="AJ1139">_xlfn.XLOOKUP(Table1[[#This Row],[5 cm2 cell test code]:[5 cm2 cell test code]],[1]!Table1[[Test code]:[Test code]],[1]!Table1[DIW conductivity (µS/cm)],"",0)</f>
        <v>#REF!</v>
      </c>
    </row>
    <row r="1140" spans="1:36">
      <c r="A1140" s="81"/>
      <c r="U1140" s="101"/>
      <c r="V1140" s="101"/>
      <c r="W1140" s="69" t="e" cm="1">
        <f t="array" ref="W1140">_xlfn.XLOOKUP(Table1[[#This Row],[5 cm2 cell test code]:[5 cm2 cell test code]],[1]!Table1[[Test code]:[Test code]],[1]!Table1[i @ 1.8 V DIW (A/cm2)],"",0)</f>
        <v>#REF!</v>
      </c>
      <c r="X1140" s="69" t="e" cm="1">
        <f t="array" ref="X1140">_xlfn.XLOOKUP(Table1[[#This Row],[5 cm2 cell test code]:[5 cm2 cell test code]],[1]!Table1[[Test code]:[Test code]],[1]!Table1[i @ 1.8 V 10 mM KOH (A/cm2)],"",0)</f>
        <v>#REF!</v>
      </c>
      <c r="Y1140" s="69" t="e" cm="1">
        <f t="array" ref="Y1140">_xlfn.XLOOKUP(Table1[[#This Row],[5 cm2 cell test code]:[5 cm2 cell test code]],[1]!Table1[[Test code]:[Test code]],[1]!Table1[3-E ƞ at 20mAcm-2 (mV)],"",0)</f>
        <v>#REF!</v>
      </c>
      <c r="Z1140" s="69" t="e" cm="1">
        <f t="array" ref="Z1140">_xlfn.XLOOKUP(Table1[[#This Row],[5 cm2 cell test code]:[5 cm2 cell test code]],[1]!Table1[[Test code]:[Test code]],[1]!Table1[3-E Tafel slope (mV/dec)],"",0)</f>
        <v>#REF!</v>
      </c>
      <c r="AA1140" s="69" t="e" cm="1">
        <f t="array" ref="AA1140">_xlfn.XLOOKUP(Table1[[#This Row],[5 cm2 cell test code]:[5 cm2 cell test code]],[1]!Table1[[Test code]:[Test code]],[1]!Table1[E @ 100 mA/cm2 DIW/V],"",0)</f>
        <v>#REF!</v>
      </c>
      <c r="AB1140" s="69" t="e" cm="1">
        <f t="array" ref="AB1140">_xlfn.XLOOKUP(Table1[[#This Row],[5 cm2 cell test code]:[5 cm2 cell test code]],[1]!Table1[[Test code]:[Test code]],[1]!Table1[E @ 100 mA/cm2 10 mM KOH/V],"",0)</f>
        <v>#REF!</v>
      </c>
      <c r="AC1140" s="69" t="e" cm="1">
        <f t="array" ref="AC1140">_xlfn.XLOOKUP(Table1[[#This Row],[5 cm2 cell test code]:[5 cm2 cell test code]],[1]!Table1[[Test code]:[Test code]],[1]!Table1[Anode ICR/mOhm],"",0)</f>
        <v>#REF!</v>
      </c>
      <c r="AD1140" s="69" t="e" cm="1">
        <f t="array" ref="AD1140">_xlfn.XLOOKUP(Table1[[#This Row],[5 cm2 cell test code]:[5 cm2 cell test code]],[1]!Table1[[Test code]:[Test code]],[1]!Table1[HFR DIW/ mOhm cm2],"",0)</f>
        <v>#REF!</v>
      </c>
      <c r="AE1140" s="69" t="e" cm="1">
        <f t="array" ref="AE1140">_xlfn.XLOOKUP(Table1[[#This Row],[5 cm2 cell test code]:[5 cm2 cell test code]],[1]!Table1[[Test code]:[Test code]],[1]!Table1[HFR 10 mM KOH/ mOhm cm2],"",0)</f>
        <v>#REF!</v>
      </c>
      <c r="AF1140" s="69" t="e" cm="1">
        <f t="array" ref="AF1140">_xlfn.XLOOKUP(Table1[[#This Row],[5 cm2 cell test code]:[5 cm2 cell test code]],[1]!Table1[[Test code]:[Test code]],[1]!Table1[Ionic resistance DIW/Ohm cm2],"",0)</f>
        <v>#REF!</v>
      </c>
      <c r="AG1140" s="69" t="e" cm="1">
        <f t="array" ref="AG1140">_xlfn.XLOOKUP(Table1[[#This Row],[5 cm2 cell test code]:[5 cm2 cell test code]],[1]!Table1[[Test code]:[Test code]],[1]!Table1[Q_int_frac DIW],"",0)</f>
        <v>#REF!</v>
      </c>
      <c r="AH1140" s="69" t="e" cm="1">
        <f t="array" ref="AH1140">_xlfn.XLOOKUP(Table1[[#This Row],[5 cm2 cell test code]:[5 cm2 cell test code]],[1]!Table1[[Test code]:[Test code]],[1]!Table1[Ionic resistance 10 mM KOH/Ohm cm2],"",0)</f>
        <v>#REF!</v>
      </c>
      <c r="AI1140" s="69" t="e" cm="1">
        <f t="array" ref="AI1140">_xlfn.XLOOKUP(Table1[[#This Row],[5 cm2 cell test code]:[5 cm2 cell test code]],[1]!Table1[[Test code]:[Test code]],[1]!Table1[Q_int_frac DIW 10 mM KOH],"",0)</f>
        <v>#REF!</v>
      </c>
      <c r="AJ1140" s="69" t="e" cm="1">
        <f t="array" ref="AJ1140">_xlfn.XLOOKUP(Table1[[#This Row],[5 cm2 cell test code]:[5 cm2 cell test code]],[1]!Table1[[Test code]:[Test code]],[1]!Table1[DIW conductivity (µS/cm)],"",0)</f>
        <v>#REF!</v>
      </c>
    </row>
    <row r="1141" spans="1:36">
      <c r="A1141" s="81"/>
      <c r="U1141" s="101"/>
      <c r="V1141" s="101"/>
      <c r="W1141" s="69" t="e" cm="1">
        <f t="array" ref="W1141">_xlfn.XLOOKUP(Table1[[#This Row],[5 cm2 cell test code]:[5 cm2 cell test code]],[1]!Table1[[Test code]:[Test code]],[1]!Table1[i @ 1.8 V DIW (A/cm2)],"",0)</f>
        <v>#REF!</v>
      </c>
      <c r="X1141" s="69" t="e" cm="1">
        <f t="array" ref="X1141">_xlfn.XLOOKUP(Table1[[#This Row],[5 cm2 cell test code]:[5 cm2 cell test code]],[1]!Table1[[Test code]:[Test code]],[1]!Table1[i @ 1.8 V 10 mM KOH (A/cm2)],"",0)</f>
        <v>#REF!</v>
      </c>
      <c r="Y1141" s="69" t="e" cm="1">
        <f t="array" ref="Y1141">_xlfn.XLOOKUP(Table1[[#This Row],[5 cm2 cell test code]:[5 cm2 cell test code]],[1]!Table1[[Test code]:[Test code]],[1]!Table1[3-E ƞ at 20mAcm-2 (mV)],"",0)</f>
        <v>#REF!</v>
      </c>
      <c r="Z1141" s="69" t="e" cm="1">
        <f t="array" ref="Z1141">_xlfn.XLOOKUP(Table1[[#This Row],[5 cm2 cell test code]:[5 cm2 cell test code]],[1]!Table1[[Test code]:[Test code]],[1]!Table1[3-E Tafel slope (mV/dec)],"",0)</f>
        <v>#REF!</v>
      </c>
      <c r="AA1141" s="69" t="e" cm="1">
        <f t="array" ref="AA1141">_xlfn.XLOOKUP(Table1[[#This Row],[5 cm2 cell test code]:[5 cm2 cell test code]],[1]!Table1[[Test code]:[Test code]],[1]!Table1[E @ 100 mA/cm2 DIW/V],"",0)</f>
        <v>#REF!</v>
      </c>
      <c r="AB1141" s="69" t="e" cm="1">
        <f t="array" ref="AB1141">_xlfn.XLOOKUP(Table1[[#This Row],[5 cm2 cell test code]:[5 cm2 cell test code]],[1]!Table1[[Test code]:[Test code]],[1]!Table1[E @ 100 mA/cm2 10 mM KOH/V],"",0)</f>
        <v>#REF!</v>
      </c>
      <c r="AC1141" s="69" t="e" cm="1">
        <f t="array" ref="AC1141">_xlfn.XLOOKUP(Table1[[#This Row],[5 cm2 cell test code]:[5 cm2 cell test code]],[1]!Table1[[Test code]:[Test code]],[1]!Table1[Anode ICR/mOhm],"",0)</f>
        <v>#REF!</v>
      </c>
      <c r="AD1141" s="69" t="e" cm="1">
        <f t="array" ref="AD1141">_xlfn.XLOOKUP(Table1[[#This Row],[5 cm2 cell test code]:[5 cm2 cell test code]],[1]!Table1[[Test code]:[Test code]],[1]!Table1[HFR DIW/ mOhm cm2],"",0)</f>
        <v>#REF!</v>
      </c>
      <c r="AE1141" s="69" t="e" cm="1">
        <f t="array" ref="AE1141">_xlfn.XLOOKUP(Table1[[#This Row],[5 cm2 cell test code]:[5 cm2 cell test code]],[1]!Table1[[Test code]:[Test code]],[1]!Table1[HFR 10 mM KOH/ mOhm cm2],"",0)</f>
        <v>#REF!</v>
      </c>
      <c r="AF1141" s="69" t="e" cm="1">
        <f t="array" ref="AF1141">_xlfn.XLOOKUP(Table1[[#This Row],[5 cm2 cell test code]:[5 cm2 cell test code]],[1]!Table1[[Test code]:[Test code]],[1]!Table1[Ionic resistance DIW/Ohm cm2],"",0)</f>
        <v>#REF!</v>
      </c>
      <c r="AG1141" s="69" t="e" cm="1">
        <f t="array" ref="AG1141">_xlfn.XLOOKUP(Table1[[#This Row],[5 cm2 cell test code]:[5 cm2 cell test code]],[1]!Table1[[Test code]:[Test code]],[1]!Table1[Q_int_frac DIW],"",0)</f>
        <v>#REF!</v>
      </c>
      <c r="AH1141" s="69" t="e" cm="1">
        <f t="array" ref="AH1141">_xlfn.XLOOKUP(Table1[[#This Row],[5 cm2 cell test code]:[5 cm2 cell test code]],[1]!Table1[[Test code]:[Test code]],[1]!Table1[Ionic resistance 10 mM KOH/Ohm cm2],"",0)</f>
        <v>#REF!</v>
      </c>
      <c r="AI1141" s="69" t="e" cm="1">
        <f t="array" ref="AI1141">_xlfn.XLOOKUP(Table1[[#This Row],[5 cm2 cell test code]:[5 cm2 cell test code]],[1]!Table1[[Test code]:[Test code]],[1]!Table1[Q_int_frac DIW 10 mM KOH],"",0)</f>
        <v>#REF!</v>
      </c>
      <c r="AJ1141" s="69" t="e" cm="1">
        <f t="array" ref="AJ1141">_xlfn.XLOOKUP(Table1[[#This Row],[5 cm2 cell test code]:[5 cm2 cell test code]],[1]!Table1[[Test code]:[Test code]],[1]!Table1[DIW conductivity (µS/cm)],"",0)</f>
        <v>#REF!</v>
      </c>
    </row>
    <row r="1142" spans="1:36">
      <c r="A1142" s="81"/>
      <c r="U1142" s="101"/>
      <c r="V1142" s="101"/>
      <c r="W1142" s="69" t="e" cm="1">
        <f t="array" ref="W1142">_xlfn.XLOOKUP(Table1[[#This Row],[5 cm2 cell test code]:[5 cm2 cell test code]],[1]!Table1[[Test code]:[Test code]],[1]!Table1[i @ 1.8 V DIW (A/cm2)],"",0)</f>
        <v>#REF!</v>
      </c>
      <c r="X1142" s="69" t="e" cm="1">
        <f t="array" ref="X1142">_xlfn.XLOOKUP(Table1[[#This Row],[5 cm2 cell test code]:[5 cm2 cell test code]],[1]!Table1[[Test code]:[Test code]],[1]!Table1[i @ 1.8 V 10 mM KOH (A/cm2)],"",0)</f>
        <v>#REF!</v>
      </c>
      <c r="Y1142" s="69" t="e" cm="1">
        <f t="array" ref="Y1142">_xlfn.XLOOKUP(Table1[[#This Row],[5 cm2 cell test code]:[5 cm2 cell test code]],[1]!Table1[[Test code]:[Test code]],[1]!Table1[3-E ƞ at 20mAcm-2 (mV)],"",0)</f>
        <v>#REF!</v>
      </c>
      <c r="Z1142" s="69" t="e" cm="1">
        <f t="array" ref="Z1142">_xlfn.XLOOKUP(Table1[[#This Row],[5 cm2 cell test code]:[5 cm2 cell test code]],[1]!Table1[[Test code]:[Test code]],[1]!Table1[3-E Tafel slope (mV/dec)],"",0)</f>
        <v>#REF!</v>
      </c>
      <c r="AA1142" s="69" t="e" cm="1">
        <f t="array" ref="AA1142">_xlfn.XLOOKUP(Table1[[#This Row],[5 cm2 cell test code]:[5 cm2 cell test code]],[1]!Table1[[Test code]:[Test code]],[1]!Table1[E @ 100 mA/cm2 DIW/V],"",0)</f>
        <v>#REF!</v>
      </c>
      <c r="AB1142" s="69" t="e" cm="1">
        <f t="array" ref="AB1142">_xlfn.XLOOKUP(Table1[[#This Row],[5 cm2 cell test code]:[5 cm2 cell test code]],[1]!Table1[[Test code]:[Test code]],[1]!Table1[E @ 100 mA/cm2 10 mM KOH/V],"",0)</f>
        <v>#REF!</v>
      </c>
      <c r="AC1142" s="69" t="e" cm="1">
        <f t="array" ref="AC1142">_xlfn.XLOOKUP(Table1[[#This Row],[5 cm2 cell test code]:[5 cm2 cell test code]],[1]!Table1[[Test code]:[Test code]],[1]!Table1[Anode ICR/mOhm],"",0)</f>
        <v>#REF!</v>
      </c>
      <c r="AD1142" s="69" t="e" cm="1">
        <f t="array" ref="AD1142">_xlfn.XLOOKUP(Table1[[#This Row],[5 cm2 cell test code]:[5 cm2 cell test code]],[1]!Table1[[Test code]:[Test code]],[1]!Table1[HFR DIW/ mOhm cm2],"",0)</f>
        <v>#REF!</v>
      </c>
      <c r="AE1142" s="69" t="e" cm="1">
        <f t="array" ref="AE1142">_xlfn.XLOOKUP(Table1[[#This Row],[5 cm2 cell test code]:[5 cm2 cell test code]],[1]!Table1[[Test code]:[Test code]],[1]!Table1[HFR 10 mM KOH/ mOhm cm2],"",0)</f>
        <v>#REF!</v>
      </c>
      <c r="AF1142" s="69" t="e" cm="1">
        <f t="array" ref="AF1142">_xlfn.XLOOKUP(Table1[[#This Row],[5 cm2 cell test code]:[5 cm2 cell test code]],[1]!Table1[[Test code]:[Test code]],[1]!Table1[Ionic resistance DIW/Ohm cm2],"",0)</f>
        <v>#REF!</v>
      </c>
      <c r="AG1142" s="69" t="e" cm="1">
        <f t="array" ref="AG1142">_xlfn.XLOOKUP(Table1[[#This Row],[5 cm2 cell test code]:[5 cm2 cell test code]],[1]!Table1[[Test code]:[Test code]],[1]!Table1[Q_int_frac DIW],"",0)</f>
        <v>#REF!</v>
      </c>
      <c r="AH1142" s="69" t="e" cm="1">
        <f t="array" ref="AH1142">_xlfn.XLOOKUP(Table1[[#This Row],[5 cm2 cell test code]:[5 cm2 cell test code]],[1]!Table1[[Test code]:[Test code]],[1]!Table1[Ionic resistance 10 mM KOH/Ohm cm2],"",0)</f>
        <v>#REF!</v>
      </c>
      <c r="AI1142" s="69" t="e" cm="1">
        <f t="array" ref="AI1142">_xlfn.XLOOKUP(Table1[[#This Row],[5 cm2 cell test code]:[5 cm2 cell test code]],[1]!Table1[[Test code]:[Test code]],[1]!Table1[Q_int_frac DIW 10 mM KOH],"",0)</f>
        <v>#REF!</v>
      </c>
      <c r="AJ1142" s="69" t="e" cm="1">
        <f t="array" ref="AJ1142">_xlfn.XLOOKUP(Table1[[#This Row],[5 cm2 cell test code]:[5 cm2 cell test code]],[1]!Table1[[Test code]:[Test code]],[1]!Table1[DIW conductivity (µS/cm)],"",0)</f>
        <v>#REF!</v>
      </c>
    </row>
    <row r="1143" spans="1:36">
      <c r="A1143" s="81"/>
      <c r="U1143" s="101"/>
      <c r="V1143" s="101"/>
      <c r="W1143" s="69" t="e" cm="1">
        <f t="array" ref="W1143">_xlfn.XLOOKUP(Table1[[#This Row],[5 cm2 cell test code]:[5 cm2 cell test code]],[1]!Table1[[Test code]:[Test code]],[1]!Table1[i @ 1.8 V DIW (A/cm2)],"",0)</f>
        <v>#REF!</v>
      </c>
      <c r="X1143" s="69" t="e" cm="1">
        <f t="array" ref="X1143">_xlfn.XLOOKUP(Table1[[#This Row],[5 cm2 cell test code]:[5 cm2 cell test code]],[1]!Table1[[Test code]:[Test code]],[1]!Table1[i @ 1.8 V 10 mM KOH (A/cm2)],"",0)</f>
        <v>#REF!</v>
      </c>
      <c r="Y1143" s="69" t="e" cm="1">
        <f t="array" ref="Y1143">_xlfn.XLOOKUP(Table1[[#This Row],[5 cm2 cell test code]:[5 cm2 cell test code]],[1]!Table1[[Test code]:[Test code]],[1]!Table1[3-E ƞ at 20mAcm-2 (mV)],"",0)</f>
        <v>#REF!</v>
      </c>
      <c r="Z1143" s="69" t="e" cm="1">
        <f t="array" ref="Z1143">_xlfn.XLOOKUP(Table1[[#This Row],[5 cm2 cell test code]:[5 cm2 cell test code]],[1]!Table1[[Test code]:[Test code]],[1]!Table1[3-E Tafel slope (mV/dec)],"",0)</f>
        <v>#REF!</v>
      </c>
      <c r="AA1143" s="69" t="e" cm="1">
        <f t="array" ref="AA1143">_xlfn.XLOOKUP(Table1[[#This Row],[5 cm2 cell test code]:[5 cm2 cell test code]],[1]!Table1[[Test code]:[Test code]],[1]!Table1[E @ 100 mA/cm2 DIW/V],"",0)</f>
        <v>#REF!</v>
      </c>
      <c r="AB1143" s="69" t="e" cm="1">
        <f t="array" ref="AB1143">_xlfn.XLOOKUP(Table1[[#This Row],[5 cm2 cell test code]:[5 cm2 cell test code]],[1]!Table1[[Test code]:[Test code]],[1]!Table1[E @ 100 mA/cm2 10 mM KOH/V],"",0)</f>
        <v>#REF!</v>
      </c>
      <c r="AC1143" s="69" t="e" cm="1">
        <f t="array" ref="AC1143">_xlfn.XLOOKUP(Table1[[#This Row],[5 cm2 cell test code]:[5 cm2 cell test code]],[1]!Table1[[Test code]:[Test code]],[1]!Table1[Anode ICR/mOhm],"",0)</f>
        <v>#REF!</v>
      </c>
      <c r="AD1143" s="69" t="e" cm="1">
        <f t="array" ref="AD1143">_xlfn.XLOOKUP(Table1[[#This Row],[5 cm2 cell test code]:[5 cm2 cell test code]],[1]!Table1[[Test code]:[Test code]],[1]!Table1[HFR DIW/ mOhm cm2],"",0)</f>
        <v>#REF!</v>
      </c>
      <c r="AE1143" s="69" t="e" cm="1">
        <f t="array" ref="AE1143">_xlfn.XLOOKUP(Table1[[#This Row],[5 cm2 cell test code]:[5 cm2 cell test code]],[1]!Table1[[Test code]:[Test code]],[1]!Table1[HFR 10 mM KOH/ mOhm cm2],"",0)</f>
        <v>#REF!</v>
      </c>
      <c r="AF1143" s="69" t="e" cm="1">
        <f t="array" ref="AF1143">_xlfn.XLOOKUP(Table1[[#This Row],[5 cm2 cell test code]:[5 cm2 cell test code]],[1]!Table1[[Test code]:[Test code]],[1]!Table1[Ionic resistance DIW/Ohm cm2],"",0)</f>
        <v>#REF!</v>
      </c>
      <c r="AG1143" s="69" t="e" cm="1">
        <f t="array" ref="AG1143">_xlfn.XLOOKUP(Table1[[#This Row],[5 cm2 cell test code]:[5 cm2 cell test code]],[1]!Table1[[Test code]:[Test code]],[1]!Table1[Q_int_frac DIW],"",0)</f>
        <v>#REF!</v>
      </c>
      <c r="AH1143" s="69" t="e" cm="1">
        <f t="array" ref="AH1143">_xlfn.XLOOKUP(Table1[[#This Row],[5 cm2 cell test code]:[5 cm2 cell test code]],[1]!Table1[[Test code]:[Test code]],[1]!Table1[Ionic resistance 10 mM KOH/Ohm cm2],"",0)</f>
        <v>#REF!</v>
      </c>
      <c r="AI1143" s="69" t="e" cm="1">
        <f t="array" ref="AI1143">_xlfn.XLOOKUP(Table1[[#This Row],[5 cm2 cell test code]:[5 cm2 cell test code]],[1]!Table1[[Test code]:[Test code]],[1]!Table1[Q_int_frac DIW 10 mM KOH],"",0)</f>
        <v>#REF!</v>
      </c>
      <c r="AJ1143" s="69" t="e" cm="1">
        <f t="array" ref="AJ1143">_xlfn.XLOOKUP(Table1[[#This Row],[5 cm2 cell test code]:[5 cm2 cell test code]],[1]!Table1[[Test code]:[Test code]],[1]!Table1[DIW conductivity (µS/cm)],"",0)</f>
        <v>#REF!</v>
      </c>
    </row>
    <row r="1144" spans="1:36">
      <c r="A1144" s="81"/>
      <c r="U1144" s="101"/>
      <c r="V1144" s="101"/>
      <c r="W1144" s="69" t="e" cm="1">
        <f t="array" ref="W1144">_xlfn.XLOOKUP(Table1[[#This Row],[5 cm2 cell test code]:[5 cm2 cell test code]],[1]!Table1[[Test code]:[Test code]],[1]!Table1[i @ 1.8 V DIW (A/cm2)],"",0)</f>
        <v>#REF!</v>
      </c>
      <c r="X1144" s="69" t="e" cm="1">
        <f t="array" ref="X1144">_xlfn.XLOOKUP(Table1[[#This Row],[5 cm2 cell test code]:[5 cm2 cell test code]],[1]!Table1[[Test code]:[Test code]],[1]!Table1[i @ 1.8 V 10 mM KOH (A/cm2)],"",0)</f>
        <v>#REF!</v>
      </c>
      <c r="Y1144" s="69" t="e" cm="1">
        <f t="array" ref="Y1144">_xlfn.XLOOKUP(Table1[[#This Row],[5 cm2 cell test code]:[5 cm2 cell test code]],[1]!Table1[[Test code]:[Test code]],[1]!Table1[3-E ƞ at 20mAcm-2 (mV)],"",0)</f>
        <v>#REF!</v>
      </c>
      <c r="Z1144" s="69" t="e" cm="1">
        <f t="array" ref="Z1144">_xlfn.XLOOKUP(Table1[[#This Row],[5 cm2 cell test code]:[5 cm2 cell test code]],[1]!Table1[[Test code]:[Test code]],[1]!Table1[3-E Tafel slope (mV/dec)],"",0)</f>
        <v>#REF!</v>
      </c>
      <c r="AA1144" s="69" t="e" cm="1">
        <f t="array" ref="AA1144">_xlfn.XLOOKUP(Table1[[#This Row],[5 cm2 cell test code]:[5 cm2 cell test code]],[1]!Table1[[Test code]:[Test code]],[1]!Table1[E @ 100 mA/cm2 DIW/V],"",0)</f>
        <v>#REF!</v>
      </c>
      <c r="AB1144" s="69" t="e" cm="1">
        <f t="array" ref="AB1144">_xlfn.XLOOKUP(Table1[[#This Row],[5 cm2 cell test code]:[5 cm2 cell test code]],[1]!Table1[[Test code]:[Test code]],[1]!Table1[E @ 100 mA/cm2 10 mM KOH/V],"",0)</f>
        <v>#REF!</v>
      </c>
      <c r="AC1144" s="69" t="e" cm="1">
        <f t="array" ref="AC1144">_xlfn.XLOOKUP(Table1[[#This Row],[5 cm2 cell test code]:[5 cm2 cell test code]],[1]!Table1[[Test code]:[Test code]],[1]!Table1[Anode ICR/mOhm],"",0)</f>
        <v>#REF!</v>
      </c>
      <c r="AD1144" s="69" t="e" cm="1">
        <f t="array" ref="AD1144">_xlfn.XLOOKUP(Table1[[#This Row],[5 cm2 cell test code]:[5 cm2 cell test code]],[1]!Table1[[Test code]:[Test code]],[1]!Table1[HFR DIW/ mOhm cm2],"",0)</f>
        <v>#REF!</v>
      </c>
      <c r="AE1144" s="69" t="e" cm="1">
        <f t="array" ref="AE1144">_xlfn.XLOOKUP(Table1[[#This Row],[5 cm2 cell test code]:[5 cm2 cell test code]],[1]!Table1[[Test code]:[Test code]],[1]!Table1[HFR 10 mM KOH/ mOhm cm2],"",0)</f>
        <v>#REF!</v>
      </c>
      <c r="AF1144" s="69" t="e" cm="1">
        <f t="array" ref="AF1144">_xlfn.XLOOKUP(Table1[[#This Row],[5 cm2 cell test code]:[5 cm2 cell test code]],[1]!Table1[[Test code]:[Test code]],[1]!Table1[Ionic resistance DIW/Ohm cm2],"",0)</f>
        <v>#REF!</v>
      </c>
      <c r="AG1144" s="69" t="e" cm="1">
        <f t="array" ref="AG1144">_xlfn.XLOOKUP(Table1[[#This Row],[5 cm2 cell test code]:[5 cm2 cell test code]],[1]!Table1[[Test code]:[Test code]],[1]!Table1[Q_int_frac DIW],"",0)</f>
        <v>#REF!</v>
      </c>
      <c r="AH1144" s="69" t="e" cm="1">
        <f t="array" ref="AH1144">_xlfn.XLOOKUP(Table1[[#This Row],[5 cm2 cell test code]:[5 cm2 cell test code]],[1]!Table1[[Test code]:[Test code]],[1]!Table1[Ionic resistance 10 mM KOH/Ohm cm2],"",0)</f>
        <v>#REF!</v>
      </c>
      <c r="AI1144" s="69" t="e" cm="1">
        <f t="array" ref="AI1144">_xlfn.XLOOKUP(Table1[[#This Row],[5 cm2 cell test code]:[5 cm2 cell test code]],[1]!Table1[[Test code]:[Test code]],[1]!Table1[Q_int_frac DIW 10 mM KOH],"",0)</f>
        <v>#REF!</v>
      </c>
      <c r="AJ1144" s="69" t="e" cm="1">
        <f t="array" ref="AJ1144">_xlfn.XLOOKUP(Table1[[#This Row],[5 cm2 cell test code]:[5 cm2 cell test code]],[1]!Table1[[Test code]:[Test code]],[1]!Table1[DIW conductivity (µS/cm)],"",0)</f>
        <v>#REF!</v>
      </c>
    </row>
    <row r="1145" spans="1:36">
      <c r="A1145" s="81"/>
      <c r="U1145" s="101"/>
      <c r="V1145" s="101"/>
      <c r="W1145" s="69" t="e" cm="1">
        <f t="array" ref="W1145">_xlfn.XLOOKUP(Table1[[#This Row],[5 cm2 cell test code]:[5 cm2 cell test code]],[1]!Table1[[Test code]:[Test code]],[1]!Table1[i @ 1.8 V DIW (A/cm2)],"",0)</f>
        <v>#REF!</v>
      </c>
      <c r="X1145" s="69" t="e" cm="1">
        <f t="array" ref="X1145">_xlfn.XLOOKUP(Table1[[#This Row],[5 cm2 cell test code]:[5 cm2 cell test code]],[1]!Table1[[Test code]:[Test code]],[1]!Table1[i @ 1.8 V 10 mM KOH (A/cm2)],"",0)</f>
        <v>#REF!</v>
      </c>
      <c r="Y1145" s="69" t="e" cm="1">
        <f t="array" ref="Y1145">_xlfn.XLOOKUP(Table1[[#This Row],[5 cm2 cell test code]:[5 cm2 cell test code]],[1]!Table1[[Test code]:[Test code]],[1]!Table1[3-E ƞ at 20mAcm-2 (mV)],"",0)</f>
        <v>#REF!</v>
      </c>
      <c r="Z1145" s="69" t="e" cm="1">
        <f t="array" ref="Z1145">_xlfn.XLOOKUP(Table1[[#This Row],[5 cm2 cell test code]:[5 cm2 cell test code]],[1]!Table1[[Test code]:[Test code]],[1]!Table1[3-E Tafel slope (mV/dec)],"",0)</f>
        <v>#REF!</v>
      </c>
      <c r="AA1145" s="69" t="e" cm="1">
        <f t="array" ref="AA1145">_xlfn.XLOOKUP(Table1[[#This Row],[5 cm2 cell test code]:[5 cm2 cell test code]],[1]!Table1[[Test code]:[Test code]],[1]!Table1[E @ 100 mA/cm2 DIW/V],"",0)</f>
        <v>#REF!</v>
      </c>
      <c r="AB1145" s="69" t="e" cm="1">
        <f t="array" ref="AB1145">_xlfn.XLOOKUP(Table1[[#This Row],[5 cm2 cell test code]:[5 cm2 cell test code]],[1]!Table1[[Test code]:[Test code]],[1]!Table1[E @ 100 mA/cm2 10 mM KOH/V],"",0)</f>
        <v>#REF!</v>
      </c>
      <c r="AC1145" s="69" t="e" cm="1">
        <f t="array" ref="AC1145">_xlfn.XLOOKUP(Table1[[#This Row],[5 cm2 cell test code]:[5 cm2 cell test code]],[1]!Table1[[Test code]:[Test code]],[1]!Table1[Anode ICR/mOhm],"",0)</f>
        <v>#REF!</v>
      </c>
      <c r="AD1145" s="69" t="e" cm="1">
        <f t="array" ref="AD1145">_xlfn.XLOOKUP(Table1[[#This Row],[5 cm2 cell test code]:[5 cm2 cell test code]],[1]!Table1[[Test code]:[Test code]],[1]!Table1[HFR DIW/ mOhm cm2],"",0)</f>
        <v>#REF!</v>
      </c>
      <c r="AE1145" s="69" t="e" cm="1">
        <f t="array" ref="AE1145">_xlfn.XLOOKUP(Table1[[#This Row],[5 cm2 cell test code]:[5 cm2 cell test code]],[1]!Table1[[Test code]:[Test code]],[1]!Table1[HFR 10 mM KOH/ mOhm cm2],"",0)</f>
        <v>#REF!</v>
      </c>
      <c r="AF1145" s="69" t="e" cm="1">
        <f t="array" ref="AF1145">_xlfn.XLOOKUP(Table1[[#This Row],[5 cm2 cell test code]:[5 cm2 cell test code]],[1]!Table1[[Test code]:[Test code]],[1]!Table1[Ionic resistance DIW/Ohm cm2],"",0)</f>
        <v>#REF!</v>
      </c>
      <c r="AG1145" s="69" t="e" cm="1">
        <f t="array" ref="AG1145">_xlfn.XLOOKUP(Table1[[#This Row],[5 cm2 cell test code]:[5 cm2 cell test code]],[1]!Table1[[Test code]:[Test code]],[1]!Table1[Q_int_frac DIW],"",0)</f>
        <v>#REF!</v>
      </c>
      <c r="AH1145" s="69" t="e" cm="1">
        <f t="array" ref="AH1145">_xlfn.XLOOKUP(Table1[[#This Row],[5 cm2 cell test code]:[5 cm2 cell test code]],[1]!Table1[[Test code]:[Test code]],[1]!Table1[Ionic resistance 10 mM KOH/Ohm cm2],"",0)</f>
        <v>#REF!</v>
      </c>
      <c r="AI1145" s="69" t="e" cm="1">
        <f t="array" ref="AI1145">_xlfn.XLOOKUP(Table1[[#This Row],[5 cm2 cell test code]:[5 cm2 cell test code]],[1]!Table1[[Test code]:[Test code]],[1]!Table1[Q_int_frac DIW 10 mM KOH],"",0)</f>
        <v>#REF!</v>
      </c>
      <c r="AJ1145" s="69" t="e" cm="1">
        <f t="array" ref="AJ1145">_xlfn.XLOOKUP(Table1[[#This Row],[5 cm2 cell test code]:[5 cm2 cell test code]],[1]!Table1[[Test code]:[Test code]],[1]!Table1[DIW conductivity (µS/cm)],"",0)</f>
        <v>#REF!</v>
      </c>
    </row>
    <row r="1146" spans="1:36">
      <c r="A1146" s="81"/>
      <c r="U1146" s="101"/>
      <c r="V1146" s="101"/>
      <c r="W1146" s="69" t="e" cm="1">
        <f t="array" ref="W1146">_xlfn.XLOOKUP(Table1[[#This Row],[5 cm2 cell test code]:[5 cm2 cell test code]],[1]!Table1[[Test code]:[Test code]],[1]!Table1[i @ 1.8 V DIW (A/cm2)],"",0)</f>
        <v>#REF!</v>
      </c>
      <c r="X1146" s="69" t="e" cm="1">
        <f t="array" ref="X1146">_xlfn.XLOOKUP(Table1[[#This Row],[5 cm2 cell test code]:[5 cm2 cell test code]],[1]!Table1[[Test code]:[Test code]],[1]!Table1[i @ 1.8 V 10 mM KOH (A/cm2)],"",0)</f>
        <v>#REF!</v>
      </c>
      <c r="Y1146" s="69" t="e" cm="1">
        <f t="array" ref="Y1146">_xlfn.XLOOKUP(Table1[[#This Row],[5 cm2 cell test code]:[5 cm2 cell test code]],[1]!Table1[[Test code]:[Test code]],[1]!Table1[3-E ƞ at 20mAcm-2 (mV)],"",0)</f>
        <v>#REF!</v>
      </c>
      <c r="Z1146" s="69" t="e" cm="1">
        <f t="array" ref="Z1146">_xlfn.XLOOKUP(Table1[[#This Row],[5 cm2 cell test code]:[5 cm2 cell test code]],[1]!Table1[[Test code]:[Test code]],[1]!Table1[3-E Tafel slope (mV/dec)],"",0)</f>
        <v>#REF!</v>
      </c>
      <c r="AA1146" s="69" t="e" cm="1">
        <f t="array" ref="AA1146">_xlfn.XLOOKUP(Table1[[#This Row],[5 cm2 cell test code]:[5 cm2 cell test code]],[1]!Table1[[Test code]:[Test code]],[1]!Table1[E @ 100 mA/cm2 DIW/V],"",0)</f>
        <v>#REF!</v>
      </c>
      <c r="AB1146" s="69" t="e" cm="1">
        <f t="array" ref="AB1146">_xlfn.XLOOKUP(Table1[[#This Row],[5 cm2 cell test code]:[5 cm2 cell test code]],[1]!Table1[[Test code]:[Test code]],[1]!Table1[E @ 100 mA/cm2 10 mM KOH/V],"",0)</f>
        <v>#REF!</v>
      </c>
      <c r="AC1146" s="69" t="e" cm="1">
        <f t="array" ref="AC1146">_xlfn.XLOOKUP(Table1[[#This Row],[5 cm2 cell test code]:[5 cm2 cell test code]],[1]!Table1[[Test code]:[Test code]],[1]!Table1[Anode ICR/mOhm],"",0)</f>
        <v>#REF!</v>
      </c>
      <c r="AD1146" s="69" t="e" cm="1">
        <f t="array" ref="AD1146">_xlfn.XLOOKUP(Table1[[#This Row],[5 cm2 cell test code]:[5 cm2 cell test code]],[1]!Table1[[Test code]:[Test code]],[1]!Table1[HFR DIW/ mOhm cm2],"",0)</f>
        <v>#REF!</v>
      </c>
      <c r="AE1146" s="69" t="e" cm="1">
        <f t="array" ref="AE1146">_xlfn.XLOOKUP(Table1[[#This Row],[5 cm2 cell test code]:[5 cm2 cell test code]],[1]!Table1[[Test code]:[Test code]],[1]!Table1[HFR 10 mM KOH/ mOhm cm2],"",0)</f>
        <v>#REF!</v>
      </c>
      <c r="AF1146" s="69" t="e" cm="1">
        <f t="array" ref="AF1146">_xlfn.XLOOKUP(Table1[[#This Row],[5 cm2 cell test code]:[5 cm2 cell test code]],[1]!Table1[[Test code]:[Test code]],[1]!Table1[Ionic resistance DIW/Ohm cm2],"",0)</f>
        <v>#REF!</v>
      </c>
      <c r="AG1146" s="69" t="e" cm="1">
        <f t="array" ref="AG1146">_xlfn.XLOOKUP(Table1[[#This Row],[5 cm2 cell test code]:[5 cm2 cell test code]],[1]!Table1[[Test code]:[Test code]],[1]!Table1[Q_int_frac DIW],"",0)</f>
        <v>#REF!</v>
      </c>
      <c r="AH1146" s="69" t="e" cm="1">
        <f t="array" ref="AH1146">_xlfn.XLOOKUP(Table1[[#This Row],[5 cm2 cell test code]:[5 cm2 cell test code]],[1]!Table1[[Test code]:[Test code]],[1]!Table1[Ionic resistance 10 mM KOH/Ohm cm2],"",0)</f>
        <v>#REF!</v>
      </c>
      <c r="AI1146" s="69" t="e" cm="1">
        <f t="array" ref="AI1146">_xlfn.XLOOKUP(Table1[[#This Row],[5 cm2 cell test code]:[5 cm2 cell test code]],[1]!Table1[[Test code]:[Test code]],[1]!Table1[Q_int_frac DIW 10 mM KOH],"",0)</f>
        <v>#REF!</v>
      </c>
      <c r="AJ1146" s="69" t="e" cm="1">
        <f t="array" ref="AJ1146">_xlfn.XLOOKUP(Table1[[#This Row],[5 cm2 cell test code]:[5 cm2 cell test code]],[1]!Table1[[Test code]:[Test code]],[1]!Table1[DIW conductivity (µS/cm)],"",0)</f>
        <v>#REF!</v>
      </c>
    </row>
    <row r="1147" spans="1:36">
      <c r="A1147" s="81"/>
      <c r="U1147" s="101"/>
      <c r="V1147" s="101"/>
      <c r="W1147" s="69" t="e" cm="1">
        <f t="array" ref="W1147">_xlfn.XLOOKUP(Table1[[#This Row],[5 cm2 cell test code]:[5 cm2 cell test code]],[1]!Table1[[Test code]:[Test code]],[1]!Table1[i @ 1.8 V DIW (A/cm2)],"",0)</f>
        <v>#REF!</v>
      </c>
      <c r="X1147" s="69" t="e" cm="1">
        <f t="array" ref="X1147">_xlfn.XLOOKUP(Table1[[#This Row],[5 cm2 cell test code]:[5 cm2 cell test code]],[1]!Table1[[Test code]:[Test code]],[1]!Table1[i @ 1.8 V 10 mM KOH (A/cm2)],"",0)</f>
        <v>#REF!</v>
      </c>
      <c r="Y1147" s="69" t="e" cm="1">
        <f t="array" ref="Y1147">_xlfn.XLOOKUP(Table1[[#This Row],[5 cm2 cell test code]:[5 cm2 cell test code]],[1]!Table1[[Test code]:[Test code]],[1]!Table1[3-E ƞ at 20mAcm-2 (mV)],"",0)</f>
        <v>#REF!</v>
      </c>
      <c r="Z1147" s="69" t="e" cm="1">
        <f t="array" ref="Z1147">_xlfn.XLOOKUP(Table1[[#This Row],[5 cm2 cell test code]:[5 cm2 cell test code]],[1]!Table1[[Test code]:[Test code]],[1]!Table1[3-E Tafel slope (mV/dec)],"",0)</f>
        <v>#REF!</v>
      </c>
      <c r="AA1147" s="69" t="e" cm="1">
        <f t="array" ref="AA1147">_xlfn.XLOOKUP(Table1[[#This Row],[5 cm2 cell test code]:[5 cm2 cell test code]],[1]!Table1[[Test code]:[Test code]],[1]!Table1[E @ 100 mA/cm2 DIW/V],"",0)</f>
        <v>#REF!</v>
      </c>
      <c r="AB1147" s="69" t="e" cm="1">
        <f t="array" ref="AB1147">_xlfn.XLOOKUP(Table1[[#This Row],[5 cm2 cell test code]:[5 cm2 cell test code]],[1]!Table1[[Test code]:[Test code]],[1]!Table1[E @ 100 mA/cm2 10 mM KOH/V],"",0)</f>
        <v>#REF!</v>
      </c>
      <c r="AC1147" s="69" t="e" cm="1">
        <f t="array" ref="AC1147">_xlfn.XLOOKUP(Table1[[#This Row],[5 cm2 cell test code]:[5 cm2 cell test code]],[1]!Table1[[Test code]:[Test code]],[1]!Table1[Anode ICR/mOhm],"",0)</f>
        <v>#REF!</v>
      </c>
      <c r="AD1147" s="69" t="e" cm="1">
        <f t="array" ref="AD1147">_xlfn.XLOOKUP(Table1[[#This Row],[5 cm2 cell test code]:[5 cm2 cell test code]],[1]!Table1[[Test code]:[Test code]],[1]!Table1[HFR DIW/ mOhm cm2],"",0)</f>
        <v>#REF!</v>
      </c>
      <c r="AE1147" s="69" t="e" cm="1">
        <f t="array" ref="AE1147">_xlfn.XLOOKUP(Table1[[#This Row],[5 cm2 cell test code]:[5 cm2 cell test code]],[1]!Table1[[Test code]:[Test code]],[1]!Table1[HFR 10 mM KOH/ mOhm cm2],"",0)</f>
        <v>#REF!</v>
      </c>
      <c r="AF1147" s="69" t="e" cm="1">
        <f t="array" ref="AF1147">_xlfn.XLOOKUP(Table1[[#This Row],[5 cm2 cell test code]:[5 cm2 cell test code]],[1]!Table1[[Test code]:[Test code]],[1]!Table1[Ionic resistance DIW/Ohm cm2],"",0)</f>
        <v>#REF!</v>
      </c>
      <c r="AG1147" s="69" t="e" cm="1">
        <f t="array" ref="AG1147">_xlfn.XLOOKUP(Table1[[#This Row],[5 cm2 cell test code]:[5 cm2 cell test code]],[1]!Table1[[Test code]:[Test code]],[1]!Table1[Q_int_frac DIW],"",0)</f>
        <v>#REF!</v>
      </c>
      <c r="AH1147" s="69" t="e" cm="1">
        <f t="array" ref="AH1147">_xlfn.XLOOKUP(Table1[[#This Row],[5 cm2 cell test code]:[5 cm2 cell test code]],[1]!Table1[[Test code]:[Test code]],[1]!Table1[Ionic resistance 10 mM KOH/Ohm cm2],"",0)</f>
        <v>#REF!</v>
      </c>
      <c r="AI1147" s="69" t="e" cm="1">
        <f t="array" ref="AI1147">_xlfn.XLOOKUP(Table1[[#This Row],[5 cm2 cell test code]:[5 cm2 cell test code]],[1]!Table1[[Test code]:[Test code]],[1]!Table1[Q_int_frac DIW 10 mM KOH],"",0)</f>
        <v>#REF!</v>
      </c>
      <c r="AJ1147" s="69" t="e" cm="1">
        <f t="array" ref="AJ1147">_xlfn.XLOOKUP(Table1[[#This Row],[5 cm2 cell test code]:[5 cm2 cell test code]],[1]!Table1[[Test code]:[Test code]],[1]!Table1[DIW conductivity (µS/cm)],"",0)</f>
        <v>#REF!</v>
      </c>
    </row>
    <row r="1148" spans="1:36">
      <c r="A1148" s="81"/>
      <c r="U1148" s="101"/>
      <c r="V1148" s="101"/>
      <c r="W1148" s="69" t="e" cm="1">
        <f t="array" ref="W1148">_xlfn.XLOOKUP(Table1[[#This Row],[5 cm2 cell test code]:[5 cm2 cell test code]],[1]!Table1[[Test code]:[Test code]],[1]!Table1[i @ 1.8 V DIW (A/cm2)],"",0)</f>
        <v>#REF!</v>
      </c>
      <c r="X1148" s="69" t="e" cm="1">
        <f t="array" ref="X1148">_xlfn.XLOOKUP(Table1[[#This Row],[5 cm2 cell test code]:[5 cm2 cell test code]],[1]!Table1[[Test code]:[Test code]],[1]!Table1[i @ 1.8 V 10 mM KOH (A/cm2)],"",0)</f>
        <v>#REF!</v>
      </c>
      <c r="Y1148" s="69" t="e" cm="1">
        <f t="array" ref="Y1148">_xlfn.XLOOKUP(Table1[[#This Row],[5 cm2 cell test code]:[5 cm2 cell test code]],[1]!Table1[[Test code]:[Test code]],[1]!Table1[3-E ƞ at 20mAcm-2 (mV)],"",0)</f>
        <v>#REF!</v>
      </c>
      <c r="Z1148" s="69" t="e" cm="1">
        <f t="array" ref="Z1148">_xlfn.XLOOKUP(Table1[[#This Row],[5 cm2 cell test code]:[5 cm2 cell test code]],[1]!Table1[[Test code]:[Test code]],[1]!Table1[3-E Tafel slope (mV/dec)],"",0)</f>
        <v>#REF!</v>
      </c>
      <c r="AA1148" s="69" t="e" cm="1">
        <f t="array" ref="AA1148">_xlfn.XLOOKUP(Table1[[#This Row],[5 cm2 cell test code]:[5 cm2 cell test code]],[1]!Table1[[Test code]:[Test code]],[1]!Table1[E @ 100 mA/cm2 DIW/V],"",0)</f>
        <v>#REF!</v>
      </c>
      <c r="AB1148" s="69" t="e" cm="1">
        <f t="array" ref="AB1148">_xlfn.XLOOKUP(Table1[[#This Row],[5 cm2 cell test code]:[5 cm2 cell test code]],[1]!Table1[[Test code]:[Test code]],[1]!Table1[E @ 100 mA/cm2 10 mM KOH/V],"",0)</f>
        <v>#REF!</v>
      </c>
      <c r="AC1148" s="69" t="e" cm="1">
        <f t="array" ref="AC1148">_xlfn.XLOOKUP(Table1[[#This Row],[5 cm2 cell test code]:[5 cm2 cell test code]],[1]!Table1[[Test code]:[Test code]],[1]!Table1[Anode ICR/mOhm],"",0)</f>
        <v>#REF!</v>
      </c>
      <c r="AD1148" s="69" t="e" cm="1">
        <f t="array" ref="AD1148">_xlfn.XLOOKUP(Table1[[#This Row],[5 cm2 cell test code]:[5 cm2 cell test code]],[1]!Table1[[Test code]:[Test code]],[1]!Table1[HFR DIW/ mOhm cm2],"",0)</f>
        <v>#REF!</v>
      </c>
      <c r="AE1148" s="69" t="e" cm="1">
        <f t="array" ref="AE1148">_xlfn.XLOOKUP(Table1[[#This Row],[5 cm2 cell test code]:[5 cm2 cell test code]],[1]!Table1[[Test code]:[Test code]],[1]!Table1[HFR 10 mM KOH/ mOhm cm2],"",0)</f>
        <v>#REF!</v>
      </c>
      <c r="AF1148" s="69" t="e" cm="1">
        <f t="array" ref="AF1148">_xlfn.XLOOKUP(Table1[[#This Row],[5 cm2 cell test code]:[5 cm2 cell test code]],[1]!Table1[[Test code]:[Test code]],[1]!Table1[Ionic resistance DIW/Ohm cm2],"",0)</f>
        <v>#REF!</v>
      </c>
      <c r="AG1148" s="69" t="e" cm="1">
        <f t="array" ref="AG1148">_xlfn.XLOOKUP(Table1[[#This Row],[5 cm2 cell test code]:[5 cm2 cell test code]],[1]!Table1[[Test code]:[Test code]],[1]!Table1[Q_int_frac DIW],"",0)</f>
        <v>#REF!</v>
      </c>
      <c r="AH1148" s="69" t="e" cm="1">
        <f t="array" ref="AH1148">_xlfn.XLOOKUP(Table1[[#This Row],[5 cm2 cell test code]:[5 cm2 cell test code]],[1]!Table1[[Test code]:[Test code]],[1]!Table1[Ionic resistance 10 mM KOH/Ohm cm2],"",0)</f>
        <v>#REF!</v>
      </c>
      <c r="AI1148" s="69" t="e" cm="1">
        <f t="array" ref="AI1148">_xlfn.XLOOKUP(Table1[[#This Row],[5 cm2 cell test code]:[5 cm2 cell test code]],[1]!Table1[[Test code]:[Test code]],[1]!Table1[Q_int_frac DIW 10 mM KOH],"",0)</f>
        <v>#REF!</v>
      </c>
      <c r="AJ1148" s="69" t="e" cm="1">
        <f t="array" ref="AJ1148">_xlfn.XLOOKUP(Table1[[#This Row],[5 cm2 cell test code]:[5 cm2 cell test code]],[1]!Table1[[Test code]:[Test code]],[1]!Table1[DIW conductivity (µS/cm)],"",0)</f>
        <v>#REF!</v>
      </c>
    </row>
    <row r="1149" spans="1:36">
      <c r="A1149" s="81"/>
      <c r="U1149" s="101"/>
      <c r="V1149" s="101"/>
      <c r="W1149" s="69" t="e" cm="1">
        <f t="array" ref="W1149">_xlfn.XLOOKUP(Table1[[#This Row],[5 cm2 cell test code]:[5 cm2 cell test code]],[1]!Table1[[Test code]:[Test code]],[1]!Table1[i @ 1.8 V DIW (A/cm2)],"",0)</f>
        <v>#REF!</v>
      </c>
      <c r="X1149" s="69" t="e" cm="1">
        <f t="array" ref="X1149">_xlfn.XLOOKUP(Table1[[#This Row],[5 cm2 cell test code]:[5 cm2 cell test code]],[1]!Table1[[Test code]:[Test code]],[1]!Table1[i @ 1.8 V 10 mM KOH (A/cm2)],"",0)</f>
        <v>#REF!</v>
      </c>
      <c r="Y1149" s="69" t="e" cm="1">
        <f t="array" ref="Y1149">_xlfn.XLOOKUP(Table1[[#This Row],[5 cm2 cell test code]:[5 cm2 cell test code]],[1]!Table1[[Test code]:[Test code]],[1]!Table1[3-E ƞ at 20mAcm-2 (mV)],"",0)</f>
        <v>#REF!</v>
      </c>
      <c r="Z1149" s="69" t="e" cm="1">
        <f t="array" ref="Z1149">_xlfn.XLOOKUP(Table1[[#This Row],[5 cm2 cell test code]:[5 cm2 cell test code]],[1]!Table1[[Test code]:[Test code]],[1]!Table1[3-E Tafel slope (mV/dec)],"",0)</f>
        <v>#REF!</v>
      </c>
      <c r="AA1149" s="69" t="e" cm="1">
        <f t="array" ref="AA1149">_xlfn.XLOOKUP(Table1[[#This Row],[5 cm2 cell test code]:[5 cm2 cell test code]],[1]!Table1[[Test code]:[Test code]],[1]!Table1[E @ 100 mA/cm2 DIW/V],"",0)</f>
        <v>#REF!</v>
      </c>
      <c r="AB1149" s="69" t="e" cm="1">
        <f t="array" ref="AB1149">_xlfn.XLOOKUP(Table1[[#This Row],[5 cm2 cell test code]:[5 cm2 cell test code]],[1]!Table1[[Test code]:[Test code]],[1]!Table1[E @ 100 mA/cm2 10 mM KOH/V],"",0)</f>
        <v>#REF!</v>
      </c>
      <c r="AC1149" s="69" t="e" cm="1">
        <f t="array" ref="AC1149">_xlfn.XLOOKUP(Table1[[#This Row],[5 cm2 cell test code]:[5 cm2 cell test code]],[1]!Table1[[Test code]:[Test code]],[1]!Table1[Anode ICR/mOhm],"",0)</f>
        <v>#REF!</v>
      </c>
      <c r="AD1149" s="69" t="e" cm="1">
        <f t="array" ref="AD1149">_xlfn.XLOOKUP(Table1[[#This Row],[5 cm2 cell test code]:[5 cm2 cell test code]],[1]!Table1[[Test code]:[Test code]],[1]!Table1[HFR DIW/ mOhm cm2],"",0)</f>
        <v>#REF!</v>
      </c>
      <c r="AE1149" s="69" t="e" cm="1">
        <f t="array" ref="AE1149">_xlfn.XLOOKUP(Table1[[#This Row],[5 cm2 cell test code]:[5 cm2 cell test code]],[1]!Table1[[Test code]:[Test code]],[1]!Table1[HFR 10 mM KOH/ mOhm cm2],"",0)</f>
        <v>#REF!</v>
      </c>
      <c r="AF1149" s="69" t="e" cm="1">
        <f t="array" ref="AF1149">_xlfn.XLOOKUP(Table1[[#This Row],[5 cm2 cell test code]:[5 cm2 cell test code]],[1]!Table1[[Test code]:[Test code]],[1]!Table1[Ionic resistance DIW/Ohm cm2],"",0)</f>
        <v>#REF!</v>
      </c>
      <c r="AG1149" s="69" t="e" cm="1">
        <f t="array" ref="AG1149">_xlfn.XLOOKUP(Table1[[#This Row],[5 cm2 cell test code]:[5 cm2 cell test code]],[1]!Table1[[Test code]:[Test code]],[1]!Table1[Q_int_frac DIW],"",0)</f>
        <v>#REF!</v>
      </c>
      <c r="AH1149" s="69" t="e" cm="1">
        <f t="array" ref="AH1149">_xlfn.XLOOKUP(Table1[[#This Row],[5 cm2 cell test code]:[5 cm2 cell test code]],[1]!Table1[[Test code]:[Test code]],[1]!Table1[Ionic resistance 10 mM KOH/Ohm cm2],"",0)</f>
        <v>#REF!</v>
      </c>
      <c r="AI1149" s="69" t="e" cm="1">
        <f t="array" ref="AI1149">_xlfn.XLOOKUP(Table1[[#This Row],[5 cm2 cell test code]:[5 cm2 cell test code]],[1]!Table1[[Test code]:[Test code]],[1]!Table1[Q_int_frac DIW 10 mM KOH],"",0)</f>
        <v>#REF!</v>
      </c>
      <c r="AJ1149" s="69" t="e" cm="1">
        <f t="array" ref="AJ1149">_xlfn.XLOOKUP(Table1[[#This Row],[5 cm2 cell test code]:[5 cm2 cell test code]],[1]!Table1[[Test code]:[Test code]],[1]!Table1[DIW conductivity (µS/cm)],"",0)</f>
        <v>#REF!</v>
      </c>
    </row>
    <row r="1150" spans="1:36">
      <c r="A1150" s="81"/>
      <c r="U1150" s="101"/>
      <c r="V1150" s="101"/>
      <c r="W1150" s="69" t="e" cm="1">
        <f t="array" ref="W1150">_xlfn.XLOOKUP(Table1[[#This Row],[5 cm2 cell test code]:[5 cm2 cell test code]],[1]!Table1[[Test code]:[Test code]],[1]!Table1[i @ 1.8 V DIW (A/cm2)],"",0)</f>
        <v>#REF!</v>
      </c>
      <c r="X1150" s="69" t="e" cm="1">
        <f t="array" ref="X1150">_xlfn.XLOOKUP(Table1[[#This Row],[5 cm2 cell test code]:[5 cm2 cell test code]],[1]!Table1[[Test code]:[Test code]],[1]!Table1[i @ 1.8 V 10 mM KOH (A/cm2)],"",0)</f>
        <v>#REF!</v>
      </c>
      <c r="Y1150" s="69" t="e" cm="1">
        <f t="array" ref="Y1150">_xlfn.XLOOKUP(Table1[[#This Row],[5 cm2 cell test code]:[5 cm2 cell test code]],[1]!Table1[[Test code]:[Test code]],[1]!Table1[3-E ƞ at 20mAcm-2 (mV)],"",0)</f>
        <v>#REF!</v>
      </c>
      <c r="Z1150" s="69" t="e" cm="1">
        <f t="array" ref="Z1150">_xlfn.XLOOKUP(Table1[[#This Row],[5 cm2 cell test code]:[5 cm2 cell test code]],[1]!Table1[[Test code]:[Test code]],[1]!Table1[3-E Tafel slope (mV/dec)],"",0)</f>
        <v>#REF!</v>
      </c>
      <c r="AA1150" s="69" t="e" cm="1">
        <f t="array" ref="AA1150">_xlfn.XLOOKUP(Table1[[#This Row],[5 cm2 cell test code]:[5 cm2 cell test code]],[1]!Table1[[Test code]:[Test code]],[1]!Table1[E @ 100 mA/cm2 DIW/V],"",0)</f>
        <v>#REF!</v>
      </c>
      <c r="AB1150" s="69" t="e" cm="1">
        <f t="array" ref="AB1150">_xlfn.XLOOKUP(Table1[[#This Row],[5 cm2 cell test code]:[5 cm2 cell test code]],[1]!Table1[[Test code]:[Test code]],[1]!Table1[E @ 100 mA/cm2 10 mM KOH/V],"",0)</f>
        <v>#REF!</v>
      </c>
      <c r="AC1150" s="69" t="e" cm="1">
        <f t="array" ref="AC1150">_xlfn.XLOOKUP(Table1[[#This Row],[5 cm2 cell test code]:[5 cm2 cell test code]],[1]!Table1[[Test code]:[Test code]],[1]!Table1[Anode ICR/mOhm],"",0)</f>
        <v>#REF!</v>
      </c>
      <c r="AD1150" s="69" t="e" cm="1">
        <f t="array" ref="AD1150">_xlfn.XLOOKUP(Table1[[#This Row],[5 cm2 cell test code]:[5 cm2 cell test code]],[1]!Table1[[Test code]:[Test code]],[1]!Table1[HFR DIW/ mOhm cm2],"",0)</f>
        <v>#REF!</v>
      </c>
      <c r="AE1150" s="69" t="e" cm="1">
        <f t="array" ref="AE1150">_xlfn.XLOOKUP(Table1[[#This Row],[5 cm2 cell test code]:[5 cm2 cell test code]],[1]!Table1[[Test code]:[Test code]],[1]!Table1[HFR 10 mM KOH/ mOhm cm2],"",0)</f>
        <v>#REF!</v>
      </c>
      <c r="AF1150" s="69" t="e" cm="1">
        <f t="array" ref="AF1150">_xlfn.XLOOKUP(Table1[[#This Row],[5 cm2 cell test code]:[5 cm2 cell test code]],[1]!Table1[[Test code]:[Test code]],[1]!Table1[Ionic resistance DIW/Ohm cm2],"",0)</f>
        <v>#REF!</v>
      </c>
      <c r="AG1150" s="69" t="e" cm="1">
        <f t="array" ref="AG1150">_xlfn.XLOOKUP(Table1[[#This Row],[5 cm2 cell test code]:[5 cm2 cell test code]],[1]!Table1[[Test code]:[Test code]],[1]!Table1[Q_int_frac DIW],"",0)</f>
        <v>#REF!</v>
      </c>
      <c r="AH1150" s="69" t="e" cm="1">
        <f t="array" ref="AH1150">_xlfn.XLOOKUP(Table1[[#This Row],[5 cm2 cell test code]:[5 cm2 cell test code]],[1]!Table1[[Test code]:[Test code]],[1]!Table1[Ionic resistance 10 mM KOH/Ohm cm2],"",0)</f>
        <v>#REF!</v>
      </c>
      <c r="AI1150" s="69" t="e" cm="1">
        <f t="array" ref="AI1150">_xlfn.XLOOKUP(Table1[[#This Row],[5 cm2 cell test code]:[5 cm2 cell test code]],[1]!Table1[[Test code]:[Test code]],[1]!Table1[Q_int_frac DIW 10 mM KOH],"",0)</f>
        <v>#REF!</v>
      </c>
      <c r="AJ1150" s="69" t="e" cm="1">
        <f t="array" ref="AJ1150">_xlfn.XLOOKUP(Table1[[#This Row],[5 cm2 cell test code]:[5 cm2 cell test code]],[1]!Table1[[Test code]:[Test code]],[1]!Table1[DIW conductivity (µS/cm)],"",0)</f>
        <v>#REF!</v>
      </c>
    </row>
    <row r="1151" spans="1:36">
      <c r="A1151" s="81"/>
      <c r="U1151" s="101"/>
      <c r="V1151" s="101"/>
      <c r="W1151" s="69" t="e" cm="1">
        <f t="array" ref="W1151">_xlfn.XLOOKUP(Table1[[#This Row],[5 cm2 cell test code]:[5 cm2 cell test code]],[1]!Table1[[Test code]:[Test code]],[1]!Table1[i @ 1.8 V DIW (A/cm2)],"",0)</f>
        <v>#REF!</v>
      </c>
      <c r="X1151" s="69" t="e" cm="1">
        <f t="array" ref="X1151">_xlfn.XLOOKUP(Table1[[#This Row],[5 cm2 cell test code]:[5 cm2 cell test code]],[1]!Table1[[Test code]:[Test code]],[1]!Table1[i @ 1.8 V 10 mM KOH (A/cm2)],"",0)</f>
        <v>#REF!</v>
      </c>
      <c r="Y1151" s="69" t="e" cm="1">
        <f t="array" ref="Y1151">_xlfn.XLOOKUP(Table1[[#This Row],[5 cm2 cell test code]:[5 cm2 cell test code]],[1]!Table1[[Test code]:[Test code]],[1]!Table1[3-E ƞ at 20mAcm-2 (mV)],"",0)</f>
        <v>#REF!</v>
      </c>
      <c r="Z1151" s="69" t="e" cm="1">
        <f t="array" ref="Z1151">_xlfn.XLOOKUP(Table1[[#This Row],[5 cm2 cell test code]:[5 cm2 cell test code]],[1]!Table1[[Test code]:[Test code]],[1]!Table1[3-E Tafel slope (mV/dec)],"",0)</f>
        <v>#REF!</v>
      </c>
      <c r="AA1151" s="69" t="e" cm="1">
        <f t="array" ref="AA1151">_xlfn.XLOOKUP(Table1[[#This Row],[5 cm2 cell test code]:[5 cm2 cell test code]],[1]!Table1[[Test code]:[Test code]],[1]!Table1[E @ 100 mA/cm2 DIW/V],"",0)</f>
        <v>#REF!</v>
      </c>
      <c r="AB1151" s="69" t="e" cm="1">
        <f t="array" ref="AB1151">_xlfn.XLOOKUP(Table1[[#This Row],[5 cm2 cell test code]:[5 cm2 cell test code]],[1]!Table1[[Test code]:[Test code]],[1]!Table1[E @ 100 mA/cm2 10 mM KOH/V],"",0)</f>
        <v>#REF!</v>
      </c>
      <c r="AC1151" s="69" t="e" cm="1">
        <f t="array" ref="AC1151">_xlfn.XLOOKUP(Table1[[#This Row],[5 cm2 cell test code]:[5 cm2 cell test code]],[1]!Table1[[Test code]:[Test code]],[1]!Table1[Anode ICR/mOhm],"",0)</f>
        <v>#REF!</v>
      </c>
      <c r="AD1151" s="69" t="e" cm="1">
        <f t="array" ref="AD1151">_xlfn.XLOOKUP(Table1[[#This Row],[5 cm2 cell test code]:[5 cm2 cell test code]],[1]!Table1[[Test code]:[Test code]],[1]!Table1[HFR DIW/ mOhm cm2],"",0)</f>
        <v>#REF!</v>
      </c>
      <c r="AE1151" s="69" t="e" cm="1">
        <f t="array" ref="AE1151">_xlfn.XLOOKUP(Table1[[#This Row],[5 cm2 cell test code]:[5 cm2 cell test code]],[1]!Table1[[Test code]:[Test code]],[1]!Table1[HFR 10 mM KOH/ mOhm cm2],"",0)</f>
        <v>#REF!</v>
      </c>
      <c r="AF1151" s="69" t="e" cm="1">
        <f t="array" ref="AF1151">_xlfn.XLOOKUP(Table1[[#This Row],[5 cm2 cell test code]:[5 cm2 cell test code]],[1]!Table1[[Test code]:[Test code]],[1]!Table1[Ionic resistance DIW/Ohm cm2],"",0)</f>
        <v>#REF!</v>
      </c>
      <c r="AG1151" s="69" t="e" cm="1">
        <f t="array" ref="AG1151">_xlfn.XLOOKUP(Table1[[#This Row],[5 cm2 cell test code]:[5 cm2 cell test code]],[1]!Table1[[Test code]:[Test code]],[1]!Table1[Q_int_frac DIW],"",0)</f>
        <v>#REF!</v>
      </c>
      <c r="AH1151" s="69" t="e" cm="1">
        <f t="array" ref="AH1151">_xlfn.XLOOKUP(Table1[[#This Row],[5 cm2 cell test code]:[5 cm2 cell test code]],[1]!Table1[[Test code]:[Test code]],[1]!Table1[Ionic resistance 10 mM KOH/Ohm cm2],"",0)</f>
        <v>#REF!</v>
      </c>
      <c r="AI1151" s="69" t="e" cm="1">
        <f t="array" ref="AI1151">_xlfn.XLOOKUP(Table1[[#This Row],[5 cm2 cell test code]:[5 cm2 cell test code]],[1]!Table1[[Test code]:[Test code]],[1]!Table1[Q_int_frac DIW 10 mM KOH],"",0)</f>
        <v>#REF!</v>
      </c>
      <c r="AJ1151" s="69" t="e" cm="1">
        <f t="array" ref="AJ1151">_xlfn.XLOOKUP(Table1[[#This Row],[5 cm2 cell test code]:[5 cm2 cell test code]],[1]!Table1[[Test code]:[Test code]],[1]!Table1[DIW conductivity (µS/cm)],"",0)</f>
        <v>#REF!</v>
      </c>
    </row>
    <row r="1152" spans="1:36">
      <c r="A1152" s="81"/>
      <c r="U1152" s="101"/>
      <c r="V1152" s="101"/>
      <c r="W1152" s="69" t="e" cm="1">
        <f t="array" ref="W1152">_xlfn.XLOOKUP(Table1[[#This Row],[5 cm2 cell test code]:[5 cm2 cell test code]],[1]!Table1[[Test code]:[Test code]],[1]!Table1[i @ 1.8 V DIW (A/cm2)],"",0)</f>
        <v>#REF!</v>
      </c>
      <c r="X1152" s="69" t="e" cm="1">
        <f t="array" ref="X1152">_xlfn.XLOOKUP(Table1[[#This Row],[5 cm2 cell test code]:[5 cm2 cell test code]],[1]!Table1[[Test code]:[Test code]],[1]!Table1[i @ 1.8 V 10 mM KOH (A/cm2)],"",0)</f>
        <v>#REF!</v>
      </c>
      <c r="Y1152" s="69" t="e" cm="1">
        <f t="array" ref="Y1152">_xlfn.XLOOKUP(Table1[[#This Row],[5 cm2 cell test code]:[5 cm2 cell test code]],[1]!Table1[[Test code]:[Test code]],[1]!Table1[3-E ƞ at 20mAcm-2 (mV)],"",0)</f>
        <v>#REF!</v>
      </c>
      <c r="Z1152" s="69" t="e" cm="1">
        <f t="array" ref="Z1152">_xlfn.XLOOKUP(Table1[[#This Row],[5 cm2 cell test code]:[5 cm2 cell test code]],[1]!Table1[[Test code]:[Test code]],[1]!Table1[3-E Tafel slope (mV/dec)],"",0)</f>
        <v>#REF!</v>
      </c>
      <c r="AA1152" s="69" t="e" cm="1">
        <f t="array" ref="AA1152">_xlfn.XLOOKUP(Table1[[#This Row],[5 cm2 cell test code]:[5 cm2 cell test code]],[1]!Table1[[Test code]:[Test code]],[1]!Table1[E @ 100 mA/cm2 DIW/V],"",0)</f>
        <v>#REF!</v>
      </c>
      <c r="AB1152" s="69" t="e" cm="1">
        <f t="array" ref="AB1152">_xlfn.XLOOKUP(Table1[[#This Row],[5 cm2 cell test code]:[5 cm2 cell test code]],[1]!Table1[[Test code]:[Test code]],[1]!Table1[E @ 100 mA/cm2 10 mM KOH/V],"",0)</f>
        <v>#REF!</v>
      </c>
      <c r="AC1152" s="69" t="e" cm="1">
        <f t="array" ref="AC1152">_xlfn.XLOOKUP(Table1[[#This Row],[5 cm2 cell test code]:[5 cm2 cell test code]],[1]!Table1[[Test code]:[Test code]],[1]!Table1[Anode ICR/mOhm],"",0)</f>
        <v>#REF!</v>
      </c>
      <c r="AD1152" s="69" t="e" cm="1">
        <f t="array" ref="AD1152">_xlfn.XLOOKUP(Table1[[#This Row],[5 cm2 cell test code]:[5 cm2 cell test code]],[1]!Table1[[Test code]:[Test code]],[1]!Table1[HFR DIW/ mOhm cm2],"",0)</f>
        <v>#REF!</v>
      </c>
      <c r="AE1152" s="69" t="e" cm="1">
        <f t="array" ref="AE1152">_xlfn.XLOOKUP(Table1[[#This Row],[5 cm2 cell test code]:[5 cm2 cell test code]],[1]!Table1[[Test code]:[Test code]],[1]!Table1[HFR 10 mM KOH/ mOhm cm2],"",0)</f>
        <v>#REF!</v>
      </c>
      <c r="AF1152" s="69" t="e" cm="1">
        <f t="array" ref="AF1152">_xlfn.XLOOKUP(Table1[[#This Row],[5 cm2 cell test code]:[5 cm2 cell test code]],[1]!Table1[[Test code]:[Test code]],[1]!Table1[Ionic resistance DIW/Ohm cm2],"",0)</f>
        <v>#REF!</v>
      </c>
      <c r="AG1152" s="69" t="e" cm="1">
        <f t="array" ref="AG1152">_xlfn.XLOOKUP(Table1[[#This Row],[5 cm2 cell test code]:[5 cm2 cell test code]],[1]!Table1[[Test code]:[Test code]],[1]!Table1[Q_int_frac DIW],"",0)</f>
        <v>#REF!</v>
      </c>
      <c r="AH1152" s="69" t="e" cm="1">
        <f t="array" ref="AH1152">_xlfn.XLOOKUP(Table1[[#This Row],[5 cm2 cell test code]:[5 cm2 cell test code]],[1]!Table1[[Test code]:[Test code]],[1]!Table1[Ionic resistance 10 mM KOH/Ohm cm2],"",0)</f>
        <v>#REF!</v>
      </c>
      <c r="AI1152" s="69" t="e" cm="1">
        <f t="array" ref="AI1152">_xlfn.XLOOKUP(Table1[[#This Row],[5 cm2 cell test code]:[5 cm2 cell test code]],[1]!Table1[[Test code]:[Test code]],[1]!Table1[Q_int_frac DIW 10 mM KOH],"",0)</f>
        <v>#REF!</v>
      </c>
      <c r="AJ1152" s="69" t="e" cm="1">
        <f t="array" ref="AJ1152">_xlfn.XLOOKUP(Table1[[#This Row],[5 cm2 cell test code]:[5 cm2 cell test code]],[1]!Table1[[Test code]:[Test code]],[1]!Table1[DIW conductivity (µS/cm)],"",0)</f>
        <v>#REF!</v>
      </c>
    </row>
    <row r="1153" spans="1:36">
      <c r="A1153" s="81"/>
      <c r="U1153" s="101"/>
      <c r="V1153" s="101"/>
      <c r="W1153" s="69" t="e" cm="1">
        <f t="array" ref="W1153">_xlfn.XLOOKUP(Table1[[#This Row],[5 cm2 cell test code]:[5 cm2 cell test code]],[1]!Table1[[Test code]:[Test code]],[1]!Table1[i @ 1.8 V DIW (A/cm2)],"",0)</f>
        <v>#REF!</v>
      </c>
      <c r="X1153" s="69" t="e" cm="1">
        <f t="array" ref="X1153">_xlfn.XLOOKUP(Table1[[#This Row],[5 cm2 cell test code]:[5 cm2 cell test code]],[1]!Table1[[Test code]:[Test code]],[1]!Table1[i @ 1.8 V 10 mM KOH (A/cm2)],"",0)</f>
        <v>#REF!</v>
      </c>
      <c r="Y1153" s="69" t="e" cm="1">
        <f t="array" ref="Y1153">_xlfn.XLOOKUP(Table1[[#This Row],[5 cm2 cell test code]:[5 cm2 cell test code]],[1]!Table1[[Test code]:[Test code]],[1]!Table1[3-E ƞ at 20mAcm-2 (mV)],"",0)</f>
        <v>#REF!</v>
      </c>
      <c r="Z1153" s="69" t="e" cm="1">
        <f t="array" ref="Z1153">_xlfn.XLOOKUP(Table1[[#This Row],[5 cm2 cell test code]:[5 cm2 cell test code]],[1]!Table1[[Test code]:[Test code]],[1]!Table1[3-E Tafel slope (mV/dec)],"",0)</f>
        <v>#REF!</v>
      </c>
      <c r="AA1153" s="69" t="e" cm="1">
        <f t="array" ref="AA1153">_xlfn.XLOOKUP(Table1[[#This Row],[5 cm2 cell test code]:[5 cm2 cell test code]],[1]!Table1[[Test code]:[Test code]],[1]!Table1[E @ 100 mA/cm2 DIW/V],"",0)</f>
        <v>#REF!</v>
      </c>
      <c r="AB1153" s="69" t="e" cm="1">
        <f t="array" ref="AB1153">_xlfn.XLOOKUP(Table1[[#This Row],[5 cm2 cell test code]:[5 cm2 cell test code]],[1]!Table1[[Test code]:[Test code]],[1]!Table1[E @ 100 mA/cm2 10 mM KOH/V],"",0)</f>
        <v>#REF!</v>
      </c>
      <c r="AC1153" s="69" t="e" cm="1">
        <f t="array" ref="AC1153">_xlfn.XLOOKUP(Table1[[#This Row],[5 cm2 cell test code]:[5 cm2 cell test code]],[1]!Table1[[Test code]:[Test code]],[1]!Table1[Anode ICR/mOhm],"",0)</f>
        <v>#REF!</v>
      </c>
      <c r="AD1153" s="69" t="e" cm="1">
        <f t="array" ref="AD1153">_xlfn.XLOOKUP(Table1[[#This Row],[5 cm2 cell test code]:[5 cm2 cell test code]],[1]!Table1[[Test code]:[Test code]],[1]!Table1[HFR DIW/ mOhm cm2],"",0)</f>
        <v>#REF!</v>
      </c>
      <c r="AE1153" s="69" t="e" cm="1">
        <f t="array" ref="AE1153">_xlfn.XLOOKUP(Table1[[#This Row],[5 cm2 cell test code]:[5 cm2 cell test code]],[1]!Table1[[Test code]:[Test code]],[1]!Table1[HFR 10 mM KOH/ mOhm cm2],"",0)</f>
        <v>#REF!</v>
      </c>
      <c r="AF1153" s="69" t="e" cm="1">
        <f t="array" ref="AF1153">_xlfn.XLOOKUP(Table1[[#This Row],[5 cm2 cell test code]:[5 cm2 cell test code]],[1]!Table1[[Test code]:[Test code]],[1]!Table1[Ionic resistance DIW/Ohm cm2],"",0)</f>
        <v>#REF!</v>
      </c>
      <c r="AG1153" s="69" t="e" cm="1">
        <f t="array" ref="AG1153">_xlfn.XLOOKUP(Table1[[#This Row],[5 cm2 cell test code]:[5 cm2 cell test code]],[1]!Table1[[Test code]:[Test code]],[1]!Table1[Q_int_frac DIW],"",0)</f>
        <v>#REF!</v>
      </c>
      <c r="AH1153" s="69" t="e" cm="1">
        <f t="array" ref="AH1153">_xlfn.XLOOKUP(Table1[[#This Row],[5 cm2 cell test code]:[5 cm2 cell test code]],[1]!Table1[[Test code]:[Test code]],[1]!Table1[Ionic resistance 10 mM KOH/Ohm cm2],"",0)</f>
        <v>#REF!</v>
      </c>
      <c r="AI1153" s="69" t="e" cm="1">
        <f t="array" ref="AI1153">_xlfn.XLOOKUP(Table1[[#This Row],[5 cm2 cell test code]:[5 cm2 cell test code]],[1]!Table1[[Test code]:[Test code]],[1]!Table1[Q_int_frac DIW 10 mM KOH],"",0)</f>
        <v>#REF!</v>
      </c>
      <c r="AJ1153" s="69" t="e" cm="1">
        <f t="array" ref="AJ1153">_xlfn.XLOOKUP(Table1[[#This Row],[5 cm2 cell test code]:[5 cm2 cell test code]],[1]!Table1[[Test code]:[Test code]],[1]!Table1[DIW conductivity (µS/cm)],"",0)</f>
        <v>#REF!</v>
      </c>
    </row>
    <row r="1154" spans="1:36">
      <c r="A1154" s="81"/>
      <c r="U1154" s="101"/>
      <c r="V1154" s="101"/>
      <c r="W1154" s="69" t="e" cm="1">
        <f t="array" ref="W1154">_xlfn.XLOOKUP(Table1[[#This Row],[5 cm2 cell test code]:[5 cm2 cell test code]],[1]!Table1[[Test code]:[Test code]],[1]!Table1[i @ 1.8 V DIW (A/cm2)],"",0)</f>
        <v>#REF!</v>
      </c>
      <c r="X1154" s="69" t="e" cm="1">
        <f t="array" ref="X1154">_xlfn.XLOOKUP(Table1[[#This Row],[5 cm2 cell test code]:[5 cm2 cell test code]],[1]!Table1[[Test code]:[Test code]],[1]!Table1[i @ 1.8 V 10 mM KOH (A/cm2)],"",0)</f>
        <v>#REF!</v>
      </c>
      <c r="Y1154" s="69" t="e" cm="1">
        <f t="array" ref="Y1154">_xlfn.XLOOKUP(Table1[[#This Row],[5 cm2 cell test code]:[5 cm2 cell test code]],[1]!Table1[[Test code]:[Test code]],[1]!Table1[3-E ƞ at 20mAcm-2 (mV)],"",0)</f>
        <v>#REF!</v>
      </c>
      <c r="Z1154" s="69" t="e" cm="1">
        <f t="array" ref="Z1154">_xlfn.XLOOKUP(Table1[[#This Row],[5 cm2 cell test code]:[5 cm2 cell test code]],[1]!Table1[[Test code]:[Test code]],[1]!Table1[3-E Tafel slope (mV/dec)],"",0)</f>
        <v>#REF!</v>
      </c>
      <c r="AA1154" s="69" t="e" cm="1">
        <f t="array" ref="AA1154">_xlfn.XLOOKUP(Table1[[#This Row],[5 cm2 cell test code]:[5 cm2 cell test code]],[1]!Table1[[Test code]:[Test code]],[1]!Table1[E @ 100 mA/cm2 DIW/V],"",0)</f>
        <v>#REF!</v>
      </c>
      <c r="AB1154" s="69" t="e" cm="1">
        <f t="array" ref="AB1154">_xlfn.XLOOKUP(Table1[[#This Row],[5 cm2 cell test code]:[5 cm2 cell test code]],[1]!Table1[[Test code]:[Test code]],[1]!Table1[E @ 100 mA/cm2 10 mM KOH/V],"",0)</f>
        <v>#REF!</v>
      </c>
      <c r="AC1154" s="69" t="e" cm="1">
        <f t="array" ref="AC1154">_xlfn.XLOOKUP(Table1[[#This Row],[5 cm2 cell test code]:[5 cm2 cell test code]],[1]!Table1[[Test code]:[Test code]],[1]!Table1[Anode ICR/mOhm],"",0)</f>
        <v>#REF!</v>
      </c>
      <c r="AD1154" s="69" t="e" cm="1">
        <f t="array" ref="AD1154">_xlfn.XLOOKUP(Table1[[#This Row],[5 cm2 cell test code]:[5 cm2 cell test code]],[1]!Table1[[Test code]:[Test code]],[1]!Table1[HFR DIW/ mOhm cm2],"",0)</f>
        <v>#REF!</v>
      </c>
      <c r="AE1154" s="69" t="e" cm="1">
        <f t="array" ref="AE1154">_xlfn.XLOOKUP(Table1[[#This Row],[5 cm2 cell test code]:[5 cm2 cell test code]],[1]!Table1[[Test code]:[Test code]],[1]!Table1[HFR 10 mM KOH/ mOhm cm2],"",0)</f>
        <v>#REF!</v>
      </c>
      <c r="AF1154" s="69" t="e" cm="1">
        <f t="array" ref="AF1154">_xlfn.XLOOKUP(Table1[[#This Row],[5 cm2 cell test code]:[5 cm2 cell test code]],[1]!Table1[[Test code]:[Test code]],[1]!Table1[Ionic resistance DIW/Ohm cm2],"",0)</f>
        <v>#REF!</v>
      </c>
      <c r="AG1154" s="69" t="e" cm="1">
        <f t="array" ref="AG1154">_xlfn.XLOOKUP(Table1[[#This Row],[5 cm2 cell test code]:[5 cm2 cell test code]],[1]!Table1[[Test code]:[Test code]],[1]!Table1[Q_int_frac DIW],"",0)</f>
        <v>#REF!</v>
      </c>
      <c r="AH1154" s="69" t="e" cm="1">
        <f t="array" ref="AH1154">_xlfn.XLOOKUP(Table1[[#This Row],[5 cm2 cell test code]:[5 cm2 cell test code]],[1]!Table1[[Test code]:[Test code]],[1]!Table1[Ionic resistance 10 mM KOH/Ohm cm2],"",0)</f>
        <v>#REF!</v>
      </c>
      <c r="AI1154" s="69" t="e" cm="1">
        <f t="array" ref="AI1154">_xlfn.XLOOKUP(Table1[[#This Row],[5 cm2 cell test code]:[5 cm2 cell test code]],[1]!Table1[[Test code]:[Test code]],[1]!Table1[Q_int_frac DIW 10 mM KOH],"",0)</f>
        <v>#REF!</v>
      </c>
      <c r="AJ1154" s="69" t="e" cm="1">
        <f t="array" ref="AJ1154">_xlfn.XLOOKUP(Table1[[#This Row],[5 cm2 cell test code]:[5 cm2 cell test code]],[1]!Table1[[Test code]:[Test code]],[1]!Table1[DIW conductivity (µS/cm)],"",0)</f>
        <v>#REF!</v>
      </c>
    </row>
    <row r="1155" spans="1:36">
      <c r="A1155" s="81"/>
      <c r="U1155" s="101"/>
      <c r="V1155" s="101"/>
      <c r="W1155" s="69" t="e" cm="1">
        <f t="array" ref="W1155">_xlfn.XLOOKUP(Table1[[#This Row],[5 cm2 cell test code]:[5 cm2 cell test code]],[1]!Table1[[Test code]:[Test code]],[1]!Table1[i @ 1.8 V DIW (A/cm2)],"",0)</f>
        <v>#REF!</v>
      </c>
      <c r="X1155" s="69" t="e" cm="1">
        <f t="array" ref="X1155">_xlfn.XLOOKUP(Table1[[#This Row],[5 cm2 cell test code]:[5 cm2 cell test code]],[1]!Table1[[Test code]:[Test code]],[1]!Table1[i @ 1.8 V 10 mM KOH (A/cm2)],"",0)</f>
        <v>#REF!</v>
      </c>
      <c r="Y1155" s="69" t="e" cm="1">
        <f t="array" ref="Y1155">_xlfn.XLOOKUP(Table1[[#This Row],[5 cm2 cell test code]:[5 cm2 cell test code]],[1]!Table1[[Test code]:[Test code]],[1]!Table1[3-E ƞ at 20mAcm-2 (mV)],"",0)</f>
        <v>#REF!</v>
      </c>
      <c r="Z1155" s="69" t="e" cm="1">
        <f t="array" ref="Z1155">_xlfn.XLOOKUP(Table1[[#This Row],[5 cm2 cell test code]:[5 cm2 cell test code]],[1]!Table1[[Test code]:[Test code]],[1]!Table1[3-E Tafel slope (mV/dec)],"",0)</f>
        <v>#REF!</v>
      </c>
      <c r="AA1155" s="69" t="e" cm="1">
        <f t="array" ref="AA1155">_xlfn.XLOOKUP(Table1[[#This Row],[5 cm2 cell test code]:[5 cm2 cell test code]],[1]!Table1[[Test code]:[Test code]],[1]!Table1[E @ 100 mA/cm2 DIW/V],"",0)</f>
        <v>#REF!</v>
      </c>
      <c r="AB1155" s="69" t="e" cm="1">
        <f t="array" ref="AB1155">_xlfn.XLOOKUP(Table1[[#This Row],[5 cm2 cell test code]:[5 cm2 cell test code]],[1]!Table1[[Test code]:[Test code]],[1]!Table1[E @ 100 mA/cm2 10 mM KOH/V],"",0)</f>
        <v>#REF!</v>
      </c>
      <c r="AC1155" s="69" t="e" cm="1">
        <f t="array" ref="AC1155">_xlfn.XLOOKUP(Table1[[#This Row],[5 cm2 cell test code]:[5 cm2 cell test code]],[1]!Table1[[Test code]:[Test code]],[1]!Table1[Anode ICR/mOhm],"",0)</f>
        <v>#REF!</v>
      </c>
      <c r="AD1155" s="69" t="e" cm="1">
        <f t="array" ref="AD1155">_xlfn.XLOOKUP(Table1[[#This Row],[5 cm2 cell test code]:[5 cm2 cell test code]],[1]!Table1[[Test code]:[Test code]],[1]!Table1[HFR DIW/ mOhm cm2],"",0)</f>
        <v>#REF!</v>
      </c>
      <c r="AE1155" s="69" t="e" cm="1">
        <f t="array" ref="AE1155">_xlfn.XLOOKUP(Table1[[#This Row],[5 cm2 cell test code]:[5 cm2 cell test code]],[1]!Table1[[Test code]:[Test code]],[1]!Table1[HFR 10 mM KOH/ mOhm cm2],"",0)</f>
        <v>#REF!</v>
      </c>
      <c r="AF1155" s="69" t="e" cm="1">
        <f t="array" ref="AF1155">_xlfn.XLOOKUP(Table1[[#This Row],[5 cm2 cell test code]:[5 cm2 cell test code]],[1]!Table1[[Test code]:[Test code]],[1]!Table1[Ionic resistance DIW/Ohm cm2],"",0)</f>
        <v>#REF!</v>
      </c>
      <c r="AG1155" s="69" t="e" cm="1">
        <f t="array" ref="AG1155">_xlfn.XLOOKUP(Table1[[#This Row],[5 cm2 cell test code]:[5 cm2 cell test code]],[1]!Table1[[Test code]:[Test code]],[1]!Table1[Q_int_frac DIW],"",0)</f>
        <v>#REF!</v>
      </c>
      <c r="AH1155" s="69" t="e" cm="1">
        <f t="array" ref="AH1155">_xlfn.XLOOKUP(Table1[[#This Row],[5 cm2 cell test code]:[5 cm2 cell test code]],[1]!Table1[[Test code]:[Test code]],[1]!Table1[Ionic resistance 10 mM KOH/Ohm cm2],"",0)</f>
        <v>#REF!</v>
      </c>
      <c r="AI1155" s="69" t="e" cm="1">
        <f t="array" ref="AI1155">_xlfn.XLOOKUP(Table1[[#This Row],[5 cm2 cell test code]:[5 cm2 cell test code]],[1]!Table1[[Test code]:[Test code]],[1]!Table1[Q_int_frac DIW 10 mM KOH],"",0)</f>
        <v>#REF!</v>
      </c>
      <c r="AJ1155" s="69" t="e" cm="1">
        <f t="array" ref="AJ1155">_xlfn.XLOOKUP(Table1[[#This Row],[5 cm2 cell test code]:[5 cm2 cell test code]],[1]!Table1[[Test code]:[Test code]],[1]!Table1[DIW conductivity (µS/cm)],"",0)</f>
        <v>#REF!</v>
      </c>
    </row>
    <row r="1156" spans="1:36">
      <c r="A1156" s="81"/>
      <c r="U1156" s="101"/>
      <c r="V1156" s="101"/>
      <c r="W1156" s="69" t="e" cm="1">
        <f t="array" ref="W1156">_xlfn.XLOOKUP(Table1[[#This Row],[5 cm2 cell test code]:[5 cm2 cell test code]],[1]!Table1[[Test code]:[Test code]],[1]!Table1[i @ 1.8 V DIW (A/cm2)],"",0)</f>
        <v>#REF!</v>
      </c>
      <c r="X1156" s="69" t="e" cm="1">
        <f t="array" ref="X1156">_xlfn.XLOOKUP(Table1[[#This Row],[5 cm2 cell test code]:[5 cm2 cell test code]],[1]!Table1[[Test code]:[Test code]],[1]!Table1[i @ 1.8 V 10 mM KOH (A/cm2)],"",0)</f>
        <v>#REF!</v>
      </c>
      <c r="Y1156" s="69" t="e" cm="1">
        <f t="array" ref="Y1156">_xlfn.XLOOKUP(Table1[[#This Row],[5 cm2 cell test code]:[5 cm2 cell test code]],[1]!Table1[[Test code]:[Test code]],[1]!Table1[3-E ƞ at 20mAcm-2 (mV)],"",0)</f>
        <v>#REF!</v>
      </c>
      <c r="Z1156" s="69" t="e" cm="1">
        <f t="array" ref="Z1156">_xlfn.XLOOKUP(Table1[[#This Row],[5 cm2 cell test code]:[5 cm2 cell test code]],[1]!Table1[[Test code]:[Test code]],[1]!Table1[3-E Tafel slope (mV/dec)],"",0)</f>
        <v>#REF!</v>
      </c>
      <c r="AA1156" s="69" t="e" cm="1">
        <f t="array" ref="AA1156">_xlfn.XLOOKUP(Table1[[#This Row],[5 cm2 cell test code]:[5 cm2 cell test code]],[1]!Table1[[Test code]:[Test code]],[1]!Table1[E @ 100 mA/cm2 DIW/V],"",0)</f>
        <v>#REF!</v>
      </c>
      <c r="AB1156" s="69" t="e" cm="1">
        <f t="array" ref="AB1156">_xlfn.XLOOKUP(Table1[[#This Row],[5 cm2 cell test code]:[5 cm2 cell test code]],[1]!Table1[[Test code]:[Test code]],[1]!Table1[E @ 100 mA/cm2 10 mM KOH/V],"",0)</f>
        <v>#REF!</v>
      </c>
      <c r="AC1156" s="69" t="e" cm="1">
        <f t="array" ref="AC1156">_xlfn.XLOOKUP(Table1[[#This Row],[5 cm2 cell test code]:[5 cm2 cell test code]],[1]!Table1[[Test code]:[Test code]],[1]!Table1[Anode ICR/mOhm],"",0)</f>
        <v>#REF!</v>
      </c>
      <c r="AD1156" s="69" t="e" cm="1">
        <f t="array" ref="AD1156">_xlfn.XLOOKUP(Table1[[#This Row],[5 cm2 cell test code]:[5 cm2 cell test code]],[1]!Table1[[Test code]:[Test code]],[1]!Table1[HFR DIW/ mOhm cm2],"",0)</f>
        <v>#REF!</v>
      </c>
      <c r="AE1156" s="69" t="e" cm="1">
        <f t="array" ref="AE1156">_xlfn.XLOOKUP(Table1[[#This Row],[5 cm2 cell test code]:[5 cm2 cell test code]],[1]!Table1[[Test code]:[Test code]],[1]!Table1[HFR 10 mM KOH/ mOhm cm2],"",0)</f>
        <v>#REF!</v>
      </c>
      <c r="AF1156" s="69" t="e" cm="1">
        <f t="array" ref="AF1156">_xlfn.XLOOKUP(Table1[[#This Row],[5 cm2 cell test code]:[5 cm2 cell test code]],[1]!Table1[[Test code]:[Test code]],[1]!Table1[Ionic resistance DIW/Ohm cm2],"",0)</f>
        <v>#REF!</v>
      </c>
      <c r="AG1156" s="69" t="e" cm="1">
        <f t="array" ref="AG1156">_xlfn.XLOOKUP(Table1[[#This Row],[5 cm2 cell test code]:[5 cm2 cell test code]],[1]!Table1[[Test code]:[Test code]],[1]!Table1[Q_int_frac DIW],"",0)</f>
        <v>#REF!</v>
      </c>
      <c r="AH1156" s="69" t="e" cm="1">
        <f t="array" ref="AH1156">_xlfn.XLOOKUP(Table1[[#This Row],[5 cm2 cell test code]:[5 cm2 cell test code]],[1]!Table1[[Test code]:[Test code]],[1]!Table1[Ionic resistance 10 mM KOH/Ohm cm2],"",0)</f>
        <v>#REF!</v>
      </c>
      <c r="AI1156" s="69" t="e" cm="1">
        <f t="array" ref="AI1156">_xlfn.XLOOKUP(Table1[[#This Row],[5 cm2 cell test code]:[5 cm2 cell test code]],[1]!Table1[[Test code]:[Test code]],[1]!Table1[Q_int_frac DIW 10 mM KOH],"",0)</f>
        <v>#REF!</v>
      </c>
      <c r="AJ1156" s="69" t="e" cm="1">
        <f t="array" ref="AJ1156">_xlfn.XLOOKUP(Table1[[#This Row],[5 cm2 cell test code]:[5 cm2 cell test code]],[1]!Table1[[Test code]:[Test code]],[1]!Table1[DIW conductivity (µS/cm)],"",0)</f>
        <v>#REF!</v>
      </c>
    </row>
    <row r="1157" spans="1:36">
      <c r="A1157" s="81"/>
      <c r="U1157" s="101"/>
      <c r="V1157" s="101"/>
      <c r="W1157" s="69" t="e" cm="1">
        <f t="array" ref="W1157">_xlfn.XLOOKUP(Table1[[#This Row],[5 cm2 cell test code]:[5 cm2 cell test code]],[1]!Table1[[Test code]:[Test code]],[1]!Table1[i @ 1.8 V DIW (A/cm2)],"",0)</f>
        <v>#REF!</v>
      </c>
      <c r="X1157" s="69" t="e" cm="1">
        <f t="array" ref="X1157">_xlfn.XLOOKUP(Table1[[#This Row],[5 cm2 cell test code]:[5 cm2 cell test code]],[1]!Table1[[Test code]:[Test code]],[1]!Table1[i @ 1.8 V 10 mM KOH (A/cm2)],"",0)</f>
        <v>#REF!</v>
      </c>
      <c r="Y1157" s="69" t="e" cm="1">
        <f t="array" ref="Y1157">_xlfn.XLOOKUP(Table1[[#This Row],[5 cm2 cell test code]:[5 cm2 cell test code]],[1]!Table1[[Test code]:[Test code]],[1]!Table1[3-E ƞ at 20mAcm-2 (mV)],"",0)</f>
        <v>#REF!</v>
      </c>
      <c r="Z1157" s="69" t="e" cm="1">
        <f t="array" ref="Z1157">_xlfn.XLOOKUP(Table1[[#This Row],[5 cm2 cell test code]:[5 cm2 cell test code]],[1]!Table1[[Test code]:[Test code]],[1]!Table1[3-E Tafel slope (mV/dec)],"",0)</f>
        <v>#REF!</v>
      </c>
      <c r="AA1157" s="69" t="e" cm="1">
        <f t="array" ref="AA1157">_xlfn.XLOOKUP(Table1[[#This Row],[5 cm2 cell test code]:[5 cm2 cell test code]],[1]!Table1[[Test code]:[Test code]],[1]!Table1[E @ 100 mA/cm2 DIW/V],"",0)</f>
        <v>#REF!</v>
      </c>
      <c r="AB1157" s="69" t="e" cm="1">
        <f t="array" ref="AB1157">_xlfn.XLOOKUP(Table1[[#This Row],[5 cm2 cell test code]:[5 cm2 cell test code]],[1]!Table1[[Test code]:[Test code]],[1]!Table1[E @ 100 mA/cm2 10 mM KOH/V],"",0)</f>
        <v>#REF!</v>
      </c>
      <c r="AC1157" s="69" t="e" cm="1">
        <f t="array" ref="AC1157">_xlfn.XLOOKUP(Table1[[#This Row],[5 cm2 cell test code]:[5 cm2 cell test code]],[1]!Table1[[Test code]:[Test code]],[1]!Table1[Anode ICR/mOhm],"",0)</f>
        <v>#REF!</v>
      </c>
      <c r="AD1157" s="69" t="e" cm="1">
        <f t="array" ref="AD1157">_xlfn.XLOOKUP(Table1[[#This Row],[5 cm2 cell test code]:[5 cm2 cell test code]],[1]!Table1[[Test code]:[Test code]],[1]!Table1[HFR DIW/ mOhm cm2],"",0)</f>
        <v>#REF!</v>
      </c>
      <c r="AE1157" s="69" t="e" cm="1">
        <f t="array" ref="AE1157">_xlfn.XLOOKUP(Table1[[#This Row],[5 cm2 cell test code]:[5 cm2 cell test code]],[1]!Table1[[Test code]:[Test code]],[1]!Table1[HFR 10 mM KOH/ mOhm cm2],"",0)</f>
        <v>#REF!</v>
      </c>
      <c r="AF1157" s="69" t="e" cm="1">
        <f t="array" ref="AF1157">_xlfn.XLOOKUP(Table1[[#This Row],[5 cm2 cell test code]:[5 cm2 cell test code]],[1]!Table1[[Test code]:[Test code]],[1]!Table1[Ionic resistance DIW/Ohm cm2],"",0)</f>
        <v>#REF!</v>
      </c>
      <c r="AG1157" s="69" t="e" cm="1">
        <f t="array" ref="AG1157">_xlfn.XLOOKUP(Table1[[#This Row],[5 cm2 cell test code]:[5 cm2 cell test code]],[1]!Table1[[Test code]:[Test code]],[1]!Table1[Q_int_frac DIW],"",0)</f>
        <v>#REF!</v>
      </c>
      <c r="AH1157" s="69" t="e" cm="1">
        <f t="array" ref="AH1157">_xlfn.XLOOKUP(Table1[[#This Row],[5 cm2 cell test code]:[5 cm2 cell test code]],[1]!Table1[[Test code]:[Test code]],[1]!Table1[Ionic resistance 10 mM KOH/Ohm cm2],"",0)</f>
        <v>#REF!</v>
      </c>
      <c r="AI1157" s="69" t="e" cm="1">
        <f t="array" ref="AI1157">_xlfn.XLOOKUP(Table1[[#This Row],[5 cm2 cell test code]:[5 cm2 cell test code]],[1]!Table1[[Test code]:[Test code]],[1]!Table1[Q_int_frac DIW 10 mM KOH],"",0)</f>
        <v>#REF!</v>
      </c>
      <c r="AJ1157" s="69" t="e" cm="1">
        <f t="array" ref="AJ1157">_xlfn.XLOOKUP(Table1[[#This Row],[5 cm2 cell test code]:[5 cm2 cell test code]],[1]!Table1[[Test code]:[Test code]],[1]!Table1[DIW conductivity (µS/cm)],"",0)</f>
        <v>#REF!</v>
      </c>
    </row>
    <row r="1158" spans="1:36">
      <c r="A1158" s="81"/>
      <c r="U1158" s="101"/>
      <c r="V1158" s="101"/>
      <c r="W1158" s="69" t="e" cm="1">
        <f t="array" ref="W1158">_xlfn.XLOOKUP(Table1[[#This Row],[5 cm2 cell test code]:[5 cm2 cell test code]],[1]!Table1[[Test code]:[Test code]],[1]!Table1[i @ 1.8 V DIW (A/cm2)],"",0)</f>
        <v>#REF!</v>
      </c>
      <c r="X1158" s="69" t="e" cm="1">
        <f t="array" ref="X1158">_xlfn.XLOOKUP(Table1[[#This Row],[5 cm2 cell test code]:[5 cm2 cell test code]],[1]!Table1[[Test code]:[Test code]],[1]!Table1[i @ 1.8 V 10 mM KOH (A/cm2)],"",0)</f>
        <v>#REF!</v>
      </c>
      <c r="Y1158" s="69" t="e" cm="1">
        <f t="array" ref="Y1158">_xlfn.XLOOKUP(Table1[[#This Row],[5 cm2 cell test code]:[5 cm2 cell test code]],[1]!Table1[[Test code]:[Test code]],[1]!Table1[3-E ƞ at 20mAcm-2 (mV)],"",0)</f>
        <v>#REF!</v>
      </c>
      <c r="Z1158" s="69" t="e" cm="1">
        <f t="array" ref="Z1158">_xlfn.XLOOKUP(Table1[[#This Row],[5 cm2 cell test code]:[5 cm2 cell test code]],[1]!Table1[[Test code]:[Test code]],[1]!Table1[3-E Tafel slope (mV/dec)],"",0)</f>
        <v>#REF!</v>
      </c>
      <c r="AA1158" s="69" t="e" cm="1">
        <f t="array" ref="AA1158">_xlfn.XLOOKUP(Table1[[#This Row],[5 cm2 cell test code]:[5 cm2 cell test code]],[1]!Table1[[Test code]:[Test code]],[1]!Table1[E @ 100 mA/cm2 DIW/V],"",0)</f>
        <v>#REF!</v>
      </c>
      <c r="AB1158" s="69" t="e" cm="1">
        <f t="array" ref="AB1158">_xlfn.XLOOKUP(Table1[[#This Row],[5 cm2 cell test code]:[5 cm2 cell test code]],[1]!Table1[[Test code]:[Test code]],[1]!Table1[E @ 100 mA/cm2 10 mM KOH/V],"",0)</f>
        <v>#REF!</v>
      </c>
      <c r="AC1158" s="69" t="e" cm="1">
        <f t="array" ref="AC1158">_xlfn.XLOOKUP(Table1[[#This Row],[5 cm2 cell test code]:[5 cm2 cell test code]],[1]!Table1[[Test code]:[Test code]],[1]!Table1[Anode ICR/mOhm],"",0)</f>
        <v>#REF!</v>
      </c>
      <c r="AD1158" s="69" t="e" cm="1">
        <f t="array" ref="AD1158">_xlfn.XLOOKUP(Table1[[#This Row],[5 cm2 cell test code]:[5 cm2 cell test code]],[1]!Table1[[Test code]:[Test code]],[1]!Table1[HFR DIW/ mOhm cm2],"",0)</f>
        <v>#REF!</v>
      </c>
      <c r="AE1158" s="69" t="e" cm="1">
        <f t="array" ref="AE1158">_xlfn.XLOOKUP(Table1[[#This Row],[5 cm2 cell test code]:[5 cm2 cell test code]],[1]!Table1[[Test code]:[Test code]],[1]!Table1[HFR 10 mM KOH/ mOhm cm2],"",0)</f>
        <v>#REF!</v>
      </c>
      <c r="AF1158" s="69" t="e" cm="1">
        <f t="array" ref="AF1158">_xlfn.XLOOKUP(Table1[[#This Row],[5 cm2 cell test code]:[5 cm2 cell test code]],[1]!Table1[[Test code]:[Test code]],[1]!Table1[Ionic resistance DIW/Ohm cm2],"",0)</f>
        <v>#REF!</v>
      </c>
      <c r="AG1158" s="69" t="e" cm="1">
        <f t="array" ref="AG1158">_xlfn.XLOOKUP(Table1[[#This Row],[5 cm2 cell test code]:[5 cm2 cell test code]],[1]!Table1[[Test code]:[Test code]],[1]!Table1[Q_int_frac DIW],"",0)</f>
        <v>#REF!</v>
      </c>
      <c r="AH1158" s="69" t="e" cm="1">
        <f t="array" ref="AH1158">_xlfn.XLOOKUP(Table1[[#This Row],[5 cm2 cell test code]:[5 cm2 cell test code]],[1]!Table1[[Test code]:[Test code]],[1]!Table1[Ionic resistance 10 mM KOH/Ohm cm2],"",0)</f>
        <v>#REF!</v>
      </c>
      <c r="AI1158" s="69" t="e" cm="1">
        <f t="array" ref="AI1158">_xlfn.XLOOKUP(Table1[[#This Row],[5 cm2 cell test code]:[5 cm2 cell test code]],[1]!Table1[[Test code]:[Test code]],[1]!Table1[Q_int_frac DIW 10 mM KOH],"",0)</f>
        <v>#REF!</v>
      </c>
      <c r="AJ1158" s="69" t="e" cm="1">
        <f t="array" ref="AJ1158">_xlfn.XLOOKUP(Table1[[#This Row],[5 cm2 cell test code]:[5 cm2 cell test code]],[1]!Table1[[Test code]:[Test code]],[1]!Table1[DIW conductivity (µS/cm)],"",0)</f>
        <v>#REF!</v>
      </c>
    </row>
    <row r="1159" spans="1:36">
      <c r="A1159" s="81"/>
      <c r="U1159" s="101"/>
      <c r="V1159" s="101"/>
      <c r="W1159" s="69" t="e" cm="1">
        <f t="array" ref="W1159">_xlfn.XLOOKUP(Table1[[#This Row],[5 cm2 cell test code]:[5 cm2 cell test code]],[1]!Table1[[Test code]:[Test code]],[1]!Table1[i @ 1.8 V DIW (A/cm2)],"",0)</f>
        <v>#REF!</v>
      </c>
      <c r="X1159" s="69" t="e" cm="1">
        <f t="array" ref="X1159">_xlfn.XLOOKUP(Table1[[#This Row],[5 cm2 cell test code]:[5 cm2 cell test code]],[1]!Table1[[Test code]:[Test code]],[1]!Table1[i @ 1.8 V 10 mM KOH (A/cm2)],"",0)</f>
        <v>#REF!</v>
      </c>
      <c r="Y1159" s="69" t="e" cm="1">
        <f t="array" ref="Y1159">_xlfn.XLOOKUP(Table1[[#This Row],[5 cm2 cell test code]:[5 cm2 cell test code]],[1]!Table1[[Test code]:[Test code]],[1]!Table1[3-E ƞ at 20mAcm-2 (mV)],"",0)</f>
        <v>#REF!</v>
      </c>
      <c r="Z1159" s="69" t="e" cm="1">
        <f t="array" ref="Z1159">_xlfn.XLOOKUP(Table1[[#This Row],[5 cm2 cell test code]:[5 cm2 cell test code]],[1]!Table1[[Test code]:[Test code]],[1]!Table1[3-E Tafel slope (mV/dec)],"",0)</f>
        <v>#REF!</v>
      </c>
      <c r="AA1159" s="69" t="e" cm="1">
        <f t="array" ref="AA1159">_xlfn.XLOOKUP(Table1[[#This Row],[5 cm2 cell test code]:[5 cm2 cell test code]],[1]!Table1[[Test code]:[Test code]],[1]!Table1[E @ 100 mA/cm2 DIW/V],"",0)</f>
        <v>#REF!</v>
      </c>
      <c r="AB1159" s="69" t="e" cm="1">
        <f t="array" ref="AB1159">_xlfn.XLOOKUP(Table1[[#This Row],[5 cm2 cell test code]:[5 cm2 cell test code]],[1]!Table1[[Test code]:[Test code]],[1]!Table1[E @ 100 mA/cm2 10 mM KOH/V],"",0)</f>
        <v>#REF!</v>
      </c>
      <c r="AC1159" s="69" t="e" cm="1">
        <f t="array" ref="AC1159">_xlfn.XLOOKUP(Table1[[#This Row],[5 cm2 cell test code]:[5 cm2 cell test code]],[1]!Table1[[Test code]:[Test code]],[1]!Table1[Anode ICR/mOhm],"",0)</f>
        <v>#REF!</v>
      </c>
      <c r="AD1159" s="69" t="e" cm="1">
        <f t="array" ref="AD1159">_xlfn.XLOOKUP(Table1[[#This Row],[5 cm2 cell test code]:[5 cm2 cell test code]],[1]!Table1[[Test code]:[Test code]],[1]!Table1[HFR DIW/ mOhm cm2],"",0)</f>
        <v>#REF!</v>
      </c>
      <c r="AE1159" s="69" t="e" cm="1">
        <f t="array" ref="AE1159">_xlfn.XLOOKUP(Table1[[#This Row],[5 cm2 cell test code]:[5 cm2 cell test code]],[1]!Table1[[Test code]:[Test code]],[1]!Table1[HFR 10 mM KOH/ mOhm cm2],"",0)</f>
        <v>#REF!</v>
      </c>
      <c r="AF1159" s="69" t="e" cm="1">
        <f t="array" ref="AF1159">_xlfn.XLOOKUP(Table1[[#This Row],[5 cm2 cell test code]:[5 cm2 cell test code]],[1]!Table1[[Test code]:[Test code]],[1]!Table1[Ionic resistance DIW/Ohm cm2],"",0)</f>
        <v>#REF!</v>
      </c>
      <c r="AG1159" s="69" t="e" cm="1">
        <f t="array" ref="AG1159">_xlfn.XLOOKUP(Table1[[#This Row],[5 cm2 cell test code]:[5 cm2 cell test code]],[1]!Table1[[Test code]:[Test code]],[1]!Table1[Q_int_frac DIW],"",0)</f>
        <v>#REF!</v>
      </c>
      <c r="AH1159" s="69" t="e" cm="1">
        <f t="array" ref="AH1159">_xlfn.XLOOKUP(Table1[[#This Row],[5 cm2 cell test code]:[5 cm2 cell test code]],[1]!Table1[[Test code]:[Test code]],[1]!Table1[Ionic resistance 10 mM KOH/Ohm cm2],"",0)</f>
        <v>#REF!</v>
      </c>
      <c r="AI1159" s="69" t="e" cm="1">
        <f t="array" ref="AI1159">_xlfn.XLOOKUP(Table1[[#This Row],[5 cm2 cell test code]:[5 cm2 cell test code]],[1]!Table1[[Test code]:[Test code]],[1]!Table1[Q_int_frac DIW 10 mM KOH],"",0)</f>
        <v>#REF!</v>
      </c>
      <c r="AJ1159" s="69" t="e" cm="1">
        <f t="array" ref="AJ1159">_xlfn.XLOOKUP(Table1[[#This Row],[5 cm2 cell test code]:[5 cm2 cell test code]],[1]!Table1[[Test code]:[Test code]],[1]!Table1[DIW conductivity (µS/cm)],"",0)</f>
        <v>#REF!</v>
      </c>
    </row>
    <row r="1160" spans="1:36">
      <c r="A1160" s="81"/>
      <c r="U1160" s="101"/>
      <c r="V1160" s="101"/>
      <c r="W1160" s="69" t="e" cm="1">
        <f t="array" ref="W1160">_xlfn.XLOOKUP(Table1[[#This Row],[5 cm2 cell test code]:[5 cm2 cell test code]],[1]!Table1[[Test code]:[Test code]],[1]!Table1[i @ 1.8 V DIW (A/cm2)],"",0)</f>
        <v>#REF!</v>
      </c>
      <c r="X1160" s="69" t="e" cm="1">
        <f t="array" ref="X1160">_xlfn.XLOOKUP(Table1[[#This Row],[5 cm2 cell test code]:[5 cm2 cell test code]],[1]!Table1[[Test code]:[Test code]],[1]!Table1[i @ 1.8 V 10 mM KOH (A/cm2)],"",0)</f>
        <v>#REF!</v>
      </c>
      <c r="Y1160" s="69" t="e" cm="1">
        <f t="array" ref="Y1160">_xlfn.XLOOKUP(Table1[[#This Row],[5 cm2 cell test code]:[5 cm2 cell test code]],[1]!Table1[[Test code]:[Test code]],[1]!Table1[3-E ƞ at 20mAcm-2 (mV)],"",0)</f>
        <v>#REF!</v>
      </c>
      <c r="Z1160" s="69" t="e" cm="1">
        <f t="array" ref="Z1160">_xlfn.XLOOKUP(Table1[[#This Row],[5 cm2 cell test code]:[5 cm2 cell test code]],[1]!Table1[[Test code]:[Test code]],[1]!Table1[3-E Tafel slope (mV/dec)],"",0)</f>
        <v>#REF!</v>
      </c>
      <c r="AA1160" s="69" t="e" cm="1">
        <f t="array" ref="AA1160">_xlfn.XLOOKUP(Table1[[#This Row],[5 cm2 cell test code]:[5 cm2 cell test code]],[1]!Table1[[Test code]:[Test code]],[1]!Table1[E @ 100 mA/cm2 DIW/V],"",0)</f>
        <v>#REF!</v>
      </c>
      <c r="AB1160" s="69" t="e" cm="1">
        <f t="array" ref="AB1160">_xlfn.XLOOKUP(Table1[[#This Row],[5 cm2 cell test code]:[5 cm2 cell test code]],[1]!Table1[[Test code]:[Test code]],[1]!Table1[E @ 100 mA/cm2 10 mM KOH/V],"",0)</f>
        <v>#REF!</v>
      </c>
      <c r="AC1160" s="69" t="e" cm="1">
        <f t="array" ref="AC1160">_xlfn.XLOOKUP(Table1[[#This Row],[5 cm2 cell test code]:[5 cm2 cell test code]],[1]!Table1[[Test code]:[Test code]],[1]!Table1[Anode ICR/mOhm],"",0)</f>
        <v>#REF!</v>
      </c>
      <c r="AD1160" s="69" t="e" cm="1">
        <f t="array" ref="AD1160">_xlfn.XLOOKUP(Table1[[#This Row],[5 cm2 cell test code]:[5 cm2 cell test code]],[1]!Table1[[Test code]:[Test code]],[1]!Table1[HFR DIW/ mOhm cm2],"",0)</f>
        <v>#REF!</v>
      </c>
      <c r="AE1160" s="69" t="e" cm="1">
        <f t="array" ref="AE1160">_xlfn.XLOOKUP(Table1[[#This Row],[5 cm2 cell test code]:[5 cm2 cell test code]],[1]!Table1[[Test code]:[Test code]],[1]!Table1[HFR 10 mM KOH/ mOhm cm2],"",0)</f>
        <v>#REF!</v>
      </c>
      <c r="AF1160" s="69" t="e" cm="1">
        <f t="array" ref="AF1160">_xlfn.XLOOKUP(Table1[[#This Row],[5 cm2 cell test code]:[5 cm2 cell test code]],[1]!Table1[[Test code]:[Test code]],[1]!Table1[Ionic resistance DIW/Ohm cm2],"",0)</f>
        <v>#REF!</v>
      </c>
      <c r="AG1160" s="69" t="e" cm="1">
        <f t="array" ref="AG1160">_xlfn.XLOOKUP(Table1[[#This Row],[5 cm2 cell test code]:[5 cm2 cell test code]],[1]!Table1[[Test code]:[Test code]],[1]!Table1[Q_int_frac DIW],"",0)</f>
        <v>#REF!</v>
      </c>
      <c r="AH1160" s="69" t="e" cm="1">
        <f t="array" ref="AH1160">_xlfn.XLOOKUP(Table1[[#This Row],[5 cm2 cell test code]:[5 cm2 cell test code]],[1]!Table1[[Test code]:[Test code]],[1]!Table1[Ionic resistance 10 mM KOH/Ohm cm2],"",0)</f>
        <v>#REF!</v>
      </c>
      <c r="AI1160" s="69" t="e" cm="1">
        <f t="array" ref="AI1160">_xlfn.XLOOKUP(Table1[[#This Row],[5 cm2 cell test code]:[5 cm2 cell test code]],[1]!Table1[[Test code]:[Test code]],[1]!Table1[Q_int_frac DIW 10 mM KOH],"",0)</f>
        <v>#REF!</v>
      </c>
      <c r="AJ1160" s="69" t="e" cm="1">
        <f t="array" ref="AJ1160">_xlfn.XLOOKUP(Table1[[#This Row],[5 cm2 cell test code]:[5 cm2 cell test code]],[1]!Table1[[Test code]:[Test code]],[1]!Table1[DIW conductivity (µS/cm)],"",0)</f>
        <v>#REF!</v>
      </c>
    </row>
    <row r="1161" spans="1:36">
      <c r="A1161" s="81"/>
      <c r="U1161" s="101"/>
      <c r="V1161" s="101"/>
      <c r="W1161" s="69" t="e" cm="1">
        <f t="array" ref="W1161">_xlfn.XLOOKUP(Table1[[#This Row],[5 cm2 cell test code]:[5 cm2 cell test code]],[1]!Table1[[Test code]:[Test code]],[1]!Table1[i @ 1.8 V DIW (A/cm2)],"",0)</f>
        <v>#REF!</v>
      </c>
      <c r="X1161" s="69" t="e" cm="1">
        <f t="array" ref="X1161">_xlfn.XLOOKUP(Table1[[#This Row],[5 cm2 cell test code]:[5 cm2 cell test code]],[1]!Table1[[Test code]:[Test code]],[1]!Table1[i @ 1.8 V 10 mM KOH (A/cm2)],"",0)</f>
        <v>#REF!</v>
      </c>
      <c r="Y1161" s="69" t="e" cm="1">
        <f t="array" ref="Y1161">_xlfn.XLOOKUP(Table1[[#This Row],[5 cm2 cell test code]:[5 cm2 cell test code]],[1]!Table1[[Test code]:[Test code]],[1]!Table1[3-E ƞ at 20mAcm-2 (mV)],"",0)</f>
        <v>#REF!</v>
      </c>
      <c r="Z1161" s="69" t="e" cm="1">
        <f t="array" ref="Z1161">_xlfn.XLOOKUP(Table1[[#This Row],[5 cm2 cell test code]:[5 cm2 cell test code]],[1]!Table1[[Test code]:[Test code]],[1]!Table1[3-E Tafel slope (mV/dec)],"",0)</f>
        <v>#REF!</v>
      </c>
      <c r="AA1161" s="69" t="e" cm="1">
        <f t="array" ref="AA1161">_xlfn.XLOOKUP(Table1[[#This Row],[5 cm2 cell test code]:[5 cm2 cell test code]],[1]!Table1[[Test code]:[Test code]],[1]!Table1[E @ 100 mA/cm2 DIW/V],"",0)</f>
        <v>#REF!</v>
      </c>
      <c r="AB1161" s="69" t="e" cm="1">
        <f t="array" ref="AB1161">_xlfn.XLOOKUP(Table1[[#This Row],[5 cm2 cell test code]:[5 cm2 cell test code]],[1]!Table1[[Test code]:[Test code]],[1]!Table1[E @ 100 mA/cm2 10 mM KOH/V],"",0)</f>
        <v>#REF!</v>
      </c>
      <c r="AC1161" s="69" t="e" cm="1">
        <f t="array" ref="AC1161">_xlfn.XLOOKUP(Table1[[#This Row],[5 cm2 cell test code]:[5 cm2 cell test code]],[1]!Table1[[Test code]:[Test code]],[1]!Table1[Anode ICR/mOhm],"",0)</f>
        <v>#REF!</v>
      </c>
      <c r="AD1161" s="69" t="e" cm="1">
        <f t="array" ref="AD1161">_xlfn.XLOOKUP(Table1[[#This Row],[5 cm2 cell test code]:[5 cm2 cell test code]],[1]!Table1[[Test code]:[Test code]],[1]!Table1[HFR DIW/ mOhm cm2],"",0)</f>
        <v>#REF!</v>
      </c>
      <c r="AE1161" s="69" t="e" cm="1">
        <f t="array" ref="AE1161">_xlfn.XLOOKUP(Table1[[#This Row],[5 cm2 cell test code]:[5 cm2 cell test code]],[1]!Table1[[Test code]:[Test code]],[1]!Table1[HFR 10 mM KOH/ mOhm cm2],"",0)</f>
        <v>#REF!</v>
      </c>
      <c r="AF1161" s="69" t="e" cm="1">
        <f t="array" ref="AF1161">_xlfn.XLOOKUP(Table1[[#This Row],[5 cm2 cell test code]:[5 cm2 cell test code]],[1]!Table1[[Test code]:[Test code]],[1]!Table1[Ionic resistance DIW/Ohm cm2],"",0)</f>
        <v>#REF!</v>
      </c>
      <c r="AG1161" s="69" t="e" cm="1">
        <f t="array" ref="AG1161">_xlfn.XLOOKUP(Table1[[#This Row],[5 cm2 cell test code]:[5 cm2 cell test code]],[1]!Table1[[Test code]:[Test code]],[1]!Table1[Q_int_frac DIW],"",0)</f>
        <v>#REF!</v>
      </c>
      <c r="AH1161" s="69" t="e" cm="1">
        <f t="array" ref="AH1161">_xlfn.XLOOKUP(Table1[[#This Row],[5 cm2 cell test code]:[5 cm2 cell test code]],[1]!Table1[[Test code]:[Test code]],[1]!Table1[Ionic resistance 10 mM KOH/Ohm cm2],"",0)</f>
        <v>#REF!</v>
      </c>
      <c r="AI1161" s="69" t="e" cm="1">
        <f t="array" ref="AI1161">_xlfn.XLOOKUP(Table1[[#This Row],[5 cm2 cell test code]:[5 cm2 cell test code]],[1]!Table1[[Test code]:[Test code]],[1]!Table1[Q_int_frac DIW 10 mM KOH],"",0)</f>
        <v>#REF!</v>
      </c>
      <c r="AJ1161" s="69" t="e" cm="1">
        <f t="array" ref="AJ1161">_xlfn.XLOOKUP(Table1[[#This Row],[5 cm2 cell test code]:[5 cm2 cell test code]],[1]!Table1[[Test code]:[Test code]],[1]!Table1[DIW conductivity (µS/cm)],"",0)</f>
        <v>#REF!</v>
      </c>
    </row>
    <row r="1162" spans="1:36">
      <c r="A1162" s="81"/>
      <c r="U1162" s="101"/>
      <c r="V1162" s="101"/>
      <c r="W1162" s="69" t="e" cm="1">
        <f t="array" ref="W1162">_xlfn.XLOOKUP(Table1[[#This Row],[5 cm2 cell test code]:[5 cm2 cell test code]],[1]!Table1[[Test code]:[Test code]],[1]!Table1[i @ 1.8 V DIW (A/cm2)],"",0)</f>
        <v>#REF!</v>
      </c>
      <c r="X1162" s="69" t="e" cm="1">
        <f t="array" ref="X1162">_xlfn.XLOOKUP(Table1[[#This Row],[5 cm2 cell test code]:[5 cm2 cell test code]],[1]!Table1[[Test code]:[Test code]],[1]!Table1[i @ 1.8 V 10 mM KOH (A/cm2)],"",0)</f>
        <v>#REF!</v>
      </c>
      <c r="Y1162" s="69" t="e" cm="1">
        <f t="array" ref="Y1162">_xlfn.XLOOKUP(Table1[[#This Row],[5 cm2 cell test code]:[5 cm2 cell test code]],[1]!Table1[[Test code]:[Test code]],[1]!Table1[3-E ƞ at 20mAcm-2 (mV)],"",0)</f>
        <v>#REF!</v>
      </c>
      <c r="Z1162" s="69" t="e" cm="1">
        <f t="array" ref="Z1162">_xlfn.XLOOKUP(Table1[[#This Row],[5 cm2 cell test code]:[5 cm2 cell test code]],[1]!Table1[[Test code]:[Test code]],[1]!Table1[3-E Tafel slope (mV/dec)],"",0)</f>
        <v>#REF!</v>
      </c>
      <c r="AA1162" s="69" t="e" cm="1">
        <f t="array" ref="AA1162">_xlfn.XLOOKUP(Table1[[#This Row],[5 cm2 cell test code]:[5 cm2 cell test code]],[1]!Table1[[Test code]:[Test code]],[1]!Table1[E @ 100 mA/cm2 DIW/V],"",0)</f>
        <v>#REF!</v>
      </c>
      <c r="AB1162" s="69" t="e" cm="1">
        <f t="array" ref="AB1162">_xlfn.XLOOKUP(Table1[[#This Row],[5 cm2 cell test code]:[5 cm2 cell test code]],[1]!Table1[[Test code]:[Test code]],[1]!Table1[E @ 100 mA/cm2 10 mM KOH/V],"",0)</f>
        <v>#REF!</v>
      </c>
      <c r="AC1162" s="69" t="e" cm="1">
        <f t="array" ref="AC1162">_xlfn.XLOOKUP(Table1[[#This Row],[5 cm2 cell test code]:[5 cm2 cell test code]],[1]!Table1[[Test code]:[Test code]],[1]!Table1[Anode ICR/mOhm],"",0)</f>
        <v>#REF!</v>
      </c>
      <c r="AD1162" s="69" t="e" cm="1">
        <f t="array" ref="AD1162">_xlfn.XLOOKUP(Table1[[#This Row],[5 cm2 cell test code]:[5 cm2 cell test code]],[1]!Table1[[Test code]:[Test code]],[1]!Table1[HFR DIW/ mOhm cm2],"",0)</f>
        <v>#REF!</v>
      </c>
      <c r="AE1162" s="69" t="e" cm="1">
        <f t="array" ref="AE1162">_xlfn.XLOOKUP(Table1[[#This Row],[5 cm2 cell test code]:[5 cm2 cell test code]],[1]!Table1[[Test code]:[Test code]],[1]!Table1[HFR 10 mM KOH/ mOhm cm2],"",0)</f>
        <v>#REF!</v>
      </c>
      <c r="AF1162" s="69" t="e" cm="1">
        <f t="array" ref="AF1162">_xlfn.XLOOKUP(Table1[[#This Row],[5 cm2 cell test code]:[5 cm2 cell test code]],[1]!Table1[[Test code]:[Test code]],[1]!Table1[Ionic resistance DIW/Ohm cm2],"",0)</f>
        <v>#REF!</v>
      </c>
      <c r="AG1162" s="69" t="e" cm="1">
        <f t="array" ref="AG1162">_xlfn.XLOOKUP(Table1[[#This Row],[5 cm2 cell test code]:[5 cm2 cell test code]],[1]!Table1[[Test code]:[Test code]],[1]!Table1[Q_int_frac DIW],"",0)</f>
        <v>#REF!</v>
      </c>
      <c r="AH1162" s="69" t="e" cm="1">
        <f t="array" ref="AH1162">_xlfn.XLOOKUP(Table1[[#This Row],[5 cm2 cell test code]:[5 cm2 cell test code]],[1]!Table1[[Test code]:[Test code]],[1]!Table1[Ionic resistance 10 mM KOH/Ohm cm2],"",0)</f>
        <v>#REF!</v>
      </c>
      <c r="AI1162" s="69" t="e" cm="1">
        <f t="array" ref="AI1162">_xlfn.XLOOKUP(Table1[[#This Row],[5 cm2 cell test code]:[5 cm2 cell test code]],[1]!Table1[[Test code]:[Test code]],[1]!Table1[Q_int_frac DIW 10 mM KOH],"",0)</f>
        <v>#REF!</v>
      </c>
      <c r="AJ1162" s="69" t="e" cm="1">
        <f t="array" ref="AJ1162">_xlfn.XLOOKUP(Table1[[#This Row],[5 cm2 cell test code]:[5 cm2 cell test code]],[1]!Table1[[Test code]:[Test code]],[1]!Table1[DIW conductivity (µS/cm)],"",0)</f>
        <v>#REF!</v>
      </c>
    </row>
    <row r="1163" spans="1:36">
      <c r="A1163" s="81"/>
      <c r="U1163" s="101"/>
      <c r="V1163" s="101"/>
      <c r="W1163" s="69" t="e" cm="1">
        <f t="array" ref="W1163">_xlfn.XLOOKUP(Table1[[#This Row],[5 cm2 cell test code]:[5 cm2 cell test code]],[1]!Table1[[Test code]:[Test code]],[1]!Table1[i @ 1.8 V DIW (A/cm2)],"",0)</f>
        <v>#REF!</v>
      </c>
      <c r="X1163" s="69" t="e" cm="1">
        <f t="array" ref="X1163">_xlfn.XLOOKUP(Table1[[#This Row],[5 cm2 cell test code]:[5 cm2 cell test code]],[1]!Table1[[Test code]:[Test code]],[1]!Table1[i @ 1.8 V 10 mM KOH (A/cm2)],"",0)</f>
        <v>#REF!</v>
      </c>
      <c r="Y1163" s="69" t="e" cm="1">
        <f t="array" ref="Y1163">_xlfn.XLOOKUP(Table1[[#This Row],[5 cm2 cell test code]:[5 cm2 cell test code]],[1]!Table1[[Test code]:[Test code]],[1]!Table1[3-E ƞ at 20mAcm-2 (mV)],"",0)</f>
        <v>#REF!</v>
      </c>
      <c r="Z1163" s="69" t="e" cm="1">
        <f t="array" ref="Z1163">_xlfn.XLOOKUP(Table1[[#This Row],[5 cm2 cell test code]:[5 cm2 cell test code]],[1]!Table1[[Test code]:[Test code]],[1]!Table1[3-E Tafel slope (mV/dec)],"",0)</f>
        <v>#REF!</v>
      </c>
      <c r="AA1163" s="69" t="e" cm="1">
        <f t="array" ref="AA1163">_xlfn.XLOOKUP(Table1[[#This Row],[5 cm2 cell test code]:[5 cm2 cell test code]],[1]!Table1[[Test code]:[Test code]],[1]!Table1[E @ 100 mA/cm2 DIW/V],"",0)</f>
        <v>#REF!</v>
      </c>
      <c r="AB1163" s="69" t="e" cm="1">
        <f t="array" ref="AB1163">_xlfn.XLOOKUP(Table1[[#This Row],[5 cm2 cell test code]:[5 cm2 cell test code]],[1]!Table1[[Test code]:[Test code]],[1]!Table1[E @ 100 mA/cm2 10 mM KOH/V],"",0)</f>
        <v>#REF!</v>
      </c>
      <c r="AC1163" s="69" t="e" cm="1">
        <f t="array" ref="AC1163">_xlfn.XLOOKUP(Table1[[#This Row],[5 cm2 cell test code]:[5 cm2 cell test code]],[1]!Table1[[Test code]:[Test code]],[1]!Table1[Anode ICR/mOhm],"",0)</f>
        <v>#REF!</v>
      </c>
      <c r="AD1163" s="69" t="e" cm="1">
        <f t="array" ref="AD1163">_xlfn.XLOOKUP(Table1[[#This Row],[5 cm2 cell test code]:[5 cm2 cell test code]],[1]!Table1[[Test code]:[Test code]],[1]!Table1[HFR DIW/ mOhm cm2],"",0)</f>
        <v>#REF!</v>
      </c>
      <c r="AE1163" s="69" t="e" cm="1">
        <f t="array" ref="AE1163">_xlfn.XLOOKUP(Table1[[#This Row],[5 cm2 cell test code]:[5 cm2 cell test code]],[1]!Table1[[Test code]:[Test code]],[1]!Table1[HFR 10 mM KOH/ mOhm cm2],"",0)</f>
        <v>#REF!</v>
      </c>
      <c r="AF1163" s="69" t="e" cm="1">
        <f t="array" ref="AF1163">_xlfn.XLOOKUP(Table1[[#This Row],[5 cm2 cell test code]:[5 cm2 cell test code]],[1]!Table1[[Test code]:[Test code]],[1]!Table1[Ionic resistance DIW/Ohm cm2],"",0)</f>
        <v>#REF!</v>
      </c>
      <c r="AG1163" s="69" t="e" cm="1">
        <f t="array" ref="AG1163">_xlfn.XLOOKUP(Table1[[#This Row],[5 cm2 cell test code]:[5 cm2 cell test code]],[1]!Table1[[Test code]:[Test code]],[1]!Table1[Q_int_frac DIW],"",0)</f>
        <v>#REF!</v>
      </c>
      <c r="AH1163" s="69" t="e" cm="1">
        <f t="array" ref="AH1163">_xlfn.XLOOKUP(Table1[[#This Row],[5 cm2 cell test code]:[5 cm2 cell test code]],[1]!Table1[[Test code]:[Test code]],[1]!Table1[Ionic resistance 10 mM KOH/Ohm cm2],"",0)</f>
        <v>#REF!</v>
      </c>
      <c r="AI1163" s="69" t="e" cm="1">
        <f t="array" ref="AI1163">_xlfn.XLOOKUP(Table1[[#This Row],[5 cm2 cell test code]:[5 cm2 cell test code]],[1]!Table1[[Test code]:[Test code]],[1]!Table1[Q_int_frac DIW 10 mM KOH],"",0)</f>
        <v>#REF!</v>
      </c>
      <c r="AJ1163" s="69" t="e" cm="1">
        <f t="array" ref="AJ1163">_xlfn.XLOOKUP(Table1[[#This Row],[5 cm2 cell test code]:[5 cm2 cell test code]],[1]!Table1[[Test code]:[Test code]],[1]!Table1[DIW conductivity (µS/cm)],"",0)</f>
        <v>#REF!</v>
      </c>
    </row>
    <row r="1164" spans="1:36">
      <c r="A1164" s="81"/>
      <c r="U1164" s="101"/>
      <c r="V1164" s="101"/>
      <c r="W1164" s="69" t="e" cm="1">
        <f t="array" ref="W1164">_xlfn.XLOOKUP(Table1[[#This Row],[5 cm2 cell test code]:[5 cm2 cell test code]],[1]!Table1[[Test code]:[Test code]],[1]!Table1[i @ 1.8 V DIW (A/cm2)],"",0)</f>
        <v>#REF!</v>
      </c>
      <c r="X1164" s="69" t="e" cm="1">
        <f t="array" ref="X1164">_xlfn.XLOOKUP(Table1[[#This Row],[5 cm2 cell test code]:[5 cm2 cell test code]],[1]!Table1[[Test code]:[Test code]],[1]!Table1[i @ 1.8 V 10 mM KOH (A/cm2)],"",0)</f>
        <v>#REF!</v>
      </c>
      <c r="Y1164" s="69" t="e" cm="1">
        <f t="array" ref="Y1164">_xlfn.XLOOKUP(Table1[[#This Row],[5 cm2 cell test code]:[5 cm2 cell test code]],[1]!Table1[[Test code]:[Test code]],[1]!Table1[3-E ƞ at 20mAcm-2 (mV)],"",0)</f>
        <v>#REF!</v>
      </c>
      <c r="Z1164" s="69" t="e" cm="1">
        <f t="array" ref="Z1164">_xlfn.XLOOKUP(Table1[[#This Row],[5 cm2 cell test code]:[5 cm2 cell test code]],[1]!Table1[[Test code]:[Test code]],[1]!Table1[3-E Tafel slope (mV/dec)],"",0)</f>
        <v>#REF!</v>
      </c>
      <c r="AA1164" s="69" t="e" cm="1">
        <f t="array" ref="AA1164">_xlfn.XLOOKUP(Table1[[#This Row],[5 cm2 cell test code]:[5 cm2 cell test code]],[1]!Table1[[Test code]:[Test code]],[1]!Table1[E @ 100 mA/cm2 DIW/V],"",0)</f>
        <v>#REF!</v>
      </c>
      <c r="AB1164" s="69" t="e" cm="1">
        <f t="array" ref="AB1164">_xlfn.XLOOKUP(Table1[[#This Row],[5 cm2 cell test code]:[5 cm2 cell test code]],[1]!Table1[[Test code]:[Test code]],[1]!Table1[E @ 100 mA/cm2 10 mM KOH/V],"",0)</f>
        <v>#REF!</v>
      </c>
      <c r="AC1164" s="69" t="e" cm="1">
        <f t="array" ref="AC1164">_xlfn.XLOOKUP(Table1[[#This Row],[5 cm2 cell test code]:[5 cm2 cell test code]],[1]!Table1[[Test code]:[Test code]],[1]!Table1[Anode ICR/mOhm],"",0)</f>
        <v>#REF!</v>
      </c>
      <c r="AD1164" s="69" t="e" cm="1">
        <f t="array" ref="AD1164">_xlfn.XLOOKUP(Table1[[#This Row],[5 cm2 cell test code]:[5 cm2 cell test code]],[1]!Table1[[Test code]:[Test code]],[1]!Table1[HFR DIW/ mOhm cm2],"",0)</f>
        <v>#REF!</v>
      </c>
      <c r="AE1164" s="69" t="e" cm="1">
        <f t="array" ref="AE1164">_xlfn.XLOOKUP(Table1[[#This Row],[5 cm2 cell test code]:[5 cm2 cell test code]],[1]!Table1[[Test code]:[Test code]],[1]!Table1[HFR 10 mM KOH/ mOhm cm2],"",0)</f>
        <v>#REF!</v>
      </c>
      <c r="AF1164" s="69" t="e" cm="1">
        <f t="array" ref="AF1164">_xlfn.XLOOKUP(Table1[[#This Row],[5 cm2 cell test code]:[5 cm2 cell test code]],[1]!Table1[[Test code]:[Test code]],[1]!Table1[Ionic resistance DIW/Ohm cm2],"",0)</f>
        <v>#REF!</v>
      </c>
      <c r="AG1164" s="69" t="e" cm="1">
        <f t="array" ref="AG1164">_xlfn.XLOOKUP(Table1[[#This Row],[5 cm2 cell test code]:[5 cm2 cell test code]],[1]!Table1[[Test code]:[Test code]],[1]!Table1[Q_int_frac DIW],"",0)</f>
        <v>#REF!</v>
      </c>
      <c r="AH1164" s="69" t="e" cm="1">
        <f t="array" ref="AH1164">_xlfn.XLOOKUP(Table1[[#This Row],[5 cm2 cell test code]:[5 cm2 cell test code]],[1]!Table1[[Test code]:[Test code]],[1]!Table1[Ionic resistance 10 mM KOH/Ohm cm2],"",0)</f>
        <v>#REF!</v>
      </c>
      <c r="AI1164" s="69" t="e" cm="1">
        <f t="array" ref="AI1164">_xlfn.XLOOKUP(Table1[[#This Row],[5 cm2 cell test code]:[5 cm2 cell test code]],[1]!Table1[[Test code]:[Test code]],[1]!Table1[Q_int_frac DIW 10 mM KOH],"",0)</f>
        <v>#REF!</v>
      </c>
      <c r="AJ1164" s="69" t="e" cm="1">
        <f t="array" ref="AJ1164">_xlfn.XLOOKUP(Table1[[#This Row],[5 cm2 cell test code]:[5 cm2 cell test code]],[1]!Table1[[Test code]:[Test code]],[1]!Table1[DIW conductivity (µS/cm)],"",0)</f>
        <v>#REF!</v>
      </c>
    </row>
    <row r="1165" spans="1:36">
      <c r="A1165" s="81"/>
      <c r="U1165" s="101"/>
      <c r="V1165" s="101"/>
      <c r="W1165" s="69" t="e" cm="1">
        <f t="array" ref="W1165">_xlfn.XLOOKUP(Table1[[#This Row],[5 cm2 cell test code]:[5 cm2 cell test code]],[1]!Table1[[Test code]:[Test code]],[1]!Table1[i @ 1.8 V DIW (A/cm2)],"",0)</f>
        <v>#REF!</v>
      </c>
      <c r="X1165" s="69" t="e" cm="1">
        <f t="array" ref="X1165">_xlfn.XLOOKUP(Table1[[#This Row],[5 cm2 cell test code]:[5 cm2 cell test code]],[1]!Table1[[Test code]:[Test code]],[1]!Table1[i @ 1.8 V 10 mM KOH (A/cm2)],"",0)</f>
        <v>#REF!</v>
      </c>
      <c r="Y1165" s="69" t="e" cm="1">
        <f t="array" ref="Y1165">_xlfn.XLOOKUP(Table1[[#This Row],[5 cm2 cell test code]:[5 cm2 cell test code]],[1]!Table1[[Test code]:[Test code]],[1]!Table1[3-E ƞ at 20mAcm-2 (mV)],"",0)</f>
        <v>#REF!</v>
      </c>
      <c r="Z1165" s="69" t="e" cm="1">
        <f t="array" ref="Z1165">_xlfn.XLOOKUP(Table1[[#This Row],[5 cm2 cell test code]:[5 cm2 cell test code]],[1]!Table1[[Test code]:[Test code]],[1]!Table1[3-E Tafel slope (mV/dec)],"",0)</f>
        <v>#REF!</v>
      </c>
      <c r="AA1165" s="69" t="e" cm="1">
        <f t="array" ref="AA1165">_xlfn.XLOOKUP(Table1[[#This Row],[5 cm2 cell test code]:[5 cm2 cell test code]],[1]!Table1[[Test code]:[Test code]],[1]!Table1[E @ 100 mA/cm2 DIW/V],"",0)</f>
        <v>#REF!</v>
      </c>
      <c r="AB1165" s="69" t="e" cm="1">
        <f t="array" ref="AB1165">_xlfn.XLOOKUP(Table1[[#This Row],[5 cm2 cell test code]:[5 cm2 cell test code]],[1]!Table1[[Test code]:[Test code]],[1]!Table1[E @ 100 mA/cm2 10 mM KOH/V],"",0)</f>
        <v>#REF!</v>
      </c>
      <c r="AC1165" s="69" t="e" cm="1">
        <f t="array" ref="AC1165">_xlfn.XLOOKUP(Table1[[#This Row],[5 cm2 cell test code]:[5 cm2 cell test code]],[1]!Table1[[Test code]:[Test code]],[1]!Table1[Anode ICR/mOhm],"",0)</f>
        <v>#REF!</v>
      </c>
      <c r="AD1165" s="69" t="e" cm="1">
        <f t="array" ref="AD1165">_xlfn.XLOOKUP(Table1[[#This Row],[5 cm2 cell test code]:[5 cm2 cell test code]],[1]!Table1[[Test code]:[Test code]],[1]!Table1[HFR DIW/ mOhm cm2],"",0)</f>
        <v>#REF!</v>
      </c>
      <c r="AE1165" s="69" t="e" cm="1">
        <f t="array" ref="AE1165">_xlfn.XLOOKUP(Table1[[#This Row],[5 cm2 cell test code]:[5 cm2 cell test code]],[1]!Table1[[Test code]:[Test code]],[1]!Table1[HFR 10 mM KOH/ mOhm cm2],"",0)</f>
        <v>#REF!</v>
      </c>
      <c r="AF1165" s="69" t="e" cm="1">
        <f t="array" ref="AF1165">_xlfn.XLOOKUP(Table1[[#This Row],[5 cm2 cell test code]:[5 cm2 cell test code]],[1]!Table1[[Test code]:[Test code]],[1]!Table1[Ionic resistance DIW/Ohm cm2],"",0)</f>
        <v>#REF!</v>
      </c>
      <c r="AG1165" s="69" t="e" cm="1">
        <f t="array" ref="AG1165">_xlfn.XLOOKUP(Table1[[#This Row],[5 cm2 cell test code]:[5 cm2 cell test code]],[1]!Table1[[Test code]:[Test code]],[1]!Table1[Q_int_frac DIW],"",0)</f>
        <v>#REF!</v>
      </c>
      <c r="AH1165" s="69" t="e" cm="1">
        <f t="array" ref="AH1165">_xlfn.XLOOKUP(Table1[[#This Row],[5 cm2 cell test code]:[5 cm2 cell test code]],[1]!Table1[[Test code]:[Test code]],[1]!Table1[Ionic resistance 10 mM KOH/Ohm cm2],"",0)</f>
        <v>#REF!</v>
      </c>
      <c r="AI1165" s="69" t="e" cm="1">
        <f t="array" ref="AI1165">_xlfn.XLOOKUP(Table1[[#This Row],[5 cm2 cell test code]:[5 cm2 cell test code]],[1]!Table1[[Test code]:[Test code]],[1]!Table1[Q_int_frac DIW 10 mM KOH],"",0)</f>
        <v>#REF!</v>
      </c>
      <c r="AJ1165" s="69" t="e" cm="1">
        <f t="array" ref="AJ1165">_xlfn.XLOOKUP(Table1[[#This Row],[5 cm2 cell test code]:[5 cm2 cell test code]],[1]!Table1[[Test code]:[Test code]],[1]!Table1[DIW conductivity (µS/cm)],"",0)</f>
        <v>#REF!</v>
      </c>
    </row>
    <row r="1166" spans="1:36">
      <c r="A1166" s="81"/>
      <c r="U1166" s="101"/>
      <c r="V1166" s="101"/>
      <c r="W1166" s="69" t="e" cm="1">
        <f t="array" ref="W1166">_xlfn.XLOOKUP(Table1[[#This Row],[5 cm2 cell test code]:[5 cm2 cell test code]],[1]!Table1[[Test code]:[Test code]],[1]!Table1[i @ 1.8 V DIW (A/cm2)],"",0)</f>
        <v>#REF!</v>
      </c>
      <c r="X1166" s="69" t="e" cm="1">
        <f t="array" ref="X1166">_xlfn.XLOOKUP(Table1[[#This Row],[5 cm2 cell test code]:[5 cm2 cell test code]],[1]!Table1[[Test code]:[Test code]],[1]!Table1[i @ 1.8 V 10 mM KOH (A/cm2)],"",0)</f>
        <v>#REF!</v>
      </c>
      <c r="Y1166" s="69" t="e" cm="1">
        <f t="array" ref="Y1166">_xlfn.XLOOKUP(Table1[[#This Row],[5 cm2 cell test code]:[5 cm2 cell test code]],[1]!Table1[[Test code]:[Test code]],[1]!Table1[3-E ƞ at 20mAcm-2 (mV)],"",0)</f>
        <v>#REF!</v>
      </c>
      <c r="Z1166" s="69" t="e" cm="1">
        <f t="array" ref="Z1166">_xlfn.XLOOKUP(Table1[[#This Row],[5 cm2 cell test code]:[5 cm2 cell test code]],[1]!Table1[[Test code]:[Test code]],[1]!Table1[3-E Tafel slope (mV/dec)],"",0)</f>
        <v>#REF!</v>
      </c>
      <c r="AA1166" s="69" t="e" cm="1">
        <f t="array" ref="AA1166">_xlfn.XLOOKUP(Table1[[#This Row],[5 cm2 cell test code]:[5 cm2 cell test code]],[1]!Table1[[Test code]:[Test code]],[1]!Table1[E @ 100 mA/cm2 DIW/V],"",0)</f>
        <v>#REF!</v>
      </c>
      <c r="AB1166" s="69" t="e" cm="1">
        <f t="array" ref="AB1166">_xlfn.XLOOKUP(Table1[[#This Row],[5 cm2 cell test code]:[5 cm2 cell test code]],[1]!Table1[[Test code]:[Test code]],[1]!Table1[E @ 100 mA/cm2 10 mM KOH/V],"",0)</f>
        <v>#REF!</v>
      </c>
      <c r="AC1166" s="69" t="e" cm="1">
        <f t="array" ref="AC1166">_xlfn.XLOOKUP(Table1[[#This Row],[5 cm2 cell test code]:[5 cm2 cell test code]],[1]!Table1[[Test code]:[Test code]],[1]!Table1[Anode ICR/mOhm],"",0)</f>
        <v>#REF!</v>
      </c>
      <c r="AD1166" s="69" t="e" cm="1">
        <f t="array" ref="AD1166">_xlfn.XLOOKUP(Table1[[#This Row],[5 cm2 cell test code]:[5 cm2 cell test code]],[1]!Table1[[Test code]:[Test code]],[1]!Table1[HFR DIW/ mOhm cm2],"",0)</f>
        <v>#REF!</v>
      </c>
      <c r="AE1166" s="69" t="e" cm="1">
        <f t="array" ref="AE1166">_xlfn.XLOOKUP(Table1[[#This Row],[5 cm2 cell test code]:[5 cm2 cell test code]],[1]!Table1[[Test code]:[Test code]],[1]!Table1[HFR 10 mM KOH/ mOhm cm2],"",0)</f>
        <v>#REF!</v>
      </c>
      <c r="AF1166" s="69" t="e" cm="1">
        <f t="array" ref="AF1166">_xlfn.XLOOKUP(Table1[[#This Row],[5 cm2 cell test code]:[5 cm2 cell test code]],[1]!Table1[[Test code]:[Test code]],[1]!Table1[Ionic resistance DIW/Ohm cm2],"",0)</f>
        <v>#REF!</v>
      </c>
      <c r="AG1166" s="69" t="e" cm="1">
        <f t="array" ref="AG1166">_xlfn.XLOOKUP(Table1[[#This Row],[5 cm2 cell test code]:[5 cm2 cell test code]],[1]!Table1[[Test code]:[Test code]],[1]!Table1[Q_int_frac DIW],"",0)</f>
        <v>#REF!</v>
      </c>
      <c r="AH1166" s="69" t="e" cm="1">
        <f t="array" ref="AH1166">_xlfn.XLOOKUP(Table1[[#This Row],[5 cm2 cell test code]:[5 cm2 cell test code]],[1]!Table1[[Test code]:[Test code]],[1]!Table1[Ionic resistance 10 mM KOH/Ohm cm2],"",0)</f>
        <v>#REF!</v>
      </c>
      <c r="AI1166" s="69" t="e" cm="1">
        <f t="array" ref="AI1166">_xlfn.XLOOKUP(Table1[[#This Row],[5 cm2 cell test code]:[5 cm2 cell test code]],[1]!Table1[[Test code]:[Test code]],[1]!Table1[Q_int_frac DIW 10 mM KOH],"",0)</f>
        <v>#REF!</v>
      </c>
      <c r="AJ1166" s="69" t="e" cm="1">
        <f t="array" ref="AJ1166">_xlfn.XLOOKUP(Table1[[#This Row],[5 cm2 cell test code]:[5 cm2 cell test code]],[1]!Table1[[Test code]:[Test code]],[1]!Table1[DIW conductivity (µS/cm)],"",0)</f>
        <v>#REF!</v>
      </c>
    </row>
    <row r="1167" spans="1:36">
      <c r="A1167" s="81"/>
      <c r="U1167" s="101"/>
      <c r="V1167" s="101"/>
      <c r="W1167" s="69" t="e" cm="1">
        <f t="array" ref="W1167">_xlfn.XLOOKUP(Table1[[#This Row],[5 cm2 cell test code]:[5 cm2 cell test code]],[1]!Table1[[Test code]:[Test code]],[1]!Table1[i @ 1.8 V DIW (A/cm2)],"",0)</f>
        <v>#REF!</v>
      </c>
      <c r="X1167" s="69" t="e" cm="1">
        <f t="array" ref="X1167">_xlfn.XLOOKUP(Table1[[#This Row],[5 cm2 cell test code]:[5 cm2 cell test code]],[1]!Table1[[Test code]:[Test code]],[1]!Table1[i @ 1.8 V 10 mM KOH (A/cm2)],"",0)</f>
        <v>#REF!</v>
      </c>
      <c r="Y1167" s="69" t="e" cm="1">
        <f t="array" ref="Y1167">_xlfn.XLOOKUP(Table1[[#This Row],[5 cm2 cell test code]:[5 cm2 cell test code]],[1]!Table1[[Test code]:[Test code]],[1]!Table1[3-E ƞ at 20mAcm-2 (mV)],"",0)</f>
        <v>#REF!</v>
      </c>
      <c r="Z1167" s="69" t="e" cm="1">
        <f t="array" ref="Z1167">_xlfn.XLOOKUP(Table1[[#This Row],[5 cm2 cell test code]:[5 cm2 cell test code]],[1]!Table1[[Test code]:[Test code]],[1]!Table1[3-E Tafel slope (mV/dec)],"",0)</f>
        <v>#REF!</v>
      </c>
      <c r="AA1167" s="69" t="e" cm="1">
        <f t="array" ref="AA1167">_xlfn.XLOOKUP(Table1[[#This Row],[5 cm2 cell test code]:[5 cm2 cell test code]],[1]!Table1[[Test code]:[Test code]],[1]!Table1[E @ 100 mA/cm2 DIW/V],"",0)</f>
        <v>#REF!</v>
      </c>
      <c r="AB1167" s="69" t="e" cm="1">
        <f t="array" ref="AB1167">_xlfn.XLOOKUP(Table1[[#This Row],[5 cm2 cell test code]:[5 cm2 cell test code]],[1]!Table1[[Test code]:[Test code]],[1]!Table1[E @ 100 mA/cm2 10 mM KOH/V],"",0)</f>
        <v>#REF!</v>
      </c>
      <c r="AC1167" s="69" t="e" cm="1">
        <f t="array" ref="AC1167">_xlfn.XLOOKUP(Table1[[#This Row],[5 cm2 cell test code]:[5 cm2 cell test code]],[1]!Table1[[Test code]:[Test code]],[1]!Table1[Anode ICR/mOhm],"",0)</f>
        <v>#REF!</v>
      </c>
      <c r="AD1167" s="69" t="e" cm="1">
        <f t="array" ref="AD1167">_xlfn.XLOOKUP(Table1[[#This Row],[5 cm2 cell test code]:[5 cm2 cell test code]],[1]!Table1[[Test code]:[Test code]],[1]!Table1[HFR DIW/ mOhm cm2],"",0)</f>
        <v>#REF!</v>
      </c>
      <c r="AE1167" s="69" t="e" cm="1">
        <f t="array" ref="AE1167">_xlfn.XLOOKUP(Table1[[#This Row],[5 cm2 cell test code]:[5 cm2 cell test code]],[1]!Table1[[Test code]:[Test code]],[1]!Table1[HFR 10 mM KOH/ mOhm cm2],"",0)</f>
        <v>#REF!</v>
      </c>
      <c r="AF1167" s="69" t="e" cm="1">
        <f t="array" ref="AF1167">_xlfn.XLOOKUP(Table1[[#This Row],[5 cm2 cell test code]:[5 cm2 cell test code]],[1]!Table1[[Test code]:[Test code]],[1]!Table1[Ionic resistance DIW/Ohm cm2],"",0)</f>
        <v>#REF!</v>
      </c>
      <c r="AG1167" s="69" t="e" cm="1">
        <f t="array" ref="AG1167">_xlfn.XLOOKUP(Table1[[#This Row],[5 cm2 cell test code]:[5 cm2 cell test code]],[1]!Table1[[Test code]:[Test code]],[1]!Table1[Q_int_frac DIW],"",0)</f>
        <v>#REF!</v>
      </c>
      <c r="AH1167" s="69" t="e" cm="1">
        <f t="array" ref="AH1167">_xlfn.XLOOKUP(Table1[[#This Row],[5 cm2 cell test code]:[5 cm2 cell test code]],[1]!Table1[[Test code]:[Test code]],[1]!Table1[Ionic resistance 10 mM KOH/Ohm cm2],"",0)</f>
        <v>#REF!</v>
      </c>
      <c r="AI1167" s="69" t="e" cm="1">
        <f t="array" ref="AI1167">_xlfn.XLOOKUP(Table1[[#This Row],[5 cm2 cell test code]:[5 cm2 cell test code]],[1]!Table1[[Test code]:[Test code]],[1]!Table1[Q_int_frac DIW 10 mM KOH],"",0)</f>
        <v>#REF!</v>
      </c>
      <c r="AJ1167" s="69" t="e" cm="1">
        <f t="array" ref="AJ1167">_xlfn.XLOOKUP(Table1[[#This Row],[5 cm2 cell test code]:[5 cm2 cell test code]],[1]!Table1[[Test code]:[Test code]],[1]!Table1[DIW conductivity (µS/cm)],"",0)</f>
        <v>#REF!</v>
      </c>
    </row>
    <row r="1168" spans="1:36">
      <c r="A1168" s="81"/>
      <c r="U1168" s="101"/>
      <c r="V1168" s="101"/>
      <c r="W1168" s="69" t="e" cm="1">
        <f t="array" ref="W1168">_xlfn.XLOOKUP(Table1[[#This Row],[5 cm2 cell test code]:[5 cm2 cell test code]],[1]!Table1[[Test code]:[Test code]],[1]!Table1[i @ 1.8 V DIW (A/cm2)],"",0)</f>
        <v>#REF!</v>
      </c>
      <c r="X1168" s="69" t="e" cm="1">
        <f t="array" ref="X1168">_xlfn.XLOOKUP(Table1[[#This Row],[5 cm2 cell test code]:[5 cm2 cell test code]],[1]!Table1[[Test code]:[Test code]],[1]!Table1[i @ 1.8 V 10 mM KOH (A/cm2)],"",0)</f>
        <v>#REF!</v>
      </c>
      <c r="Y1168" s="69" t="e" cm="1">
        <f t="array" ref="Y1168">_xlfn.XLOOKUP(Table1[[#This Row],[5 cm2 cell test code]:[5 cm2 cell test code]],[1]!Table1[[Test code]:[Test code]],[1]!Table1[3-E ƞ at 20mAcm-2 (mV)],"",0)</f>
        <v>#REF!</v>
      </c>
      <c r="Z1168" s="69" t="e" cm="1">
        <f t="array" ref="Z1168">_xlfn.XLOOKUP(Table1[[#This Row],[5 cm2 cell test code]:[5 cm2 cell test code]],[1]!Table1[[Test code]:[Test code]],[1]!Table1[3-E Tafel slope (mV/dec)],"",0)</f>
        <v>#REF!</v>
      </c>
      <c r="AA1168" s="69" t="e" cm="1">
        <f t="array" ref="AA1168">_xlfn.XLOOKUP(Table1[[#This Row],[5 cm2 cell test code]:[5 cm2 cell test code]],[1]!Table1[[Test code]:[Test code]],[1]!Table1[E @ 100 mA/cm2 DIW/V],"",0)</f>
        <v>#REF!</v>
      </c>
      <c r="AB1168" s="69" t="e" cm="1">
        <f t="array" ref="AB1168">_xlfn.XLOOKUP(Table1[[#This Row],[5 cm2 cell test code]:[5 cm2 cell test code]],[1]!Table1[[Test code]:[Test code]],[1]!Table1[E @ 100 mA/cm2 10 mM KOH/V],"",0)</f>
        <v>#REF!</v>
      </c>
      <c r="AC1168" s="69" t="e" cm="1">
        <f t="array" ref="AC1168">_xlfn.XLOOKUP(Table1[[#This Row],[5 cm2 cell test code]:[5 cm2 cell test code]],[1]!Table1[[Test code]:[Test code]],[1]!Table1[Anode ICR/mOhm],"",0)</f>
        <v>#REF!</v>
      </c>
      <c r="AD1168" s="69" t="e" cm="1">
        <f t="array" ref="AD1168">_xlfn.XLOOKUP(Table1[[#This Row],[5 cm2 cell test code]:[5 cm2 cell test code]],[1]!Table1[[Test code]:[Test code]],[1]!Table1[HFR DIW/ mOhm cm2],"",0)</f>
        <v>#REF!</v>
      </c>
      <c r="AE1168" s="69" t="e" cm="1">
        <f t="array" ref="AE1168">_xlfn.XLOOKUP(Table1[[#This Row],[5 cm2 cell test code]:[5 cm2 cell test code]],[1]!Table1[[Test code]:[Test code]],[1]!Table1[HFR 10 mM KOH/ mOhm cm2],"",0)</f>
        <v>#REF!</v>
      </c>
      <c r="AF1168" s="69" t="e" cm="1">
        <f t="array" ref="AF1168">_xlfn.XLOOKUP(Table1[[#This Row],[5 cm2 cell test code]:[5 cm2 cell test code]],[1]!Table1[[Test code]:[Test code]],[1]!Table1[Ionic resistance DIW/Ohm cm2],"",0)</f>
        <v>#REF!</v>
      </c>
      <c r="AG1168" s="69" t="e" cm="1">
        <f t="array" ref="AG1168">_xlfn.XLOOKUP(Table1[[#This Row],[5 cm2 cell test code]:[5 cm2 cell test code]],[1]!Table1[[Test code]:[Test code]],[1]!Table1[Q_int_frac DIW],"",0)</f>
        <v>#REF!</v>
      </c>
      <c r="AH1168" s="69" t="e" cm="1">
        <f t="array" ref="AH1168">_xlfn.XLOOKUP(Table1[[#This Row],[5 cm2 cell test code]:[5 cm2 cell test code]],[1]!Table1[[Test code]:[Test code]],[1]!Table1[Ionic resistance 10 mM KOH/Ohm cm2],"",0)</f>
        <v>#REF!</v>
      </c>
      <c r="AI1168" s="69" t="e" cm="1">
        <f t="array" ref="AI1168">_xlfn.XLOOKUP(Table1[[#This Row],[5 cm2 cell test code]:[5 cm2 cell test code]],[1]!Table1[[Test code]:[Test code]],[1]!Table1[Q_int_frac DIW 10 mM KOH],"",0)</f>
        <v>#REF!</v>
      </c>
      <c r="AJ1168" s="69" t="e" cm="1">
        <f t="array" ref="AJ1168">_xlfn.XLOOKUP(Table1[[#This Row],[5 cm2 cell test code]:[5 cm2 cell test code]],[1]!Table1[[Test code]:[Test code]],[1]!Table1[DIW conductivity (µS/cm)],"",0)</f>
        <v>#REF!</v>
      </c>
    </row>
    <row r="1169" spans="1:36">
      <c r="A1169" s="81"/>
      <c r="U1169" s="101"/>
      <c r="V1169" s="101"/>
      <c r="W1169" s="69" t="e" cm="1">
        <f t="array" ref="W1169">_xlfn.XLOOKUP(Table1[[#This Row],[5 cm2 cell test code]:[5 cm2 cell test code]],[1]!Table1[[Test code]:[Test code]],[1]!Table1[i @ 1.8 V DIW (A/cm2)],"",0)</f>
        <v>#REF!</v>
      </c>
      <c r="X1169" s="69" t="e" cm="1">
        <f t="array" ref="X1169">_xlfn.XLOOKUP(Table1[[#This Row],[5 cm2 cell test code]:[5 cm2 cell test code]],[1]!Table1[[Test code]:[Test code]],[1]!Table1[i @ 1.8 V 10 mM KOH (A/cm2)],"",0)</f>
        <v>#REF!</v>
      </c>
      <c r="Y1169" s="69" t="e" cm="1">
        <f t="array" ref="Y1169">_xlfn.XLOOKUP(Table1[[#This Row],[5 cm2 cell test code]:[5 cm2 cell test code]],[1]!Table1[[Test code]:[Test code]],[1]!Table1[3-E ƞ at 20mAcm-2 (mV)],"",0)</f>
        <v>#REF!</v>
      </c>
      <c r="Z1169" s="69" t="e" cm="1">
        <f t="array" ref="Z1169">_xlfn.XLOOKUP(Table1[[#This Row],[5 cm2 cell test code]:[5 cm2 cell test code]],[1]!Table1[[Test code]:[Test code]],[1]!Table1[3-E Tafel slope (mV/dec)],"",0)</f>
        <v>#REF!</v>
      </c>
      <c r="AA1169" s="69" t="e" cm="1">
        <f t="array" ref="AA1169">_xlfn.XLOOKUP(Table1[[#This Row],[5 cm2 cell test code]:[5 cm2 cell test code]],[1]!Table1[[Test code]:[Test code]],[1]!Table1[E @ 100 mA/cm2 DIW/V],"",0)</f>
        <v>#REF!</v>
      </c>
      <c r="AB1169" s="69" t="e" cm="1">
        <f t="array" ref="AB1169">_xlfn.XLOOKUP(Table1[[#This Row],[5 cm2 cell test code]:[5 cm2 cell test code]],[1]!Table1[[Test code]:[Test code]],[1]!Table1[E @ 100 mA/cm2 10 mM KOH/V],"",0)</f>
        <v>#REF!</v>
      </c>
      <c r="AC1169" s="69" t="e" cm="1">
        <f t="array" ref="AC1169">_xlfn.XLOOKUP(Table1[[#This Row],[5 cm2 cell test code]:[5 cm2 cell test code]],[1]!Table1[[Test code]:[Test code]],[1]!Table1[Anode ICR/mOhm],"",0)</f>
        <v>#REF!</v>
      </c>
      <c r="AD1169" s="69" t="e" cm="1">
        <f t="array" ref="AD1169">_xlfn.XLOOKUP(Table1[[#This Row],[5 cm2 cell test code]:[5 cm2 cell test code]],[1]!Table1[[Test code]:[Test code]],[1]!Table1[HFR DIW/ mOhm cm2],"",0)</f>
        <v>#REF!</v>
      </c>
      <c r="AE1169" s="69" t="e" cm="1">
        <f t="array" ref="AE1169">_xlfn.XLOOKUP(Table1[[#This Row],[5 cm2 cell test code]:[5 cm2 cell test code]],[1]!Table1[[Test code]:[Test code]],[1]!Table1[HFR 10 mM KOH/ mOhm cm2],"",0)</f>
        <v>#REF!</v>
      </c>
      <c r="AF1169" s="69" t="e" cm="1">
        <f t="array" ref="AF1169">_xlfn.XLOOKUP(Table1[[#This Row],[5 cm2 cell test code]:[5 cm2 cell test code]],[1]!Table1[[Test code]:[Test code]],[1]!Table1[Ionic resistance DIW/Ohm cm2],"",0)</f>
        <v>#REF!</v>
      </c>
      <c r="AG1169" s="69" t="e" cm="1">
        <f t="array" ref="AG1169">_xlfn.XLOOKUP(Table1[[#This Row],[5 cm2 cell test code]:[5 cm2 cell test code]],[1]!Table1[[Test code]:[Test code]],[1]!Table1[Q_int_frac DIW],"",0)</f>
        <v>#REF!</v>
      </c>
      <c r="AH1169" s="69" t="e" cm="1">
        <f t="array" ref="AH1169">_xlfn.XLOOKUP(Table1[[#This Row],[5 cm2 cell test code]:[5 cm2 cell test code]],[1]!Table1[[Test code]:[Test code]],[1]!Table1[Ionic resistance 10 mM KOH/Ohm cm2],"",0)</f>
        <v>#REF!</v>
      </c>
      <c r="AI1169" s="69" t="e" cm="1">
        <f t="array" ref="AI1169">_xlfn.XLOOKUP(Table1[[#This Row],[5 cm2 cell test code]:[5 cm2 cell test code]],[1]!Table1[[Test code]:[Test code]],[1]!Table1[Q_int_frac DIW 10 mM KOH],"",0)</f>
        <v>#REF!</v>
      </c>
      <c r="AJ1169" s="69" t="e" cm="1">
        <f t="array" ref="AJ1169">_xlfn.XLOOKUP(Table1[[#This Row],[5 cm2 cell test code]:[5 cm2 cell test code]],[1]!Table1[[Test code]:[Test code]],[1]!Table1[DIW conductivity (µS/cm)],"",0)</f>
        <v>#REF!</v>
      </c>
    </row>
    <row r="1170" spans="1:36">
      <c r="A1170" s="81"/>
      <c r="U1170" s="101"/>
      <c r="V1170" s="101"/>
      <c r="W1170" s="69" t="e" cm="1">
        <f t="array" ref="W1170">_xlfn.XLOOKUP(Table1[[#This Row],[5 cm2 cell test code]:[5 cm2 cell test code]],[1]!Table1[[Test code]:[Test code]],[1]!Table1[i @ 1.8 V DIW (A/cm2)],"",0)</f>
        <v>#REF!</v>
      </c>
      <c r="X1170" s="69" t="e" cm="1">
        <f t="array" ref="X1170">_xlfn.XLOOKUP(Table1[[#This Row],[5 cm2 cell test code]:[5 cm2 cell test code]],[1]!Table1[[Test code]:[Test code]],[1]!Table1[i @ 1.8 V 10 mM KOH (A/cm2)],"",0)</f>
        <v>#REF!</v>
      </c>
      <c r="Y1170" s="69" t="e" cm="1">
        <f t="array" ref="Y1170">_xlfn.XLOOKUP(Table1[[#This Row],[5 cm2 cell test code]:[5 cm2 cell test code]],[1]!Table1[[Test code]:[Test code]],[1]!Table1[3-E ƞ at 20mAcm-2 (mV)],"",0)</f>
        <v>#REF!</v>
      </c>
      <c r="Z1170" s="69" t="e" cm="1">
        <f t="array" ref="Z1170">_xlfn.XLOOKUP(Table1[[#This Row],[5 cm2 cell test code]:[5 cm2 cell test code]],[1]!Table1[[Test code]:[Test code]],[1]!Table1[3-E Tafel slope (mV/dec)],"",0)</f>
        <v>#REF!</v>
      </c>
      <c r="AA1170" s="69" t="e" cm="1">
        <f t="array" ref="AA1170">_xlfn.XLOOKUP(Table1[[#This Row],[5 cm2 cell test code]:[5 cm2 cell test code]],[1]!Table1[[Test code]:[Test code]],[1]!Table1[E @ 100 mA/cm2 DIW/V],"",0)</f>
        <v>#REF!</v>
      </c>
      <c r="AB1170" s="69" t="e" cm="1">
        <f t="array" ref="AB1170">_xlfn.XLOOKUP(Table1[[#This Row],[5 cm2 cell test code]:[5 cm2 cell test code]],[1]!Table1[[Test code]:[Test code]],[1]!Table1[E @ 100 mA/cm2 10 mM KOH/V],"",0)</f>
        <v>#REF!</v>
      </c>
      <c r="AC1170" s="69" t="e" cm="1">
        <f t="array" ref="AC1170">_xlfn.XLOOKUP(Table1[[#This Row],[5 cm2 cell test code]:[5 cm2 cell test code]],[1]!Table1[[Test code]:[Test code]],[1]!Table1[Anode ICR/mOhm],"",0)</f>
        <v>#REF!</v>
      </c>
      <c r="AD1170" s="69" t="e" cm="1">
        <f t="array" ref="AD1170">_xlfn.XLOOKUP(Table1[[#This Row],[5 cm2 cell test code]:[5 cm2 cell test code]],[1]!Table1[[Test code]:[Test code]],[1]!Table1[HFR DIW/ mOhm cm2],"",0)</f>
        <v>#REF!</v>
      </c>
      <c r="AE1170" s="69" t="e" cm="1">
        <f t="array" ref="AE1170">_xlfn.XLOOKUP(Table1[[#This Row],[5 cm2 cell test code]:[5 cm2 cell test code]],[1]!Table1[[Test code]:[Test code]],[1]!Table1[HFR 10 mM KOH/ mOhm cm2],"",0)</f>
        <v>#REF!</v>
      </c>
      <c r="AF1170" s="69" t="e" cm="1">
        <f t="array" ref="AF1170">_xlfn.XLOOKUP(Table1[[#This Row],[5 cm2 cell test code]:[5 cm2 cell test code]],[1]!Table1[[Test code]:[Test code]],[1]!Table1[Ionic resistance DIW/Ohm cm2],"",0)</f>
        <v>#REF!</v>
      </c>
      <c r="AG1170" s="69" t="e" cm="1">
        <f t="array" ref="AG1170">_xlfn.XLOOKUP(Table1[[#This Row],[5 cm2 cell test code]:[5 cm2 cell test code]],[1]!Table1[[Test code]:[Test code]],[1]!Table1[Q_int_frac DIW],"",0)</f>
        <v>#REF!</v>
      </c>
      <c r="AH1170" s="69" t="e" cm="1">
        <f t="array" ref="AH1170">_xlfn.XLOOKUP(Table1[[#This Row],[5 cm2 cell test code]:[5 cm2 cell test code]],[1]!Table1[[Test code]:[Test code]],[1]!Table1[Ionic resistance 10 mM KOH/Ohm cm2],"",0)</f>
        <v>#REF!</v>
      </c>
      <c r="AI1170" s="69" t="e" cm="1">
        <f t="array" ref="AI1170">_xlfn.XLOOKUP(Table1[[#This Row],[5 cm2 cell test code]:[5 cm2 cell test code]],[1]!Table1[[Test code]:[Test code]],[1]!Table1[Q_int_frac DIW 10 mM KOH],"",0)</f>
        <v>#REF!</v>
      </c>
      <c r="AJ1170" s="69" t="e" cm="1">
        <f t="array" ref="AJ1170">_xlfn.XLOOKUP(Table1[[#This Row],[5 cm2 cell test code]:[5 cm2 cell test code]],[1]!Table1[[Test code]:[Test code]],[1]!Table1[DIW conductivity (µS/cm)],"",0)</f>
        <v>#REF!</v>
      </c>
    </row>
    <row r="1171" spans="1:36">
      <c r="A1171" s="81"/>
      <c r="U1171" s="101"/>
      <c r="V1171" s="101"/>
      <c r="W1171" s="69" t="e" cm="1">
        <f t="array" ref="W1171">_xlfn.XLOOKUP(Table1[[#This Row],[5 cm2 cell test code]:[5 cm2 cell test code]],[1]!Table1[[Test code]:[Test code]],[1]!Table1[i @ 1.8 V DIW (A/cm2)],"",0)</f>
        <v>#REF!</v>
      </c>
      <c r="X1171" s="69" t="e" cm="1">
        <f t="array" ref="X1171">_xlfn.XLOOKUP(Table1[[#This Row],[5 cm2 cell test code]:[5 cm2 cell test code]],[1]!Table1[[Test code]:[Test code]],[1]!Table1[i @ 1.8 V 10 mM KOH (A/cm2)],"",0)</f>
        <v>#REF!</v>
      </c>
      <c r="Y1171" s="69" t="e" cm="1">
        <f t="array" ref="Y1171">_xlfn.XLOOKUP(Table1[[#This Row],[5 cm2 cell test code]:[5 cm2 cell test code]],[1]!Table1[[Test code]:[Test code]],[1]!Table1[3-E ƞ at 20mAcm-2 (mV)],"",0)</f>
        <v>#REF!</v>
      </c>
      <c r="Z1171" s="69" t="e" cm="1">
        <f t="array" ref="Z1171">_xlfn.XLOOKUP(Table1[[#This Row],[5 cm2 cell test code]:[5 cm2 cell test code]],[1]!Table1[[Test code]:[Test code]],[1]!Table1[3-E Tafel slope (mV/dec)],"",0)</f>
        <v>#REF!</v>
      </c>
      <c r="AA1171" s="69" t="e" cm="1">
        <f t="array" ref="AA1171">_xlfn.XLOOKUP(Table1[[#This Row],[5 cm2 cell test code]:[5 cm2 cell test code]],[1]!Table1[[Test code]:[Test code]],[1]!Table1[E @ 100 mA/cm2 DIW/V],"",0)</f>
        <v>#REF!</v>
      </c>
      <c r="AB1171" s="69" t="e" cm="1">
        <f t="array" ref="AB1171">_xlfn.XLOOKUP(Table1[[#This Row],[5 cm2 cell test code]:[5 cm2 cell test code]],[1]!Table1[[Test code]:[Test code]],[1]!Table1[E @ 100 mA/cm2 10 mM KOH/V],"",0)</f>
        <v>#REF!</v>
      </c>
      <c r="AC1171" s="69" t="e" cm="1">
        <f t="array" ref="AC1171">_xlfn.XLOOKUP(Table1[[#This Row],[5 cm2 cell test code]:[5 cm2 cell test code]],[1]!Table1[[Test code]:[Test code]],[1]!Table1[Anode ICR/mOhm],"",0)</f>
        <v>#REF!</v>
      </c>
      <c r="AD1171" s="69" t="e" cm="1">
        <f t="array" ref="AD1171">_xlfn.XLOOKUP(Table1[[#This Row],[5 cm2 cell test code]:[5 cm2 cell test code]],[1]!Table1[[Test code]:[Test code]],[1]!Table1[HFR DIW/ mOhm cm2],"",0)</f>
        <v>#REF!</v>
      </c>
      <c r="AE1171" s="69" t="e" cm="1">
        <f t="array" ref="AE1171">_xlfn.XLOOKUP(Table1[[#This Row],[5 cm2 cell test code]:[5 cm2 cell test code]],[1]!Table1[[Test code]:[Test code]],[1]!Table1[HFR 10 mM KOH/ mOhm cm2],"",0)</f>
        <v>#REF!</v>
      </c>
      <c r="AF1171" s="69" t="e" cm="1">
        <f t="array" ref="AF1171">_xlfn.XLOOKUP(Table1[[#This Row],[5 cm2 cell test code]:[5 cm2 cell test code]],[1]!Table1[[Test code]:[Test code]],[1]!Table1[Ionic resistance DIW/Ohm cm2],"",0)</f>
        <v>#REF!</v>
      </c>
      <c r="AG1171" s="69" t="e" cm="1">
        <f t="array" ref="AG1171">_xlfn.XLOOKUP(Table1[[#This Row],[5 cm2 cell test code]:[5 cm2 cell test code]],[1]!Table1[[Test code]:[Test code]],[1]!Table1[Q_int_frac DIW],"",0)</f>
        <v>#REF!</v>
      </c>
      <c r="AH1171" s="69" t="e" cm="1">
        <f t="array" ref="AH1171">_xlfn.XLOOKUP(Table1[[#This Row],[5 cm2 cell test code]:[5 cm2 cell test code]],[1]!Table1[[Test code]:[Test code]],[1]!Table1[Ionic resistance 10 mM KOH/Ohm cm2],"",0)</f>
        <v>#REF!</v>
      </c>
      <c r="AI1171" s="69" t="e" cm="1">
        <f t="array" ref="AI1171">_xlfn.XLOOKUP(Table1[[#This Row],[5 cm2 cell test code]:[5 cm2 cell test code]],[1]!Table1[[Test code]:[Test code]],[1]!Table1[Q_int_frac DIW 10 mM KOH],"",0)</f>
        <v>#REF!</v>
      </c>
      <c r="AJ1171" s="69" t="e" cm="1">
        <f t="array" ref="AJ1171">_xlfn.XLOOKUP(Table1[[#This Row],[5 cm2 cell test code]:[5 cm2 cell test code]],[1]!Table1[[Test code]:[Test code]],[1]!Table1[DIW conductivity (µS/cm)],"",0)</f>
        <v>#REF!</v>
      </c>
    </row>
    <row r="1172" spans="1:36">
      <c r="A1172" s="81"/>
      <c r="U1172" s="101"/>
      <c r="V1172" s="101"/>
      <c r="W1172" s="69" t="e" cm="1">
        <f t="array" ref="W1172">_xlfn.XLOOKUP(Table1[[#This Row],[5 cm2 cell test code]:[5 cm2 cell test code]],[1]!Table1[[Test code]:[Test code]],[1]!Table1[i @ 1.8 V DIW (A/cm2)],"",0)</f>
        <v>#REF!</v>
      </c>
      <c r="X1172" s="69" t="e" cm="1">
        <f t="array" ref="X1172">_xlfn.XLOOKUP(Table1[[#This Row],[5 cm2 cell test code]:[5 cm2 cell test code]],[1]!Table1[[Test code]:[Test code]],[1]!Table1[i @ 1.8 V 10 mM KOH (A/cm2)],"",0)</f>
        <v>#REF!</v>
      </c>
      <c r="Y1172" s="69" t="e" cm="1">
        <f t="array" ref="Y1172">_xlfn.XLOOKUP(Table1[[#This Row],[5 cm2 cell test code]:[5 cm2 cell test code]],[1]!Table1[[Test code]:[Test code]],[1]!Table1[3-E ƞ at 20mAcm-2 (mV)],"",0)</f>
        <v>#REF!</v>
      </c>
      <c r="Z1172" s="69" t="e" cm="1">
        <f t="array" ref="Z1172">_xlfn.XLOOKUP(Table1[[#This Row],[5 cm2 cell test code]:[5 cm2 cell test code]],[1]!Table1[[Test code]:[Test code]],[1]!Table1[3-E Tafel slope (mV/dec)],"",0)</f>
        <v>#REF!</v>
      </c>
      <c r="AA1172" s="69" t="e" cm="1">
        <f t="array" ref="AA1172">_xlfn.XLOOKUP(Table1[[#This Row],[5 cm2 cell test code]:[5 cm2 cell test code]],[1]!Table1[[Test code]:[Test code]],[1]!Table1[E @ 100 mA/cm2 DIW/V],"",0)</f>
        <v>#REF!</v>
      </c>
      <c r="AB1172" s="69" t="e" cm="1">
        <f t="array" ref="AB1172">_xlfn.XLOOKUP(Table1[[#This Row],[5 cm2 cell test code]:[5 cm2 cell test code]],[1]!Table1[[Test code]:[Test code]],[1]!Table1[E @ 100 mA/cm2 10 mM KOH/V],"",0)</f>
        <v>#REF!</v>
      </c>
      <c r="AC1172" s="69" t="e" cm="1">
        <f t="array" ref="AC1172">_xlfn.XLOOKUP(Table1[[#This Row],[5 cm2 cell test code]:[5 cm2 cell test code]],[1]!Table1[[Test code]:[Test code]],[1]!Table1[Anode ICR/mOhm],"",0)</f>
        <v>#REF!</v>
      </c>
      <c r="AD1172" s="69" t="e" cm="1">
        <f t="array" ref="AD1172">_xlfn.XLOOKUP(Table1[[#This Row],[5 cm2 cell test code]:[5 cm2 cell test code]],[1]!Table1[[Test code]:[Test code]],[1]!Table1[HFR DIW/ mOhm cm2],"",0)</f>
        <v>#REF!</v>
      </c>
      <c r="AE1172" s="69" t="e" cm="1">
        <f t="array" ref="AE1172">_xlfn.XLOOKUP(Table1[[#This Row],[5 cm2 cell test code]:[5 cm2 cell test code]],[1]!Table1[[Test code]:[Test code]],[1]!Table1[HFR 10 mM KOH/ mOhm cm2],"",0)</f>
        <v>#REF!</v>
      </c>
      <c r="AF1172" s="69" t="e" cm="1">
        <f t="array" ref="AF1172">_xlfn.XLOOKUP(Table1[[#This Row],[5 cm2 cell test code]:[5 cm2 cell test code]],[1]!Table1[[Test code]:[Test code]],[1]!Table1[Ionic resistance DIW/Ohm cm2],"",0)</f>
        <v>#REF!</v>
      </c>
      <c r="AG1172" s="69" t="e" cm="1">
        <f t="array" ref="AG1172">_xlfn.XLOOKUP(Table1[[#This Row],[5 cm2 cell test code]:[5 cm2 cell test code]],[1]!Table1[[Test code]:[Test code]],[1]!Table1[Q_int_frac DIW],"",0)</f>
        <v>#REF!</v>
      </c>
      <c r="AH1172" s="69" t="e" cm="1">
        <f t="array" ref="AH1172">_xlfn.XLOOKUP(Table1[[#This Row],[5 cm2 cell test code]:[5 cm2 cell test code]],[1]!Table1[[Test code]:[Test code]],[1]!Table1[Ionic resistance 10 mM KOH/Ohm cm2],"",0)</f>
        <v>#REF!</v>
      </c>
      <c r="AI1172" s="69" t="e" cm="1">
        <f t="array" ref="AI1172">_xlfn.XLOOKUP(Table1[[#This Row],[5 cm2 cell test code]:[5 cm2 cell test code]],[1]!Table1[[Test code]:[Test code]],[1]!Table1[Q_int_frac DIW 10 mM KOH],"",0)</f>
        <v>#REF!</v>
      </c>
      <c r="AJ1172" s="69" t="e" cm="1">
        <f t="array" ref="AJ1172">_xlfn.XLOOKUP(Table1[[#This Row],[5 cm2 cell test code]:[5 cm2 cell test code]],[1]!Table1[[Test code]:[Test code]],[1]!Table1[DIW conductivity (µS/cm)],"",0)</f>
        <v>#REF!</v>
      </c>
    </row>
    <row r="1173" spans="1:36">
      <c r="A1173" s="81"/>
      <c r="U1173" s="101"/>
      <c r="V1173" s="101"/>
      <c r="W1173" s="69" t="e" cm="1">
        <f t="array" ref="W1173">_xlfn.XLOOKUP(Table1[[#This Row],[5 cm2 cell test code]:[5 cm2 cell test code]],[1]!Table1[[Test code]:[Test code]],[1]!Table1[i @ 1.8 V DIW (A/cm2)],"",0)</f>
        <v>#REF!</v>
      </c>
      <c r="X1173" s="69" t="e" cm="1">
        <f t="array" ref="X1173">_xlfn.XLOOKUP(Table1[[#This Row],[5 cm2 cell test code]:[5 cm2 cell test code]],[1]!Table1[[Test code]:[Test code]],[1]!Table1[i @ 1.8 V 10 mM KOH (A/cm2)],"",0)</f>
        <v>#REF!</v>
      </c>
      <c r="Y1173" s="69" t="e" cm="1">
        <f t="array" ref="Y1173">_xlfn.XLOOKUP(Table1[[#This Row],[5 cm2 cell test code]:[5 cm2 cell test code]],[1]!Table1[[Test code]:[Test code]],[1]!Table1[3-E ƞ at 20mAcm-2 (mV)],"",0)</f>
        <v>#REF!</v>
      </c>
      <c r="Z1173" s="69" t="e" cm="1">
        <f t="array" ref="Z1173">_xlfn.XLOOKUP(Table1[[#This Row],[5 cm2 cell test code]:[5 cm2 cell test code]],[1]!Table1[[Test code]:[Test code]],[1]!Table1[3-E Tafel slope (mV/dec)],"",0)</f>
        <v>#REF!</v>
      </c>
      <c r="AA1173" s="69" t="e" cm="1">
        <f t="array" ref="AA1173">_xlfn.XLOOKUP(Table1[[#This Row],[5 cm2 cell test code]:[5 cm2 cell test code]],[1]!Table1[[Test code]:[Test code]],[1]!Table1[E @ 100 mA/cm2 DIW/V],"",0)</f>
        <v>#REF!</v>
      </c>
      <c r="AB1173" s="69" t="e" cm="1">
        <f t="array" ref="AB1173">_xlfn.XLOOKUP(Table1[[#This Row],[5 cm2 cell test code]:[5 cm2 cell test code]],[1]!Table1[[Test code]:[Test code]],[1]!Table1[E @ 100 mA/cm2 10 mM KOH/V],"",0)</f>
        <v>#REF!</v>
      </c>
      <c r="AC1173" s="69" t="e" cm="1">
        <f t="array" ref="AC1173">_xlfn.XLOOKUP(Table1[[#This Row],[5 cm2 cell test code]:[5 cm2 cell test code]],[1]!Table1[[Test code]:[Test code]],[1]!Table1[Anode ICR/mOhm],"",0)</f>
        <v>#REF!</v>
      </c>
      <c r="AD1173" s="69" t="e" cm="1">
        <f t="array" ref="AD1173">_xlfn.XLOOKUP(Table1[[#This Row],[5 cm2 cell test code]:[5 cm2 cell test code]],[1]!Table1[[Test code]:[Test code]],[1]!Table1[HFR DIW/ mOhm cm2],"",0)</f>
        <v>#REF!</v>
      </c>
      <c r="AE1173" s="69" t="e" cm="1">
        <f t="array" ref="AE1173">_xlfn.XLOOKUP(Table1[[#This Row],[5 cm2 cell test code]:[5 cm2 cell test code]],[1]!Table1[[Test code]:[Test code]],[1]!Table1[HFR 10 mM KOH/ mOhm cm2],"",0)</f>
        <v>#REF!</v>
      </c>
      <c r="AF1173" s="69" t="e" cm="1">
        <f t="array" ref="AF1173">_xlfn.XLOOKUP(Table1[[#This Row],[5 cm2 cell test code]:[5 cm2 cell test code]],[1]!Table1[[Test code]:[Test code]],[1]!Table1[Ionic resistance DIW/Ohm cm2],"",0)</f>
        <v>#REF!</v>
      </c>
      <c r="AG1173" s="69" t="e" cm="1">
        <f t="array" ref="AG1173">_xlfn.XLOOKUP(Table1[[#This Row],[5 cm2 cell test code]:[5 cm2 cell test code]],[1]!Table1[[Test code]:[Test code]],[1]!Table1[Q_int_frac DIW],"",0)</f>
        <v>#REF!</v>
      </c>
      <c r="AH1173" s="69" t="e" cm="1">
        <f t="array" ref="AH1173">_xlfn.XLOOKUP(Table1[[#This Row],[5 cm2 cell test code]:[5 cm2 cell test code]],[1]!Table1[[Test code]:[Test code]],[1]!Table1[Ionic resistance 10 mM KOH/Ohm cm2],"",0)</f>
        <v>#REF!</v>
      </c>
      <c r="AI1173" s="69" t="e" cm="1">
        <f t="array" ref="AI1173">_xlfn.XLOOKUP(Table1[[#This Row],[5 cm2 cell test code]:[5 cm2 cell test code]],[1]!Table1[[Test code]:[Test code]],[1]!Table1[Q_int_frac DIW 10 mM KOH],"",0)</f>
        <v>#REF!</v>
      </c>
      <c r="AJ1173" s="69" t="e" cm="1">
        <f t="array" ref="AJ1173">_xlfn.XLOOKUP(Table1[[#This Row],[5 cm2 cell test code]:[5 cm2 cell test code]],[1]!Table1[[Test code]:[Test code]],[1]!Table1[DIW conductivity (µS/cm)],"",0)</f>
        <v>#REF!</v>
      </c>
    </row>
    <row r="1174" spans="1:36">
      <c r="A1174" s="81"/>
      <c r="U1174" s="101"/>
      <c r="V1174" s="101"/>
      <c r="W1174" s="69" t="e" cm="1">
        <f t="array" ref="W1174">_xlfn.XLOOKUP(Table1[[#This Row],[5 cm2 cell test code]:[5 cm2 cell test code]],[1]!Table1[[Test code]:[Test code]],[1]!Table1[i @ 1.8 V DIW (A/cm2)],"",0)</f>
        <v>#REF!</v>
      </c>
      <c r="X1174" s="69" t="e" cm="1">
        <f t="array" ref="X1174">_xlfn.XLOOKUP(Table1[[#This Row],[5 cm2 cell test code]:[5 cm2 cell test code]],[1]!Table1[[Test code]:[Test code]],[1]!Table1[i @ 1.8 V 10 mM KOH (A/cm2)],"",0)</f>
        <v>#REF!</v>
      </c>
      <c r="Y1174" s="69" t="e" cm="1">
        <f t="array" ref="Y1174">_xlfn.XLOOKUP(Table1[[#This Row],[5 cm2 cell test code]:[5 cm2 cell test code]],[1]!Table1[[Test code]:[Test code]],[1]!Table1[3-E ƞ at 20mAcm-2 (mV)],"",0)</f>
        <v>#REF!</v>
      </c>
      <c r="Z1174" s="69" t="e" cm="1">
        <f t="array" ref="Z1174">_xlfn.XLOOKUP(Table1[[#This Row],[5 cm2 cell test code]:[5 cm2 cell test code]],[1]!Table1[[Test code]:[Test code]],[1]!Table1[3-E Tafel slope (mV/dec)],"",0)</f>
        <v>#REF!</v>
      </c>
      <c r="AA1174" s="69" t="e" cm="1">
        <f t="array" ref="AA1174">_xlfn.XLOOKUP(Table1[[#This Row],[5 cm2 cell test code]:[5 cm2 cell test code]],[1]!Table1[[Test code]:[Test code]],[1]!Table1[E @ 100 mA/cm2 DIW/V],"",0)</f>
        <v>#REF!</v>
      </c>
      <c r="AB1174" s="69" t="e" cm="1">
        <f t="array" ref="AB1174">_xlfn.XLOOKUP(Table1[[#This Row],[5 cm2 cell test code]:[5 cm2 cell test code]],[1]!Table1[[Test code]:[Test code]],[1]!Table1[E @ 100 mA/cm2 10 mM KOH/V],"",0)</f>
        <v>#REF!</v>
      </c>
      <c r="AC1174" s="69" t="e" cm="1">
        <f t="array" ref="AC1174">_xlfn.XLOOKUP(Table1[[#This Row],[5 cm2 cell test code]:[5 cm2 cell test code]],[1]!Table1[[Test code]:[Test code]],[1]!Table1[Anode ICR/mOhm],"",0)</f>
        <v>#REF!</v>
      </c>
      <c r="AD1174" s="69" t="e" cm="1">
        <f t="array" ref="AD1174">_xlfn.XLOOKUP(Table1[[#This Row],[5 cm2 cell test code]:[5 cm2 cell test code]],[1]!Table1[[Test code]:[Test code]],[1]!Table1[HFR DIW/ mOhm cm2],"",0)</f>
        <v>#REF!</v>
      </c>
      <c r="AE1174" s="69" t="e" cm="1">
        <f t="array" ref="AE1174">_xlfn.XLOOKUP(Table1[[#This Row],[5 cm2 cell test code]:[5 cm2 cell test code]],[1]!Table1[[Test code]:[Test code]],[1]!Table1[HFR 10 mM KOH/ mOhm cm2],"",0)</f>
        <v>#REF!</v>
      </c>
      <c r="AF1174" s="69" t="e" cm="1">
        <f t="array" ref="AF1174">_xlfn.XLOOKUP(Table1[[#This Row],[5 cm2 cell test code]:[5 cm2 cell test code]],[1]!Table1[[Test code]:[Test code]],[1]!Table1[Ionic resistance DIW/Ohm cm2],"",0)</f>
        <v>#REF!</v>
      </c>
      <c r="AG1174" s="69" t="e" cm="1">
        <f t="array" ref="AG1174">_xlfn.XLOOKUP(Table1[[#This Row],[5 cm2 cell test code]:[5 cm2 cell test code]],[1]!Table1[[Test code]:[Test code]],[1]!Table1[Q_int_frac DIW],"",0)</f>
        <v>#REF!</v>
      </c>
      <c r="AH1174" s="69" t="e" cm="1">
        <f t="array" ref="AH1174">_xlfn.XLOOKUP(Table1[[#This Row],[5 cm2 cell test code]:[5 cm2 cell test code]],[1]!Table1[[Test code]:[Test code]],[1]!Table1[Ionic resistance 10 mM KOH/Ohm cm2],"",0)</f>
        <v>#REF!</v>
      </c>
      <c r="AI1174" s="69" t="e" cm="1">
        <f t="array" ref="AI1174">_xlfn.XLOOKUP(Table1[[#This Row],[5 cm2 cell test code]:[5 cm2 cell test code]],[1]!Table1[[Test code]:[Test code]],[1]!Table1[Q_int_frac DIW 10 mM KOH],"",0)</f>
        <v>#REF!</v>
      </c>
      <c r="AJ1174" s="69" t="e" cm="1">
        <f t="array" ref="AJ1174">_xlfn.XLOOKUP(Table1[[#This Row],[5 cm2 cell test code]:[5 cm2 cell test code]],[1]!Table1[[Test code]:[Test code]],[1]!Table1[DIW conductivity (µS/cm)],"",0)</f>
        <v>#REF!</v>
      </c>
    </row>
    <row r="1175" spans="1:36">
      <c r="A1175" s="81"/>
      <c r="U1175" s="101"/>
      <c r="V1175" s="101"/>
      <c r="W1175" s="69" t="e" cm="1">
        <f t="array" ref="W1175">_xlfn.XLOOKUP(Table1[[#This Row],[5 cm2 cell test code]:[5 cm2 cell test code]],[1]!Table1[[Test code]:[Test code]],[1]!Table1[i @ 1.8 V DIW (A/cm2)],"",0)</f>
        <v>#REF!</v>
      </c>
      <c r="X1175" s="69" t="e" cm="1">
        <f t="array" ref="X1175">_xlfn.XLOOKUP(Table1[[#This Row],[5 cm2 cell test code]:[5 cm2 cell test code]],[1]!Table1[[Test code]:[Test code]],[1]!Table1[i @ 1.8 V 10 mM KOH (A/cm2)],"",0)</f>
        <v>#REF!</v>
      </c>
      <c r="Y1175" s="69" t="e" cm="1">
        <f t="array" ref="Y1175">_xlfn.XLOOKUP(Table1[[#This Row],[5 cm2 cell test code]:[5 cm2 cell test code]],[1]!Table1[[Test code]:[Test code]],[1]!Table1[3-E ƞ at 20mAcm-2 (mV)],"",0)</f>
        <v>#REF!</v>
      </c>
      <c r="Z1175" s="69" t="e" cm="1">
        <f t="array" ref="Z1175">_xlfn.XLOOKUP(Table1[[#This Row],[5 cm2 cell test code]:[5 cm2 cell test code]],[1]!Table1[[Test code]:[Test code]],[1]!Table1[3-E Tafel slope (mV/dec)],"",0)</f>
        <v>#REF!</v>
      </c>
      <c r="AA1175" s="69" t="e" cm="1">
        <f t="array" ref="AA1175">_xlfn.XLOOKUP(Table1[[#This Row],[5 cm2 cell test code]:[5 cm2 cell test code]],[1]!Table1[[Test code]:[Test code]],[1]!Table1[E @ 100 mA/cm2 DIW/V],"",0)</f>
        <v>#REF!</v>
      </c>
      <c r="AB1175" s="69" t="e" cm="1">
        <f t="array" ref="AB1175">_xlfn.XLOOKUP(Table1[[#This Row],[5 cm2 cell test code]:[5 cm2 cell test code]],[1]!Table1[[Test code]:[Test code]],[1]!Table1[E @ 100 mA/cm2 10 mM KOH/V],"",0)</f>
        <v>#REF!</v>
      </c>
      <c r="AC1175" s="69" t="e" cm="1">
        <f t="array" ref="AC1175">_xlfn.XLOOKUP(Table1[[#This Row],[5 cm2 cell test code]:[5 cm2 cell test code]],[1]!Table1[[Test code]:[Test code]],[1]!Table1[Anode ICR/mOhm],"",0)</f>
        <v>#REF!</v>
      </c>
      <c r="AD1175" s="69" t="e" cm="1">
        <f t="array" ref="AD1175">_xlfn.XLOOKUP(Table1[[#This Row],[5 cm2 cell test code]:[5 cm2 cell test code]],[1]!Table1[[Test code]:[Test code]],[1]!Table1[HFR DIW/ mOhm cm2],"",0)</f>
        <v>#REF!</v>
      </c>
      <c r="AE1175" s="69" t="e" cm="1">
        <f t="array" ref="AE1175">_xlfn.XLOOKUP(Table1[[#This Row],[5 cm2 cell test code]:[5 cm2 cell test code]],[1]!Table1[[Test code]:[Test code]],[1]!Table1[HFR 10 mM KOH/ mOhm cm2],"",0)</f>
        <v>#REF!</v>
      </c>
      <c r="AF1175" s="69" t="e" cm="1">
        <f t="array" ref="AF1175">_xlfn.XLOOKUP(Table1[[#This Row],[5 cm2 cell test code]:[5 cm2 cell test code]],[1]!Table1[[Test code]:[Test code]],[1]!Table1[Ionic resistance DIW/Ohm cm2],"",0)</f>
        <v>#REF!</v>
      </c>
      <c r="AG1175" s="69" t="e" cm="1">
        <f t="array" ref="AG1175">_xlfn.XLOOKUP(Table1[[#This Row],[5 cm2 cell test code]:[5 cm2 cell test code]],[1]!Table1[[Test code]:[Test code]],[1]!Table1[Q_int_frac DIW],"",0)</f>
        <v>#REF!</v>
      </c>
      <c r="AH1175" s="69" t="e" cm="1">
        <f t="array" ref="AH1175">_xlfn.XLOOKUP(Table1[[#This Row],[5 cm2 cell test code]:[5 cm2 cell test code]],[1]!Table1[[Test code]:[Test code]],[1]!Table1[Ionic resistance 10 mM KOH/Ohm cm2],"",0)</f>
        <v>#REF!</v>
      </c>
      <c r="AI1175" s="69" t="e" cm="1">
        <f t="array" ref="AI1175">_xlfn.XLOOKUP(Table1[[#This Row],[5 cm2 cell test code]:[5 cm2 cell test code]],[1]!Table1[[Test code]:[Test code]],[1]!Table1[Q_int_frac DIW 10 mM KOH],"",0)</f>
        <v>#REF!</v>
      </c>
      <c r="AJ1175" s="69" t="e" cm="1">
        <f t="array" ref="AJ1175">_xlfn.XLOOKUP(Table1[[#This Row],[5 cm2 cell test code]:[5 cm2 cell test code]],[1]!Table1[[Test code]:[Test code]],[1]!Table1[DIW conductivity (µS/cm)],"",0)</f>
        <v>#REF!</v>
      </c>
    </row>
    <row r="1176" spans="1:36">
      <c r="A1176" s="81"/>
      <c r="U1176" s="101"/>
      <c r="V1176" s="101"/>
      <c r="W1176" s="69" t="e" cm="1">
        <f t="array" ref="W1176">_xlfn.XLOOKUP(Table1[[#This Row],[5 cm2 cell test code]:[5 cm2 cell test code]],[1]!Table1[[Test code]:[Test code]],[1]!Table1[i @ 1.8 V DIW (A/cm2)],"",0)</f>
        <v>#REF!</v>
      </c>
      <c r="X1176" s="69" t="e" cm="1">
        <f t="array" ref="X1176">_xlfn.XLOOKUP(Table1[[#This Row],[5 cm2 cell test code]:[5 cm2 cell test code]],[1]!Table1[[Test code]:[Test code]],[1]!Table1[i @ 1.8 V 10 mM KOH (A/cm2)],"",0)</f>
        <v>#REF!</v>
      </c>
      <c r="Y1176" s="69" t="e" cm="1">
        <f t="array" ref="Y1176">_xlfn.XLOOKUP(Table1[[#This Row],[5 cm2 cell test code]:[5 cm2 cell test code]],[1]!Table1[[Test code]:[Test code]],[1]!Table1[3-E ƞ at 20mAcm-2 (mV)],"",0)</f>
        <v>#REF!</v>
      </c>
      <c r="Z1176" s="69" t="e" cm="1">
        <f t="array" ref="Z1176">_xlfn.XLOOKUP(Table1[[#This Row],[5 cm2 cell test code]:[5 cm2 cell test code]],[1]!Table1[[Test code]:[Test code]],[1]!Table1[3-E Tafel slope (mV/dec)],"",0)</f>
        <v>#REF!</v>
      </c>
      <c r="AA1176" s="69" t="e" cm="1">
        <f t="array" ref="AA1176">_xlfn.XLOOKUP(Table1[[#This Row],[5 cm2 cell test code]:[5 cm2 cell test code]],[1]!Table1[[Test code]:[Test code]],[1]!Table1[E @ 100 mA/cm2 DIW/V],"",0)</f>
        <v>#REF!</v>
      </c>
      <c r="AB1176" s="69" t="e" cm="1">
        <f t="array" ref="AB1176">_xlfn.XLOOKUP(Table1[[#This Row],[5 cm2 cell test code]:[5 cm2 cell test code]],[1]!Table1[[Test code]:[Test code]],[1]!Table1[E @ 100 mA/cm2 10 mM KOH/V],"",0)</f>
        <v>#REF!</v>
      </c>
      <c r="AC1176" s="69" t="e" cm="1">
        <f t="array" ref="AC1176">_xlfn.XLOOKUP(Table1[[#This Row],[5 cm2 cell test code]:[5 cm2 cell test code]],[1]!Table1[[Test code]:[Test code]],[1]!Table1[Anode ICR/mOhm],"",0)</f>
        <v>#REF!</v>
      </c>
      <c r="AD1176" s="69" t="e" cm="1">
        <f t="array" ref="AD1176">_xlfn.XLOOKUP(Table1[[#This Row],[5 cm2 cell test code]:[5 cm2 cell test code]],[1]!Table1[[Test code]:[Test code]],[1]!Table1[HFR DIW/ mOhm cm2],"",0)</f>
        <v>#REF!</v>
      </c>
      <c r="AE1176" s="69" t="e" cm="1">
        <f t="array" ref="AE1176">_xlfn.XLOOKUP(Table1[[#This Row],[5 cm2 cell test code]:[5 cm2 cell test code]],[1]!Table1[[Test code]:[Test code]],[1]!Table1[HFR 10 mM KOH/ mOhm cm2],"",0)</f>
        <v>#REF!</v>
      </c>
      <c r="AF1176" s="69" t="e" cm="1">
        <f t="array" ref="AF1176">_xlfn.XLOOKUP(Table1[[#This Row],[5 cm2 cell test code]:[5 cm2 cell test code]],[1]!Table1[[Test code]:[Test code]],[1]!Table1[Ionic resistance DIW/Ohm cm2],"",0)</f>
        <v>#REF!</v>
      </c>
      <c r="AG1176" s="69" t="e" cm="1">
        <f t="array" ref="AG1176">_xlfn.XLOOKUP(Table1[[#This Row],[5 cm2 cell test code]:[5 cm2 cell test code]],[1]!Table1[[Test code]:[Test code]],[1]!Table1[Q_int_frac DIW],"",0)</f>
        <v>#REF!</v>
      </c>
      <c r="AH1176" s="69" t="e" cm="1">
        <f t="array" ref="AH1176">_xlfn.XLOOKUP(Table1[[#This Row],[5 cm2 cell test code]:[5 cm2 cell test code]],[1]!Table1[[Test code]:[Test code]],[1]!Table1[Ionic resistance 10 mM KOH/Ohm cm2],"",0)</f>
        <v>#REF!</v>
      </c>
      <c r="AI1176" s="69" t="e" cm="1">
        <f t="array" ref="AI1176">_xlfn.XLOOKUP(Table1[[#This Row],[5 cm2 cell test code]:[5 cm2 cell test code]],[1]!Table1[[Test code]:[Test code]],[1]!Table1[Q_int_frac DIW 10 mM KOH],"",0)</f>
        <v>#REF!</v>
      </c>
      <c r="AJ1176" s="69" t="e" cm="1">
        <f t="array" ref="AJ1176">_xlfn.XLOOKUP(Table1[[#This Row],[5 cm2 cell test code]:[5 cm2 cell test code]],[1]!Table1[[Test code]:[Test code]],[1]!Table1[DIW conductivity (µS/cm)],"",0)</f>
        <v>#REF!</v>
      </c>
    </row>
    <row r="1177" spans="1:36">
      <c r="A1177" s="81"/>
      <c r="U1177" s="101"/>
      <c r="V1177" s="101"/>
      <c r="W1177" s="69" t="e" cm="1">
        <f t="array" ref="W1177">_xlfn.XLOOKUP(Table1[[#This Row],[5 cm2 cell test code]:[5 cm2 cell test code]],[1]!Table1[[Test code]:[Test code]],[1]!Table1[i @ 1.8 V DIW (A/cm2)],"",0)</f>
        <v>#REF!</v>
      </c>
      <c r="X1177" s="69" t="e" cm="1">
        <f t="array" ref="X1177">_xlfn.XLOOKUP(Table1[[#This Row],[5 cm2 cell test code]:[5 cm2 cell test code]],[1]!Table1[[Test code]:[Test code]],[1]!Table1[i @ 1.8 V 10 mM KOH (A/cm2)],"",0)</f>
        <v>#REF!</v>
      </c>
      <c r="Y1177" s="69" t="e" cm="1">
        <f t="array" ref="Y1177">_xlfn.XLOOKUP(Table1[[#This Row],[5 cm2 cell test code]:[5 cm2 cell test code]],[1]!Table1[[Test code]:[Test code]],[1]!Table1[3-E ƞ at 20mAcm-2 (mV)],"",0)</f>
        <v>#REF!</v>
      </c>
      <c r="Z1177" s="69" t="e" cm="1">
        <f t="array" ref="Z1177">_xlfn.XLOOKUP(Table1[[#This Row],[5 cm2 cell test code]:[5 cm2 cell test code]],[1]!Table1[[Test code]:[Test code]],[1]!Table1[3-E Tafel slope (mV/dec)],"",0)</f>
        <v>#REF!</v>
      </c>
      <c r="AA1177" s="69" t="e" cm="1">
        <f t="array" ref="AA1177">_xlfn.XLOOKUP(Table1[[#This Row],[5 cm2 cell test code]:[5 cm2 cell test code]],[1]!Table1[[Test code]:[Test code]],[1]!Table1[E @ 100 mA/cm2 DIW/V],"",0)</f>
        <v>#REF!</v>
      </c>
      <c r="AB1177" s="69" t="e" cm="1">
        <f t="array" ref="AB1177">_xlfn.XLOOKUP(Table1[[#This Row],[5 cm2 cell test code]:[5 cm2 cell test code]],[1]!Table1[[Test code]:[Test code]],[1]!Table1[E @ 100 mA/cm2 10 mM KOH/V],"",0)</f>
        <v>#REF!</v>
      </c>
      <c r="AC1177" s="69" t="e" cm="1">
        <f t="array" ref="AC1177">_xlfn.XLOOKUP(Table1[[#This Row],[5 cm2 cell test code]:[5 cm2 cell test code]],[1]!Table1[[Test code]:[Test code]],[1]!Table1[Anode ICR/mOhm],"",0)</f>
        <v>#REF!</v>
      </c>
      <c r="AD1177" s="69" t="e" cm="1">
        <f t="array" ref="AD1177">_xlfn.XLOOKUP(Table1[[#This Row],[5 cm2 cell test code]:[5 cm2 cell test code]],[1]!Table1[[Test code]:[Test code]],[1]!Table1[HFR DIW/ mOhm cm2],"",0)</f>
        <v>#REF!</v>
      </c>
      <c r="AE1177" s="69" t="e" cm="1">
        <f t="array" ref="AE1177">_xlfn.XLOOKUP(Table1[[#This Row],[5 cm2 cell test code]:[5 cm2 cell test code]],[1]!Table1[[Test code]:[Test code]],[1]!Table1[HFR 10 mM KOH/ mOhm cm2],"",0)</f>
        <v>#REF!</v>
      </c>
      <c r="AF1177" s="69" t="e" cm="1">
        <f t="array" ref="AF1177">_xlfn.XLOOKUP(Table1[[#This Row],[5 cm2 cell test code]:[5 cm2 cell test code]],[1]!Table1[[Test code]:[Test code]],[1]!Table1[Ionic resistance DIW/Ohm cm2],"",0)</f>
        <v>#REF!</v>
      </c>
      <c r="AG1177" s="69" t="e" cm="1">
        <f t="array" ref="AG1177">_xlfn.XLOOKUP(Table1[[#This Row],[5 cm2 cell test code]:[5 cm2 cell test code]],[1]!Table1[[Test code]:[Test code]],[1]!Table1[Q_int_frac DIW],"",0)</f>
        <v>#REF!</v>
      </c>
      <c r="AH1177" s="69" t="e" cm="1">
        <f t="array" ref="AH1177">_xlfn.XLOOKUP(Table1[[#This Row],[5 cm2 cell test code]:[5 cm2 cell test code]],[1]!Table1[[Test code]:[Test code]],[1]!Table1[Ionic resistance 10 mM KOH/Ohm cm2],"",0)</f>
        <v>#REF!</v>
      </c>
      <c r="AI1177" s="69" t="e" cm="1">
        <f t="array" ref="AI1177">_xlfn.XLOOKUP(Table1[[#This Row],[5 cm2 cell test code]:[5 cm2 cell test code]],[1]!Table1[[Test code]:[Test code]],[1]!Table1[Q_int_frac DIW 10 mM KOH],"",0)</f>
        <v>#REF!</v>
      </c>
      <c r="AJ1177" s="69" t="e" cm="1">
        <f t="array" ref="AJ1177">_xlfn.XLOOKUP(Table1[[#This Row],[5 cm2 cell test code]:[5 cm2 cell test code]],[1]!Table1[[Test code]:[Test code]],[1]!Table1[DIW conductivity (µS/cm)],"",0)</f>
        <v>#REF!</v>
      </c>
    </row>
    <row r="1178" spans="1:36">
      <c r="A1178" s="81"/>
      <c r="U1178" s="101"/>
      <c r="V1178" s="101"/>
      <c r="W1178" s="69" t="e" cm="1">
        <f t="array" ref="W1178">_xlfn.XLOOKUP(Table1[[#This Row],[5 cm2 cell test code]:[5 cm2 cell test code]],[1]!Table1[[Test code]:[Test code]],[1]!Table1[i @ 1.8 V DIW (A/cm2)],"",0)</f>
        <v>#REF!</v>
      </c>
      <c r="X1178" s="69" t="e" cm="1">
        <f t="array" ref="X1178">_xlfn.XLOOKUP(Table1[[#This Row],[5 cm2 cell test code]:[5 cm2 cell test code]],[1]!Table1[[Test code]:[Test code]],[1]!Table1[i @ 1.8 V 10 mM KOH (A/cm2)],"",0)</f>
        <v>#REF!</v>
      </c>
      <c r="Y1178" s="69" t="e" cm="1">
        <f t="array" ref="Y1178">_xlfn.XLOOKUP(Table1[[#This Row],[5 cm2 cell test code]:[5 cm2 cell test code]],[1]!Table1[[Test code]:[Test code]],[1]!Table1[3-E ƞ at 20mAcm-2 (mV)],"",0)</f>
        <v>#REF!</v>
      </c>
      <c r="Z1178" s="69" t="e" cm="1">
        <f t="array" ref="Z1178">_xlfn.XLOOKUP(Table1[[#This Row],[5 cm2 cell test code]:[5 cm2 cell test code]],[1]!Table1[[Test code]:[Test code]],[1]!Table1[3-E Tafel slope (mV/dec)],"",0)</f>
        <v>#REF!</v>
      </c>
      <c r="AA1178" s="69" t="e" cm="1">
        <f t="array" ref="AA1178">_xlfn.XLOOKUP(Table1[[#This Row],[5 cm2 cell test code]:[5 cm2 cell test code]],[1]!Table1[[Test code]:[Test code]],[1]!Table1[E @ 100 mA/cm2 DIW/V],"",0)</f>
        <v>#REF!</v>
      </c>
      <c r="AB1178" s="69" t="e" cm="1">
        <f t="array" ref="AB1178">_xlfn.XLOOKUP(Table1[[#This Row],[5 cm2 cell test code]:[5 cm2 cell test code]],[1]!Table1[[Test code]:[Test code]],[1]!Table1[E @ 100 mA/cm2 10 mM KOH/V],"",0)</f>
        <v>#REF!</v>
      </c>
      <c r="AC1178" s="69" t="e" cm="1">
        <f t="array" ref="AC1178">_xlfn.XLOOKUP(Table1[[#This Row],[5 cm2 cell test code]:[5 cm2 cell test code]],[1]!Table1[[Test code]:[Test code]],[1]!Table1[Anode ICR/mOhm],"",0)</f>
        <v>#REF!</v>
      </c>
      <c r="AD1178" s="69" t="e" cm="1">
        <f t="array" ref="AD1178">_xlfn.XLOOKUP(Table1[[#This Row],[5 cm2 cell test code]:[5 cm2 cell test code]],[1]!Table1[[Test code]:[Test code]],[1]!Table1[HFR DIW/ mOhm cm2],"",0)</f>
        <v>#REF!</v>
      </c>
      <c r="AE1178" s="69" t="e" cm="1">
        <f t="array" ref="AE1178">_xlfn.XLOOKUP(Table1[[#This Row],[5 cm2 cell test code]:[5 cm2 cell test code]],[1]!Table1[[Test code]:[Test code]],[1]!Table1[HFR 10 mM KOH/ mOhm cm2],"",0)</f>
        <v>#REF!</v>
      </c>
      <c r="AF1178" s="69" t="e" cm="1">
        <f t="array" ref="AF1178">_xlfn.XLOOKUP(Table1[[#This Row],[5 cm2 cell test code]:[5 cm2 cell test code]],[1]!Table1[[Test code]:[Test code]],[1]!Table1[Ionic resistance DIW/Ohm cm2],"",0)</f>
        <v>#REF!</v>
      </c>
      <c r="AG1178" s="69" t="e" cm="1">
        <f t="array" ref="AG1178">_xlfn.XLOOKUP(Table1[[#This Row],[5 cm2 cell test code]:[5 cm2 cell test code]],[1]!Table1[[Test code]:[Test code]],[1]!Table1[Q_int_frac DIW],"",0)</f>
        <v>#REF!</v>
      </c>
      <c r="AH1178" s="69" t="e" cm="1">
        <f t="array" ref="AH1178">_xlfn.XLOOKUP(Table1[[#This Row],[5 cm2 cell test code]:[5 cm2 cell test code]],[1]!Table1[[Test code]:[Test code]],[1]!Table1[Ionic resistance 10 mM KOH/Ohm cm2],"",0)</f>
        <v>#REF!</v>
      </c>
      <c r="AI1178" s="69" t="e" cm="1">
        <f t="array" ref="AI1178">_xlfn.XLOOKUP(Table1[[#This Row],[5 cm2 cell test code]:[5 cm2 cell test code]],[1]!Table1[[Test code]:[Test code]],[1]!Table1[Q_int_frac DIW 10 mM KOH],"",0)</f>
        <v>#REF!</v>
      </c>
      <c r="AJ1178" s="69" t="e" cm="1">
        <f t="array" ref="AJ1178">_xlfn.XLOOKUP(Table1[[#This Row],[5 cm2 cell test code]:[5 cm2 cell test code]],[1]!Table1[[Test code]:[Test code]],[1]!Table1[DIW conductivity (µS/cm)],"",0)</f>
        <v>#REF!</v>
      </c>
    </row>
    <row r="1179" spans="1:36">
      <c r="A1179" s="81"/>
      <c r="U1179" s="101"/>
      <c r="V1179" s="101"/>
      <c r="W1179" s="69" t="e" cm="1">
        <f t="array" ref="W1179">_xlfn.XLOOKUP(Table1[[#This Row],[5 cm2 cell test code]:[5 cm2 cell test code]],[1]!Table1[[Test code]:[Test code]],[1]!Table1[i @ 1.8 V DIW (A/cm2)],"",0)</f>
        <v>#REF!</v>
      </c>
      <c r="X1179" s="69" t="e" cm="1">
        <f t="array" ref="X1179">_xlfn.XLOOKUP(Table1[[#This Row],[5 cm2 cell test code]:[5 cm2 cell test code]],[1]!Table1[[Test code]:[Test code]],[1]!Table1[i @ 1.8 V 10 mM KOH (A/cm2)],"",0)</f>
        <v>#REF!</v>
      </c>
      <c r="Y1179" s="69" t="e" cm="1">
        <f t="array" ref="Y1179">_xlfn.XLOOKUP(Table1[[#This Row],[5 cm2 cell test code]:[5 cm2 cell test code]],[1]!Table1[[Test code]:[Test code]],[1]!Table1[3-E ƞ at 20mAcm-2 (mV)],"",0)</f>
        <v>#REF!</v>
      </c>
      <c r="Z1179" s="69" t="e" cm="1">
        <f t="array" ref="Z1179">_xlfn.XLOOKUP(Table1[[#This Row],[5 cm2 cell test code]:[5 cm2 cell test code]],[1]!Table1[[Test code]:[Test code]],[1]!Table1[3-E Tafel slope (mV/dec)],"",0)</f>
        <v>#REF!</v>
      </c>
      <c r="AA1179" s="69" t="e" cm="1">
        <f t="array" ref="AA1179">_xlfn.XLOOKUP(Table1[[#This Row],[5 cm2 cell test code]:[5 cm2 cell test code]],[1]!Table1[[Test code]:[Test code]],[1]!Table1[E @ 100 mA/cm2 DIW/V],"",0)</f>
        <v>#REF!</v>
      </c>
      <c r="AB1179" s="69" t="e" cm="1">
        <f t="array" ref="AB1179">_xlfn.XLOOKUP(Table1[[#This Row],[5 cm2 cell test code]:[5 cm2 cell test code]],[1]!Table1[[Test code]:[Test code]],[1]!Table1[E @ 100 mA/cm2 10 mM KOH/V],"",0)</f>
        <v>#REF!</v>
      </c>
      <c r="AC1179" s="69" t="e" cm="1">
        <f t="array" ref="AC1179">_xlfn.XLOOKUP(Table1[[#This Row],[5 cm2 cell test code]:[5 cm2 cell test code]],[1]!Table1[[Test code]:[Test code]],[1]!Table1[Anode ICR/mOhm],"",0)</f>
        <v>#REF!</v>
      </c>
      <c r="AD1179" s="69" t="e" cm="1">
        <f t="array" ref="AD1179">_xlfn.XLOOKUP(Table1[[#This Row],[5 cm2 cell test code]:[5 cm2 cell test code]],[1]!Table1[[Test code]:[Test code]],[1]!Table1[HFR DIW/ mOhm cm2],"",0)</f>
        <v>#REF!</v>
      </c>
      <c r="AE1179" s="69" t="e" cm="1">
        <f t="array" ref="AE1179">_xlfn.XLOOKUP(Table1[[#This Row],[5 cm2 cell test code]:[5 cm2 cell test code]],[1]!Table1[[Test code]:[Test code]],[1]!Table1[HFR 10 mM KOH/ mOhm cm2],"",0)</f>
        <v>#REF!</v>
      </c>
      <c r="AF1179" s="69" t="e" cm="1">
        <f t="array" ref="AF1179">_xlfn.XLOOKUP(Table1[[#This Row],[5 cm2 cell test code]:[5 cm2 cell test code]],[1]!Table1[[Test code]:[Test code]],[1]!Table1[Ionic resistance DIW/Ohm cm2],"",0)</f>
        <v>#REF!</v>
      </c>
      <c r="AG1179" s="69" t="e" cm="1">
        <f t="array" ref="AG1179">_xlfn.XLOOKUP(Table1[[#This Row],[5 cm2 cell test code]:[5 cm2 cell test code]],[1]!Table1[[Test code]:[Test code]],[1]!Table1[Q_int_frac DIW],"",0)</f>
        <v>#REF!</v>
      </c>
      <c r="AH1179" s="69" t="e" cm="1">
        <f t="array" ref="AH1179">_xlfn.XLOOKUP(Table1[[#This Row],[5 cm2 cell test code]:[5 cm2 cell test code]],[1]!Table1[[Test code]:[Test code]],[1]!Table1[Ionic resistance 10 mM KOH/Ohm cm2],"",0)</f>
        <v>#REF!</v>
      </c>
      <c r="AI1179" s="69" t="e" cm="1">
        <f t="array" ref="AI1179">_xlfn.XLOOKUP(Table1[[#This Row],[5 cm2 cell test code]:[5 cm2 cell test code]],[1]!Table1[[Test code]:[Test code]],[1]!Table1[Q_int_frac DIW 10 mM KOH],"",0)</f>
        <v>#REF!</v>
      </c>
      <c r="AJ1179" s="69" t="e" cm="1">
        <f t="array" ref="AJ1179">_xlfn.XLOOKUP(Table1[[#This Row],[5 cm2 cell test code]:[5 cm2 cell test code]],[1]!Table1[[Test code]:[Test code]],[1]!Table1[DIW conductivity (µS/cm)],"",0)</f>
        <v>#REF!</v>
      </c>
    </row>
    <row r="1180" spans="1:36">
      <c r="A1180" s="81"/>
      <c r="U1180" s="101"/>
      <c r="V1180" s="101"/>
      <c r="W1180" s="69" t="e" cm="1">
        <f t="array" ref="W1180">_xlfn.XLOOKUP(Table1[[#This Row],[5 cm2 cell test code]:[5 cm2 cell test code]],[1]!Table1[[Test code]:[Test code]],[1]!Table1[i @ 1.8 V DIW (A/cm2)],"",0)</f>
        <v>#REF!</v>
      </c>
      <c r="X1180" s="69" t="e" cm="1">
        <f t="array" ref="X1180">_xlfn.XLOOKUP(Table1[[#This Row],[5 cm2 cell test code]:[5 cm2 cell test code]],[1]!Table1[[Test code]:[Test code]],[1]!Table1[i @ 1.8 V 10 mM KOH (A/cm2)],"",0)</f>
        <v>#REF!</v>
      </c>
      <c r="Y1180" s="69" t="e" cm="1">
        <f t="array" ref="Y1180">_xlfn.XLOOKUP(Table1[[#This Row],[5 cm2 cell test code]:[5 cm2 cell test code]],[1]!Table1[[Test code]:[Test code]],[1]!Table1[3-E ƞ at 20mAcm-2 (mV)],"",0)</f>
        <v>#REF!</v>
      </c>
      <c r="Z1180" s="69" t="e" cm="1">
        <f t="array" ref="Z1180">_xlfn.XLOOKUP(Table1[[#This Row],[5 cm2 cell test code]:[5 cm2 cell test code]],[1]!Table1[[Test code]:[Test code]],[1]!Table1[3-E Tafel slope (mV/dec)],"",0)</f>
        <v>#REF!</v>
      </c>
      <c r="AA1180" s="69" t="e" cm="1">
        <f t="array" ref="AA1180">_xlfn.XLOOKUP(Table1[[#This Row],[5 cm2 cell test code]:[5 cm2 cell test code]],[1]!Table1[[Test code]:[Test code]],[1]!Table1[E @ 100 mA/cm2 DIW/V],"",0)</f>
        <v>#REF!</v>
      </c>
      <c r="AB1180" s="69" t="e" cm="1">
        <f t="array" ref="AB1180">_xlfn.XLOOKUP(Table1[[#This Row],[5 cm2 cell test code]:[5 cm2 cell test code]],[1]!Table1[[Test code]:[Test code]],[1]!Table1[E @ 100 mA/cm2 10 mM KOH/V],"",0)</f>
        <v>#REF!</v>
      </c>
      <c r="AC1180" s="69" t="e" cm="1">
        <f t="array" ref="AC1180">_xlfn.XLOOKUP(Table1[[#This Row],[5 cm2 cell test code]:[5 cm2 cell test code]],[1]!Table1[[Test code]:[Test code]],[1]!Table1[Anode ICR/mOhm],"",0)</f>
        <v>#REF!</v>
      </c>
      <c r="AD1180" s="69" t="e" cm="1">
        <f t="array" ref="AD1180">_xlfn.XLOOKUP(Table1[[#This Row],[5 cm2 cell test code]:[5 cm2 cell test code]],[1]!Table1[[Test code]:[Test code]],[1]!Table1[HFR DIW/ mOhm cm2],"",0)</f>
        <v>#REF!</v>
      </c>
      <c r="AE1180" s="69" t="e" cm="1">
        <f t="array" ref="AE1180">_xlfn.XLOOKUP(Table1[[#This Row],[5 cm2 cell test code]:[5 cm2 cell test code]],[1]!Table1[[Test code]:[Test code]],[1]!Table1[HFR 10 mM KOH/ mOhm cm2],"",0)</f>
        <v>#REF!</v>
      </c>
      <c r="AF1180" s="69" t="e" cm="1">
        <f t="array" ref="AF1180">_xlfn.XLOOKUP(Table1[[#This Row],[5 cm2 cell test code]:[5 cm2 cell test code]],[1]!Table1[[Test code]:[Test code]],[1]!Table1[Ionic resistance DIW/Ohm cm2],"",0)</f>
        <v>#REF!</v>
      </c>
      <c r="AG1180" s="69" t="e" cm="1">
        <f t="array" ref="AG1180">_xlfn.XLOOKUP(Table1[[#This Row],[5 cm2 cell test code]:[5 cm2 cell test code]],[1]!Table1[[Test code]:[Test code]],[1]!Table1[Q_int_frac DIW],"",0)</f>
        <v>#REF!</v>
      </c>
      <c r="AH1180" s="69" t="e" cm="1">
        <f t="array" ref="AH1180">_xlfn.XLOOKUP(Table1[[#This Row],[5 cm2 cell test code]:[5 cm2 cell test code]],[1]!Table1[[Test code]:[Test code]],[1]!Table1[Ionic resistance 10 mM KOH/Ohm cm2],"",0)</f>
        <v>#REF!</v>
      </c>
      <c r="AI1180" s="69" t="e" cm="1">
        <f t="array" ref="AI1180">_xlfn.XLOOKUP(Table1[[#This Row],[5 cm2 cell test code]:[5 cm2 cell test code]],[1]!Table1[[Test code]:[Test code]],[1]!Table1[Q_int_frac DIW 10 mM KOH],"",0)</f>
        <v>#REF!</v>
      </c>
      <c r="AJ1180" s="69" t="e" cm="1">
        <f t="array" ref="AJ1180">_xlfn.XLOOKUP(Table1[[#This Row],[5 cm2 cell test code]:[5 cm2 cell test code]],[1]!Table1[[Test code]:[Test code]],[1]!Table1[DIW conductivity (µS/cm)],"",0)</f>
        <v>#REF!</v>
      </c>
    </row>
    <row r="1181" spans="1:36">
      <c r="A1181" s="81"/>
      <c r="U1181" s="101"/>
      <c r="V1181" s="101"/>
      <c r="W1181" s="69" t="e" cm="1">
        <f t="array" ref="W1181">_xlfn.XLOOKUP(Table1[[#This Row],[5 cm2 cell test code]:[5 cm2 cell test code]],[1]!Table1[[Test code]:[Test code]],[1]!Table1[i @ 1.8 V DIW (A/cm2)],"",0)</f>
        <v>#REF!</v>
      </c>
      <c r="X1181" s="69" t="e" cm="1">
        <f t="array" ref="X1181">_xlfn.XLOOKUP(Table1[[#This Row],[5 cm2 cell test code]:[5 cm2 cell test code]],[1]!Table1[[Test code]:[Test code]],[1]!Table1[i @ 1.8 V 10 mM KOH (A/cm2)],"",0)</f>
        <v>#REF!</v>
      </c>
      <c r="Y1181" s="69" t="e" cm="1">
        <f t="array" ref="Y1181">_xlfn.XLOOKUP(Table1[[#This Row],[5 cm2 cell test code]:[5 cm2 cell test code]],[1]!Table1[[Test code]:[Test code]],[1]!Table1[3-E ƞ at 20mAcm-2 (mV)],"",0)</f>
        <v>#REF!</v>
      </c>
      <c r="Z1181" s="69" t="e" cm="1">
        <f t="array" ref="Z1181">_xlfn.XLOOKUP(Table1[[#This Row],[5 cm2 cell test code]:[5 cm2 cell test code]],[1]!Table1[[Test code]:[Test code]],[1]!Table1[3-E Tafel slope (mV/dec)],"",0)</f>
        <v>#REF!</v>
      </c>
      <c r="AA1181" s="69" t="e" cm="1">
        <f t="array" ref="AA1181">_xlfn.XLOOKUP(Table1[[#This Row],[5 cm2 cell test code]:[5 cm2 cell test code]],[1]!Table1[[Test code]:[Test code]],[1]!Table1[E @ 100 mA/cm2 DIW/V],"",0)</f>
        <v>#REF!</v>
      </c>
      <c r="AB1181" s="69" t="e" cm="1">
        <f t="array" ref="AB1181">_xlfn.XLOOKUP(Table1[[#This Row],[5 cm2 cell test code]:[5 cm2 cell test code]],[1]!Table1[[Test code]:[Test code]],[1]!Table1[E @ 100 mA/cm2 10 mM KOH/V],"",0)</f>
        <v>#REF!</v>
      </c>
      <c r="AC1181" s="69" t="e" cm="1">
        <f t="array" ref="AC1181">_xlfn.XLOOKUP(Table1[[#This Row],[5 cm2 cell test code]:[5 cm2 cell test code]],[1]!Table1[[Test code]:[Test code]],[1]!Table1[Anode ICR/mOhm],"",0)</f>
        <v>#REF!</v>
      </c>
      <c r="AD1181" s="69" t="e" cm="1">
        <f t="array" ref="AD1181">_xlfn.XLOOKUP(Table1[[#This Row],[5 cm2 cell test code]:[5 cm2 cell test code]],[1]!Table1[[Test code]:[Test code]],[1]!Table1[HFR DIW/ mOhm cm2],"",0)</f>
        <v>#REF!</v>
      </c>
      <c r="AE1181" s="69" t="e" cm="1">
        <f t="array" ref="AE1181">_xlfn.XLOOKUP(Table1[[#This Row],[5 cm2 cell test code]:[5 cm2 cell test code]],[1]!Table1[[Test code]:[Test code]],[1]!Table1[HFR 10 mM KOH/ mOhm cm2],"",0)</f>
        <v>#REF!</v>
      </c>
      <c r="AF1181" s="69" t="e" cm="1">
        <f t="array" ref="AF1181">_xlfn.XLOOKUP(Table1[[#This Row],[5 cm2 cell test code]:[5 cm2 cell test code]],[1]!Table1[[Test code]:[Test code]],[1]!Table1[Ionic resistance DIW/Ohm cm2],"",0)</f>
        <v>#REF!</v>
      </c>
      <c r="AG1181" s="69" t="e" cm="1">
        <f t="array" ref="AG1181">_xlfn.XLOOKUP(Table1[[#This Row],[5 cm2 cell test code]:[5 cm2 cell test code]],[1]!Table1[[Test code]:[Test code]],[1]!Table1[Q_int_frac DIW],"",0)</f>
        <v>#REF!</v>
      </c>
      <c r="AH1181" s="69" t="e" cm="1">
        <f t="array" ref="AH1181">_xlfn.XLOOKUP(Table1[[#This Row],[5 cm2 cell test code]:[5 cm2 cell test code]],[1]!Table1[[Test code]:[Test code]],[1]!Table1[Ionic resistance 10 mM KOH/Ohm cm2],"",0)</f>
        <v>#REF!</v>
      </c>
      <c r="AI1181" s="69" t="e" cm="1">
        <f t="array" ref="AI1181">_xlfn.XLOOKUP(Table1[[#This Row],[5 cm2 cell test code]:[5 cm2 cell test code]],[1]!Table1[[Test code]:[Test code]],[1]!Table1[Q_int_frac DIW 10 mM KOH],"",0)</f>
        <v>#REF!</v>
      </c>
      <c r="AJ1181" s="69" t="e" cm="1">
        <f t="array" ref="AJ1181">_xlfn.XLOOKUP(Table1[[#This Row],[5 cm2 cell test code]:[5 cm2 cell test code]],[1]!Table1[[Test code]:[Test code]],[1]!Table1[DIW conductivity (µS/cm)],"",0)</f>
        <v>#REF!</v>
      </c>
    </row>
    <row r="1182" spans="1:36">
      <c r="A1182" s="81"/>
      <c r="U1182" s="101"/>
      <c r="V1182" s="101"/>
      <c r="W1182" s="69" t="e" cm="1">
        <f t="array" ref="W1182">_xlfn.XLOOKUP(Table1[[#This Row],[5 cm2 cell test code]:[5 cm2 cell test code]],[1]!Table1[[Test code]:[Test code]],[1]!Table1[i @ 1.8 V DIW (A/cm2)],"",0)</f>
        <v>#REF!</v>
      </c>
      <c r="X1182" s="69" t="e" cm="1">
        <f t="array" ref="X1182">_xlfn.XLOOKUP(Table1[[#This Row],[5 cm2 cell test code]:[5 cm2 cell test code]],[1]!Table1[[Test code]:[Test code]],[1]!Table1[i @ 1.8 V 10 mM KOH (A/cm2)],"",0)</f>
        <v>#REF!</v>
      </c>
      <c r="Y1182" s="69" t="e" cm="1">
        <f t="array" ref="Y1182">_xlfn.XLOOKUP(Table1[[#This Row],[5 cm2 cell test code]:[5 cm2 cell test code]],[1]!Table1[[Test code]:[Test code]],[1]!Table1[3-E ƞ at 20mAcm-2 (mV)],"",0)</f>
        <v>#REF!</v>
      </c>
      <c r="Z1182" s="69" t="e" cm="1">
        <f t="array" ref="Z1182">_xlfn.XLOOKUP(Table1[[#This Row],[5 cm2 cell test code]:[5 cm2 cell test code]],[1]!Table1[[Test code]:[Test code]],[1]!Table1[3-E Tafel slope (mV/dec)],"",0)</f>
        <v>#REF!</v>
      </c>
      <c r="AA1182" s="69" t="e" cm="1">
        <f t="array" ref="AA1182">_xlfn.XLOOKUP(Table1[[#This Row],[5 cm2 cell test code]:[5 cm2 cell test code]],[1]!Table1[[Test code]:[Test code]],[1]!Table1[E @ 100 mA/cm2 DIW/V],"",0)</f>
        <v>#REF!</v>
      </c>
      <c r="AB1182" s="69" t="e" cm="1">
        <f t="array" ref="AB1182">_xlfn.XLOOKUP(Table1[[#This Row],[5 cm2 cell test code]:[5 cm2 cell test code]],[1]!Table1[[Test code]:[Test code]],[1]!Table1[E @ 100 mA/cm2 10 mM KOH/V],"",0)</f>
        <v>#REF!</v>
      </c>
      <c r="AC1182" s="69" t="e" cm="1">
        <f t="array" ref="AC1182">_xlfn.XLOOKUP(Table1[[#This Row],[5 cm2 cell test code]:[5 cm2 cell test code]],[1]!Table1[[Test code]:[Test code]],[1]!Table1[Anode ICR/mOhm],"",0)</f>
        <v>#REF!</v>
      </c>
      <c r="AD1182" s="69" t="e" cm="1">
        <f t="array" ref="AD1182">_xlfn.XLOOKUP(Table1[[#This Row],[5 cm2 cell test code]:[5 cm2 cell test code]],[1]!Table1[[Test code]:[Test code]],[1]!Table1[HFR DIW/ mOhm cm2],"",0)</f>
        <v>#REF!</v>
      </c>
      <c r="AE1182" s="69" t="e" cm="1">
        <f t="array" ref="AE1182">_xlfn.XLOOKUP(Table1[[#This Row],[5 cm2 cell test code]:[5 cm2 cell test code]],[1]!Table1[[Test code]:[Test code]],[1]!Table1[HFR 10 mM KOH/ mOhm cm2],"",0)</f>
        <v>#REF!</v>
      </c>
      <c r="AF1182" s="69" t="e" cm="1">
        <f t="array" ref="AF1182">_xlfn.XLOOKUP(Table1[[#This Row],[5 cm2 cell test code]:[5 cm2 cell test code]],[1]!Table1[[Test code]:[Test code]],[1]!Table1[Ionic resistance DIW/Ohm cm2],"",0)</f>
        <v>#REF!</v>
      </c>
      <c r="AG1182" s="69" t="e" cm="1">
        <f t="array" ref="AG1182">_xlfn.XLOOKUP(Table1[[#This Row],[5 cm2 cell test code]:[5 cm2 cell test code]],[1]!Table1[[Test code]:[Test code]],[1]!Table1[Q_int_frac DIW],"",0)</f>
        <v>#REF!</v>
      </c>
      <c r="AH1182" s="69" t="e" cm="1">
        <f t="array" ref="AH1182">_xlfn.XLOOKUP(Table1[[#This Row],[5 cm2 cell test code]:[5 cm2 cell test code]],[1]!Table1[[Test code]:[Test code]],[1]!Table1[Ionic resistance 10 mM KOH/Ohm cm2],"",0)</f>
        <v>#REF!</v>
      </c>
      <c r="AI1182" s="69" t="e" cm="1">
        <f t="array" ref="AI1182">_xlfn.XLOOKUP(Table1[[#This Row],[5 cm2 cell test code]:[5 cm2 cell test code]],[1]!Table1[[Test code]:[Test code]],[1]!Table1[Q_int_frac DIW 10 mM KOH],"",0)</f>
        <v>#REF!</v>
      </c>
      <c r="AJ1182" s="69" t="e" cm="1">
        <f t="array" ref="AJ1182">_xlfn.XLOOKUP(Table1[[#This Row],[5 cm2 cell test code]:[5 cm2 cell test code]],[1]!Table1[[Test code]:[Test code]],[1]!Table1[DIW conductivity (µS/cm)],"",0)</f>
        <v>#REF!</v>
      </c>
    </row>
    <row r="1183" spans="1:36">
      <c r="A1183" s="81"/>
      <c r="U1183" s="101"/>
      <c r="V1183" s="101"/>
      <c r="W1183" s="69" t="e" cm="1">
        <f t="array" ref="W1183">_xlfn.XLOOKUP(Table1[[#This Row],[5 cm2 cell test code]:[5 cm2 cell test code]],[1]!Table1[[Test code]:[Test code]],[1]!Table1[i @ 1.8 V DIW (A/cm2)],"",0)</f>
        <v>#REF!</v>
      </c>
      <c r="X1183" s="69" t="e" cm="1">
        <f t="array" ref="X1183">_xlfn.XLOOKUP(Table1[[#This Row],[5 cm2 cell test code]:[5 cm2 cell test code]],[1]!Table1[[Test code]:[Test code]],[1]!Table1[i @ 1.8 V 10 mM KOH (A/cm2)],"",0)</f>
        <v>#REF!</v>
      </c>
      <c r="Y1183" s="69" t="e" cm="1">
        <f t="array" ref="Y1183">_xlfn.XLOOKUP(Table1[[#This Row],[5 cm2 cell test code]:[5 cm2 cell test code]],[1]!Table1[[Test code]:[Test code]],[1]!Table1[3-E ƞ at 20mAcm-2 (mV)],"",0)</f>
        <v>#REF!</v>
      </c>
      <c r="Z1183" s="69" t="e" cm="1">
        <f t="array" ref="Z1183">_xlfn.XLOOKUP(Table1[[#This Row],[5 cm2 cell test code]:[5 cm2 cell test code]],[1]!Table1[[Test code]:[Test code]],[1]!Table1[3-E Tafel slope (mV/dec)],"",0)</f>
        <v>#REF!</v>
      </c>
      <c r="AA1183" s="69" t="e" cm="1">
        <f t="array" ref="AA1183">_xlfn.XLOOKUP(Table1[[#This Row],[5 cm2 cell test code]:[5 cm2 cell test code]],[1]!Table1[[Test code]:[Test code]],[1]!Table1[E @ 100 mA/cm2 DIW/V],"",0)</f>
        <v>#REF!</v>
      </c>
      <c r="AB1183" s="69" t="e" cm="1">
        <f t="array" ref="AB1183">_xlfn.XLOOKUP(Table1[[#This Row],[5 cm2 cell test code]:[5 cm2 cell test code]],[1]!Table1[[Test code]:[Test code]],[1]!Table1[E @ 100 mA/cm2 10 mM KOH/V],"",0)</f>
        <v>#REF!</v>
      </c>
      <c r="AC1183" s="69" t="e" cm="1">
        <f t="array" ref="AC1183">_xlfn.XLOOKUP(Table1[[#This Row],[5 cm2 cell test code]:[5 cm2 cell test code]],[1]!Table1[[Test code]:[Test code]],[1]!Table1[Anode ICR/mOhm],"",0)</f>
        <v>#REF!</v>
      </c>
      <c r="AD1183" s="69" t="e" cm="1">
        <f t="array" ref="AD1183">_xlfn.XLOOKUP(Table1[[#This Row],[5 cm2 cell test code]:[5 cm2 cell test code]],[1]!Table1[[Test code]:[Test code]],[1]!Table1[HFR DIW/ mOhm cm2],"",0)</f>
        <v>#REF!</v>
      </c>
      <c r="AE1183" s="69" t="e" cm="1">
        <f t="array" ref="AE1183">_xlfn.XLOOKUP(Table1[[#This Row],[5 cm2 cell test code]:[5 cm2 cell test code]],[1]!Table1[[Test code]:[Test code]],[1]!Table1[HFR 10 mM KOH/ mOhm cm2],"",0)</f>
        <v>#REF!</v>
      </c>
      <c r="AF1183" s="69" t="e" cm="1">
        <f t="array" ref="AF1183">_xlfn.XLOOKUP(Table1[[#This Row],[5 cm2 cell test code]:[5 cm2 cell test code]],[1]!Table1[[Test code]:[Test code]],[1]!Table1[Ionic resistance DIW/Ohm cm2],"",0)</f>
        <v>#REF!</v>
      </c>
      <c r="AG1183" s="69" t="e" cm="1">
        <f t="array" ref="AG1183">_xlfn.XLOOKUP(Table1[[#This Row],[5 cm2 cell test code]:[5 cm2 cell test code]],[1]!Table1[[Test code]:[Test code]],[1]!Table1[Q_int_frac DIW],"",0)</f>
        <v>#REF!</v>
      </c>
      <c r="AH1183" s="69" t="e" cm="1">
        <f t="array" ref="AH1183">_xlfn.XLOOKUP(Table1[[#This Row],[5 cm2 cell test code]:[5 cm2 cell test code]],[1]!Table1[[Test code]:[Test code]],[1]!Table1[Ionic resistance 10 mM KOH/Ohm cm2],"",0)</f>
        <v>#REF!</v>
      </c>
      <c r="AI1183" s="69" t="e" cm="1">
        <f t="array" ref="AI1183">_xlfn.XLOOKUP(Table1[[#This Row],[5 cm2 cell test code]:[5 cm2 cell test code]],[1]!Table1[[Test code]:[Test code]],[1]!Table1[Q_int_frac DIW 10 mM KOH],"",0)</f>
        <v>#REF!</v>
      </c>
      <c r="AJ1183" s="69" t="e" cm="1">
        <f t="array" ref="AJ1183">_xlfn.XLOOKUP(Table1[[#This Row],[5 cm2 cell test code]:[5 cm2 cell test code]],[1]!Table1[[Test code]:[Test code]],[1]!Table1[DIW conductivity (µS/cm)],"",0)</f>
        <v>#REF!</v>
      </c>
    </row>
    <row r="1184" spans="1:36">
      <c r="A1184" s="81"/>
      <c r="U1184" s="101"/>
      <c r="V1184" s="101"/>
      <c r="W1184" s="69" t="e" cm="1">
        <f t="array" ref="W1184">_xlfn.XLOOKUP(Table1[[#This Row],[5 cm2 cell test code]:[5 cm2 cell test code]],[1]!Table1[[Test code]:[Test code]],[1]!Table1[i @ 1.8 V DIW (A/cm2)],"",0)</f>
        <v>#REF!</v>
      </c>
      <c r="X1184" s="69" t="e" cm="1">
        <f t="array" ref="X1184">_xlfn.XLOOKUP(Table1[[#This Row],[5 cm2 cell test code]:[5 cm2 cell test code]],[1]!Table1[[Test code]:[Test code]],[1]!Table1[i @ 1.8 V 10 mM KOH (A/cm2)],"",0)</f>
        <v>#REF!</v>
      </c>
      <c r="Y1184" s="69" t="e" cm="1">
        <f t="array" ref="Y1184">_xlfn.XLOOKUP(Table1[[#This Row],[5 cm2 cell test code]:[5 cm2 cell test code]],[1]!Table1[[Test code]:[Test code]],[1]!Table1[3-E ƞ at 20mAcm-2 (mV)],"",0)</f>
        <v>#REF!</v>
      </c>
      <c r="Z1184" s="69" t="e" cm="1">
        <f t="array" ref="Z1184">_xlfn.XLOOKUP(Table1[[#This Row],[5 cm2 cell test code]:[5 cm2 cell test code]],[1]!Table1[[Test code]:[Test code]],[1]!Table1[3-E Tafel slope (mV/dec)],"",0)</f>
        <v>#REF!</v>
      </c>
      <c r="AA1184" s="69" t="e" cm="1">
        <f t="array" ref="AA1184">_xlfn.XLOOKUP(Table1[[#This Row],[5 cm2 cell test code]:[5 cm2 cell test code]],[1]!Table1[[Test code]:[Test code]],[1]!Table1[E @ 100 mA/cm2 DIW/V],"",0)</f>
        <v>#REF!</v>
      </c>
      <c r="AB1184" s="69" t="e" cm="1">
        <f t="array" ref="AB1184">_xlfn.XLOOKUP(Table1[[#This Row],[5 cm2 cell test code]:[5 cm2 cell test code]],[1]!Table1[[Test code]:[Test code]],[1]!Table1[E @ 100 mA/cm2 10 mM KOH/V],"",0)</f>
        <v>#REF!</v>
      </c>
      <c r="AC1184" s="69" t="e" cm="1">
        <f t="array" ref="AC1184">_xlfn.XLOOKUP(Table1[[#This Row],[5 cm2 cell test code]:[5 cm2 cell test code]],[1]!Table1[[Test code]:[Test code]],[1]!Table1[Anode ICR/mOhm],"",0)</f>
        <v>#REF!</v>
      </c>
      <c r="AD1184" s="69" t="e" cm="1">
        <f t="array" ref="AD1184">_xlfn.XLOOKUP(Table1[[#This Row],[5 cm2 cell test code]:[5 cm2 cell test code]],[1]!Table1[[Test code]:[Test code]],[1]!Table1[HFR DIW/ mOhm cm2],"",0)</f>
        <v>#REF!</v>
      </c>
      <c r="AE1184" s="69" t="e" cm="1">
        <f t="array" ref="AE1184">_xlfn.XLOOKUP(Table1[[#This Row],[5 cm2 cell test code]:[5 cm2 cell test code]],[1]!Table1[[Test code]:[Test code]],[1]!Table1[HFR 10 mM KOH/ mOhm cm2],"",0)</f>
        <v>#REF!</v>
      </c>
      <c r="AF1184" s="69" t="e" cm="1">
        <f t="array" ref="AF1184">_xlfn.XLOOKUP(Table1[[#This Row],[5 cm2 cell test code]:[5 cm2 cell test code]],[1]!Table1[[Test code]:[Test code]],[1]!Table1[Ionic resistance DIW/Ohm cm2],"",0)</f>
        <v>#REF!</v>
      </c>
      <c r="AG1184" s="69" t="e" cm="1">
        <f t="array" ref="AG1184">_xlfn.XLOOKUP(Table1[[#This Row],[5 cm2 cell test code]:[5 cm2 cell test code]],[1]!Table1[[Test code]:[Test code]],[1]!Table1[Q_int_frac DIW],"",0)</f>
        <v>#REF!</v>
      </c>
      <c r="AH1184" s="69" t="e" cm="1">
        <f t="array" ref="AH1184">_xlfn.XLOOKUP(Table1[[#This Row],[5 cm2 cell test code]:[5 cm2 cell test code]],[1]!Table1[[Test code]:[Test code]],[1]!Table1[Ionic resistance 10 mM KOH/Ohm cm2],"",0)</f>
        <v>#REF!</v>
      </c>
      <c r="AI1184" s="69" t="e" cm="1">
        <f t="array" ref="AI1184">_xlfn.XLOOKUP(Table1[[#This Row],[5 cm2 cell test code]:[5 cm2 cell test code]],[1]!Table1[[Test code]:[Test code]],[1]!Table1[Q_int_frac DIW 10 mM KOH],"",0)</f>
        <v>#REF!</v>
      </c>
      <c r="AJ1184" s="69" t="e" cm="1">
        <f t="array" ref="AJ1184">_xlfn.XLOOKUP(Table1[[#This Row],[5 cm2 cell test code]:[5 cm2 cell test code]],[1]!Table1[[Test code]:[Test code]],[1]!Table1[DIW conductivity (µS/cm)],"",0)</f>
        <v>#REF!</v>
      </c>
    </row>
    <row r="1185" spans="1:36">
      <c r="A1185" s="81"/>
      <c r="U1185" s="101"/>
      <c r="V1185" s="101"/>
      <c r="W1185" s="69" t="e" cm="1">
        <f t="array" ref="W1185">_xlfn.XLOOKUP(Table1[[#This Row],[5 cm2 cell test code]:[5 cm2 cell test code]],[1]!Table1[[Test code]:[Test code]],[1]!Table1[i @ 1.8 V DIW (A/cm2)],"",0)</f>
        <v>#REF!</v>
      </c>
      <c r="X1185" s="69" t="e" cm="1">
        <f t="array" ref="X1185">_xlfn.XLOOKUP(Table1[[#This Row],[5 cm2 cell test code]:[5 cm2 cell test code]],[1]!Table1[[Test code]:[Test code]],[1]!Table1[i @ 1.8 V 10 mM KOH (A/cm2)],"",0)</f>
        <v>#REF!</v>
      </c>
      <c r="Y1185" s="69" t="e" cm="1">
        <f t="array" ref="Y1185">_xlfn.XLOOKUP(Table1[[#This Row],[5 cm2 cell test code]:[5 cm2 cell test code]],[1]!Table1[[Test code]:[Test code]],[1]!Table1[3-E ƞ at 20mAcm-2 (mV)],"",0)</f>
        <v>#REF!</v>
      </c>
      <c r="Z1185" s="69" t="e" cm="1">
        <f t="array" ref="Z1185">_xlfn.XLOOKUP(Table1[[#This Row],[5 cm2 cell test code]:[5 cm2 cell test code]],[1]!Table1[[Test code]:[Test code]],[1]!Table1[3-E Tafel slope (mV/dec)],"",0)</f>
        <v>#REF!</v>
      </c>
      <c r="AA1185" s="69" t="e" cm="1">
        <f t="array" ref="AA1185">_xlfn.XLOOKUP(Table1[[#This Row],[5 cm2 cell test code]:[5 cm2 cell test code]],[1]!Table1[[Test code]:[Test code]],[1]!Table1[E @ 100 mA/cm2 DIW/V],"",0)</f>
        <v>#REF!</v>
      </c>
      <c r="AB1185" s="69" t="e" cm="1">
        <f t="array" ref="AB1185">_xlfn.XLOOKUP(Table1[[#This Row],[5 cm2 cell test code]:[5 cm2 cell test code]],[1]!Table1[[Test code]:[Test code]],[1]!Table1[E @ 100 mA/cm2 10 mM KOH/V],"",0)</f>
        <v>#REF!</v>
      </c>
      <c r="AC1185" s="69" t="e" cm="1">
        <f t="array" ref="AC1185">_xlfn.XLOOKUP(Table1[[#This Row],[5 cm2 cell test code]:[5 cm2 cell test code]],[1]!Table1[[Test code]:[Test code]],[1]!Table1[Anode ICR/mOhm],"",0)</f>
        <v>#REF!</v>
      </c>
      <c r="AD1185" s="69" t="e" cm="1">
        <f t="array" ref="AD1185">_xlfn.XLOOKUP(Table1[[#This Row],[5 cm2 cell test code]:[5 cm2 cell test code]],[1]!Table1[[Test code]:[Test code]],[1]!Table1[HFR DIW/ mOhm cm2],"",0)</f>
        <v>#REF!</v>
      </c>
      <c r="AE1185" s="69" t="e" cm="1">
        <f t="array" ref="AE1185">_xlfn.XLOOKUP(Table1[[#This Row],[5 cm2 cell test code]:[5 cm2 cell test code]],[1]!Table1[[Test code]:[Test code]],[1]!Table1[HFR 10 mM KOH/ mOhm cm2],"",0)</f>
        <v>#REF!</v>
      </c>
      <c r="AF1185" s="69" t="e" cm="1">
        <f t="array" ref="AF1185">_xlfn.XLOOKUP(Table1[[#This Row],[5 cm2 cell test code]:[5 cm2 cell test code]],[1]!Table1[[Test code]:[Test code]],[1]!Table1[Ionic resistance DIW/Ohm cm2],"",0)</f>
        <v>#REF!</v>
      </c>
      <c r="AG1185" s="69" t="e" cm="1">
        <f t="array" ref="AG1185">_xlfn.XLOOKUP(Table1[[#This Row],[5 cm2 cell test code]:[5 cm2 cell test code]],[1]!Table1[[Test code]:[Test code]],[1]!Table1[Q_int_frac DIW],"",0)</f>
        <v>#REF!</v>
      </c>
      <c r="AH1185" s="69" t="e" cm="1">
        <f t="array" ref="AH1185">_xlfn.XLOOKUP(Table1[[#This Row],[5 cm2 cell test code]:[5 cm2 cell test code]],[1]!Table1[[Test code]:[Test code]],[1]!Table1[Ionic resistance 10 mM KOH/Ohm cm2],"",0)</f>
        <v>#REF!</v>
      </c>
      <c r="AI1185" s="69" t="e" cm="1">
        <f t="array" ref="AI1185">_xlfn.XLOOKUP(Table1[[#This Row],[5 cm2 cell test code]:[5 cm2 cell test code]],[1]!Table1[[Test code]:[Test code]],[1]!Table1[Q_int_frac DIW 10 mM KOH],"",0)</f>
        <v>#REF!</v>
      </c>
      <c r="AJ1185" s="69" t="e" cm="1">
        <f t="array" ref="AJ1185">_xlfn.XLOOKUP(Table1[[#This Row],[5 cm2 cell test code]:[5 cm2 cell test code]],[1]!Table1[[Test code]:[Test code]],[1]!Table1[DIW conductivity (µS/cm)],"",0)</f>
        <v>#REF!</v>
      </c>
    </row>
    <row r="1186" spans="1:36">
      <c r="A1186" s="81"/>
      <c r="U1186" s="101"/>
      <c r="V1186" s="101"/>
      <c r="W1186" s="69" t="e" cm="1">
        <f t="array" ref="W1186">_xlfn.XLOOKUP(Table1[[#This Row],[5 cm2 cell test code]:[5 cm2 cell test code]],[1]!Table1[[Test code]:[Test code]],[1]!Table1[i @ 1.8 V DIW (A/cm2)],"",0)</f>
        <v>#REF!</v>
      </c>
      <c r="X1186" s="69" t="e" cm="1">
        <f t="array" ref="X1186">_xlfn.XLOOKUP(Table1[[#This Row],[5 cm2 cell test code]:[5 cm2 cell test code]],[1]!Table1[[Test code]:[Test code]],[1]!Table1[i @ 1.8 V 10 mM KOH (A/cm2)],"",0)</f>
        <v>#REF!</v>
      </c>
      <c r="Y1186" s="69" t="e" cm="1">
        <f t="array" ref="Y1186">_xlfn.XLOOKUP(Table1[[#This Row],[5 cm2 cell test code]:[5 cm2 cell test code]],[1]!Table1[[Test code]:[Test code]],[1]!Table1[3-E ƞ at 20mAcm-2 (mV)],"",0)</f>
        <v>#REF!</v>
      </c>
      <c r="Z1186" s="69" t="e" cm="1">
        <f t="array" ref="Z1186">_xlfn.XLOOKUP(Table1[[#This Row],[5 cm2 cell test code]:[5 cm2 cell test code]],[1]!Table1[[Test code]:[Test code]],[1]!Table1[3-E Tafel slope (mV/dec)],"",0)</f>
        <v>#REF!</v>
      </c>
      <c r="AA1186" s="69" t="e" cm="1">
        <f t="array" ref="AA1186">_xlfn.XLOOKUP(Table1[[#This Row],[5 cm2 cell test code]:[5 cm2 cell test code]],[1]!Table1[[Test code]:[Test code]],[1]!Table1[E @ 100 mA/cm2 DIW/V],"",0)</f>
        <v>#REF!</v>
      </c>
      <c r="AB1186" s="69" t="e" cm="1">
        <f t="array" ref="AB1186">_xlfn.XLOOKUP(Table1[[#This Row],[5 cm2 cell test code]:[5 cm2 cell test code]],[1]!Table1[[Test code]:[Test code]],[1]!Table1[E @ 100 mA/cm2 10 mM KOH/V],"",0)</f>
        <v>#REF!</v>
      </c>
      <c r="AC1186" s="69" t="e" cm="1">
        <f t="array" ref="AC1186">_xlfn.XLOOKUP(Table1[[#This Row],[5 cm2 cell test code]:[5 cm2 cell test code]],[1]!Table1[[Test code]:[Test code]],[1]!Table1[Anode ICR/mOhm],"",0)</f>
        <v>#REF!</v>
      </c>
      <c r="AD1186" s="69" t="e" cm="1">
        <f t="array" ref="AD1186">_xlfn.XLOOKUP(Table1[[#This Row],[5 cm2 cell test code]:[5 cm2 cell test code]],[1]!Table1[[Test code]:[Test code]],[1]!Table1[HFR DIW/ mOhm cm2],"",0)</f>
        <v>#REF!</v>
      </c>
      <c r="AE1186" s="69" t="e" cm="1">
        <f t="array" ref="AE1186">_xlfn.XLOOKUP(Table1[[#This Row],[5 cm2 cell test code]:[5 cm2 cell test code]],[1]!Table1[[Test code]:[Test code]],[1]!Table1[HFR 10 mM KOH/ mOhm cm2],"",0)</f>
        <v>#REF!</v>
      </c>
      <c r="AF1186" s="69" t="e" cm="1">
        <f t="array" ref="AF1186">_xlfn.XLOOKUP(Table1[[#This Row],[5 cm2 cell test code]:[5 cm2 cell test code]],[1]!Table1[[Test code]:[Test code]],[1]!Table1[Ionic resistance DIW/Ohm cm2],"",0)</f>
        <v>#REF!</v>
      </c>
      <c r="AG1186" s="69" t="e" cm="1">
        <f t="array" ref="AG1186">_xlfn.XLOOKUP(Table1[[#This Row],[5 cm2 cell test code]:[5 cm2 cell test code]],[1]!Table1[[Test code]:[Test code]],[1]!Table1[Q_int_frac DIW],"",0)</f>
        <v>#REF!</v>
      </c>
      <c r="AH1186" s="69" t="e" cm="1">
        <f t="array" ref="AH1186">_xlfn.XLOOKUP(Table1[[#This Row],[5 cm2 cell test code]:[5 cm2 cell test code]],[1]!Table1[[Test code]:[Test code]],[1]!Table1[Ionic resistance 10 mM KOH/Ohm cm2],"",0)</f>
        <v>#REF!</v>
      </c>
      <c r="AI1186" s="69" t="e" cm="1">
        <f t="array" ref="AI1186">_xlfn.XLOOKUP(Table1[[#This Row],[5 cm2 cell test code]:[5 cm2 cell test code]],[1]!Table1[[Test code]:[Test code]],[1]!Table1[Q_int_frac DIW 10 mM KOH],"",0)</f>
        <v>#REF!</v>
      </c>
      <c r="AJ1186" s="69" t="e" cm="1">
        <f t="array" ref="AJ1186">_xlfn.XLOOKUP(Table1[[#This Row],[5 cm2 cell test code]:[5 cm2 cell test code]],[1]!Table1[[Test code]:[Test code]],[1]!Table1[DIW conductivity (µS/cm)],"",0)</f>
        <v>#REF!</v>
      </c>
    </row>
    <row r="1187" spans="1:36">
      <c r="A1187" s="81"/>
      <c r="U1187" s="101"/>
      <c r="V1187" s="101"/>
      <c r="W1187" s="69" t="e" cm="1">
        <f t="array" ref="W1187">_xlfn.XLOOKUP(Table1[[#This Row],[5 cm2 cell test code]:[5 cm2 cell test code]],[1]!Table1[[Test code]:[Test code]],[1]!Table1[i @ 1.8 V DIW (A/cm2)],"",0)</f>
        <v>#REF!</v>
      </c>
      <c r="X1187" s="69" t="e" cm="1">
        <f t="array" ref="X1187">_xlfn.XLOOKUP(Table1[[#This Row],[5 cm2 cell test code]:[5 cm2 cell test code]],[1]!Table1[[Test code]:[Test code]],[1]!Table1[i @ 1.8 V 10 mM KOH (A/cm2)],"",0)</f>
        <v>#REF!</v>
      </c>
      <c r="Y1187" s="69" t="e" cm="1">
        <f t="array" ref="Y1187">_xlfn.XLOOKUP(Table1[[#This Row],[5 cm2 cell test code]:[5 cm2 cell test code]],[1]!Table1[[Test code]:[Test code]],[1]!Table1[3-E ƞ at 20mAcm-2 (mV)],"",0)</f>
        <v>#REF!</v>
      </c>
      <c r="Z1187" s="69" t="e" cm="1">
        <f t="array" ref="Z1187">_xlfn.XLOOKUP(Table1[[#This Row],[5 cm2 cell test code]:[5 cm2 cell test code]],[1]!Table1[[Test code]:[Test code]],[1]!Table1[3-E Tafel slope (mV/dec)],"",0)</f>
        <v>#REF!</v>
      </c>
      <c r="AA1187" s="69" t="e" cm="1">
        <f t="array" ref="AA1187">_xlfn.XLOOKUP(Table1[[#This Row],[5 cm2 cell test code]:[5 cm2 cell test code]],[1]!Table1[[Test code]:[Test code]],[1]!Table1[E @ 100 mA/cm2 DIW/V],"",0)</f>
        <v>#REF!</v>
      </c>
      <c r="AB1187" s="69" t="e" cm="1">
        <f t="array" ref="AB1187">_xlfn.XLOOKUP(Table1[[#This Row],[5 cm2 cell test code]:[5 cm2 cell test code]],[1]!Table1[[Test code]:[Test code]],[1]!Table1[E @ 100 mA/cm2 10 mM KOH/V],"",0)</f>
        <v>#REF!</v>
      </c>
      <c r="AC1187" s="69" t="e" cm="1">
        <f t="array" ref="AC1187">_xlfn.XLOOKUP(Table1[[#This Row],[5 cm2 cell test code]:[5 cm2 cell test code]],[1]!Table1[[Test code]:[Test code]],[1]!Table1[Anode ICR/mOhm],"",0)</f>
        <v>#REF!</v>
      </c>
      <c r="AD1187" s="69" t="e" cm="1">
        <f t="array" ref="AD1187">_xlfn.XLOOKUP(Table1[[#This Row],[5 cm2 cell test code]:[5 cm2 cell test code]],[1]!Table1[[Test code]:[Test code]],[1]!Table1[HFR DIW/ mOhm cm2],"",0)</f>
        <v>#REF!</v>
      </c>
      <c r="AE1187" s="69" t="e" cm="1">
        <f t="array" ref="AE1187">_xlfn.XLOOKUP(Table1[[#This Row],[5 cm2 cell test code]:[5 cm2 cell test code]],[1]!Table1[[Test code]:[Test code]],[1]!Table1[HFR 10 mM KOH/ mOhm cm2],"",0)</f>
        <v>#REF!</v>
      </c>
      <c r="AF1187" s="69" t="e" cm="1">
        <f t="array" ref="AF1187">_xlfn.XLOOKUP(Table1[[#This Row],[5 cm2 cell test code]:[5 cm2 cell test code]],[1]!Table1[[Test code]:[Test code]],[1]!Table1[Ionic resistance DIW/Ohm cm2],"",0)</f>
        <v>#REF!</v>
      </c>
      <c r="AG1187" s="69" t="e" cm="1">
        <f t="array" ref="AG1187">_xlfn.XLOOKUP(Table1[[#This Row],[5 cm2 cell test code]:[5 cm2 cell test code]],[1]!Table1[[Test code]:[Test code]],[1]!Table1[Q_int_frac DIW],"",0)</f>
        <v>#REF!</v>
      </c>
      <c r="AH1187" s="69" t="e" cm="1">
        <f t="array" ref="AH1187">_xlfn.XLOOKUP(Table1[[#This Row],[5 cm2 cell test code]:[5 cm2 cell test code]],[1]!Table1[[Test code]:[Test code]],[1]!Table1[Ionic resistance 10 mM KOH/Ohm cm2],"",0)</f>
        <v>#REF!</v>
      </c>
      <c r="AI1187" s="69" t="e" cm="1">
        <f t="array" ref="AI1187">_xlfn.XLOOKUP(Table1[[#This Row],[5 cm2 cell test code]:[5 cm2 cell test code]],[1]!Table1[[Test code]:[Test code]],[1]!Table1[Q_int_frac DIW 10 mM KOH],"",0)</f>
        <v>#REF!</v>
      </c>
      <c r="AJ1187" s="69" t="e" cm="1">
        <f t="array" ref="AJ1187">_xlfn.XLOOKUP(Table1[[#This Row],[5 cm2 cell test code]:[5 cm2 cell test code]],[1]!Table1[[Test code]:[Test code]],[1]!Table1[DIW conductivity (µS/cm)],"",0)</f>
        <v>#REF!</v>
      </c>
    </row>
    <row r="1188" spans="1:36">
      <c r="A1188" s="81"/>
      <c r="U1188" s="101"/>
      <c r="V1188" s="101"/>
      <c r="W1188" s="69" t="e" cm="1">
        <f t="array" ref="W1188">_xlfn.XLOOKUP(Table1[[#This Row],[5 cm2 cell test code]:[5 cm2 cell test code]],[1]!Table1[[Test code]:[Test code]],[1]!Table1[i @ 1.8 V DIW (A/cm2)],"",0)</f>
        <v>#REF!</v>
      </c>
      <c r="X1188" s="69" t="e" cm="1">
        <f t="array" ref="X1188">_xlfn.XLOOKUP(Table1[[#This Row],[5 cm2 cell test code]:[5 cm2 cell test code]],[1]!Table1[[Test code]:[Test code]],[1]!Table1[i @ 1.8 V 10 mM KOH (A/cm2)],"",0)</f>
        <v>#REF!</v>
      </c>
      <c r="Y1188" s="69" t="e" cm="1">
        <f t="array" ref="Y1188">_xlfn.XLOOKUP(Table1[[#This Row],[5 cm2 cell test code]:[5 cm2 cell test code]],[1]!Table1[[Test code]:[Test code]],[1]!Table1[3-E ƞ at 20mAcm-2 (mV)],"",0)</f>
        <v>#REF!</v>
      </c>
      <c r="Z1188" s="69" t="e" cm="1">
        <f t="array" ref="Z1188">_xlfn.XLOOKUP(Table1[[#This Row],[5 cm2 cell test code]:[5 cm2 cell test code]],[1]!Table1[[Test code]:[Test code]],[1]!Table1[3-E Tafel slope (mV/dec)],"",0)</f>
        <v>#REF!</v>
      </c>
      <c r="AA1188" s="69" t="e" cm="1">
        <f t="array" ref="AA1188">_xlfn.XLOOKUP(Table1[[#This Row],[5 cm2 cell test code]:[5 cm2 cell test code]],[1]!Table1[[Test code]:[Test code]],[1]!Table1[E @ 100 mA/cm2 DIW/V],"",0)</f>
        <v>#REF!</v>
      </c>
      <c r="AB1188" s="69" t="e" cm="1">
        <f t="array" ref="AB1188">_xlfn.XLOOKUP(Table1[[#This Row],[5 cm2 cell test code]:[5 cm2 cell test code]],[1]!Table1[[Test code]:[Test code]],[1]!Table1[E @ 100 mA/cm2 10 mM KOH/V],"",0)</f>
        <v>#REF!</v>
      </c>
      <c r="AC1188" s="69" t="e" cm="1">
        <f t="array" ref="AC1188">_xlfn.XLOOKUP(Table1[[#This Row],[5 cm2 cell test code]:[5 cm2 cell test code]],[1]!Table1[[Test code]:[Test code]],[1]!Table1[Anode ICR/mOhm],"",0)</f>
        <v>#REF!</v>
      </c>
      <c r="AD1188" s="69" t="e" cm="1">
        <f t="array" ref="AD1188">_xlfn.XLOOKUP(Table1[[#This Row],[5 cm2 cell test code]:[5 cm2 cell test code]],[1]!Table1[[Test code]:[Test code]],[1]!Table1[HFR DIW/ mOhm cm2],"",0)</f>
        <v>#REF!</v>
      </c>
      <c r="AE1188" s="69" t="e" cm="1">
        <f t="array" ref="AE1188">_xlfn.XLOOKUP(Table1[[#This Row],[5 cm2 cell test code]:[5 cm2 cell test code]],[1]!Table1[[Test code]:[Test code]],[1]!Table1[HFR 10 mM KOH/ mOhm cm2],"",0)</f>
        <v>#REF!</v>
      </c>
      <c r="AF1188" s="69" t="e" cm="1">
        <f t="array" ref="AF1188">_xlfn.XLOOKUP(Table1[[#This Row],[5 cm2 cell test code]:[5 cm2 cell test code]],[1]!Table1[[Test code]:[Test code]],[1]!Table1[Ionic resistance DIW/Ohm cm2],"",0)</f>
        <v>#REF!</v>
      </c>
      <c r="AG1188" s="69" t="e" cm="1">
        <f t="array" ref="AG1188">_xlfn.XLOOKUP(Table1[[#This Row],[5 cm2 cell test code]:[5 cm2 cell test code]],[1]!Table1[[Test code]:[Test code]],[1]!Table1[Q_int_frac DIW],"",0)</f>
        <v>#REF!</v>
      </c>
      <c r="AH1188" s="69" t="e" cm="1">
        <f t="array" ref="AH1188">_xlfn.XLOOKUP(Table1[[#This Row],[5 cm2 cell test code]:[5 cm2 cell test code]],[1]!Table1[[Test code]:[Test code]],[1]!Table1[Ionic resistance 10 mM KOH/Ohm cm2],"",0)</f>
        <v>#REF!</v>
      </c>
      <c r="AI1188" s="69" t="e" cm="1">
        <f t="array" ref="AI1188">_xlfn.XLOOKUP(Table1[[#This Row],[5 cm2 cell test code]:[5 cm2 cell test code]],[1]!Table1[[Test code]:[Test code]],[1]!Table1[Q_int_frac DIW 10 mM KOH],"",0)</f>
        <v>#REF!</v>
      </c>
      <c r="AJ1188" s="69" t="e" cm="1">
        <f t="array" ref="AJ1188">_xlfn.XLOOKUP(Table1[[#This Row],[5 cm2 cell test code]:[5 cm2 cell test code]],[1]!Table1[[Test code]:[Test code]],[1]!Table1[DIW conductivity (µS/cm)],"",0)</f>
        <v>#REF!</v>
      </c>
    </row>
    <row r="1189" spans="1:36">
      <c r="A1189" s="81"/>
      <c r="U1189" s="101"/>
      <c r="V1189" s="101"/>
      <c r="W1189" s="69" t="e" cm="1">
        <f t="array" ref="W1189">_xlfn.XLOOKUP(Table1[[#This Row],[5 cm2 cell test code]:[5 cm2 cell test code]],[1]!Table1[[Test code]:[Test code]],[1]!Table1[i @ 1.8 V DIW (A/cm2)],"",0)</f>
        <v>#REF!</v>
      </c>
      <c r="X1189" s="69" t="e" cm="1">
        <f t="array" ref="X1189">_xlfn.XLOOKUP(Table1[[#This Row],[5 cm2 cell test code]:[5 cm2 cell test code]],[1]!Table1[[Test code]:[Test code]],[1]!Table1[i @ 1.8 V 10 mM KOH (A/cm2)],"",0)</f>
        <v>#REF!</v>
      </c>
      <c r="Y1189" s="69" t="e" cm="1">
        <f t="array" ref="Y1189">_xlfn.XLOOKUP(Table1[[#This Row],[5 cm2 cell test code]:[5 cm2 cell test code]],[1]!Table1[[Test code]:[Test code]],[1]!Table1[3-E ƞ at 20mAcm-2 (mV)],"",0)</f>
        <v>#REF!</v>
      </c>
      <c r="Z1189" s="69" t="e" cm="1">
        <f t="array" ref="Z1189">_xlfn.XLOOKUP(Table1[[#This Row],[5 cm2 cell test code]:[5 cm2 cell test code]],[1]!Table1[[Test code]:[Test code]],[1]!Table1[3-E Tafel slope (mV/dec)],"",0)</f>
        <v>#REF!</v>
      </c>
      <c r="AA1189" s="69" t="e" cm="1">
        <f t="array" ref="AA1189">_xlfn.XLOOKUP(Table1[[#This Row],[5 cm2 cell test code]:[5 cm2 cell test code]],[1]!Table1[[Test code]:[Test code]],[1]!Table1[E @ 100 mA/cm2 DIW/V],"",0)</f>
        <v>#REF!</v>
      </c>
      <c r="AB1189" s="69" t="e" cm="1">
        <f t="array" ref="AB1189">_xlfn.XLOOKUP(Table1[[#This Row],[5 cm2 cell test code]:[5 cm2 cell test code]],[1]!Table1[[Test code]:[Test code]],[1]!Table1[E @ 100 mA/cm2 10 mM KOH/V],"",0)</f>
        <v>#REF!</v>
      </c>
      <c r="AC1189" s="69" t="e" cm="1">
        <f t="array" ref="AC1189">_xlfn.XLOOKUP(Table1[[#This Row],[5 cm2 cell test code]:[5 cm2 cell test code]],[1]!Table1[[Test code]:[Test code]],[1]!Table1[Anode ICR/mOhm],"",0)</f>
        <v>#REF!</v>
      </c>
      <c r="AD1189" s="69" t="e" cm="1">
        <f t="array" ref="AD1189">_xlfn.XLOOKUP(Table1[[#This Row],[5 cm2 cell test code]:[5 cm2 cell test code]],[1]!Table1[[Test code]:[Test code]],[1]!Table1[HFR DIW/ mOhm cm2],"",0)</f>
        <v>#REF!</v>
      </c>
      <c r="AE1189" s="69" t="e" cm="1">
        <f t="array" ref="AE1189">_xlfn.XLOOKUP(Table1[[#This Row],[5 cm2 cell test code]:[5 cm2 cell test code]],[1]!Table1[[Test code]:[Test code]],[1]!Table1[HFR 10 mM KOH/ mOhm cm2],"",0)</f>
        <v>#REF!</v>
      </c>
      <c r="AF1189" s="69" t="e" cm="1">
        <f t="array" ref="AF1189">_xlfn.XLOOKUP(Table1[[#This Row],[5 cm2 cell test code]:[5 cm2 cell test code]],[1]!Table1[[Test code]:[Test code]],[1]!Table1[Ionic resistance DIW/Ohm cm2],"",0)</f>
        <v>#REF!</v>
      </c>
      <c r="AG1189" s="69" t="e" cm="1">
        <f t="array" ref="AG1189">_xlfn.XLOOKUP(Table1[[#This Row],[5 cm2 cell test code]:[5 cm2 cell test code]],[1]!Table1[[Test code]:[Test code]],[1]!Table1[Q_int_frac DIW],"",0)</f>
        <v>#REF!</v>
      </c>
      <c r="AH1189" s="69" t="e" cm="1">
        <f t="array" ref="AH1189">_xlfn.XLOOKUP(Table1[[#This Row],[5 cm2 cell test code]:[5 cm2 cell test code]],[1]!Table1[[Test code]:[Test code]],[1]!Table1[Ionic resistance 10 mM KOH/Ohm cm2],"",0)</f>
        <v>#REF!</v>
      </c>
      <c r="AI1189" s="69" t="e" cm="1">
        <f t="array" ref="AI1189">_xlfn.XLOOKUP(Table1[[#This Row],[5 cm2 cell test code]:[5 cm2 cell test code]],[1]!Table1[[Test code]:[Test code]],[1]!Table1[Q_int_frac DIW 10 mM KOH],"",0)</f>
        <v>#REF!</v>
      </c>
      <c r="AJ1189" s="69" t="e" cm="1">
        <f t="array" ref="AJ1189">_xlfn.XLOOKUP(Table1[[#This Row],[5 cm2 cell test code]:[5 cm2 cell test code]],[1]!Table1[[Test code]:[Test code]],[1]!Table1[DIW conductivity (µS/cm)],"",0)</f>
        <v>#REF!</v>
      </c>
    </row>
    <row r="1190" spans="1:36">
      <c r="A1190" s="81"/>
      <c r="U1190" s="101"/>
      <c r="V1190" s="101"/>
      <c r="W1190" s="69" t="e" cm="1">
        <f t="array" ref="W1190">_xlfn.XLOOKUP(Table1[[#This Row],[5 cm2 cell test code]:[5 cm2 cell test code]],[1]!Table1[[Test code]:[Test code]],[1]!Table1[i @ 1.8 V DIW (A/cm2)],"",0)</f>
        <v>#REF!</v>
      </c>
      <c r="X1190" s="69" t="e" cm="1">
        <f t="array" ref="X1190">_xlfn.XLOOKUP(Table1[[#This Row],[5 cm2 cell test code]:[5 cm2 cell test code]],[1]!Table1[[Test code]:[Test code]],[1]!Table1[i @ 1.8 V 10 mM KOH (A/cm2)],"",0)</f>
        <v>#REF!</v>
      </c>
      <c r="Y1190" s="69" t="e" cm="1">
        <f t="array" ref="Y1190">_xlfn.XLOOKUP(Table1[[#This Row],[5 cm2 cell test code]:[5 cm2 cell test code]],[1]!Table1[[Test code]:[Test code]],[1]!Table1[3-E ƞ at 20mAcm-2 (mV)],"",0)</f>
        <v>#REF!</v>
      </c>
      <c r="Z1190" s="69" t="e" cm="1">
        <f t="array" ref="Z1190">_xlfn.XLOOKUP(Table1[[#This Row],[5 cm2 cell test code]:[5 cm2 cell test code]],[1]!Table1[[Test code]:[Test code]],[1]!Table1[3-E Tafel slope (mV/dec)],"",0)</f>
        <v>#REF!</v>
      </c>
      <c r="AA1190" s="69" t="e" cm="1">
        <f t="array" ref="AA1190">_xlfn.XLOOKUP(Table1[[#This Row],[5 cm2 cell test code]:[5 cm2 cell test code]],[1]!Table1[[Test code]:[Test code]],[1]!Table1[E @ 100 mA/cm2 DIW/V],"",0)</f>
        <v>#REF!</v>
      </c>
      <c r="AB1190" s="69" t="e" cm="1">
        <f t="array" ref="AB1190">_xlfn.XLOOKUP(Table1[[#This Row],[5 cm2 cell test code]:[5 cm2 cell test code]],[1]!Table1[[Test code]:[Test code]],[1]!Table1[E @ 100 mA/cm2 10 mM KOH/V],"",0)</f>
        <v>#REF!</v>
      </c>
      <c r="AC1190" s="69" t="e" cm="1">
        <f t="array" ref="AC1190">_xlfn.XLOOKUP(Table1[[#This Row],[5 cm2 cell test code]:[5 cm2 cell test code]],[1]!Table1[[Test code]:[Test code]],[1]!Table1[Anode ICR/mOhm],"",0)</f>
        <v>#REF!</v>
      </c>
      <c r="AD1190" s="69" t="e" cm="1">
        <f t="array" ref="AD1190">_xlfn.XLOOKUP(Table1[[#This Row],[5 cm2 cell test code]:[5 cm2 cell test code]],[1]!Table1[[Test code]:[Test code]],[1]!Table1[HFR DIW/ mOhm cm2],"",0)</f>
        <v>#REF!</v>
      </c>
      <c r="AE1190" s="69" t="e" cm="1">
        <f t="array" ref="AE1190">_xlfn.XLOOKUP(Table1[[#This Row],[5 cm2 cell test code]:[5 cm2 cell test code]],[1]!Table1[[Test code]:[Test code]],[1]!Table1[HFR 10 mM KOH/ mOhm cm2],"",0)</f>
        <v>#REF!</v>
      </c>
      <c r="AF1190" s="69" t="e" cm="1">
        <f t="array" ref="AF1190">_xlfn.XLOOKUP(Table1[[#This Row],[5 cm2 cell test code]:[5 cm2 cell test code]],[1]!Table1[[Test code]:[Test code]],[1]!Table1[Ionic resistance DIW/Ohm cm2],"",0)</f>
        <v>#REF!</v>
      </c>
      <c r="AG1190" s="69" t="e" cm="1">
        <f t="array" ref="AG1190">_xlfn.XLOOKUP(Table1[[#This Row],[5 cm2 cell test code]:[5 cm2 cell test code]],[1]!Table1[[Test code]:[Test code]],[1]!Table1[Q_int_frac DIW],"",0)</f>
        <v>#REF!</v>
      </c>
      <c r="AH1190" s="69" t="e" cm="1">
        <f t="array" ref="AH1190">_xlfn.XLOOKUP(Table1[[#This Row],[5 cm2 cell test code]:[5 cm2 cell test code]],[1]!Table1[[Test code]:[Test code]],[1]!Table1[Ionic resistance 10 mM KOH/Ohm cm2],"",0)</f>
        <v>#REF!</v>
      </c>
      <c r="AI1190" s="69" t="e" cm="1">
        <f t="array" ref="AI1190">_xlfn.XLOOKUP(Table1[[#This Row],[5 cm2 cell test code]:[5 cm2 cell test code]],[1]!Table1[[Test code]:[Test code]],[1]!Table1[Q_int_frac DIW 10 mM KOH],"",0)</f>
        <v>#REF!</v>
      </c>
      <c r="AJ1190" s="69" t="e" cm="1">
        <f t="array" ref="AJ1190">_xlfn.XLOOKUP(Table1[[#This Row],[5 cm2 cell test code]:[5 cm2 cell test code]],[1]!Table1[[Test code]:[Test code]],[1]!Table1[DIW conductivity (µS/cm)],"",0)</f>
        <v>#REF!</v>
      </c>
    </row>
    <row r="1191" spans="1:36">
      <c r="A1191" s="81"/>
      <c r="U1191" s="101"/>
      <c r="V1191" s="101"/>
      <c r="W1191" s="69" t="e" cm="1">
        <f t="array" ref="W1191">_xlfn.XLOOKUP(Table1[[#This Row],[5 cm2 cell test code]:[5 cm2 cell test code]],[1]!Table1[[Test code]:[Test code]],[1]!Table1[i @ 1.8 V DIW (A/cm2)],"",0)</f>
        <v>#REF!</v>
      </c>
      <c r="X1191" s="69" t="e" cm="1">
        <f t="array" ref="X1191">_xlfn.XLOOKUP(Table1[[#This Row],[5 cm2 cell test code]:[5 cm2 cell test code]],[1]!Table1[[Test code]:[Test code]],[1]!Table1[i @ 1.8 V 10 mM KOH (A/cm2)],"",0)</f>
        <v>#REF!</v>
      </c>
      <c r="Y1191" s="69" t="e" cm="1">
        <f t="array" ref="Y1191">_xlfn.XLOOKUP(Table1[[#This Row],[5 cm2 cell test code]:[5 cm2 cell test code]],[1]!Table1[[Test code]:[Test code]],[1]!Table1[3-E ƞ at 20mAcm-2 (mV)],"",0)</f>
        <v>#REF!</v>
      </c>
      <c r="Z1191" s="69" t="e" cm="1">
        <f t="array" ref="Z1191">_xlfn.XLOOKUP(Table1[[#This Row],[5 cm2 cell test code]:[5 cm2 cell test code]],[1]!Table1[[Test code]:[Test code]],[1]!Table1[3-E Tafel slope (mV/dec)],"",0)</f>
        <v>#REF!</v>
      </c>
      <c r="AA1191" s="69" t="e" cm="1">
        <f t="array" ref="AA1191">_xlfn.XLOOKUP(Table1[[#This Row],[5 cm2 cell test code]:[5 cm2 cell test code]],[1]!Table1[[Test code]:[Test code]],[1]!Table1[E @ 100 mA/cm2 DIW/V],"",0)</f>
        <v>#REF!</v>
      </c>
      <c r="AB1191" s="69" t="e" cm="1">
        <f t="array" ref="AB1191">_xlfn.XLOOKUP(Table1[[#This Row],[5 cm2 cell test code]:[5 cm2 cell test code]],[1]!Table1[[Test code]:[Test code]],[1]!Table1[E @ 100 mA/cm2 10 mM KOH/V],"",0)</f>
        <v>#REF!</v>
      </c>
      <c r="AC1191" s="69" t="e" cm="1">
        <f t="array" ref="AC1191">_xlfn.XLOOKUP(Table1[[#This Row],[5 cm2 cell test code]:[5 cm2 cell test code]],[1]!Table1[[Test code]:[Test code]],[1]!Table1[Anode ICR/mOhm],"",0)</f>
        <v>#REF!</v>
      </c>
      <c r="AD1191" s="69" t="e" cm="1">
        <f t="array" ref="AD1191">_xlfn.XLOOKUP(Table1[[#This Row],[5 cm2 cell test code]:[5 cm2 cell test code]],[1]!Table1[[Test code]:[Test code]],[1]!Table1[HFR DIW/ mOhm cm2],"",0)</f>
        <v>#REF!</v>
      </c>
      <c r="AE1191" s="69" t="e" cm="1">
        <f t="array" ref="AE1191">_xlfn.XLOOKUP(Table1[[#This Row],[5 cm2 cell test code]:[5 cm2 cell test code]],[1]!Table1[[Test code]:[Test code]],[1]!Table1[HFR 10 mM KOH/ mOhm cm2],"",0)</f>
        <v>#REF!</v>
      </c>
      <c r="AF1191" s="69" t="e" cm="1">
        <f t="array" ref="AF1191">_xlfn.XLOOKUP(Table1[[#This Row],[5 cm2 cell test code]:[5 cm2 cell test code]],[1]!Table1[[Test code]:[Test code]],[1]!Table1[Ionic resistance DIW/Ohm cm2],"",0)</f>
        <v>#REF!</v>
      </c>
      <c r="AG1191" s="69" t="e" cm="1">
        <f t="array" ref="AG1191">_xlfn.XLOOKUP(Table1[[#This Row],[5 cm2 cell test code]:[5 cm2 cell test code]],[1]!Table1[[Test code]:[Test code]],[1]!Table1[Q_int_frac DIW],"",0)</f>
        <v>#REF!</v>
      </c>
      <c r="AH1191" s="69" t="e" cm="1">
        <f t="array" ref="AH1191">_xlfn.XLOOKUP(Table1[[#This Row],[5 cm2 cell test code]:[5 cm2 cell test code]],[1]!Table1[[Test code]:[Test code]],[1]!Table1[Ionic resistance 10 mM KOH/Ohm cm2],"",0)</f>
        <v>#REF!</v>
      </c>
      <c r="AI1191" s="69" t="e" cm="1">
        <f t="array" ref="AI1191">_xlfn.XLOOKUP(Table1[[#This Row],[5 cm2 cell test code]:[5 cm2 cell test code]],[1]!Table1[[Test code]:[Test code]],[1]!Table1[Q_int_frac DIW 10 mM KOH],"",0)</f>
        <v>#REF!</v>
      </c>
      <c r="AJ1191" s="69" t="e" cm="1">
        <f t="array" ref="AJ1191">_xlfn.XLOOKUP(Table1[[#This Row],[5 cm2 cell test code]:[5 cm2 cell test code]],[1]!Table1[[Test code]:[Test code]],[1]!Table1[DIW conductivity (µS/cm)],"",0)</f>
        <v>#REF!</v>
      </c>
    </row>
    <row r="1192" spans="1:36">
      <c r="A1192" s="81"/>
      <c r="U1192" s="101"/>
      <c r="V1192" s="101"/>
      <c r="W1192" s="69" t="e" cm="1">
        <f t="array" ref="W1192">_xlfn.XLOOKUP(Table1[[#This Row],[5 cm2 cell test code]:[5 cm2 cell test code]],[1]!Table1[[Test code]:[Test code]],[1]!Table1[i @ 1.8 V DIW (A/cm2)],"",0)</f>
        <v>#REF!</v>
      </c>
      <c r="X1192" s="69" t="e" cm="1">
        <f t="array" ref="X1192">_xlfn.XLOOKUP(Table1[[#This Row],[5 cm2 cell test code]:[5 cm2 cell test code]],[1]!Table1[[Test code]:[Test code]],[1]!Table1[i @ 1.8 V 10 mM KOH (A/cm2)],"",0)</f>
        <v>#REF!</v>
      </c>
      <c r="Y1192" s="69" t="e" cm="1">
        <f t="array" ref="Y1192">_xlfn.XLOOKUP(Table1[[#This Row],[5 cm2 cell test code]:[5 cm2 cell test code]],[1]!Table1[[Test code]:[Test code]],[1]!Table1[3-E ƞ at 20mAcm-2 (mV)],"",0)</f>
        <v>#REF!</v>
      </c>
      <c r="Z1192" s="69" t="e" cm="1">
        <f t="array" ref="Z1192">_xlfn.XLOOKUP(Table1[[#This Row],[5 cm2 cell test code]:[5 cm2 cell test code]],[1]!Table1[[Test code]:[Test code]],[1]!Table1[3-E Tafel slope (mV/dec)],"",0)</f>
        <v>#REF!</v>
      </c>
      <c r="AA1192" s="69" t="e" cm="1">
        <f t="array" ref="AA1192">_xlfn.XLOOKUP(Table1[[#This Row],[5 cm2 cell test code]:[5 cm2 cell test code]],[1]!Table1[[Test code]:[Test code]],[1]!Table1[E @ 100 mA/cm2 DIW/V],"",0)</f>
        <v>#REF!</v>
      </c>
      <c r="AB1192" s="69" t="e" cm="1">
        <f t="array" ref="AB1192">_xlfn.XLOOKUP(Table1[[#This Row],[5 cm2 cell test code]:[5 cm2 cell test code]],[1]!Table1[[Test code]:[Test code]],[1]!Table1[E @ 100 mA/cm2 10 mM KOH/V],"",0)</f>
        <v>#REF!</v>
      </c>
      <c r="AC1192" s="69" t="e" cm="1">
        <f t="array" ref="AC1192">_xlfn.XLOOKUP(Table1[[#This Row],[5 cm2 cell test code]:[5 cm2 cell test code]],[1]!Table1[[Test code]:[Test code]],[1]!Table1[Anode ICR/mOhm],"",0)</f>
        <v>#REF!</v>
      </c>
      <c r="AD1192" s="69" t="e" cm="1">
        <f t="array" ref="AD1192">_xlfn.XLOOKUP(Table1[[#This Row],[5 cm2 cell test code]:[5 cm2 cell test code]],[1]!Table1[[Test code]:[Test code]],[1]!Table1[HFR DIW/ mOhm cm2],"",0)</f>
        <v>#REF!</v>
      </c>
      <c r="AE1192" s="69" t="e" cm="1">
        <f t="array" ref="AE1192">_xlfn.XLOOKUP(Table1[[#This Row],[5 cm2 cell test code]:[5 cm2 cell test code]],[1]!Table1[[Test code]:[Test code]],[1]!Table1[HFR 10 mM KOH/ mOhm cm2],"",0)</f>
        <v>#REF!</v>
      </c>
      <c r="AF1192" s="69" t="e" cm="1">
        <f t="array" ref="AF1192">_xlfn.XLOOKUP(Table1[[#This Row],[5 cm2 cell test code]:[5 cm2 cell test code]],[1]!Table1[[Test code]:[Test code]],[1]!Table1[Ionic resistance DIW/Ohm cm2],"",0)</f>
        <v>#REF!</v>
      </c>
      <c r="AG1192" s="69" t="e" cm="1">
        <f t="array" ref="AG1192">_xlfn.XLOOKUP(Table1[[#This Row],[5 cm2 cell test code]:[5 cm2 cell test code]],[1]!Table1[[Test code]:[Test code]],[1]!Table1[Q_int_frac DIW],"",0)</f>
        <v>#REF!</v>
      </c>
      <c r="AH1192" s="69" t="e" cm="1">
        <f t="array" ref="AH1192">_xlfn.XLOOKUP(Table1[[#This Row],[5 cm2 cell test code]:[5 cm2 cell test code]],[1]!Table1[[Test code]:[Test code]],[1]!Table1[Ionic resistance 10 mM KOH/Ohm cm2],"",0)</f>
        <v>#REF!</v>
      </c>
      <c r="AI1192" s="69" t="e" cm="1">
        <f t="array" ref="AI1192">_xlfn.XLOOKUP(Table1[[#This Row],[5 cm2 cell test code]:[5 cm2 cell test code]],[1]!Table1[[Test code]:[Test code]],[1]!Table1[Q_int_frac DIW 10 mM KOH],"",0)</f>
        <v>#REF!</v>
      </c>
      <c r="AJ1192" s="69" t="e" cm="1">
        <f t="array" ref="AJ1192">_xlfn.XLOOKUP(Table1[[#This Row],[5 cm2 cell test code]:[5 cm2 cell test code]],[1]!Table1[[Test code]:[Test code]],[1]!Table1[DIW conductivity (µS/cm)],"",0)</f>
        <v>#REF!</v>
      </c>
    </row>
    <row r="1193" spans="1:36">
      <c r="A1193" s="81"/>
      <c r="U1193" s="101"/>
      <c r="V1193" s="101"/>
      <c r="W1193" s="69" t="e" cm="1">
        <f t="array" ref="W1193">_xlfn.XLOOKUP(Table1[[#This Row],[5 cm2 cell test code]:[5 cm2 cell test code]],[1]!Table1[[Test code]:[Test code]],[1]!Table1[i @ 1.8 V DIW (A/cm2)],"",0)</f>
        <v>#REF!</v>
      </c>
      <c r="X1193" s="69" t="e" cm="1">
        <f t="array" ref="X1193">_xlfn.XLOOKUP(Table1[[#This Row],[5 cm2 cell test code]:[5 cm2 cell test code]],[1]!Table1[[Test code]:[Test code]],[1]!Table1[i @ 1.8 V 10 mM KOH (A/cm2)],"",0)</f>
        <v>#REF!</v>
      </c>
      <c r="Y1193" s="69" t="e" cm="1">
        <f t="array" ref="Y1193">_xlfn.XLOOKUP(Table1[[#This Row],[5 cm2 cell test code]:[5 cm2 cell test code]],[1]!Table1[[Test code]:[Test code]],[1]!Table1[3-E ƞ at 20mAcm-2 (mV)],"",0)</f>
        <v>#REF!</v>
      </c>
      <c r="Z1193" s="69" t="e" cm="1">
        <f t="array" ref="Z1193">_xlfn.XLOOKUP(Table1[[#This Row],[5 cm2 cell test code]:[5 cm2 cell test code]],[1]!Table1[[Test code]:[Test code]],[1]!Table1[3-E Tafel slope (mV/dec)],"",0)</f>
        <v>#REF!</v>
      </c>
      <c r="AA1193" s="69" t="e" cm="1">
        <f t="array" ref="AA1193">_xlfn.XLOOKUP(Table1[[#This Row],[5 cm2 cell test code]:[5 cm2 cell test code]],[1]!Table1[[Test code]:[Test code]],[1]!Table1[E @ 100 mA/cm2 DIW/V],"",0)</f>
        <v>#REF!</v>
      </c>
      <c r="AB1193" s="69" t="e" cm="1">
        <f t="array" ref="AB1193">_xlfn.XLOOKUP(Table1[[#This Row],[5 cm2 cell test code]:[5 cm2 cell test code]],[1]!Table1[[Test code]:[Test code]],[1]!Table1[E @ 100 mA/cm2 10 mM KOH/V],"",0)</f>
        <v>#REF!</v>
      </c>
      <c r="AC1193" s="69" t="e" cm="1">
        <f t="array" ref="AC1193">_xlfn.XLOOKUP(Table1[[#This Row],[5 cm2 cell test code]:[5 cm2 cell test code]],[1]!Table1[[Test code]:[Test code]],[1]!Table1[Anode ICR/mOhm],"",0)</f>
        <v>#REF!</v>
      </c>
      <c r="AD1193" s="69" t="e" cm="1">
        <f t="array" ref="AD1193">_xlfn.XLOOKUP(Table1[[#This Row],[5 cm2 cell test code]:[5 cm2 cell test code]],[1]!Table1[[Test code]:[Test code]],[1]!Table1[HFR DIW/ mOhm cm2],"",0)</f>
        <v>#REF!</v>
      </c>
      <c r="AE1193" s="69" t="e" cm="1">
        <f t="array" ref="AE1193">_xlfn.XLOOKUP(Table1[[#This Row],[5 cm2 cell test code]:[5 cm2 cell test code]],[1]!Table1[[Test code]:[Test code]],[1]!Table1[HFR 10 mM KOH/ mOhm cm2],"",0)</f>
        <v>#REF!</v>
      </c>
      <c r="AF1193" s="69" t="e" cm="1">
        <f t="array" ref="AF1193">_xlfn.XLOOKUP(Table1[[#This Row],[5 cm2 cell test code]:[5 cm2 cell test code]],[1]!Table1[[Test code]:[Test code]],[1]!Table1[Ionic resistance DIW/Ohm cm2],"",0)</f>
        <v>#REF!</v>
      </c>
      <c r="AG1193" s="69" t="e" cm="1">
        <f t="array" ref="AG1193">_xlfn.XLOOKUP(Table1[[#This Row],[5 cm2 cell test code]:[5 cm2 cell test code]],[1]!Table1[[Test code]:[Test code]],[1]!Table1[Q_int_frac DIW],"",0)</f>
        <v>#REF!</v>
      </c>
      <c r="AH1193" s="69" t="e" cm="1">
        <f t="array" ref="AH1193">_xlfn.XLOOKUP(Table1[[#This Row],[5 cm2 cell test code]:[5 cm2 cell test code]],[1]!Table1[[Test code]:[Test code]],[1]!Table1[Ionic resistance 10 mM KOH/Ohm cm2],"",0)</f>
        <v>#REF!</v>
      </c>
      <c r="AI1193" s="69" t="e" cm="1">
        <f t="array" ref="AI1193">_xlfn.XLOOKUP(Table1[[#This Row],[5 cm2 cell test code]:[5 cm2 cell test code]],[1]!Table1[[Test code]:[Test code]],[1]!Table1[Q_int_frac DIW 10 mM KOH],"",0)</f>
        <v>#REF!</v>
      </c>
      <c r="AJ1193" s="69" t="e" cm="1">
        <f t="array" ref="AJ1193">_xlfn.XLOOKUP(Table1[[#This Row],[5 cm2 cell test code]:[5 cm2 cell test code]],[1]!Table1[[Test code]:[Test code]],[1]!Table1[DIW conductivity (µS/cm)],"",0)</f>
        <v>#REF!</v>
      </c>
    </row>
    <row r="1194" spans="1:36">
      <c r="A1194" s="81"/>
      <c r="U1194" s="101"/>
      <c r="V1194" s="101"/>
      <c r="W1194" s="69" t="e" cm="1">
        <f t="array" ref="W1194">_xlfn.XLOOKUP(Table1[[#This Row],[5 cm2 cell test code]:[5 cm2 cell test code]],[1]!Table1[[Test code]:[Test code]],[1]!Table1[i @ 1.8 V DIW (A/cm2)],"",0)</f>
        <v>#REF!</v>
      </c>
      <c r="X1194" s="69" t="e" cm="1">
        <f t="array" ref="X1194">_xlfn.XLOOKUP(Table1[[#This Row],[5 cm2 cell test code]:[5 cm2 cell test code]],[1]!Table1[[Test code]:[Test code]],[1]!Table1[i @ 1.8 V 10 mM KOH (A/cm2)],"",0)</f>
        <v>#REF!</v>
      </c>
      <c r="Y1194" s="69" t="e" cm="1">
        <f t="array" ref="Y1194">_xlfn.XLOOKUP(Table1[[#This Row],[5 cm2 cell test code]:[5 cm2 cell test code]],[1]!Table1[[Test code]:[Test code]],[1]!Table1[3-E ƞ at 20mAcm-2 (mV)],"",0)</f>
        <v>#REF!</v>
      </c>
      <c r="Z1194" s="69" t="e" cm="1">
        <f t="array" ref="Z1194">_xlfn.XLOOKUP(Table1[[#This Row],[5 cm2 cell test code]:[5 cm2 cell test code]],[1]!Table1[[Test code]:[Test code]],[1]!Table1[3-E Tafel slope (mV/dec)],"",0)</f>
        <v>#REF!</v>
      </c>
      <c r="AA1194" s="69" t="e" cm="1">
        <f t="array" ref="AA1194">_xlfn.XLOOKUP(Table1[[#This Row],[5 cm2 cell test code]:[5 cm2 cell test code]],[1]!Table1[[Test code]:[Test code]],[1]!Table1[E @ 100 mA/cm2 DIW/V],"",0)</f>
        <v>#REF!</v>
      </c>
      <c r="AB1194" s="69" t="e" cm="1">
        <f t="array" ref="AB1194">_xlfn.XLOOKUP(Table1[[#This Row],[5 cm2 cell test code]:[5 cm2 cell test code]],[1]!Table1[[Test code]:[Test code]],[1]!Table1[E @ 100 mA/cm2 10 mM KOH/V],"",0)</f>
        <v>#REF!</v>
      </c>
      <c r="AC1194" s="69" t="e" cm="1">
        <f t="array" ref="AC1194">_xlfn.XLOOKUP(Table1[[#This Row],[5 cm2 cell test code]:[5 cm2 cell test code]],[1]!Table1[[Test code]:[Test code]],[1]!Table1[Anode ICR/mOhm],"",0)</f>
        <v>#REF!</v>
      </c>
      <c r="AD1194" s="69" t="e" cm="1">
        <f t="array" ref="AD1194">_xlfn.XLOOKUP(Table1[[#This Row],[5 cm2 cell test code]:[5 cm2 cell test code]],[1]!Table1[[Test code]:[Test code]],[1]!Table1[HFR DIW/ mOhm cm2],"",0)</f>
        <v>#REF!</v>
      </c>
      <c r="AE1194" s="69" t="e" cm="1">
        <f t="array" ref="AE1194">_xlfn.XLOOKUP(Table1[[#This Row],[5 cm2 cell test code]:[5 cm2 cell test code]],[1]!Table1[[Test code]:[Test code]],[1]!Table1[HFR 10 mM KOH/ mOhm cm2],"",0)</f>
        <v>#REF!</v>
      </c>
      <c r="AF1194" s="69" t="e" cm="1">
        <f t="array" ref="AF1194">_xlfn.XLOOKUP(Table1[[#This Row],[5 cm2 cell test code]:[5 cm2 cell test code]],[1]!Table1[[Test code]:[Test code]],[1]!Table1[Ionic resistance DIW/Ohm cm2],"",0)</f>
        <v>#REF!</v>
      </c>
      <c r="AG1194" s="69" t="e" cm="1">
        <f t="array" ref="AG1194">_xlfn.XLOOKUP(Table1[[#This Row],[5 cm2 cell test code]:[5 cm2 cell test code]],[1]!Table1[[Test code]:[Test code]],[1]!Table1[Q_int_frac DIW],"",0)</f>
        <v>#REF!</v>
      </c>
      <c r="AH1194" s="69" t="e" cm="1">
        <f t="array" ref="AH1194">_xlfn.XLOOKUP(Table1[[#This Row],[5 cm2 cell test code]:[5 cm2 cell test code]],[1]!Table1[[Test code]:[Test code]],[1]!Table1[Ionic resistance 10 mM KOH/Ohm cm2],"",0)</f>
        <v>#REF!</v>
      </c>
      <c r="AI1194" s="69" t="e" cm="1">
        <f t="array" ref="AI1194">_xlfn.XLOOKUP(Table1[[#This Row],[5 cm2 cell test code]:[5 cm2 cell test code]],[1]!Table1[[Test code]:[Test code]],[1]!Table1[Q_int_frac DIW 10 mM KOH],"",0)</f>
        <v>#REF!</v>
      </c>
      <c r="AJ1194" s="69" t="e" cm="1">
        <f t="array" ref="AJ1194">_xlfn.XLOOKUP(Table1[[#This Row],[5 cm2 cell test code]:[5 cm2 cell test code]],[1]!Table1[[Test code]:[Test code]],[1]!Table1[DIW conductivity (µS/cm)],"",0)</f>
        <v>#REF!</v>
      </c>
    </row>
    <row r="1195" spans="1:36">
      <c r="A1195" s="81"/>
      <c r="U1195" s="101"/>
      <c r="V1195" s="101"/>
      <c r="W1195" s="69" t="e" cm="1">
        <f t="array" ref="W1195">_xlfn.XLOOKUP(Table1[[#This Row],[5 cm2 cell test code]:[5 cm2 cell test code]],[1]!Table1[[Test code]:[Test code]],[1]!Table1[i @ 1.8 V DIW (A/cm2)],"",0)</f>
        <v>#REF!</v>
      </c>
      <c r="X1195" s="69" t="e" cm="1">
        <f t="array" ref="X1195">_xlfn.XLOOKUP(Table1[[#This Row],[5 cm2 cell test code]:[5 cm2 cell test code]],[1]!Table1[[Test code]:[Test code]],[1]!Table1[i @ 1.8 V 10 mM KOH (A/cm2)],"",0)</f>
        <v>#REF!</v>
      </c>
      <c r="Y1195" s="69" t="e" cm="1">
        <f t="array" ref="Y1195">_xlfn.XLOOKUP(Table1[[#This Row],[5 cm2 cell test code]:[5 cm2 cell test code]],[1]!Table1[[Test code]:[Test code]],[1]!Table1[3-E ƞ at 20mAcm-2 (mV)],"",0)</f>
        <v>#REF!</v>
      </c>
      <c r="Z1195" s="69" t="e" cm="1">
        <f t="array" ref="Z1195">_xlfn.XLOOKUP(Table1[[#This Row],[5 cm2 cell test code]:[5 cm2 cell test code]],[1]!Table1[[Test code]:[Test code]],[1]!Table1[3-E Tafel slope (mV/dec)],"",0)</f>
        <v>#REF!</v>
      </c>
      <c r="AA1195" s="69" t="e" cm="1">
        <f t="array" ref="AA1195">_xlfn.XLOOKUP(Table1[[#This Row],[5 cm2 cell test code]:[5 cm2 cell test code]],[1]!Table1[[Test code]:[Test code]],[1]!Table1[E @ 100 mA/cm2 DIW/V],"",0)</f>
        <v>#REF!</v>
      </c>
      <c r="AB1195" s="69" t="e" cm="1">
        <f t="array" ref="AB1195">_xlfn.XLOOKUP(Table1[[#This Row],[5 cm2 cell test code]:[5 cm2 cell test code]],[1]!Table1[[Test code]:[Test code]],[1]!Table1[E @ 100 mA/cm2 10 mM KOH/V],"",0)</f>
        <v>#REF!</v>
      </c>
      <c r="AC1195" s="69" t="e" cm="1">
        <f t="array" ref="AC1195">_xlfn.XLOOKUP(Table1[[#This Row],[5 cm2 cell test code]:[5 cm2 cell test code]],[1]!Table1[[Test code]:[Test code]],[1]!Table1[Anode ICR/mOhm],"",0)</f>
        <v>#REF!</v>
      </c>
      <c r="AD1195" s="69" t="e" cm="1">
        <f t="array" ref="AD1195">_xlfn.XLOOKUP(Table1[[#This Row],[5 cm2 cell test code]:[5 cm2 cell test code]],[1]!Table1[[Test code]:[Test code]],[1]!Table1[HFR DIW/ mOhm cm2],"",0)</f>
        <v>#REF!</v>
      </c>
      <c r="AE1195" s="69" t="e" cm="1">
        <f t="array" ref="AE1195">_xlfn.XLOOKUP(Table1[[#This Row],[5 cm2 cell test code]:[5 cm2 cell test code]],[1]!Table1[[Test code]:[Test code]],[1]!Table1[HFR 10 mM KOH/ mOhm cm2],"",0)</f>
        <v>#REF!</v>
      </c>
      <c r="AF1195" s="69" t="e" cm="1">
        <f t="array" ref="AF1195">_xlfn.XLOOKUP(Table1[[#This Row],[5 cm2 cell test code]:[5 cm2 cell test code]],[1]!Table1[[Test code]:[Test code]],[1]!Table1[Ionic resistance DIW/Ohm cm2],"",0)</f>
        <v>#REF!</v>
      </c>
      <c r="AG1195" s="69" t="e" cm="1">
        <f t="array" ref="AG1195">_xlfn.XLOOKUP(Table1[[#This Row],[5 cm2 cell test code]:[5 cm2 cell test code]],[1]!Table1[[Test code]:[Test code]],[1]!Table1[Q_int_frac DIW],"",0)</f>
        <v>#REF!</v>
      </c>
      <c r="AH1195" s="69" t="e" cm="1">
        <f t="array" ref="AH1195">_xlfn.XLOOKUP(Table1[[#This Row],[5 cm2 cell test code]:[5 cm2 cell test code]],[1]!Table1[[Test code]:[Test code]],[1]!Table1[Ionic resistance 10 mM KOH/Ohm cm2],"",0)</f>
        <v>#REF!</v>
      </c>
      <c r="AI1195" s="69" t="e" cm="1">
        <f t="array" ref="AI1195">_xlfn.XLOOKUP(Table1[[#This Row],[5 cm2 cell test code]:[5 cm2 cell test code]],[1]!Table1[[Test code]:[Test code]],[1]!Table1[Q_int_frac DIW 10 mM KOH],"",0)</f>
        <v>#REF!</v>
      </c>
      <c r="AJ1195" s="69" t="e" cm="1">
        <f t="array" ref="AJ1195">_xlfn.XLOOKUP(Table1[[#This Row],[5 cm2 cell test code]:[5 cm2 cell test code]],[1]!Table1[[Test code]:[Test code]],[1]!Table1[DIW conductivity (µS/cm)],"",0)</f>
        <v>#REF!</v>
      </c>
    </row>
    <row r="1196" spans="1:36">
      <c r="A1196" s="81"/>
      <c r="U1196" s="101"/>
      <c r="V1196" s="101"/>
      <c r="W1196" s="69" t="e" cm="1">
        <f t="array" ref="W1196">_xlfn.XLOOKUP(Table1[[#This Row],[5 cm2 cell test code]:[5 cm2 cell test code]],[1]!Table1[[Test code]:[Test code]],[1]!Table1[i @ 1.8 V DIW (A/cm2)],"",0)</f>
        <v>#REF!</v>
      </c>
      <c r="X1196" s="69" t="e" cm="1">
        <f t="array" ref="X1196">_xlfn.XLOOKUP(Table1[[#This Row],[5 cm2 cell test code]:[5 cm2 cell test code]],[1]!Table1[[Test code]:[Test code]],[1]!Table1[i @ 1.8 V 10 mM KOH (A/cm2)],"",0)</f>
        <v>#REF!</v>
      </c>
      <c r="Y1196" s="69" t="e" cm="1">
        <f t="array" ref="Y1196">_xlfn.XLOOKUP(Table1[[#This Row],[5 cm2 cell test code]:[5 cm2 cell test code]],[1]!Table1[[Test code]:[Test code]],[1]!Table1[3-E ƞ at 20mAcm-2 (mV)],"",0)</f>
        <v>#REF!</v>
      </c>
      <c r="Z1196" s="69" t="e" cm="1">
        <f t="array" ref="Z1196">_xlfn.XLOOKUP(Table1[[#This Row],[5 cm2 cell test code]:[5 cm2 cell test code]],[1]!Table1[[Test code]:[Test code]],[1]!Table1[3-E Tafel slope (mV/dec)],"",0)</f>
        <v>#REF!</v>
      </c>
      <c r="AA1196" s="69" t="e" cm="1">
        <f t="array" ref="AA1196">_xlfn.XLOOKUP(Table1[[#This Row],[5 cm2 cell test code]:[5 cm2 cell test code]],[1]!Table1[[Test code]:[Test code]],[1]!Table1[E @ 100 mA/cm2 DIW/V],"",0)</f>
        <v>#REF!</v>
      </c>
      <c r="AB1196" s="69" t="e" cm="1">
        <f t="array" ref="AB1196">_xlfn.XLOOKUP(Table1[[#This Row],[5 cm2 cell test code]:[5 cm2 cell test code]],[1]!Table1[[Test code]:[Test code]],[1]!Table1[E @ 100 mA/cm2 10 mM KOH/V],"",0)</f>
        <v>#REF!</v>
      </c>
      <c r="AC1196" s="69" t="e" cm="1">
        <f t="array" ref="AC1196">_xlfn.XLOOKUP(Table1[[#This Row],[5 cm2 cell test code]:[5 cm2 cell test code]],[1]!Table1[[Test code]:[Test code]],[1]!Table1[Anode ICR/mOhm],"",0)</f>
        <v>#REF!</v>
      </c>
      <c r="AD1196" s="69" t="e" cm="1">
        <f t="array" ref="AD1196">_xlfn.XLOOKUP(Table1[[#This Row],[5 cm2 cell test code]:[5 cm2 cell test code]],[1]!Table1[[Test code]:[Test code]],[1]!Table1[HFR DIW/ mOhm cm2],"",0)</f>
        <v>#REF!</v>
      </c>
      <c r="AE1196" s="69" t="e" cm="1">
        <f t="array" ref="AE1196">_xlfn.XLOOKUP(Table1[[#This Row],[5 cm2 cell test code]:[5 cm2 cell test code]],[1]!Table1[[Test code]:[Test code]],[1]!Table1[HFR 10 mM KOH/ mOhm cm2],"",0)</f>
        <v>#REF!</v>
      </c>
      <c r="AF1196" s="69" t="e" cm="1">
        <f t="array" ref="AF1196">_xlfn.XLOOKUP(Table1[[#This Row],[5 cm2 cell test code]:[5 cm2 cell test code]],[1]!Table1[[Test code]:[Test code]],[1]!Table1[Ionic resistance DIW/Ohm cm2],"",0)</f>
        <v>#REF!</v>
      </c>
      <c r="AG1196" s="69" t="e" cm="1">
        <f t="array" ref="AG1196">_xlfn.XLOOKUP(Table1[[#This Row],[5 cm2 cell test code]:[5 cm2 cell test code]],[1]!Table1[[Test code]:[Test code]],[1]!Table1[Q_int_frac DIW],"",0)</f>
        <v>#REF!</v>
      </c>
      <c r="AH1196" s="69" t="e" cm="1">
        <f t="array" ref="AH1196">_xlfn.XLOOKUP(Table1[[#This Row],[5 cm2 cell test code]:[5 cm2 cell test code]],[1]!Table1[[Test code]:[Test code]],[1]!Table1[Ionic resistance 10 mM KOH/Ohm cm2],"",0)</f>
        <v>#REF!</v>
      </c>
      <c r="AI1196" s="69" t="e" cm="1">
        <f t="array" ref="AI1196">_xlfn.XLOOKUP(Table1[[#This Row],[5 cm2 cell test code]:[5 cm2 cell test code]],[1]!Table1[[Test code]:[Test code]],[1]!Table1[Q_int_frac DIW 10 mM KOH],"",0)</f>
        <v>#REF!</v>
      </c>
      <c r="AJ1196" s="69" t="e" cm="1">
        <f t="array" ref="AJ1196">_xlfn.XLOOKUP(Table1[[#This Row],[5 cm2 cell test code]:[5 cm2 cell test code]],[1]!Table1[[Test code]:[Test code]],[1]!Table1[DIW conductivity (µS/cm)],"",0)</f>
        <v>#REF!</v>
      </c>
    </row>
    <row r="1197" spans="1:36">
      <c r="A1197" s="81"/>
      <c r="U1197" s="101"/>
      <c r="V1197" s="101"/>
      <c r="W1197" s="69" t="e" cm="1">
        <f t="array" ref="W1197">_xlfn.XLOOKUP(Table1[[#This Row],[5 cm2 cell test code]:[5 cm2 cell test code]],[1]!Table1[[Test code]:[Test code]],[1]!Table1[i @ 1.8 V DIW (A/cm2)],"",0)</f>
        <v>#REF!</v>
      </c>
      <c r="X1197" s="69" t="e" cm="1">
        <f t="array" ref="X1197">_xlfn.XLOOKUP(Table1[[#This Row],[5 cm2 cell test code]:[5 cm2 cell test code]],[1]!Table1[[Test code]:[Test code]],[1]!Table1[i @ 1.8 V 10 mM KOH (A/cm2)],"",0)</f>
        <v>#REF!</v>
      </c>
      <c r="Y1197" s="69" t="e" cm="1">
        <f t="array" ref="Y1197">_xlfn.XLOOKUP(Table1[[#This Row],[5 cm2 cell test code]:[5 cm2 cell test code]],[1]!Table1[[Test code]:[Test code]],[1]!Table1[3-E ƞ at 20mAcm-2 (mV)],"",0)</f>
        <v>#REF!</v>
      </c>
      <c r="Z1197" s="69" t="e" cm="1">
        <f t="array" ref="Z1197">_xlfn.XLOOKUP(Table1[[#This Row],[5 cm2 cell test code]:[5 cm2 cell test code]],[1]!Table1[[Test code]:[Test code]],[1]!Table1[3-E Tafel slope (mV/dec)],"",0)</f>
        <v>#REF!</v>
      </c>
      <c r="AA1197" s="69" t="e" cm="1">
        <f t="array" ref="AA1197">_xlfn.XLOOKUP(Table1[[#This Row],[5 cm2 cell test code]:[5 cm2 cell test code]],[1]!Table1[[Test code]:[Test code]],[1]!Table1[E @ 100 mA/cm2 DIW/V],"",0)</f>
        <v>#REF!</v>
      </c>
      <c r="AB1197" s="69" t="e" cm="1">
        <f t="array" ref="AB1197">_xlfn.XLOOKUP(Table1[[#This Row],[5 cm2 cell test code]:[5 cm2 cell test code]],[1]!Table1[[Test code]:[Test code]],[1]!Table1[E @ 100 mA/cm2 10 mM KOH/V],"",0)</f>
        <v>#REF!</v>
      </c>
      <c r="AC1197" s="69" t="e" cm="1">
        <f t="array" ref="AC1197">_xlfn.XLOOKUP(Table1[[#This Row],[5 cm2 cell test code]:[5 cm2 cell test code]],[1]!Table1[[Test code]:[Test code]],[1]!Table1[Anode ICR/mOhm],"",0)</f>
        <v>#REF!</v>
      </c>
      <c r="AD1197" s="69" t="e" cm="1">
        <f t="array" ref="AD1197">_xlfn.XLOOKUP(Table1[[#This Row],[5 cm2 cell test code]:[5 cm2 cell test code]],[1]!Table1[[Test code]:[Test code]],[1]!Table1[HFR DIW/ mOhm cm2],"",0)</f>
        <v>#REF!</v>
      </c>
      <c r="AE1197" s="69" t="e" cm="1">
        <f t="array" ref="AE1197">_xlfn.XLOOKUP(Table1[[#This Row],[5 cm2 cell test code]:[5 cm2 cell test code]],[1]!Table1[[Test code]:[Test code]],[1]!Table1[HFR 10 mM KOH/ mOhm cm2],"",0)</f>
        <v>#REF!</v>
      </c>
      <c r="AF1197" s="69" t="e" cm="1">
        <f t="array" ref="AF1197">_xlfn.XLOOKUP(Table1[[#This Row],[5 cm2 cell test code]:[5 cm2 cell test code]],[1]!Table1[[Test code]:[Test code]],[1]!Table1[Ionic resistance DIW/Ohm cm2],"",0)</f>
        <v>#REF!</v>
      </c>
      <c r="AG1197" s="69" t="e" cm="1">
        <f t="array" ref="AG1197">_xlfn.XLOOKUP(Table1[[#This Row],[5 cm2 cell test code]:[5 cm2 cell test code]],[1]!Table1[[Test code]:[Test code]],[1]!Table1[Q_int_frac DIW],"",0)</f>
        <v>#REF!</v>
      </c>
      <c r="AH1197" s="69" t="e" cm="1">
        <f t="array" ref="AH1197">_xlfn.XLOOKUP(Table1[[#This Row],[5 cm2 cell test code]:[5 cm2 cell test code]],[1]!Table1[[Test code]:[Test code]],[1]!Table1[Ionic resistance 10 mM KOH/Ohm cm2],"",0)</f>
        <v>#REF!</v>
      </c>
      <c r="AI1197" s="69" t="e" cm="1">
        <f t="array" ref="AI1197">_xlfn.XLOOKUP(Table1[[#This Row],[5 cm2 cell test code]:[5 cm2 cell test code]],[1]!Table1[[Test code]:[Test code]],[1]!Table1[Q_int_frac DIW 10 mM KOH],"",0)</f>
        <v>#REF!</v>
      </c>
      <c r="AJ1197" s="69" t="e" cm="1">
        <f t="array" ref="AJ1197">_xlfn.XLOOKUP(Table1[[#This Row],[5 cm2 cell test code]:[5 cm2 cell test code]],[1]!Table1[[Test code]:[Test code]],[1]!Table1[DIW conductivity (µS/cm)],"",0)</f>
        <v>#REF!</v>
      </c>
    </row>
    <row r="1198" spans="1:36">
      <c r="A1198" s="81"/>
      <c r="U1198" s="101"/>
      <c r="V1198" s="101"/>
      <c r="W1198" s="69" t="e" cm="1">
        <f t="array" ref="W1198">_xlfn.XLOOKUP(Table1[[#This Row],[5 cm2 cell test code]:[5 cm2 cell test code]],[1]!Table1[[Test code]:[Test code]],[1]!Table1[i @ 1.8 V DIW (A/cm2)],"",0)</f>
        <v>#REF!</v>
      </c>
      <c r="X1198" s="69" t="e" cm="1">
        <f t="array" ref="X1198">_xlfn.XLOOKUP(Table1[[#This Row],[5 cm2 cell test code]:[5 cm2 cell test code]],[1]!Table1[[Test code]:[Test code]],[1]!Table1[i @ 1.8 V 10 mM KOH (A/cm2)],"",0)</f>
        <v>#REF!</v>
      </c>
      <c r="Y1198" s="69" t="e" cm="1">
        <f t="array" ref="Y1198">_xlfn.XLOOKUP(Table1[[#This Row],[5 cm2 cell test code]:[5 cm2 cell test code]],[1]!Table1[[Test code]:[Test code]],[1]!Table1[3-E ƞ at 20mAcm-2 (mV)],"",0)</f>
        <v>#REF!</v>
      </c>
      <c r="Z1198" s="69" t="e" cm="1">
        <f t="array" ref="Z1198">_xlfn.XLOOKUP(Table1[[#This Row],[5 cm2 cell test code]:[5 cm2 cell test code]],[1]!Table1[[Test code]:[Test code]],[1]!Table1[3-E Tafel slope (mV/dec)],"",0)</f>
        <v>#REF!</v>
      </c>
      <c r="AA1198" s="69" t="e" cm="1">
        <f t="array" ref="AA1198">_xlfn.XLOOKUP(Table1[[#This Row],[5 cm2 cell test code]:[5 cm2 cell test code]],[1]!Table1[[Test code]:[Test code]],[1]!Table1[E @ 100 mA/cm2 DIW/V],"",0)</f>
        <v>#REF!</v>
      </c>
      <c r="AB1198" s="69" t="e" cm="1">
        <f t="array" ref="AB1198">_xlfn.XLOOKUP(Table1[[#This Row],[5 cm2 cell test code]:[5 cm2 cell test code]],[1]!Table1[[Test code]:[Test code]],[1]!Table1[E @ 100 mA/cm2 10 mM KOH/V],"",0)</f>
        <v>#REF!</v>
      </c>
      <c r="AC1198" s="69" t="e" cm="1">
        <f t="array" ref="AC1198">_xlfn.XLOOKUP(Table1[[#This Row],[5 cm2 cell test code]:[5 cm2 cell test code]],[1]!Table1[[Test code]:[Test code]],[1]!Table1[Anode ICR/mOhm],"",0)</f>
        <v>#REF!</v>
      </c>
      <c r="AD1198" s="69" t="e" cm="1">
        <f t="array" ref="AD1198">_xlfn.XLOOKUP(Table1[[#This Row],[5 cm2 cell test code]:[5 cm2 cell test code]],[1]!Table1[[Test code]:[Test code]],[1]!Table1[HFR DIW/ mOhm cm2],"",0)</f>
        <v>#REF!</v>
      </c>
      <c r="AE1198" s="69" t="e" cm="1">
        <f t="array" ref="AE1198">_xlfn.XLOOKUP(Table1[[#This Row],[5 cm2 cell test code]:[5 cm2 cell test code]],[1]!Table1[[Test code]:[Test code]],[1]!Table1[HFR 10 mM KOH/ mOhm cm2],"",0)</f>
        <v>#REF!</v>
      </c>
      <c r="AF1198" s="69" t="e" cm="1">
        <f t="array" ref="AF1198">_xlfn.XLOOKUP(Table1[[#This Row],[5 cm2 cell test code]:[5 cm2 cell test code]],[1]!Table1[[Test code]:[Test code]],[1]!Table1[Ionic resistance DIW/Ohm cm2],"",0)</f>
        <v>#REF!</v>
      </c>
      <c r="AG1198" s="69" t="e" cm="1">
        <f t="array" ref="AG1198">_xlfn.XLOOKUP(Table1[[#This Row],[5 cm2 cell test code]:[5 cm2 cell test code]],[1]!Table1[[Test code]:[Test code]],[1]!Table1[Q_int_frac DIW],"",0)</f>
        <v>#REF!</v>
      </c>
      <c r="AH1198" s="69" t="e" cm="1">
        <f t="array" ref="AH1198">_xlfn.XLOOKUP(Table1[[#This Row],[5 cm2 cell test code]:[5 cm2 cell test code]],[1]!Table1[[Test code]:[Test code]],[1]!Table1[Ionic resistance 10 mM KOH/Ohm cm2],"",0)</f>
        <v>#REF!</v>
      </c>
      <c r="AI1198" s="69" t="e" cm="1">
        <f t="array" ref="AI1198">_xlfn.XLOOKUP(Table1[[#This Row],[5 cm2 cell test code]:[5 cm2 cell test code]],[1]!Table1[[Test code]:[Test code]],[1]!Table1[Q_int_frac DIW 10 mM KOH],"",0)</f>
        <v>#REF!</v>
      </c>
      <c r="AJ1198" s="69" t="e" cm="1">
        <f t="array" ref="AJ1198">_xlfn.XLOOKUP(Table1[[#This Row],[5 cm2 cell test code]:[5 cm2 cell test code]],[1]!Table1[[Test code]:[Test code]],[1]!Table1[DIW conductivity (µS/cm)],"",0)</f>
        <v>#REF!</v>
      </c>
    </row>
    <row r="1199" spans="1:36">
      <c r="A1199" s="81"/>
      <c r="U1199" s="101"/>
      <c r="V1199" s="101"/>
      <c r="W1199" s="69" t="e" cm="1">
        <f t="array" ref="W1199">_xlfn.XLOOKUP(Table1[[#This Row],[5 cm2 cell test code]:[5 cm2 cell test code]],[1]!Table1[[Test code]:[Test code]],[1]!Table1[i @ 1.8 V DIW (A/cm2)],"",0)</f>
        <v>#REF!</v>
      </c>
      <c r="X1199" s="69" t="e" cm="1">
        <f t="array" ref="X1199">_xlfn.XLOOKUP(Table1[[#This Row],[5 cm2 cell test code]:[5 cm2 cell test code]],[1]!Table1[[Test code]:[Test code]],[1]!Table1[i @ 1.8 V 10 mM KOH (A/cm2)],"",0)</f>
        <v>#REF!</v>
      </c>
      <c r="Y1199" s="69" t="e" cm="1">
        <f t="array" ref="Y1199">_xlfn.XLOOKUP(Table1[[#This Row],[5 cm2 cell test code]:[5 cm2 cell test code]],[1]!Table1[[Test code]:[Test code]],[1]!Table1[3-E ƞ at 20mAcm-2 (mV)],"",0)</f>
        <v>#REF!</v>
      </c>
      <c r="Z1199" s="69" t="e" cm="1">
        <f t="array" ref="Z1199">_xlfn.XLOOKUP(Table1[[#This Row],[5 cm2 cell test code]:[5 cm2 cell test code]],[1]!Table1[[Test code]:[Test code]],[1]!Table1[3-E Tafel slope (mV/dec)],"",0)</f>
        <v>#REF!</v>
      </c>
      <c r="AA1199" s="69" t="e" cm="1">
        <f t="array" ref="AA1199">_xlfn.XLOOKUP(Table1[[#This Row],[5 cm2 cell test code]:[5 cm2 cell test code]],[1]!Table1[[Test code]:[Test code]],[1]!Table1[E @ 100 mA/cm2 DIW/V],"",0)</f>
        <v>#REF!</v>
      </c>
      <c r="AB1199" s="69" t="e" cm="1">
        <f t="array" ref="AB1199">_xlfn.XLOOKUP(Table1[[#This Row],[5 cm2 cell test code]:[5 cm2 cell test code]],[1]!Table1[[Test code]:[Test code]],[1]!Table1[E @ 100 mA/cm2 10 mM KOH/V],"",0)</f>
        <v>#REF!</v>
      </c>
      <c r="AC1199" s="69" t="e" cm="1">
        <f t="array" ref="AC1199">_xlfn.XLOOKUP(Table1[[#This Row],[5 cm2 cell test code]:[5 cm2 cell test code]],[1]!Table1[[Test code]:[Test code]],[1]!Table1[Anode ICR/mOhm],"",0)</f>
        <v>#REF!</v>
      </c>
      <c r="AD1199" s="69" t="e" cm="1">
        <f t="array" ref="AD1199">_xlfn.XLOOKUP(Table1[[#This Row],[5 cm2 cell test code]:[5 cm2 cell test code]],[1]!Table1[[Test code]:[Test code]],[1]!Table1[HFR DIW/ mOhm cm2],"",0)</f>
        <v>#REF!</v>
      </c>
      <c r="AE1199" s="69" t="e" cm="1">
        <f t="array" ref="AE1199">_xlfn.XLOOKUP(Table1[[#This Row],[5 cm2 cell test code]:[5 cm2 cell test code]],[1]!Table1[[Test code]:[Test code]],[1]!Table1[HFR 10 mM KOH/ mOhm cm2],"",0)</f>
        <v>#REF!</v>
      </c>
      <c r="AF1199" s="69" t="e" cm="1">
        <f t="array" ref="AF1199">_xlfn.XLOOKUP(Table1[[#This Row],[5 cm2 cell test code]:[5 cm2 cell test code]],[1]!Table1[[Test code]:[Test code]],[1]!Table1[Ionic resistance DIW/Ohm cm2],"",0)</f>
        <v>#REF!</v>
      </c>
      <c r="AG1199" s="69" t="e" cm="1">
        <f t="array" ref="AG1199">_xlfn.XLOOKUP(Table1[[#This Row],[5 cm2 cell test code]:[5 cm2 cell test code]],[1]!Table1[[Test code]:[Test code]],[1]!Table1[Q_int_frac DIW],"",0)</f>
        <v>#REF!</v>
      </c>
      <c r="AH1199" s="69" t="e" cm="1">
        <f t="array" ref="AH1199">_xlfn.XLOOKUP(Table1[[#This Row],[5 cm2 cell test code]:[5 cm2 cell test code]],[1]!Table1[[Test code]:[Test code]],[1]!Table1[Ionic resistance 10 mM KOH/Ohm cm2],"",0)</f>
        <v>#REF!</v>
      </c>
      <c r="AI1199" s="69" t="e" cm="1">
        <f t="array" ref="AI1199">_xlfn.XLOOKUP(Table1[[#This Row],[5 cm2 cell test code]:[5 cm2 cell test code]],[1]!Table1[[Test code]:[Test code]],[1]!Table1[Q_int_frac DIW 10 mM KOH],"",0)</f>
        <v>#REF!</v>
      </c>
      <c r="AJ1199" s="69" t="e" cm="1">
        <f t="array" ref="AJ1199">_xlfn.XLOOKUP(Table1[[#This Row],[5 cm2 cell test code]:[5 cm2 cell test code]],[1]!Table1[[Test code]:[Test code]],[1]!Table1[DIW conductivity (µS/cm)],"",0)</f>
        <v>#REF!</v>
      </c>
    </row>
    <row r="1200" spans="1:36">
      <c r="A1200" s="81"/>
      <c r="U1200" s="101"/>
      <c r="V1200" s="101"/>
      <c r="W1200" s="69" t="e" cm="1">
        <f t="array" ref="W1200">_xlfn.XLOOKUP(Table1[[#This Row],[5 cm2 cell test code]:[5 cm2 cell test code]],[1]!Table1[[Test code]:[Test code]],[1]!Table1[i @ 1.8 V DIW (A/cm2)],"",0)</f>
        <v>#REF!</v>
      </c>
      <c r="X1200" s="69" t="e" cm="1">
        <f t="array" ref="X1200">_xlfn.XLOOKUP(Table1[[#This Row],[5 cm2 cell test code]:[5 cm2 cell test code]],[1]!Table1[[Test code]:[Test code]],[1]!Table1[i @ 1.8 V 10 mM KOH (A/cm2)],"",0)</f>
        <v>#REF!</v>
      </c>
      <c r="Y1200" s="69" t="e" cm="1">
        <f t="array" ref="Y1200">_xlfn.XLOOKUP(Table1[[#This Row],[5 cm2 cell test code]:[5 cm2 cell test code]],[1]!Table1[[Test code]:[Test code]],[1]!Table1[3-E ƞ at 20mAcm-2 (mV)],"",0)</f>
        <v>#REF!</v>
      </c>
      <c r="Z1200" s="69" t="e" cm="1">
        <f t="array" ref="Z1200">_xlfn.XLOOKUP(Table1[[#This Row],[5 cm2 cell test code]:[5 cm2 cell test code]],[1]!Table1[[Test code]:[Test code]],[1]!Table1[3-E Tafel slope (mV/dec)],"",0)</f>
        <v>#REF!</v>
      </c>
      <c r="AA1200" s="69" t="e" cm="1">
        <f t="array" ref="AA1200">_xlfn.XLOOKUP(Table1[[#This Row],[5 cm2 cell test code]:[5 cm2 cell test code]],[1]!Table1[[Test code]:[Test code]],[1]!Table1[E @ 100 mA/cm2 DIW/V],"",0)</f>
        <v>#REF!</v>
      </c>
      <c r="AB1200" s="69" t="e" cm="1">
        <f t="array" ref="AB1200">_xlfn.XLOOKUP(Table1[[#This Row],[5 cm2 cell test code]:[5 cm2 cell test code]],[1]!Table1[[Test code]:[Test code]],[1]!Table1[E @ 100 mA/cm2 10 mM KOH/V],"",0)</f>
        <v>#REF!</v>
      </c>
      <c r="AC1200" s="69" t="e" cm="1">
        <f t="array" ref="AC1200">_xlfn.XLOOKUP(Table1[[#This Row],[5 cm2 cell test code]:[5 cm2 cell test code]],[1]!Table1[[Test code]:[Test code]],[1]!Table1[Anode ICR/mOhm],"",0)</f>
        <v>#REF!</v>
      </c>
      <c r="AD1200" s="69" t="e" cm="1">
        <f t="array" ref="AD1200">_xlfn.XLOOKUP(Table1[[#This Row],[5 cm2 cell test code]:[5 cm2 cell test code]],[1]!Table1[[Test code]:[Test code]],[1]!Table1[HFR DIW/ mOhm cm2],"",0)</f>
        <v>#REF!</v>
      </c>
      <c r="AE1200" s="69" t="e" cm="1">
        <f t="array" ref="AE1200">_xlfn.XLOOKUP(Table1[[#This Row],[5 cm2 cell test code]:[5 cm2 cell test code]],[1]!Table1[[Test code]:[Test code]],[1]!Table1[HFR 10 mM KOH/ mOhm cm2],"",0)</f>
        <v>#REF!</v>
      </c>
      <c r="AF1200" s="69" t="e" cm="1">
        <f t="array" ref="AF1200">_xlfn.XLOOKUP(Table1[[#This Row],[5 cm2 cell test code]:[5 cm2 cell test code]],[1]!Table1[[Test code]:[Test code]],[1]!Table1[Ionic resistance DIW/Ohm cm2],"",0)</f>
        <v>#REF!</v>
      </c>
      <c r="AG1200" s="69" t="e" cm="1">
        <f t="array" ref="AG1200">_xlfn.XLOOKUP(Table1[[#This Row],[5 cm2 cell test code]:[5 cm2 cell test code]],[1]!Table1[[Test code]:[Test code]],[1]!Table1[Q_int_frac DIW],"",0)</f>
        <v>#REF!</v>
      </c>
      <c r="AH1200" s="69" t="e" cm="1">
        <f t="array" ref="AH1200">_xlfn.XLOOKUP(Table1[[#This Row],[5 cm2 cell test code]:[5 cm2 cell test code]],[1]!Table1[[Test code]:[Test code]],[1]!Table1[Ionic resistance 10 mM KOH/Ohm cm2],"",0)</f>
        <v>#REF!</v>
      </c>
      <c r="AI1200" s="69" t="e" cm="1">
        <f t="array" ref="AI1200">_xlfn.XLOOKUP(Table1[[#This Row],[5 cm2 cell test code]:[5 cm2 cell test code]],[1]!Table1[[Test code]:[Test code]],[1]!Table1[Q_int_frac DIW 10 mM KOH],"",0)</f>
        <v>#REF!</v>
      </c>
      <c r="AJ1200" s="69" t="e" cm="1">
        <f t="array" ref="AJ1200">_xlfn.XLOOKUP(Table1[[#This Row],[5 cm2 cell test code]:[5 cm2 cell test code]],[1]!Table1[[Test code]:[Test code]],[1]!Table1[DIW conductivity (µS/cm)],"",0)</f>
        <v>#REF!</v>
      </c>
    </row>
    <row r="1201" spans="1:36">
      <c r="A1201" s="81"/>
      <c r="U1201" s="101"/>
      <c r="V1201" s="101"/>
      <c r="W1201" s="69" t="e" cm="1">
        <f t="array" ref="W1201">_xlfn.XLOOKUP(Table1[[#This Row],[5 cm2 cell test code]:[5 cm2 cell test code]],[1]!Table1[[Test code]:[Test code]],[1]!Table1[i @ 1.8 V DIW (A/cm2)],"",0)</f>
        <v>#REF!</v>
      </c>
      <c r="X1201" s="69" t="e" cm="1">
        <f t="array" ref="X1201">_xlfn.XLOOKUP(Table1[[#This Row],[5 cm2 cell test code]:[5 cm2 cell test code]],[1]!Table1[[Test code]:[Test code]],[1]!Table1[i @ 1.8 V 10 mM KOH (A/cm2)],"",0)</f>
        <v>#REF!</v>
      </c>
      <c r="Y1201" s="69" t="e" cm="1">
        <f t="array" ref="Y1201">_xlfn.XLOOKUP(Table1[[#This Row],[5 cm2 cell test code]:[5 cm2 cell test code]],[1]!Table1[[Test code]:[Test code]],[1]!Table1[3-E ƞ at 20mAcm-2 (mV)],"",0)</f>
        <v>#REF!</v>
      </c>
      <c r="Z1201" s="69" t="e" cm="1">
        <f t="array" ref="Z1201">_xlfn.XLOOKUP(Table1[[#This Row],[5 cm2 cell test code]:[5 cm2 cell test code]],[1]!Table1[[Test code]:[Test code]],[1]!Table1[3-E Tafel slope (mV/dec)],"",0)</f>
        <v>#REF!</v>
      </c>
      <c r="AA1201" s="69" t="e" cm="1">
        <f t="array" ref="AA1201">_xlfn.XLOOKUP(Table1[[#This Row],[5 cm2 cell test code]:[5 cm2 cell test code]],[1]!Table1[[Test code]:[Test code]],[1]!Table1[E @ 100 mA/cm2 DIW/V],"",0)</f>
        <v>#REF!</v>
      </c>
      <c r="AB1201" s="69" t="e" cm="1">
        <f t="array" ref="AB1201">_xlfn.XLOOKUP(Table1[[#This Row],[5 cm2 cell test code]:[5 cm2 cell test code]],[1]!Table1[[Test code]:[Test code]],[1]!Table1[E @ 100 mA/cm2 10 mM KOH/V],"",0)</f>
        <v>#REF!</v>
      </c>
      <c r="AC1201" s="69" t="e" cm="1">
        <f t="array" ref="AC1201">_xlfn.XLOOKUP(Table1[[#This Row],[5 cm2 cell test code]:[5 cm2 cell test code]],[1]!Table1[[Test code]:[Test code]],[1]!Table1[Anode ICR/mOhm],"",0)</f>
        <v>#REF!</v>
      </c>
      <c r="AD1201" s="69" t="e" cm="1">
        <f t="array" ref="AD1201">_xlfn.XLOOKUP(Table1[[#This Row],[5 cm2 cell test code]:[5 cm2 cell test code]],[1]!Table1[[Test code]:[Test code]],[1]!Table1[HFR DIW/ mOhm cm2],"",0)</f>
        <v>#REF!</v>
      </c>
      <c r="AE1201" s="69" t="e" cm="1">
        <f t="array" ref="AE1201">_xlfn.XLOOKUP(Table1[[#This Row],[5 cm2 cell test code]:[5 cm2 cell test code]],[1]!Table1[[Test code]:[Test code]],[1]!Table1[HFR 10 mM KOH/ mOhm cm2],"",0)</f>
        <v>#REF!</v>
      </c>
      <c r="AF1201" s="69" t="e" cm="1">
        <f t="array" ref="AF1201">_xlfn.XLOOKUP(Table1[[#This Row],[5 cm2 cell test code]:[5 cm2 cell test code]],[1]!Table1[[Test code]:[Test code]],[1]!Table1[Ionic resistance DIW/Ohm cm2],"",0)</f>
        <v>#REF!</v>
      </c>
      <c r="AG1201" s="69" t="e" cm="1">
        <f t="array" ref="AG1201">_xlfn.XLOOKUP(Table1[[#This Row],[5 cm2 cell test code]:[5 cm2 cell test code]],[1]!Table1[[Test code]:[Test code]],[1]!Table1[Q_int_frac DIW],"",0)</f>
        <v>#REF!</v>
      </c>
      <c r="AH1201" s="69" t="e" cm="1">
        <f t="array" ref="AH1201">_xlfn.XLOOKUP(Table1[[#This Row],[5 cm2 cell test code]:[5 cm2 cell test code]],[1]!Table1[[Test code]:[Test code]],[1]!Table1[Ionic resistance 10 mM KOH/Ohm cm2],"",0)</f>
        <v>#REF!</v>
      </c>
      <c r="AI1201" s="69" t="e" cm="1">
        <f t="array" ref="AI1201">_xlfn.XLOOKUP(Table1[[#This Row],[5 cm2 cell test code]:[5 cm2 cell test code]],[1]!Table1[[Test code]:[Test code]],[1]!Table1[Q_int_frac DIW 10 mM KOH],"",0)</f>
        <v>#REF!</v>
      </c>
      <c r="AJ1201" s="69" t="e" cm="1">
        <f t="array" ref="AJ1201">_xlfn.XLOOKUP(Table1[[#This Row],[5 cm2 cell test code]:[5 cm2 cell test code]],[1]!Table1[[Test code]:[Test code]],[1]!Table1[DIW conductivity (µS/cm)],"",0)</f>
        <v>#REF!</v>
      </c>
    </row>
    <row r="1202" spans="1:36">
      <c r="A1202" s="81"/>
      <c r="U1202" s="101"/>
      <c r="V1202" s="101"/>
      <c r="W1202" s="69" t="e" cm="1">
        <f t="array" ref="W1202">_xlfn.XLOOKUP(Table1[[#This Row],[5 cm2 cell test code]:[5 cm2 cell test code]],[1]!Table1[[Test code]:[Test code]],[1]!Table1[i @ 1.8 V DIW (A/cm2)],"",0)</f>
        <v>#REF!</v>
      </c>
      <c r="X1202" s="69" t="e" cm="1">
        <f t="array" ref="X1202">_xlfn.XLOOKUP(Table1[[#This Row],[5 cm2 cell test code]:[5 cm2 cell test code]],[1]!Table1[[Test code]:[Test code]],[1]!Table1[i @ 1.8 V 10 mM KOH (A/cm2)],"",0)</f>
        <v>#REF!</v>
      </c>
      <c r="Y1202" s="69" t="e" cm="1">
        <f t="array" ref="Y1202">_xlfn.XLOOKUP(Table1[[#This Row],[5 cm2 cell test code]:[5 cm2 cell test code]],[1]!Table1[[Test code]:[Test code]],[1]!Table1[3-E ƞ at 20mAcm-2 (mV)],"",0)</f>
        <v>#REF!</v>
      </c>
      <c r="Z1202" s="69" t="e" cm="1">
        <f t="array" ref="Z1202">_xlfn.XLOOKUP(Table1[[#This Row],[5 cm2 cell test code]:[5 cm2 cell test code]],[1]!Table1[[Test code]:[Test code]],[1]!Table1[3-E Tafel slope (mV/dec)],"",0)</f>
        <v>#REF!</v>
      </c>
      <c r="AA1202" s="69" t="e" cm="1">
        <f t="array" ref="AA1202">_xlfn.XLOOKUP(Table1[[#This Row],[5 cm2 cell test code]:[5 cm2 cell test code]],[1]!Table1[[Test code]:[Test code]],[1]!Table1[E @ 100 mA/cm2 DIW/V],"",0)</f>
        <v>#REF!</v>
      </c>
      <c r="AB1202" s="69" t="e" cm="1">
        <f t="array" ref="AB1202">_xlfn.XLOOKUP(Table1[[#This Row],[5 cm2 cell test code]:[5 cm2 cell test code]],[1]!Table1[[Test code]:[Test code]],[1]!Table1[E @ 100 mA/cm2 10 mM KOH/V],"",0)</f>
        <v>#REF!</v>
      </c>
      <c r="AC1202" s="69" t="e" cm="1">
        <f t="array" ref="AC1202">_xlfn.XLOOKUP(Table1[[#This Row],[5 cm2 cell test code]:[5 cm2 cell test code]],[1]!Table1[[Test code]:[Test code]],[1]!Table1[Anode ICR/mOhm],"",0)</f>
        <v>#REF!</v>
      </c>
      <c r="AD1202" s="69" t="e" cm="1">
        <f t="array" ref="AD1202">_xlfn.XLOOKUP(Table1[[#This Row],[5 cm2 cell test code]:[5 cm2 cell test code]],[1]!Table1[[Test code]:[Test code]],[1]!Table1[HFR DIW/ mOhm cm2],"",0)</f>
        <v>#REF!</v>
      </c>
      <c r="AE1202" s="69" t="e" cm="1">
        <f t="array" ref="AE1202">_xlfn.XLOOKUP(Table1[[#This Row],[5 cm2 cell test code]:[5 cm2 cell test code]],[1]!Table1[[Test code]:[Test code]],[1]!Table1[HFR 10 mM KOH/ mOhm cm2],"",0)</f>
        <v>#REF!</v>
      </c>
      <c r="AF1202" s="69" t="e" cm="1">
        <f t="array" ref="AF1202">_xlfn.XLOOKUP(Table1[[#This Row],[5 cm2 cell test code]:[5 cm2 cell test code]],[1]!Table1[[Test code]:[Test code]],[1]!Table1[Ionic resistance DIW/Ohm cm2],"",0)</f>
        <v>#REF!</v>
      </c>
      <c r="AG1202" s="69" t="e" cm="1">
        <f t="array" ref="AG1202">_xlfn.XLOOKUP(Table1[[#This Row],[5 cm2 cell test code]:[5 cm2 cell test code]],[1]!Table1[[Test code]:[Test code]],[1]!Table1[Q_int_frac DIW],"",0)</f>
        <v>#REF!</v>
      </c>
      <c r="AH1202" s="69" t="e" cm="1">
        <f t="array" ref="AH1202">_xlfn.XLOOKUP(Table1[[#This Row],[5 cm2 cell test code]:[5 cm2 cell test code]],[1]!Table1[[Test code]:[Test code]],[1]!Table1[Ionic resistance 10 mM KOH/Ohm cm2],"",0)</f>
        <v>#REF!</v>
      </c>
      <c r="AI1202" s="69" t="e" cm="1">
        <f t="array" ref="AI1202">_xlfn.XLOOKUP(Table1[[#This Row],[5 cm2 cell test code]:[5 cm2 cell test code]],[1]!Table1[[Test code]:[Test code]],[1]!Table1[Q_int_frac DIW 10 mM KOH],"",0)</f>
        <v>#REF!</v>
      </c>
      <c r="AJ1202" s="69" t="e" cm="1">
        <f t="array" ref="AJ1202">_xlfn.XLOOKUP(Table1[[#This Row],[5 cm2 cell test code]:[5 cm2 cell test code]],[1]!Table1[[Test code]:[Test code]],[1]!Table1[DIW conductivity (µS/cm)],"",0)</f>
        <v>#REF!</v>
      </c>
    </row>
    <row r="1203" spans="1:36">
      <c r="A1203" s="81"/>
      <c r="U1203" s="101"/>
      <c r="V1203" s="101"/>
      <c r="W1203" s="69" t="e" cm="1">
        <f t="array" ref="W1203">_xlfn.XLOOKUP(Table1[[#This Row],[5 cm2 cell test code]:[5 cm2 cell test code]],[1]!Table1[[Test code]:[Test code]],[1]!Table1[i @ 1.8 V DIW (A/cm2)],"",0)</f>
        <v>#REF!</v>
      </c>
      <c r="X1203" s="69" t="e" cm="1">
        <f t="array" ref="X1203">_xlfn.XLOOKUP(Table1[[#This Row],[5 cm2 cell test code]:[5 cm2 cell test code]],[1]!Table1[[Test code]:[Test code]],[1]!Table1[i @ 1.8 V 10 mM KOH (A/cm2)],"",0)</f>
        <v>#REF!</v>
      </c>
      <c r="Y1203" s="69" t="e" cm="1">
        <f t="array" ref="Y1203">_xlfn.XLOOKUP(Table1[[#This Row],[5 cm2 cell test code]:[5 cm2 cell test code]],[1]!Table1[[Test code]:[Test code]],[1]!Table1[3-E ƞ at 20mAcm-2 (mV)],"",0)</f>
        <v>#REF!</v>
      </c>
      <c r="Z1203" s="69" t="e" cm="1">
        <f t="array" ref="Z1203">_xlfn.XLOOKUP(Table1[[#This Row],[5 cm2 cell test code]:[5 cm2 cell test code]],[1]!Table1[[Test code]:[Test code]],[1]!Table1[3-E Tafel slope (mV/dec)],"",0)</f>
        <v>#REF!</v>
      </c>
      <c r="AA1203" s="69" t="e" cm="1">
        <f t="array" ref="AA1203">_xlfn.XLOOKUP(Table1[[#This Row],[5 cm2 cell test code]:[5 cm2 cell test code]],[1]!Table1[[Test code]:[Test code]],[1]!Table1[E @ 100 mA/cm2 DIW/V],"",0)</f>
        <v>#REF!</v>
      </c>
      <c r="AB1203" s="69" t="e" cm="1">
        <f t="array" ref="AB1203">_xlfn.XLOOKUP(Table1[[#This Row],[5 cm2 cell test code]:[5 cm2 cell test code]],[1]!Table1[[Test code]:[Test code]],[1]!Table1[E @ 100 mA/cm2 10 mM KOH/V],"",0)</f>
        <v>#REF!</v>
      </c>
      <c r="AC1203" s="69" t="e" cm="1">
        <f t="array" ref="AC1203">_xlfn.XLOOKUP(Table1[[#This Row],[5 cm2 cell test code]:[5 cm2 cell test code]],[1]!Table1[[Test code]:[Test code]],[1]!Table1[Anode ICR/mOhm],"",0)</f>
        <v>#REF!</v>
      </c>
      <c r="AD1203" s="69" t="e" cm="1">
        <f t="array" ref="AD1203">_xlfn.XLOOKUP(Table1[[#This Row],[5 cm2 cell test code]:[5 cm2 cell test code]],[1]!Table1[[Test code]:[Test code]],[1]!Table1[HFR DIW/ mOhm cm2],"",0)</f>
        <v>#REF!</v>
      </c>
      <c r="AE1203" s="69" t="e" cm="1">
        <f t="array" ref="AE1203">_xlfn.XLOOKUP(Table1[[#This Row],[5 cm2 cell test code]:[5 cm2 cell test code]],[1]!Table1[[Test code]:[Test code]],[1]!Table1[HFR 10 mM KOH/ mOhm cm2],"",0)</f>
        <v>#REF!</v>
      </c>
      <c r="AF1203" s="69" t="e" cm="1">
        <f t="array" ref="AF1203">_xlfn.XLOOKUP(Table1[[#This Row],[5 cm2 cell test code]:[5 cm2 cell test code]],[1]!Table1[[Test code]:[Test code]],[1]!Table1[Ionic resistance DIW/Ohm cm2],"",0)</f>
        <v>#REF!</v>
      </c>
      <c r="AG1203" s="69" t="e" cm="1">
        <f t="array" ref="AG1203">_xlfn.XLOOKUP(Table1[[#This Row],[5 cm2 cell test code]:[5 cm2 cell test code]],[1]!Table1[[Test code]:[Test code]],[1]!Table1[Q_int_frac DIW],"",0)</f>
        <v>#REF!</v>
      </c>
      <c r="AH1203" s="69" t="e" cm="1">
        <f t="array" ref="AH1203">_xlfn.XLOOKUP(Table1[[#This Row],[5 cm2 cell test code]:[5 cm2 cell test code]],[1]!Table1[[Test code]:[Test code]],[1]!Table1[Ionic resistance 10 mM KOH/Ohm cm2],"",0)</f>
        <v>#REF!</v>
      </c>
      <c r="AI1203" s="69" t="e" cm="1">
        <f t="array" ref="AI1203">_xlfn.XLOOKUP(Table1[[#This Row],[5 cm2 cell test code]:[5 cm2 cell test code]],[1]!Table1[[Test code]:[Test code]],[1]!Table1[Q_int_frac DIW 10 mM KOH],"",0)</f>
        <v>#REF!</v>
      </c>
      <c r="AJ1203" s="69" t="e" cm="1">
        <f t="array" ref="AJ1203">_xlfn.XLOOKUP(Table1[[#This Row],[5 cm2 cell test code]:[5 cm2 cell test code]],[1]!Table1[[Test code]:[Test code]],[1]!Table1[DIW conductivity (µS/cm)],"",0)</f>
        <v>#REF!</v>
      </c>
    </row>
    <row r="1204" spans="1:36">
      <c r="A1204" s="81"/>
      <c r="U1204" s="101"/>
      <c r="V1204" s="101"/>
      <c r="W1204" s="69" t="e" cm="1">
        <f t="array" ref="W1204">_xlfn.XLOOKUP(Table1[[#This Row],[5 cm2 cell test code]:[5 cm2 cell test code]],[1]!Table1[[Test code]:[Test code]],[1]!Table1[i @ 1.8 V DIW (A/cm2)],"",0)</f>
        <v>#REF!</v>
      </c>
      <c r="X1204" s="69" t="e" cm="1">
        <f t="array" ref="X1204">_xlfn.XLOOKUP(Table1[[#This Row],[5 cm2 cell test code]:[5 cm2 cell test code]],[1]!Table1[[Test code]:[Test code]],[1]!Table1[i @ 1.8 V 10 mM KOH (A/cm2)],"",0)</f>
        <v>#REF!</v>
      </c>
      <c r="Y1204" s="69" t="e" cm="1">
        <f t="array" ref="Y1204">_xlfn.XLOOKUP(Table1[[#This Row],[5 cm2 cell test code]:[5 cm2 cell test code]],[1]!Table1[[Test code]:[Test code]],[1]!Table1[3-E ƞ at 20mAcm-2 (mV)],"",0)</f>
        <v>#REF!</v>
      </c>
      <c r="Z1204" s="69" t="e" cm="1">
        <f t="array" ref="Z1204">_xlfn.XLOOKUP(Table1[[#This Row],[5 cm2 cell test code]:[5 cm2 cell test code]],[1]!Table1[[Test code]:[Test code]],[1]!Table1[3-E Tafel slope (mV/dec)],"",0)</f>
        <v>#REF!</v>
      </c>
      <c r="AA1204" s="69" t="e" cm="1">
        <f t="array" ref="AA1204">_xlfn.XLOOKUP(Table1[[#This Row],[5 cm2 cell test code]:[5 cm2 cell test code]],[1]!Table1[[Test code]:[Test code]],[1]!Table1[E @ 100 mA/cm2 DIW/V],"",0)</f>
        <v>#REF!</v>
      </c>
      <c r="AB1204" s="69" t="e" cm="1">
        <f t="array" ref="AB1204">_xlfn.XLOOKUP(Table1[[#This Row],[5 cm2 cell test code]:[5 cm2 cell test code]],[1]!Table1[[Test code]:[Test code]],[1]!Table1[E @ 100 mA/cm2 10 mM KOH/V],"",0)</f>
        <v>#REF!</v>
      </c>
      <c r="AC1204" s="69" t="e" cm="1">
        <f t="array" ref="AC1204">_xlfn.XLOOKUP(Table1[[#This Row],[5 cm2 cell test code]:[5 cm2 cell test code]],[1]!Table1[[Test code]:[Test code]],[1]!Table1[Anode ICR/mOhm],"",0)</f>
        <v>#REF!</v>
      </c>
      <c r="AD1204" s="69" t="e" cm="1">
        <f t="array" ref="AD1204">_xlfn.XLOOKUP(Table1[[#This Row],[5 cm2 cell test code]:[5 cm2 cell test code]],[1]!Table1[[Test code]:[Test code]],[1]!Table1[HFR DIW/ mOhm cm2],"",0)</f>
        <v>#REF!</v>
      </c>
      <c r="AE1204" s="69" t="e" cm="1">
        <f t="array" ref="AE1204">_xlfn.XLOOKUP(Table1[[#This Row],[5 cm2 cell test code]:[5 cm2 cell test code]],[1]!Table1[[Test code]:[Test code]],[1]!Table1[HFR 10 mM KOH/ mOhm cm2],"",0)</f>
        <v>#REF!</v>
      </c>
      <c r="AF1204" s="69" t="e" cm="1">
        <f t="array" ref="AF1204">_xlfn.XLOOKUP(Table1[[#This Row],[5 cm2 cell test code]:[5 cm2 cell test code]],[1]!Table1[[Test code]:[Test code]],[1]!Table1[Ionic resistance DIW/Ohm cm2],"",0)</f>
        <v>#REF!</v>
      </c>
      <c r="AG1204" s="69" t="e" cm="1">
        <f t="array" ref="AG1204">_xlfn.XLOOKUP(Table1[[#This Row],[5 cm2 cell test code]:[5 cm2 cell test code]],[1]!Table1[[Test code]:[Test code]],[1]!Table1[Q_int_frac DIW],"",0)</f>
        <v>#REF!</v>
      </c>
      <c r="AH1204" s="69" t="e" cm="1">
        <f t="array" ref="AH1204">_xlfn.XLOOKUP(Table1[[#This Row],[5 cm2 cell test code]:[5 cm2 cell test code]],[1]!Table1[[Test code]:[Test code]],[1]!Table1[Ionic resistance 10 mM KOH/Ohm cm2],"",0)</f>
        <v>#REF!</v>
      </c>
      <c r="AI1204" s="69" t="e" cm="1">
        <f t="array" ref="AI1204">_xlfn.XLOOKUP(Table1[[#This Row],[5 cm2 cell test code]:[5 cm2 cell test code]],[1]!Table1[[Test code]:[Test code]],[1]!Table1[Q_int_frac DIW 10 mM KOH],"",0)</f>
        <v>#REF!</v>
      </c>
      <c r="AJ1204" s="69" t="e" cm="1">
        <f t="array" ref="AJ1204">_xlfn.XLOOKUP(Table1[[#This Row],[5 cm2 cell test code]:[5 cm2 cell test code]],[1]!Table1[[Test code]:[Test code]],[1]!Table1[DIW conductivity (µS/cm)],"",0)</f>
        <v>#REF!</v>
      </c>
    </row>
    <row r="1205" spans="1:36">
      <c r="A1205" s="81"/>
      <c r="U1205" s="101"/>
      <c r="V1205" s="101"/>
      <c r="W1205" s="69" t="e" cm="1">
        <f t="array" ref="W1205">_xlfn.XLOOKUP(Table1[[#This Row],[5 cm2 cell test code]:[5 cm2 cell test code]],[1]!Table1[[Test code]:[Test code]],[1]!Table1[i @ 1.8 V DIW (A/cm2)],"",0)</f>
        <v>#REF!</v>
      </c>
      <c r="X1205" s="69" t="e" cm="1">
        <f t="array" ref="X1205">_xlfn.XLOOKUP(Table1[[#This Row],[5 cm2 cell test code]:[5 cm2 cell test code]],[1]!Table1[[Test code]:[Test code]],[1]!Table1[i @ 1.8 V 10 mM KOH (A/cm2)],"",0)</f>
        <v>#REF!</v>
      </c>
      <c r="Y1205" s="69" t="e" cm="1">
        <f t="array" ref="Y1205">_xlfn.XLOOKUP(Table1[[#This Row],[5 cm2 cell test code]:[5 cm2 cell test code]],[1]!Table1[[Test code]:[Test code]],[1]!Table1[3-E ƞ at 20mAcm-2 (mV)],"",0)</f>
        <v>#REF!</v>
      </c>
      <c r="Z1205" s="69" t="e" cm="1">
        <f t="array" ref="Z1205">_xlfn.XLOOKUP(Table1[[#This Row],[5 cm2 cell test code]:[5 cm2 cell test code]],[1]!Table1[[Test code]:[Test code]],[1]!Table1[3-E Tafel slope (mV/dec)],"",0)</f>
        <v>#REF!</v>
      </c>
      <c r="AA1205" s="69" t="e" cm="1">
        <f t="array" ref="AA1205">_xlfn.XLOOKUP(Table1[[#This Row],[5 cm2 cell test code]:[5 cm2 cell test code]],[1]!Table1[[Test code]:[Test code]],[1]!Table1[E @ 100 mA/cm2 DIW/V],"",0)</f>
        <v>#REF!</v>
      </c>
      <c r="AB1205" s="69" t="e" cm="1">
        <f t="array" ref="AB1205">_xlfn.XLOOKUP(Table1[[#This Row],[5 cm2 cell test code]:[5 cm2 cell test code]],[1]!Table1[[Test code]:[Test code]],[1]!Table1[E @ 100 mA/cm2 10 mM KOH/V],"",0)</f>
        <v>#REF!</v>
      </c>
      <c r="AC1205" s="69" t="e" cm="1">
        <f t="array" ref="AC1205">_xlfn.XLOOKUP(Table1[[#This Row],[5 cm2 cell test code]:[5 cm2 cell test code]],[1]!Table1[[Test code]:[Test code]],[1]!Table1[Anode ICR/mOhm],"",0)</f>
        <v>#REF!</v>
      </c>
      <c r="AD1205" s="69" t="e" cm="1">
        <f t="array" ref="AD1205">_xlfn.XLOOKUP(Table1[[#This Row],[5 cm2 cell test code]:[5 cm2 cell test code]],[1]!Table1[[Test code]:[Test code]],[1]!Table1[HFR DIW/ mOhm cm2],"",0)</f>
        <v>#REF!</v>
      </c>
      <c r="AE1205" s="69" t="e" cm="1">
        <f t="array" ref="AE1205">_xlfn.XLOOKUP(Table1[[#This Row],[5 cm2 cell test code]:[5 cm2 cell test code]],[1]!Table1[[Test code]:[Test code]],[1]!Table1[HFR 10 mM KOH/ mOhm cm2],"",0)</f>
        <v>#REF!</v>
      </c>
      <c r="AF1205" s="69" t="e" cm="1">
        <f t="array" ref="AF1205">_xlfn.XLOOKUP(Table1[[#This Row],[5 cm2 cell test code]:[5 cm2 cell test code]],[1]!Table1[[Test code]:[Test code]],[1]!Table1[Ionic resistance DIW/Ohm cm2],"",0)</f>
        <v>#REF!</v>
      </c>
      <c r="AG1205" s="69" t="e" cm="1">
        <f t="array" ref="AG1205">_xlfn.XLOOKUP(Table1[[#This Row],[5 cm2 cell test code]:[5 cm2 cell test code]],[1]!Table1[[Test code]:[Test code]],[1]!Table1[Q_int_frac DIW],"",0)</f>
        <v>#REF!</v>
      </c>
      <c r="AH1205" s="69" t="e" cm="1">
        <f t="array" ref="AH1205">_xlfn.XLOOKUP(Table1[[#This Row],[5 cm2 cell test code]:[5 cm2 cell test code]],[1]!Table1[[Test code]:[Test code]],[1]!Table1[Ionic resistance 10 mM KOH/Ohm cm2],"",0)</f>
        <v>#REF!</v>
      </c>
      <c r="AI1205" s="69" t="e" cm="1">
        <f t="array" ref="AI1205">_xlfn.XLOOKUP(Table1[[#This Row],[5 cm2 cell test code]:[5 cm2 cell test code]],[1]!Table1[[Test code]:[Test code]],[1]!Table1[Q_int_frac DIW 10 mM KOH],"",0)</f>
        <v>#REF!</v>
      </c>
      <c r="AJ1205" s="69" t="e" cm="1">
        <f t="array" ref="AJ1205">_xlfn.XLOOKUP(Table1[[#This Row],[5 cm2 cell test code]:[5 cm2 cell test code]],[1]!Table1[[Test code]:[Test code]],[1]!Table1[DIW conductivity (µS/cm)],"",0)</f>
        <v>#REF!</v>
      </c>
    </row>
    <row r="1206" spans="1:36">
      <c r="A1206" s="81"/>
      <c r="U1206" s="101"/>
      <c r="V1206" s="101"/>
      <c r="W1206" s="69" t="e" cm="1">
        <f t="array" ref="W1206">_xlfn.XLOOKUP(Table1[[#This Row],[5 cm2 cell test code]:[5 cm2 cell test code]],[1]!Table1[[Test code]:[Test code]],[1]!Table1[i @ 1.8 V DIW (A/cm2)],"",0)</f>
        <v>#REF!</v>
      </c>
      <c r="X1206" s="69" t="e" cm="1">
        <f t="array" ref="X1206">_xlfn.XLOOKUP(Table1[[#This Row],[5 cm2 cell test code]:[5 cm2 cell test code]],[1]!Table1[[Test code]:[Test code]],[1]!Table1[i @ 1.8 V 10 mM KOH (A/cm2)],"",0)</f>
        <v>#REF!</v>
      </c>
      <c r="Y1206" s="69" t="e" cm="1">
        <f t="array" ref="Y1206">_xlfn.XLOOKUP(Table1[[#This Row],[5 cm2 cell test code]:[5 cm2 cell test code]],[1]!Table1[[Test code]:[Test code]],[1]!Table1[3-E ƞ at 20mAcm-2 (mV)],"",0)</f>
        <v>#REF!</v>
      </c>
      <c r="Z1206" s="69" t="e" cm="1">
        <f t="array" ref="Z1206">_xlfn.XLOOKUP(Table1[[#This Row],[5 cm2 cell test code]:[5 cm2 cell test code]],[1]!Table1[[Test code]:[Test code]],[1]!Table1[3-E Tafel slope (mV/dec)],"",0)</f>
        <v>#REF!</v>
      </c>
      <c r="AA1206" s="69" t="e" cm="1">
        <f t="array" ref="AA1206">_xlfn.XLOOKUP(Table1[[#This Row],[5 cm2 cell test code]:[5 cm2 cell test code]],[1]!Table1[[Test code]:[Test code]],[1]!Table1[E @ 100 mA/cm2 DIW/V],"",0)</f>
        <v>#REF!</v>
      </c>
      <c r="AB1206" s="69" t="e" cm="1">
        <f t="array" ref="AB1206">_xlfn.XLOOKUP(Table1[[#This Row],[5 cm2 cell test code]:[5 cm2 cell test code]],[1]!Table1[[Test code]:[Test code]],[1]!Table1[E @ 100 mA/cm2 10 mM KOH/V],"",0)</f>
        <v>#REF!</v>
      </c>
      <c r="AC1206" s="69" t="e" cm="1">
        <f t="array" ref="AC1206">_xlfn.XLOOKUP(Table1[[#This Row],[5 cm2 cell test code]:[5 cm2 cell test code]],[1]!Table1[[Test code]:[Test code]],[1]!Table1[Anode ICR/mOhm],"",0)</f>
        <v>#REF!</v>
      </c>
      <c r="AD1206" s="69" t="e" cm="1">
        <f t="array" ref="AD1206">_xlfn.XLOOKUP(Table1[[#This Row],[5 cm2 cell test code]:[5 cm2 cell test code]],[1]!Table1[[Test code]:[Test code]],[1]!Table1[HFR DIW/ mOhm cm2],"",0)</f>
        <v>#REF!</v>
      </c>
      <c r="AE1206" s="69" t="e" cm="1">
        <f t="array" ref="AE1206">_xlfn.XLOOKUP(Table1[[#This Row],[5 cm2 cell test code]:[5 cm2 cell test code]],[1]!Table1[[Test code]:[Test code]],[1]!Table1[HFR 10 mM KOH/ mOhm cm2],"",0)</f>
        <v>#REF!</v>
      </c>
      <c r="AF1206" s="69" t="e" cm="1">
        <f t="array" ref="AF1206">_xlfn.XLOOKUP(Table1[[#This Row],[5 cm2 cell test code]:[5 cm2 cell test code]],[1]!Table1[[Test code]:[Test code]],[1]!Table1[Ionic resistance DIW/Ohm cm2],"",0)</f>
        <v>#REF!</v>
      </c>
      <c r="AG1206" s="69" t="e" cm="1">
        <f t="array" ref="AG1206">_xlfn.XLOOKUP(Table1[[#This Row],[5 cm2 cell test code]:[5 cm2 cell test code]],[1]!Table1[[Test code]:[Test code]],[1]!Table1[Q_int_frac DIW],"",0)</f>
        <v>#REF!</v>
      </c>
      <c r="AH1206" s="69" t="e" cm="1">
        <f t="array" ref="AH1206">_xlfn.XLOOKUP(Table1[[#This Row],[5 cm2 cell test code]:[5 cm2 cell test code]],[1]!Table1[[Test code]:[Test code]],[1]!Table1[Ionic resistance 10 mM KOH/Ohm cm2],"",0)</f>
        <v>#REF!</v>
      </c>
      <c r="AI1206" s="69" t="e" cm="1">
        <f t="array" ref="AI1206">_xlfn.XLOOKUP(Table1[[#This Row],[5 cm2 cell test code]:[5 cm2 cell test code]],[1]!Table1[[Test code]:[Test code]],[1]!Table1[Q_int_frac DIW 10 mM KOH],"",0)</f>
        <v>#REF!</v>
      </c>
      <c r="AJ1206" s="69" t="e" cm="1">
        <f t="array" ref="AJ1206">_xlfn.XLOOKUP(Table1[[#This Row],[5 cm2 cell test code]:[5 cm2 cell test code]],[1]!Table1[[Test code]:[Test code]],[1]!Table1[DIW conductivity (µS/cm)],"",0)</f>
        <v>#REF!</v>
      </c>
    </row>
    <row r="1207" spans="1:36">
      <c r="A1207" s="81"/>
      <c r="U1207" s="101"/>
      <c r="V1207" s="101"/>
      <c r="W1207" s="69" t="e" cm="1">
        <f t="array" ref="W1207">_xlfn.XLOOKUP(Table1[[#This Row],[5 cm2 cell test code]:[5 cm2 cell test code]],[1]!Table1[[Test code]:[Test code]],[1]!Table1[i @ 1.8 V DIW (A/cm2)],"",0)</f>
        <v>#REF!</v>
      </c>
      <c r="X1207" s="69" t="e" cm="1">
        <f t="array" ref="X1207">_xlfn.XLOOKUP(Table1[[#This Row],[5 cm2 cell test code]:[5 cm2 cell test code]],[1]!Table1[[Test code]:[Test code]],[1]!Table1[i @ 1.8 V 10 mM KOH (A/cm2)],"",0)</f>
        <v>#REF!</v>
      </c>
      <c r="Y1207" s="69" t="e" cm="1">
        <f t="array" ref="Y1207">_xlfn.XLOOKUP(Table1[[#This Row],[5 cm2 cell test code]:[5 cm2 cell test code]],[1]!Table1[[Test code]:[Test code]],[1]!Table1[3-E ƞ at 20mAcm-2 (mV)],"",0)</f>
        <v>#REF!</v>
      </c>
      <c r="Z1207" s="69" t="e" cm="1">
        <f t="array" ref="Z1207">_xlfn.XLOOKUP(Table1[[#This Row],[5 cm2 cell test code]:[5 cm2 cell test code]],[1]!Table1[[Test code]:[Test code]],[1]!Table1[3-E Tafel slope (mV/dec)],"",0)</f>
        <v>#REF!</v>
      </c>
      <c r="AA1207" s="69" t="e" cm="1">
        <f t="array" ref="AA1207">_xlfn.XLOOKUP(Table1[[#This Row],[5 cm2 cell test code]:[5 cm2 cell test code]],[1]!Table1[[Test code]:[Test code]],[1]!Table1[E @ 100 mA/cm2 DIW/V],"",0)</f>
        <v>#REF!</v>
      </c>
      <c r="AB1207" s="69" t="e" cm="1">
        <f t="array" ref="AB1207">_xlfn.XLOOKUP(Table1[[#This Row],[5 cm2 cell test code]:[5 cm2 cell test code]],[1]!Table1[[Test code]:[Test code]],[1]!Table1[E @ 100 mA/cm2 10 mM KOH/V],"",0)</f>
        <v>#REF!</v>
      </c>
      <c r="AC1207" s="69" t="e" cm="1">
        <f t="array" ref="AC1207">_xlfn.XLOOKUP(Table1[[#This Row],[5 cm2 cell test code]:[5 cm2 cell test code]],[1]!Table1[[Test code]:[Test code]],[1]!Table1[Anode ICR/mOhm],"",0)</f>
        <v>#REF!</v>
      </c>
      <c r="AD1207" s="69" t="e" cm="1">
        <f t="array" ref="AD1207">_xlfn.XLOOKUP(Table1[[#This Row],[5 cm2 cell test code]:[5 cm2 cell test code]],[1]!Table1[[Test code]:[Test code]],[1]!Table1[HFR DIW/ mOhm cm2],"",0)</f>
        <v>#REF!</v>
      </c>
      <c r="AE1207" s="69" t="e" cm="1">
        <f t="array" ref="AE1207">_xlfn.XLOOKUP(Table1[[#This Row],[5 cm2 cell test code]:[5 cm2 cell test code]],[1]!Table1[[Test code]:[Test code]],[1]!Table1[HFR 10 mM KOH/ mOhm cm2],"",0)</f>
        <v>#REF!</v>
      </c>
      <c r="AF1207" s="69" t="e" cm="1">
        <f t="array" ref="AF1207">_xlfn.XLOOKUP(Table1[[#This Row],[5 cm2 cell test code]:[5 cm2 cell test code]],[1]!Table1[[Test code]:[Test code]],[1]!Table1[Ionic resistance DIW/Ohm cm2],"",0)</f>
        <v>#REF!</v>
      </c>
      <c r="AG1207" s="69" t="e" cm="1">
        <f t="array" ref="AG1207">_xlfn.XLOOKUP(Table1[[#This Row],[5 cm2 cell test code]:[5 cm2 cell test code]],[1]!Table1[[Test code]:[Test code]],[1]!Table1[Q_int_frac DIW],"",0)</f>
        <v>#REF!</v>
      </c>
      <c r="AH1207" s="69" t="e" cm="1">
        <f t="array" ref="AH1207">_xlfn.XLOOKUP(Table1[[#This Row],[5 cm2 cell test code]:[5 cm2 cell test code]],[1]!Table1[[Test code]:[Test code]],[1]!Table1[Ionic resistance 10 mM KOH/Ohm cm2],"",0)</f>
        <v>#REF!</v>
      </c>
      <c r="AI1207" s="69" t="e" cm="1">
        <f t="array" ref="AI1207">_xlfn.XLOOKUP(Table1[[#This Row],[5 cm2 cell test code]:[5 cm2 cell test code]],[1]!Table1[[Test code]:[Test code]],[1]!Table1[Q_int_frac DIW 10 mM KOH],"",0)</f>
        <v>#REF!</v>
      </c>
      <c r="AJ1207" s="69" t="e" cm="1">
        <f t="array" ref="AJ1207">_xlfn.XLOOKUP(Table1[[#This Row],[5 cm2 cell test code]:[5 cm2 cell test code]],[1]!Table1[[Test code]:[Test code]],[1]!Table1[DIW conductivity (µS/cm)],"",0)</f>
        <v>#REF!</v>
      </c>
    </row>
    <row r="1208" spans="1:36">
      <c r="A1208" s="81"/>
      <c r="U1208" s="101"/>
      <c r="V1208" s="101"/>
      <c r="W1208" s="69" t="e" cm="1">
        <f t="array" ref="W1208">_xlfn.XLOOKUP(Table1[[#This Row],[5 cm2 cell test code]:[5 cm2 cell test code]],[1]!Table1[[Test code]:[Test code]],[1]!Table1[i @ 1.8 V DIW (A/cm2)],"",0)</f>
        <v>#REF!</v>
      </c>
      <c r="X1208" s="69" t="e" cm="1">
        <f t="array" ref="X1208">_xlfn.XLOOKUP(Table1[[#This Row],[5 cm2 cell test code]:[5 cm2 cell test code]],[1]!Table1[[Test code]:[Test code]],[1]!Table1[i @ 1.8 V 10 mM KOH (A/cm2)],"",0)</f>
        <v>#REF!</v>
      </c>
      <c r="Y1208" s="69" t="e" cm="1">
        <f t="array" ref="Y1208">_xlfn.XLOOKUP(Table1[[#This Row],[5 cm2 cell test code]:[5 cm2 cell test code]],[1]!Table1[[Test code]:[Test code]],[1]!Table1[3-E ƞ at 20mAcm-2 (mV)],"",0)</f>
        <v>#REF!</v>
      </c>
      <c r="Z1208" s="69" t="e" cm="1">
        <f t="array" ref="Z1208">_xlfn.XLOOKUP(Table1[[#This Row],[5 cm2 cell test code]:[5 cm2 cell test code]],[1]!Table1[[Test code]:[Test code]],[1]!Table1[3-E Tafel slope (mV/dec)],"",0)</f>
        <v>#REF!</v>
      </c>
      <c r="AA1208" s="69" t="e" cm="1">
        <f t="array" ref="AA1208">_xlfn.XLOOKUP(Table1[[#This Row],[5 cm2 cell test code]:[5 cm2 cell test code]],[1]!Table1[[Test code]:[Test code]],[1]!Table1[E @ 100 mA/cm2 DIW/V],"",0)</f>
        <v>#REF!</v>
      </c>
      <c r="AB1208" s="69" t="e" cm="1">
        <f t="array" ref="AB1208">_xlfn.XLOOKUP(Table1[[#This Row],[5 cm2 cell test code]:[5 cm2 cell test code]],[1]!Table1[[Test code]:[Test code]],[1]!Table1[E @ 100 mA/cm2 10 mM KOH/V],"",0)</f>
        <v>#REF!</v>
      </c>
      <c r="AC1208" s="69" t="e" cm="1">
        <f t="array" ref="AC1208">_xlfn.XLOOKUP(Table1[[#This Row],[5 cm2 cell test code]:[5 cm2 cell test code]],[1]!Table1[[Test code]:[Test code]],[1]!Table1[Anode ICR/mOhm],"",0)</f>
        <v>#REF!</v>
      </c>
      <c r="AD1208" s="69" t="e" cm="1">
        <f t="array" ref="AD1208">_xlfn.XLOOKUP(Table1[[#This Row],[5 cm2 cell test code]:[5 cm2 cell test code]],[1]!Table1[[Test code]:[Test code]],[1]!Table1[HFR DIW/ mOhm cm2],"",0)</f>
        <v>#REF!</v>
      </c>
      <c r="AE1208" s="69" t="e" cm="1">
        <f t="array" ref="AE1208">_xlfn.XLOOKUP(Table1[[#This Row],[5 cm2 cell test code]:[5 cm2 cell test code]],[1]!Table1[[Test code]:[Test code]],[1]!Table1[HFR 10 mM KOH/ mOhm cm2],"",0)</f>
        <v>#REF!</v>
      </c>
      <c r="AF1208" s="69" t="e" cm="1">
        <f t="array" ref="AF1208">_xlfn.XLOOKUP(Table1[[#This Row],[5 cm2 cell test code]:[5 cm2 cell test code]],[1]!Table1[[Test code]:[Test code]],[1]!Table1[Ionic resistance DIW/Ohm cm2],"",0)</f>
        <v>#REF!</v>
      </c>
      <c r="AG1208" s="69" t="e" cm="1">
        <f t="array" ref="AG1208">_xlfn.XLOOKUP(Table1[[#This Row],[5 cm2 cell test code]:[5 cm2 cell test code]],[1]!Table1[[Test code]:[Test code]],[1]!Table1[Q_int_frac DIW],"",0)</f>
        <v>#REF!</v>
      </c>
      <c r="AH1208" s="69" t="e" cm="1">
        <f t="array" ref="AH1208">_xlfn.XLOOKUP(Table1[[#This Row],[5 cm2 cell test code]:[5 cm2 cell test code]],[1]!Table1[[Test code]:[Test code]],[1]!Table1[Ionic resistance 10 mM KOH/Ohm cm2],"",0)</f>
        <v>#REF!</v>
      </c>
      <c r="AI1208" s="69" t="e" cm="1">
        <f t="array" ref="AI1208">_xlfn.XLOOKUP(Table1[[#This Row],[5 cm2 cell test code]:[5 cm2 cell test code]],[1]!Table1[[Test code]:[Test code]],[1]!Table1[Q_int_frac DIW 10 mM KOH],"",0)</f>
        <v>#REF!</v>
      </c>
      <c r="AJ1208" s="69" t="e" cm="1">
        <f t="array" ref="AJ1208">_xlfn.XLOOKUP(Table1[[#This Row],[5 cm2 cell test code]:[5 cm2 cell test code]],[1]!Table1[[Test code]:[Test code]],[1]!Table1[DIW conductivity (µS/cm)],"",0)</f>
        <v>#REF!</v>
      </c>
    </row>
    <row r="1209" spans="1:36">
      <c r="A1209" s="81"/>
      <c r="U1209" s="101"/>
      <c r="V1209" s="101"/>
      <c r="W1209" s="69" t="e" cm="1">
        <f t="array" ref="W1209">_xlfn.XLOOKUP(Table1[[#This Row],[5 cm2 cell test code]:[5 cm2 cell test code]],[1]!Table1[[Test code]:[Test code]],[1]!Table1[i @ 1.8 V DIW (A/cm2)],"",0)</f>
        <v>#REF!</v>
      </c>
      <c r="X1209" s="69" t="e" cm="1">
        <f t="array" ref="X1209">_xlfn.XLOOKUP(Table1[[#This Row],[5 cm2 cell test code]:[5 cm2 cell test code]],[1]!Table1[[Test code]:[Test code]],[1]!Table1[i @ 1.8 V 10 mM KOH (A/cm2)],"",0)</f>
        <v>#REF!</v>
      </c>
      <c r="Y1209" s="69" t="e" cm="1">
        <f t="array" ref="Y1209">_xlfn.XLOOKUP(Table1[[#This Row],[5 cm2 cell test code]:[5 cm2 cell test code]],[1]!Table1[[Test code]:[Test code]],[1]!Table1[3-E ƞ at 20mAcm-2 (mV)],"",0)</f>
        <v>#REF!</v>
      </c>
      <c r="Z1209" s="69" t="e" cm="1">
        <f t="array" ref="Z1209">_xlfn.XLOOKUP(Table1[[#This Row],[5 cm2 cell test code]:[5 cm2 cell test code]],[1]!Table1[[Test code]:[Test code]],[1]!Table1[3-E Tafel slope (mV/dec)],"",0)</f>
        <v>#REF!</v>
      </c>
      <c r="AA1209" s="69" t="e" cm="1">
        <f t="array" ref="AA1209">_xlfn.XLOOKUP(Table1[[#This Row],[5 cm2 cell test code]:[5 cm2 cell test code]],[1]!Table1[[Test code]:[Test code]],[1]!Table1[E @ 100 mA/cm2 DIW/V],"",0)</f>
        <v>#REF!</v>
      </c>
      <c r="AB1209" s="69" t="e" cm="1">
        <f t="array" ref="AB1209">_xlfn.XLOOKUP(Table1[[#This Row],[5 cm2 cell test code]:[5 cm2 cell test code]],[1]!Table1[[Test code]:[Test code]],[1]!Table1[E @ 100 mA/cm2 10 mM KOH/V],"",0)</f>
        <v>#REF!</v>
      </c>
      <c r="AC1209" s="69" t="e" cm="1">
        <f t="array" ref="AC1209">_xlfn.XLOOKUP(Table1[[#This Row],[5 cm2 cell test code]:[5 cm2 cell test code]],[1]!Table1[[Test code]:[Test code]],[1]!Table1[Anode ICR/mOhm],"",0)</f>
        <v>#REF!</v>
      </c>
      <c r="AD1209" s="69" t="e" cm="1">
        <f t="array" ref="AD1209">_xlfn.XLOOKUP(Table1[[#This Row],[5 cm2 cell test code]:[5 cm2 cell test code]],[1]!Table1[[Test code]:[Test code]],[1]!Table1[HFR DIW/ mOhm cm2],"",0)</f>
        <v>#REF!</v>
      </c>
      <c r="AE1209" s="69" t="e" cm="1">
        <f t="array" ref="AE1209">_xlfn.XLOOKUP(Table1[[#This Row],[5 cm2 cell test code]:[5 cm2 cell test code]],[1]!Table1[[Test code]:[Test code]],[1]!Table1[HFR 10 mM KOH/ mOhm cm2],"",0)</f>
        <v>#REF!</v>
      </c>
      <c r="AF1209" s="69" t="e" cm="1">
        <f t="array" ref="AF1209">_xlfn.XLOOKUP(Table1[[#This Row],[5 cm2 cell test code]:[5 cm2 cell test code]],[1]!Table1[[Test code]:[Test code]],[1]!Table1[Ionic resistance DIW/Ohm cm2],"",0)</f>
        <v>#REF!</v>
      </c>
      <c r="AG1209" s="69" t="e" cm="1">
        <f t="array" ref="AG1209">_xlfn.XLOOKUP(Table1[[#This Row],[5 cm2 cell test code]:[5 cm2 cell test code]],[1]!Table1[[Test code]:[Test code]],[1]!Table1[Q_int_frac DIW],"",0)</f>
        <v>#REF!</v>
      </c>
      <c r="AH1209" s="69" t="e" cm="1">
        <f t="array" ref="AH1209">_xlfn.XLOOKUP(Table1[[#This Row],[5 cm2 cell test code]:[5 cm2 cell test code]],[1]!Table1[[Test code]:[Test code]],[1]!Table1[Ionic resistance 10 mM KOH/Ohm cm2],"",0)</f>
        <v>#REF!</v>
      </c>
      <c r="AI1209" s="69" t="e" cm="1">
        <f t="array" ref="AI1209">_xlfn.XLOOKUP(Table1[[#This Row],[5 cm2 cell test code]:[5 cm2 cell test code]],[1]!Table1[[Test code]:[Test code]],[1]!Table1[Q_int_frac DIW 10 mM KOH],"",0)</f>
        <v>#REF!</v>
      </c>
      <c r="AJ1209" s="69" t="e" cm="1">
        <f t="array" ref="AJ1209">_xlfn.XLOOKUP(Table1[[#This Row],[5 cm2 cell test code]:[5 cm2 cell test code]],[1]!Table1[[Test code]:[Test code]],[1]!Table1[DIW conductivity (µS/cm)],"",0)</f>
        <v>#REF!</v>
      </c>
    </row>
    <row r="1210" spans="1:36">
      <c r="A1210" s="81"/>
      <c r="U1210" s="101"/>
      <c r="V1210" s="101"/>
      <c r="W1210" s="69" t="e" cm="1">
        <f t="array" ref="W1210">_xlfn.XLOOKUP(Table1[[#This Row],[5 cm2 cell test code]:[5 cm2 cell test code]],[1]!Table1[[Test code]:[Test code]],[1]!Table1[i @ 1.8 V DIW (A/cm2)],"",0)</f>
        <v>#REF!</v>
      </c>
      <c r="X1210" s="69" t="e" cm="1">
        <f t="array" ref="X1210">_xlfn.XLOOKUP(Table1[[#This Row],[5 cm2 cell test code]:[5 cm2 cell test code]],[1]!Table1[[Test code]:[Test code]],[1]!Table1[i @ 1.8 V 10 mM KOH (A/cm2)],"",0)</f>
        <v>#REF!</v>
      </c>
      <c r="Y1210" s="69" t="e" cm="1">
        <f t="array" ref="Y1210">_xlfn.XLOOKUP(Table1[[#This Row],[5 cm2 cell test code]:[5 cm2 cell test code]],[1]!Table1[[Test code]:[Test code]],[1]!Table1[3-E ƞ at 20mAcm-2 (mV)],"",0)</f>
        <v>#REF!</v>
      </c>
      <c r="Z1210" s="69" t="e" cm="1">
        <f t="array" ref="Z1210">_xlfn.XLOOKUP(Table1[[#This Row],[5 cm2 cell test code]:[5 cm2 cell test code]],[1]!Table1[[Test code]:[Test code]],[1]!Table1[3-E Tafel slope (mV/dec)],"",0)</f>
        <v>#REF!</v>
      </c>
      <c r="AA1210" s="69" t="e" cm="1">
        <f t="array" ref="AA1210">_xlfn.XLOOKUP(Table1[[#This Row],[5 cm2 cell test code]:[5 cm2 cell test code]],[1]!Table1[[Test code]:[Test code]],[1]!Table1[E @ 100 mA/cm2 DIW/V],"",0)</f>
        <v>#REF!</v>
      </c>
      <c r="AB1210" s="69" t="e" cm="1">
        <f t="array" ref="AB1210">_xlfn.XLOOKUP(Table1[[#This Row],[5 cm2 cell test code]:[5 cm2 cell test code]],[1]!Table1[[Test code]:[Test code]],[1]!Table1[E @ 100 mA/cm2 10 mM KOH/V],"",0)</f>
        <v>#REF!</v>
      </c>
      <c r="AC1210" s="69" t="e" cm="1">
        <f t="array" ref="AC1210">_xlfn.XLOOKUP(Table1[[#This Row],[5 cm2 cell test code]:[5 cm2 cell test code]],[1]!Table1[[Test code]:[Test code]],[1]!Table1[Anode ICR/mOhm],"",0)</f>
        <v>#REF!</v>
      </c>
      <c r="AD1210" s="69" t="e" cm="1">
        <f t="array" ref="AD1210">_xlfn.XLOOKUP(Table1[[#This Row],[5 cm2 cell test code]:[5 cm2 cell test code]],[1]!Table1[[Test code]:[Test code]],[1]!Table1[HFR DIW/ mOhm cm2],"",0)</f>
        <v>#REF!</v>
      </c>
      <c r="AE1210" s="69" t="e" cm="1">
        <f t="array" ref="AE1210">_xlfn.XLOOKUP(Table1[[#This Row],[5 cm2 cell test code]:[5 cm2 cell test code]],[1]!Table1[[Test code]:[Test code]],[1]!Table1[HFR 10 mM KOH/ mOhm cm2],"",0)</f>
        <v>#REF!</v>
      </c>
      <c r="AF1210" s="69" t="e" cm="1">
        <f t="array" ref="AF1210">_xlfn.XLOOKUP(Table1[[#This Row],[5 cm2 cell test code]:[5 cm2 cell test code]],[1]!Table1[[Test code]:[Test code]],[1]!Table1[Ionic resistance DIW/Ohm cm2],"",0)</f>
        <v>#REF!</v>
      </c>
      <c r="AG1210" s="69" t="e" cm="1">
        <f t="array" ref="AG1210">_xlfn.XLOOKUP(Table1[[#This Row],[5 cm2 cell test code]:[5 cm2 cell test code]],[1]!Table1[[Test code]:[Test code]],[1]!Table1[Q_int_frac DIW],"",0)</f>
        <v>#REF!</v>
      </c>
      <c r="AH1210" s="69" t="e" cm="1">
        <f t="array" ref="AH1210">_xlfn.XLOOKUP(Table1[[#This Row],[5 cm2 cell test code]:[5 cm2 cell test code]],[1]!Table1[[Test code]:[Test code]],[1]!Table1[Ionic resistance 10 mM KOH/Ohm cm2],"",0)</f>
        <v>#REF!</v>
      </c>
      <c r="AI1210" s="69" t="e" cm="1">
        <f t="array" ref="AI1210">_xlfn.XLOOKUP(Table1[[#This Row],[5 cm2 cell test code]:[5 cm2 cell test code]],[1]!Table1[[Test code]:[Test code]],[1]!Table1[Q_int_frac DIW 10 mM KOH],"",0)</f>
        <v>#REF!</v>
      </c>
      <c r="AJ1210" s="69" t="e" cm="1">
        <f t="array" ref="AJ1210">_xlfn.XLOOKUP(Table1[[#This Row],[5 cm2 cell test code]:[5 cm2 cell test code]],[1]!Table1[[Test code]:[Test code]],[1]!Table1[DIW conductivity (µS/cm)],"",0)</f>
        <v>#REF!</v>
      </c>
    </row>
    <row r="1211" spans="1:36">
      <c r="A1211" s="81"/>
      <c r="U1211" s="101"/>
      <c r="V1211" s="101"/>
      <c r="W1211" s="69" t="e" cm="1">
        <f t="array" ref="W1211">_xlfn.XLOOKUP(Table1[[#This Row],[5 cm2 cell test code]:[5 cm2 cell test code]],[1]!Table1[[Test code]:[Test code]],[1]!Table1[i @ 1.8 V DIW (A/cm2)],"",0)</f>
        <v>#REF!</v>
      </c>
      <c r="X1211" s="69" t="e" cm="1">
        <f t="array" ref="X1211">_xlfn.XLOOKUP(Table1[[#This Row],[5 cm2 cell test code]:[5 cm2 cell test code]],[1]!Table1[[Test code]:[Test code]],[1]!Table1[i @ 1.8 V 10 mM KOH (A/cm2)],"",0)</f>
        <v>#REF!</v>
      </c>
      <c r="Y1211" s="69" t="e" cm="1">
        <f t="array" ref="Y1211">_xlfn.XLOOKUP(Table1[[#This Row],[5 cm2 cell test code]:[5 cm2 cell test code]],[1]!Table1[[Test code]:[Test code]],[1]!Table1[3-E ƞ at 20mAcm-2 (mV)],"",0)</f>
        <v>#REF!</v>
      </c>
      <c r="Z1211" s="69" t="e" cm="1">
        <f t="array" ref="Z1211">_xlfn.XLOOKUP(Table1[[#This Row],[5 cm2 cell test code]:[5 cm2 cell test code]],[1]!Table1[[Test code]:[Test code]],[1]!Table1[3-E Tafel slope (mV/dec)],"",0)</f>
        <v>#REF!</v>
      </c>
      <c r="AA1211" s="69" t="e" cm="1">
        <f t="array" ref="AA1211">_xlfn.XLOOKUP(Table1[[#This Row],[5 cm2 cell test code]:[5 cm2 cell test code]],[1]!Table1[[Test code]:[Test code]],[1]!Table1[E @ 100 mA/cm2 DIW/V],"",0)</f>
        <v>#REF!</v>
      </c>
      <c r="AB1211" s="69" t="e" cm="1">
        <f t="array" ref="AB1211">_xlfn.XLOOKUP(Table1[[#This Row],[5 cm2 cell test code]:[5 cm2 cell test code]],[1]!Table1[[Test code]:[Test code]],[1]!Table1[E @ 100 mA/cm2 10 mM KOH/V],"",0)</f>
        <v>#REF!</v>
      </c>
      <c r="AC1211" s="69" t="e" cm="1">
        <f t="array" ref="AC1211">_xlfn.XLOOKUP(Table1[[#This Row],[5 cm2 cell test code]:[5 cm2 cell test code]],[1]!Table1[[Test code]:[Test code]],[1]!Table1[Anode ICR/mOhm],"",0)</f>
        <v>#REF!</v>
      </c>
      <c r="AD1211" s="69" t="e" cm="1">
        <f t="array" ref="AD1211">_xlfn.XLOOKUP(Table1[[#This Row],[5 cm2 cell test code]:[5 cm2 cell test code]],[1]!Table1[[Test code]:[Test code]],[1]!Table1[HFR DIW/ mOhm cm2],"",0)</f>
        <v>#REF!</v>
      </c>
      <c r="AE1211" s="69" t="e" cm="1">
        <f t="array" ref="AE1211">_xlfn.XLOOKUP(Table1[[#This Row],[5 cm2 cell test code]:[5 cm2 cell test code]],[1]!Table1[[Test code]:[Test code]],[1]!Table1[HFR 10 mM KOH/ mOhm cm2],"",0)</f>
        <v>#REF!</v>
      </c>
      <c r="AF1211" s="69" t="e" cm="1">
        <f t="array" ref="AF1211">_xlfn.XLOOKUP(Table1[[#This Row],[5 cm2 cell test code]:[5 cm2 cell test code]],[1]!Table1[[Test code]:[Test code]],[1]!Table1[Ionic resistance DIW/Ohm cm2],"",0)</f>
        <v>#REF!</v>
      </c>
      <c r="AG1211" s="69" t="e" cm="1">
        <f t="array" ref="AG1211">_xlfn.XLOOKUP(Table1[[#This Row],[5 cm2 cell test code]:[5 cm2 cell test code]],[1]!Table1[[Test code]:[Test code]],[1]!Table1[Q_int_frac DIW],"",0)</f>
        <v>#REF!</v>
      </c>
      <c r="AH1211" s="69" t="e" cm="1">
        <f t="array" ref="AH1211">_xlfn.XLOOKUP(Table1[[#This Row],[5 cm2 cell test code]:[5 cm2 cell test code]],[1]!Table1[[Test code]:[Test code]],[1]!Table1[Ionic resistance 10 mM KOH/Ohm cm2],"",0)</f>
        <v>#REF!</v>
      </c>
      <c r="AI1211" s="69" t="e" cm="1">
        <f t="array" ref="AI1211">_xlfn.XLOOKUP(Table1[[#This Row],[5 cm2 cell test code]:[5 cm2 cell test code]],[1]!Table1[[Test code]:[Test code]],[1]!Table1[Q_int_frac DIW 10 mM KOH],"",0)</f>
        <v>#REF!</v>
      </c>
      <c r="AJ1211" s="69" t="e" cm="1">
        <f t="array" ref="AJ1211">_xlfn.XLOOKUP(Table1[[#This Row],[5 cm2 cell test code]:[5 cm2 cell test code]],[1]!Table1[[Test code]:[Test code]],[1]!Table1[DIW conductivity (µS/cm)],"",0)</f>
        <v>#REF!</v>
      </c>
    </row>
    <row r="1212" spans="1:36">
      <c r="A1212" s="81"/>
      <c r="U1212" s="101"/>
      <c r="V1212" s="101"/>
      <c r="W1212" s="69" t="e" cm="1">
        <f t="array" ref="W1212">_xlfn.XLOOKUP(Table1[[#This Row],[5 cm2 cell test code]:[5 cm2 cell test code]],[1]!Table1[[Test code]:[Test code]],[1]!Table1[i @ 1.8 V DIW (A/cm2)],"",0)</f>
        <v>#REF!</v>
      </c>
      <c r="X1212" s="69" t="e" cm="1">
        <f t="array" ref="X1212">_xlfn.XLOOKUP(Table1[[#This Row],[5 cm2 cell test code]:[5 cm2 cell test code]],[1]!Table1[[Test code]:[Test code]],[1]!Table1[i @ 1.8 V 10 mM KOH (A/cm2)],"",0)</f>
        <v>#REF!</v>
      </c>
      <c r="Y1212" s="69" t="e" cm="1">
        <f t="array" ref="Y1212">_xlfn.XLOOKUP(Table1[[#This Row],[5 cm2 cell test code]:[5 cm2 cell test code]],[1]!Table1[[Test code]:[Test code]],[1]!Table1[3-E ƞ at 20mAcm-2 (mV)],"",0)</f>
        <v>#REF!</v>
      </c>
      <c r="Z1212" s="69" t="e" cm="1">
        <f t="array" ref="Z1212">_xlfn.XLOOKUP(Table1[[#This Row],[5 cm2 cell test code]:[5 cm2 cell test code]],[1]!Table1[[Test code]:[Test code]],[1]!Table1[3-E Tafel slope (mV/dec)],"",0)</f>
        <v>#REF!</v>
      </c>
      <c r="AA1212" s="69" t="e" cm="1">
        <f t="array" ref="AA1212">_xlfn.XLOOKUP(Table1[[#This Row],[5 cm2 cell test code]:[5 cm2 cell test code]],[1]!Table1[[Test code]:[Test code]],[1]!Table1[E @ 100 mA/cm2 DIW/V],"",0)</f>
        <v>#REF!</v>
      </c>
      <c r="AB1212" s="69" t="e" cm="1">
        <f t="array" ref="AB1212">_xlfn.XLOOKUP(Table1[[#This Row],[5 cm2 cell test code]:[5 cm2 cell test code]],[1]!Table1[[Test code]:[Test code]],[1]!Table1[E @ 100 mA/cm2 10 mM KOH/V],"",0)</f>
        <v>#REF!</v>
      </c>
      <c r="AC1212" s="69" t="e" cm="1">
        <f t="array" ref="AC1212">_xlfn.XLOOKUP(Table1[[#This Row],[5 cm2 cell test code]:[5 cm2 cell test code]],[1]!Table1[[Test code]:[Test code]],[1]!Table1[Anode ICR/mOhm],"",0)</f>
        <v>#REF!</v>
      </c>
      <c r="AD1212" s="69" t="e" cm="1">
        <f t="array" ref="AD1212">_xlfn.XLOOKUP(Table1[[#This Row],[5 cm2 cell test code]:[5 cm2 cell test code]],[1]!Table1[[Test code]:[Test code]],[1]!Table1[HFR DIW/ mOhm cm2],"",0)</f>
        <v>#REF!</v>
      </c>
      <c r="AE1212" s="69" t="e" cm="1">
        <f t="array" ref="AE1212">_xlfn.XLOOKUP(Table1[[#This Row],[5 cm2 cell test code]:[5 cm2 cell test code]],[1]!Table1[[Test code]:[Test code]],[1]!Table1[HFR 10 mM KOH/ mOhm cm2],"",0)</f>
        <v>#REF!</v>
      </c>
      <c r="AF1212" s="69" t="e" cm="1">
        <f t="array" ref="AF1212">_xlfn.XLOOKUP(Table1[[#This Row],[5 cm2 cell test code]:[5 cm2 cell test code]],[1]!Table1[[Test code]:[Test code]],[1]!Table1[Ionic resistance DIW/Ohm cm2],"",0)</f>
        <v>#REF!</v>
      </c>
      <c r="AG1212" s="69" t="e" cm="1">
        <f t="array" ref="AG1212">_xlfn.XLOOKUP(Table1[[#This Row],[5 cm2 cell test code]:[5 cm2 cell test code]],[1]!Table1[[Test code]:[Test code]],[1]!Table1[Q_int_frac DIW],"",0)</f>
        <v>#REF!</v>
      </c>
      <c r="AH1212" s="69" t="e" cm="1">
        <f t="array" ref="AH1212">_xlfn.XLOOKUP(Table1[[#This Row],[5 cm2 cell test code]:[5 cm2 cell test code]],[1]!Table1[[Test code]:[Test code]],[1]!Table1[Ionic resistance 10 mM KOH/Ohm cm2],"",0)</f>
        <v>#REF!</v>
      </c>
      <c r="AI1212" s="69" t="e" cm="1">
        <f t="array" ref="AI1212">_xlfn.XLOOKUP(Table1[[#This Row],[5 cm2 cell test code]:[5 cm2 cell test code]],[1]!Table1[[Test code]:[Test code]],[1]!Table1[Q_int_frac DIW 10 mM KOH],"",0)</f>
        <v>#REF!</v>
      </c>
      <c r="AJ1212" s="69" t="e" cm="1">
        <f t="array" ref="AJ1212">_xlfn.XLOOKUP(Table1[[#This Row],[5 cm2 cell test code]:[5 cm2 cell test code]],[1]!Table1[[Test code]:[Test code]],[1]!Table1[DIW conductivity (µS/cm)],"",0)</f>
        <v>#REF!</v>
      </c>
    </row>
    <row r="1213" spans="1:36">
      <c r="A1213" s="81"/>
      <c r="U1213" s="101"/>
      <c r="V1213" s="101"/>
      <c r="W1213" s="69" t="e" cm="1">
        <f t="array" ref="W1213">_xlfn.XLOOKUP(Table1[[#This Row],[5 cm2 cell test code]:[5 cm2 cell test code]],[1]!Table1[[Test code]:[Test code]],[1]!Table1[i @ 1.8 V DIW (A/cm2)],"",0)</f>
        <v>#REF!</v>
      </c>
      <c r="X1213" s="69" t="e" cm="1">
        <f t="array" ref="X1213">_xlfn.XLOOKUP(Table1[[#This Row],[5 cm2 cell test code]:[5 cm2 cell test code]],[1]!Table1[[Test code]:[Test code]],[1]!Table1[i @ 1.8 V 10 mM KOH (A/cm2)],"",0)</f>
        <v>#REF!</v>
      </c>
      <c r="Y1213" s="69" t="e" cm="1">
        <f t="array" ref="Y1213">_xlfn.XLOOKUP(Table1[[#This Row],[5 cm2 cell test code]:[5 cm2 cell test code]],[1]!Table1[[Test code]:[Test code]],[1]!Table1[3-E ƞ at 20mAcm-2 (mV)],"",0)</f>
        <v>#REF!</v>
      </c>
      <c r="Z1213" s="69" t="e" cm="1">
        <f t="array" ref="Z1213">_xlfn.XLOOKUP(Table1[[#This Row],[5 cm2 cell test code]:[5 cm2 cell test code]],[1]!Table1[[Test code]:[Test code]],[1]!Table1[3-E Tafel slope (mV/dec)],"",0)</f>
        <v>#REF!</v>
      </c>
      <c r="AA1213" s="69" t="e" cm="1">
        <f t="array" ref="AA1213">_xlfn.XLOOKUP(Table1[[#This Row],[5 cm2 cell test code]:[5 cm2 cell test code]],[1]!Table1[[Test code]:[Test code]],[1]!Table1[E @ 100 mA/cm2 DIW/V],"",0)</f>
        <v>#REF!</v>
      </c>
      <c r="AB1213" s="69" t="e" cm="1">
        <f t="array" ref="AB1213">_xlfn.XLOOKUP(Table1[[#This Row],[5 cm2 cell test code]:[5 cm2 cell test code]],[1]!Table1[[Test code]:[Test code]],[1]!Table1[E @ 100 mA/cm2 10 mM KOH/V],"",0)</f>
        <v>#REF!</v>
      </c>
      <c r="AC1213" s="69" t="e" cm="1">
        <f t="array" ref="AC1213">_xlfn.XLOOKUP(Table1[[#This Row],[5 cm2 cell test code]:[5 cm2 cell test code]],[1]!Table1[[Test code]:[Test code]],[1]!Table1[Anode ICR/mOhm],"",0)</f>
        <v>#REF!</v>
      </c>
      <c r="AD1213" s="69" t="e" cm="1">
        <f t="array" ref="AD1213">_xlfn.XLOOKUP(Table1[[#This Row],[5 cm2 cell test code]:[5 cm2 cell test code]],[1]!Table1[[Test code]:[Test code]],[1]!Table1[HFR DIW/ mOhm cm2],"",0)</f>
        <v>#REF!</v>
      </c>
      <c r="AE1213" s="69" t="e" cm="1">
        <f t="array" ref="AE1213">_xlfn.XLOOKUP(Table1[[#This Row],[5 cm2 cell test code]:[5 cm2 cell test code]],[1]!Table1[[Test code]:[Test code]],[1]!Table1[HFR 10 mM KOH/ mOhm cm2],"",0)</f>
        <v>#REF!</v>
      </c>
      <c r="AF1213" s="69" t="e" cm="1">
        <f t="array" ref="AF1213">_xlfn.XLOOKUP(Table1[[#This Row],[5 cm2 cell test code]:[5 cm2 cell test code]],[1]!Table1[[Test code]:[Test code]],[1]!Table1[Ionic resistance DIW/Ohm cm2],"",0)</f>
        <v>#REF!</v>
      </c>
      <c r="AG1213" s="69" t="e" cm="1">
        <f t="array" ref="AG1213">_xlfn.XLOOKUP(Table1[[#This Row],[5 cm2 cell test code]:[5 cm2 cell test code]],[1]!Table1[[Test code]:[Test code]],[1]!Table1[Q_int_frac DIW],"",0)</f>
        <v>#REF!</v>
      </c>
      <c r="AH1213" s="69" t="e" cm="1">
        <f t="array" ref="AH1213">_xlfn.XLOOKUP(Table1[[#This Row],[5 cm2 cell test code]:[5 cm2 cell test code]],[1]!Table1[[Test code]:[Test code]],[1]!Table1[Ionic resistance 10 mM KOH/Ohm cm2],"",0)</f>
        <v>#REF!</v>
      </c>
      <c r="AI1213" s="69" t="e" cm="1">
        <f t="array" ref="AI1213">_xlfn.XLOOKUP(Table1[[#This Row],[5 cm2 cell test code]:[5 cm2 cell test code]],[1]!Table1[[Test code]:[Test code]],[1]!Table1[Q_int_frac DIW 10 mM KOH],"",0)</f>
        <v>#REF!</v>
      </c>
      <c r="AJ1213" s="69" t="e" cm="1">
        <f t="array" ref="AJ1213">_xlfn.XLOOKUP(Table1[[#This Row],[5 cm2 cell test code]:[5 cm2 cell test code]],[1]!Table1[[Test code]:[Test code]],[1]!Table1[DIW conductivity (µS/cm)],"",0)</f>
        <v>#REF!</v>
      </c>
    </row>
    <row r="1214" spans="1:36">
      <c r="A1214" s="81"/>
      <c r="U1214" s="101"/>
      <c r="V1214" s="101"/>
      <c r="W1214" s="69" t="e" cm="1">
        <f t="array" ref="W1214">_xlfn.XLOOKUP(Table1[[#This Row],[5 cm2 cell test code]:[5 cm2 cell test code]],[1]!Table1[[Test code]:[Test code]],[1]!Table1[i @ 1.8 V DIW (A/cm2)],"",0)</f>
        <v>#REF!</v>
      </c>
      <c r="X1214" s="69" t="e" cm="1">
        <f t="array" ref="X1214">_xlfn.XLOOKUP(Table1[[#This Row],[5 cm2 cell test code]:[5 cm2 cell test code]],[1]!Table1[[Test code]:[Test code]],[1]!Table1[i @ 1.8 V 10 mM KOH (A/cm2)],"",0)</f>
        <v>#REF!</v>
      </c>
      <c r="Y1214" s="69" t="e" cm="1">
        <f t="array" ref="Y1214">_xlfn.XLOOKUP(Table1[[#This Row],[5 cm2 cell test code]:[5 cm2 cell test code]],[1]!Table1[[Test code]:[Test code]],[1]!Table1[3-E ƞ at 20mAcm-2 (mV)],"",0)</f>
        <v>#REF!</v>
      </c>
      <c r="Z1214" s="69" t="e" cm="1">
        <f t="array" ref="Z1214">_xlfn.XLOOKUP(Table1[[#This Row],[5 cm2 cell test code]:[5 cm2 cell test code]],[1]!Table1[[Test code]:[Test code]],[1]!Table1[3-E Tafel slope (mV/dec)],"",0)</f>
        <v>#REF!</v>
      </c>
      <c r="AA1214" s="69" t="e" cm="1">
        <f t="array" ref="AA1214">_xlfn.XLOOKUP(Table1[[#This Row],[5 cm2 cell test code]:[5 cm2 cell test code]],[1]!Table1[[Test code]:[Test code]],[1]!Table1[E @ 100 mA/cm2 DIW/V],"",0)</f>
        <v>#REF!</v>
      </c>
      <c r="AB1214" s="69" t="e" cm="1">
        <f t="array" ref="AB1214">_xlfn.XLOOKUP(Table1[[#This Row],[5 cm2 cell test code]:[5 cm2 cell test code]],[1]!Table1[[Test code]:[Test code]],[1]!Table1[E @ 100 mA/cm2 10 mM KOH/V],"",0)</f>
        <v>#REF!</v>
      </c>
      <c r="AC1214" s="69" t="e" cm="1">
        <f t="array" ref="AC1214">_xlfn.XLOOKUP(Table1[[#This Row],[5 cm2 cell test code]:[5 cm2 cell test code]],[1]!Table1[[Test code]:[Test code]],[1]!Table1[Anode ICR/mOhm],"",0)</f>
        <v>#REF!</v>
      </c>
      <c r="AD1214" s="69" t="e" cm="1">
        <f t="array" ref="AD1214">_xlfn.XLOOKUP(Table1[[#This Row],[5 cm2 cell test code]:[5 cm2 cell test code]],[1]!Table1[[Test code]:[Test code]],[1]!Table1[HFR DIW/ mOhm cm2],"",0)</f>
        <v>#REF!</v>
      </c>
      <c r="AE1214" s="69" t="e" cm="1">
        <f t="array" ref="AE1214">_xlfn.XLOOKUP(Table1[[#This Row],[5 cm2 cell test code]:[5 cm2 cell test code]],[1]!Table1[[Test code]:[Test code]],[1]!Table1[HFR 10 mM KOH/ mOhm cm2],"",0)</f>
        <v>#REF!</v>
      </c>
      <c r="AF1214" s="69" t="e" cm="1">
        <f t="array" ref="AF1214">_xlfn.XLOOKUP(Table1[[#This Row],[5 cm2 cell test code]:[5 cm2 cell test code]],[1]!Table1[[Test code]:[Test code]],[1]!Table1[Ionic resistance DIW/Ohm cm2],"",0)</f>
        <v>#REF!</v>
      </c>
      <c r="AG1214" s="69" t="e" cm="1">
        <f t="array" ref="AG1214">_xlfn.XLOOKUP(Table1[[#This Row],[5 cm2 cell test code]:[5 cm2 cell test code]],[1]!Table1[[Test code]:[Test code]],[1]!Table1[Q_int_frac DIW],"",0)</f>
        <v>#REF!</v>
      </c>
      <c r="AH1214" s="69" t="e" cm="1">
        <f t="array" ref="AH1214">_xlfn.XLOOKUP(Table1[[#This Row],[5 cm2 cell test code]:[5 cm2 cell test code]],[1]!Table1[[Test code]:[Test code]],[1]!Table1[Ionic resistance 10 mM KOH/Ohm cm2],"",0)</f>
        <v>#REF!</v>
      </c>
      <c r="AI1214" s="69" t="e" cm="1">
        <f t="array" ref="AI1214">_xlfn.XLOOKUP(Table1[[#This Row],[5 cm2 cell test code]:[5 cm2 cell test code]],[1]!Table1[[Test code]:[Test code]],[1]!Table1[Q_int_frac DIW 10 mM KOH],"",0)</f>
        <v>#REF!</v>
      </c>
      <c r="AJ1214" s="69" t="e" cm="1">
        <f t="array" ref="AJ1214">_xlfn.XLOOKUP(Table1[[#This Row],[5 cm2 cell test code]:[5 cm2 cell test code]],[1]!Table1[[Test code]:[Test code]],[1]!Table1[DIW conductivity (µS/cm)],"",0)</f>
        <v>#REF!</v>
      </c>
    </row>
    <row r="1215" spans="1:36">
      <c r="A1215" s="81"/>
      <c r="U1215" s="101"/>
      <c r="V1215" s="101"/>
      <c r="W1215" s="69" t="e" cm="1">
        <f t="array" ref="W1215">_xlfn.XLOOKUP(Table1[[#This Row],[5 cm2 cell test code]:[5 cm2 cell test code]],[1]!Table1[[Test code]:[Test code]],[1]!Table1[i @ 1.8 V DIW (A/cm2)],"",0)</f>
        <v>#REF!</v>
      </c>
      <c r="X1215" s="69" t="e" cm="1">
        <f t="array" ref="X1215">_xlfn.XLOOKUP(Table1[[#This Row],[5 cm2 cell test code]:[5 cm2 cell test code]],[1]!Table1[[Test code]:[Test code]],[1]!Table1[i @ 1.8 V 10 mM KOH (A/cm2)],"",0)</f>
        <v>#REF!</v>
      </c>
      <c r="Y1215" s="69" t="e" cm="1">
        <f t="array" ref="Y1215">_xlfn.XLOOKUP(Table1[[#This Row],[5 cm2 cell test code]:[5 cm2 cell test code]],[1]!Table1[[Test code]:[Test code]],[1]!Table1[3-E ƞ at 20mAcm-2 (mV)],"",0)</f>
        <v>#REF!</v>
      </c>
      <c r="Z1215" s="69" t="e" cm="1">
        <f t="array" ref="Z1215">_xlfn.XLOOKUP(Table1[[#This Row],[5 cm2 cell test code]:[5 cm2 cell test code]],[1]!Table1[[Test code]:[Test code]],[1]!Table1[3-E Tafel slope (mV/dec)],"",0)</f>
        <v>#REF!</v>
      </c>
      <c r="AA1215" s="69" t="e" cm="1">
        <f t="array" ref="AA1215">_xlfn.XLOOKUP(Table1[[#This Row],[5 cm2 cell test code]:[5 cm2 cell test code]],[1]!Table1[[Test code]:[Test code]],[1]!Table1[E @ 100 mA/cm2 DIW/V],"",0)</f>
        <v>#REF!</v>
      </c>
      <c r="AB1215" s="69" t="e" cm="1">
        <f t="array" ref="AB1215">_xlfn.XLOOKUP(Table1[[#This Row],[5 cm2 cell test code]:[5 cm2 cell test code]],[1]!Table1[[Test code]:[Test code]],[1]!Table1[E @ 100 mA/cm2 10 mM KOH/V],"",0)</f>
        <v>#REF!</v>
      </c>
      <c r="AC1215" s="69" t="e" cm="1">
        <f t="array" ref="AC1215">_xlfn.XLOOKUP(Table1[[#This Row],[5 cm2 cell test code]:[5 cm2 cell test code]],[1]!Table1[[Test code]:[Test code]],[1]!Table1[Anode ICR/mOhm],"",0)</f>
        <v>#REF!</v>
      </c>
      <c r="AD1215" s="69" t="e" cm="1">
        <f t="array" ref="AD1215">_xlfn.XLOOKUP(Table1[[#This Row],[5 cm2 cell test code]:[5 cm2 cell test code]],[1]!Table1[[Test code]:[Test code]],[1]!Table1[HFR DIW/ mOhm cm2],"",0)</f>
        <v>#REF!</v>
      </c>
      <c r="AE1215" s="69" t="e" cm="1">
        <f t="array" ref="AE1215">_xlfn.XLOOKUP(Table1[[#This Row],[5 cm2 cell test code]:[5 cm2 cell test code]],[1]!Table1[[Test code]:[Test code]],[1]!Table1[HFR 10 mM KOH/ mOhm cm2],"",0)</f>
        <v>#REF!</v>
      </c>
      <c r="AF1215" s="69" t="e" cm="1">
        <f t="array" ref="AF1215">_xlfn.XLOOKUP(Table1[[#This Row],[5 cm2 cell test code]:[5 cm2 cell test code]],[1]!Table1[[Test code]:[Test code]],[1]!Table1[Ionic resistance DIW/Ohm cm2],"",0)</f>
        <v>#REF!</v>
      </c>
      <c r="AG1215" s="69" t="e" cm="1">
        <f t="array" ref="AG1215">_xlfn.XLOOKUP(Table1[[#This Row],[5 cm2 cell test code]:[5 cm2 cell test code]],[1]!Table1[[Test code]:[Test code]],[1]!Table1[Q_int_frac DIW],"",0)</f>
        <v>#REF!</v>
      </c>
      <c r="AH1215" s="69" t="e" cm="1">
        <f t="array" ref="AH1215">_xlfn.XLOOKUP(Table1[[#This Row],[5 cm2 cell test code]:[5 cm2 cell test code]],[1]!Table1[[Test code]:[Test code]],[1]!Table1[Ionic resistance 10 mM KOH/Ohm cm2],"",0)</f>
        <v>#REF!</v>
      </c>
      <c r="AI1215" s="69" t="e" cm="1">
        <f t="array" ref="AI1215">_xlfn.XLOOKUP(Table1[[#This Row],[5 cm2 cell test code]:[5 cm2 cell test code]],[1]!Table1[[Test code]:[Test code]],[1]!Table1[Q_int_frac DIW 10 mM KOH],"",0)</f>
        <v>#REF!</v>
      </c>
      <c r="AJ1215" s="69" t="e" cm="1">
        <f t="array" ref="AJ1215">_xlfn.XLOOKUP(Table1[[#This Row],[5 cm2 cell test code]:[5 cm2 cell test code]],[1]!Table1[[Test code]:[Test code]],[1]!Table1[DIW conductivity (µS/cm)],"",0)</f>
        <v>#REF!</v>
      </c>
    </row>
    <row r="1216" spans="1:36">
      <c r="A1216" s="81"/>
      <c r="U1216" s="101"/>
      <c r="V1216" s="101"/>
      <c r="W1216" s="69" t="e" cm="1">
        <f t="array" ref="W1216">_xlfn.XLOOKUP(Table1[[#This Row],[5 cm2 cell test code]:[5 cm2 cell test code]],[1]!Table1[[Test code]:[Test code]],[1]!Table1[i @ 1.8 V DIW (A/cm2)],"",0)</f>
        <v>#REF!</v>
      </c>
      <c r="X1216" s="69" t="e" cm="1">
        <f t="array" ref="X1216">_xlfn.XLOOKUP(Table1[[#This Row],[5 cm2 cell test code]:[5 cm2 cell test code]],[1]!Table1[[Test code]:[Test code]],[1]!Table1[i @ 1.8 V 10 mM KOH (A/cm2)],"",0)</f>
        <v>#REF!</v>
      </c>
      <c r="Y1216" s="69" t="e" cm="1">
        <f t="array" ref="Y1216">_xlfn.XLOOKUP(Table1[[#This Row],[5 cm2 cell test code]:[5 cm2 cell test code]],[1]!Table1[[Test code]:[Test code]],[1]!Table1[3-E ƞ at 20mAcm-2 (mV)],"",0)</f>
        <v>#REF!</v>
      </c>
      <c r="Z1216" s="69" t="e" cm="1">
        <f t="array" ref="Z1216">_xlfn.XLOOKUP(Table1[[#This Row],[5 cm2 cell test code]:[5 cm2 cell test code]],[1]!Table1[[Test code]:[Test code]],[1]!Table1[3-E Tafel slope (mV/dec)],"",0)</f>
        <v>#REF!</v>
      </c>
      <c r="AA1216" s="69" t="e" cm="1">
        <f t="array" ref="AA1216">_xlfn.XLOOKUP(Table1[[#This Row],[5 cm2 cell test code]:[5 cm2 cell test code]],[1]!Table1[[Test code]:[Test code]],[1]!Table1[E @ 100 mA/cm2 DIW/V],"",0)</f>
        <v>#REF!</v>
      </c>
      <c r="AB1216" s="69" t="e" cm="1">
        <f t="array" ref="AB1216">_xlfn.XLOOKUP(Table1[[#This Row],[5 cm2 cell test code]:[5 cm2 cell test code]],[1]!Table1[[Test code]:[Test code]],[1]!Table1[E @ 100 mA/cm2 10 mM KOH/V],"",0)</f>
        <v>#REF!</v>
      </c>
      <c r="AC1216" s="69" t="e" cm="1">
        <f t="array" ref="AC1216">_xlfn.XLOOKUP(Table1[[#This Row],[5 cm2 cell test code]:[5 cm2 cell test code]],[1]!Table1[[Test code]:[Test code]],[1]!Table1[Anode ICR/mOhm],"",0)</f>
        <v>#REF!</v>
      </c>
      <c r="AD1216" s="69" t="e" cm="1">
        <f t="array" ref="AD1216">_xlfn.XLOOKUP(Table1[[#This Row],[5 cm2 cell test code]:[5 cm2 cell test code]],[1]!Table1[[Test code]:[Test code]],[1]!Table1[HFR DIW/ mOhm cm2],"",0)</f>
        <v>#REF!</v>
      </c>
      <c r="AE1216" s="69" t="e" cm="1">
        <f t="array" ref="AE1216">_xlfn.XLOOKUP(Table1[[#This Row],[5 cm2 cell test code]:[5 cm2 cell test code]],[1]!Table1[[Test code]:[Test code]],[1]!Table1[HFR 10 mM KOH/ mOhm cm2],"",0)</f>
        <v>#REF!</v>
      </c>
      <c r="AF1216" s="69" t="e" cm="1">
        <f t="array" ref="AF1216">_xlfn.XLOOKUP(Table1[[#This Row],[5 cm2 cell test code]:[5 cm2 cell test code]],[1]!Table1[[Test code]:[Test code]],[1]!Table1[Ionic resistance DIW/Ohm cm2],"",0)</f>
        <v>#REF!</v>
      </c>
      <c r="AG1216" s="69" t="e" cm="1">
        <f t="array" ref="AG1216">_xlfn.XLOOKUP(Table1[[#This Row],[5 cm2 cell test code]:[5 cm2 cell test code]],[1]!Table1[[Test code]:[Test code]],[1]!Table1[Q_int_frac DIW],"",0)</f>
        <v>#REF!</v>
      </c>
      <c r="AH1216" s="69" t="e" cm="1">
        <f t="array" ref="AH1216">_xlfn.XLOOKUP(Table1[[#This Row],[5 cm2 cell test code]:[5 cm2 cell test code]],[1]!Table1[[Test code]:[Test code]],[1]!Table1[Ionic resistance 10 mM KOH/Ohm cm2],"",0)</f>
        <v>#REF!</v>
      </c>
      <c r="AI1216" s="69" t="e" cm="1">
        <f t="array" ref="AI1216">_xlfn.XLOOKUP(Table1[[#This Row],[5 cm2 cell test code]:[5 cm2 cell test code]],[1]!Table1[[Test code]:[Test code]],[1]!Table1[Q_int_frac DIW 10 mM KOH],"",0)</f>
        <v>#REF!</v>
      </c>
      <c r="AJ1216" s="69" t="e" cm="1">
        <f t="array" ref="AJ1216">_xlfn.XLOOKUP(Table1[[#This Row],[5 cm2 cell test code]:[5 cm2 cell test code]],[1]!Table1[[Test code]:[Test code]],[1]!Table1[DIW conductivity (µS/cm)],"",0)</f>
        <v>#REF!</v>
      </c>
    </row>
    <row r="1217" spans="1:36">
      <c r="A1217" s="81"/>
      <c r="U1217" s="101"/>
      <c r="V1217" s="101"/>
      <c r="W1217" s="69" t="e" cm="1">
        <f t="array" ref="W1217">_xlfn.XLOOKUP(Table1[[#This Row],[5 cm2 cell test code]:[5 cm2 cell test code]],[1]!Table1[[Test code]:[Test code]],[1]!Table1[i @ 1.8 V DIW (A/cm2)],"",0)</f>
        <v>#REF!</v>
      </c>
      <c r="X1217" s="69" t="e" cm="1">
        <f t="array" ref="X1217">_xlfn.XLOOKUP(Table1[[#This Row],[5 cm2 cell test code]:[5 cm2 cell test code]],[1]!Table1[[Test code]:[Test code]],[1]!Table1[i @ 1.8 V 10 mM KOH (A/cm2)],"",0)</f>
        <v>#REF!</v>
      </c>
      <c r="Y1217" s="69" t="e" cm="1">
        <f t="array" ref="Y1217">_xlfn.XLOOKUP(Table1[[#This Row],[5 cm2 cell test code]:[5 cm2 cell test code]],[1]!Table1[[Test code]:[Test code]],[1]!Table1[3-E ƞ at 20mAcm-2 (mV)],"",0)</f>
        <v>#REF!</v>
      </c>
      <c r="Z1217" s="69" t="e" cm="1">
        <f t="array" ref="Z1217">_xlfn.XLOOKUP(Table1[[#This Row],[5 cm2 cell test code]:[5 cm2 cell test code]],[1]!Table1[[Test code]:[Test code]],[1]!Table1[3-E Tafel slope (mV/dec)],"",0)</f>
        <v>#REF!</v>
      </c>
      <c r="AA1217" s="69" t="e" cm="1">
        <f t="array" ref="AA1217">_xlfn.XLOOKUP(Table1[[#This Row],[5 cm2 cell test code]:[5 cm2 cell test code]],[1]!Table1[[Test code]:[Test code]],[1]!Table1[E @ 100 mA/cm2 DIW/V],"",0)</f>
        <v>#REF!</v>
      </c>
      <c r="AB1217" s="69" t="e" cm="1">
        <f t="array" ref="AB1217">_xlfn.XLOOKUP(Table1[[#This Row],[5 cm2 cell test code]:[5 cm2 cell test code]],[1]!Table1[[Test code]:[Test code]],[1]!Table1[E @ 100 mA/cm2 10 mM KOH/V],"",0)</f>
        <v>#REF!</v>
      </c>
      <c r="AC1217" s="69" t="e" cm="1">
        <f t="array" ref="AC1217">_xlfn.XLOOKUP(Table1[[#This Row],[5 cm2 cell test code]:[5 cm2 cell test code]],[1]!Table1[[Test code]:[Test code]],[1]!Table1[Anode ICR/mOhm],"",0)</f>
        <v>#REF!</v>
      </c>
      <c r="AD1217" s="69" t="e" cm="1">
        <f t="array" ref="AD1217">_xlfn.XLOOKUP(Table1[[#This Row],[5 cm2 cell test code]:[5 cm2 cell test code]],[1]!Table1[[Test code]:[Test code]],[1]!Table1[HFR DIW/ mOhm cm2],"",0)</f>
        <v>#REF!</v>
      </c>
      <c r="AE1217" s="69" t="e" cm="1">
        <f t="array" ref="AE1217">_xlfn.XLOOKUP(Table1[[#This Row],[5 cm2 cell test code]:[5 cm2 cell test code]],[1]!Table1[[Test code]:[Test code]],[1]!Table1[HFR 10 mM KOH/ mOhm cm2],"",0)</f>
        <v>#REF!</v>
      </c>
      <c r="AF1217" s="69" t="e" cm="1">
        <f t="array" ref="AF1217">_xlfn.XLOOKUP(Table1[[#This Row],[5 cm2 cell test code]:[5 cm2 cell test code]],[1]!Table1[[Test code]:[Test code]],[1]!Table1[Ionic resistance DIW/Ohm cm2],"",0)</f>
        <v>#REF!</v>
      </c>
      <c r="AG1217" s="69" t="e" cm="1">
        <f t="array" ref="AG1217">_xlfn.XLOOKUP(Table1[[#This Row],[5 cm2 cell test code]:[5 cm2 cell test code]],[1]!Table1[[Test code]:[Test code]],[1]!Table1[Q_int_frac DIW],"",0)</f>
        <v>#REF!</v>
      </c>
      <c r="AH1217" s="69" t="e" cm="1">
        <f t="array" ref="AH1217">_xlfn.XLOOKUP(Table1[[#This Row],[5 cm2 cell test code]:[5 cm2 cell test code]],[1]!Table1[[Test code]:[Test code]],[1]!Table1[Ionic resistance 10 mM KOH/Ohm cm2],"",0)</f>
        <v>#REF!</v>
      </c>
      <c r="AI1217" s="69" t="e" cm="1">
        <f t="array" ref="AI1217">_xlfn.XLOOKUP(Table1[[#This Row],[5 cm2 cell test code]:[5 cm2 cell test code]],[1]!Table1[[Test code]:[Test code]],[1]!Table1[Q_int_frac DIW 10 mM KOH],"",0)</f>
        <v>#REF!</v>
      </c>
      <c r="AJ1217" s="69" t="e" cm="1">
        <f t="array" ref="AJ1217">_xlfn.XLOOKUP(Table1[[#This Row],[5 cm2 cell test code]:[5 cm2 cell test code]],[1]!Table1[[Test code]:[Test code]],[1]!Table1[DIW conductivity (µS/cm)],"",0)</f>
        <v>#REF!</v>
      </c>
    </row>
    <row r="1218" spans="1:36">
      <c r="A1218" s="81"/>
      <c r="U1218" s="101"/>
      <c r="V1218" s="101"/>
      <c r="W1218" s="69" t="e" cm="1">
        <f t="array" ref="W1218">_xlfn.XLOOKUP(Table1[[#This Row],[5 cm2 cell test code]:[5 cm2 cell test code]],[1]!Table1[[Test code]:[Test code]],[1]!Table1[i @ 1.8 V DIW (A/cm2)],"",0)</f>
        <v>#REF!</v>
      </c>
      <c r="X1218" s="69" t="e" cm="1">
        <f t="array" ref="X1218">_xlfn.XLOOKUP(Table1[[#This Row],[5 cm2 cell test code]:[5 cm2 cell test code]],[1]!Table1[[Test code]:[Test code]],[1]!Table1[i @ 1.8 V 10 mM KOH (A/cm2)],"",0)</f>
        <v>#REF!</v>
      </c>
      <c r="Y1218" s="69" t="e" cm="1">
        <f t="array" ref="Y1218">_xlfn.XLOOKUP(Table1[[#This Row],[5 cm2 cell test code]:[5 cm2 cell test code]],[1]!Table1[[Test code]:[Test code]],[1]!Table1[3-E ƞ at 20mAcm-2 (mV)],"",0)</f>
        <v>#REF!</v>
      </c>
      <c r="Z1218" s="69" t="e" cm="1">
        <f t="array" ref="Z1218">_xlfn.XLOOKUP(Table1[[#This Row],[5 cm2 cell test code]:[5 cm2 cell test code]],[1]!Table1[[Test code]:[Test code]],[1]!Table1[3-E Tafel slope (mV/dec)],"",0)</f>
        <v>#REF!</v>
      </c>
      <c r="AA1218" s="69" t="e" cm="1">
        <f t="array" ref="AA1218">_xlfn.XLOOKUP(Table1[[#This Row],[5 cm2 cell test code]:[5 cm2 cell test code]],[1]!Table1[[Test code]:[Test code]],[1]!Table1[E @ 100 mA/cm2 DIW/V],"",0)</f>
        <v>#REF!</v>
      </c>
      <c r="AB1218" s="69" t="e" cm="1">
        <f t="array" ref="AB1218">_xlfn.XLOOKUP(Table1[[#This Row],[5 cm2 cell test code]:[5 cm2 cell test code]],[1]!Table1[[Test code]:[Test code]],[1]!Table1[E @ 100 mA/cm2 10 mM KOH/V],"",0)</f>
        <v>#REF!</v>
      </c>
      <c r="AC1218" s="69" t="e" cm="1">
        <f t="array" ref="AC1218">_xlfn.XLOOKUP(Table1[[#This Row],[5 cm2 cell test code]:[5 cm2 cell test code]],[1]!Table1[[Test code]:[Test code]],[1]!Table1[Anode ICR/mOhm],"",0)</f>
        <v>#REF!</v>
      </c>
      <c r="AD1218" s="69" t="e" cm="1">
        <f t="array" ref="AD1218">_xlfn.XLOOKUP(Table1[[#This Row],[5 cm2 cell test code]:[5 cm2 cell test code]],[1]!Table1[[Test code]:[Test code]],[1]!Table1[HFR DIW/ mOhm cm2],"",0)</f>
        <v>#REF!</v>
      </c>
      <c r="AE1218" s="69" t="e" cm="1">
        <f t="array" ref="AE1218">_xlfn.XLOOKUP(Table1[[#This Row],[5 cm2 cell test code]:[5 cm2 cell test code]],[1]!Table1[[Test code]:[Test code]],[1]!Table1[HFR 10 mM KOH/ mOhm cm2],"",0)</f>
        <v>#REF!</v>
      </c>
      <c r="AF1218" s="69" t="e" cm="1">
        <f t="array" ref="AF1218">_xlfn.XLOOKUP(Table1[[#This Row],[5 cm2 cell test code]:[5 cm2 cell test code]],[1]!Table1[[Test code]:[Test code]],[1]!Table1[Ionic resistance DIW/Ohm cm2],"",0)</f>
        <v>#REF!</v>
      </c>
      <c r="AG1218" s="69" t="e" cm="1">
        <f t="array" ref="AG1218">_xlfn.XLOOKUP(Table1[[#This Row],[5 cm2 cell test code]:[5 cm2 cell test code]],[1]!Table1[[Test code]:[Test code]],[1]!Table1[Q_int_frac DIW],"",0)</f>
        <v>#REF!</v>
      </c>
      <c r="AH1218" s="69" t="e" cm="1">
        <f t="array" ref="AH1218">_xlfn.XLOOKUP(Table1[[#This Row],[5 cm2 cell test code]:[5 cm2 cell test code]],[1]!Table1[[Test code]:[Test code]],[1]!Table1[Ionic resistance 10 mM KOH/Ohm cm2],"",0)</f>
        <v>#REF!</v>
      </c>
      <c r="AI1218" s="69" t="e" cm="1">
        <f t="array" ref="AI1218">_xlfn.XLOOKUP(Table1[[#This Row],[5 cm2 cell test code]:[5 cm2 cell test code]],[1]!Table1[[Test code]:[Test code]],[1]!Table1[Q_int_frac DIW 10 mM KOH],"",0)</f>
        <v>#REF!</v>
      </c>
      <c r="AJ1218" s="69" t="e" cm="1">
        <f t="array" ref="AJ1218">_xlfn.XLOOKUP(Table1[[#This Row],[5 cm2 cell test code]:[5 cm2 cell test code]],[1]!Table1[[Test code]:[Test code]],[1]!Table1[DIW conductivity (µS/cm)],"",0)</f>
        <v>#REF!</v>
      </c>
    </row>
    <row r="1219" spans="1:36">
      <c r="A1219" s="81"/>
      <c r="U1219" s="101"/>
      <c r="V1219" s="101"/>
      <c r="W1219" s="69" t="e" cm="1">
        <f t="array" ref="W1219">_xlfn.XLOOKUP(Table1[[#This Row],[5 cm2 cell test code]:[5 cm2 cell test code]],[1]!Table1[[Test code]:[Test code]],[1]!Table1[i @ 1.8 V DIW (A/cm2)],"",0)</f>
        <v>#REF!</v>
      </c>
      <c r="X1219" s="69" t="e" cm="1">
        <f t="array" ref="X1219">_xlfn.XLOOKUP(Table1[[#This Row],[5 cm2 cell test code]:[5 cm2 cell test code]],[1]!Table1[[Test code]:[Test code]],[1]!Table1[i @ 1.8 V 10 mM KOH (A/cm2)],"",0)</f>
        <v>#REF!</v>
      </c>
      <c r="Y1219" s="69" t="e" cm="1">
        <f t="array" ref="Y1219">_xlfn.XLOOKUP(Table1[[#This Row],[5 cm2 cell test code]:[5 cm2 cell test code]],[1]!Table1[[Test code]:[Test code]],[1]!Table1[3-E ƞ at 20mAcm-2 (mV)],"",0)</f>
        <v>#REF!</v>
      </c>
      <c r="Z1219" s="69" t="e" cm="1">
        <f t="array" ref="Z1219">_xlfn.XLOOKUP(Table1[[#This Row],[5 cm2 cell test code]:[5 cm2 cell test code]],[1]!Table1[[Test code]:[Test code]],[1]!Table1[3-E Tafel slope (mV/dec)],"",0)</f>
        <v>#REF!</v>
      </c>
      <c r="AA1219" s="69" t="e" cm="1">
        <f t="array" ref="AA1219">_xlfn.XLOOKUP(Table1[[#This Row],[5 cm2 cell test code]:[5 cm2 cell test code]],[1]!Table1[[Test code]:[Test code]],[1]!Table1[E @ 100 mA/cm2 DIW/V],"",0)</f>
        <v>#REF!</v>
      </c>
      <c r="AB1219" s="69" t="e" cm="1">
        <f t="array" ref="AB1219">_xlfn.XLOOKUP(Table1[[#This Row],[5 cm2 cell test code]:[5 cm2 cell test code]],[1]!Table1[[Test code]:[Test code]],[1]!Table1[E @ 100 mA/cm2 10 mM KOH/V],"",0)</f>
        <v>#REF!</v>
      </c>
      <c r="AC1219" s="69" t="e" cm="1">
        <f t="array" ref="AC1219">_xlfn.XLOOKUP(Table1[[#This Row],[5 cm2 cell test code]:[5 cm2 cell test code]],[1]!Table1[[Test code]:[Test code]],[1]!Table1[Anode ICR/mOhm],"",0)</f>
        <v>#REF!</v>
      </c>
      <c r="AD1219" s="69" t="e" cm="1">
        <f t="array" ref="AD1219">_xlfn.XLOOKUP(Table1[[#This Row],[5 cm2 cell test code]:[5 cm2 cell test code]],[1]!Table1[[Test code]:[Test code]],[1]!Table1[HFR DIW/ mOhm cm2],"",0)</f>
        <v>#REF!</v>
      </c>
      <c r="AE1219" s="69" t="e" cm="1">
        <f t="array" ref="AE1219">_xlfn.XLOOKUP(Table1[[#This Row],[5 cm2 cell test code]:[5 cm2 cell test code]],[1]!Table1[[Test code]:[Test code]],[1]!Table1[HFR 10 mM KOH/ mOhm cm2],"",0)</f>
        <v>#REF!</v>
      </c>
      <c r="AF1219" s="69" t="e" cm="1">
        <f t="array" ref="AF1219">_xlfn.XLOOKUP(Table1[[#This Row],[5 cm2 cell test code]:[5 cm2 cell test code]],[1]!Table1[[Test code]:[Test code]],[1]!Table1[Ionic resistance DIW/Ohm cm2],"",0)</f>
        <v>#REF!</v>
      </c>
      <c r="AG1219" s="69" t="e" cm="1">
        <f t="array" ref="AG1219">_xlfn.XLOOKUP(Table1[[#This Row],[5 cm2 cell test code]:[5 cm2 cell test code]],[1]!Table1[[Test code]:[Test code]],[1]!Table1[Q_int_frac DIW],"",0)</f>
        <v>#REF!</v>
      </c>
      <c r="AH1219" s="69" t="e" cm="1">
        <f t="array" ref="AH1219">_xlfn.XLOOKUP(Table1[[#This Row],[5 cm2 cell test code]:[5 cm2 cell test code]],[1]!Table1[[Test code]:[Test code]],[1]!Table1[Ionic resistance 10 mM KOH/Ohm cm2],"",0)</f>
        <v>#REF!</v>
      </c>
      <c r="AI1219" s="69" t="e" cm="1">
        <f t="array" ref="AI1219">_xlfn.XLOOKUP(Table1[[#This Row],[5 cm2 cell test code]:[5 cm2 cell test code]],[1]!Table1[[Test code]:[Test code]],[1]!Table1[Q_int_frac DIW 10 mM KOH],"",0)</f>
        <v>#REF!</v>
      </c>
      <c r="AJ1219" s="69" t="e" cm="1">
        <f t="array" ref="AJ1219">_xlfn.XLOOKUP(Table1[[#This Row],[5 cm2 cell test code]:[5 cm2 cell test code]],[1]!Table1[[Test code]:[Test code]],[1]!Table1[DIW conductivity (µS/cm)],"",0)</f>
        <v>#REF!</v>
      </c>
    </row>
    <row r="1220" spans="1:36">
      <c r="A1220" s="81"/>
      <c r="U1220" s="101"/>
      <c r="V1220" s="101"/>
      <c r="W1220" s="69" t="e" cm="1">
        <f t="array" ref="W1220">_xlfn.XLOOKUP(Table1[[#This Row],[5 cm2 cell test code]:[5 cm2 cell test code]],[1]!Table1[[Test code]:[Test code]],[1]!Table1[i @ 1.8 V DIW (A/cm2)],"",0)</f>
        <v>#REF!</v>
      </c>
      <c r="X1220" s="69" t="e" cm="1">
        <f t="array" ref="X1220">_xlfn.XLOOKUP(Table1[[#This Row],[5 cm2 cell test code]:[5 cm2 cell test code]],[1]!Table1[[Test code]:[Test code]],[1]!Table1[i @ 1.8 V 10 mM KOH (A/cm2)],"",0)</f>
        <v>#REF!</v>
      </c>
      <c r="Y1220" s="69" t="e" cm="1">
        <f t="array" ref="Y1220">_xlfn.XLOOKUP(Table1[[#This Row],[5 cm2 cell test code]:[5 cm2 cell test code]],[1]!Table1[[Test code]:[Test code]],[1]!Table1[3-E ƞ at 20mAcm-2 (mV)],"",0)</f>
        <v>#REF!</v>
      </c>
      <c r="Z1220" s="69" t="e" cm="1">
        <f t="array" ref="Z1220">_xlfn.XLOOKUP(Table1[[#This Row],[5 cm2 cell test code]:[5 cm2 cell test code]],[1]!Table1[[Test code]:[Test code]],[1]!Table1[3-E Tafel slope (mV/dec)],"",0)</f>
        <v>#REF!</v>
      </c>
      <c r="AA1220" s="69" t="e" cm="1">
        <f t="array" ref="AA1220">_xlfn.XLOOKUP(Table1[[#This Row],[5 cm2 cell test code]:[5 cm2 cell test code]],[1]!Table1[[Test code]:[Test code]],[1]!Table1[E @ 100 mA/cm2 DIW/V],"",0)</f>
        <v>#REF!</v>
      </c>
      <c r="AB1220" s="69" t="e" cm="1">
        <f t="array" ref="AB1220">_xlfn.XLOOKUP(Table1[[#This Row],[5 cm2 cell test code]:[5 cm2 cell test code]],[1]!Table1[[Test code]:[Test code]],[1]!Table1[E @ 100 mA/cm2 10 mM KOH/V],"",0)</f>
        <v>#REF!</v>
      </c>
      <c r="AC1220" s="69" t="e" cm="1">
        <f t="array" ref="AC1220">_xlfn.XLOOKUP(Table1[[#This Row],[5 cm2 cell test code]:[5 cm2 cell test code]],[1]!Table1[[Test code]:[Test code]],[1]!Table1[Anode ICR/mOhm],"",0)</f>
        <v>#REF!</v>
      </c>
      <c r="AD1220" s="69" t="e" cm="1">
        <f t="array" ref="AD1220">_xlfn.XLOOKUP(Table1[[#This Row],[5 cm2 cell test code]:[5 cm2 cell test code]],[1]!Table1[[Test code]:[Test code]],[1]!Table1[HFR DIW/ mOhm cm2],"",0)</f>
        <v>#REF!</v>
      </c>
      <c r="AE1220" s="69" t="e" cm="1">
        <f t="array" ref="AE1220">_xlfn.XLOOKUP(Table1[[#This Row],[5 cm2 cell test code]:[5 cm2 cell test code]],[1]!Table1[[Test code]:[Test code]],[1]!Table1[HFR 10 mM KOH/ mOhm cm2],"",0)</f>
        <v>#REF!</v>
      </c>
      <c r="AF1220" s="69" t="e" cm="1">
        <f t="array" ref="AF1220">_xlfn.XLOOKUP(Table1[[#This Row],[5 cm2 cell test code]:[5 cm2 cell test code]],[1]!Table1[[Test code]:[Test code]],[1]!Table1[Ionic resistance DIW/Ohm cm2],"",0)</f>
        <v>#REF!</v>
      </c>
      <c r="AG1220" s="69" t="e" cm="1">
        <f t="array" ref="AG1220">_xlfn.XLOOKUP(Table1[[#This Row],[5 cm2 cell test code]:[5 cm2 cell test code]],[1]!Table1[[Test code]:[Test code]],[1]!Table1[Q_int_frac DIW],"",0)</f>
        <v>#REF!</v>
      </c>
      <c r="AH1220" s="69" t="e" cm="1">
        <f t="array" ref="AH1220">_xlfn.XLOOKUP(Table1[[#This Row],[5 cm2 cell test code]:[5 cm2 cell test code]],[1]!Table1[[Test code]:[Test code]],[1]!Table1[Ionic resistance 10 mM KOH/Ohm cm2],"",0)</f>
        <v>#REF!</v>
      </c>
      <c r="AI1220" s="69" t="e" cm="1">
        <f t="array" ref="AI1220">_xlfn.XLOOKUP(Table1[[#This Row],[5 cm2 cell test code]:[5 cm2 cell test code]],[1]!Table1[[Test code]:[Test code]],[1]!Table1[Q_int_frac DIW 10 mM KOH],"",0)</f>
        <v>#REF!</v>
      </c>
      <c r="AJ1220" s="69" t="e" cm="1">
        <f t="array" ref="AJ1220">_xlfn.XLOOKUP(Table1[[#This Row],[5 cm2 cell test code]:[5 cm2 cell test code]],[1]!Table1[[Test code]:[Test code]],[1]!Table1[DIW conductivity (µS/cm)],"",0)</f>
        <v>#REF!</v>
      </c>
    </row>
    <row r="1221" spans="1:36">
      <c r="A1221" s="81"/>
      <c r="U1221" s="101"/>
      <c r="V1221" s="101"/>
      <c r="W1221" s="69" t="e" cm="1">
        <f t="array" ref="W1221">_xlfn.XLOOKUP(Table1[[#This Row],[5 cm2 cell test code]:[5 cm2 cell test code]],[1]!Table1[[Test code]:[Test code]],[1]!Table1[i @ 1.8 V DIW (A/cm2)],"",0)</f>
        <v>#REF!</v>
      </c>
      <c r="X1221" s="69" t="e" cm="1">
        <f t="array" ref="X1221">_xlfn.XLOOKUP(Table1[[#This Row],[5 cm2 cell test code]:[5 cm2 cell test code]],[1]!Table1[[Test code]:[Test code]],[1]!Table1[i @ 1.8 V 10 mM KOH (A/cm2)],"",0)</f>
        <v>#REF!</v>
      </c>
      <c r="Y1221" s="69" t="e" cm="1">
        <f t="array" ref="Y1221">_xlfn.XLOOKUP(Table1[[#This Row],[5 cm2 cell test code]:[5 cm2 cell test code]],[1]!Table1[[Test code]:[Test code]],[1]!Table1[3-E ƞ at 20mAcm-2 (mV)],"",0)</f>
        <v>#REF!</v>
      </c>
      <c r="Z1221" s="69" t="e" cm="1">
        <f t="array" ref="Z1221">_xlfn.XLOOKUP(Table1[[#This Row],[5 cm2 cell test code]:[5 cm2 cell test code]],[1]!Table1[[Test code]:[Test code]],[1]!Table1[3-E Tafel slope (mV/dec)],"",0)</f>
        <v>#REF!</v>
      </c>
      <c r="AA1221" s="69" t="e" cm="1">
        <f t="array" ref="AA1221">_xlfn.XLOOKUP(Table1[[#This Row],[5 cm2 cell test code]:[5 cm2 cell test code]],[1]!Table1[[Test code]:[Test code]],[1]!Table1[E @ 100 mA/cm2 DIW/V],"",0)</f>
        <v>#REF!</v>
      </c>
      <c r="AB1221" s="69" t="e" cm="1">
        <f t="array" ref="AB1221">_xlfn.XLOOKUP(Table1[[#This Row],[5 cm2 cell test code]:[5 cm2 cell test code]],[1]!Table1[[Test code]:[Test code]],[1]!Table1[E @ 100 mA/cm2 10 mM KOH/V],"",0)</f>
        <v>#REF!</v>
      </c>
      <c r="AC1221" s="69" t="e" cm="1">
        <f t="array" ref="AC1221">_xlfn.XLOOKUP(Table1[[#This Row],[5 cm2 cell test code]:[5 cm2 cell test code]],[1]!Table1[[Test code]:[Test code]],[1]!Table1[Anode ICR/mOhm],"",0)</f>
        <v>#REF!</v>
      </c>
      <c r="AD1221" s="69" t="e" cm="1">
        <f t="array" ref="AD1221">_xlfn.XLOOKUP(Table1[[#This Row],[5 cm2 cell test code]:[5 cm2 cell test code]],[1]!Table1[[Test code]:[Test code]],[1]!Table1[HFR DIW/ mOhm cm2],"",0)</f>
        <v>#REF!</v>
      </c>
      <c r="AE1221" s="69" t="e" cm="1">
        <f t="array" ref="AE1221">_xlfn.XLOOKUP(Table1[[#This Row],[5 cm2 cell test code]:[5 cm2 cell test code]],[1]!Table1[[Test code]:[Test code]],[1]!Table1[HFR 10 mM KOH/ mOhm cm2],"",0)</f>
        <v>#REF!</v>
      </c>
      <c r="AF1221" s="69" t="e" cm="1">
        <f t="array" ref="AF1221">_xlfn.XLOOKUP(Table1[[#This Row],[5 cm2 cell test code]:[5 cm2 cell test code]],[1]!Table1[[Test code]:[Test code]],[1]!Table1[Ionic resistance DIW/Ohm cm2],"",0)</f>
        <v>#REF!</v>
      </c>
      <c r="AG1221" s="69" t="e" cm="1">
        <f t="array" ref="AG1221">_xlfn.XLOOKUP(Table1[[#This Row],[5 cm2 cell test code]:[5 cm2 cell test code]],[1]!Table1[[Test code]:[Test code]],[1]!Table1[Q_int_frac DIW],"",0)</f>
        <v>#REF!</v>
      </c>
      <c r="AH1221" s="69" t="e" cm="1">
        <f t="array" ref="AH1221">_xlfn.XLOOKUP(Table1[[#This Row],[5 cm2 cell test code]:[5 cm2 cell test code]],[1]!Table1[[Test code]:[Test code]],[1]!Table1[Ionic resistance 10 mM KOH/Ohm cm2],"",0)</f>
        <v>#REF!</v>
      </c>
      <c r="AI1221" s="69" t="e" cm="1">
        <f t="array" ref="AI1221">_xlfn.XLOOKUP(Table1[[#This Row],[5 cm2 cell test code]:[5 cm2 cell test code]],[1]!Table1[[Test code]:[Test code]],[1]!Table1[Q_int_frac DIW 10 mM KOH],"",0)</f>
        <v>#REF!</v>
      </c>
      <c r="AJ1221" s="69" t="e" cm="1">
        <f t="array" ref="AJ1221">_xlfn.XLOOKUP(Table1[[#This Row],[5 cm2 cell test code]:[5 cm2 cell test code]],[1]!Table1[[Test code]:[Test code]],[1]!Table1[DIW conductivity (µS/cm)],"",0)</f>
        <v>#REF!</v>
      </c>
    </row>
    <row r="1222" spans="1:36">
      <c r="A1222" s="81"/>
      <c r="U1222" s="101"/>
      <c r="V1222" s="101"/>
      <c r="W1222" s="69" t="e" cm="1">
        <f t="array" ref="W1222">_xlfn.XLOOKUP(Table1[[#This Row],[5 cm2 cell test code]:[5 cm2 cell test code]],[1]!Table1[[Test code]:[Test code]],[1]!Table1[i @ 1.8 V DIW (A/cm2)],"",0)</f>
        <v>#REF!</v>
      </c>
      <c r="X1222" s="69" t="e" cm="1">
        <f t="array" ref="X1222">_xlfn.XLOOKUP(Table1[[#This Row],[5 cm2 cell test code]:[5 cm2 cell test code]],[1]!Table1[[Test code]:[Test code]],[1]!Table1[i @ 1.8 V 10 mM KOH (A/cm2)],"",0)</f>
        <v>#REF!</v>
      </c>
      <c r="Y1222" s="69" t="e" cm="1">
        <f t="array" ref="Y1222">_xlfn.XLOOKUP(Table1[[#This Row],[5 cm2 cell test code]:[5 cm2 cell test code]],[1]!Table1[[Test code]:[Test code]],[1]!Table1[3-E ƞ at 20mAcm-2 (mV)],"",0)</f>
        <v>#REF!</v>
      </c>
      <c r="Z1222" s="69" t="e" cm="1">
        <f t="array" ref="Z1222">_xlfn.XLOOKUP(Table1[[#This Row],[5 cm2 cell test code]:[5 cm2 cell test code]],[1]!Table1[[Test code]:[Test code]],[1]!Table1[3-E Tafel slope (mV/dec)],"",0)</f>
        <v>#REF!</v>
      </c>
      <c r="AA1222" s="69" t="e" cm="1">
        <f t="array" ref="AA1222">_xlfn.XLOOKUP(Table1[[#This Row],[5 cm2 cell test code]:[5 cm2 cell test code]],[1]!Table1[[Test code]:[Test code]],[1]!Table1[E @ 100 mA/cm2 DIW/V],"",0)</f>
        <v>#REF!</v>
      </c>
      <c r="AB1222" s="69" t="e" cm="1">
        <f t="array" ref="AB1222">_xlfn.XLOOKUP(Table1[[#This Row],[5 cm2 cell test code]:[5 cm2 cell test code]],[1]!Table1[[Test code]:[Test code]],[1]!Table1[E @ 100 mA/cm2 10 mM KOH/V],"",0)</f>
        <v>#REF!</v>
      </c>
      <c r="AC1222" s="69" t="e" cm="1">
        <f t="array" ref="AC1222">_xlfn.XLOOKUP(Table1[[#This Row],[5 cm2 cell test code]:[5 cm2 cell test code]],[1]!Table1[[Test code]:[Test code]],[1]!Table1[Anode ICR/mOhm],"",0)</f>
        <v>#REF!</v>
      </c>
      <c r="AD1222" s="69" t="e" cm="1">
        <f t="array" ref="AD1222">_xlfn.XLOOKUP(Table1[[#This Row],[5 cm2 cell test code]:[5 cm2 cell test code]],[1]!Table1[[Test code]:[Test code]],[1]!Table1[HFR DIW/ mOhm cm2],"",0)</f>
        <v>#REF!</v>
      </c>
      <c r="AE1222" s="69" t="e" cm="1">
        <f t="array" ref="AE1222">_xlfn.XLOOKUP(Table1[[#This Row],[5 cm2 cell test code]:[5 cm2 cell test code]],[1]!Table1[[Test code]:[Test code]],[1]!Table1[HFR 10 mM KOH/ mOhm cm2],"",0)</f>
        <v>#REF!</v>
      </c>
      <c r="AF1222" s="69" t="e" cm="1">
        <f t="array" ref="AF1222">_xlfn.XLOOKUP(Table1[[#This Row],[5 cm2 cell test code]:[5 cm2 cell test code]],[1]!Table1[[Test code]:[Test code]],[1]!Table1[Ionic resistance DIW/Ohm cm2],"",0)</f>
        <v>#REF!</v>
      </c>
      <c r="AG1222" s="69" t="e" cm="1">
        <f t="array" ref="AG1222">_xlfn.XLOOKUP(Table1[[#This Row],[5 cm2 cell test code]:[5 cm2 cell test code]],[1]!Table1[[Test code]:[Test code]],[1]!Table1[Q_int_frac DIW],"",0)</f>
        <v>#REF!</v>
      </c>
      <c r="AH1222" s="69" t="e" cm="1">
        <f t="array" ref="AH1222">_xlfn.XLOOKUP(Table1[[#This Row],[5 cm2 cell test code]:[5 cm2 cell test code]],[1]!Table1[[Test code]:[Test code]],[1]!Table1[Ionic resistance 10 mM KOH/Ohm cm2],"",0)</f>
        <v>#REF!</v>
      </c>
      <c r="AI1222" s="69" t="e" cm="1">
        <f t="array" ref="AI1222">_xlfn.XLOOKUP(Table1[[#This Row],[5 cm2 cell test code]:[5 cm2 cell test code]],[1]!Table1[[Test code]:[Test code]],[1]!Table1[Q_int_frac DIW 10 mM KOH],"",0)</f>
        <v>#REF!</v>
      </c>
      <c r="AJ1222" s="69" t="e" cm="1">
        <f t="array" ref="AJ1222">_xlfn.XLOOKUP(Table1[[#This Row],[5 cm2 cell test code]:[5 cm2 cell test code]],[1]!Table1[[Test code]:[Test code]],[1]!Table1[DIW conductivity (µS/cm)],"",0)</f>
        <v>#REF!</v>
      </c>
    </row>
    <row r="1223" spans="1:36">
      <c r="A1223" s="81"/>
      <c r="U1223" s="101"/>
      <c r="V1223" s="101"/>
      <c r="W1223" s="69" t="e" cm="1">
        <f t="array" ref="W1223">_xlfn.XLOOKUP(Table1[[#This Row],[5 cm2 cell test code]:[5 cm2 cell test code]],[1]!Table1[[Test code]:[Test code]],[1]!Table1[i @ 1.8 V DIW (A/cm2)],"",0)</f>
        <v>#REF!</v>
      </c>
      <c r="X1223" s="69" t="e" cm="1">
        <f t="array" ref="X1223">_xlfn.XLOOKUP(Table1[[#This Row],[5 cm2 cell test code]:[5 cm2 cell test code]],[1]!Table1[[Test code]:[Test code]],[1]!Table1[i @ 1.8 V 10 mM KOH (A/cm2)],"",0)</f>
        <v>#REF!</v>
      </c>
      <c r="Y1223" s="69" t="e" cm="1">
        <f t="array" ref="Y1223">_xlfn.XLOOKUP(Table1[[#This Row],[5 cm2 cell test code]:[5 cm2 cell test code]],[1]!Table1[[Test code]:[Test code]],[1]!Table1[3-E ƞ at 20mAcm-2 (mV)],"",0)</f>
        <v>#REF!</v>
      </c>
      <c r="Z1223" s="69" t="e" cm="1">
        <f t="array" ref="Z1223">_xlfn.XLOOKUP(Table1[[#This Row],[5 cm2 cell test code]:[5 cm2 cell test code]],[1]!Table1[[Test code]:[Test code]],[1]!Table1[3-E Tafel slope (mV/dec)],"",0)</f>
        <v>#REF!</v>
      </c>
      <c r="AA1223" s="69" t="e" cm="1">
        <f t="array" ref="AA1223">_xlfn.XLOOKUP(Table1[[#This Row],[5 cm2 cell test code]:[5 cm2 cell test code]],[1]!Table1[[Test code]:[Test code]],[1]!Table1[E @ 100 mA/cm2 DIW/V],"",0)</f>
        <v>#REF!</v>
      </c>
      <c r="AB1223" s="69" t="e" cm="1">
        <f t="array" ref="AB1223">_xlfn.XLOOKUP(Table1[[#This Row],[5 cm2 cell test code]:[5 cm2 cell test code]],[1]!Table1[[Test code]:[Test code]],[1]!Table1[E @ 100 mA/cm2 10 mM KOH/V],"",0)</f>
        <v>#REF!</v>
      </c>
      <c r="AC1223" s="69" t="e" cm="1">
        <f t="array" ref="AC1223">_xlfn.XLOOKUP(Table1[[#This Row],[5 cm2 cell test code]:[5 cm2 cell test code]],[1]!Table1[[Test code]:[Test code]],[1]!Table1[Anode ICR/mOhm],"",0)</f>
        <v>#REF!</v>
      </c>
      <c r="AD1223" s="69" t="e" cm="1">
        <f t="array" ref="AD1223">_xlfn.XLOOKUP(Table1[[#This Row],[5 cm2 cell test code]:[5 cm2 cell test code]],[1]!Table1[[Test code]:[Test code]],[1]!Table1[HFR DIW/ mOhm cm2],"",0)</f>
        <v>#REF!</v>
      </c>
      <c r="AE1223" s="69" t="e" cm="1">
        <f t="array" ref="AE1223">_xlfn.XLOOKUP(Table1[[#This Row],[5 cm2 cell test code]:[5 cm2 cell test code]],[1]!Table1[[Test code]:[Test code]],[1]!Table1[HFR 10 mM KOH/ mOhm cm2],"",0)</f>
        <v>#REF!</v>
      </c>
      <c r="AF1223" s="69" t="e" cm="1">
        <f t="array" ref="AF1223">_xlfn.XLOOKUP(Table1[[#This Row],[5 cm2 cell test code]:[5 cm2 cell test code]],[1]!Table1[[Test code]:[Test code]],[1]!Table1[Ionic resistance DIW/Ohm cm2],"",0)</f>
        <v>#REF!</v>
      </c>
      <c r="AG1223" s="69" t="e" cm="1">
        <f t="array" ref="AG1223">_xlfn.XLOOKUP(Table1[[#This Row],[5 cm2 cell test code]:[5 cm2 cell test code]],[1]!Table1[[Test code]:[Test code]],[1]!Table1[Q_int_frac DIW],"",0)</f>
        <v>#REF!</v>
      </c>
      <c r="AH1223" s="69" t="e" cm="1">
        <f t="array" ref="AH1223">_xlfn.XLOOKUP(Table1[[#This Row],[5 cm2 cell test code]:[5 cm2 cell test code]],[1]!Table1[[Test code]:[Test code]],[1]!Table1[Ionic resistance 10 mM KOH/Ohm cm2],"",0)</f>
        <v>#REF!</v>
      </c>
      <c r="AI1223" s="69" t="e" cm="1">
        <f t="array" ref="AI1223">_xlfn.XLOOKUP(Table1[[#This Row],[5 cm2 cell test code]:[5 cm2 cell test code]],[1]!Table1[[Test code]:[Test code]],[1]!Table1[Q_int_frac DIW 10 mM KOH],"",0)</f>
        <v>#REF!</v>
      </c>
      <c r="AJ1223" s="69" t="e" cm="1">
        <f t="array" ref="AJ1223">_xlfn.XLOOKUP(Table1[[#This Row],[5 cm2 cell test code]:[5 cm2 cell test code]],[1]!Table1[[Test code]:[Test code]],[1]!Table1[DIW conductivity (µS/cm)],"",0)</f>
        <v>#REF!</v>
      </c>
    </row>
    <row r="1224" spans="1:36">
      <c r="A1224" s="81"/>
      <c r="U1224" s="101"/>
      <c r="V1224" s="101"/>
      <c r="W1224" s="69" t="e" cm="1">
        <f t="array" ref="W1224">_xlfn.XLOOKUP(Table1[[#This Row],[5 cm2 cell test code]:[5 cm2 cell test code]],[1]!Table1[[Test code]:[Test code]],[1]!Table1[i @ 1.8 V DIW (A/cm2)],"",0)</f>
        <v>#REF!</v>
      </c>
      <c r="X1224" s="69" t="e" cm="1">
        <f t="array" ref="X1224">_xlfn.XLOOKUP(Table1[[#This Row],[5 cm2 cell test code]:[5 cm2 cell test code]],[1]!Table1[[Test code]:[Test code]],[1]!Table1[i @ 1.8 V 10 mM KOH (A/cm2)],"",0)</f>
        <v>#REF!</v>
      </c>
      <c r="Y1224" s="69" t="e" cm="1">
        <f t="array" ref="Y1224">_xlfn.XLOOKUP(Table1[[#This Row],[5 cm2 cell test code]:[5 cm2 cell test code]],[1]!Table1[[Test code]:[Test code]],[1]!Table1[3-E ƞ at 20mAcm-2 (mV)],"",0)</f>
        <v>#REF!</v>
      </c>
      <c r="Z1224" s="69" t="e" cm="1">
        <f t="array" ref="Z1224">_xlfn.XLOOKUP(Table1[[#This Row],[5 cm2 cell test code]:[5 cm2 cell test code]],[1]!Table1[[Test code]:[Test code]],[1]!Table1[3-E Tafel slope (mV/dec)],"",0)</f>
        <v>#REF!</v>
      </c>
      <c r="AA1224" s="69" t="e" cm="1">
        <f t="array" ref="AA1224">_xlfn.XLOOKUP(Table1[[#This Row],[5 cm2 cell test code]:[5 cm2 cell test code]],[1]!Table1[[Test code]:[Test code]],[1]!Table1[E @ 100 mA/cm2 DIW/V],"",0)</f>
        <v>#REF!</v>
      </c>
      <c r="AB1224" s="69" t="e" cm="1">
        <f t="array" ref="AB1224">_xlfn.XLOOKUP(Table1[[#This Row],[5 cm2 cell test code]:[5 cm2 cell test code]],[1]!Table1[[Test code]:[Test code]],[1]!Table1[E @ 100 mA/cm2 10 mM KOH/V],"",0)</f>
        <v>#REF!</v>
      </c>
      <c r="AC1224" s="69" t="e" cm="1">
        <f t="array" ref="AC1224">_xlfn.XLOOKUP(Table1[[#This Row],[5 cm2 cell test code]:[5 cm2 cell test code]],[1]!Table1[[Test code]:[Test code]],[1]!Table1[Anode ICR/mOhm],"",0)</f>
        <v>#REF!</v>
      </c>
      <c r="AD1224" s="69" t="e" cm="1">
        <f t="array" ref="AD1224">_xlfn.XLOOKUP(Table1[[#This Row],[5 cm2 cell test code]:[5 cm2 cell test code]],[1]!Table1[[Test code]:[Test code]],[1]!Table1[HFR DIW/ mOhm cm2],"",0)</f>
        <v>#REF!</v>
      </c>
      <c r="AE1224" s="69" t="e" cm="1">
        <f t="array" ref="AE1224">_xlfn.XLOOKUP(Table1[[#This Row],[5 cm2 cell test code]:[5 cm2 cell test code]],[1]!Table1[[Test code]:[Test code]],[1]!Table1[HFR 10 mM KOH/ mOhm cm2],"",0)</f>
        <v>#REF!</v>
      </c>
      <c r="AF1224" s="69" t="e" cm="1">
        <f t="array" ref="AF1224">_xlfn.XLOOKUP(Table1[[#This Row],[5 cm2 cell test code]:[5 cm2 cell test code]],[1]!Table1[[Test code]:[Test code]],[1]!Table1[Ionic resistance DIW/Ohm cm2],"",0)</f>
        <v>#REF!</v>
      </c>
      <c r="AG1224" s="69" t="e" cm="1">
        <f t="array" ref="AG1224">_xlfn.XLOOKUP(Table1[[#This Row],[5 cm2 cell test code]:[5 cm2 cell test code]],[1]!Table1[[Test code]:[Test code]],[1]!Table1[Q_int_frac DIW],"",0)</f>
        <v>#REF!</v>
      </c>
      <c r="AH1224" s="69" t="e" cm="1">
        <f t="array" ref="AH1224">_xlfn.XLOOKUP(Table1[[#This Row],[5 cm2 cell test code]:[5 cm2 cell test code]],[1]!Table1[[Test code]:[Test code]],[1]!Table1[Ionic resistance 10 mM KOH/Ohm cm2],"",0)</f>
        <v>#REF!</v>
      </c>
      <c r="AI1224" s="69" t="e" cm="1">
        <f t="array" ref="AI1224">_xlfn.XLOOKUP(Table1[[#This Row],[5 cm2 cell test code]:[5 cm2 cell test code]],[1]!Table1[[Test code]:[Test code]],[1]!Table1[Q_int_frac DIW 10 mM KOH],"",0)</f>
        <v>#REF!</v>
      </c>
      <c r="AJ1224" s="69" t="e" cm="1">
        <f t="array" ref="AJ1224">_xlfn.XLOOKUP(Table1[[#This Row],[5 cm2 cell test code]:[5 cm2 cell test code]],[1]!Table1[[Test code]:[Test code]],[1]!Table1[DIW conductivity (µS/cm)],"",0)</f>
        <v>#REF!</v>
      </c>
    </row>
    <row r="1225" spans="1:36">
      <c r="A1225" s="81"/>
      <c r="U1225" s="101"/>
      <c r="V1225" s="101"/>
      <c r="W1225" s="69" t="e" cm="1">
        <f t="array" ref="W1225">_xlfn.XLOOKUP(Table1[[#This Row],[5 cm2 cell test code]:[5 cm2 cell test code]],[1]!Table1[[Test code]:[Test code]],[1]!Table1[i @ 1.8 V DIW (A/cm2)],"",0)</f>
        <v>#REF!</v>
      </c>
      <c r="X1225" s="69" t="e" cm="1">
        <f t="array" ref="X1225">_xlfn.XLOOKUP(Table1[[#This Row],[5 cm2 cell test code]:[5 cm2 cell test code]],[1]!Table1[[Test code]:[Test code]],[1]!Table1[i @ 1.8 V 10 mM KOH (A/cm2)],"",0)</f>
        <v>#REF!</v>
      </c>
      <c r="Y1225" s="69" t="e" cm="1">
        <f t="array" ref="Y1225">_xlfn.XLOOKUP(Table1[[#This Row],[5 cm2 cell test code]:[5 cm2 cell test code]],[1]!Table1[[Test code]:[Test code]],[1]!Table1[3-E ƞ at 20mAcm-2 (mV)],"",0)</f>
        <v>#REF!</v>
      </c>
      <c r="Z1225" s="69" t="e" cm="1">
        <f t="array" ref="Z1225">_xlfn.XLOOKUP(Table1[[#This Row],[5 cm2 cell test code]:[5 cm2 cell test code]],[1]!Table1[[Test code]:[Test code]],[1]!Table1[3-E Tafel slope (mV/dec)],"",0)</f>
        <v>#REF!</v>
      </c>
      <c r="AA1225" s="69" t="e" cm="1">
        <f t="array" ref="AA1225">_xlfn.XLOOKUP(Table1[[#This Row],[5 cm2 cell test code]:[5 cm2 cell test code]],[1]!Table1[[Test code]:[Test code]],[1]!Table1[E @ 100 mA/cm2 DIW/V],"",0)</f>
        <v>#REF!</v>
      </c>
      <c r="AB1225" s="69" t="e" cm="1">
        <f t="array" ref="AB1225">_xlfn.XLOOKUP(Table1[[#This Row],[5 cm2 cell test code]:[5 cm2 cell test code]],[1]!Table1[[Test code]:[Test code]],[1]!Table1[E @ 100 mA/cm2 10 mM KOH/V],"",0)</f>
        <v>#REF!</v>
      </c>
      <c r="AC1225" s="69" t="e" cm="1">
        <f t="array" ref="AC1225">_xlfn.XLOOKUP(Table1[[#This Row],[5 cm2 cell test code]:[5 cm2 cell test code]],[1]!Table1[[Test code]:[Test code]],[1]!Table1[Anode ICR/mOhm],"",0)</f>
        <v>#REF!</v>
      </c>
      <c r="AD1225" s="69" t="e" cm="1">
        <f t="array" ref="AD1225">_xlfn.XLOOKUP(Table1[[#This Row],[5 cm2 cell test code]:[5 cm2 cell test code]],[1]!Table1[[Test code]:[Test code]],[1]!Table1[HFR DIW/ mOhm cm2],"",0)</f>
        <v>#REF!</v>
      </c>
      <c r="AE1225" s="69" t="e" cm="1">
        <f t="array" ref="AE1225">_xlfn.XLOOKUP(Table1[[#This Row],[5 cm2 cell test code]:[5 cm2 cell test code]],[1]!Table1[[Test code]:[Test code]],[1]!Table1[HFR 10 mM KOH/ mOhm cm2],"",0)</f>
        <v>#REF!</v>
      </c>
      <c r="AF1225" s="69" t="e" cm="1">
        <f t="array" ref="AF1225">_xlfn.XLOOKUP(Table1[[#This Row],[5 cm2 cell test code]:[5 cm2 cell test code]],[1]!Table1[[Test code]:[Test code]],[1]!Table1[Ionic resistance DIW/Ohm cm2],"",0)</f>
        <v>#REF!</v>
      </c>
      <c r="AG1225" s="69" t="e" cm="1">
        <f t="array" ref="AG1225">_xlfn.XLOOKUP(Table1[[#This Row],[5 cm2 cell test code]:[5 cm2 cell test code]],[1]!Table1[[Test code]:[Test code]],[1]!Table1[Q_int_frac DIW],"",0)</f>
        <v>#REF!</v>
      </c>
      <c r="AH1225" s="69" t="e" cm="1">
        <f t="array" ref="AH1225">_xlfn.XLOOKUP(Table1[[#This Row],[5 cm2 cell test code]:[5 cm2 cell test code]],[1]!Table1[[Test code]:[Test code]],[1]!Table1[Ionic resistance 10 mM KOH/Ohm cm2],"",0)</f>
        <v>#REF!</v>
      </c>
      <c r="AI1225" s="69" t="e" cm="1">
        <f t="array" ref="AI1225">_xlfn.XLOOKUP(Table1[[#This Row],[5 cm2 cell test code]:[5 cm2 cell test code]],[1]!Table1[[Test code]:[Test code]],[1]!Table1[Q_int_frac DIW 10 mM KOH],"",0)</f>
        <v>#REF!</v>
      </c>
      <c r="AJ1225" s="69" t="e" cm="1">
        <f t="array" ref="AJ1225">_xlfn.XLOOKUP(Table1[[#This Row],[5 cm2 cell test code]:[5 cm2 cell test code]],[1]!Table1[[Test code]:[Test code]],[1]!Table1[DIW conductivity (µS/cm)],"",0)</f>
        <v>#REF!</v>
      </c>
    </row>
    <row r="1226" spans="1:36">
      <c r="A1226" s="81"/>
      <c r="U1226" s="101"/>
      <c r="V1226" s="101"/>
      <c r="W1226" s="69" t="e" cm="1">
        <f t="array" ref="W1226">_xlfn.XLOOKUP(Table1[[#This Row],[5 cm2 cell test code]:[5 cm2 cell test code]],[1]!Table1[[Test code]:[Test code]],[1]!Table1[i @ 1.8 V DIW (A/cm2)],"",0)</f>
        <v>#REF!</v>
      </c>
      <c r="X1226" s="69" t="e" cm="1">
        <f t="array" ref="X1226">_xlfn.XLOOKUP(Table1[[#This Row],[5 cm2 cell test code]:[5 cm2 cell test code]],[1]!Table1[[Test code]:[Test code]],[1]!Table1[i @ 1.8 V 10 mM KOH (A/cm2)],"",0)</f>
        <v>#REF!</v>
      </c>
      <c r="Y1226" s="69" t="e" cm="1">
        <f t="array" ref="Y1226">_xlfn.XLOOKUP(Table1[[#This Row],[5 cm2 cell test code]:[5 cm2 cell test code]],[1]!Table1[[Test code]:[Test code]],[1]!Table1[3-E ƞ at 20mAcm-2 (mV)],"",0)</f>
        <v>#REF!</v>
      </c>
      <c r="Z1226" s="69" t="e" cm="1">
        <f t="array" ref="Z1226">_xlfn.XLOOKUP(Table1[[#This Row],[5 cm2 cell test code]:[5 cm2 cell test code]],[1]!Table1[[Test code]:[Test code]],[1]!Table1[3-E Tafel slope (mV/dec)],"",0)</f>
        <v>#REF!</v>
      </c>
      <c r="AA1226" s="69" t="e" cm="1">
        <f t="array" ref="AA1226">_xlfn.XLOOKUP(Table1[[#This Row],[5 cm2 cell test code]:[5 cm2 cell test code]],[1]!Table1[[Test code]:[Test code]],[1]!Table1[E @ 100 mA/cm2 DIW/V],"",0)</f>
        <v>#REF!</v>
      </c>
      <c r="AB1226" s="69" t="e" cm="1">
        <f t="array" ref="AB1226">_xlfn.XLOOKUP(Table1[[#This Row],[5 cm2 cell test code]:[5 cm2 cell test code]],[1]!Table1[[Test code]:[Test code]],[1]!Table1[E @ 100 mA/cm2 10 mM KOH/V],"",0)</f>
        <v>#REF!</v>
      </c>
      <c r="AC1226" s="69" t="e" cm="1">
        <f t="array" ref="AC1226">_xlfn.XLOOKUP(Table1[[#This Row],[5 cm2 cell test code]:[5 cm2 cell test code]],[1]!Table1[[Test code]:[Test code]],[1]!Table1[Anode ICR/mOhm],"",0)</f>
        <v>#REF!</v>
      </c>
      <c r="AD1226" s="69" t="e" cm="1">
        <f t="array" ref="AD1226">_xlfn.XLOOKUP(Table1[[#This Row],[5 cm2 cell test code]:[5 cm2 cell test code]],[1]!Table1[[Test code]:[Test code]],[1]!Table1[HFR DIW/ mOhm cm2],"",0)</f>
        <v>#REF!</v>
      </c>
      <c r="AE1226" s="69" t="e" cm="1">
        <f t="array" ref="AE1226">_xlfn.XLOOKUP(Table1[[#This Row],[5 cm2 cell test code]:[5 cm2 cell test code]],[1]!Table1[[Test code]:[Test code]],[1]!Table1[HFR 10 mM KOH/ mOhm cm2],"",0)</f>
        <v>#REF!</v>
      </c>
      <c r="AF1226" s="69" t="e" cm="1">
        <f t="array" ref="AF1226">_xlfn.XLOOKUP(Table1[[#This Row],[5 cm2 cell test code]:[5 cm2 cell test code]],[1]!Table1[[Test code]:[Test code]],[1]!Table1[Ionic resistance DIW/Ohm cm2],"",0)</f>
        <v>#REF!</v>
      </c>
      <c r="AG1226" s="69" t="e" cm="1">
        <f t="array" ref="AG1226">_xlfn.XLOOKUP(Table1[[#This Row],[5 cm2 cell test code]:[5 cm2 cell test code]],[1]!Table1[[Test code]:[Test code]],[1]!Table1[Q_int_frac DIW],"",0)</f>
        <v>#REF!</v>
      </c>
      <c r="AH1226" s="69" t="e" cm="1">
        <f t="array" ref="AH1226">_xlfn.XLOOKUP(Table1[[#This Row],[5 cm2 cell test code]:[5 cm2 cell test code]],[1]!Table1[[Test code]:[Test code]],[1]!Table1[Ionic resistance 10 mM KOH/Ohm cm2],"",0)</f>
        <v>#REF!</v>
      </c>
      <c r="AI1226" s="69" t="e" cm="1">
        <f t="array" ref="AI1226">_xlfn.XLOOKUP(Table1[[#This Row],[5 cm2 cell test code]:[5 cm2 cell test code]],[1]!Table1[[Test code]:[Test code]],[1]!Table1[Q_int_frac DIW 10 mM KOH],"",0)</f>
        <v>#REF!</v>
      </c>
      <c r="AJ1226" s="69" t="e" cm="1">
        <f t="array" ref="AJ1226">_xlfn.XLOOKUP(Table1[[#This Row],[5 cm2 cell test code]:[5 cm2 cell test code]],[1]!Table1[[Test code]:[Test code]],[1]!Table1[DIW conductivity (µS/cm)],"",0)</f>
        <v>#REF!</v>
      </c>
    </row>
    <row r="1227" spans="1:36">
      <c r="A1227" s="81"/>
      <c r="U1227" s="101"/>
      <c r="V1227" s="101"/>
      <c r="W1227" s="69" t="e" cm="1">
        <f t="array" ref="W1227">_xlfn.XLOOKUP(Table1[[#This Row],[5 cm2 cell test code]:[5 cm2 cell test code]],[1]!Table1[[Test code]:[Test code]],[1]!Table1[i @ 1.8 V DIW (A/cm2)],"",0)</f>
        <v>#REF!</v>
      </c>
      <c r="X1227" s="69" t="e" cm="1">
        <f t="array" ref="X1227">_xlfn.XLOOKUP(Table1[[#This Row],[5 cm2 cell test code]:[5 cm2 cell test code]],[1]!Table1[[Test code]:[Test code]],[1]!Table1[i @ 1.8 V 10 mM KOH (A/cm2)],"",0)</f>
        <v>#REF!</v>
      </c>
      <c r="Y1227" s="69" t="e" cm="1">
        <f t="array" ref="Y1227">_xlfn.XLOOKUP(Table1[[#This Row],[5 cm2 cell test code]:[5 cm2 cell test code]],[1]!Table1[[Test code]:[Test code]],[1]!Table1[3-E ƞ at 20mAcm-2 (mV)],"",0)</f>
        <v>#REF!</v>
      </c>
      <c r="Z1227" s="69" t="e" cm="1">
        <f t="array" ref="Z1227">_xlfn.XLOOKUP(Table1[[#This Row],[5 cm2 cell test code]:[5 cm2 cell test code]],[1]!Table1[[Test code]:[Test code]],[1]!Table1[3-E Tafel slope (mV/dec)],"",0)</f>
        <v>#REF!</v>
      </c>
      <c r="AA1227" s="69" t="e" cm="1">
        <f t="array" ref="AA1227">_xlfn.XLOOKUP(Table1[[#This Row],[5 cm2 cell test code]:[5 cm2 cell test code]],[1]!Table1[[Test code]:[Test code]],[1]!Table1[E @ 100 mA/cm2 DIW/V],"",0)</f>
        <v>#REF!</v>
      </c>
      <c r="AB1227" s="69" t="e" cm="1">
        <f t="array" ref="AB1227">_xlfn.XLOOKUP(Table1[[#This Row],[5 cm2 cell test code]:[5 cm2 cell test code]],[1]!Table1[[Test code]:[Test code]],[1]!Table1[E @ 100 mA/cm2 10 mM KOH/V],"",0)</f>
        <v>#REF!</v>
      </c>
      <c r="AC1227" s="69" t="e" cm="1">
        <f t="array" ref="AC1227">_xlfn.XLOOKUP(Table1[[#This Row],[5 cm2 cell test code]:[5 cm2 cell test code]],[1]!Table1[[Test code]:[Test code]],[1]!Table1[Anode ICR/mOhm],"",0)</f>
        <v>#REF!</v>
      </c>
      <c r="AD1227" s="69" t="e" cm="1">
        <f t="array" ref="AD1227">_xlfn.XLOOKUP(Table1[[#This Row],[5 cm2 cell test code]:[5 cm2 cell test code]],[1]!Table1[[Test code]:[Test code]],[1]!Table1[HFR DIW/ mOhm cm2],"",0)</f>
        <v>#REF!</v>
      </c>
      <c r="AE1227" s="69" t="e" cm="1">
        <f t="array" ref="AE1227">_xlfn.XLOOKUP(Table1[[#This Row],[5 cm2 cell test code]:[5 cm2 cell test code]],[1]!Table1[[Test code]:[Test code]],[1]!Table1[HFR 10 mM KOH/ mOhm cm2],"",0)</f>
        <v>#REF!</v>
      </c>
      <c r="AF1227" s="69" t="e" cm="1">
        <f t="array" ref="AF1227">_xlfn.XLOOKUP(Table1[[#This Row],[5 cm2 cell test code]:[5 cm2 cell test code]],[1]!Table1[[Test code]:[Test code]],[1]!Table1[Ionic resistance DIW/Ohm cm2],"",0)</f>
        <v>#REF!</v>
      </c>
      <c r="AG1227" s="69" t="e" cm="1">
        <f t="array" ref="AG1227">_xlfn.XLOOKUP(Table1[[#This Row],[5 cm2 cell test code]:[5 cm2 cell test code]],[1]!Table1[[Test code]:[Test code]],[1]!Table1[Q_int_frac DIW],"",0)</f>
        <v>#REF!</v>
      </c>
      <c r="AH1227" s="69" t="e" cm="1">
        <f t="array" ref="AH1227">_xlfn.XLOOKUP(Table1[[#This Row],[5 cm2 cell test code]:[5 cm2 cell test code]],[1]!Table1[[Test code]:[Test code]],[1]!Table1[Ionic resistance 10 mM KOH/Ohm cm2],"",0)</f>
        <v>#REF!</v>
      </c>
      <c r="AI1227" s="69" t="e" cm="1">
        <f t="array" ref="AI1227">_xlfn.XLOOKUP(Table1[[#This Row],[5 cm2 cell test code]:[5 cm2 cell test code]],[1]!Table1[[Test code]:[Test code]],[1]!Table1[Q_int_frac DIW 10 mM KOH],"",0)</f>
        <v>#REF!</v>
      </c>
      <c r="AJ1227" s="69" t="e" cm="1">
        <f t="array" ref="AJ1227">_xlfn.XLOOKUP(Table1[[#This Row],[5 cm2 cell test code]:[5 cm2 cell test code]],[1]!Table1[[Test code]:[Test code]],[1]!Table1[DIW conductivity (µS/cm)],"",0)</f>
        <v>#REF!</v>
      </c>
    </row>
    <row r="1228" spans="1:36">
      <c r="A1228" s="81"/>
      <c r="U1228" s="101"/>
      <c r="V1228" s="101"/>
      <c r="W1228" s="69" t="e" cm="1">
        <f t="array" ref="W1228">_xlfn.XLOOKUP(Table1[[#This Row],[5 cm2 cell test code]:[5 cm2 cell test code]],[1]!Table1[[Test code]:[Test code]],[1]!Table1[i @ 1.8 V DIW (A/cm2)],"",0)</f>
        <v>#REF!</v>
      </c>
      <c r="X1228" s="69" t="e" cm="1">
        <f t="array" ref="X1228">_xlfn.XLOOKUP(Table1[[#This Row],[5 cm2 cell test code]:[5 cm2 cell test code]],[1]!Table1[[Test code]:[Test code]],[1]!Table1[i @ 1.8 V 10 mM KOH (A/cm2)],"",0)</f>
        <v>#REF!</v>
      </c>
      <c r="Y1228" s="69" t="e" cm="1">
        <f t="array" ref="Y1228">_xlfn.XLOOKUP(Table1[[#This Row],[5 cm2 cell test code]:[5 cm2 cell test code]],[1]!Table1[[Test code]:[Test code]],[1]!Table1[3-E ƞ at 20mAcm-2 (mV)],"",0)</f>
        <v>#REF!</v>
      </c>
      <c r="Z1228" s="69" t="e" cm="1">
        <f t="array" ref="Z1228">_xlfn.XLOOKUP(Table1[[#This Row],[5 cm2 cell test code]:[5 cm2 cell test code]],[1]!Table1[[Test code]:[Test code]],[1]!Table1[3-E Tafel slope (mV/dec)],"",0)</f>
        <v>#REF!</v>
      </c>
      <c r="AA1228" s="69" t="e" cm="1">
        <f t="array" ref="AA1228">_xlfn.XLOOKUP(Table1[[#This Row],[5 cm2 cell test code]:[5 cm2 cell test code]],[1]!Table1[[Test code]:[Test code]],[1]!Table1[E @ 100 mA/cm2 DIW/V],"",0)</f>
        <v>#REF!</v>
      </c>
      <c r="AB1228" s="69" t="e" cm="1">
        <f t="array" ref="AB1228">_xlfn.XLOOKUP(Table1[[#This Row],[5 cm2 cell test code]:[5 cm2 cell test code]],[1]!Table1[[Test code]:[Test code]],[1]!Table1[E @ 100 mA/cm2 10 mM KOH/V],"",0)</f>
        <v>#REF!</v>
      </c>
      <c r="AC1228" s="69" t="e" cm="1">
        <f t="array" ref="AC1228">_xlfn.XLOOKUP(Table1[[#This Row],[5 cm2 cell test code]:[5 cm2 cell test code]],[1]!Table1[[Test code]:[Test code]],[1]!Table1[Anode ICR/mOhm],"",0)</f>
        <v>#REF!</v>
      </c>
      <c r="AD1228" s="69" t="e" cm="1">
        <f t="array" ref="AD1228">_xlfn.XLOOKUP(Table1[[#This Row],[5 cm2 cell test code]:[5 cm2 cell test code]],[1]!Table1[[Test code]:[Test code]],[1]!Table1[HFR DIW/ mOhm cm2],"",0)</f>
        <v>#REF!</v>
      </c>
      <c r="AE1228" s="69" t="e" cm="1">
        <f t="array" ref="AE1228">_xlfn.XLOOKUP(Table1[[#This Row],[5 cm2 cell test code]:[5 cm2 cell test code]],[1]!Table1[[Test code]:[Test code]],[1]!Table1[HFR 10 mM KOH/ mOhm cm2],"",0)</f>
        <v>#REF!</v>
      </c>
      <c r="AF1228" s="69" t="e" cm="1">
        <f t="array" ref="AF1228">_xlfn.XLOOKUP(Table1[[#This Row],[5 cm2 cell test code]:[5 cm2 cell test code]],[1]!Table1[[Test code]:[Test code]],[1]!Table1[Ionic resistance DIW/Ohm cm2],"",0)</f>
        <v>#REF!</v>
      </c>
      <c r="AG1228" s="69" t="e" cm="1">
        <f t="array" ref="AG1228">_xlfn.XLOOKUP(Table1[[#This Row],[5 cm2 cell test code]:[5 cm2 cell test code]],[1]!Table1[[Test code]:[Test code]],[1]!Table1[Q_int_frac DIW],"",0)</f>
        <v>#REF!</v>
      </c>
      <c r="AH1228" s="69" t="e" cm="1">
        <f t="array" ref="AH1228">_xlfn.XLOOKUP(Table1[[#This Row],[5 cm2 cell test code]:[5 cm2 cell test code]],[1]!Table1[[Test code]:[Test code]],[1]!Table1[Ionic resistance 10 mM KOH/Ohm cm2],"",0)</f>
        <v>#REF!</v>
      </c>
      <c r="AI1228" s="69" t="e" cm="1">
        <f t="array" ref="AI1228">_xlfn.XLOOKUP(Table1[[#This Row],[5 cm2 cell test code]:[5 cm2 cell test code]],[1]!Table1[[Test code]:[Test code]],[1]!Table1[Q_int_frac DIW 10 mM KOH],"",0)</f>
        <v>#REF!</v>
      </c>
      <c r="AJ1228" s="69" t="e" cm="1">
        <f t="array" ref="AJ1228">_xlfn.XLOOKUP(Table1[[#This Row],[5 cm2 cell test code]:[5 cm2 cell test code]],[1]!Table1[[Test code]:[Test code]],[1]!Table1[DIW conductivity (µS/cm)],"",0)</f>
        <v>#REF!</v>
      </c>
    </row>
    <row r="1229" spans="1:36">
      <c r="A1229" s="81"/>
      <c r="U1229" s="101"/>
      <c r="V1229" s="101"/>
      <c r="W1229" s="69" t="e" cm="1">
        <f t="array" ref="W1229">_xlfn.XLOOKUP(Table1[[#This Row],[5 cm2 cell test code]:[5 cm2 cell test code]],[1]!Table1[[Test code]:[Test code]],[1]!Table1[i @ 1.8 V DIW (A/cm2)],"",0)</f>
        <v>#REF!</v>
      </c>
      <c r="X1229" s="69" t="e" cm="1">
        <f t="array" ref="X1229">_xlfn.XLOOKUP(Table1[[#This Row],[5 cm2 cell test code]:[5 cm2 cell test code]],[1]!Table1[[Test code]:[Test code]],[1]!Table1[i @ 1.8 V 10 mM KOH (A/cm2)],"",0)</f>
        <v>#REF!</v>
      </c>
      <c r="Y1229" s="69" t="e" cm="1">
        <f t="array" ref="Y1229">_xlfn.XLOOKUP(Table1[[#This Row],[5 cm2 cell test code]:[5 cm2 cell test code]],[1]!Table1[[Test code]:[Test code]],[1]!Table1[3-E ƞ at 20mAcm-2 (mV)],"",0)</f>
        <v>#REF!</v>
      </c>
      <c r="Z1229" s="69" t="e" cm="1">
        <f t="array" ref="Z1229">_xlfn.XLOOKUP(Table1[[#This Row],[5 cm2 cell test code]:[5 cm2 cell test code]],[1]!Table1[[Test code]:[Test code]],[1]!Table1[3-E Tafel slope (mV/dec)],"",0)</f>
        <v>#REF!</v>
      </c>
      <c r="AA1229" s="69" t="e" cm="1">
        <f t="array" ref="AA1229">_xlfn.XLOOKUP(Table1[[#This Row],[5 cm2 cell test code]:[5 cm2 cell test code]],[1]!Table1[[Test code]:[Test code]],[1]!Table1[E @ 100 mA/cm2 DIW/V],"",0)</f>
        <v>#REF!</v>
      </c>
      <c r="AB1229" s="69" t="e" cm="1">
        <f t="array" ref="AB1229">_xlfn.XLOOKUP(Table1[[#This Row],[5 cm2 cell test code]:[5 cm2 cell test code]],[1]!Table1[[Test code]:[Test code]],[1]!Table1[E @ 100 mA/cm2 10 mM KOH/V],"",0)</f>
        <v>#REF!</v>
      </c>
      <c r="AC1229" s="69" t="e" cm="1">
        <f t="array" ref="AC1229">_xlfn.XLOOKUP(Table1[[#This Row],[5 cm2 cell test code]:[5 cm2 cell test code]],[1]!Table1[[Test code]:[Test code]],[1]!Table1[Anode ICR/mOhm],"",0)</f>
        <v>#REF!</v>
      </c>
      <c r="AD1229" s="69" t="e" cm="1">
        <f t="array" ref="AD1229">_xlfn.XLOOKUP(Table1[[#This Row],[5 cm2 cell test code]:[5 cm2 cell test code]],[1]!Table1[[Test code]:[Test code]],[1]!Table1[HFR DIW/ mOhm cm2],"",0)</f>
        <v>#REF!</v>
      </c>
      <c r="AE1229" s="69" t="e" cm="1">
        <f t="array" ref="AE1229">_xlfn.XLOOKUP(Table1[[#This Row],[5 cm2 cell test code]:[5 cm2 cell test code]],[1]!Table1[[Test code]:[Test code]],[1]!Table1[HFR 10 mM KOH/ mOhm cm2],"",0)</f>
        <v>#REF!</v>
      </c>
      <c r="AF1229" s="69" t="e" cm="1">
        <f t="array" ref="AF1229">_xlfn.XLOOKUP(Table1[[#This Row],[5 cm2 cell test code]:[5 cm2 cell test code]],[1]!Table1[[Test code]:[Test code]],[1]!Table1[Ionic resistance DIW/Ohm cm2],"",0)</f>
        <v>#REF!</v>
      </c>
      <c r="AG1229" s="69" t="e" cm="1">
        <f t="array" ref="AG1229">_xlfn.XLOOKUP(Table1[[#This Row],[5 cm2 cell test code]:[5 cm2 cell test code]],[1]!Table1[[Test code]:[Test code]],[1]!Table1[Q_int_frac DIW],"",0)</f>
        <v>#REF!</v>
      </c>
      <c r="AH1229" s="69" t="e" cm="1">
        <f t="array" ref="AH1229">_xlfn.XLOOKUP(Table1[[#This Row],[5 cm2 cell test code]:[5 cm2 cell test code]],[1]!Table1[[Test code]:[Test code]],[1]!Table1[Ionic resistance 10 mM KOH/Ohm cm2],"",0)</f>
        <v>#REF!</v>
      </c>
      <c r="AI1229" s="69" t="e" cm="1">
        <f t="array" ref="AI1229">_xlfn.XLOOKUP(Table1[[#This Row],[5 cm2 cell test code]:[5 cm2 cell test code]],[1]!Table1[[Test code]:[Test code]],[1]!Table1[Q_int_frac DIW 10 mM KOH],"",0)</f>
        <v>#REF!</v>
      </c>
      <c r="AJ1229" s="69" t="e" cm="1">
        <f t="array" ref="AJ1229">_xlfn.XLOOKUP(Table1[[#This Row],[5 cm2 cell test code]:[5 cm2 cell test code]],[1]!Table1[[Test code]:[Test code]],[1]!Table1[DIW conductivity (µS/cm)],"",0)</f>
        <v>#REF!</v>
      </c>
    </row>
    <row r="1230" spans="1:36">
      <c r="A1230" s="81"/>
      <c r="U1230" s="101"/>
      <c r="V1230" s="101"/>
      <c r="W1230" s="69" t="e" cm="1">
        <f t="array" ref="W1230">_xlfn.XLOOKUP(Table1[[#This Row],[5 cm2 cell test code]:[5 cm2 cell test code]],[1]!Table1[[Test code]:[Test code]],[1]!Table1[i @ 1.8 V DIW (A/cm2)],"",0)</f>
        <v>#REF!</v>
      </c>
      <c r="X1230" s="69" t="e" cm="1">
        <f t="array" ref="X1230">_xlfn.XLOOKUP(Table1[[#This Row],[5 cm2 cell test code]:[5 cm2 cell test code]],[1]!Table1[[Test code]:[Test code]],[1]!Table1[i @ 1.8 V 10 mM KOH (A/cm2)],"",0)</f>
        <v>#REF!</v>
      </c>
      <c r="Y1230" s="69" t="e" cm="1">
        <f t="array" ref="Y1230">_xlfn.XLOOKUP(Table1[[#This Row],[5 cm2 cell test code]:[5 cm2 cell test code]],[1]!Table1[[Test code]:[Test code]],[1]!Table1[3-E ƞ at 20mAcm-2 (mV)],"",0)</f>
        <v>#REF!</v>
      </c>
      <c r="Z1230" s="69" t="e" cm="1">
        <f t="array" ref="Z1230">_xlfn.XLOOKUP(Table1[[#This Row],[5 cm2 cell test code]:[5 cm2 cell test code]],[1]!Table1[[Test code]:[Test code]],[1]!Table1[3-E Tafel slope (mV/dec)],"",0)</f>
        <v>#REF!</v>
      </c>
      <c r="AA1230" s="69" t="e" cm="1">
        <f t="array" ref="AA1230">_xlfn.XLOOKUP(Table1[[#This Row],[5 cm2 cell test code]:[5 cm2 cell test code]],[1]!Table1[[Test code]:[Test code]],[1]!Table1[E @ 100 mA/cm2 DIW/V],"",0)</f>
        <v>#REF!</v>
      </c>
      <c r="AB1230" s="69" t="e" cm="1">
        <f t="array" ref="AB1230">_xlfn.XLOOKUP(Table1[[#This Row],[5 cm2 cell test code]:[5 cm2 cell test code]],[1]!Table1[[Test code]:[Test code]],[1]!Table1[E @ 100 mA/cm2 10 mM KOH/V],"",0)</f>
        <v>#REF!</v>
      </c>
      <c r="AC1230" s="69" t="e" cm="1">
        <f t="array" ref="AC1230">_xlfn.XLOOKUP(Table1[[#This Row],[5 cm2 cell test code]:[5 cm2 cell test code]],[1]!Table1[[Test code]:[Test code]],[1]!Table1[Anode ICR/mOhm],"",0)</f>
        <v>#REF!</v>
      </c>
      <c r="AD1230" s="69" t="e" cm="1">
        <f t="array" ref="AD1230">_xlfn.XLOOKUP(Table1[[#This Row],[5 cm2 cell test code]:[5 cm2 cell test code]],[1]!Table1[[Test code]:[Test code]],[1]!Table1[HFR DIW/ mOhm cm2],"",0)</f>
        <v>#REF!</v>
      </c>
      <c r="AE1230" s="69" t="e" cm="1">
        <f t="array" ref="AE1230">_xlfn.XLOOKUP(Table1[[#This Row],[5 cm2 cell test code]:[5 cm2 cell test code]],[1]!Table1[[Test code]:[Test code]],[1]!Table1[HFR 10 mM KOH/ mOhm cm2],"",0)</f>
        <v>#REF!</v>
      </c>
      <c r="AF1230" s="69" t="e" cm="1">
        <f t="array" ref="AF1230">_xlfn.XLOOKUP(Table1[[#This Row],[5 cm2 cell test code]:[5 cm2 cell test code]],[1]!Table1[[Test code]:[Test code]],[1]!Table1[Ionic resistance DIW/Ohm cm2],"",0)</f>
        <v>#REF!</v>
      </c>
      <c r="AG1230" s="69" t="e" cm="1">
        <f t="array" ref="AG1230">_xlfn.XLOOKUP(Table1[[#This Row],[5 cm2 cell test code]:[5 cm2 cell test code]],[1]!Table1[[Test code]:[Test code]],[1]!Table1[Q_int_frac DIW],"",0)</f>
        <v>#REF!</v>
      </c>
      <c r="AH1230" s="69" t="e" cm="1">
        <f t="array" ref="AH1230">_xlfn.XLOOKUP(Table1[[#This Row],[5 cm2 cell test code]:[5 cm2 cell test code]],[1]!Table1[[Test code]:[Test code]],[1]!Table1[Ionic resistance 10 mM KOH/Ohm cm2],"",0)</f>
        <v>#REF!</v>
      </c>
      <c r="AI1230" s="69" t="e" cm="1">
        <f t="array" ref="AI1230">_xlfn.XLOOKUP(Table1[[#This Row],[5 cm2 cell test code]:[5 cm2 cell test code]],[1]!Table1[[Test code]:[Test code]],[1]!Table1[Q_int_frac DIW 10 mM KOH],"",0)</f>
        <v>#REF!</v>
      </c>
      <c r="AJ1230" s="69" t="e" cm="1">
        <f t="array" ref="AJ1230">_xlfn.XLOOKUP(Table1[[#This Row],[5 cm2 cell test code]:[5 cm2 cell test code]],[1]!Table1[[Test code]:[Test code]],[1]!Table1[DIW conductivity (µS/cm)],"",0)</f>
        <v>#REF!</v>
      </c>
    </row>
    <row r="1231" spans="1:36">
      <c r="A1231" s="81"/>
      <c r="U1231" s="101"/>
      <c r="V1231" s="101"/>
      <c r="W1231" s="69" t="e" cm="1">
        <f t="array" ref="W1231">_xlfn.XLOOKUP(Table1[[#This Row],[5 cm2 cell test code]:[5 cm2 cell test code]],[1]!Table1[[Test code]:[Test code]],[1]!Table1[i @ 1.8 V DIW (A/cm2)],"",0)</f>
        <v>#REF!</v>
      </c>
      <c r="X1231" s="69" t="e" cm="1">
        <f t="array" ref="X1231">_xlfn.XLOOKUP(Table1[[#This Row],[5 cm2 cell test code]:[5 cm2 cell test code]],[1]!Table1[[Test code]:[Test code]],[1]!Table1[i @ 1.8 V 10 mM KOH (A/cm2)],"",0)</f>
        <v>#REF!</v>
      </c>
      <c r="Y1231" s="69" t="e" cm="1">
        <f t="array" ref="Y1231">_xlfn.XLOOKUP(Table1[[#This Row],[5 cm2 cell test code]:[5 cm2 cell test code]],[1]!Table1[[Test code]:[Test code]],[1]!Table1[3-E ƞ at 20mAcm-2 (mV)],"",0)</f>
        <v>#REF!</v>
      </c>
      <c r="Z1231" s="69" t="e" cm="1">
        <f t="array" ref="Z1231">_xlfn.XLOOKUP(Table1[[#This Row],[5 cm2 cell test code]:[5 cm2 cell test code]],[1]!Table1[[Test code]:[Test code]],[1]!Table1[3-E Tafel slope (mV/dec)],"",0)</f>
        <v>#REF!</v>
      </c>
      <c r="AA1231" s="69" t="e" cm="1">
        <f t="array" ref="AA1231">_xlfn.XLOOKUP(Table1[[#This Row],[5 cm2 cell test code]:[5 cm2 cell test code]],[1]!Table1[[Test code]:[Test code]],[1]!Table1[E @ 100 mA/cm2 DIW/V],"",0)</f>
        <v>#REF!</v>
      </c>
      <c r="AB1231" s="69" t="e" cm="1">
        <f t="array" ref="AB1231">_xlfn.XLOOKUP(Table1[[#This Row],[5 cm2 cell test code]:[5 cm2 cell test code]],[1]!Table1[[Test code]:[Test code]],[1]!Table1[E @ 100 mA/cm2 10 mM KOH/V],"",0)</f>
        <v>#REF!</v>
      </c>
      <c r="AC1231" s="69" t="e" cm="1">
        <f t="array" ref="AC1231">_xlfn.XLOOKUP(Table1[[#This Row],[5 cm2 cell test code]:[5 cm2 cell test code]],[1]!Table1[[Test code]:[Test code]],[1]!Table1[Anode ICR/mOhm],"",0)</f>
        <v>#REF!</v>
      </c>
      <c r="AD1231" s="69" t="e" cm="1">
        <f t="array" ref="AD1231">_xlfn.XLOOKUP(Table1[[#This Row],[5 cm2 cell test code]:[5 cm2 cell test code]],[1]!Table1[[Test code]:[Test code]],[1]!Table1[HFR DIW/ mOhm cm2],"",0)</f>
        <v>#REF!</v>
      </c>
      <c r="AE1231" s="69" t="e" cm="1">
        <f t="array" ref="AE1231">_xlfn.XLOOKUP(Table1[[#This Row],[5 cm2 cell test code]:[5 cm2 cell test code]],[1]!Table1[[Test code]:[Test code]],[1]!Table1[HFR 10 mM KOH/ mOhm cm2],"",0)</f>
        <v>#REF!</v>
      </c>
      <c r="AF1231" s="69" t="e" cm="1">
        <f t="array" ref="AF1231">_xlfn.XLOOKUP(Table1[[#This Row],[5 cm2 cell test code]:[5 cm2 cell test code]],[1]!Table1[[Test code]:[Test code]],[1]!Table1[Ionic resistance DIW/Ohm cm2],"",0)</f>
        <v>#REF!</v>
      </c>
      <c r="AG1231" s="69" t="e" cm="1">
        <f t="array" ref="AG1231">_xlfn.XLOOKUP(Table1[[#This Row],[5 cm2 cell test code]:[5 cm2 cell test code]],[1]!Table1[[Test code]:[Test code]],[1]!Table1[Q_int_frac DIW],"",0)</f>
        <v>#REF!</v>
      </c>
      <c r="AH1231" s="69" t="e" cm="1">
        <f t="array" ref="AH1231">_xlfn.XLOOKUP(Table1[[#This Row],[5 cm2 cell test code]:[5 cm2 cell test code]],[1]!Table1[[Test code]:[Test code]],[1]!Table1[Ionic resistance 10 mM KOH/Ohm cm2],"",0)</f>
        <v>#REF!</v>
      </c>
      <c r="AI1231" s="69" t="e" cm="1">
        <f t="array" ref="AI1231">_xlfn.XLOOKUP(Table1[[#This Row],[5 cm2 cell test code]:[5 cm2 cell test code]],[1]!Table1[[Test code]:[Test code]],[1]!Table1[Q_int_frac DIW 10 mM KOH],"",0)</f>
        <v>#REF!</v>
      </c>
      <c r="AJ1231" s="69" t="e" cm="1">
        <f t="array" ref="AJ1231">_xlfn.XLOOKUP(Table1[[#This Row],[5 cm2 cell test code]:[5 cm2 cell test code]],[1]!Table1[[Test code]:[Test code]],[1]!Table1[DIW conductivity (µS/cm)],"",0)</f>
        <v>#REF!</v>
      </c>
    </row>
    <row r="1232" spans="1:36">
      <c r="A1232" s="81"/>
      <c r="U1232" s="101"/>
      <c r="V1232" s="101"/>
      <c r="W1232" s="69" t="e" cm="1">
        <f t="array" ref="W1232">_xlfn.XLOOKUP(Table1[[#This Row],[5 cm2 cell test code]:[5 cm2 cell test code]],[1]!Table1[[Test code]:[Test code]],[1]!Table1[i @ 1.8 V DIW (A/cm2)],"",0)</f>
        <v>#REF!</v>
      </c>
      <c r="X1232" s="69" t="e" cm="1">
        <f t="array" ref="X1232">_xlfn.XLOOKUP(Table1[[#This Row],[5 cm2 cell test code]:[5 cm2 cell test code]],[1]!Table1[[Test code]:[Test code]],[1]!Table1[i @ 1.8 V 10 mM KOH (A/cm2)],"",0)</f>
        <v>#REF!</v>
      </c>
      <c r="Y1232" s="69" t="e" cm="1">
        <f t="array" ref="Y1232">_xlfn.XLOOKUP(Table1[[#This Row],[5 cm2 cell test code]:[5 cm2 cell test code]],[1]!Table1[[Test code]:[Test code]],[1]!Table1[3-E ƞ at 20mAcm-2 (mV)],"",0)</f>
        <v>#REF!</v>
      </c>
      <c r="Z1232" s="69" t="e" cm="1">
        <f t="array" ref="Z1232">_xlfn.XLOOKUP(Table1[[#This Row],[5 cm2 cell test code]:[5 cm2 cell test code]],[1]!Table1[[Test code]:[Test code]],[1]!Table1[3-E Tafel slope (mV/dec)],"",0)</f>
        <v>#REF!</v>
      </c>
      <c r="AA1232" s="69" t="e" cm="1">
        <f t="array" ref="AA1232">_xlfn.XLOOKUP(Table1[[#This Row],[5 cm2 cell test code]:[5 cm2 cell test code]],[1]!Table1[[Test code]:[Test code]],[1]!Table1[E @ 100 mA/cm2 DIW/V],"",0)</f>
        <v>#REF!</v>
      </c>
      <c r="AB1232" s="69" t="e" cm="1">
        <f t="array" ref="AB1232">_xlfn.XLOOKUP(Table1[[#This Row],[5 cm2 cell test code]:[5 cm2 cell test code]],[1]!Table1[[Test code]:[Test code]],[1]!Table1[E @ 100 mA/cm2 10 mM KOH/V],"",0)</f>
        <v>#REF!</v>
      </c>
      <c r="AC1232" s="69" t="e" cm="1">
        <f t="array" ref="AC1232">_xlfn.XLOOKUP(Table1[[#This Row],[5 cm2 cell test code]:[5 cm2 cell test code]],[1]!Table1[[Test code]:[Test code]],[1]!Table1[Anode ICR/mOhm],"",0)</f>
        <v>#REF!</v>
      </c>
      <c r="AD1232" s="69" t="e" cm="1">
        <f t="array" ref="AD1232">_xlfn.XLOOKUP(Table1[[#This Row],[5 cm2 cell test code]:[5 cm2 cell test code]],[1]!Table1[[Test code]:[Test code]],[1]!Table1[HFR DIW/ mOhm cm2],"",0)</f>
        <v>#REF!</v>
      </c>
      <c r="AE1232" s="69" t="e" cm="1">
        <f t="array" ref="AE1232">_xlfn.XLOOKUP(Table1[[#This Row],[5 cm2 cell test code]:[5 cm2 cell test code]],[1]!Table1[[Test code]:[Test code]],[1]!Table1[HFR 10 mM KOH/ mOhm cm2],"",0)</f>
        <v>#REF!</v>
      </c>
      <c r="AF1232" s="69" t="e" cm="1">
        <f t="array" ref="AF1232">_xlfn.XLOOKUP(Table1[[#This Row],[5 cm2 cell test code]:[5 cm2 cell test code]],[1]!Table1[[Test code]:[Test code]],[1]!Table1[Ionic resistance DIW/Ohm cm2],"",0)</f>
        <v>#REF!</v>
      </c>
      <c r="AG1232" s="69" t="e" cm="1">
        <f t="array" ref="AG1232">_xlfn.XLOOKUP(Table1[[#This Row],[5 cm2 cell test code]:[5 cm2 cell test code]],[1]!Table1[[Test code]:[Test code]],[1]!Table1[Q_int_frac DIW],"",0)</f>
        <v>#REF!</v>
      </c>
      <c r="AH1232" s="69" t="e" cm="1">
        <f t="array" ref="AH1232">_xlfn.XLOOKUP(Table1[[#This Row],[5 cm2 cell test code]:[5 cm2 cell test code]],[1]!Table1[[Test code]:[Test code]],[1]!Table1[Ionic resistance 10 mM KOH/Ohm cm2],"",0)</f>
        <v>#REF!</v>
      </c>
      <c r="AI1232" s="69" t="e" cm="1">
        <f t="array" ref="AI1232">_xlfn.XLOOKUP(Table1[[#This Row],[5 cm2 cell test code]:[5 cm2 cell test code]],[1]!Table1[[Test code]:[Test code]],[1]!Table1[Q_int_frac DIW 10 mM KOH],"",0)</f>
        <v>#REF!</v>
      </c>
      <c r="AJ1232" s="69" t="e" cm="1">
        <f t="array" ref="AJ1232">_xlfn.XLOOKUP(Table1[[#This Row],[5 cm2 cell test code]:[5 cm2 cell test code]],[1]!Table1[[Test code]:[Test code]],[1]!Table1[DIW conductivity (µS/cm)],"",0)</f>
        <v>#REF!</v>
      </c>
    </row>
    <row r="1233" spans="1:36">
      <c r="A1233" s="81"/>
      <c r="U1233" s="101"/>
      <c r="V1233" s="101"/>
      <c r="W1233" s="69" t="e" cm="1">
        <f t="array" ref="W1233">_xlfn.XLOOKUP(Table1[[#This Row],[5 cm2 cell test code]:[5 cm2 cell test code]],[1]!Table1[[Test code]:[Test code]],[1]!Table1[i @ 1.8 V DIW (A/cm2)],"",0)</f>
        <v>#REF!</v>
      </c>
      <c r="X1233" s="69" t="e" cm="1">
        <f t="array" ref="X1233">_xlfn.XLOOKUP(Table1[[#This Row],[5 cm2 cell test code]:[5 cm2 cell test code]],[1]!Table1[[Test code]:[Test code]],[1]!Table1[i @ 1.8 V 10 mM KOH (A/cm2)],"",0)</f>
        <v>#REF!</v>
      </c>
      <c r="Y1233" s="69" t="e" cm="1">
        <f t="array" ref="Y1233">_xlfn.XLOOKUP(Table1[[#This Row],[5 cm2 cell test code]:[5 cm2 cell test code]],[1]!Table1[[Test code]:[Test code]],[1]!Table1[3-E ƞ at 20mAcm-2 (mV)],"",0)</f>
        <v>#REF!</v>
      </c>
      <c r="Z1233" s="69" t="e" cm="1">
        <f t="array" ref="Z1233">_xlfn.XLOOKUP(Table1[[#This Row],[5 cm2 cell test code]:[5 cm2 cell test code]],[1]!Table1[[Test code]:[Test code]],[1]!Table1[3-E Tafel slope (mV/dec)],"",0)</f>
        <v>#REF!</v>
      </c>
      <c r="AA1233" s="69" t="e" cm="1">
        <f t="array" ref="AA1233">_xlfn.XLOOKUP(Table1[[#This Row],[5 cm2 cell test code]:[5 cm2 cell test code]],[1]!Table1[[Test code]:[Test code]],[1]!Table1[E @ 100 mA/cm2 DIW/V],"",0)</f>
        <v>#REF!</v>
      </c>
      <c r="AB1233" s="69" t="e" cm="1">
        <f t="array" ref="AB1233">_xlfn.XLOOKUP(Table1[[#This Row],[5 cm2 cell test code]:[5 cm2 cell test code]],[1]!Table1[[Test code]:[Test code]],[1]!Table1[E @ 100 mA/cm2 10 mM KOH/V],"",0)</f>
        <v>#REF!</v>
      </c>
      <c r="AC1233" s="69" t="e" cm="1">
        <f t="array" ref="AC1233">_xlfn.XLOOKUP(Table1[[#This Row],[5 cm2 cell test code]:[5 cm2 cell test code]],[1]!Table1[[Test code]:[Test code]],[1]!Table1[Anode ICR/mOhm],"",0)</f>
        <v>#REF!</v>
      </c>
      <c r="AD1233" s="69" t="e" cm="1">
        <f t="array" ref="AD1233">_xlfn.XLOOKUP(Table1[[#This Row],[5 cm2 cell test code]:[5 cm2 cell test code]],[1]!Table1[[Test code]:[Test code]],[1]!Table1[HFR DIW/ mOhm cm2],"",0)</f>
        <v>#REF!</v>
      </c>
      <c r="AE1233" s="69" t="e" cm="1">
        <f t="array" ref="AE1233">_xlfn.XLOOKUP(Table1[[#This Row],[5 cm2 cell test code]:[5 cm2 cell test code]],[1]!Table1[[Test code]:[Test code]],[1]!Table1[HFR 10 mM KOH/ mOhm cm2],"",0)</f>
        <v>#REF!</v>
      </c>
      <c r="AF1233" s="69" t="e" cm="1">
        <f t="array" ref="AF1233">_xlfn.XLOOKUP(Table1[[#This Row],[5 cm2 cell test code]:[5 cm2 cell test code]],[1]!Table1[[Test code]:[Test code]],[1]!Table1[Ionic resistance DIW/Ohm cm2],"",0)</f>
        <v>#REF!</v>
      </c>
      <c r="AG1233" s="69" t="e" cm="1">
        <f t="array" ref="AG1233">_xlfn.XLOOKUP(Table1[[#This Row],[5 cm2 cell test code]:[5 cm2 cell test code]],[1]!Table1[[Test code]:[Test code]],[1]!Table1[Q_int_frac DIW],"",0)</f>
        <v>#REF!</v>
      </c>
      <c r="AH1233" s="69" t="e" cm="1">
        <f t="array" ref="AH1233">_xlfn.XLOOKUP(Table1[[#This Row],[5 cm2 cell test code]:[5 cm2 cell test code]],[1]!Table1[[Test code]:[Test code]],[1]!Table1[Ionic resistance 10 mM KOH/Ohm cm2],"",0)</f>
        <v>#REF!</v>
      </c>
      <c r="AI1233" s="69" t="e" cm="1">
        <f t="array" ref="AI1233">_xlfn.XLOOKUP(Table1[[#This Row],[5 cm2 cell test code]:[5 cm2 cell test code]],[1]!Table1[[Test code]:[Test code]],[1]!Table1[Q_int_frac DIW 10 mM KOH],"",0)</f>
        <v>#REF!</v>
      </c>
      <c r="AJ1233" s="69" t="e" cm="1">
        <f t="array" ref="AJ1233">_xlfn.XLOOKUP(Table1[[#This Row],[5 cm2 cell test code]:[5 cm2 cell test code]],[1]!Table1[[Test code]:[Test code]],[1]!Table1[DIW conductivity (µS/cm)],"",0)</f>
        <v>#REF!</v>
      </c>
    </row>
    <row r="1234" spans="1:36">
      <c r="A1234" s="81"/>
      <c r="U1234" s="101"/>
      <c r="V1234" s="101"/>
      <c r="W1234" s="69" t="e" cm="1">
        <f t="array" ref="W1234">_xlfn.XLOOKUP(Table1[[#This Row],[5 cm2 cell test code]:[5 cm2 cell test code]],[1]!Table1[[Test code]:[Test code]],[1]!Table1[i @ 1.8 V DIW (A/cm2)],"",0)</f>
        <v>#REF!</v>
      </c>
      <c r="X1234" s="69" t="e" cm="1">
        <f t="array" ref="X1234">_xlfn.XLOOKUP(Table1[[#This Row],[5 cm2 cell test code]:[5 cm2 cell test code]],[1]!Table1[[Test code]:[Test code]],[1]!Table1[i @ 1.8 V 10 mM KOH (A/cm2)],"",0)</f>
        <v>#REF!</v>
      </c>
      <c r="Y1234" s="69" t="e" cm="1">
        <f t="array" ref="Y1234">_xlfn.XLOOKUP(Table1[[#This Row],[5 cm2 cell test code]:[5 cm2 cell test code]],[1]!Table1[[Test code]:[Test code]],[1]!Table1[3-E ƞ at 20mAcm-2 (mV)],"",0)</f>
        <v>#REF!</v>
      </c>
      <c r="Z1234" s="69" t="e" cm="1">
        <f t="array" ref="Z1234">_xlfn.XLOOKUP(Table1[[#This Row],[5 cm2 cell test code]:[5 cm2 cell test code]],[1]!Table1[[Test code]:[Test code]],[1]!Table1[3-E Tafel slope (mV/dec)],"",0)</f>
        <v>#REF!</v>
      </c>
      <c r="AA1234" s="69" t="e" cm="1">
        <f t="array" ref="AA1234">_xlfn.XLOOKUP(Table1[[#This Row],[5 cm2 cell test code]:[5 cm2 cell test code]],[1]!Table1[[Test code]:[Test code]],[1]!Table1[E @ 100 mA/cm2 DIW/V],"",0)</f>
        <v>#REF!</v>
      </c>
      <c r="AB1234" s="69" t="e" cm="1">
        <f t="array" ref="AB1234">_xlfn.XLOOKUP(Table1[[#This Row],[5 cm2 cell test code]:[5 cm2 cell test code]],[1]!Table1[[Test code]:[Test code]],[1]!Table1[E @ 100 mA/cm2 10 mM KOH/V],"",0)</f>
        <v>#REF!</v>
      </c>
      <c r="AC1234" s="69" t="e" cm="1">
        <f t="array" ref="AC1234">_xlfn.XLOOKUP(Table1[[#This Row],[5 cm2 cell test code]:[5 cm2 cell test code]],[1]!Table1[[Test code]:[Test code]],[1]!Table1[Anode ICR/mOhm],"",0)</f>
        <v>#REF!</v>
      </c>
      <c r="AD1234" s="69" t="e" cm="1">
        <f t="array" ref="AD1234">_xlfn.XLOOKUP(Table1[[#This Row],[5 cm2 cell test code]:[5 cm2 cell test code]],[1]!Table1[[Test code]:[Test code]],[1]!Table1[HFR DIW/ mOhm cm2],"",0)</f>
        <v>#REF!</v>
      </c>
      <c r="AE1234" s="69" t="e" cm="1">
        <f t="array" ref="AE1234">_xlfn.XLOOKUP(Table1[[#This Row],[5 cm2 cell test code]:[5 cm2 cell test code]],[1]!Table1[[Test code]:[Test code]],[1]!Table1[HFR 10 mM KOH/ mOhm cm2],"",0)</f>
        <v>#REF!</v>
      </c>
      <c r="AF1234" s="69" t="e" cm="1">
        <f t="array" ref="AF1234">_xlfn.XLOOKUP(Table1[[#This Row],[5 cm2 cell test code]:[5 cm2 cell test code]],[1]!Table1[[Test code]:[Test code]],[1]!Table1[Ionic resistance DIW/Ohm cm2],"",0)</f>
        <v>#REF!</v>
      </c>
      <c r="AG1234" s="69" t="e" cm="1">
        <f t="array" ref="AG1234">_xlfn.XLOOKUP(Table1[[#This Row],[5 cm2 cell test code]:[5 cm2 cell test code]],[1]!Table1[[Test code]:[Test code]],[1]!Table1[Q_int_frac DIW],"",0)</f>
        <v>#REF!</v>
      </c>
      <c r="AH1234" s="69" t="e" cm="1">
        <f t="array" ref="AH1234">_xlfn.XLOOKUP(Table1[[#This Row],[5 cm2 cell test code]:[5 cm2 cell test code]],[1]!Table1[[Test code]:[Test code]],[1]!Table1[Ionic resistance 10 mM KOH/Ohm cm2],"",0)</f>
        <v>#REF!</v>
      </c>
      <c r="AI1234" s="69" t="e" cm="1">
        <f t="array" ref="AI1234">_xlfn.XLOOKUP(Table1[[#This Row],[5 cm2 cell test code]:[5 cm2 cell test code]],[1]!Table1[[Test code]:[Test code]],[1]!Table1[Q_int_frac DIW 10 mM KOH],"",0)</f>
        <v>#REF!</v>
      </c>
      <c r="AJ1234" s="69" t="e" cm="1">
        <f t="array" ref="AJ1234">_xlfn.XLOOKUP(Table1[[#This Row],[5 cm2 cell test code]:[5 cm2 cell test code]],[1]!Table1[[Test code]:[Test code]],[1]!Table1[DIW conductivity (µS/cm)],"",0)</f>
        <v>#REF!</v>
      </c>
    </row>
    <row r="1235" spans="1:36">
      <c r="A1235" s="81"/>
      <c r="U1235" s="101"/>
      <c r="V1235" s="101"/>
      <c r="W1235" s="69" t="e" cm="1">
        <f t="array" ref="W1235">_xlfn.XLOOKUP(Table1[[#This Row],[5 cm2 cell test code]:[5 cm2 cell test code]],[1]!Table1[[Test code]:[Test code]],[1]!Table1[i @ 1.8 V DIW (A/cm2)],"",0)</f>
        <v>#REF!</v>
      </c>
      <c r="X1235" s="69" t="e" cm="1">
        <f t="array" ref="X1235">_xlfn.XLOOKUP(Table1[[#This Row],[5 cm2 cell test code]:[5 cm2 cell test code]],[1]!Table1[[Test code]:[Test code]],[1]!Table1[i @ 1.8 V 10 mM KOH (A/cm2)],"",0)</f>
        <v>#REF!</v>
      </c>
      <c r="Y1235" s="69" t="e" cm="1">
        <f t="array" ref="Y1235">_xlfn.XLOOKUP(Table1[[#This Row],[5 cm2 cell test code]:[5 cm2 cell test code]],[1]!Table1[[Test code]:[Test code]],[1]!Table1[3-E ƞ at 20mAcm-2 (mV)],"",0)</f>
        <v>#REF!</v>
      </c>
      <c r="Z1235" s="69" t="e" cm="1">
        <f t="array" ref="Z1235">_xlfn.XLOOKUP(Table1[[#This Row],[5 cm2 cell test code]:[5 cm2 cell test code]],[1]!Table1[[Test code]:[Test code]],[1]!Table1[3-E Tafel slope (mV/dec)],"",0)</f>
        <v>#REF!</v>
      </c>
      <c r="AA1235" s="69" t="e" cm="1">
        <f t="array" ref="AA1235">_xlfn.XLOOKUP(Table1[[#This Row],[5 cm2 cell test code]:[5 cm2 cell test code]],[1]!Table1[[Test code]:[Test code]],[1]!Table1[E @ 100 mA/cm2 DIW/V],"",0)</f>
        <v>#REF!</v>
      </c>
      <c r="AB1235" s="69" t="e" cm="1">
        <f t="array" ref="AB1235">_xlfn.XLOOKUP(Table1[[#This Row],[5 cm2 cell test code]:[5 cm2 cell test code]],[1]!Table1[[Test code]:[Test code]],[1]!Table1[E @ 100 mA/cm2 10 mM KOH/V],"",0)</f>
        <v>#REF!</v>
      </c>
      <c r="AC1235" s="69" t="e" cm="1">
        <f t="array" ref="AC1235">_xlfn.XLOOKUP(Table1[[#This Row],[5 cm2 cell test code]:[5 cm2 cell test code]],[1]!Table1[[Test code]:[Test code]],[1]!Table1[Anode ICR/mOhm],"",0)</f>
        <v>#REF!</v>
      </c>
      <c r="AD1235" s="69" t="e" cm="1">
        <f t="array" ref="AD1235">_xlfn.XLOOKUP(Table1[[#This Row],[5 cm2 cell test code]:[5 cm2 cell test code]],[1]!Table1[[Test code]:[Test code]],[1]!Table1[HFR DIW/ mOhm cm2],"",0)</f>
        <v>#REF!</v>
      </c>
      <c r="AE1235" s="69" t="e" cm="1">
        <f t="array" ref="AE1235">_xlfn.XLOOKUP(Table1[[#This Row],[5 cm2 cell test code]:[5 cm2 cell test code]],[1]!Table1[[Test code]:[Test code]],[1]!Table1[HFR 10 mM KOH/ mOhm cm2],"",0)</f>
        <v>#REF!</v>
      </c>
      <c r="AF1235" s="69" t="e" cm="1">
        <f t="array" ref="AF1235">_xlfn.XLOOKUP(Table1[[#This Row],[5 cm2 cell test code]:[5 cm2 cell test code]],[1]!Table1[[Test code]:[Test code]],[1]!Table1[Ionic resistance DIW/Ohm cm2],"",0)</f>
        <v>#REF!</v>
      </c>
      <c r="AG1235" s="69" t="e" cm="1">
        <f t="array" ref="AG1235">_xlfn.XLOOKUP(Table1[[#This Row],[5 cm2 cell test code]:[5 cm2 cell test code]],[1]!Table1[[Test code]:[Test code]],[1]!Table1[Q_int_frac DIW],"",0)</f>
        <v>#REF!</v>
      </c>
      <c r="AH1235" s="69" t="e" cm="1">
        <f t="array" ref="AH1235">_xlfn.XLOOKUP(Table1[[#This Row],[5 cm2 cell test code]:[5 cm2 cell test code]],[1]!Table1[[Test code]:[Test code]],[1]!Table1[Ionic resistance 10 mM KOH/Ohm cm2],"",0)</f>
        <v>#REF!</v>
      </c>
      <c r="AI1235" s="69" t="e" cm="1">
        <f t="array" ref="AI1235">_xlfn.XLOOKUP(Table1[[#This Row],[5 cm2 cell test code]:[5 cm2 cell test code]],[1]!Table1[[Test code]:[Test code]],[1]!Table1[Q_int_frac DIW 10 mM KOH],"",0)</f>
        <v>#REF!</v>
      </c>
      <c r="AJ1235" s="69" t="e" cm="1">
        <f t="array" ref="AJ1235">_xlfn.XLOOKUP(Table1[[#This Row],[5 cm2 cell test code]:[5 cm2 cell test code]],[1]!Table1[[Test code]:[Test code]],[1]!Table1[DIW conductivity (µS/cm)],"",0)</f>
        <v>#REF!</v>
      </c>
    </row>
    <row r="1236" spans="1:36">
      <c r="A1236" s="81"/>
      <c r="U1236" s="101"/>
      <c r="V1236" s="101"/>
      <c r="W1236" s="69" t="e" cm="1">
        <f t="array" ref="W1236">_xlfn.XLOOKUP(Table1[[#This Row],[5 cm2 cell test code]:[5 cm2 cell test code]],[1]!Table1[[Test code]:[Test code]],[1]!Table1[i @ 1.8 V DIW (A/cm2)],"",0)</f>
        <v>#REF!</v>
      </c>
      <c r="X1236" s="69" t="e" cm="1">
        <f t="array" ref="X1236">_xlfn.XLOOKUP(Table1[[#This Row],[5 cm2 cell test code]:[5 cm2 cell test code]],[1]!Table1[[Test code]:[Test code]],[1]!Table1[i @ 1.8 V 10 mM KOH (A/cm2)],"",0)</f>
        <v>#REF!</v>
      </c>
      <c r="Y1236" s="69" t="e" cm="1">
        <f t="array" ref="Y1236">_xlfn.XLOOKUP(Table1[[#This Row],[5 cm2 cell test code]:[5 cm2 cell test code]],[1]!Table1[[Test code]:[Test code]],[1]!Table1[3-E ƞ at 20mAcm-2 (mV)],"",0)</f>
        <v>#REF!</v>
      </c>
      <c r="Z1236" s="69" t="e" cm="1">
        <f t="array" ref="Z1236">_xlfn.XLOOKUP(Table1[[#This Row],[5 cm2 cell test code]:[5 cm2 cell test code]],[1]!Table1[[Test code]:[Test code]],[1]!Table1[3-E Tafel slope (mV/dec)],"",0)</f>
        <v>#REF!</v>
      </c>
      <c r="AA1236" s="69" t="e" cm="1">
        <f t="array" ref="AA1236">_xlfn.XLOOKUP(Table1[[#This Row],[5 cm2 cell test code]:[5 cm2 cell test code]],[1]!Table1[[Test code]:[Test code]],[1]!Table1[E @ 100 mA/cm2 DIW/V],"",0)</f>
        <v>#REF!</v>
      </c>
      <c r="AB1236" s="69" t="e" cm="1">
        <f t="array" ref="AB1236">_xlfn.XLOOKUP(Table1[[#This Row],[5 cm2 cell test code]:[5 cm2 cell test code]],[1]!Table1[[Test code]:[Test code]],[1]!Table1[E @ 100 mA/cm2 10 mM KOH/V],"",0)</f>
        <v>#REF!</v>
      </c>
      <c r="AC1236" s="69" t="e" cm="1">
        <f t="array" ref="AC1236">_xlfn.XLOOKUP(Table1[[#This Row],[5 cm2 cell test code]:[5 cm2 cell test code]],[1]!Table1[[Test code]:[Test code]],[1]!Table1[Anode ICR/mOhm],"",0)</f>
        <v>#REF!</v>
      </c>
      <c r="AD1236" s="69" t="e" cm="1">
        <f t="array" ref="AD1236">_xlfn.XLOOKUP(Table1[[#This Row],[5 cm2 cell test code]:[5 cm2 cell test code]],[1]!Table1[[Test code]:[Test code]],[1]!Table1[HFR DIW/ mOhm cm2],"",0)</f>
        <v>#REF!</v>
      </c>
      <c r="AE1236" s="69" t="e" cm="1">
        <f t="array" ref="AE1236">_xlfn.XLOOKUP(Table1[[#This Row],[5 cm2 cell test code]:[5 cm2 cell test code]],[1]!Table1[[Test code]:[Test code]],[1]!Table1[HFR 10 mM KOH/ mOhm cm2],"",0)</f>
        <v>#REF!</v>
      </c>
      <c r="AF1236" s="69" t="e" cm="1">
        <f t="array" ref="AF1236">_xlfn.XLOOKUP(Table1[[#This Row],[5 cm2 cell test code]:[5 cm2 cell test code]],[1]!Table1[[Test code]:[Test code]],[1]!Table1[Ionic resistance DIW/Ohm cm2],"",0)</f>
        <v>#REF!</v>
      </c>
      <c r="AG1236" s="69" t="e" cm="1">
        <f t="array" ref="AG1236">_xlfn.XLOOKUP(Table1[[#This Row],[5 cm2 cell test code]:[5 cm2 cell test code]],[1]!Table1[[Test code]:[Test code]],[1]!Table1[Q_int_frac DIW],"",0)</f>
        <v>#REF!</v>
      </c>
      <c r="AH1236" s="69" t="e" cm="1">
        <f t="array" ref="AH1236">_xlfn.XLOOKUP(Table1[[#This Row],[5 cm2 cell test code]:[5 cm2 cell test code]],[1]!Table1[[Test code]:[Test code]],[1]!Table1[Ionic resistance 10 mM KOH/Ohm cm2],"",0)</f>
        <v>#REF!</v>
      </c>
      <c r="AI1236" s="69" t="e" cm="1">
        <f t="array" ref="AI1236">_xlfn.XLOOKUP(Table1[[#This Row],[5 cm2 cell test code]:[5 cm2 cell test code]],[1]!Table1[[Test code]:[Test code]],[1]!Table1[Q_int_frac DIW 10 mM KOH],"",0)</f>
        <v>#REF!</v>
      </c>
      <c r="AJ1236" s="69" t="e" cm="1">
        <f t="array" ref="AJ1236">_xlfn.XLOOKUP(Table1[[#This Row],[5 cm2 cell test code]:[5 cm2 cell test code]],[1]!Table1[[Test code]:[Test code]],[1]!Table1[DIW conductivity (µS/cm)],"",0)</f>
        <v>#REF!</v>
      </c>
    </row>
    <row r="1237" spans="1:36">
      <c r="A1237" s="81"/>
      <c r="U1237" s="101"/>
      <c r="V1237" s="101"/>
      <c r="W1237" s="69" t="e" cm="1">
        <f t="array" ref="W1237">_xlfn.XLOOKUP(Table1[[#This Row],[5 cm2 cell test code]:[5 cm2 cell test code]],[1]!Table1[[Test code]:[Test code]],[1]!Table1[i @ 1.8 V DIW (A/cm2)],"",0)</f>
        <v>#REF!</v>
      </c>
      <c r="X1237" s="69" t="e" cm="1">
        <f t="array" ref="X1237">_xlfn.XLOOKUP(Table1[[#This Row],[5 cm2 cell test code]:[5 cm2 cell test code]],[1]!Table1[[Test code]:[Test code]],[1]!Table1[i @ 1.8 V 10 mM KOH (A/cm2)],"",0)</f>
        <v>#REF!</v>
      </c>
      <c r="Y1237" s="69" t="e" cm="1">
        <f t="array" ref="Y1237">_xlfn.XLOOKUP(Table1[[#This Row],[5 cm2 cell test code]:[5 cm2 cell test code]],[1]!Table1[[Test code]:[Test code]],[1]!Table1[3-E ƞ at 20mAcm-2 (mV)],"",0)</f>
        <v>#REF!</v>
      </c>
      <c r="Z1237" s="69" t="e" cm="1">
        <f t="array" ref="Z1237">_xlfn.XLOOKUP(Table1[[#This Row],[5 cm2 cell test code]:[5 cm2 cell test code]],[1]!Table1[[Test code]:[Test code]],[1]!Table1[3-E Tafel slope (mV/dec)],"",0)</f>
        <v>#REF!</v>
      </c>
      <c r="AA1237" s="69" t="e" cm="1">
        <f t="array" ref="AA1237">_xlfn.XLOOKUP(Table1[[#This Row],[5 cm2 cell test code]:[5 cm2 cell test code]],[1]!Table1[[Test code]:[Test code]],[1]!Table1[E @ 100 mA/cm2 DIW/V],"",0)</f>
        <v>#REF!</v>
      </c>
      <c r="AB1237" s="69" t="e" cm="1">
        <f t="array" ref="AB1237">_xlfn.XLOOKUP(Table1[[#This Row],[5 cm2 cell test code]:[5 cm2 cell test code]],[1]!Table1[[Test code]:[Test code]],[1]!Table1[E @ 100 mA/cm2 10 mM KOH/V],"",0)</f>
        <v>#REF!</v>
      </c>
      <c r="AC1237" s="69" t="e" cm="1">
        <f t="array" ref="AC1237">_xlfn.XLOOKUP(Table1[[#This Row],[5 cm2 cell test code]:[5 cm2 cell test code]],[1]!Table1[[Test code]:[Test code]],[1]!Table1[Anode ICR/mOhm],"",0)</f>
        <v>#REF!</v>
      </c>
      <c r="AD1237" s="69" t="e" cm="1">
        <f t="array" ref="AD1237">_xlfn.XLOOKUP(Table1[[#This Row],[5 cm2 cell test code]:[5 cm2 cell test code]],[1]!Table1[[Test code]:[Test code]],[1]!Table1[HFR DIW/ mOhm cm2],"",0)</f>
        <v>#REF!</v>
      </c>
      <c r="AE1237" s="69" t="e" cm="1">
        <f t="array" ref="AE1237">_xlfn.XLOOKUP(Table1[[#This Row],[5 cm2 cell test code]:[5 cm2 cell test code]],[1]!Table1[[Test code]:[Test code]],[1]!Table1[HFR 10 mM KOH/ mOhm cm2],"",0)</f>
        <v>#REF!</v>
      </c>
      <c r="AF1237" s="69" t="e" cm="1">
        <f t="array" ref="AF1237">_xlfn.XLOOKUP(Table1[[#This Row],[5 cm2 cell test code]:[5 cm2 cell test code]],[1]!Table1[[Test code]:[Test code]],[1]!Table1[Ionic resistance DIW/Ohm cm2],"",0)</f>
        <v>#REF!</v>
      </c>
      <c r="AG1237" s="69" t="e" cm="1">
        <f t="array" ref="AG1237">_xlfn.XLOOKUP(Table1[[#This Row],[5 cm2 cell test code]:[5 cm2 cell test code]],[1]!Table1[[Test code]:[Test code]],[1]!Table1[Q_int_frac DIW],"",0)</f>
        <v>#REF!</v>
      </c>
      <c r="AH1237" s="69" t="e" cm="1">
        <f t="array" ref="AH1237">_xlfn.XLOOKUP(Table1[[#This Row],[5 cm2 cell test code]:[5 cm2 cell test code]],[1]!Table1[[Test code]:[Test code]],[1]!Table1[Ionic resistance 10 mM KOH/Ohm cm2],"",0)</f>
        <v>#REF!</v>
      </c>
      <c r="AI1237" s="69" t="e" cm="1">
        <f t="array" ref="AI1237">_xlfn.XLOOKUP(Table1[[#This Row],[5 cm2 cell test code]:[5 cm2 cell test code]],[1]!Table1[[Test code]:[Test code]],[1]!Table1[Q_int_frac DIW 10 mM KOH],"",0)</f>
        <v>#REF!</v>
      </c>
      <c r="AJ1237" s="69" t="e" cm="1">
        <f t="array" ref="AJ1237">_xlfn.XLOOKUP(Table1[[#This Row],[5 cm2 cell test code]:[5 cm2 cell test code]],[1]!Table1[[Test code]:[Test code]],[1]!Table1[DIW conductivity (µS/cm)],"",0)</f>
        <v>#REF!</v>
      </c>
    </row>
    <row r="1238" spans="1:36">
      <c r="A1238" s="81"/>
      <c r="U1238" s="101"/>
      <c r="V1238" s="101"/>
      <c r="W1238" s="69" t="e" cm="1">
        <f t="array" ref="W1238">_xlfn.XLOOKUP(Table1[[#This Row],[5 cm2 cell test code]:[5 cm2 cell test code]],[1]!Table1[[Test code]:[Test code]],[1]!Table1[i @ 1.8 V DIW (A/cm2)],"",0)</f>
        <v>#REF!</v>
      </c>
      <c r="X1238" s="69" t="e" cm="1">
        <f t="array" ref="X1238">_xlfn.XLOOKUP(Table1[[#This Row],[5 cm2 cell test code]:[5 cm2 cell test code]],[1]!Table1[[Test code]:[Test code]],[1]!Table1[i @ 1.8 V 10 mM KOH (A/cm2)],"",0)</f>
        <v>#REF!</v>
      </c>
      <c r="Y1238" s="69" t="e" cm="1">
        <f t="array" ref="Y1238">_xlfn.XLOOKUP(Table1[[#This Row],[5 cm2 cell test code]:[5 cm2 cell test code]],[1]!Table1[[Test code]:[Test code]],[1]!Table1[3-E ƞ at 20mAcm-2 (mV)],"",0)</f>
        <v>#REF!</v>
      </c>
      <c r="Z1238" s="69" t="e" cm="1">
        <f t="array" ref="Z1238">_xlfn.XLOOKUP(Table1[[#This Row],[5 cm2 cell test code]:[5 cm2 cell test code]],[1]!Table1[[Test code]:[Test code]],[1]!Table1[3-E Tafel slope (mV/dec)],"",0)</f>
        <v>#REF!</v>
      </c>
      <c r="AA1238" s="69" t="e" cm="1">
        <f t="array" ref="AA1238">_xlfn.XLOOKUP(Table1[[#This Row],[5 cm2 cell test code]:[5 cm2 cell test code]],[1]!Table1[[Test code]:[Test code]],[1]!Table1[E @ 100 mA/cm2 DIW/V],"",0)</f>
        <v>#REF!</v>
      </c>
      <c r="AB1238" s="69" t="e" cm="1">
        <f t="array" ref="AB1238">_xlfn.XLOOKUP(Table1[[#This Row],[5 cm2 cell test code]:[5 cm2 cell test code]],[1]!Table1[[Test code]:[Test code]],[1]!Table1[E @ 100 mA/cm2 10 mM KOH/V],"",0)</f>
        <v>#REF!</v>
      </c>
      <c r="AC1238" s="69" t="e" cm="1">
        <f t="array" ref="AC1238">_xlfn.XLOOKUP(Table1[[#This Row],[5 cm2 cell test code]:[5 cm2 cell test code]],[1]!Table1[[Test code]:[Test code]],[1]!Table1[Anode ICR/mOhm],"",0)</f>
        <v>#REF!</v>
      </c>
      <c r="AD1238" s="69" t="e" cm="1">
        <f t="array" ref="AD1238">_xlfn.XLOOKUP(Table1[[#This Row],[5 cm2 cell test code]:[5 cm2 cell test code]],[1]!Table1[[Test code]:[Test code]],[1]!Table1[HFR DIW/ mOhm cm2],"",0)</f>
        <v>#REF!</v>
      </c>
      <c r="AE1238" s="69" t="e" cm="1">
        <f t="array" ref="AE1238">_xlfn.XLOOKUP(Table1[[#This Row],[5 cm2 cell test code]:[5 cm2 cell test code]],[1]!Table1[[Test code]:[Test code]],[1]!Table1[HFR 10 mM KOH/ mOhm cm2],"",0)</f>
        <v>#REF!</v>
      </c>
      <c r="AF1238" s="69" t="e" cm="1">
        <f t="array" ref="AF1238">_xlfn.XLOOKUP(Table1[[#This Row],[5 cm2 cell test code]:[5 cm2 cell test code]],[1]!Table1[[Test code]:[Test code]],[1]!Table1[Ionic resistance DIW/Ohm cm2],"",0)</f>
        <v>#REF!</v>
      </c>
      <c r="AG1238" s="69" t="e" cm="1">
        <f t="array" ref="AG1238">_xlfn.XLOOKUP(Table1[[#This Row],[5 cm2 cell test code]:[5 cm2 cell test code]],[1]!Table1[[Test code]:[Test code]],[1]!Table1[Q_int_frac DIW],"",0)</f>
        <v>#REF!</v>
      </c>
      <c r="AH1238" s="69" t="e" cm="1">
        <f t="array" ref="AH1238">_xlfn.XLOOKUP(Table1[[#This Row],[5 cm2 cell test code]:[5 cm2 cell test code]],[1]!Table1[[Test code]:[Test code]],[1]!Table1[Ionic resistance 10 mM KOH/Ohm cm2],"",0)</f>
        <v>#REF!</v>
      </c>
      <c r="AI1238" s="69" t="e" cm="1">
        <f t="array" ref="AI1238">_xlfn.XLOOKUP(Table1[[#This Row],[5 cm2 cell test code]:[5 cm2 cell test code]],[1]!Table1[[Test code]:[Test code]],[1]!Table1[Q_int_frac DIW 10 mM KOH],"",0)</f>
        <v>#REF!</v>
      </c>
      <c r="AJ1238" s="69" t="e" cm="1">
        <f t="array" ref="AJ1238">_xlfn.XLOOKUP(Table1[[#This Row],[5 cm2 cell test code]:[5 cm2 cell test code]],[1]!Table1[[Test code]:[Test code]],[1]!Table1[DIW conductivity (µS/cm)],"",0)</f>
        <v>#REF!</v>
      </c>
    </row>
    <row r="1239" spans="1:36">
      <c r="A1239" s="81"/>
      <c r="U1239" s="101"/>
      <c r="V1239" s="101"/>
      <c r="W1239" s="69" t="e" cm="1">
        <f t="array" ref="W1239">_xlfn.XLOOKUP(Table1[[#This Row],[5 cm2 cell test code]:[5 cm2 cell test code]],[1]!Table1[[Test code]:[Test code]],[1]!Table1[i @ 1.8 V DIW (A/cm2)],"",0)</f>
        <v>#REF!</v>
      </c>
      <c r="X1239" s="69" t="e" cm="1">
        <f t="array" ref="X1239">_xlfn.XLOOKUP(Table1[[#This Row],[5 cm2 cell test code]:[5 cm2 cell test code]],[1]!Table1[[Test code]:[Test code]],[1]!Table1[i @ 1.8 V 10 mM KOH (A/cm2)],"",0)</f>
        <v>#REF!</v>
      </c>
      <c r="Y1239" s="69" t="e" cm="1">
        <f t="array" ref="Y1239">_xlfn.XLOOKUP(Table1[[#This Row],[5 cm2 cell test code]:[5 cm2 cell test code]],[1]!Table1[[Test code]:[Test code]],[1]!Table1[3-E ƞ at 20mAcm-2 (mV)],"",0)</f>
        <v>#REF!</v>
      </c>
      <c r="Z1239" s="69" t="e" cm="1">
        <f t="array" ref="Z1239">_xlfn.XLOOKUP(Table1[[#This Row],[5 cm2 cell test code]:[5 cm2 cell test code]],[1]!Table1[[Test code]:[Test code]],[1]!Table1[3-E Tafel slope (mV/dec)],"",0)</f>
        <v>#REF!</v>
      </c>
      <c r="AA1239" s="69" t="e" cm="1">
        <f t="array" ref="AA1239">_xlfn.XLOOKUP(Table1[[#This Row],[5 cm2 cell test code]:[5 cm2 cell test code]],[1]!Table1[[Test code]:[Test code]],[1]!Table1[E @ 100 mA/cm2 DIW/V],"",0)</f>
        <v>#REF!</v>
      </c>
      <c r="AB1239" s="69" t="e" cm="1">
        <f t="array" ref="AB1239">_xlfn.XLOOKUP(Table1[[#This Row],[5 cm2 cell test code]:[5 cm2 cell test code]],[1]!Table1[[Test code]:[Test code]],[1]!Table1[E @ 100 mA/cm2 10 mM KOH/V],"",0)</f>
        <v>#REF!</v>
      </c>
      <c r="AC1239" s="69" t="e" cm="1">
        <f t="array" ref="AC1239">_xlfn.XLOOKUP(Table1[[#This Row],[5 cm2 cell test code]:[5 cm2 cell test code]],[1]!Table1[[Test code]:[Test code]],[1]!Table1[Anode ICR/mOhm],"",0)</f>
        <v>#REF!</v>
      </c>
      <c r="AD1239" s="69" t="e" cm="1">
        <f t="array" ref="AD1239">_xlfn.XLOOKUP(Table1[[#This Row],[5 cm2 cell test code]:[5 cm2 cell test code]],[1]!Table1[[Test code]:[Test code]],[1]!Table1[HFR DIW/ mOhm cm2],"",0)</f>
        <v>#REF!</v>
      </c>
      <c r="AE1239" s="69" t="e" cm="1">
        <f t="array" ref="AE1239">_xlfn.XLOOKUP(Table1[[#This Row],[5 cm2 cell test code]:[5 cm2 cell test code]],[1]!Table1[[Test code]:[Test code]],[1]!Table1[HFR 10 mM KOH/ mOhm cm2],"",0)</f>
        <v>#REF!</v>
      </c>
      <c r="AF1239" s="69" t="e" cm="1">
        <f t="array" ref="AF1239">_xlfn.XLOOKUP(Table1[[#This Row],[5 cm2 cell test code]:[5 cm2 cell test code]],[1]!Table1[[Test code]:[Test code]],[1]!Table1[Ionic resistance DIW/Ohm cm2],"",0)</f>
        <v>#REF!</v>
      </c>
      <c r="AG1239" s="69" t="e" cm="1">
        <f t="array" ref="AG1239">_xlfn.XLOOKUP(Table1[[#This Row],[5 cm2 cell test code]:[5 cm2 cell test code]],[1]!Table1[[Test code]:[Test code]],[1]!Table1[Q_int_frac DIW],"",0)</f>
        <v>#REF!</v>
      </c>
      <c r="AH1239" s="69" t="e" cm="1">
        <f t="array" ref="AH1239">_xlfn.XLOOKUP(Table1[[#This Row],[5 cm2 cell test code]:[5 cm2 cell test code]],[1]!Table1[[Test code]:[Test code]],[1]!Table1[Ionic resistance 10 mM KOH/Ohm cm2],"",0)</f>
        <v>#REF!</v>
      </c>
      <c r="AI1239" s="69" t="e" cm="1">
        <f t="array" ref="AI1239">_xlfn.XLOOKUP(Table1[[#This Row],[5 cm2 cell test code]:[5 cm2 cell test code]],[1]!Table1[[Test code]:[Test code]],[1]!Table1[Q_int_frac DIW 10 mM KOH],"",0)</f>
        <v>#REF!</v>
      </c>
      <c r="AJ1239" s="69" t="e" cm="1">
        <f t="array" ref="AJ1239">_xlfn.XLOOKUP(Table1[[#This Row],[5 cm2 cell test code]:[5 cm2 cell test code]],[1]!Table1[[Test code]:[Test code]],[1]!Table1[DIW conductivity (µS/cm)],"",0)</f>
        <v>#REF!</v>
      </c>
    </row>
    <row r="1240" spans="1:36">
      <c r="A1240" s="81"/>
      <c r="U1240" s="101"/>
      <c r="V1240" s="101"/>
      <c r="W1240" s="69" t="e" cm="1">
        <f t="array" ref="W1240">_xlfn.XLOOKUP(Table1[[#This Row],[5 cm2 cell test code]:[5 cm2 cell test code]],[1]!Table1[[Test code]:[Test code]],[1]!Table1[i @ 1.8 V DIW (A/cm2)],"",0)</f>
        <v>#REF!</v>
      </c>
      <c r="X1240" s="69" t="e" cm="1">
        <f t="array" ref="X1240">_xlfn.XLOOKUP(Table1[[#This Row],[5 cm2 cell test code]:[5 cm2 cell test code]],[1]!Table1[[Test code]:[Test code]],[1]!Table1[i @ 1.8 V 10 mM KOH (A/cm2)],"",0)</f>
        <v>#REF!</v>
      </c>
      <c r="Y1240" s="69" t="e" cm="1">
        <f t="array" ref="Y1240">_xlfn.XLOOKUP(Table1[[#This Row],[5 cm2 cell test code]:[5 cm2 cell test code]],[1]!Table1[[Test code]:[Test code]],[1]!Table1[3-E ƞ at 20mAcm-2 (mV)],"",0)</f>
        <v>#REF!</v>
      </c>
      <c r="Z1240" s="69" t="e" cm="1">
        <f t="array" ref="Z1240">_xlfn.XLOOKUP(Table1[[#This Row],[5 cm2 cell test code]:[5 cm2 cell test code]],[1]!Table1[[Test code]:[Test code]],[1]!Table1[3-E Tafel slope (mV/dec)],"",0)</f>
        <v>#REF!</v>
      </c>
      <c r="AA1240" s="69" t="e" cm="1">
        <f t="array" ref="AA1240">_xlfn.XLOOKUP(Table1[[#This Row],[5 cm2 cell test code]:[5 cm2 cell test code]],[1]!Table1[[Test code]:[Test code]],[1]!Table1[E @ 100 mA/cm2 DIW/V],"",0)</f>
        <v>#REF!</v>
      </c>
      <c r="AB1240" s="69" t="e" cm="1">
        <f t="array" ref="AB1240">_xlfn.XLOOKUP(Table1[[#This Row],[5 cm2 cell test code]:[5 cm2 cell test code]],[1]!Table1[[Test code]:[Test code]],[1]!Table1[E @ 100 mA/cm2 10 mM KOH/V],"",0)</f>
        <v>#REF!</v>
      </c>
      <c r="AC1240" s="69" t="e" cm="1">
        <f t="array" ref="AC1240">_xlfn.XLOOKUP(Table1[[#This Row],[5 cm2 cell test code]:[5 cm2 cell test code]],[1]!Table1[[Test code]:[Test code]],[1]!Table1[Anode ICR/mOhm],"",0)</f>
        <v>#REF!</v>
      </c>
      <c r="AD1240" s="69" t="e" cm="1">
        <f t="array" ref="AD1240">_xlfn.XLOOKUP(Table1[[#This Row],[5 cm2 cell test code]:[5 cm2 cell test code]],[1]!Table1[[Test code]:[Test code]],[1]!Table1[HFR DIW/ mOhm cm2],"",0)</f>
        <v>#REF!</v>
      </c>
      <c r="AE1240" s="69" t="e" cm="1">
        <f t="array" ref="AE1240">_xlfn.XLOOKUP(Table1[[#This Row],[5 cm2 cell test code]:[5 cm2 cell test code]],[1]!Table1[[Test code]:[Test code]],[1]!Table1[HFR 10 mM KOH/ mOhm cm2],"",0)</f>
        <v>#REF!</v>
      </c>
      <c r="AF1240" s="69" t="e" cm="1">
        <f t="array" ref="AF1240">_xlfn.XLOOKUP(Table1[[#This Row],[5 cm2 cell test code]:[5 cm2 cell test code]],[1]!Table1[[Test code]:[Test code]],[1]!Table1[Ionic resistance DIW/Ohm cm2],"",0)</f>
        <v>#REF!</v>
      </c>
      <c r="AG1240" s="69" t="e" cm="1">
        <f t="array" ref="AG1240">_xlfn.XLOOKUP(Table1[[#This Row],[5 cm2 cell test code]:[5 cm2 cell test code]],[1]!Table1[[Test code]:[Test code]],[1]!Table1[Q_int_frac DIW],"",0)</f>
        <v>#REF!</v>
      </c>
      <c r="AH1240" s="69" t="e" cm="1">
        <f t="array" ref="AH1240">_xlfn.XLOOKUP(Table1[[#This Row],[5 cm2 cell test code]:[5 cm2 cell test code]],[1]!Table1[[Test code]:[Test code]],[1]!Table1[Ionic resistance 10 mM KOH/Ohm cm2],"",0)</f>
        <v>#REF!</v>
      </c>
      <c r="AI1240" s="69" t="e" cm="1">
        <f t="array" ref="AI1240">_xlfn.XLOOKUP(Table1[[#This Row],[5 cm2 cell test code]:[5 cm2 cell test code]],[1]!Table1[[Test code]:[Test code]],[1]!Table1[Q_int_frac DIW 10 mM KOH],"",0)</f>
        <v>#REF!</v>
      </c>
      <c r="AJ1240" s="69" t="e" cm="1">
        <f t="array" ref="AJ1240">_xlfn.XLOOKUP(Table1[[#This Row],[5 cm2 cell test code]:[5 cm2 cell test code]],[1]!Table1[[Test code]:[Test code]],[1]!Table1[DIW conductivity (µS/cm)],"",0)</f>
        <v>#REF!</v>
      </c>
    </row>
    <row r="1241" spans="1:36">
      <c r="A1241" s="81"/>
      <c r="U1241" s="101"/>
      <c r="V1241" s="101"/>
      <c r="W1241" s="69" t="e" cm="1">
        <f t="array" ref="W1241">_xlfn.XLOOKUP(Table1[[#This Row],[5 cm2 cell test code]:[5 cm2 cell test code]],[1]!Table1[[Test code]:[Test code]],[1]!Table1[i @ 1.8 V DIW (A/cm2)],"",0)</f>
        <v>#REF!</v>
      </c>
      <c r="X1241" s="69" t="e" cm="1">
        <f t="array" ref="X1241">_xlfn.XLOOKUP(Table1[[#This Row],[5 cm2 cell test code]:[5 cm2 cell test code]],[1]!Table1[[Test code]:[Test code]],[1]!Table1[i @ 1.8 V 10 mM KOH (A/cm2)],"",0)</f>
        <v>#REF!</v>
      </c>
      <c r="Y1241" s="69" t="e" cm="1">
        <f t="array" ref="Y1241">_xlfn.XLOOKUP(Table1[[#This Row],[5 cm2 cell test code]:[5 cm2 cell test code]],[1]!Table1[[Test code]:[Test code]],[1]!Table1[3-E ƞ at 20mAcm-2 (mV)],"",0)</f>
        <v>#REF!</v>
      </c>
      <c r="Z1241" s="69" t="e" cm="1">
        <f t="array" ref="Z1241">_xlfn.XLOOKUP(Table1[[#This Row],[5 cm2 cell test code]:[5 cm2 cell test code]],[1]!Table1[[Test code]:[Test code]],[1]!Table1[3-E Tafel slope (mV/dec)],"",0)</f>
        <v>#REF!</v>
      </c>
      <c r="AA1241" s="69" t="e" cm="1">
        <f t="array" ref="AA1241">_xlfn.XLOOKUP(Table1[[#This Row],[5 cm2 cell test code]:[5 cm2 cell test code]],[1]!Table1[[Test code]:[Test code]],[1]!Table1[E @ 100 mA/cm2 DIW/V],"",0)</f>
        <v>#REF!</v>
      </c>
      <c r="AB1241" s="69" t="e" cm="1">
        <f t="array" ref="AB1241">_xlfn.XLOOKUP(Table1[[#This Row],[5 cm2 cell test code]:[5 cm2 cell test code]],[1]!Table1[[Test code]:[Test code]],[1]!Table1[E @ 100 mA/cm2 10 mM KOH/V],"",0)</f>
        <v>#REF!</v>
      </c>
      <c r="AC1241" s="69" t="e" cm="1">
        <f t="array" ref="AC1241">_xlfn.XLOOKUP(Table1[[#This Row],[5 cm2 cell test code]:[5 cm2 cell test code]],[1]!Table1[[Test code]:[Test code]],[1]!Table1[Anode ICR/mOhm],"",0)</f>
        <v>#REF!</v>
      </c>
      <c r="AD1241" s="69" t="e" cm="1">
        <f t="array" ref="AD1241">_xlfn.XLOOKUP(Table1[[#This Row],[5 cm2 cell test code]:[5 cm2 cell test code]],[1]!Table1[[Test code]:[Test code]],[1]!Table1[HFR DIW/ mOhm cm2],"",0)</f>
        <v>#REF!</v>
      </c>
      <c r="AE1241" s="69" t="e" cm="1">
        <f t="array" ref="AE1241">_xlfn.XLOOKUP(Table1[[#This Row],[5 cm2 cell test code]:[5 cm2 cell test code]],[1]!Table1[[Test code]:[Test code]],[1]!Table1[HFR 10 mM KOH/ mOhm cm2],"",0)</f>
        <v>#REF!</v>
      </c>
      <c r="AF1241" s="69" t="e" cm="1">
        <f t="array" ref="AF1241">_xlfn.XLOOKUP(Table1[[#This Row],[5 cm2 cell test code]:[5 cm2 cell test code]],[1]!Table1[[Test code]:[Test code]],[1]!Table1[Ionic resistance DIW/Ohm cm2],"",0)</f>
        <v>#REF!</v>
      </c>
      <c r="AG1241" s="69" t="e" cm="1">
        <f t="array" ref="AG1241">_xlfn.XLOOKUP(Table1[[#This Row],[5 cm2 cell test code]:[5 cm2 cell test code]],[1]!Table1[[Test code]:[Test code]],[1]!Table1[Q_int_frac DIW],"",0)</f>
        <v>#REF!</v>
      </c>
      <c r="AH1241" s="69" t="e" cm="1">
        <f t="array" ref="AH1241">_xlfn.XLOOKUP(Table1[[#This Row],[5 cm2 cell test code]:[5 cm2 cell test code]],[1]!Table1[[Test code]:[Test code]],[1]!Table1[Ionic resistance 10 mM KOH/Ohm cm2],"",0)</f>
        <v>#REF!</v>
      </c>
      <c r="AI1241" s="69" t="e" cm="1">
        <f t="array" ref="AI1241">_xlfn.XLOOKUP(Table1[[#This Row],[5 cm2 cell test code]:[5 cm2 cell test code]],[1]!Table1[[Test code]:[Test code]],[1]!Table1[Q_int_frac DIW 10 mM KOH],"",0)</f>
        <v>#REF!</v>
      </c>
      <c r="AJ1241" s="69" t="e" cm="1">
        <f t="array" ref="AJ1241">_xlfn.XLOOKUP(Table1[[#This Row],[5 cm2 cell test code]:[5 cm2 cell test code]],[1]!Table1[[Test code]:[Test code]],[1]!Table1[DIW conductivity (µS/cm)],"",0)</f>
        <v>#REF!</v>
      </c>
    </row>
    <row r="1242" spans="1:36">
      <c r="A1242" s="81"/>
      <c r="U1242" s="101"/>
      <c r="V1242" s="101"/>
      <c r="W1242" s="69" t="e" cm="1">
        <f t="array" ref="W1242">_xlfn.XLOOKUP(Table1[[#This Row],[5 cm2 cell test code]:[5 cm2 cell test code]],[1]!Table1[[Test code]:[Test code]],[1]!Table1[i @ 1.8 V DIW (A/cm2)],"",0)</f>
        <v>#REF!</v>
      </c>
      <c r="X1242" s="69" t="e" cm="1">
        <f t="array" ref="X1242">_xlfn.XLOOKUP(Table1[[#This Row],[5 cm2 cell test code]:[5 cm2 cell test code]],[1]!Table1[[Test code]:[Test code]],[1]!Table1[i @ 1.8 V 10 mM KOH (A/cm2)],"",0)</f>
        <v>#REF!</v>
      </c>
      <c r="Y1242" s="69" t="e" cm="1">
        <f t="array" ref="Y1242">_xlfn.XLOOKUP(Table1[[#This Row],[5 cm2 cell test code]:[5 cm2 cell test code]],[1]!Table1[[Test code]:[Test code]],[1]!Table1[3-E ƞ at 20mAcm-2 (mV)],"",0)</f>
        <v>#REF!</v>
      </c>
      <c r="Z1242" s="69" t="e" cm="1">
        <f t="array" ref="Z1242">_xlfn.XLOOKUP(Table1[[#This Row],[5 cm2 cell test code]:[5 cm2 cell test code]],[1]!Table1[[Test code]:[Test code]],[1]!Table1[3-E Tafel slope (mV/dec)],"",0)</f>
        <v>#REF!</v>
      </c>
      <c r="AA1242" s="69" t="e" cm="1">
        <f t="array" ref="AA1242">_xlfn.XLOOKUP(Table1[[#This Row],[5 cm2 cell test code]:[5 cm2 cell test code]],[1]!Table1[[Test code]:[Test code]],[1]!Table1[E @ 100 mA/cm2 DIW/V],"",0)</f>
        <v>#REF!</v>
      </c>
      <c r="AB1242" s="69" t="e" cm="1">
        <f t="array" ref="AB1242">_xlfn.XLOOKUP(Table1[[#This Row],[5 cm2 cell test code]:[5 cm2 cell test code]],[1]!Table1[[Test code]:[Test code]],[1]!Table1[E @ 100 mA/cm2 10 mM KOH/V],"",0)</f>
        <v>#REF!</v>
      </c>
      <c r="AC1242" s="69" t="e" cm="1">
        <f t="array" ref="AC1242">_xlfn.XLOOKUP(Table1[[#This Row],[5 cm2 cell test code]:[5 cm2 cell test code]],[1]!Table1[[Test code]:[Test code]],[1]!Table1[Anode ICR/mOhm],"",0)</f>
        <v>#REF!</v>
      </c>
      <c r="AD1242" s="69" t="e" cm="1">
        <f t="array" ref="AD1242">_xlfn.XLOOKUP(Table1[[#This Row],[5 cm2 cell test code]:[5 cm2 cell test code]],[1]!Table1[[Test code]:[Test code]],[1]!Table1[HFR DIW/ mOhm cm2],"",0)</f>
        <v>#REF!</v>
      </c>
      <c r="AE1242" s="69" t="e" cm="1">
        <f t="array" ref="AE1242">_xlfn.XLOOKUP(Table1[[#This Row],[5 cm2 cell test code]:[5 cm2 cell test code]],[1]!Table1[[Test code]:[Test code]],[1]!Table1[HFR 10 mM KOH/ mOhm cm2],"",0)</f>
        <v>#REF!</v>
      </c>
      <c r="AF1242" s="69" t="e" cm="1">
        <f t="array" ref="AF1242">_xlfn.XLOOKUP(Table1[[#This Row],[5 cm2 cell test code]:[5 cm2 cell test code]],[1]!Table1[[Test code]:[Test code]],[1]!Table1[Ionic resistance DIW/Ohm cm2],"",0)</f>
        <v>#REF!</v>
      </c>
      <c r="AG1242" s="69" t="e" cm="1">
        <f t="array" ref="AG1242">_xlfn.XLOOKUP(Table1[[#This Row],[5 cm2 cell test code]:[5 cm2 cell test code]],[1]!Table1[[Test code]:[Test code]],[1]!Table1[Q_int_frac DIW],"",0)</f>
        <v>#REF!</v>
      </c>
      <c r="AH1242" s="69" t="e" cm="1">
        <f t="array" ref="AH1242">_xlfn.XLOOKUP(Table1[[#This Row],[5 cm2 cell test code]:[5 cm2 cell test code]],[1]!Table1[[Test code]:[Test code]],[1]!Table1[Ionic resistance 10 mM KOH/Ohm cm2],"",0)</f>
        <v>#REF!</v>
      </c>
      <c r="AI1242" s="69" t="e" cm="1">
        <f t="array" ref="AI1242">_xlfn.XLOOKUP(Table1[[#This Row],[5 cm2 cell test code]:[5 cm2 cell test code]],[1]!Table1[[Test code]:[Test code]],[1]!Table1[Q_int_frac DIW 10 mM KOH],"",0)</f>
        <v>#REF!</v>
      </c>
      <c r="AJ1242" s="69" t="e" cm="1">
        <f t="array" ref="AJ1242">_xlfn.XLOOKUP(Table1[[#This Row],[5 cm2 cell test code]:[5 cm2 cell test code]],[1]!Table1[[Test code]:[Test code]],[1]!Table1[DIW conductivity (µS/cm)],"",0)</f>
        <v>#REF!</v>
      </c>
    </row>
    <row r="1243" spans="1:36">
      <c r="A1243" s="81"/>
      <c r="U1243" s="101"/>
      <c r="V1243" s="101"/>
      <c r="W1243" s="69" t="e" cm="1">
        <f t="array" ref="W1243">_xlfn.XLOOKUP(Table1[[#This Row],[5 cm2 cell test code]:[5 cm2 cell test code]],[1]!Table1[[Test code]:[Test code]],[1]!Table1[i @ 1.8 V DIW (A/cm2)],"",0)</f>
        <v>#REF!</v>
      </c>
      <c r="X1243" s="69" t="e" cm="1">
        <f t="array" ref="X1243">_xlfn.XLOOKUP(Table1[[#This Row],[5 cm2 cell test code]:[5 cm2 cell test code]],[1]!Table1[[Test code]:[Test code]],[1]!Table1[i @ 1.8 V 10 mM KOH (A/cm2)],"",0)</f>
        <v>#REF!</v>
      </c>
      <c r="Y1243" s="69" t="e" cm="1">
        <f t="array" ref="Y1243">_xlfn.XLOOKUP(Table1[[#This Row],[5 cm2 cell test code]:[5 cm2 cell test code]],[1]!Table1[[Test code]:[Test code]],[1]!Table1[3-E ƞ at 20mAcm-2 (mV)],"",0)</f>
        <v>#REF!</v>
      </c>
      <c r="Z1243" s="69" t="e" cm="1">
        <f t="array" ref="Z1243">_xlfn.XLOOKUP(Table1[[#This Row],[5 cm2 cell test code]:[5 cm2 cell test code]],[1]!Table1[[Test code]:[Test code]],[1]!Table1[3-E Tafel slope (mV/dec)],"",0)</f>
        <v>#REF!</v>
      </c>
      <c r="AA1243" s="69" t="e" cm="1">
        <f t="array" ref="AA1243">_xlfn.XLOOKUP(Table1[[#This Row],[5 cm2 cell test code]:[5 cm2 cell test code]],[1]!Table1[[Test code]:[Test code]],[1]!Table1[E @ 100 mA/cm2 DIW/V],"",0)</f>
        <v>#REF!</v>
      </c>
      <c r="AB1243" s="69" t="e" cm="1">
        <f t="array" ref="AB1243">_xlfn.XLOOKUP(Table1[[#This Row],[5 cm2 cell test code]:[5 cm2 cell test code]],[1]!Table1[[Test code]:[Test code]],[1]!Table1[E @ 100 mA/cm2 10 mM KOH/V],"",0)</f>
        <v>#REF!</v>
      </c>
      <c r="AC1243" s="69" t="e" cm="1">
        <f t="array" ref="AC1243">_xlfn.XLOOKUP(Table1[[#This Row],[5 cm2 cell test code]:[5 cm2 cell test code]],[1]!Table1[[Test code]:[Test code]],[1]!Table1[Anode ICR/mOhm],"",0)</f>
        <v>#REF!</v>
      </c>
      <c r="AD1243" s="69" t="e" cm="1">
        <f t="array" ref="AD1243">_xlfn.XLOOKUP(Table1[[#This Row],[5 cm2 cell test code]:[5 cm2 cell test code]],[1]!Table1[[Test code]:[Test code]],[1]!Table1[HFR DIW/ mOhm cm2],"",0)</f>
        <v>#REF!</v>
      </c>
      <c r="AE1243" s="69" t="e" cm="1">
        <f t="array" ref="AE1243">_xlfn.XLOOKUP(Table1[[#This Row],[5 cm2 cell test code]:[5 cm2 cell test code]],[1]!Table1[[Test code]:[Test code]],[1]!Table1[HFR 10 mM KOH/ mOhm cm2],"",0)</f>
        <v>#REF!</v>
      </c>
      <c r="AF1243" s="69" t="e" cm="1">
        <f t="array" ref="AF1243">_xlfn.XLOOKUP(Table1[[#This Row],[5 cm2 cell test code]:[5 cm2 cell test code]],[1]!Table1[[Test code]:[Test code]],[1]!Table1[Ionic resistance DIW/Ohm cm2],"",0)</f>
        <v>#REF!</v>
      </c>
      <c r="AG1243" s="69" t="e" cm="1">
        <f t="array" ref="AG1243">_xlfn.XLOOKUP(Table1[[#This Row],[5 cm2 cell test code]:[5 cm2 cell test code]],[1]!Table1[[Test code]:[Test code]],[1]!Table1[Q_int_frac DIW],"",0)</f>
        <v>#REF!</v>
      </c>
      <c r="AH1243" s="69" t="e" cm="1">
        <f t="array" ref="AH1243">_xlfn.XLOOKUP(Table1[[#This Row],[5 cm2 cell test code]:[5 cm2 cell test code]],[1]!Table1[[Test code]:[Test code]],[1]!Table1[Ionic resistance 10 mM KOH/Ohm cm2],"",0)</f>
        <v>#REF!</v>
      </c>
      <c r="AI1243" s="69" t="e" cm="1">
        <f t="array" ref="AI1243">_xlfn.XLOOKUP(Table1[[#This Row],[5 cm2 cell test code]:[5 cm2 cell test code]],[1]!Table1[[Test code]:[Test code]],[1]!Table1[Q_int_frac DIW 10 mM KOH],"",0)</f>
        <v>#REF!</v>
      </c>
      <c r="AJ1243" s="69" t="e" cm="1">
        <f t="array" ref="AJ1243">_xlfn.XLOOKUP(Table1[[#This Row],[5 cm2 cell test code]:[5 cm2 cell test code]],[1]!Table1[[Test code]:[Test code]],[1]!Table1[DIW conductivity (µS/cm)],"",0)</f>
        <v>#REF!</v>
      </c>
    </row>
    <row r="1244" spans="1:36">
      <c r="A1244" s="81"/>
      <c r="U1244" s="101"/>
      <c r="V1244" s="101"/>
      <c r="W1244" s="69" t="e" cm="1">
        <f t="array" ref="W1244">_xlfn.XLOOKUP(Table1[[#This Row],[5 cm2 cell test code]:[5 cm2 cell test code]],[1]!Table1[[Test code]:[Test code]],[1]!Table1[i @ 1.8 V DIW (A/cm2)],"",0)</f>
        <v>#REF!</v>
      </c>
      <c r="X1244" s="69" t="e" cm="1">
        <f t="array" ref="X1244">_xlfn.XLOOKUP(Table1[[#This Row],[5 cm2 cell test code]:[5 cm2 cell test code]],[1]!Table1[[Test code]:[Test code]],[1]!Table1[i @ 1.8 V 10 mM KOH (A/cm2)],"",0)</f>
        <v>#REF!</v>
      </c>
      <c r="Y1244" s="69" t="e" cm="1">
        <f t="array" ref="Y1244">_xlfn.XLOOKUP(Table1[[#This Row],[5 cm2 cell test code]:[5 cm2 cell test code]],[1]!Table1[[Test code]:[Test code]],[1]!Table1[3-E ƞ at 20mAcm-2 (mV)],"",0)</f>
        <v>#REF!</v>
      </c>
      <c r="Z1244" s="69" t="e" cm="1">
        <f t="array" ref="Z1244">_xlfn.XLOOKUP(Table1[[#This Row],[5 cm2 cell test code]:[5 cm2 cell test code]],[1]!Table1[[Test code]:[Test code]],[1]!Table1[3-E Tafel slope (mV/dec)],"",0)</f>
        <v>#REF!</v>
      </c>
      <c r="AA1244" s="69" t="e" cm="1">
        <f t="array" ref="AA1244">_xlfn.XLOOKUP(Table1[[#This Row],[5 cm2 cell test code]:[5 cm2 cell test code]],[1]!Table1[[Test code]:[Test code]],[1]!Table1[E @ 100 mA/cm2 DIW/V],"",0)</f>
        <v>#REF!</v>
      </c>
      <c r="AB1244" s="69" t="e" cm="1">
        <f t="array" ref="AB1244">_xlfn.XLOOKUP(Table1[[#This Row],[5 cm2 cell test code]:[5 cm2 cell test code]],[1]!Table1[[Test code]:[Test code]],[1]!Table1[E @ 100 mA/cm2 10 mM KOH/V],"",0)</f>
        <v>#REF!</v>
      </c>
      <c r="AC1244" s="69" t="e" cm="1">
        <f t="array" ref="AC1244">_xlfn.XLOOKUP(Table1[[#This Row],[5 cm2 cell test code]:[5 cm2 cell test code]],[1]!Table1[[Test code]:[Test code]],[1]!Table1[Anode ICR/mOhm],"",0)</f>
        <v>#REF!</v>
      </c>
      <c r="AD1244" s="69" t="e" cm="1">
        <f t="array" ref="AD1244">_xlfn.XLOOKUP(Table1[[#This Row],[5 cm2 cell test code]:[5 cm2 cell test code]],[1]!Table1[[Test code]:[Test code]],[1]!Table1[HFR DIW/ mOhm cm2],"",0)</f>
        <v>#REF!</v>
      </c>
      <c r="AE1244" s="69" t="e" cm="1">
        <f t="array" ref="AE1244">_xlfn.XLOOKUP(Table1[[#This Row],[5 cm2 cell test code]:[5 cm2 cell test code]],[1]!Table1[[Test code]:[Test code]],[1]!Table1[HFR 10 mM KOH/ mOhm cm2],"",0)</f>
        <v>#REF!</v>
      </c>
      <c r="AF1244" s="69" t="e" cm="1">
        <f t="array" ref="AF1244">_xlfn.XLOOKUP(Table1[[#This Row],[5 cm2 cell test code]:[5 cm2 cell test code]],[1]!Table1[[Test code]:[Test code]],[1]!Table1[Ionic resistance DIW/Ohm cm2],"",0)</f>
        <v>#REF!</v>
      </c>
      <c r="AG1244" s="69" t="e" cm="1">
        <f t="array" ref="AG1244">_xlfn.XLOOKUP(Table1[[#This Row],[5 cm2 cell test code]:[5 cm2 cell test code]],[1]!Table1[[Test code]:[Test code]],[1]!Table1[Q_int_frac DIW],"",0)</f>
        <v>#REF!</v>
      </c>
      <c r="AH1244" s="69" t="e" cm="1">
        <f t="array" ref="AH1244">_xlfn.XLOOKUP(Table1[[#This Row],[5 cm2 cell test code]:[5 cm2 cell test code]],[1]!Table1[[Test code]:[Test code]],[1]!Table1[Ionic resistance 10 mM KOH/Ohm cm2],"",0)</f>
        <v>#REF!</v>
      </c>
      <c r="AI1244" s="69" t="e" cm="1">
        <f t="array" ref="AI1244">_xlfn.XLOOKUP(Table1[[#This Row],[5 cm2 cell test code]:[5 cm2 cell test code]],[1]!Table1[[Test code]:[Test code]],[1]!Table1[Q_int_frac DIW 10 mM KOH],"",0)</f>
        <v>#REF!</v>
      </c>
      <c r="AJ1244" s="69" t="e" cm="1">
        <f t="array" ref="AJ1244">_xlfn.XLOOKUP(Table1[[#This Row],[5 cm2 cell test code]:[5 cm2 cell test code]],[1]!Table1[[Test code]:[Test code]],[1]!Table1[DIW conductivity (µS/cm)],"",0)</f>
        <v>#REF!</v>
      </c>
    </row>
    <row r="1245" spans="1:36">
      <c r="A1245" s="81"/>
      <c r="U1245" s="101"/>
      <c r="V1245" s="101"/>
      <c r="W1245" s="69" t="e" cm="1">
        <f t="array" ref="W1245">_xlfn.XLOOKUP(Table1[[#This Row],[5 cm2 cell test code]:[5 cm2 cell test code]],[1]!Table1[[Test code]:[Test code]],[1]!Table1[i @ 1.8 V DIW (A/cm2)],"",0)</f>
        <v>#REF!</v>
      </c>
      <c r="X1245" s="69" t="e" cm="1">
        <f t="array" ref="X1245">_xlfn.XLOOKUP(Table1[[#This Row],[5 cm2 cell test code]:[5 cm2 cell test code]],[1]!Table1[[Test code]:[Test code]],[1]!Table1[i @ 1.8 V 10 mM KOH (A/cm2)],"",0)</f>
        <v>#REF!</v>
      </c>
      <c r="Y1245" s="69" t="e" cm="1">
        <f t="array" ref="Y1245">_xlfn.XLOOKUP(Table1[[#This Row],[5 cm2 cell test code]:[5 cm2 cell test code]],[1]!Table1[[Test code]:[Test code]],[1]!Table1[3-E ƞ at 20mAcm-2 (mV)],"",0)</f>
        <v>#REF!</v>
      </c>
      <c r="Z1245" s="69" t="e" cm="1">
        <f t="array" ref="Z1245">_xlfn.XLOOKUP(Table1[[#This Row],[5 cm2 cell test code]:[5 cm2 cell test code]],[1]!Table1[[Test code]:[Test code]],[1]!Table1[3-E Tafel slope (mV/dec)],"",0)</f>
        <v>#REF!</v>
      </c>
      <c r="AA1245" s="69" t="e" cm="1">
        <f t="array" ref="AA1245">_xlfn.XLOOKUP(Table1[[#This Row],[5 cm2 cell test code]:[5 cm2 cell test code]],[1]!Table1[[Test code]:[Test code]],[1]!Table1[E @ 100 mA/cm2 DIW/V],"",0)</f>
        <v>#REF!</v>
      </c>
      <c r="AB1245" s="69" t="e" cm="1">
        <f t="array" ref="AB1245">_xlfn.XLOOKUP(Table1[[#This Row],[5 cm2 cell test code]:[5 cm2 cell test code]],[1]!Table1[[Test code]:[Test code]],[1]!Table1[E @ 100 mA/cm2 10 mM KOH/V],"",0)</f>
        <v>#REF!</v>
      </c>
      <c r="AC1245" s="69" t="e" cm="1">
        <f t="array" ref="AC1245">_xlfn.XLOOKUP(Table1[[#This Row],[5 cm2 cell test code]:[5 cm2 cell test code]],[1]!Table1[[Test code]:[Test code]],[1]!Table1[Anode ICR/mOhm],"",0)</f>
        <v>#REF!</v>
      </c>
      <c r="AD1245" s="69" t="e" cm="1">
        <f t="array" ref="AD1245">_xlfn.XLOOKUP(Table1[[#This Row],[5 cm2 cell test code]:[5 cm2 cell test code]],[1]!Table1[[Test code]:[Test code]],[1]!Table1[HFR DIW/ mOhm cm2],"",0)</f>
        <v>#REF!</v>
      </c>
      <c r="AE1245" s="69" t="e" cm="1">
        <f t="array" ref="AE1245">_xlfn.XLOOKUP(Table1[[#This Row],[5 cm2 cell test code]:[5 cm2 cell test code]],[1]!Table1[[Test code]:[Test code]],[1]!Table1[HFR 10 mM KOH/ mOhm cm2],"",0)</f>
        <v>#REF!</v>
      </c>
      <c r="AF1245" s="69" t="e" cm="1">
        <f t="array" ref="AF1245">_xlfn.XLOOKUP(Table1[[#This Row],[5 cm2 cell test code]:[5 cm2 cell test code]],[1]!Table1[[Test code]:[Test code]],[1]!Table1[Ionic resistance DIW/Ohm cm2],"",0)</f>
        <v>#REF!</v>
      </c>
      <c r="AG1245" s="69" t="e" cm="1">
        <f t="array" ref="AG1245">_xlfn.XLOOKUP(Table1[[#This Row],[5 cm2 cell test code]:[5 cm2 cell test code]],[1]!Table1[[Test code]:[Test code]],[1]!Table1[Q_int_frac DIW],"",0)</f>
        <v>#REF!</v>
      </c>
      <c r="AH1245" s="69" t="e" cm="1">
        <f t="array" ref="AH1245">_xlfn.XLOOKUP(Table1[[#This Row],[5 cm2 cell test code]:[5 cm2 cell test code]],[1]!Table1[[Test code]:[Test code]],[1]!Table1[Ionic resistance 10 mM KOH/Ohm cm2],"",0)</f>
        <v>#REF!</v>
      </c>
      <c r="AI1245" s="69" t="e" cm="1">
        <f t="array" ref="AI1245">_xlfn.XLOOKUP(Table1[[#This Row],[5 cm2 cell test code]:[5 cm2 cell test code]],[1]!Table1[[Test code]:[Test code]],[1]!Table1[Q_int_frac DIW 10 mM KOH],"",0)</f>
        <v>#REF!</v>
      </c>
      <c r="AJ1245" s="69" t="e" cm="1">
        <f t="array" ref="AJ1245">_xlfn.XLOOKUP(Table1[[#This Row],[5 cm2 cell test code]:[5 cm2 cell test code]],[1]!Table1[[Test code]:[Test code]],[1]!Table1[DIW conductivity (µS/cm)],"",0)</f>
        <v>#REF!</v>
      </c>
    </row>
    <row r="1246" spans="1:36">
      <c r="A1246" s="81"/>
      <c r="U1246" s="101"/>
      <c r="V1246" s="101"/>
      <c r="W1246" s="69" t="e" cm="1">
        <f t="array" ref="W1246">_xlfn.XLOOKUP(Table1[[#This Row],[5 cm2 cell test code]:[5 cm2 cell test code]],[1]!Table1[[Test code]:[Test code]],[1]!Table1[i @ 1.8 V DIW (A/cm2)],"",0)</f>
        <v>#REF!</v>
      </c>
      <c r="X1246" s="69" t="e" cm="1">
        <f t="array" ref="X1246">_xlfn.XLOOKUP(Table1[[#This Row],[5 cm2 cell test code]:[5 cm2 cell test code]],[1]!Table1[[Test code]:[Test code]],[1]!Table1[i @ 1.8 V 10 mM KOH (A/cm2)],"",0)</f>
        <v>#REF!</v>
      </c>
      <c r="Y1246" s="69" t="e" cm="1">
        <f t="array" ref="Y1246">_xlfn.XLOOKUP(Table1[[#This Row],[5 cm2 cell test code]:[5 cm2 cell test code]],[1]!Table1[[Test code]:[Test code]],[1]!Table1[3-E ƞ at 20mAcm-2 (mV)],"",0)</f>
        <v>#REF!</v>
      </c>
      <c r="Z1246" s="69" t="e" cm="1">
        <f t="array" ref="Z1246">_xlfn.XLOOKUP(Table1[[#This Row],[5 cm2 cell test code]:[5 cm2 cell test code]],[1]!Table1[[Test code]:[Test code]],[1]!Table1[3-E Tafel slope (mV/dec)],"",0)</f>
        <v>#REF!</v>
      </c>
      <c r="AA1246" s="69" t="e" cm="1">
        <f t="array" ref="AA1246">_xlfn.XLOOKUP(Table1[[#This Row],[5 cm2 cell test code]:[5 cm2 cell test code]],[1]!Table1[[Test code]:[Test code]],[1]!Table1[E @ 100 mA/cm2 DIW/V],"",0)</f>
        <v>#REF!</v>
      </c>
      <c r="AB1246" s="69" t="e" cm="1">
        <f t="array" ref="AB1246">_xlfn.XLOOKUP(Table1[[#This Row],[5 cm2 cell test code]:[5 cm2 cell test code]],[1]!Table1[[Test code]:[Test code]],[1]!Table1[E @ 100 mA/cm2 10 mM KOH/V],"",0)</f>
        <v>#REF!</v>
      </c>
      <c r="AC1246" s="69" t="e" cm="1">
        <f t="array" ref="AC1246">_xlfn.XLOOKUP(Table1[[#This Row],[5 cm2 cell test code]:[5 cm2 cell test code]],[1]!Table1[[Test code]:[Test code]],[1]!Table1[Anode ICR/mOhm],"",0)</f>
        <v>#REF!</v>
      </c>
      <c r="AD1246" s="69" t="e" cm="1">
        <f t="array" ref="AD1246">_xlfn.XLOOKUP(Table1[[#This Row],[5 cm2 cell test code]:[5 cm2 cell test code]],[1]!Table1[[Test code]:[Test code]],[1]!Table1[HFR DIW/ mOhm cm2],"",0)</f>
        <v>#REF!</v>
      </c>
      <c r="AE1246" s="69" t="e" cm="1">
        <f t="array" ref="AE1246">_xlfn.XLOOKUP(Table1[[#This Row],[5 cm2 cell test code]:[5 cm2 cell test code]],[1]!Table1[[Test code]:[Test code]],[1]!Table1[HFR 10 mM KOH/ mOhm cm2],"",0)</f>
        <v>#REF!</v>
      </c>
      <c r="AF1246" s="69" t="e" cm="1">
        <f t="array" ref="AF1246">_xlfn.XLOOKUP(Table1[[#This Row],[5 cm2 cell test code]:[5 cm2 cell test code]],[1]!Table1[[Test code]:[Test code]],[1]!Table1[Ionic resistance DIW/Ohm cm2],"",0)</f>
        <v>#REF!</v>
      </c>
      <c r="AG1246" s="69" t="e" cm="1">
        <f t="array" ref="AG1246">_xlfn.XLOOKUP(Table1[[#This Row],[5 cm2 cell test code]:[5 cm2 cell test code]],[1]!Table1[[Test code]:[Test code]],[1]!Table1[Q_int_frac DIW],"",0)</f>
        <v>#REF!</v>
      </c>
      <c r="AH1246" s="69" t="e" cm="1">
        <f t="array" ref="AH1246">_xlfn.XLOOKUP(Table1[[#This Row],[5 cm2 cell test code]:[5 cm2 cell test code]],[1]!Table1[[Test code]:[Test code]],[1]!Table1[Ionic resistance 10 mM KOH/Ohm cm2],"",0)</f>
        <v>#REF!</v>
      </c>
      <c r="AI1246" s="69" t="e" cm="1">
        <f t="array" ref="AI1246">_xlfn.XLOOKUP(Table1[[#This Row],[5 cm2 cell test code]:[5 cm2 cell test code]],[1]!Table1[[Test code]:[Test code]],[1]!Table1[Q_int_frac DIW 10 mM KOH],"",0)</f>
        <v>#REF!</v>
      </c>
      <c r="AJ1246" s="69" t="e" cm="1">
        <f t="array" ref="AJ1246">_xlfn.XLOOKUP(Table1[[#This Row],[5 cm2 cell test code]:[5 cm2 cell test code]],[1]!Table1[[Test code]:[Test code]],[1]!Table1[DIW conductivity (µS/cm)],"",0)</f>
        <v>#REF!</v>
      </c>
    </row>
    <row r="1247" spans="1:36">
      <c r="A1247" s="81"/>
      <c r="U1247" s="101"/>
      <c r="V1247" s="101"/>
      <c r="W1247" s="69" t="e" cm="1">
        <f t="array" ref="W1247">_xlfn.XLOOKUP(Table1[[#This Row],[5 cm2 cell test code]:[5 cm2 cell test code]],[1]!Table1[[Test code]:[Test code]],[1]!Table1[i @ 1.8 V DIW (A/cm2)],"",0)</f>
        <v>#REF!</v>
      </c>
      <c r="X1247" s="69" t="e" cm="1">
        <f t="array" ref="X1247">_xlfn.XLOOKUP(Table1[[#This Row],[5 cm2 cell test code]:[5 cm2 cell test code]],[1]!Table1[[Test code]:[Test code]],[1]!Table1[i @ 1.8 V 10 mM KOH (A/cm2)],"",0)</f>
        <v>#REF!</v>
      </c>
      <c r="Y1247" s="69" t="e" cm="1">
        <f t="array" ref="Y1247">_xlfn.XLOOKUP(Table1[[#This Row],[5 cm2 cell test code]:[5 cm2 cell test code]],[1]!Table1[[Test code]:[Test code]],[1]!Table1[3-E ƞ at 20mAcm-2 (mV)],"",0)</f>
        <v>#REF!</v>
      </c>
      <c r="Z1247" s="69" t="e" cm="1">
        <f t="array" ref="Z1247">_xlfn.XLOOKUP(Table1[[#This Row],[5 cm2 cell test code]:[5 cm2 cell test code]],[1]!Table1[[Test code]:[Test code]],[1]!Table1[3-E Tafel slope (mV/dec)],"",0)</f>
        <v>#REF!</v>
      </c>
      <c r="AA1247" s="69" t="e" cm="1">
        <f t="array" ref="AA1247">_xlfn.XLOOKUP(Table1[[#This Row],[5 cm2 cell test code]:[5 cm2 cell test code]],[1]!Table1[[Test code]:[Test code]],[1]!Table1[E @ 100 mA/cm2 DIW/V],"",0)</f>
        <v>#REF!</v>
      </c>
      <c r="AB1247" s="69" t="e" cm="1">
        <f t="array" ref="AB1247">_xlfn.XLOOKUP(Table1[[#This Row],[5 cm2 cell test code]:[5 cm2 cell test code]],[1]!Table1[[Test code]:[Test code]],[1]!Table1[E @ 100 mA/cm2 10 mM KOH/V],"",0)</f>
        <v>#REF!</v>
      </c>
      <c r="AC1247" s="69" t="e" cm="1">
        <f t="array" ref="AC1247">_xlfn.XLOOKUP(Table1[[#This Row],[5 cm2 cell test code]:[5 cm2 cell test code]],[1]!Table1[[Test code]:[Test code]],[1]!Table1[Anode ICR/mOhm],"",0)</f>
        <v>#REF!</v>
      </c>
      <c r="AD1247" s="69" t="e" cm="1">
        <f t="array" ref="AD1247">_xlfn.XLOOKUP(Table1[[#This Row],[5 cm2 cell test code]:[5 cm2 cell test code]],[1]!Table1[[Test code]:[Test code]],[1]!Table1[HFR DIW/ mOhm cm2],"",0)</f>
        <v>#REF!</v>
      </c>
      <c r="AE1247" s="69" t="e" cm="1">
        <f t="array" ref="AE1247">_xlfn.XLOOKUP(Table1[[#This Row],[5 cm2 cell test code]:[5 cm2 cell test code]],[1]!Table1[[Test code]:[Test code]],[1]!Table1[HFR 10 mM KOH/ mOhm cm2],"",0)</f>
        <v>#REF!</v>
      </c>
      <c r="AF1247" s="69" t="e" cm="1">
        <f t="array" ref="AF1247">_xlfn.XLOOKUP(Table1[[#This Row],[5 cm2 cell test code]:[5 cm2 cell test code]],[1]!Table1[[Test code]:[Test code]],[1]!Table1[Ionic resistance DIW/Ohm cm2],"",0)</f>
        <v>#REF!</v>
      </c>
      <c r="AG1247" s="69" t="e" cm="1">
        <f t="array" ref="AG1247">_xlfn.XLOOKUP(Table1[[#This Row],[5 cm2 cell test code]:[5 cm2 cell test code]],[1]!Table1[[Test code]:[Test code]],[1]!Table1[Q_int_frac DIW],"",0)</f>
        <v>#REF!</v>
      </c>
      <c r="AH1247" s="69" t="e" cm="1">
        <f t="array" ref="AH1247">_xlfn.XLOOKUP(Table1[[#This Row],[5 cm2 cell test code]:[5 cm2 cell test code]],[1]!Table1[[Test code]:[Test code]],[1]!Table1[Ionic resistance 10 mM KOH/Ohm cm2],"",0)</f>
        <v>#REF!</v>
      </c>
      <c r="AI1247" s="69" t="e" cm="1">
        <f t="array" ref="AI1247">_xlfn.XLOOKUP(Table1[[#This Row],[5 cm2 cell test code]:[5 cm2 cell test code]],[1]!Table1[[Test code]:[Test code]],[1]!Table1[Q_int_frac DIW 10 mM KOH],"",0)</f>
        <v>#REF!</v>
      </c>
      <c r="AJ1247" s="69" t="e" cm="1">
        <f t="array" ref="AJ1247">_xlfn.XLOOKUP(Table1[[#This Row],[5 cm2 cell test code]:[5 cm2 cell test code]],[1]!Table1[[Test code]:[Test code]],[1]!Table1[DIW conductivity (µS/cm)],"",0)</f>
        <v>#REF!</v>
      </c>
    </row>
    <row r="1248" spans="1:36">
      <c r="A1248" s="81"/>
      <c r="U1248" s="101"/>
      <c r="V1248" s="101"/>
      <c r="W1248" s="69" t="e" cm="1">
        <f t="array" ref="W1248">_xlfn.XLOOKUP(Table1[[#This Row],[5 cm2 cell test code]:[5 cm2 cell test code]],[1]!Table1[[Test code]:[Test code]],[1]!Table1[i @ 1.8 V DIW (A/cm2)],"",0)</f>
        <v>#REF!</v>
      </c>
      <c r="X1248" s="69" t="e" cm="1">
        <f t="array" ref="X1248">_xlfn.XLOOKUP(Table1[[#This Row],[5 cm2 cell test code]:[5 cm2 cell test code]],[1]!Table1[[Test code]:[Test code]],[1]!Table1[i @ 1.8 V 10 mM KOH (A/cm2)],"",0)</f>
        <v>#REF!</v>
      </c>
      <c r="Y1248" s="69" t="e" cm="1">
        <f t="array" ref="Y1248">_xlfn.XLOOKUP(Table1[[#This Row],[5 cm2 cell test code]:[5 cm2 cell test code]],[1]!Table1[[Test code]:[Test code]],[1]!Table1[3-E ƞ at 20mAcm-2 (mV)],"",0)</f>
        <v>#REF!</v>
      </c>
      <c r="Z1248" s="69" t="e" cm="1">
        <f t="array" ref="Z1248">_xlfn.XLOOKUP(Table1[[#This Row],[5 cm2 cell test code]:[5 cm2 cell test code]],[1]!Table1[[Test code]:[Test code]],[1]!Table1[3-E Tafel slope (mV/dec)],"",0)</f>
        <v>#REF!</v>
      </c>
      <c r="AA1248" s="69" t="e" cm="1">
        <f t="array" ref="AA1248">_xlfn.XLOOKUP(Table1[[#This Row],[5 cm2 cell test code]:[5 cm2 cell test code]],[1]!Table1[[Test code]:[Test code]],[1]!Table1[E @ 100 mA/cm2 DIW/V],"",0)</f>
        <v>#REF!</v>
      </c>
      <c r="AB1248" s="69" t="e" cm="1">
        <f t="array" ref="AB1248">_xlfn.XLOOKUP(Table1[[#This Row],[5 cm2 cell test code]:[5 cm2 cell test code]],[1]!Table1[[Test code]:[Test code]],[1]!Table1[E @ 100 mA/cm2 10 mM KOH/V],"",0)</f>
        <v>#REF!</v>
      </c>
      <c r="AC1248" s="69" t="e" cm="1">
        <f t="array" ref="AC1248">_xlfn.XLOOKUP(Table1[[#This Row],[5 cm2 cell test code]:[5 cm2 cell test code]],[1]!Table1[[Test code]:[Test code]],[1]!Table1[Anode ICR/mOhm],"",0)</f>
        <v>#REF!</v>
      </c>
      <c r="AD1248" s="69" t="e" cm="1">
        <f t="array" ref="AD1248">_xlfn.XLOOKUP(Table1[[#This Row],[5 cm2 cell test code]:[5 cm2 cell test code]],[1]!Table1[[Test code]:[Test code]],[1]!Table1[HFR DIW/ mOhm cm2],"",0)</f>
        <v>#REF!</v>
      </c>
      <c r="AE1248" s="69" t="e" cm="1">
        <f t="array" ref="AE1248">_xlfn.XLOOKUP(Table1[[#This Row],[5 cm2 cell test code]:[5 cm2 cell test code]],[1]!Table1[[Test code]:[Test code]],[1]!Table1[HFR 10 mM KOH/ mOhm cm2],"",0)</f>
        <v>#REF!</v>
      </c>
      <c r="AF1248" s="69" t="e" cm="1">
        <f t="array" ref="AF1248">_xlfn.XLOOKUP(Table1[[#This Row],[5 cm2 cell test code]:[5 cm2 cell test code]],[1]!Table1[[Test code]:[Test code]],[1]!Table1[Ionic resistance DIW/Ohm cm2],"",0)</f>
        <v>#REF!</v>
      </c>
      <c r="AG1248" s="69" t="e" cm="1">
        <f t="array" ref="AG1248">_xlfn.XLOOKUP(Table1[[#This Row],[5 cm2 cell test code]:[5 cm2 cell test code]],[1]!Table1[[Test code]:[Test code]],[1]!Table1[Q_int_frac DIW],"",0)</f>
        <v>#REF!</v>
      </c>
      <c r="AH1248" s="69" t="e" cm="1">
        <f t="array" ref="AH1248">_xlfn.XLOOKUP(Table1[[#This Row],[5 cm2 cell test code]:[5 cm2 cell test code]],[1]!Table1[[Test code]:[Test code]],[1]!Table1[Ionic resistance 10 mM KOH/Ohm cm2],"",0)</f>
        <v>#REF!</v>
      </c>
      <c r="AI1248" s="69" t="e" cm="1">
        <f t="array" ref="AI1248">_xlfn.XLOOKUP(Table1[[#This Row],[5 cm2 cell test code]:[5 cm2 cell test code]],[1]!Table1[[Test code]:[Test code]],[1]!Table1[Q_int_frac DIW 10 mM KOH],"",0)</f>
        <v>#REF!</v>
      </c>
      <c r="AJ1248" s="69" t="e" cm="1">
        <f t="array" ref="AJ1248">_xlfn.XLOOKUP(Table1[[#This Row],[5 cm2 cell test code]:[5 cm2 cell test code]],[1]!Table1[[Test code]:[Test code]],[1]!Table1[DIW conductivity (µS/cm)],"",0)</f>
        <v>#REF!</v>
      </c>
    </row>
    <row r="1249" spans="1:36">
      <c r="A1249" s="81"/>
      <c r="U1249" s="101"/>
      <c r="V1249" s="101"/>
      <c r="W1249" s="69" t="e" cm="1">
        <f t="array" ref="W1249">_xlfn.XLOOKUP(Table1[[#This Row],[5 cm2 cell test code]:[5 cm2 cell test code]],[1]!Table1[[Test code]:[Test code]],[1]!Table1[i @ 1.8 V DIW (A/cm2)],"",0)</f>
        <v>#REF!</v>
      </c>
      <c r="X1249" s="69" t="e" cm="1">
        <f t="array" ref="X1249">_xlfn.XLOOKUP(Table1[[#This Row],[5 cm2 cell test code]:[5 cm2 cell test code]],[1]!Table1[[Test code]:[Test code]],[1]!Table1[i @ 1.8 V 10 mM KOH (A/cm2)],"",0)</f>
        <v>#REF!</v>
      </c>
      <c r="Y1249" s="69" t="e" cm="1">
        <f t="array" ref="Y1249">_xlfn.XLOOKUP(Table1[[#This Row],[5 cm2 cell test code]:[5 cm2 cell test code]],[1]!Table1[[Test code]:[Test code]],[1]!Table1[3-E ƞ at 20mAcm-2 (mV)],"",0)</f>
        <v>#REF!</v>
      </c>
      <c r="Z1249" s="69" t="e" cm="1">
        <f t="array" ref="Z1249">_xlfn.XLOOKUP(Table1[[#This Row],[5 cm2 cell test code]:[5 cm2 cell test code]],[1]!Table1[[Test code]:[Test code]],[1]!Table1[3-E Tafel slope (mV/dec)],"",0)</f>
        <v>#REF!</v>
      </c>
      <c r="AA1249" s="69" t="e" cm="1">
        <f t="array" ref="AA1249">_xlfn.XLOOKUP(Table1[[#This Row],[5 cm2 cell test code]:[5 cm2 cell test code]],[1]!Table1[[Test code]:[Test code]],[1]!Table1[E @ 100 mA/cm2 DIW/V],"",0)</f>
        <v>#REF!</v>
      </c>
      <c r="AB1249" s="69" t="e" cm="1">
        <f t="array" ref="AB1249">_xlfn.XLOOKUP(Table1[[#This Row],[5 cm2 cell test code]:[5 cm2 cell test code]],[1]!Table1[[Test code]:[Test code]],[1]!Table1[E @ 100 mA/cm2 10 mM KOH/V],"",0)</f>
        <v>#REF!</v>
      </c>
      <c r="AC1249" s="69" t="e" cm="1">
        <f t="array" ref="AC1249">_xlfn.XLOOKUP(Table1[[#This Row],[5 cm2 cell test code]:[5 cm2 cell test code]],[1]!Table1[[Test code]:[Test code]],[1]!Table1[Anode ICR/mOhm],"",0)</f>
        <v>#REF!</v>
      </c>
      <c r="AD1249" s="69" t="e" cm="1">
        <f t="array" ref="AD1249">_xlfn.XLOOKUP(Table1[[#This Row],[5 cm2 cell test code]:[5 cm2 cell test code]],[1]!Table1[[Test code]:[Test code]],[1]!Table1[HFR DIW/ mOhm cm2],"",0)</f>
        <v>#REF!</v>
      </c>
      <c r="AE1249" s="69" t="e" cm="1">
        <f t="array" ref="AE1249">_xlfn.XLOOKUP(Table1[[#This Row],[5 cm2 cell test code]:[5 cm2 cell test code]],[1]!Table1[[Test code]:[Test code]],[1]!Table1[HFR 10 mM KOH/ mOhm cm2],"",0)</f>
        <v>#REF!</v>
      </c>
      <c r="AF1249" s="69" t="e" cm="1">
        <f t="array" ref="AF1249">_xlfn.XLOOKUP(Table1[[#This Row],[5 cm2 cell test code]:[5 cm2 cell test code]],[1]!Table1[[Test code]:[Test code]],[1]!Table1[Ionic resistance DIW/Ohm cm2],"",0)</f>
        <v>#REF!</v>
      </c>
      <c r="AG1249" s="69" t="e" cm="1">
        <f t="array" ref="AG1249">_xlfn.XLOOKUP(Table1[[#This Row],[5 cm2 cell test code]:[5 cm2 cell test code]],[1]!Table1[[Test code]:[Test code]],[1]!Table1[Q_int_frac DIW],"",0)</f>
        <v>#REF!</v>
      </c>
      <c r="AH1249" s="69" t="e" cm="1">
        <f t="array" ref="AH1249">_xlfn.XLOOKUP(Table1[[#This Row],[5 cm2 cell test code]:[5 cm2 cell test code]],[1]!Table1[[Test code]:[Test code]],[1]!Table1[Ionic resistance 10 mM KOH/Ohm cm2],"",0)</f>
        <v>#REF!</v>
      </c>
      <c r="AI1249" s="69" t="e" cm="1">
        <f t="array" ref="AI1249">_xlfn.XLOOKUP(Table1[[#This Row],[5 cm2 cell test code]:[5 cm2 cell test code]],[1]!Table1[[Test code]:[Test code]],[1]!Table1[Q_int_frac DIW 10 mM KOH],"",0)</f>
        <v>#REF!</v>
      </c>
      <c r="AJ1249" s="69" t="e" cm="1">
        <f t="array" ref="AJ1249">_xlfn.XLOOKUP(Table1[[#This Row],[5 cm2 cell test code]:[5 cm2 cell test code]],[1]!Table1[[Test code]:[Test code]],[1]!Table1[DIW conductivity (µS/cm)],"",0)</f>
        <v>#REF!</v>
      </c>
    </row>
    <row r="1250" spans="1:36">
      <c r="A1250" s="81"/>
      <c r="U1250" s="101"/>
      <c r="V1250" s="101"/>
      <c r="W1250" s="69" t="e" cm="1">
        <f t="array" ref="W1250">_xlfn.XLOOKUP(Table1[[#This Row],[5 cm2 cell test code]:[5 cm2 cell test code]],[1]!Table1[[Test code]:[Test code]],[1]!Table1[i @ 1.8 V DIW (A/cm2)],"",0)</f>
        <v>#REF!</v>
      </c>
      <c r="X1250" s="69" t="e" cm="1">
        <f t="array" ref="X1250">_xlfn.XLOOKUP(Table1[[#This Row],[5 cm2 cell test code]:[5 cm2 cell test code]],[1]!Table1[[Test code]:[Test code]],[1]!Table1[i @ 1.8 V 10 mM KOH (A/cm2)],"",0)</f>
        <v>#REF!</v>
      </c>
      <c r="Y1250" s="69" t="e" cm="1">
        <f t="array" ref="Y1250">_xlfn.XLOOKUP(Table1[[#This Row],[5 cm2 cell test code]:[5 cm2 cell test code]],[1]!Table1[[Test code]:[Test code]],[1]!Table1[3-E ƞ at 20mAcm-2 (mV)],"",0)</f>
        <v>#REF!</v>
      </c>
      <c r="Z1250" s="69" t="e" cm="1">
        <f t="array" ref="Z1250">_xlfn.XLOOKUP(Table1[[#This Row],[5 cm2 cell test code]:[5 cm2 cell test code]],[1]!Table1[[Test code]:[Test code]],[1]!Table1[3-E Tafel slope (mV/dec)],"",0)</f>
        <v>#REF!</v>
      </c>
      <c r="AA1250" s="69" t="e" cm="1">
        <f t="array" ref="AA1250">_xlfn.XLOOKUP(Table1[[#This Row],[5 cm2 cell test code]:[5 cm2 cell test code]],[1]!Table1[[Test code]:[Test code]],[1]!Table1[E @ 100 mA/cm2 DIW/V],"",0)</f>
        <v>#REF!</v>
      </c>
      <c r="AB1250" s="69" t="e" cm="1">
        <f t="array" ref="AB1250">_xlfn.XLOOKUP(Table1[[#This Row],[5 cm2 cell test code]:[5 cm2 cell test code]],[1]!Table1[[Test code]:[Test code]],[1]!Table1[E @ 100 mA/cm2 10 mM KOH/V],"",0)</f>
        <v>#REF!</v>
      </c>
      <c r="AC1250" s="69" t="e" cm="1">
        <f t="array" ref="AC1250">_xlfn.XLOOKUP(Table1[[#This Row],[5 cm2 cell test code]:[5 cm2 cell test code]],[1]!Table1[[Test code]:[Test code]],[1]!Table1[Anode ICR/mOhm],"",0)</f>
        <v>#REF!</v>
      </c>
      <c r="AD1250" s="69" t="e" cm="1">
        <f t="array" ref="AD1250">_xlfn.XLOOKUP(Table1[[#This Row],[5 cm2 cell test code]:[5 cm2 cell test code]],[1]!Table1[[Test code]:[Test code]],[1]!Table1[HFR DIW/ mOhm cm2],"",0)</f>
        <v>#REF!</v>
      </c>
      <c r="AE1250" s="69" t="e" cm="1">
        <f t="array" ref="AE1250">_xlfn.XLOOKUP(Table1[[#This Row],[5 cm2 cell test code]:[5 cm2 cell test code]],[1]!Table1[[Test code]:[Test code]],[1]!Table1[HFR 10 mM KOH/ mOhm cm2],"",0)</f>
        <v>#REF!</v>
      </c>
      <c r="AF1250" s="69" t="e" cm="1">
        <f t="array" ref="AF1250">_xlfn.XLOOKUP(Table1[[#This Row],[5 cm2 cell test code]:[5 cm2 cell test code]],[1]!Table1[[Test code]:[Test code]],[1]!Table1[Ionic resistance DIW/Ohm cm2],"",0)</f>
        <v>#REF!</v>
      </c>
      <c r="AG1250" s="69" t="e" cm="1">
        <f t="array" ref="AG1250">_xlfn.XLOOKUP(Table1[[#This Row],[5 cm2 cell test code]:[5 cm2 cell test code]],[1]!Table1[[Test code]:[Test code]],[1]!Table1[Q_int_frac DIW],"",0)</f>
        <v>#REF!</v>
      </c>
      <c r="AH1250" s="69" t="e" cm="1">
        <f t="array" ref="AH1250">_xlfn.XLOOKUP(Table1[[#This Row],[5 cm2 cell test code]:[5 cm2 cell test code]],[1]!Table1[[Test code]:[Test code]],[1]!Table1[Ionic resistance 10 mM KOH/Ohm cm2],"",0)</f>
        <v>#REF!</v>
      </c>
      <c r="AI1250" s="69" t="e" cm="1">
        <f t="array" ref="AI1250">_xlfn.XLOOKUP(Table1[[#This Row],[5 cm2 cell test code]:[5 cm2 cell test code]],[1]!Table1[[Test code]:[Test code]],[1]!Table1[Q_int_frac DIW 10 mM KOH],"",0)</f>
        <v>#REF!</v>
      </c>
      <c r="AJ1250" s="69" t="e" cm="1">
        <f t="array" ref="AJ1250">_xlfn.XLOOKUP(Table1[[#This Row],[5 cm2 cell test code]:[5 cm2 cell test code]],[1]!Table1[[Test code]:[Test code]],[1]!Table1[DIW conductivity (µS/cm)],"",0)</f>
        <v>#REF!</v>
      </c>
    </row>
    <row r="1251" spans="1:36">
      <c r="A1251" s="81"/>
      <c r="U1251" s="101"/>
      <c r="V1251" s="101"/>
      <c r="W1251" s="69" t="e" cm="1">
        <f t="array" ref="W1251">_xlfn.XLOOKUP(Table1[[#This Row],[5 cm2 cell test code]:[5 cm2 cell test code]],[1]!Table1[[Test code]:[Test code]],[1]!Table1[i @ 1.8 V DIW (A/cm2)],"",0)</f>
        <v>#REF!</v>
      </c>
      <c r="X1251" s="69" t="e" cm="1">
        <f t="array" ref="X1251">_xlfn.XLOOKUP(Table1[[#This Row],[5 cm2 cell test code]:[5 cm2 cell test code]],[1]!Table1[[Test code]:[Test code]],[1]!Table1[i @ 1.8 V 10 mM KOH (A/cm2)],"",0)</f>
        <v>#REF!</v>
      </c>
      <c r="Y1251" s="69" t="e" cm="1">
        <f t="array" ref="Y1251">_xlfn.XLOOKUP(Table1[[#This Row],[5 cm2 cell test code]:[5 cm2 cell test code]],[1]!Table1[[Test code]:[Test code]],[1]!Table1[3-E ƞ at 20mAcm-2 (mV)],"",0)</f>
        <v>#REF!</v>
      </c>
      <c r="Z1251" s="69" t="e" cm="1">
        <f t="array" ref="Z1251">_xlfn.XLOOKUP(Table1[[#This Row],[5 cm2 cell test code]:[5 cm2 cell test code]],[1]!Table1[[Test code]:[Test code]],[1]!Table1[3-E Tafel slope (mV/dec)],"",0)</f>
        <v>#REF!</v>
      </c>
      <c r="AA1251" s="69" t="e" cm="1">
        <f t="array" ref="AA1251">_xlfn.XLOOKUP(Table1[[#This Row],[5 cm2 cell test code]:[5 cm2 cell test code]],[1]!Table1[[Test code]:[Test code]],[1]!Table1[E @ 100 mA/cm2 DIW/V],"",0)</f>
        <v>#REF!</v>
      </c>
      <c r="AB1251" s="69" t="e" cm="1">
        <f t="array" ref="AB1251">_xlfn.XLOOKUP(Table1[[#This Row],[5 cm2 cell test code]:[5 cm2 cell test code]],[1]!Table1[[Test code]:[Test code]],[1]!Table1[E @ 100 mA/cm2 10 mM KOH/V],"",0)</f>
        <v>#REF!</v>
      </c>
      <c r="AC1251" s="69" t="e" cm="1">
        <f t="array" ref="AC1251">_xlfn.XLOOKUP(Table1[[#This Row],[5 cm2 cell test code]:[5 cm2 cell test code]],[1]!Table1[[Test code]:[Test code]],[1]!Table1[Anode ICR/mOhm],"",0)</f>
        <v>#REF!</v>
      </c>
      <c r="AD1251" s="69" t="e" cm="1">
        <f t="array" ref="AD1251">_xlfn.XLOOKUP(Table1[[#This Row],[5 cm2 cell test code]:[5 cm2 cell test code]],[1]!Table1[[Test code]:[Test code]],[1]!Table1[HFR DIW/ mOhm cm2],"",0)</f>
        <v>#REF!</v>
      </c>
      <c r="AE1251" s="69" t="e" cm="1">
        <f t="array" ref="AE1251">_xlfn.XLOOKUP(Table1[[#This Row],[5 cm2 cell test code]:[5 cm2 cell test code]],[1]!Table1[[Test code]:[Test code]],[1]!Table1[HFR 10 mM KOH/ mOhm cm2],"",0)</f>
        <v>#REF!</v>
      </c>
      <c r="AF1251" s="69" t="e" cm="1">
        <f t="array" ref="AF1251">_xlfn.XLOOKUP(Table1[[#This Row],[5 cm2 cell test code]:[5 cm2 cell test code]],[1]!Table1[[Test code]:[Test code]],[1]!Table1[Ionic resistance DIW/Ohm cm2],"",0)</f>
        <v>#REF!</v>
      </c>
      <c r="AG1251" s="69" t="e" cm="1">
        <f t="array" ref="AG1251">_xlfn.XLOOKUP(Table1[[#This Row],[5 cm2 cell test code]:[5 cm2 cell test code]],[1]!Table1[[Test code]:[Test code]],[1]!Table1[Q_int_frac DIW],"",0)</f>
        <v>#REF!</v>
      </c>
      <c r="AH1251" s="69" t="e" cm="1">
        <f t="array" ref="AH1251">_xlfn.XLOOKUP(Table1[[#This Row],[5 cm2 cell test code]:[5 cm2 cell test code]],[1]!Table1[[Test code]:[Test code]],[1]!Table1[Ionic resistance 10 mM KOH/Ohm cm2],"",0)</f>
        <v>#REF!</v>
      </c>
      <c r="AI1251" s="69" t="e" cm="1">
        <f t="array" ref="AI1251">_xlfn.XLOOKUP(Table1[[#This Row],[5 cm2 cell test code]:[5 cm2 cell test code]],[1]!Table1[[Test code]:[Test code]],[1]!Table1[Q_int_frac DIW 10 mM KOH],"",0)</f>
        <v>#REF!</v>
      </c>
      <c r="AJ1251" s="69" t="e" cm="1">
        <f t="array" ref="AJ1251">_xlfn.XLOOKUP(Table1[[#This Row],[5 cm2 cell test code]:[5 cm2 cell test code]],[1]!Table1[[Test code]:[Test code]],[1]!Table1[DIW conductivity (µS/cm)],"",0)</f>
        <v>#REF!</v>
      </c>
    </row>
    <row r="1252" spans="1:36">
      <c r="A1252" s="81"/>
      <c r="U1252" s="101"/>
      <c r="V1252" s="101"/>
      <c r="W1252" s="69" t="e" cm="1">
        <f t="array" ref="W1252">_xlfn.XLOOKUP(Table1[[#This Row],[5 cm2 cell test code]:[5 cm2 cell test code]],[1]!Table1[[Test code]:[Test code]],[1]!Table1[i @ 1.8 V DIW (A/cm2)],"",0)</f>
        <v>#REF!</v>
      </c>
      <c r="X1252" s="69" t="e" cm="1">
        <f t="array" ref="X1252">_xlfn.XLOOKUP(Table1[[#This Row],[5 cm2 cell test code]:[5 cm2 cell test code]],[1]!Table1[[Test code]:[Test code]],[1]!Table1[i @ 1.8 V 10 mM KOH (A/cm2)],"",0)</f>
        <v>#REF!</v>
      </c>
      <c r="Y1252" s="69" t="e" cm="1">
        <f t="array" ref="Y1252">_xlfn.XLOOKUP(Table1[[#This Row],[5 cm2 cell test code]:[5 cm2 cell test code]],[1]!Table1[[Test code]:[Test code]],[1]!Table1[3-E ƞ at 20mAcm-2 (mV)],"",0)</f>
        <v>#REF!</v>
      </c>
      <c r="Z1252" s="69" t="e" cm="1">
        <f t="array" ref="Z1252">_xlfn.XLOOKUP(Table1[[#This Row],[5 cm2 cell test code]:[5 cm2 cell test code]],[1]!Table1[[Test code]:[Test code]],[1]!Table1[3-E Tafel slope (mV/dec)],"",0)</f>
        <v>#REF!</v>
      </c>
      <c r="AA1252" s="69" t="e" cm="1">
        <f t="array" ref="AA1252">_xlfn.XLOOKUP(Table1[[#This Row],[5 cm2 cell test code]:[5 cm2 cell test code]],[1]!Table1[[Test code]:[Test code]],[1]!Table1[E @ 100 mA/cm2 DIW/V],"",0)</f>
        <v>#REF!</v>
      </c>
      <c r="AB1252" s="69" t="e" cm="1">
        <f t="array" ref="AB1252">_xlfn.XLOOKUP(Table1[[#This Row],[5 cm2 cell test code]:[5 cm2 cell test code]],[1]!Table1[[Test code]:[Test code]],[1]!Table1[E @ 100 mA/cm2 10 mM KOH/V],"",0)</f>
        <v>#REF!</v>
      </c>
      <c r="AC1252" s="69" t="e" cm="1">
        <f t="array" ref="AC1252">_xlfn.XLOOKUP(Table1[[#This Row],[5 cm2 cell test code]:[5 cm2 cell test code]],[1]!Table1[[Test code]:[Test code]],[1]!Table1[Anode ICR/mOhm],"",0)</f>
        <v>#REF!</v>
      </c>
      <c r="AD1252" s="69" t="e" cm="1">
        <f t="array" ref="AD1252">_xlfn.XLOOKUP(Table1[[#This Row],[5 cm2 cell test code]:[5 cm2 cell test code]],[1]!Table1[[Test code]:[Test code]],[1]!Table1[HFR DIW/ mOhm cm2],"",0)</f>
        <v>#REF!</v>
      </c>
      <c r="AE1252" s="69" t="e" cm="1">
        <f t="array" ref="AE1252">_xlfn.XLOOKUP(Table1[[#This Row],[5 cm2 cell test code]:[5 cm2 cell test code]],[1]!Table1[[Test code]:[Test code]],[1]!Table1[HFR 10 mM KOH/ mOhm cm2],"",0)</f>
        <v>#REF!</v>
      </c>
      <c r="AF1252" s="69" t="e" cm="1">
        <f t="array" ref="AF1252">_xlfn.XLOOKUP(Table1[[#This Row],[5 cm2 cell test code]:[5 cm2 cell test code]],[1]!Table1[[Test code]:[Test code]],[1]!Table1[Ionic resistance DIW/Ohm cm2],"",0)</f>
        <v>#REF!</v>
      </c>
      <c r="AG1252" s="69" t="e" cm="1">
        <f t="array" ref="AG1252">_xlfn.XLOOKUP(Table1[[#This Row],[5 cm2 cell test code]:[5 cm2 cell test code]],[1]!Table1[[Test code]:[Test code]],[1]!Table1[Q_int_frac DIW],"",0)</f>
        <v>#REF!</v>
      </c>
      <c r="AH1252" s="69" t="e" cm="1">
        <f t="array" ref="AH1252">_xlfn.XLOOKUP(Table1[[#This Row],[5 cm2 cell test code]:[5 cm2 cell test code]],[1]!Table1[[Test code]:[Test code]],[1]!Table1[Ionic resistance 10 mM KOH/Ohm cm2],"",0)</f>
        <v>#REF!</v>
      </c>
      <c r="AI1252" s="69" t="e" cm="1">
        <f t="array" ref="AI1252">_xlfn.XLOOKUP(Table1[[#This Row],[5 cm2 cell test code]:[5 cm2 cell test code]],[1]!Table1[[Test code]:[Test code]],[1]!Table1[Q_int_frac DIW 10 mM KOH],"",0)</f>
        <v>#REF!</v>
      </c>
      <c r="AJ1252" s="69" t="e" cm="1">
        <f t="array" ref="AJ1252">_xlfn.XLOOKUP(Table1[[#This Row],[5 cm2 cell test code]:[5 cm2 cell test code]],[1]!Table1[[Test code]:[Test code]],[1]!Table1[DIW conductivity (µS/cm)],"",0)</f>
        <v>#REF!</v>
      </c>
    </row>
    <row r="1253" spans="1:36">
      <c r="A1253" s="81"/>
      <c r="U1253" s="101"/>
      <c r="V1253" s="101"/>
      <c r="W1253" s="69" t="e" cm="1">
        <f t="array" ref="W1253">_xlfn.XLOOKUP(Table1[[#This Row],[5 cm2 cell test code]:[5 cm2 cell test code]],[1]!Table1[[Test code]:[Test code]],[1]!Table1[i @ 1.8 V DIW (A/cm2)],"",0)</f>
        <v>#REF!</v>
      </c>
      <c r="X1253" s="69" t="e" cm="1">
        <f t="array" ref="X1253">_xlfn.XLOOKUP(Table1[[#This Row],[5 cm2 cell test code]:[5 cm2 cell test code]],[1]!Table1[[Test code]:[Test code]],[1]!Table1[i @ 1.8 V 10 mM KOH (A/cm2)],"",0)</f>
        <v>#REF!</v>
      </c>
      <c r="Y1253" s="69" t="e" cm="1">
        <f t="array" ref="Y1253">_xlfn.XLOOKUP(Table1[[#This Row],[5 cm2 cell test code]:[5 cm2 cell test code]],[1]!Table1[[Test code]:[Test code]],[1]!Table1[3-E ƞ at 20mAcm-2 (mV)],"",0)</f>
        <v>#REF!</v>
      </c>
      <c r="Z1253" s="69" t="e" cm="1">
        <f t="array" ref="Z1253">_xlfn.XLOOKUP(Table1[[#This Row],[5 cm2 cell test code]:[5 cm2 cell test code]],[1]!Table1[[Test code]:[Test code]],[1]!Table1[3-E Tafel slope (mV/dec)],"",0)</f>
        <v>#REF!</v>
      </c>
      <c r="AA1253" s="69" t="e" cm="1">
        <f t="array" ref="AA1253">_xlfn.XLOOKUP(Table1[[#This Row],[5 cm2 cell test code]:[5 cm2 cell test code]],[1]!Table1[[Test code]:[Test code]],[1]!Table1[E @ 100 mA/cm2 DIW/V],"",0)</f>
        <v>#REF!</v>
      </c>
      <c r="AB1253" s="69" t="e" cm="1">
        <f t="array" ref="AB1253">_xlfn.XLOOKUP(Table1[[#This Row],[5 cm2 cell test code]:[5 cm2 cell test code]],[1]!Table1[[Test code]:[Test code]],[1]!Table1[E @ 100 mA/cm2 10 mM KOH/V],"",0)</f>
        <v>#REF!</v>
      </c>
      <c r="AC1253" s="69" t="e" cm="1">
        <f t="array" ref="AC1253">_xlfn.XLOOKUP(Table1[[#This Row],[5 cm2 cell test code]:[5 cm2 cell test code]],[1]!Table1[[Test code]:[Test code]],[1]!Table1[Anode ICR/mOhm],"",0)</f>
        <v>#REF!</v>
      </c>
      <c r="AD1253" s="69" t="e" cm="1">
        <f t="array" ref="AD1253">_xlfn.XLOOKUP(Table1[[#This Row],[5 cm2 cell test code]:[5 cm2 cell test code]],[1]!Table1[[Test code]:[Test code]],[1]!Table1[HFR DIW/ mOhm cm2],"",0)</f>
        <v>#REF!</v>
      </c>
      <c r="AE1253" s="69" t="e" cm="1">
        <f t="array" ref="AE1253">_xlfn.XLOOKUP(Table1[[#This Row],[5 cm2 cell test code]:[5 cm2 cell test code]],[1]!Table1[[Test code]:[Test code]],[1]!Table1[HFR 10 mM KOH/ mOhm cm2],"",0)</f>
        <v>#REF!</v>
      </c>
      <c r="AF1253" s="69" t="e" cm="1">
        <f t="array" ref="AF1253">_xlfn.XLOOKUP(Table1[[#This Row],[5 cm2 cell test code]:[5 cm2 cell test code]],[1]!Table1[[Test code]:[Test code]],[1]!Table1[Ionic resistance DIW/Ohm cm2],"",0)</f>
        <v>#REF!</v>
      </c>
      <c r="AG1253" s="69" t="e" cm="1">
        <f t="array" ref="AG1253">_xlfn.XLOOKUP(Table1[[#This Row],[5 cm2 cell test code]:[5 cm2 cell test code]],[1]!Table1[[Test code]:[Test code]],[1]!Table1[Q_int_frac DIW],"",0)</f>
        <v>#REF!</v>
      </c>
      <c r="AH1253" s="69" t="e" cm="1">
        <f t="array" ref="AH1253">_xlfn.XLOOKUP(Table1[[#This Row],[5 cm2 cell test code]:[5 cm2 cell test code]],[1]!Table1[[Test code]:[Test code]],[1]!Table1[Ionic resistance 10 mM KOH/Ohm cm2],"",0)</f>
        <v>#REF!</v>
      </c>
      <c r="AI1253" s="69" t="e" cm="1">
        <f t="array" ref="AI1253">_xlfn.XLOOKUP(Table1[[#This Row],[5 cm2 cell test code]:[5 cm2 cell test code]],[1]!Table1[[Test code]:[Test code]],[1]!Table1[Q_int_frac DIW 10 mM KOH],"",0)</f>
        <v>#REF!</v>
      </c>
      <c r="AJ1253" s="69" t="e" cm="1">
        <f t="array" ref="AJ1253">_xlfn.XLOOKUP(Table1[[#This Row],[5 cm2 cell test code]:[5 cm2 cell test code]],[1]!Table1[[Test code]:[Test code]],[1]!Table1[DIW conductivity (µS/cm)],"",0)</f>
        <v>#REF!</v>
      </c>
    </row>
    <row r="1254" spans="1:36">
      <c r="A1254" s="81"/>
      <c r="U1254" s="101"/>
      <c r="V1254" s="101"/>
      <c r="W1254" s="69" t="e" cm="1">
        <f t="array" ref="W1254">_xlfn.XLOOKUP(Table1[[#This Row],[5 cm2 cell test code]:[5 cm2 cell test code]],[1]!Table1[[Test code]:[Test code]],[1]!Table1[i @ 1.8 V DIW (A/cm2)],"",0)</f>
        <v>#REF!</v>
      </c>
      <c r="X1254" s="69" t="e" cm="1">
        <f t="array" ref="X1254">_xlfn.XLOOKUP(Table1[[#This Row],[5 cm2 cell test code]:[5 cm2 cell test code]],[1]!Table1[[Test code]:[Test code]],[1]!Table1[i @ 1.8 V 10 mM KOH (A/cm2)],"",0)</f>
        <v>#REF!</v>
      </c>
      <c r="Y1254" s="69" t="e" cm="1">
        <f t="array" ref="Y1254">_xlfn.XLOOKUP(Table1[[#This Row],[5 cm2 cell test code]:[5 cm2 cell test code]],[1]!Table1[[Test code]:[Test code]],[1]!Table1[3-E ƞ at 20mAcm-2 (mV)],"",0)</f>
        <v>#REF!</v>
      </c>
      <c r="Z1254" s="69" t="e" cm="1">
        <f t="array" ref="Z1254">_xlfn.XLOOKUP(Table1[[#This Row],[5 cm2 cell test code]:[5 cm2 cell test code]],[1]!Table1[[Test code]:[Test code]],[1]!Table1[3-E Tafel slope (mV/dec)],"",0)</f>
        <v>#REF!</v>
      </c>
      <c r="AA1254" s="69" t="e" cm="1">
        <f t="array" ref="AA1254">_xlfn.XLOOKUP(Table1[[#This Row],[5 cm2 cell test code]:[5 cm2 cell test code]],[1]!Table1[[Test code]:[Test code]],[1]!Table1[E @ 100 mA/cm2 DIW/V],"",0)</f>
        <v>#REF!</v>
      </c>
      <c r="AB1254" s="69" t="e" cm="1">
        <f t="array" ref="AB1254">_xlfn.XLOOKUP(Table1[[#This Row],[5 cm2 cell test code]:[5 cm2 cell test code]],[1]!Table1[[Test code]:[Test code]],[1]!Table1[E @ 100 mA/cm2 10 mM KOH/V],"",0)</f>
        <v>#REF!</v>
      </c>
      <c r="AC1254" s="69" t="e" cm="1">
        <f t="array" ref="AC1254">_xlfn.XLOOKUP(Table1[[#This Row],[5 cm2 cell test code]:[5 cm2 cell test code]],[1]!Table1[[Test code]:[Test code]],[1]!Table1[Anode ICR/mOhm],"",0)</f>
        <v>#REF!</v>
      </c>
      <c r="AD1254" s="69" t="e" cm="1">
        <f t="array" ref="AD1254">_xlfn.XLOOKUP(Table1[[#This Row],[5 cm2 cell test code]:[5 cm2 cell test code]],[1]!Table1[[Test code]:[Test code]],[1]!Table1[HFR DIW/ mOhm cm2],"",0)</f>
        <v>#REF!</v>
      </c>
      <c r="AE1254" s="69" t="e" cm="1">
        <f t="array" ref="AE1254">_xlfn.XLOOKUP(Table1[[#This Row],[5 cm2 cell test code]:[5 cm2 cell test code]],[1]!Table1[[Test code]:[Test code]],[1]!Table1[HFR 10 mM KOH/ mOhm cm2],"",0)</f>
        <v>#REF!</v>
      </c>
      <c r="AF1254" s="69" t="e" cm="1">
        <f t="array" ref="AF1254">_xlfn.XLOOKUP(Table1[[#This Row],[5 cm2 cell test code]:[5 cm2 cell test code]],[1]!Table1[[Test code]:[Test code]],[1]!Table1[Ionic resistance DIW/Ohm cm2],"",0)</f>
        <v>#REF!</v>
      </c>
      <c r="AG1254" s="69" t="e" cm="1">
        <f t="array" ref="AG1254">_xlfn.XLOOKUP(Table1[[#This Row],[5 cm2 cell test code]:[5 cm2 cell test code]],[1]!Table1[[Test code]:[Test code]],[1]!Table1[Q_int_frac DIW],"",0)</f>
        <v>#REF!</v>
      </c>
      <c r="AH1254" s="69" t="e" cm="1">
        <f t="array" ref="AH1254">_xlfn.XLOOKUP(Table1[[#This Row],[5 cm2 cell test code]:[5 cm2 cell test code]],[1]!Table1[[Test code]:[Test code]],[1]!Table1[Ionic resistance 10 mM KOH/Ohm cm2],"",0)</f>
        <v>#REF!</v>
      </c>
      <c r="AI1254" s="69" t="e" cm="1">
        <f t="array" ref="AI1254">_xlfn.XLOOKUP(Table1[[#This Row],[5 cm2 cell test code]:[5 cm2 cell test code]],[1]!Table1[[Test code]:[Test code]],[1]!Table1[Q_int_frac DIW 10 mM KOH],"",0)</f>
        <v>#REF!</v>
      </c>
      <c r="AJ1254" s="69" t="e" cm="1">
        <f t="array" ref="AJ1254">_xlfn.XLOOKUP(Table1[[#This Row],[5 cm2 cell test code]:[5 cm2 cell test code]],[1]!Table1[[Test code]:[Test code]],[1]!Table1[DIW conductivity (µS/cm)],"",0)</f>
        <v>#REF!</v>
      </c>
    </row>
    <row r="1255" spans="1:36">
      <c r="A1255" s="81"/>
      <c r="U1255" s="101"/>
      <c r="V1255" s="101"/>
      <c r="W1255" s="69" t="e" cm="1">
        <f t="array" ref="W1255">_xlfn.XLOOKUP(Table1[[#This Row],[5 cm2 cell test code]:[5 cm2 cell test code]],[1]!Table1[[Test code]:[Test code]],[1]!Table1[i @ 1.8 V DIW (A/cm2)],"",0)</f>
        <v>#REF!</v>
      </c>
      <c r="X1255" s="69" t="e" cm="1">
        <f t="array" ref="X1255">_xlfn.XLOOKUP(Table1[[#This Row],[5 cm2 cell test code]:[5 cm2 cell test code]],[1]!Table1[[Test code]:[Test code]],[1]!Table1[i @ 1.8 V 10 mM KOH (A/cm2)],"",0)</f>
        <v>#REF!</v>
      </c>
      <c r="Y1255" s="69" t="e" cm="1">
        <f t="array" ref="Y1255">_xlfn.XLOOKUP(Table1[[#This Row],[5 cm2 cell test code]:[5 cm2 cell test code]],[1]!Table1[[Test code]:[Test code]],[1]!Table1[3-E ƞ at 20mAcm-2 (mV)],"",0)</f>
        <v>#REF!</v>
      </c>
      <c r="Z1255" s="69" t="e" cm="1">
        <f t="array" ref="Z1255">_xlfn.XLOOKUP(Table1[[#This Row],[5 cm2 cell test code]:[5 cm2 cell test code]],[1]!Table1[[Test code]:[Test code]],[1]!Table1[3-E Tafel slope (mV/dec)],"",0)</f>
        <v>#REF!</v>
      </c>
      <c r="AA1255" s="69" t="e" cm="1">
        <f t="array" ref="AA1255">_xlfn.XLOOKUP(Table1[[#This Row],[5 cm2 cell test code]:[5 cm2 cell test code]],[1]!Table1[[Test code]:[Test code]],[1]!Table1[E @ 100 mA/cm2 DIW/V],"",0)</f>
        <v>#REF!</v>
      </c>
      <c r="AB1255" s="69" t="e" cm="1">
        <f t="array" ref="AB1255">_xlfn.XLOOKUP(Table1[[#This Row],[5 cm2 cell test code]:[5 cm2 cell test code]],[1]!Table1[[Test code]:[Test code]],[1]!Table1[E @ 100 mA/cm2 10 mM KOH/V],"",0)</f>
        <v>#REF!</v>
      </c>
      <c r="AC1255" s="69" t="e" cm="1">
        <f t="array" ref="AC1255">_xlfn.XLOOKUP(Table1[[#This Row],[5 cm2 cell test code]:[5 cm2 cell test code]],[1]!Table1[[Test code]:[Test code]],[1]!Table1[Anode ICR/mOhm],"",0)</f>
        <v>#REF!</v>
      </c>
      <c r="AD1255" s="69" t="e" cm="1">
        <f t="array" ref="AD1255">_xlfn.XLOOKUP(Table1[[#This Row],[5 cm2 cell test code]:[5 cm2 cell test code]],[1]!Table1[[Test code]:[Test code]],[1]!Table1[HFR DIW/ mOhm cm2],"",0)</f>
        <v>#REF!</v>
      </c>
      <c r="AE1255" s="69" t="e" cm="1">
        <f t="array" ref="AE1255">_xlfn.XLOOKUP(Table1[[#This Row],[5 cm2 cell test code]:[5 cm2 cell test code]],[1]!Table1[[Test code]:[Test code]],[1]!Table1[HFR 10 mM KOH/ mOhm cm2],"",0)</f>
        <v>#REF!</v>
      </c>
      <c r="AF1255" s="69" t="e" cm="1">
        <f t="array" ref="AF1255">_xlfn.XLOOKUP(Table1[[#This Row],[5 cm2 cell test code]:[5 cm2 cell test code]],[1]!Table1[[Test code]:[Test code]],[1]!Table1[Ionic resistance DIW/Ohm cm2],"",0)</f>
        <v>#REF!</v>
      </c>
      <c r="AG1255" s="69" t="e" cm="1">
        <f t="array" ref="AG1255">_xlfn.XLOOKUP(Table1[[#This Row],[5 cm2 cell test code]:[5 cm2 cell test code]],[1]!Table1[[Test code]:[Test code]],[1]!Table1[Q_int_frac DIW],"",0)</f>
        <v>#REF!</v>
      </c>
      <c r="AH1255" s="69" t="e" cm="1">
        <f t="array" ref="AH1255">_xlfn.XLOOKUP(Table1[[#This Row],[5 cm2 cell test code]:[5 cm2 cell test code]],[1]!Table1[[Test code]:[Test code]],[1]!Table1[Ionic resistance 10 mM KOH/Ohm cm2],"",0)</f>
        <v>#REF!</v>
      </c>
      <c r="AI1255" s="69" t="e" cm="1">
        <f t="array" ref="AI1255">_xlfn.XLOOKUP(Table1[[#This Row],[5 cm2 cell test code]:[5 cm2 cell test code]],[1]!Table1[[Test code]:[Test code]],[1]!Table1[Q_int_frac DIW 10 mM KOH],"",0)</f>
        <v>#REF!</v>
      </c>
      <c r="AJ1255" s="69" t="e" cm="1">
        <f t="array" ref="AJ1255">_xlfn.XLOOKUP(Table1[[#This Row],[5 cm2 cell test code]:[5 cm2 cell test code]],[1]!Table1[[Test code]:[Test code]],[1]!Table1[DIW conductivity (µS/cm)],"",0)</f>
        <v>#REF!</v>
      </c>
    </row>
    <row r="1256" spans="1:36">
      <c r="A1256" s="81"/>
      <c r="U1256" s="101"/>
      <c r="V1256" s="101"/>
      <c r="W1256" s="69" t="e" cm="1">
        <f t="array" ref="W1256">_xlfn.XLOOKUP(Table1[[#This Row],[5 cm2 cell test code]:[5 cm2 cell test code]],[1]!Table1[[Test code]:[Test code]],[1]!Table1[i @ 1.8 V DIW (A/cm2)],"",0)</f>
        <v>#REF!</v>
      </c>
      <c r="X1256" s="69" t="e" cm="1">
        <f t="array" ref="X1256">_xlfn.XLOOKUP(Table1[[#This Row],[5 cm2 cell test code]:[5 cm2 cell test code]],[1]!Table1[[Test code]:[Test code]],[1]!Table1[i @ 1.8 V 10 mM KOH (A/cm2)],"",0)</f>
        <v>#REF!</v>
      </c>
      <c r="Y1256" s="69" t="e" cm="1">
        <f t="array" ref="Y1256">_xlfn.XLOOKUP(Table1[[#This Row],[5 cm2 cell test code]:[5 cm2 cell test code]],[1]!Table1[[Test code]:[Test code]],[1]!Table1[3-E ƞ at 20mAcm-2 (mV)],"",0)</f>
        <v>#REF!</v>
      </c>
      <c r="Z1256" s="69" t="e" cm="1">
        <f t="array" ref="Z1256">_xlfn.XLOOKUP(Table1[[#This Row],[5 cm2 cell test code]:[5 cm2 cell test code]],[1]!Table1[[Test code]:[Test code]],[1]!Table1[3-E Tafel slope (mV/dec)],"",0)</f>
        <v>#REF!</v>
      </c>
      <c r="AA1256" s="69" t="e" cm="1">
        <f t="array" ref="AA1256">_xlfn.XLOOKUP(Table1[[#This Row],[5 cm2 cell test code]:[5 cm2 cell test code]],[1]!Table1[[Test code]:[Test code]],[1]!Table1[E @ 100 mA/cm2 DIW/V],"",0)</f>
        <v>#REF!</v>
      </c>
      <c r="AB1256" s="69" t="e" cm="1">
        <f t="array" ref="AB1256">_xlfn.XLOOKUP(Table1[[#This Row],[5 cm2 cell test code]:[5 cm2 cell test code]],[1]!Table1[[Test code]:[Test code]],[1]!Table1[E @ 100 mA/cm2 10 mM KOH/V],"",0)</f>
        <v>#REF!</v>
      </c>
      <c r="AC1256" s="69" t="e" cm="1">
        <f t="array" ref="AC1256">_xlfn.XLOOKUP(Table1[[#This Row],[5 cm2 cell test code]:[5 cm2 cell test code]],[1]!Table1[[Test code]:[Test code]],[1]!Table1[Anode ICR/mOhm],"",0)</f>
        <v>#REF!</v>
      </c>
      <c r="AD1256" s="69" t="e" cm="1">
        <f t="array" ref="AD1256">_xlfn.XLOOKUP(Table1[[#This Row],[5 cm2 cell test code]:[5 cm2 cell test code]],[1]!Table1[[Test code]:[Test code]],[1]!Table1[HFR DIW/ mOhm cm2],"",0)</f>
        <v>#REF!</v>
      </c>
      <c r="AE1256" s="69" t="e" cm="1">
        <f t="array" ref="AE1256">_xlfn.XLOOKUP(Table1[[#This Row],[5 cm2 cell test code]:[5 cm2 cell test code]],[1]!Table1[[Test code]:[Test code]],[1]!Table1[HFR 10 mM KOH/ mOhm cm2],"",0)</f>
        <v>#REF!</v>
      </c>
      <c r="AF1256" s="69" t="e" cm="1">
        <f t="array" ref="AF1256">_xlfn.XLOOKUP(Table1[[#This Row],[5 cm2 cell test code]:[5 cm2 cell test code]],[1]!Table1[[Test code]:[Test code]],[1]!Table1[Ionic resistance DIW/Ohm cm2],"",0)</f>
        <v>#REF!</v>
      </c>
      <c r="AG1256" s="69" t="e" cm="1">
        <f t="array" ref="AG1256">_xlfn.XLOOKUP(Table1[[#This Row],[5 cm2 cell test code]:[5 cm2 cell test code]],[1]!Table1[[Test code]:[Test code]],[1]!Table1[Q_int_frac DIW],"",0)</f>
        <v>#REF!</v>
      </c>
      <c r="AH1256" s="69" t="e" cm="1">
        <f t="array" ref="AH1256">_xlfn.XLOOKUP(Table1[[#This Row],[5 cm2 cell test code]:[5 cm2 cell test code]],[1]!Table1[[Test code]:[Test code]],[1]!Table1[Ionic resistance 10 mM KOH/Ohm cm2],"",0)</f>
        <v>#REF!</v>
      </c>
      <c r="AI1256" s="69" t="e" cm="1">
        <f t="array" ref="AI1256">_xlfn.XLOOKUP(Table1[[#This Row],[5 cm2 cell test code]:[5 cm2 cell test code]],[1]!Table1[[Test code]:[Test code]],[1]!Table1[Q_int_frac DIW 10 mM KOH],"",0)</f>
        <v>#REF!</v>
      </c>
      <c r="AJ1256" s="69" t="e" cm="1">
        <f t="array" ref="AJ1256">_xlfn.XLOOKUP(Table1[[#This Row],[5 cm2 cell test code]:[5 cm2 cell test code]],[1]!Table1[[Test code]:[Test code]],[1]!Table1[DIW conductivity (µS/cm)],"",0)</f>
        <v>#REF!</v>
      </c>
    </row>
    <row r="1257" spans="1:36">
      <c r="A1257" s="81"/>
      <c r="U1257" s="101"/>
      <c r="V1257" s="101"/>
      <c r="W1257" s="69" t="e" cm="1">
        <f t="array" ref="W1257">_xlfn.XLOOKUP(Table1[[#This Row],[5 cm2 cell test code]:[5 cm2 cell test code]],[1]!Table1[[Test code]:[Test code]],[1]!Table1[i @ 1.8 V DIW (A/cm2)],"",0)</f>
        <v>#REF!</v>
      </c>
      <c r="X1257" s="69" t="e" cm="1">
        <f t="array" ref="X1257">_xlfn.XLOOKUP(Table1[[#This Row],[5 cm2 cell test code]:[5 cm2 cell test code]],[1]!Table1[[Test code]:[Test code]],[1]!Table1[i @ 1.8 V 10 mM KOH (A/cm2)],"",0)</f>
        <v>#REF!</v>
      </c>
      <c r="Y1257" s="69" t="e" cm="1">
        <f t="array" ref="Y1257">_xlfn.XLOOKUP(Table1[[#This Row],[5 cm2 cell test code]:[5 cm2 cell test code]],[1]!Table1[[Test code]:[Test code]],[1]!Table1[3-E ƞ at 20mAcm-2 (mV)],"",0)</f>
        <v>#REF!</v>
      </c>
      <c r="Z1257" s="69" t="e" cm="1">
        <f t="array" ref="Z1257">_xlfn.XLOOKUP(Table1[[#This Row],[5 cm2 cell test code]:[5 cm2 cell test code]],[1]!Table1[[Test code]:[Test code]],[1]!Table1[3-E Tafel slope (mV/dec)],"",0)</f>
        <v>#REF!</v>
      </c>
      <c r="AA1257" s="69" t="e" cm="1">
        <f t="array" ref="AA1257">_xlfn.XLOOKUP(Table1[[#This Row],[5 cm2 cell test code]:[5 cm2 cell test code]],[1]!Table1[[Test code]:[Test code]],[1]!Table1[E @ 100 mA/cm2 DIW/V],"",0)</f>
        <v>#REF!</v>
      </c>
      <c r="AB1257" s="69" t="e" cm="1">
        <f t="array" ref="AB1257">_xlfn.XLOOKUP(Table1[[#This Row],[5 cm2 cell test code]:[5 cm2 cell test code]],[1]!Table1[[Test code]:[Test code]],[1]!Table1[E @ 100 mA/cm2 10 mM KOH/V],"",0)</f>
        <v>#REF!</v>
      </c>
      <c r="AC1257" s="69" t="e" cm="1">
        <f t="array" ref="AC1257">_xlfn.XLOOKUP(Table1[[#This Row],[5 cm2 cell test code]:[5 cm2 cell test code]],[1]!Table1[[Test code]:[Test code]],[1]!Table1[Anode ICR/mOhm],"",0)</f>
        <v>#REF!</v>
      </c>
      <c r="AD1257" s="69" t="e" cm="1">
        <f t="array" ref="AD1257">_xlfn.XLOOKUP(Table1[[#This Row],[5 cm2 cell test code]:[5 cm2 cell test code]],[1]!Table1[[Test code]:[Test code]],[1]!Table1[HFR DIW/ mOhm cm2],"",0)</f>
        <v>#REF!</v>
      </c>
      <c r="AE1257" s="69" t="e" cm="1">
        <f t="array" ref="AE1257">_xlfn.XLOOKUP(Table1[[#This Row],[5 cm2 cell test code]:[5 cm2 cell test code]],[1]!Table1[[Test code]:[Test code]],[1]!Table1[HFR 10 mM KOH/ mOhm cm2],"",0)</f>
        <v>#REF!</v>
      </c>
      <c r="AF1257" s="69" t="e" cm="1">
        <f t="array" ref="AF1257">_xlfn.XLOOKUP(Table1[[#This Row],[5 cm2 cell test code]:[5 cm2 cell test code]],[1]!Table1[[Test code]:[Test code]],[1]!Table1[Ionic resistance DIW/Ohm cm2],"",0)</f>
        <v>#REF!</v>
      </c>
      <c r="AG1257" s="69" t="e" cm="1">
        <f t="array" ref="AG1257">_xlfn.XLOOKUP(Table1[[#This Row],[5 cm2 cell test code]:[5 cm2 cell test code]],[1]!Table1[[Test code]:[Test code]],[1]!Table1[Q_int_frac DIW],"",0)</f>
        <v>#REF!</v>
      </c>
      <c r="AH1257" s="69" t="e" cm="1">
        <f t="array" ref="AH1257">_xlfn.XLOOKUP(Table1[[#This Row],[5 cm2 cell test code]:[5 cm2 cell test code]],[1]!Table1[[Test code]:[Test code]],[1]!Table1[Ionic resistance 10 mM KOH/Ohm cm2],"",0)</f>
        <v>#REF!</v>
      </c>
      <c r="AI1257" s="69" t="e" cm="1">
        <f t="array" ref="AI1257">_xlfn.XLOOKUP(Table1[[#This Row],[5 cm2 cell test code]:[5 cm2 cell test code]],[1]!Table1[[Test code]:[Test code]],[1]!Table1[Q_int_frac DIW 10 mM KOH],"",0)</f>
        <v>#REF!</v>
      </c>
      <c r="AJ1257" s="69" t="e" cm="1">
        <f t="array" ref="AJ1257">_xlfn.XLOOKUP(Table1[[#This Row],[5 cm2 cell test code]:[5 cm2 cell test code]],[1]!Table1[[Test code]:[Test code]],[1]!Table1[DIW conductivity (µS/cm)],"",0)</f>
        <v>#REF!</v>
      </c>
    </row>
    <row r="1258" spans="1:36">
      <c r="A1258" s="81"/>
      <c r="U1258" s="101"/>
      <c r="V1258" s="101"/>
      <c r="W1258" s="69" t="e" cm="1">
        <f t="array" ref="W1258">_xlfn.XLOOKUP(Table1[[#This Row],[5 cm2 cell test code]:[5 cm2 cell test code]],[1]!Table1[[Test code]:[Test code]],[1]!Table1[i @ 1.8 V DIW (A/cm2)],"",0)</f>
        <v>#REF!</v>
      </c>
      <c r="X1258" s="69" t="e" cm="1">
        <f t="array" ref="X1258">_xlfn.XLOOKUP(Table1[[#This Row],[5 cm2 cell test code]:[5 cm2 cell test code]],[1]!Table1[[Test code]:[Test code]],[1]!Table1[i @ 1.8 V 10 mM KOH (A/cm2)],"",0)</f>
        <v>#REF!</v>
      </c>
      <c r="Y1258" s="69" t="e" cm="1">
        <f t="array" ref="Y1258">_xlfn.XLOOKUP(Table1[[#This Row],[5 cm2 cell test code]:[5 cm2 cell test code]],[1]!Table1[[Test code]:[Test code]],[1]!Table1[3-E ƞ at 20mAcm-2 (mV)],"",0)</f>
        <v>#REF!</v>
      </c>
      <c r="Z1258" s="69" t="e" cm="1">
        <f t="array" ref="Z1258">_xlfn.XLOOKUP(Table1[[#This Row],[5 cm2 cell test code]:[5 cm2 cell test code]],[1]!Table1[[Test code]:[Test code]],[1]!Table1[3-E Tafel slope (mV/dec)],"",0)</f>
        <v>#REF!</v>
      </c>
      <c r="AA1258" s="69" t="e" cm="1">
        <f t="array" ref="AA1258">_xlfn.XLOOKUP(Table1[[#This Row],[5 cm2 cell test code]:[5 cm2 cell test code]],[1]!Table1[[Test code]:[Test code]],[1]!Table1[E @ 100 mA/cm2 DIW/V],"",0)</f>
        <v>#REF!</v>
      </c>
      <c r="AB1258" s="69" t="e" cm="1">
        <f t="array" ref="AB1258">_xlfn.XLOOKUP(Table1[[#This Row],[5 cm2 cell test code]:[5 cm2 cell test code]],[1]!Table1[[Test code]:[Test code]],[1]!Table1[E @ 100 mA/cm2 10 mM KOH/V],"",0)</f>
        <v>#REF!</v>
      </c>
      <c r="AC1258" s="69" t="e" cm="1">
        <f t="array" ref="AC1258">_xlfn.XLOOKUP(Table1[[#This Row],[5 cm2 cell test code]:[5 cm2 cell test code]],[1]!Table1[[Test code]:[Test code]],[1]!Table1[Anode ICR/mOhm],"",0)</f>
        <v>#REF!</v>
      </c>
      <c r="AD1258" s="69" t="e" cm="1">
        <f t="array" ref="AD1258">_xlfn.XLOOKUP(Table1[[#This Row],[5 cm2 cell test code]:[5 cm2 cell test code]],[1]!Table1[[Test code]:[Test code]],[1]!Table1[HFR DIW/ mOhm cm2],"",0)</f>
        <v>#REF!</v>
      </c>
      <c r="AE1258" s="69" t="e" cm="1">
        <f t="array" ref="AE1258">_xlfn.XLOOKUP(Table1[[#This Row],[5 cm2 cell test code]:[5 cm2 cell test code]],[1]!Table1[[Test code]:[Test code]],[1]!Table1[HFR 10 mM KOH/ mOhm cm2],"",0)</f>
        <v>#REF!</v>
      </c>
      <c r="AF1258" s="69" t="e" cm="1">
        <f t="array" ref="AF1258">_xlfn.XLOOKUP(Table1[[#This Row],[5 cm2 cell test code]:[5 cm2 cell test code]],[1]!Table1[[Test code]:[Test code]],[1]!Table1[Ionic resistance DIW/Ohm cm2],"",0)</f>
        <v>#REF!</v>
      </c>
      <c r="AG1258" s="69" t="e" cm="1">
        <f t="array" ref="AG1258">_xlfn.XLOOKUP(Table1[[#This Row],[5 cm2 cell test code]:[5 cm2 cell test code]],[1]!Table1[[Test code]:[Test code]],[1]!Table1[Q_int_frac DIW],"",0)</f>
        <v>#REF!</v>
      </c>
      <c r="AH1258" s="69" t="e" cm="1">
        <f t="array" ref="AH1258">_xlfn.XLOOKUP(Table1[[#This Row],[5 cm2 cell test code]:[5 cm2 cell test code]],[1]!Table1[[Test code]:[Test code]],[1]!Table1[Ionic resistance 10 mM KOH/Ohm cm2],"",0)</f>
        <v>#REF!</v>
      </c>
      <c r="AI1258" s="69" t="e" cm="1">
        <f t="array" ref="AI1258">_xlfn.XLOOKUP(Table1[[#This Row],[5 cm2 cell test code]:[5 cm2 cell test code]],[1]!Table1[[Test code]:[Test code]],[1]!Table1[Q_int_frac DIW 10 mM KOH],"",0)</f>
        <v>#REF!</v>
      </c>
      <c r="AJ1258" s="69" t="e" cm="1">
        <f t="array" ref="AJ1258">_xlfn.XLOOKUP(Table1[[#This Row],[5 cm2 cell test code]:[5 cm2 cell test code]],[1]!Table1[[Test code]:[Test code]],[1]!Table1[DIW conductivity (µS/cm)],"",0)</f>
        <v>#REF!</v>
      </c>
    </row>
    <row r="1259" spans="1:36">
      <c r="A1259" s="81"/>
      <c r="U1259" s="101"/>
      <c r="V1259" s="101"/>
      <c r="W1259" s="69" t="e" cm="1">
        <f t="array" ref="W1259">_xlfn.XLOOKUP(Table1[[#This Row],[5 cm2 cell test code]:[5 cm2 cell test code]],[1]!Table1[[Test code]:[Test code]],[1]!Table1[i @ 1.8 V DIW (A/cm2)],"",0)</f>
        <v>#REF!</v>
      </c>
      <c r="X1259" s="69" t="e" cm="1">
        <f t="array" ref="X1259">_xlfn.XLOOKUP(Table1[[#This Row],[5 cm2 cell test code]:[5 cm2 cell test code]],[1]!Table1[[Test code]:[Test code]],[1]!Table1[i @ 1.8 V 10 mM KOH (A/cm2)],"",0)</f>
        <v>#REF!</v>
      </c>
      <c r="Y1259" s="69" t="e" cm="1">
        <f t="array" ref="Y1259">_xlfn.XLOOKUP(Table1[[#This Row],[5 cm2 cell test code]:[5 cm2 cell test code]],[1]!Table1[[Test code]:[Test code]],[1]!Table1[3-E ƞ at 20mAcm-2 (mV)],"",0)</f>
        <v>#REF!</v>
      </c>
      <c r="Z1259" s="69" t="e" cm="1">
        <f t="array" ref="Z1259">_xlfn.XLOOKUP(Table1[[#This Row],[5 cm2 cell test code]:[5 cm2 cell test code]],[1]!Table1[[Test code]:[Test code]],[1]!Table1[3-E Tafel slope (mV/dec)],"",0)</f>
        <v>#REF!</v>
      </c>
      <c r="AA1259" s="69" t="e" cm="1">
        <f t="array" ref="AA1259">_xlfn.XLOOKUP(Table1[[#This Row],[5 cm2 cell test code]:[5 cm2 cell test code]],[1]!Table1[[Test code]:[Test code]],[1]!Table1[E @ 100 mA/cm2 DIW/V],"",0)</f>
        <v>#REF!</v>
      </c>
      <c r="AB1259" s="69" t="e" cm="1">
        <f t="array" ref="AB1259">_xlfn.XLOOKUP(Table1[[#This Row],[5 cm2 cell test code]:[5 cm2 cell test code]],[1]!Table1[[Test code]:[Test code]],[1]!Table1[E @ 100 mA/cm2 10 mM KOH/V],"",0)</f>
        <v>#REF!</v>
      </c>
      <c r="AC1259" s="69" t="e" cm="1">
        <f t="array" ref="AC1259">_xlfn.XLOOKUP(Table1[[#This Row],[5 cm2 cell test code]:[5 cm2 cell test code]],[1]!Table1[[Test code]:[Test code]],[1]!Table1[Anode ICR/mOhm],"",0)</f>
        <v>#REF!</v>
      </c>
      <c r="AD1259" s="69" t="e" cm="1">
        <f t="array" ref="AD1259">_xlfn.XLOOKUP(Table1[[#This Row],[5 cm2 cell test code]:[5 cm2 cell test code]],[1]!Table1[[Test code]:[Test code]],[1]!Table1[HFR DIW/ mOhm cm2],"",0)</f>
        <v>#REF!</v>
      </c>
      <c r="AE1259" s="69" t="e" cm="1">
        <f t="array" ref="AE1259">_xlfn.XLOOKUP(Table1[[#This Row],[5 cm2 cell test code]:[5 cm2 cell test code]],[1]!Table1[[Test code]:[Test code]],[1]!Table1[HFR 10 mM KOH/ mOhm cm2],"",0)</f>
        <v>#REF!</v>
      </c>
      <c r="AF1259" s="69" t="e" cm="1">
        <f t="array" ref="AF1259">_xlfn.XLOOKUP(Table1[[#This Row],[5 cm2 cell test code]:[5 cm2 cell test code]],[1]!Table1[[Test code]:[Test code]],[1]!Table1[Ionic resistance DIW/Ohm cm2],"",0)</f>
        <v>#REF!</v>
      </c>
      <c r="AG1259" s="69" t="e" cm="1">
        <f t="array" ref="AG1259">_xlfn.XLOOKUP(Table1[[#This Row],[5 cm2 cell test code]:[5 cm2 cell test code]],[1]!Table1[[Test code]:[Test code]],[1]!Table1[Q_int_frac DIW],"",0)</f>
        <v>#REF!</v>
      </c>
      <c r="AH1259" s="69" t="e" cm="1">
        <f t="array" ref="AH1259">_xlfn.XLOOKUP(Table1[[#This Row],[5 cm2 cell test code]:[5 cm2 cell test code]],[1]!Table1[[Test code]:[Test code]],[1]!Table1[Ionic resistance 10 mM KOH/Ohm cm2],"",0)</f>
        <v>#REF!</v>
      </c>
      <c r="AI1259" s="69" t="e" cm="1">
        <f t="array" ref="AI1259">_xlfn.XLOOKUP(Table1[[#This Row],[5 cm2 cell test code]:[5 cm2 cell test code]],[1]!Table1[[Test code]:[Test code]],[1]!Table1[Q_int_frac DIW 10 mM KOH],"",0)</f>
        <v>#REF!</v>
      </c>
      <c r="AJ1259" s="69" t="e" cm="1">
        <f t="array" ref="AJ1259">_xlfn.XLOOKUP(Table1[[#This Row],[5 cm2 cell test code]:[5 cm2 cell test code]],[1]!Table1[[Test code]:[Test code]],[1]!Table1[DIW conductivity (µS/cm)],"",0)</f>
        <v>#REF!</v>
      </c>
    </row>
    <row r="1260" spans="1:36">
      <c r="A1260" s="81"/>
      <c r="U1260" s="101"/>
      <c r="V1260" s="101"/>
      <c r="W1260" s="69" t="e" cm="1">
        <f t="array" ref="W1260">_xlfn.XLOOKUP(Table1[[#This Row],[5 cm2 cell test code]:[5 cm2 cell test code]],[1]!Table1[[Test code]:[Test code]],[1]!Table1[i @ 1.8 V DIW (A/cm2)],"",0)</f>
        <v>#REF!</v>
      </c>
      <c r="X1260" s="69" t="e" cm="1">
        <f t="array" ref="X1260">_xlfn.XLOOKUP(Table1[[#This Row],[5 cm2 cell test code]:[5 cm2 cell test code]],[1]!Table1[[Test code]:[Test code]],[1]!Table1[i @ 1.8 V 10 mM KOH (A/cm2)],"",0)</f>
        <v>#REF!</v>
      </c>
      <c r="Y1260" s="69" t="e" cm="1">
        <f t="array" ref="Y1260">_xlfn.XLOOKUP(Table1[[#This Row],[5 cm2 cell test code]:[5 cm2 cell test code]],[1]!Table1[[Test code]:[Test code]],[1]!Table1[3-E ƞ at 20mAcm-2 (mV)],"",0)</f>
        <v>#REF!</v>
      </c>
      <c r="Z1260" s="69" t="e" cm="1">
        <f t="array" ref="Z1260">_xlfn.XLOOKUP(Table1[[#This Row],[5 cm2 cell test code]:[5 cm2 cell test code]],[1]!Table1[[Test code]:[Test code]],[1]!Table1[3-E Tafel slope (mV/dec)],"",0)</f>
        <v>#REF!</v>
      </c>
      <c r="AA1260" s="69" t="e" cm="1">
        <f t="array" ref="AA1260">_xlfn.XLOOKUP(Table1[[#This Row],[5 cm2 cell test code]:[5 cm2 cell test code]],[1]!Table1[[Test code]:[Test code]],[1]!Table1[E @ 100 mA/cm2 DIW/V],"",0)</f>
        <v>#REF!</v>
      </c>
      <c r="AB1260" s="69" t="e" cm="1">
        <f t="array" ref="AB1260">_xlfn.XLOOKUP(Table1[[#This Row],[5 cm2 cell test code]:[5 cm2 cell test code]],[1]!Table1[[Test code]:[Test code]],[1]!Table1[E @ 100 mA/cm2 10 mM KOH/V],"",0)</f>
        <v>#REF!</v>
      </c>
      <c r="AC1260" s="69" t="e" cm="1">
        <f t="array" ref="AC1260">_xlfn.XLOOKUP(Table1[[#This Row],[5 cm2 cell test code]:[5 cm2 cell test code]],[1]!Table1[[Test code]:[Test code]],[1]!Table1[Anode ICR/mOhm],"",0)</f>
        <v>#REF!</v>
      </c>
      <c r="AD1260" s="69" t="e" cm="1">
        <f t="array" ref="AD1260">_xlfn.XLOOKUP(Table1[[#This Row],[5 cm2 cell test code]:[5 cm2 cell test code]],[1]!Table1[[Test code]:[Test code]],[1]!Table1[HFR DIW/ mOhm cm2],"",0)</f>
        <v>#REF!</v>
      </c>
      <c r="AE1260" s="69" t="e" cm="1">
        <f t="array" ref="AE1260">_xlfn.XLOOKUP(Table1[[#This Row],[5 cm2 cell test code]:[5 cm2 cell test code]],[1]!Table1[[Test code]:[Test code]],[1]!Table1[HFR 10 mM KOH/ mOhm cm2],"",0)</f>
        <v>#REF!</v>
      </c>
      <c r="AF1260" s="69" t="e" cm="1">
        <f t="array" ref="AF1260">_xlfn.XLOOKUP(Table1[[#This Row],[5 cm2 cell test code]:[5 cm2 cell test code]],[1]!Table1[[Test code]:[Test code]],[1]!Table1[Ionic resistance DIW/Ohm cm2],"",0)</f>
        <v>#REF!</v>
      </c>
      <c r="AG1260" s="69" t="e" cm="1">
        <f t="array" ref="AG1260">_xlfn.XLOOKUP(Table1[[#This Row],[5 cm2 cell test code]:[5 cm2 cell test code]],[1]!Table1[[Test code]:[Test code]],[1]!Table1[Q_int_frac DIW],"",0)</f>
        <v>#REF!</v>
      </c>
      <c r="AH1260" s="69" t="e" cm="1">
        <f t="array" ref="AH1260">_xlfn.XLOOKUP(Table1[[#This Row],[5 cm2 cell test code]:[5 cm2 cell test code]],[1]!Table1[[Test code]:[Test code]],[1]!Table1[Ionic resistance 10 mM KOH/Ohm cm2],"",0)</f>
        <v>#REF!</v>
      </c>
      <c r="AI1260" s="69" t="e" cm="1">
        <f t="array" ref="AI1260">_xlfn.XLOOKUP(Table1[[#This Row],[5 cm2 cell test code]:[5 cm2 cell test code]],[1]!Table1[[Test code]:[Test code]],[1]!Table1[Q_int_frac DIW 10 mM KOH],"",0)</f>
        <v>#REF!</v>
      </c>
      <c r="AJ1260" s="69" t="e" cm="1">
        <f t="array" ref="AJ1260">_xlfn.XLOOKUP(Table1[[#This Row],[5 cm2 cell test code]:[5 cm2 cell test code]],[1]!Table1[[Test code]:[Test code]],[1]!Table1[DIW conductivity (µS/cm)],"",0)</f>
        <v>#REF!</v>
      </c>
    </row>
    <row r="1261" spans="1:36">
      <c r="A1261" s="81"/>
      <c r="U1261" s="101"/>
      <c r="V1261" s="101"/>
      <c r="W1261" s="69" t="e" cm="1">
        <f t="array" ref="W1261">_xlfn.XLOOKUP(Table1[[#This Row],[5 cm2 cell test code]:[5 cm2 cell test code]],[1]!Table1[[Test code]:[Test code]],[1]!Table1[i @ 1.8 V DIW (A/cm2)],"",0)</f>
        <v>#REF!</v>
      </c>
      <c r="X1261" s="69" t="e" cm="1">
        <f t="array" ref="X1261">_xlfn.XLOOKUP(Table1[[#This Row],[5 cm2 cell test code]:[5 cm2 cell test code]],[1]!Table1[[Test code]:[Test code]],[1]!Table1[i @ 1.8 V 10 mM KOH (A/cm2)],"",0)</f>
        <v>#REF!</v>
      </c>
      <c r="Y1261" s="69" t="e" cm="1">
        <f t="array" ref="Y1261">_xlfn.XLOOKUP(Table1[[#This Row],[5 cm2 cell test code]:[5 cm2 cell test code]],[1]!Table1[[Test code]:[Test code]],[1]!Table1[3-E ƞ at 20mAcm-2 (mV)],"",0)</f>
        <v>#REF!</v>
      </c>
      <c r="Z1261" s="69" t="e" cm="1">
        <f t="array" ref="Z1261">_xlfn.XLOOKUP(Table1[[#This Row],[5 cm2 cell test code]:[5 cm2 cell test code]],[1]!Table1[[Test code]:[Test code]],[1]!Table1[3-E Tafel slope (mV/dec)],"",0)</f>
        <v>#REF!</v>
      </c>
      <c r="AA1261" s="69" t="e" cm="1">
        <f t="array" ref="AA1261">_xlfn.XLOOKUP(Table1[[#This Row],[5 cm2 cell test code]:[5 cm2 cell test code]],[1]!Table1[[Test code]:[Test code]],[1]!Table1[E @ 100 mA/cm2 DIW/V],"",0)</f>
        <v>#REF!</v>
      </c>
      <c r="AB1261" s="69" t="e" cm="1">
        <f t="array" ref="AB1261">_xlfn.XLOOKUP(Table1[[#This Row],[5 cm2 cell test code]:[5 cm2 cell test code]],[1]!Table1[[Test code]:[Test code]],[1]!Table1[E @ 100 mA/cm2 10 mM KOH/V],"",0)</f>
        <v>#REF!</v>
      </c>
      <c r="AC1261" s="69" t="e" cm="1">
        <f t="array" ref="AC1261">_xlfn.XLOOKUP(Table1[[#This Row],[5 cm2 cell test code]:[5 cm2 cell test code]],[1]!Table1[[Test code]:[Test code]],[1]!Table1[Anode ICR/mOhm],"",0)</f>
        <v>#REF!</v>
      </c>
      <c r="AD1261" s="69" t="e" cm="1">
        <f t="array" ref="AD1261">_xlfn.XLOOKUP(Table1[[#This Row],[5 cm2 cell test code]:[5 cm2 cell test code]],[1]!Table1[[Test code]:[Test code]],[1]!Table1[HFR DIW/ mOhm cm2],"",0)</f>
        <v>#REF!</v>
      </c>
      <c r="AE1261" s="69" t="e" cm="1">
        <f t="array" ref="AE1261">_xlfn.XLOOKUP(Table1[[#This Row],[5 cm2 cell test code]:[5 cm2 cell test code]],[1]!Table1[[Test code]:[Test code]],[1]!Table1[HFR 10 mM KOH/ mOhm cm2],"",0)</f>
        <v>#REF!</v>
      </c>
      <c r="AF1261" s="69" t="e" cm="1">
        <f t="array" ref="AF1261">_xlfn.XLOOKUP(Table1[[#This Row],[5 cm2 cell test code]:[5 cm2 cell test code]],[1]!Table1[[Test code]:[Test code]],[1]!Table1[Ionic resistance DIW/Ohm cm2],"",0)</f>
        <v>#REF!</v>
      </c>
      <c r="AG1261" s="69" t="e" cm="1">
        <f t="array" ref="AG1261">_xlfn.XLOOKUP(Table1[[#This Row],[5 cm2 cell test code]:[5 cm2 cell test code]],[1]!Table1[[Test code]:[Test code]],[1]!Table1[Q_int_frac DIW],"",0)</f>
        <v>#REF!</v>
      </c>
      <c r="AH1261" s="69" t="e" cm="1">
        <f t="array" ref="AH1261">_xlfn.XLOOKUP(Table1[[#This Row],[5 cm2 cell test code]:[5 cm2 cell test code]],[1]!Table1[[Test code]:[Test code]],[1]!Table1[Ionic resistance 10 mM KOH/Ohm cm2],"",0)</f>
        <v>#REF!</v>
      </c>
      <c r="AI1261" s="69" t="e" cm="1">
        <f t="array" ref="AI1261">_xlfn.XLOOKUP(Table1[[#This Row],[5 cm2 cell test code]:[5 cm2 cell test code]],[1]!Table1[[Test code]:[Test code]],[1]!Table1[Q_int_frac DIW 10 mM KOH],"",0)</f>
        <v>#REF!</v>
      </c>
      <c r="AJ1261" s="69" t="e" cm="1">
        <f t="array" ref="AJ1261">_xlfn.XLOOKUP(Table1[[#This Row],[5 cm2 cell test code]:[5 cm2 cell test code]],[1]!Table1[[Test code]:[Test code]],[1]!Table1[DIW conductivity (µS/cm)],"",0)</f>
        <v>#REF!</v>
      </c>
    </row>
    <row r="1262" spans="1:36">
      <c r="A1262" s="81"/>
      <c r="U1262" s="101"/>
      <c r="V1262" s="101"/>
      <c r="W1262" s="69" t="e" cm="1">
        <f t="array" ref="W1262">_xlfn.XLOOKUP(Table1[[#This Row],[5 cm2 cell test code]:[5 cm2 cell test code]],[1]!Table1[[Test code]:[Test code]],[1]!Table1[i @ 1.8 V DIW (A/cm2)],"",0)</f>
        <v>#REF!</v>
      </c>
      <c r="X1262" s="69" t="e" cm="1">
        <f t="array" ref="X1262">_xlfn.XLOOKUP(Table1[[#This Row],[5 cm2 cell test code]:[5 cm2 cell test code]],[1]!Table1[[Test code]:[Test code]],[1]!Table1[i @ 1.8 V 10 mM KOH (A/cm2)],"",0)</f>
        <v>#REF!</v>
      </c>
      <c r="Y1262" s="69" t="e" cm="1">
        <f t="array" ref="Y1262">_xlfn.XLOOKUP(Table1[[#This Row],[5 cm2 cell test code]:[5 cm2 cell test code]],[1]!Table1[[Test code]:[Test code]],[1]!Table1[3-E ƞ at 20mAcm-2 (mV)],"",0)</f>
        <v>#REF!</v>
      </c>
      <c r="Z1262" s="69" t="e" cm="1">
        <f t="array" ref="Z1262">_xlfn.XLOOKUP(Table1[[#This Row],[5 cm2 cell test code]:[5 cm2 cell test code]],[1]!Table1[[Test code]:[Test code]],[1]!Table1[3-E Tafel slope (mV/dec)],"",0)</f>
        <v>#REF!</v>
      </c>
      <c r="AA1262" s="69" t="e" cm="1">
        <f t="array" ref="AA1262">_xlfn.XLOOKUP(Table1[[#This Row],[5 cm2 cell test code]:[5 cm2 cell test code]],[1]!Table1[[Test code]:[Test code]],[1]!Table1[E @ 100 mA/cm2 DIW/V],"",0)</f>
        <v>#REF!</v>
      </c>
      <c r="AB1262" s="69" t="e" cm="1">
        <f t="array" ref="AB1262">_xlfn.XLOOKUP(Table1[[#This Row],[5 cm2 cell test code]:[5 cm2 cell test code]],[1]!Table1[[Test code]:[Test code]],[1]!Table1[E @ 100 mA/cm2 10 mM KOH/V],"",0)</f>
        <v>#REF!</v>
      </c>
      <c r="AC1262" s="69" t="e" cm="1">
        <f t="array" ref="AC1262">_xlfn.XLOOKUP(Table1[[#This Row],[5 cm2 cell test code]:[5 cm2 cell test code]],[1]!Table1[[Test code]:[Test code]],[1]!Table1[Anode ICR/mOhm],"",0)</f>
        <v>#REF!</v>
      </c>
      <c r="AD1262" s="69" t="e" cm="1">
        <f t="array" ref="AD1262">_xlfn.XLOOKUP(Table1[[#This Row],[5 cm2 cell test code]:[5 cm2 cell test code]],[1]!Table1[[Test code]:[Test code]],[1]!Table1[HFR DIW/ mOhm cm2],"",0)</f>
        <v>#REF!</v>
      </c>
      <c r="AE1262" s="69" t="e" cm="1">
        <f t="array" ref="AE1262">_xlfn.XLOOKUP(Table1[[#This Row],[5 cm2 cell test code]:[5 cm2 cell test code]],[1]!Table1[[Test code]:[Test code]],[1]!Table1[HFR 10 mM KOH/ mOhm cm2],"",0)</f>
        <v>#REF!</v>
      </c>
      <c r="AF1262" s="69" t="e" cm="1">
        <f t="array" ref="AF1262">_xlfn.XLOOKUP(Table1[[#This Row],[5 cm2 cell test code]:[5 cm2 cell test code]],[1]!Table1[[Test code]:[Test code]],[1]!Table1[Ionic resistance DIW/Ohm cm2],"",0)</f>
        <v>#REF!</v>
      </c>
      <c r="AG1262" s="69" t="e" cm="1">
        <f t="array" ref="AG1262">_xlfn.XLOOKUP(Table1[[#This Row],[5 cm2 cell test code]:[5 cm2 cell test code]],[1]!Table1[[Test code]:[Test code]],[1]!Table1[Q_int_frac DIW],"",0)</f>
        <v>#REF!</v>
      </c>
      <c r="AH1262" s="69" t="e" cm="1">
        <f t="array" ref="AH1262">_xlfn.XLOOKUP(Table1[[#This Row],[5 cm2 cell test code]:[5 cm2 cell test code]],[1]!Table1[[Test code]:[Test code]],[1]!Table1[Ionic resistance 10 mM KOH/Ohm cm2],"",0)</f>
        <v>#REF!</v>
      </c>
      <c r="AI1262" s="69" t="e" cm="1">
        <f t="array" ref="AI1262">_xlfn.XLOOKUP(Table1[[#This Row],[5 cm2 cell test code]:[5 cm2 cell test code]],[1]!Table1[[Test code]:[Test code]],[1]!Table1[Q_int_frac DIW 10 mM KOH],"",0)</f>
        <v>#REF!</v>
      </c>
      <c r="AJ1262" s="69" t="e" cm="1">
        <f t="array" ref="AJ1262">_xlfn.XLOOKUP(Table1[[#This Row],[5 cm2 cell test code]:[5 cm2 cell test code]],[1]!Table1[[Test code]:[Test code]],[1]!Table1[DIW conductivity (µS/cm)],"",0)</f>
        <v>#REF!</v>
      </c>
    </row>
    <row r="1263" spans="1:36">
      <c r="A1263" s="81"/>
      <c r="U1263" s="101"/>
      <c r="V1263" s="101"/>
      <c r="W1263" s="69" t="e" cm="1">
        <f t="array" ref="W1263">_xlfn.XLOOKUP(Table1[[#This Row],[5 cm2 cell test code]:[5 cm2 cell test code]],[1]!Table1[[Test code]:[Test code]],[1]!Table1[i @ 1.8 V DIW (A/cm2)],"",0)</f>
        <v>#REF!</v>
      </c>
      <c r="X1263" s="69" t="e" cm="1">
        <f t="array" ref="X1263">_xlfn.XLOOKUP(Table1[[#This Row],[5 cm2 cell test code]:[5 cm2 cell test code]],[1]!Table1[[Test code]:[Test code]],[1]!Table1[i @ 1.8 V 10 mM KOH (A/cm2)],"",0)</f>
        <v>#REF!</v>
      </c>
      <c r="Y1263" s="69" t="e" cm="1">
        <f t="array" ref="Y1263">_xlfn.XLOOKUP(Table1[[#This Row],[5 cm2 cell test code]:[5 cm2 cell test code]],[1]!Table1[[Test code]:[Test code]],[1]!Table1[3-E ƞ at 20mAcm-2 (mV)],"",0)</f>
        <v>#REF!</v>
      </c>
      <c r="Z1263" s="69" t="e" cm="1">
        <f t="array" ref="Z1263">_xlfn.XLOOKUP(Table1[[#This Row],[5 cm2 cell test code]:[5 cm2 cell test code]],[1]!Table1[[Test code]:[Test code]],[1]!Table1[3-E Tafel slope (mV/dec)],"",0)</f>
        <v>#REF!</v>
      </c>
      <c r="AA1263" s="69" t="e" cm="1">
        <f t="array" ref="AA1263">_xlfn.XLOOKUP(Table1[[#This Row],[5 cm2 cell test code]:[5 cm2 cell test code]],[1]!Table1[[Test code]:[Test code]],[1]!Table1[E @ 100 mA/cm2 DIW/V],"",0)</f>
        <v>#REF!</v>
      </c>
      <c r="AB1263" s="69" t="e" cm="1">
        <f t="array" ref="AB1263">_xlfn.XLOOKUP(Table1[[#This Row],[5 cm2 cell test code]:[5 cm2 cell test code]],[1]!Table1[[Test code]:[Test code]],[1]!Table1[E @ 100 mA/cm2 10 mM KOH/V],"",0)</f>
        <v>#REF!</v>
      </c>
      <c r="AC1263" s="69" t="e" cm="1">
        <f t="array" ref="AC1263">_xlfn.XLOOKUP(Table1[[#This Row],[5 cm2 cell test code]:[5 cm2 cell test code]],[1]!Table1[[Test code]:[Test code]],[1]!Table1[Anode ICR/mOhm],"",0)</f>
        <v>#REF!</v>
      </c>
      <c r="AD1263" s="69" t="e" cm="1">
        <f t="array" ref="AD1263">_xlfn.XLOOKUP(Table1[[#This Row],[5 cm2 cell test code]:[5 cm2 cell test code]],[1]!Table1[[Test code]:[Test code]],[1]!Table1[HFR DIW/ mOhm cm2],"",0)</f>
        <v>#REF!</v>
      </c>
      <c r="AE1263" s="69" t="e" cm="1">
        <f t="array" ref="AE1263">_xlfn.XLOOKUP(Table1[[#This Row],[5 cm2 cell test code]:[5 cm2 cell test code]],[1]!Table1[[Test code]:[Test code]],[1]!Table1[HFR 10 mM KOH/ mOhm cm2],"",0)</f>
        <v>#REF!</v>
      </c>
      <c r="AF1263" s="69" t="e" cm="1">
        <f t="array" ref="AF1263">_xlfn.XLOOKUP(Table1[[#This Row],[5 cm2 cell test code]:[5 cm2 cell test code]],[1]!Table1[[Test code]:[Test code]],[1]!Table1[Ionic resistance DIW/Ohm cm2],"",0)</f>
        <v>#REF!</v>
      </c>
      <c r="AG1263" s="69" t="e" cm="1">
        <f t="array" ref="AG1263">_xlfn.XLOOKUP(Table1[[#This Row],[5 cm2 cell test code]:[5 cm2 cell test code]],[1]!Table1[[Test code]:[Test code]],[1]!Table1[Q_int_frac DIW],"",0)</f>
        <v>#REF!</v>
      </c>
      <c r="AH1263" s="69" t="e" cm="1">
        <f t="array" ref="AH1263">_xlfn.XLOOKUP(Table1[[#This Row],[5 cm2 cell test code]:[5 cm2 cell test code]],[1]!Table1[[Test code]:[Test code]],[1]!Table1[Ionic resistance 10 mM KOH/Ohm cm2],"",0)</f>
        <v>#REF!</v>
      </c>
      <c r="AI1263" s="69" t="e" cm="1">
        <f t="array" ref="AI1263">_xlfn.XLOOKUP(Table1[[#This Row],[5 cm2 cell test code]:[5 cm2 cell test code]],[1]!Table1[[Test code]:[Test code]],[1]!Table1[Q_int_frac DIW 10 mM KOH],"",0)</f>
        <v>#REF!</v>
      </c>
      <c r="AJ1263" s="69" t="e" cm="1">
        <f t="array" ref="AJ1263">_xlfn.XLOOKUP(Table1[[#This Row],[5 cm2 cell test code]:[5 cm2 cell test code]],[1]!Table1[[Test code]:[Test code]],[1]!Table1[DIW conductivity (µS/cm)],"",0)</f>
        <v>#REF!</v>
      </c>
    </row>
    <row r="1264" spans="1:36">
      <c r="A1264" s="81"/>
      <c r="U1264" s="101"/>
      <c r="V1264" s="101"/>
      <c r="W1264" s="69" t="e" cm="1">
        <f t="array" ref="W1264">_xlfn.XLOOKUP(Table1[[#This Row],[5 cm2 cell test code]:[5 cm2 cell test code]],[1]!Table1[[Test code]:[Test code]],[1]!Table1[i @ 1.8 V DIW (A/cm2)],"",0)</f>
        <v>#REF!</v>
      </c>
      <c r="X1264" s="69" t="e" cm="1">
        <f t="array" ref="X1264">_xlfn.XLOOKUP(Table1[[#This Row],[5 cm2 cell test code]:[5 cm2 cell test code]],[1]!Table1[[Test code]:[Test code]],[1]!Table1[i @ 1.8 V 10 mM KOH (A/cm2)],"",0)</f>
        <v>#REF!</v>
      </c>
      <c r="Y1264" s="69" t="e" cm="1">
        <f t="array" ref="Y1264">_xlfn.XLOOKUP(Table1[[#This Row],[5 cm2 cell test code]:[5 cm2 cell test code]],[1]!Table1[[Test code]:[Test code]],[1]!Table1[3-E ƞ at 20mAcm-2 (mV)],"",0)</f>
        <v>#REF!</v>
      </c>
      <c r="Z1264" s="69" t="e" cm="1">
        <f t="array" ref="Z1264">_xlfn.XLOOKUP(Table1[[#This Row],[5 cm2 cell test code]:[5 cm2 cell test code]],[1]!Table1[[Test code]:[Test code]],[1]!Table1[3-E Tafel slope (mV/dec)],"",0)</f>
        <v>#REF!</v>
      </c>
      <c r="AA1264" s="69" t="e" cm="1">
        <f t="array" ref="AA1264">_xlfn.XLOOKUP(Table1[[#This Row],[5 cm2 cell test code]:[5 cm2 cell test code]],[1]!Table1[[Test code]:[Test code]],[1]!Table1[E @ 100 mA/cm2 DIW/V],"",0)</f>
        <v>#REF!</v>
      </c>
      <c r="AB1264" s="69" t="e" cm="1">
        <f t="array" ref="AB1264">_xlfn.XLOOKUP(Table1[[#This Row],[5 cm2 cell test code]:[5 cm2 cell test code]],[1]!Table1[[Test code]:[Test code]],[1]!Table1[E @ 100 mA/cm2 10 mM KOH/V],"",0)</f>
        <v>#REF!</v>
      </c>
      <c r="AC1264" s="69" t="e" cm="1">
        <f t="array" ref="AC1264">_xlfn.XLOOKUP(Table1[[#This Row],[5 cm2 cell test code]:[5 cm2 cell test code]],[1]!Table1[[Test code]:[Test code]],[1]!Table1[Anode ICR/mOhm],"",0)</f>
        <v>#REF!</v>
      </c>
      <c r="AD1264" s="69" t="e" cm="1">
        <f t="array" ref="AD1264">_xlfn.XLOOKUP(Table1[[#This Row],[5 cm2 cell test code]:[5 cm2 cell test code]],[1]!Table1[[Test code]:[Test code]],[1]!Table1[HFR DIW/ mOhm cm2],"",0)</f>
        <v>#REF!</v>
      </c>
      <c r="AE1264" s="69" t="e" cm="1">
        <f t="array" ref="AE1264">_xlfn.XLOOKUP(Table1[[#This Row],[5 cm2 cell test code]:[5 cm2 cell test code]],[1]!Table1[[Test code]:[Test code]],[1]!Table1[HFR 10 mM KOH/ mOhm cm2],"",0)</f>
        <v>#REF!</v>
      </c>
      <c r="AF1264" s="69" t="e" cm="1">
        <f t="array" ref="AF1264">_xlfn.XLOOKUP(Table1[[#This Row],[5 cm2 cell test code]:[5 cm2 cell test code]],[1]!Table1[[Test code]:[Test code]],[1]!Table1[Ionic resistance DIW/Ohm cm2],"",0)</f>
        <v>#REF!</v>
      </c>
      <c r="AG1264" s="69" t="e" cm="1">
        <f t="array" ref="AG1264">_xlfn.XLOOKUP(Table1[[#This Row],[5 cm2 cell test code]:[5 cm2 cell test code]],[1]!Table1[[Test code]:[Test code]],[1]!Table1[Q_int_frac DIW],"",0)</f>
        <v>#REF!</v>
      </c>
      <c r="AH1264" s="69" t="e" cm="1">
        <f t="array" ref="AH1264">_xlfn.XLOOKUP(Table1[[#This Row],[5 cm2 cell test code]:[5 cm2 cell test code]],[1]!Table1[[Test code]:[Test code]],[1]!Table1[Ionic resistance 10 mM KOH/Ohm cm2],"",0)</f>
        <v>#REF!</v>
      </c>
      <c r="AI1264" s="69" t="e" cm="1">
        <f t="array" ref="AI1264">_xlfn.XLOOKUP(Table1[[#This Row],[5 cm2 cell test code]:[5 cm2 cell test code]],[1]!Table1[[Test code]:[Test code]],[1]!Table1[Q_int_frac DIW 10 mM KOH],"",0)</f>
        <v>#REF!</v>
      </c>
      <c r="AJ1264" s="69" t="e" cm="1">
        <f t="array" ref="AJ1264">_xlfn.XLOOKUP(Table1[[#This Row],[5 cm2 cell test code]:[5 cm2 cell test code]],[1]!Table1[[Test code]:[Test code]],[1]!Table1[DIW conductivity (µS/cm)],"",0)</f>
        <v>#REF!</v>
      </c>
    </row>
    <row r="1265" spans="1:36">
      <c r="A1265" s="81"/>
      <c r="U1265" s="101"/>
      <c r="V1265" s="101"/>
      <c r="W1265" s="69" t="e" cm="1">
        <f t="array" ref="W1265">_xlfn.XLOOKUP(Table1[[#This Row],[5 cm2 cell test code]:[5 cm2 cell test code]],[1]!Table1[[Test code]:[Test code]],[1]!Table1[i @ 1.8 V DIW (A/cm2)],"",0)</f>
        <v>#REF!</v>
      </c>
      <c r="X1265" s="69" t="e" cm="1">
        <f t="array" ref="X1265">_xlfn.XLOOKUP(Table1[[#This Row],[5 cm2 cell test code]:[5 cm2 cell test code]],[1]!Table1[[Test code]:[Test code]],[1]!Table1[i @ 1.8 V 10 mM KOH (A/cm2)],"",0)</f>
        <v>#REF!</v>
      </c>
      <c r="Y1265" s="69" t="e" cm="1">
        <f t="array" ref="Y1265">_xlfn.XLOOKUP(Table1[[#This Row],[5 cm2 cell test code]:[5 cm2 cell test code]],[1]!Table1[[Test code]:[Test code]],[1]!Table1[3-E ƞ at 20mAcm-2 (mV)],"",0)</f>
        <v>#REF!</v>
      </c>
      <c r="Z1265" s="69" t="e" cm="1">
        <f t="array" ref="Z1265">_xlfn.XLOOKUP(Table1[[#This Row],[5 cm2 cell test code]:[5 cm2 cell test code]],[1]!Table1[[Test code]:[Test code]],[1]!Table1[3-E Tafel slope (mV/dec)],"",0)</f>
        <v>#REF!</v>
      </c>
      <c r="AA1265" s="69" t="e" cm="1">
        <f t="array" ref="AA1265">_xlfn.XLOOKUP(Table1[[#This Row],[5 cm2 cell test code]:[5 cm2 cell test code]],[1]!Table1[[Test code]:[Test code]],[1]!Table1[E @ 100 mA/cm2 DIW/V],"",0)</f>
        <v>#REF!</v>
      </c>
      <c r="AB1265" s="69" t="e" cm="1">
        <f t="array" ref="AB1265">_xlfn.XLOOKUP(Table1[[#This Row],[5 cm2 cell test code]:[5 cm2 cell test code]],[1]!Table1[[Test code]:[Test code]],[1]!Table1[E @ 100 mA/cm2 10 mM KOH/V],"",0)</f>
        <v>#REF!</v>
      </c>
      <c r="AC1265" s="69" t="e" cm="1">
        <f t="array" ref="AC1265">_xlfn.XLOOKUP(Table1[[#This Row],[5 cm2 cell test code]:[5 cm2 cell test code]],[1]!Table1[[Test code]:[Test code]],[1]!Table1[Anode ICR/mOhm],"",0)</f>
        <v>#REF!</v>
      </c>
      <c r="AD1265" s="69" t="e" cm="1">
        <f t="array" ref="AD1265">_xlfn.XLOOKUP(Table1[[#This Row],[5 cm2 cell test code]:[5 cm2 cell test code]],[1]!Table1[[Test code]:[Test code]],[1]!Table1[HFR DIW/ mOhm cm2],"",0)</f>
        <v>#REF!</v>
      </c>
      <c r="AE1265" s="69" t="e" cm="1">
        <f t="array" ref="AE1265">_xlfn.XLOOKUP(Table1[[#This Row],[5 cm2 cell test code]:[5 cm2 cell test code]],[1]!Table1[[Test code]:[Test code]],[1]!Table1[HFR 10 mM KOH/ mOhm cm2],"",0)</f>
        <v>#REF!</v>
      </c>
      <c r="AF1265" s="69" t="e" cm="1">
        <f t="array" ref="AF1265">_xlfn.XLOOKUP(Table1[[#This Row],[5 cm2 cell test code]:[5 cm2 cell test code]],[1]!Table1[[Test code]:[Test code]],[1]!Table1[Ionic resistance DIW/Ohm cm2],"",0)</f>
        <v>#REF!</v>
      </c>
      <c r="AG1265" s="69" t="e" cm="1">
        <f t="array" ref="AG1265">_xlfn.XLOOKUP(Table1[[#This Row],[5 cm2 cell test code]:[5 cm2 cell test code]],[1]!Table1[[Test code]:[Test code]],[1]!Table1[Q_int_frac DIW],"",0)</f>
        <v>#REF!</v>
      </c>
      <c r="AH1265" s="69" t="e" cm="1">
        <f t="array" ref="AH1265">_xlfn.XLOOKUP(Table1[[#This Row],[5 cm2 cell test code]:[5 cm2 cell test code]],[1]!Table1[[Test code]:[Test code]],[1]!Table1[Ionic resistance 10 mM KOH/Ohm cm2],"",0)</f>
        <v>#REF!</v>
      </c>
      <c r="AI1265" s="69" t="e" cm="1">
        <f t="array" ref="AI1265">_xlfn.XLOOKUP(Table1[[#This Row],[5 cm2 cell test code]:[5 cm2 cell test code]],[1]!Table1[[Test code]:[Test code]],[1]!Table1[Q_int_frac DIW 10 mM KOH],"",0)</f>
        <v>#REF!</v>
      </c>
      <c r="AJ1265" s="69" t="e" cm="1">
        <f t="array" ref="AJ1265">_xlfn.XLOOKUP(Table1[[#This Row],[5 cm2 cell test code]:[5 cm2 cell test code]],[1]!Table1[[Test code]:[Test code]],[1]!Table1[DIW conductivity (µS/cm)],"",0)</f>
        <v>#REF!</v>
      </c>
    </row>
    <row r="1266" spans="1:36">
      <c r="A1266" s="81"/>
      <c r="U1266" s="101"/>
      <c r="V1266" s="101"/>
      <c r="W1266" s="69" t="e" cm="1">
        <f t="array" ref="W1266">_xlfn.XLOOKUP(Table1[[#This Row],[5 cm2 cell test code]:[5 cm2 cell test code]],[1]!Table1[[Test code]:[Test code]],[1]!Table1[i @ 1.8 V DIW (A/cm2)],"",0)</f>
        <v>#REF!</v>
      </c>
      <c r="X1266" s="69" t="e" cm="1">
        <f t="array" ref="X1266">_xlfn.XLOOKUP(Table1[[#This Row],[5 cm2 cell test code]:[5 cm2 cell test code]],[1]!Table1[[Test code]:[Test code]],[1]!Table1[i @ 1.8 V 10 mM KOH (A/cm2)],"",0)</f>
        <v>#REF!</v>
      </c>
      <c r="Y1266" s="69" t="e" cm="1">
        <f t="array" ref="Y1266">_xlfn.XLOOKUP(Table1[[#This Row],[5 cm2 cell test code]:[5 cm2 cell test code]],[1]!Table1[[Test code]:[Test code]],[1]!Table1[3-E ƞ at 20mAcm-2 (mV)],"",0)</f>
        <v>#REF!</v>
      </c>
      <c r="Z1266" s="69" t="e" cm="1">
        <f t="array" ref="Z1266">_xlfn.XLOOKUP(Table1[[#This Row],[5 cm2 cell test code]:[5 cm2 cell test code]],[1]!Table1[[Test code]:[Test code]],[1]!Table1[3-E Tafel slope (mV/dec)],"",0)</f>
        <v>#REF!</v>
      </c>
      <c r="AA1266" s="69" t="e" cm="1">
        <f t="array" ref="AA1266">_xlfn.XLOOKUP(Table1[[#This Row],[5 cm2 cell test code]:[5 cm2 cell test code]],[1]!Table1[[Test code]:[Test code]],[1]!Table1[E @ 100 mA/cm2 DIW/V],"",0)</f>
        <v>#REF!</v>
      </c>
      <c r="AB1266" s="69" t="e" cm="1">
        <f t="array" ref="AB1266">_xlfn.XLOOKUP(Table1[[#This Row],[5 cm2 cell test code]:[5 cm2 cell test code]],[1]!Table1[[Test code]:[Test code]],[1]!Table1[E @ 100 mA/cm2 10 mM KOH/V],"",0)</f>
        <v>#REF!</v>
      </c>
      <c r="AC1266" s="69" t="e" cm="1">
        <f t="array" ref="AC1266">_xlfn.XLOOKUP(Table1[[#This Row],[5 cm2 cell test code]:[5 cm2 cell test code]],[1]!Table1[[Test code]:[Test code]],[1]!Table1[Anode ICR/mOhm],"",0)</f>
        <v>#REF!</v>
      </c>
      <c r="AD1266" s="69" t="e" cm="1">
        <f t="array" ref="AD1266">_xlfn.XLOOKUP(Table1[[#This Row],[5 cm2 cell test code]:[5 cm2 cell test code]],[1]!Table1[[Test code]:[Test code]],[1]!Table1[HFR DIW/ mOhm cm2],"",0)</f>
        <v>#REF!</v>
      </c>
      <c r="AE1266" s="69" t="e" cm="1">
        <f t="array" ref="AE1266">_xlfn.XLOOKUP(Table1[[#This Row],[5 cm2 cell test code]:[5 cm2 cell test code]],[1]!Table1[[Test code]:[Test code]],[1]!Table1[HFR 10 mM KOH/ mOhm cm2],"",0)</f>
        <v>#REF!</v>
      </c>
      <c r="AF1266" s="69" t="e" cm="1">
        <f t="array" ref="AF1266">_xlfn.XLOOKUP(Table1[[#This Row],[5 cm2 cell test code]:[5 cm2 cell test code]],[1]!Table1[[Test code]:[Test code]],[1]!Table1[Ionic resistance DIW/Ohm cm2],"",0)</f>
        <v>#REF!</v>
      </c>
      <c r="AG1266" s="69" t="e" cm="1">
        <f t="array" ref="AG1266">_xlfn.XLOOKUP(Table1[[#This Row],[5 cm2 cell test code]:[5 cm2 cell test code]],[1]!Table1[[Test code]:[Test code]],[1]!Table1[Q_int_frac DIW],"",0)</f>
        <v>#REF!</v>
      </c>
      <c r="AH1266" s="69" t="e" cm="1">
        <f t="array" ref="AH1266">_xlfn.XLOOKUP(Table1[[#This Row],[5 cm2 cell test code]:[5 cm2 cell test code]],[1]!Table1[[Test code]:[Test code]],[1]!Table1[Ionic resistance 10 mM KOH/Ohm cm2],"",0)</f>
        <v>#REF!</v>
      </c>
      <c r="AI1266" s="69" t="e" cm="1">
        <f t="array" ref="AI1266">_xlfn.XLOOKUP(Table1[[#This Row],[5 cm2 cell test code]:[5 cm2 cell test code]],[1]!Table1[[Test code]:[Test code]],[1]!Table1[Q_int_frac DIW 10 mM KOH],"",0)</f>
        <v>#REF!</v>
      </c>
      <c r="AJ1266" s="69" t="e" cm="1">
        <f t="array" ref="AJ1266">_xlfn.XLOOKUP(Table1[[#This Row],[5 cm2 cell test code]:[5 cm2 cell test code]],[1]!Table1[[Test code]:[Test code]],[1]!Table1[DIW conductivity (µS/cm)],"",0)</f>
        <v>#REF!</v>
      </c>
    </row>
    <row r="1267" spans="1:36">
      <c r="A1267" s="81"/>
      <c r="U1267" s="101"/>
      <c r="V1267" s="101"/>
      <c r="W1267" s="69" t="e" cm="1">
        <f t="array" ref="W1267">_xlfn.XLOOKUP(Table1[[#This Row],[5 cm2 cell test code]:[5 cm2 cell test code]],[1]!Table1[[Test code]:[Test code]],[1]!Table1[i @ 1.8 V DIW (A/cm2)],"",0)</f>
        <v>#REF!</v>
      </c>
      <c r="X1267" s="69" t="e" cm="1">
        <f t="array" ref="X1267">_xlfn.XLOOKUP(Table1[[#This Row],[5 cm2 cell test code]:[5 cm2 cell test code]],[1]!Table1[[Test code]:[Test code]],[1]!Table1[i @ 1.8 V 10 mM KOH (A/cm2)],"",0)</f>
        <v>#REF!</v>
      </c>
      <c r="Y1267" s="69" t="e" cm="1">
        <f t="array" ref="Y1267">_xlfn.XLOOKUP(Table1[[#This Row],[5 cm2 cell test code]:[5 cm2 cell test code]],[1]!Table1[[Test code]:[Test code]],[1]!Table1[3-E ƞ at 20mAcm-2 (mV)],"",0)</f>
        <v>#REF!</v>
      </c>
      <c r="Z1267" s="69" t="e" cm="1">
        <f t="array" ref="Z1267">_xlfn.XLOOKUP(Table1[[#This Row],[5 cm2 cell test code]:[5 cm2 cell test code]],[1]!Table1[[Test code]:[Test code]],[1]!Table1[3-E Tafel slope (mV/dec)],"",0)</f>
        <v>#REF!</v>
      </c>
      <c r="AA1267" s="69" t="e" cm="1">
        <f t="array" ref="AA1267">_xlfn.XLOOKUP(Table1[[#This Row],[5 cm2 cell test code]:[5 cm2 cell test code]],[1]!Table1[[Test code]:[Test code]],[1]!Table1[E @ 100 mA/cm2 DIW/V],"",0)</f>
        <v>#REF!</v>
      </c>
      <c r="AB1267" s="69" t="e" cm="1">
        <f t="array" ref="AB1267">_xlfn.XLOOKUP(Table1[[#This Row],[5 cm2 cell test code]:[5 cm2 cell test code]],[1]!Table1[[Test code]:[Test code]],[1]!Table1[E @ 100 mA/cm2 10 mM KOH/V],"",0)</f>
        <v>#REF!</v>
      </c>
      <c r="AC1267" s="69" t="e" cm="1">
        <f t="array" ref="AC1267">_xlfn.XLOOKUP(Table1[[#This Row],[5 cm2 cell test code]:[5 cm2 cell test code]],[1]!Table1[[Test code]:[Test code]],[1]!Table1[Anode ICR/mOhm],"",0)</f>
        <v>#REF!</v>
      </c>
      <c r="AD1267" s="69" t="e" cm="1">
        <f t="array" ref="AD1267">_xlfn.XLOOKUP(Table1[[#This Row],[5 cm2 cell test code]:[5 cm2 cell test code]],[1]!Table1[[Test code]:[Test code]],[1]!Table1[HFR DIW/ mOhm cm2],"",0)</f>
        <v>#REF!</v>
      </c>
      <c r="AE1267" s="69" t="e" cm="1">
        <f t="array" ref="AE1267">_xlfn.XLOOKUP(Table1[[#This Row],[5 cm2 cell test code]:[5 cm2 cell test code]],[1]!Table1[[Test code]:[Test code]],[1]!Table1[HFR 10 mM KOH/ mOhm cm2],"",0)</f>
        <v>#REF!</v>
      </c>
      <c r="AF1267" s="69" t="e" cm="1">
        <f t="array" ref="AF1267">_xlfn.XLOOKUP(Table1[[#This Row],[5 cm2 cell test code]:[5 cm2 cell test code]],[1]!Table1[[Test code]:[Test code]],[1]!Table1[Ionic resistance DIW/Ohm cm2],"",0)</f>
        <v>#REF!</v>
      </c>
      <c r="AG1267" s="69" t="e" cm="1">
        <f t="array" ref="AG1267">_xlfn.XLOOKUP(Table1[[#This Row],[5 cm2 cell test code]:[5 cm2 cell test code]],[1]!Table1[[Test code]:[Test code]],[1]!Table1[Q_int_frac DIW],"",0)</f>
        <v>#REF!</v>
      </c>
      <c r="AH1267" s="69" t="e" cm="1">
        <f t="array" ref="AH1267">_xlfn.XLOOKUP(Table1[[#This Row],[5 cm2 cell test code]:[5 cm2 cell test code]],[1]!Table1[[Test code]:[Test code]],[1]!Table1[Ionic resistance 10 mM KOH/Ohm cm2],"",0)</f>
        <v>#REF!</v>
      </c>
      <c r="AI1267" s="69" t="e" cm="1">
        <f t="array" ref="AI1267">_xlfn.XLOOKUP(Table1[[#This Row],[5 cm2 cell test code]:[5 cm2 cell test code]],[1]!Table1[[Test code]:[Test code]],[1]!Table1[Q_int_frac DIW 10 mM KOH],"",0)</f>
        <v>#REF!</v>
      </c>
      <c r="AJ1267" s="69" t="e" cm="1">
        <f t="array" ref="AJ1267">_xlfn.XLOOKUP(Table1[[#This Row],[5 cm2 cell test code]:[5 cm2 cell test code]],[1]!Table1[[Test code]:[Test code]],[1]!Table1[DIW conductivity (µS/cm)],"",0)</f>
        <v>#REF!</v>
      </c>
    </row>
    <row r="1268" spans="1:36">
      <c r="A1268" s="81"/>
      <c r="U1268" s="101"/>
      <c r="V1268" s="101"/>
      <c r="W1268" s="69" t="e" cm="1">
        <f t="array" ref="W1268">_xlfn.XLOOKUP(Table1[[#This Row],[5 cm2 cell test code]:[5 cm2 cell test code]],[1]!Table1[[Test code]:[Test code]],[1]!Table1[i @ 1.8 V DIW (A/cm2)],"",0)</f>
        <v>#REF!</v>
      </c>
      <c r="X1268" s="69" t="e" cm="1">
        <f t="array" ref="X1268">_xlfn.XLOOKUP(Table1[[#This Row],[5 cm2 cell test code]:[5 cm2 cell test code]],[1]!Table1[[Test code]:[Test code]],[1]!Table1[i @ 1.8 V 10 mM KOH (A/cm2)],"",0)</f>
        <v>#REF!</v>
      </c>
      <c r="Y1268" s="69" t="e" cm="1">
        <f t="array" ref="Y1268">_xlfn.XLOOKUP(Table1[[#This Row],[5 cm2 cell test code]:[5 cm2 cell test code]],[1]!Table1[[Test code]:[Test code]],[1]!Table1[3-E ƞ at 20mAcm-2 (mV)],"",0)</f>
        <v>#REF!</v>
      </c>
      <c r="Z1268" s="69" t="e" cm="1">
        <f t="array" ref="Z1268">_xlfn.XLOOKUP(Table1[[#This Row],[5 cm2 cell test code]:[5 cm2 cell test code]],[1]!Table1[[Test code]:[Test code]],[1]!Table1[3-E Tafel slope (mV/dec)],"",0)</f>
        <v>#REF!</v>
      </c>
      <c r="AA1268" s="69" t="e" cm="1">
        <f t="array" ref="AA1268">_xlfn.XLOOKUP(Table1[[#This Row],[5 cm2 cell test code]:[5 cm2 cell test code]],[1]!Table1[[Test code]:[Test code]],[1]!Table1[E @ 100 mA/cm2 DIW/V],"",0)</f>
        <v>#REF!</v>
      </c>
      <c r="AB1268" s="69" t="e" cm="1">
        <f t="array" ref="AB1268">_xlfn.XLOOKUP(Table1[[#This Row],[5 cm2 cell test code]:[5 cm2 cell test code]],[1]!Table1[[Test code]:[Test code]],[1]!Table1[E @ 100 mA/cm2 10 mM KOH/V],"",0)</f>
        <v>#REF!</v>
      </c>
      <c r="AC1268" s="69" t="e" cm="1">
        <f t="array" ref="AC1268">_xlfn.XLOOKUP(Table1[[#This Row],[5 cm2 cell test code]:[5 cm2 cell test code]],[1]!Table1[[Test code]:[Test code]],[1]!Table1[Anode ICR/mOhm],"",0)</f>
        <v>#REF!</v>
      </c>
      <c r="AD1268" s="69" t="e" cm="1">
        <f t="array" ref="AD1268">_xlfn.XLOOKUP(Table1[[#This Row],[5 cm2 cell test code]:[5 cm2 cell test code]],[1]!Table1[[Test code]:[Test code]],[1]!Table1[HFR DIW/ mOhm cm2],"",0)</f>
        <v>#REF!</v>
      </c>
      <c r="AE1268" s="69" t="e" cm="1">
        <f t="array" ref="AE1268">_xlfn.XLOOKUP(Table1[[#This Row],[5 cm2 cell test code]:[5 cm2 cell test code]],[1]!Table1[[Test code]:[Test code]],[1]!Table1[HFR 10 mM KOH/ mOhm cm2],"",0)</f>
        <v>#REF!</v>
      </c>
      <c r="AF1268" s="69" t="e" cm="1">
        <f t="array" ref="AF1268">_xlfn.XLOOKUP(Table1[[#This Row],[5 cm2 cell test code]:[5 cm2 cell test code]],[1]!Table1[[Test code]:[Test code]],[1]!Table1[Ionic resistance DIW/Ohm cm2],"",0)</f>
        <v>#REF!</v>
      </c>
      <c r="AG1268" s="69" t="e" cm="1">
        <f t="array" ref="AG1268">_xlfn.XLOOKUP(Table1[[#This Row],[5 cm2 cell test code]:[5 cm2 cell test code]],[1]!Table1[[Test code]:[Test code]],[1]!Table1[Q_int_frac DIW],"",0)</f>
        <v>#REF!</v>
      </c>
      <c r="AH1268" s="69" t="e" cm="1">
        <f t="array" ref="AH1268">_xlfn.XLOOKUP(Table1[[#This Row],[5 cm2 cell test code]:[5 cm2 cell test code]],[1]!Table1[[Test code]:[Test code]],[1]!Table1[Ionic resistance 10 mM KOH/Ohm cm2],"",0)</f>
        <v>#REF!</v>
      </c>
      <c r="AI1268" s="69" t="e" cm="1">
        <f t="array" ref="AI1268">_xlfn.XLOOKUP(Table1[[#This Row],[5 cm2 cell test code]:[5 cm2 cell test code]],[1]!Table1[[Test code]:[Test code]],[1]!Table1[Q_int_frac DIW 10 mM KOH],"",0)</f>
        <v>#REF!</v>
      </c>
      <c r="AJ1268" s="69" t="e" cm="1">
        <f t="array" ref="AJ1268">_xlfn.XLOOKUP(Table1[[#This Row],[5 cm2 cell test code]:[5 cm2 cell test code]],[1]!Table1[[Test code]:[Test code]],[1]!Table1[DIW conductivity (µS/cm)],"",0)</f>
        <v>#REF!</v>
      </c>
    </row>
    <row r="1269" spans="1:36">
      <c r="A1269" s="81"/>
      <c r="U1269" s="101"/>
      <c r="V1269" s="101"/>
      <c r="W1269" s="69" t="e" cm="1">
        <f t="array" ref="W1269">_xlfn.XLOOKUP(Table1[[#This Row],[5 cm2 cell test code]:[5 cm2 cell test code]],[1]!Table1[[Test code]:[Test code]],[1]!Table1[i @ 1.8 V DIW (A/cm2)],"",0)</f>
        <v>#REF!</v>
      </c>
      <c r="X1269" s="69" t="e" cm="1">
        <f t="array" ref="X1269">_xlfn.XLOOKUP(Table1[[#This Row],[5 cm2 cell test code]:[5 cm2 cell test code]],[1]!Table1[[Test code]:[Test code]],[1]!Table1[i @ 1.8 V 10 mM KOH (A/cm2)],"",0)</f>
        <v>#REF!</v>
      </c>
      <c r="Y1269" s="69" t="e" cm="1">
        <f t="array" ref="Y1269">_xlfn.XLOOKUP(Table1[[#This Row],[5 cm2 cell test code]:[5 cm2 cell test code]],[1]!Table1[[Test code]:[Test code]],[1]!Table1[3-E ƞ at 20mAcm-2 (mV)],"",0)</f>
        <v>#REF!</v>
      </c>
      <c r="Z1269" s="69" t="e" cm="1">
        <f t="array" ref="Z1269">_xlfn.XLOOKUP(Table1[[#This Row],[5 cm2 cell test code]:[5 cm2 cell test code]],[1]!Table1[[Test code]:[Test code]],[1]!Table1[3-E Tafel slope (mV/dec)],"",0)</f>
        <v>#REF!</v>
      </c>
      <c r="AA1269" s="69" t="e" cm="1">
        <f t="array" ref="AA1269">_xlfn.XLOOKUP(Table1[[#This Row],[5 cm2 cell test code]:[5 cm2 cell test code]],[1]!Table1[[Test code]:[Test code]],[1]!Table1[E @ 100 mA/cm2 DIW/V],"",0)</f>
        <v>#REF!</v>
      </c>
      <c r="AB1269" s="69" t="e" cm="1">
        <f t="array" ref="AB1269">_xlfn.XLOOKUP(Table1[[#This Row],[5 cm2 cell test code]:[5 cm2 cell test code]],[1]!Table1[[Test code]:[Test code]],[1]!Table1[E @ 100 mA/cm2 10 mM KOH/V],"",0)</f>
        <v>#REF!</v>
      </c>
      <c r="AC1269" s="69" t="e" cm="1">
        <f t="array" ref="AC1269">_xlfn.XLOOKUP(Table1[[#This Row],[5 cm2 cell test code]:[5 cm2 cell test code]],[1]!Table1[[Test code]:[Test code]],[1]!Table1[Anode ICR/mOhm],"",0)</f>
        <v>#REF!</v>
      </c>
      <c r="AD1269" s="69" t="e" cm="1">
        <f t="array" ref="AD1269">_xlfn.XLOOKUP(Table1[[#This Row],[5 cm2 cell test code]:[5 cm2 cell test code]],[1]!Table1[[Test code]:[Test code]],[1]!Table1[HFR DIW/ mOhm cm2],"",0)</f>
        <v>#REF!</v>
      </c>
      <c r="AE1269" s="69" t="e" cm="1">
        <f t="array" ref="AE1269">_xlfn.XLOOKUP(Table1[[#This Row],[5 cm2 cell test code]:[5 cm2 cell test code]],[1]!Table1[[Test code]:[Test code]],[1]!Table1[HFR 10 mM KOH/ mOhm cm2],"",0)</f>
        <v>#REF!</v>
      </c>
      <c r="AF1269" s="69" t="e" cm="1">
        <f t="array" ref="AF1269">_xlfn.XLOOKUP(Table1[[#This Row],[5 cm2 cell test code]:[5 cm2 cell test code]],[1]!Table1[[Test code]:[Test code]],[1]!Table1[Ionic resistance DIW/Ohm cm2],"",0)</f>
        <v>#REF!</v>
      </c>
      <c r="AG1269" s="69" t="e" cm="1">
        <f t="array" ref="AG1269">_xlfn.XLOOKUP(Table1[[#This Row],[5 cm2 cell test code]:[5 cm2 cell test code]],[1]!Table1[[Test code]:[Test code]],[1]!Table1[Q_int_frac DIW],"",0)</f>
        <v>#REF!</v>
      </c>
      <c r="AH1269" s="69" t="e" cm="1">
        <f t="array" ref="AH1269">_xlfn.XLOOKUP(Table1[[#This Row],[5 cm2 cell test code]:[5 cm2 cell test code]],[1]!Table1[[Test code]:[Test code]],[1]!Table1[Ionic resistance 10 mM KOH/Ohm cm2],"",0)</f>
        <v>#REF!</v>
      </c>
      <c r="AI1269" s="69" t="e" cm="1">
        <f t="array" ref="AI1269">_xlfn.XLOOKUP(Table1[[#This Row],[5 cm2 cell test code]:[5 cm2 cell test code]],[1]!Table1[[Test code]:[Test code]],[1]!Table1[Q_int_frac DIW 10 mM KOH],"",0)</f>
        <v>#REF!</v>
      </c>
      <c r="AJ1269" s="69" t="e" cm="1">
        <f t="array" ref="AJ1269">_xlfn.XLOOKUP(Table1[[#This Row],[5 cm2 cell test code]:[5 cm2 cell test code]],[1]!Table1[[Test code]:[Test code]],[1]!Table1[DIW conductivity (µS/cm)],"",0)</f>
        <v>#REF!</v>
      </c>
    </row>
    <row r="1270" spans="1:36">
      <c r="A1270" s="81"/>
      <c r="U1270" s="101"/>
      <c r="V1270" s="101"/>
      <c r="W1270" s="69" t="e" cm="1">
        <f t="array" ref="W1270">_xlfn.XLOOKUP(Table1[[#This Row],[5 cm2 cell test code]:[5 cm2 cell test code]],[1]!Table1[[Test code]:[Test code]],[1]!Table1[i @ 1.8 V DIW (A/cm2)],"",0)</f>
        <v>#REF!</v>
      </c>
      <c r="X1270" s="69" t="e" cm="1">
        <f t="array" ref="X1270">_xlfn.XLOOKUP(Table1[[#This Row],[5 cm2 cell test code]:[5 cm2 cell test code]],[1]!Table1[[Test code]:[Test code]],[1]!Table1[i @ 1.8 V 10 mM KOH (A/cm2)],"",0)</f>
        <v>#REF!</v>
      </c>
      <c r="Y1270" s="69" t="e" cm="1">
        <f t="array" ref="Y1270">_xlfn.XLOOKUP(Table1[[#This Row],[5 cm2 cell test code]:[5 cm2 cell test code]],[1]!Table1[[Test code]:[Test code]],[1]!Table1[3-E ƞ at 20mAcm-2 (mV)],"",0)</f>
        <v>#REF!</v>
      </c>
      <c r="Z1270" s="69" t="e" cm="1">
        <f t="array" ref="Z1270">_xlfn.XLOOKUP(Table1[[#This Row],[5 cm2 cell test code]:[5 cm2 cell test code]],[1]!Table1[[Test code]:[Test code]],[1]!Table1[3-E Tafel slope (mV/dec)],"",0)</f>
        <v>#REF!</v>
      </c>
      <c r="AA1270" s="69" t="e" cm="1">
        <f t="array" ref="AA1270">_xlfn.XLOOKUP(Table1[[#This Row],[5 cm2 cell test code]:[5 cm2 cell test code]],[1]!Table1[[Test code]:[Test code]],[1]!Table1[E @ 100 mA/cm2 DIW/V],"",0)</f>
        <v>#REF!</v>
      </c>
      <c r="AB1270" s="69" t="e" cm="1">
        <f t="array" ref="AB1270">_xlfn.XLOOKUP(Table1[[#This Row],[5 cm2 cell test code]:[5 cm2 cell test code]],[1]!Table1[[Test code]:[Test code]],[1]!Table1[E @ 100 mA/cm2 10 mM KOH/V],"",0)</f>
        <v>#REF!</v>
      </c>
      <c r="AC1270" s="69" t="e" cm="1">
        <f t="array" ref="AC1270">_xlfn.XLOOKUP(Table1[[#This Row],[5 cm2 cell test code]:[5 cm2 cell test code]],[1]!Table1[[Test code]:[Test code]],[1]!Table1[Anode ICR/mOhm],"",0)</f>
        <v>#REF!</v>
      </c>
      <c r="AD1270" s="69" t="e" cm="1">
        <f t="array" ref="AD1270">_xlfn.XLOOKUP(Table1[[#This Row],[5 cm2 cell test code]:[5 cm2 cell test code]],[1]!Table1[[Test code]:[Test code]],[1]!Table1[HFR DIW/ mOhm cm2],"",0)</f>
        <v>#REF!</v>
      </c>
      <c r="AE1270" s="69" t="e" cm="1">
        <f t="array" ref="AE1270">_xlfn.XLOOKUP(Table1[[#This Row],[5 cm2 cell test code]:[5 cm2 cell test code]],[1]!Table1[[Test code]:[Test code]],[1]!Table1[HFR 10 mM KOH/ mOhm cm2],"",0)</f>
        <v>#REF!</v>
      </c>
      <c r="AF1270" s="69" t="e" cm="1">
        <f t="array" ref="AF1270">_xlfn.XLOOKUP(Table1[[#This Row],[5 cm2 cell test code]:[5 cm2 cell test code]],[1]!Table1[[Test code]:[Test code]],[1]!Table1[Ionic resistance DIW/Ohm cm2],"",0)</f>
        <v>#REF!</v>
      </c>
      <c r="AG1270" s="69" t="e" cm="1">
        <f t="array" ref="AG1270">_xlfn.XLOOKUP(Table1[[#This Row],[5 cm2 cell test code]:[5 cm2 cell test code]],[1]!Table1[[Test code]:[Test code]],[1]!Table1[Q_int_frac DIW],"",0)</f>
        <v>#REF!</v>
      </c>
      <c r="AH1270" s="69" t="e" cm="1">
        <f t="array" ref="AH1270">_xlfn.XLOOKUP(Table1[[#This Row],[5 cm2 cell test code]:[5 cm2 cell test code]],[1]!Table1[[Test code]:[Test code]],[1]!Table1[Ionic resistance 10 mM KOH/Ohm cm2],"",0)</f>
        <v>#REF!</v>
      </c>
      <c r="AI1270" s="69" t="e" cm="1">
        <f t="array" ref="AI1270">_xlfn.XLOOKUP(Table1[[#This Row],[5 cm2 cell test code]:[5 cm2 cell test code]],[1]!Table1[[Test code]:[Test code]],[1]!Table1[Q_int_frac DIW 10 mM KOH],"",0)</f>
        <v>#REF!</v>
      </c>
      <c r="AJ1270" s="69" t="e" cm="1">
        <f t="array" ref="AJ1270">_xlfn.XLOOKUP(Table1[[#This Row],[5 cm2 cell test code]:[5 cm2 cell test code]],[1]!Table1[[Test code]:[Test code]],[1]!Table1[DIW conductivity (µS/cm)],"",0)</f>
        <v>#REF!</v>
      </c>
    </row>
    <row r="1271" spans="1:36">
      <c r="A1271" s="81"/>
      <c r="U1271" s="101"/>
      <c r="V1271" s="101"/>
      <c r="W1271" s="69" t="e" cm="1">
        <f t="array" ref="W1271">_xlfn.XLOOKUP(Table1[[#This Row],[5 cm2 cell test code]:[5 cm2 cell test code]],[1]!Table1[[Test code]:[Test code]],[1]!Table1[i @ 1.8 V DIW (A/cm2)],"",0)</f>
        <v>#REF!</v>
      </c>
      <c r="X1271" s="69" t="e" cm="1">
        <f t="array" ref="X1271">_xlfn.XLOOKUP(Table1[[#This Row],[5 cm2 cell test code]:[5 cm2 cell test code]],[1]!Table1[[Test code]:[Test code]],[1]!Table1[i @ 1.8 V 10 mM KOH (A/cm2)],"",0)</f>
        <v>#REF!</v>
      </c>
      <c r="Y1271" s="69" t="e" cm="1">
        <f t="array" ref="Y1271">_xlfn.XLOOKUP(Table1[[#This Row],[5 cm2 cell test code]:[5 cm2 cell test code]],[1]!Table1[[Test code]:[Test code]],[1]!Table1[3-E ƞ at 20mAcm-2 (mV)],"",0)</f>
        <v>#REF!</v>
      </c>
      <c r="Z1271" s="69" t="e" cm="1">
        <f t="array" ref="Z1271">_xlfn.XLOOKUP(Table1[[#This Row],[5 cm2 cell test code]:[5 cm2 cell test code]],[1]!Table1[[Test code]:[Test code]],[1]!Table1[3-E Tafel slope (mV/dec)],"",0)</f>
        <v>#REF!</v>
      </c>
      <c r="AA1271" s="69" t="e" cm="1">
        <f t="array" ref="AA1271">_xlfn.XLOOKUP(Table1[[#This Row],[5 cm2 cell test code]:[5 cm2 cell test code]],[1]!Table1[[Test code]:[Test code]],[1]!Table1[E @ 100 mA/cm2 DIW/V],"",0)</f>
        <v>#REF!</v>
      </c>
      <c r="AB1271" s="69" t="e" cm="1">
        <f t="array" ref="AB1271">_xlfn.XLOOKUP(Table1[[#This Row],[5 cm2 cell test code]:[5 cm2 cell test code]],[1]!Table1[[Test code]:[Test code]],[1]!Table1[E @ 100 mA/cm2 10 mM KOH/V],"",0)</f>
        <v>#REF!</v>
      </c>
      <c r="AC1271" s="69" t="e" cm="1">
        <f t="array" ref="AC1271">_xlfn.XLOOKUP(Table1[[#This Row],[5 cm2 cell test code]:[5 cm2 cell test code]],[1]!Table1[[Test code]:[Test code]],[1]!Table1[Anode ICR/mOhm],"",0)</f>
        <v>#REF!</v>
      </c>
      <c r="AD1271" s="69" t="e" cm="1">
        <f t="array" ref="AD1271">_xlfn.XLOOKUP(Table1[[#This Row],[5 cm2 cell test code]:[5 cm2 cell test code]],[1]!Table1[[Test code]:[Test code]],[1]!Table1[HFR DIW/ mOhm cm2],"",0)</f>
        <v>#REF!</v>
      </c>
      <c r="AE1271" s="69" t="e" cm="1">
        <f t="array" ref="AE1271">_xlfn.XLOOKUP(Table1[[#This Row],[5 cm2 cell test code]:[5 cm2 cell test code]],[1]!Table1[[Test code]:[Test code]],[1]!Table1[HFR 10 mM KOH/ mOhm cm2],"",0)</f>
        <v>#REF!</v>
      </c>
      <c r="AF1271" s="69" t="e" cm="1">
        <f t="array" ref="AF1271">_xlfn.XLOOKUP(Table1[[#This Row],[5 cm2 cell test code]:[5 cm2 cell test code]],[1]!Table1[[Test code]:[Test code]],[1]!Table1[Ionic resistance DIW/Ohm cm2],"",0)</f>
        <v>#REF!</v>
      </c>
      <c r="AG1271" s="69" t="e" cm="1">
        <f t="array" ref="AG1271">_xlfn.XLOOKUP(Table1[[#This Row],[5 cm2 cell test code]:[5 cm2 cell test code]],[1]!Table1[[Test code]:[Test code]],[1]!Table1[Q_int_frac DIW],"",0)</f>
        <v>#REF!</v>
      </c>
      <c r="AH1271" s="69" t="e" cm="1">
        <f t="array" ref="AH1271">_xlfn.XLOOKUP(Table1[[#This Row],[5 cm2 cell test code]:[5 cm2 cell test code]],[1]!Table1[[Test code]:[Test code]],[1]!Table1[Ionic resistance 10 mM KOH/Ohm cm2],"",0)</f>
        <v>#REF!</v>
      </c>
      <c r="AI1271" s="69" t="e" cm="1">
        <f t="array" ref="AI1271">_xlfn.XLOOKUP(Table1[[#This Row],[5 cm2 cell test code]:[5 cm2 cell test code]],[1]!Table1[[Test code]:[Test code]],[1]!Table1[Q_int_frac DIW 10 mM KOH],"",0)</f>
        <v>#REF!</v>
      </c>
      <c r="AJ1271" s="69" t="e" cm="1">
        <f t="array" ref="AJ1271">_xlfn.XLOOKUP(Table1[[#This Row],[5 cm2 cell test code]:[5 cm2 cell test code]],[1]!Table1[[Test code]:[Test code]],[1]!Table1[DIW conductivity (µS/cm)],"",0)</f>
        <v>#REF!</v>
      </c>
    </row>
    <row r="1272" spans="1:36">
      <c r="A1272" s="81"/>
      <c r="U1272" s="101"/>
      <c r="V1272" s="101"/>
      <c r="W1272" s="69" t="e" cm="1">
        <f t="array" ref="W1272">_xlfn.XLOOKUP(Table1[[#This Row],[5 cm2 cell test code]:[5 cm2 cell test code]],[1]!Table1[[Test code]:[Test code]],[1]!Table1[i @ 1.8 V DIW (A/cm2)],"",0)</f>
        <v>#REF!</v>
      </c>
      <c r="X1272" s="69" t="e" cm="1">
        <f t="array" ref="X1272">_xlfn.XLOOKUP(Table1[[#This Row],[5 cm2 cell test code]:[5 cm2 cell test code]],[1]!Table1[[Test code]:[Test code]],[1]!Table1[i @ 1.8 V 10 mM KOH (A/cm2)],"",0)</f>
        <v>#REF!</v>
      </c>
      <c r="Y1272" s="69" t="e" cm="1">
        <f t="array" ref="Y1272">_xlfn.XLOOKUP(Table1[[#This Row],[5 cm2 cell test code]:[5 cm2 cell test code]],[1]!Table1[[Test code]:[Test code]],[1]!Table1[3-E ƞ at 20mAcm-2 (mV)],"",0)</f>
        <v>#REF!</v>
      </c>
      <c r="Z1272" s="69" t="e" cm="1">
        <f t="array" ref="Z1272">_xlfn.XLOOKUP(Table1[[#This Row],[5 cm2 cell test code]:[5 cm2 cell test code]],[1]!Table1[[Test code]:[Test code]],[1]!Table1[3-E Tafel slope (mV/dec)],"",0)</f>
        <v>#REF!</v>
      </c>
      <c r="AA1272" s="69" t="e" cm="1">
        <f t="array" ref="AA1272">_xlfn.XLOOKUP(Table1[[#This Row],[5 cm2 cell test code]:[5 cm2 cell test code]],[1]!Table1[[Test code]:[Test code]],[1]!Table1[E @ 100 mA/cm2 DIW/V],"",0)</f>
        <v>#REF!</v>
      </c>
      <c r="AB1272" s="69" t="e" cm="1">
        <f t="array" ref="AB1272">_xlfn.XLOOKUP(Table1[[#This Row],[5 cm2 cell test code]:[5 cm2 cell test code]],[1]!Table1[[Test code]:[Test code]],[1]!Table1[E @ 100 mA/cm2 10 mM KOH/V],"",0)</f>
        <v>#REF!</v>
      </c>
      <c r="AC1272" s="69" t="e" cm="1">
        <f t="array" ref="AC1272">_xlfn.XLOOKUP(Table1[[#This Row],[5 cm2 cell test code]:[5 cm2 cell test code]],[1]!Table1[[Test code]:[Test code]],[1]!Table1[Anode ICR/mOhm],"",0)</f>
        <v>#REF!</v>
      </c>
      <c r="AD1272" s="69" t="e" cm="1">
        <f t="array" ref="AD1272">_xlfn.XLOOKUP(Table1[[#This Row],[5 cm2 cell test code]:[5 cm2 cell test code]],[1]!Table1[[Test code]:[Test code]],[1]!Table1[HFR DIW/ mOhm cm2],"",0)</f>
        <v>#REF!</v>
      </c>
      <c r="AE1272" s="69" t="e" cm="1">
        <f t="array" ref="AE1272">_xlfn.XLOOKUP(Table1[[#This Row],[5 cm2 cell test code]:[5 cm2 cell test code]],[1]!Table1[[Test code]:[Test code]],[1]!Table1[HFR 10 mM KOH/ mOhm cm2],"",0)</f>
        <v>#REF!</v>
      </c>
      <c r="AF1272" s="69" t="e" cm="1">
        <f t="array" ref="AF1272">_xlfn.XLOOKUP(Table1[[#This Row],[5 cm2 cell test code]:[5 cm2 cell test code]],[1]!Table1[[Test code]:[Test code]],[1]!Table1[Ionic resistance DIW/Ohm cm2],"",0)</f>
        <v>#REF!</v>
      </c>
      <c r="AG1272" s="69" t="e" cm="1">
        <f t="array" ref="AG1272">_xlfn.XLOOKUP(Table1[[#This Row],[5 cm2 cell test code]:[5 cm2 cell test code]],[1]!Table1[[Test code]:[Test code]],[1]!Table1[Q_int_frac DIW],"",0)</f>
        <v>#REF!</v>
      </c>
      <c r="AH1272" s="69" t="e" cm="1">
        <f t="array" ref="AH1272">_xlfn.XLOOKUP(Table1[[#This Row],[5 cm2 cell test code]:[5 cm2 cell test code]],[1]!Table1[[Test code]:[Test code]],[1]!Table1[Ionic resistance 10 mM KOH/Ohm cm2],"",0)</f>
        <v>#REF!</v>
      </c>
      <c r="AI1272" s="69" t="e" cm="1">
        <f t="array" ref="AI1272">_xlfn.XLOOKUP(Table1[[#This Row],[5 cm2 cell test code]:[5 cm2 cell test code]],[1]!Table1[[Test code]:[Test code]],[1]!Table1[Q_int_frac DIW 10 mM KOH],"",0)</f>
        <v>#REF!</v>
      </c>
      <c r="AJ1272" s="69" t="e" cm="1">
        <f t="array" ref="AJ1272">_xlfn.XLOOKUP(Table1[[#This Row],[5 cm2 cell test code]:[5 cm2 cell test code]],[1]!Table1[[Test code]:[Test code]],[1]!Table1[DIW conductivity (µS/cm)],"",0)</f>
        <v>#REF!</v>
      </c>
    </row>
    <row r="1273" spans="1:36">
      <c r="A1273" s="81"/>
      <c r="U1273" s="101"/>
      <c r="V1273" s="101"/>
      <c r="W1273" s="69" t="e" cm="1">
        <f t="array" ref="W1273">_xlfn.XLOOKUP(Table1[[#This Row],[5 cm2 cell test code]:[5 cm2 cell test code]],[1]!Table1[[Test code]:[Test code]],[1]!Table1[i @ 1.8 V DIW (A/cm2)],"",0)</f>
        <v>#REF!</v>
      </c>
      <c r="X1273" s="69" t="e" cm="1">
        <f t="array" ref="X1273">_xlfn.XLOOKUP(Table1[[#This Row],[5 cm2 cell test code]:[5 cm2 cell test code]],[1]!Table1[[Test code]:[Test code]],[1]!Table1[i @ 1.8 V 10 mM KOH (A/cm2)],"",0)</f>
        <v>#REF!</v>
      </c>
      <c r="Y1273" s="69" t="e" cm="1">
        <f t="array" ref="Y1273">_xlfn.XLOOKUP(Table1[[#This Row],[5 cm2 cell test code]:[5 cm2 cell test code]],[1]!Table1[[Test code]:[Test code]],[1]!Table1[3-E ƞ at 20mAcm-2 (mV)],"",0)</f>
        <v>#REF!</v>
      </c>
      <c r="Z1273" s="69" t="e" cm="1">
        <f t="array" ref="Z1273">_xlfn.XLOOKUP(Table1[[#This Row],[5 cm2 cell test code]:[5 cm2 cell test code]],[1]!Table1[[Test code]:[Test code]],[1]!Table1[3-E Tafel slope (mV/dec)],"",0)</f>
        <v>#REF!</v>
      </c>
      <c r="AA1273" s="69" t="e" cm="1">
        <f t="array" ref="AA1273">_xlfn.XLOOKUP(Table1[[#This Row],[5 cm2 cell test code]:[5 cm2 cell test code]],[1]!Table1[[Test code]:[Test code]],[1]!Table1[E @ 100 mA/cm2 DIW/V],"",0)</f>
        <v>#REF!</v>
      </c>
      <c r="AB1273" s="69" t="e" cm="1">
        <f t="array" ref="AB1273">_xlfn.XLOOKUP(Table1[[#This Row],[5 cm2 cell test code]:[5 cm2 cell test code]],[1]!Table1[[Test code]:[Test code]],[1]!Table1[E @ 100 mA/cm2 10 mM KOH/V],"",0)</f>
        <v>#REF!</v>
      </c>
      <c r="AC1273" s="69" t="e" cm="1">
        <f t="array" ref="AC1273">_xlfn.XLOOKUP(Table1[[#This Row],[5 cm2 cell test code]:[5 cm2 cell test code]],[1]!Table1[[Test code]:[Test code]],[1]!Table1[Anode ICR/mOhm],"",0)</f>
        <v>#REF!</v>
      </c>
      <c r="AD1273" s="69" t="e" cm="1">
        <f t="array" ref="AD1273">_xlfn.XLOOKUP(Table1[[#This Row],[5 cm2 cell test code]:[5 cm2 cell test code]],[1]!Table1[[Test code]:[Test code]],[1]!Table1[HFR DIW/ mOhm cm2],"",0)</f>
        <v>#REF!</v>
      </c>
      <c r="AE1273" s="69" t="e" cm="1">
        <f t="array" ref="AE1273">_xlfn.XLOOKUP(Table1[[#This Row],[5 cm2 cell test code]:[5 cm2 cell test code]],[1]!Table1[[Test code]:[Test code]],[1]!Table1[HFR 10 mM KOH/ mOhm cm2],"",0)</f>
        <v>#REF!</v>
      </c>
      <c r="AF1273" s="69" t="e" cm="1">
        <f t="array" ref="AF1273">_xlfn.XLOOKUP(Table1[[#This Row],[5 cm2 cell test code]:[5 cm2 cell test code]],[1]!Table1[[Test code]:[Test code]],[1]!Table1[Ionic resistance DIW/Ohm cm2],"",0)</f>
        <v>#REF!</v>
      </c>
      <c r="AG1273" s="69" t="e" cm="1">
        <f t="array" ref="AG1273">_xlfn.XLOOKUP(Table1[[#This Row],[5 cm2 cell test code]:[5 cm2 cell test code]],[1]!Table1[[Test code]:[Test code]],[1]!Table1[Q_int_frac DIW],"",0)</f>
        <v>#REF!</v>
      </c>
      <c r="AH1273" s="69" t="e" cm="1">
        <f t="array" ref="AH1273">_xlfn.XLOOKUP(Table1[[#This Row],[5 cm2 cell test code]:[5 cm2 cell test code]],[1]!Table1[[Test code]:[Test code]],[1]!Table1[Ionic resistance 10 mM KOH/Ohm cm2],"",0)</f>
        <v>#REF!</v>
      </c>
      <c r="AI1273" s="69" t="e" cm="1">
        <f t="array" ref="AI1273">_xlfn.XLOOKUP(Table1[[#This Row],[5 cm2 cell test code]:[5 cm2 cell test code]],[1]!Table1[[Test code]:[Test code]],[1]!Table1[Q_int_frac DIW 10 mM KOH],"",0)</f>
        <v>#REF!</v>
      </c>
      <c r="AJ1273" s="69" t="e" cm="1">
        <f t="array" ref="AJ1273">_xlfn.XLOOKUP(Table1[[#This Row],[5 cm2 cell test code]:[5 cm2 cell test code]],[1]!Table1[[Test code]:[Test code]],[1]!Table1[DIW conductivity (µS/cm)],"",0)</f>
        <v>#REF!</v>
      </c>
    </row>
    <row r="1274" spans="1:36">
      <c r="A1274" s="81"/>
      <c r="U1274" s="101"/>
      <c r="V1274" s="101"/>
      <c r="W1274" s="69" t="e" cm="1">
        <f t="array" ref="W1274">_xlfn.XLOOKUP(Table1[[#This Row],[5 cm2 cell test code]:[5 cm2 cell test code]],[1]!Table1[[Test code]:[Test code]],[1]!Table1[i @ 1.8 V DIW (A/cm2)],"",0)</f>
        <v>#REF!</v>
      </c>
      <c r="X1274" s="69" t="e" cm="1">
        <f t="array" ref="X1274">_xlfn.XLOOKUP(Table1[[#This Row],[5 cm2 cell test code]:[5 cm2 cell test code]],[1]!Table1[[Test code]:[Test code]],[1]!Table1[i @ 1.8 V 10 mM KOH (A/cm2)],"",0)</f>
        <v>#REF!</v>
      </c>
      <c r="Y1274" s="69" t="e" cm="1">
        <f t="array" ref="Y1274">_xlfn.XLOOKUP(Table1[[#This Row],[5 cm2 cell test code]:[5 cm2 cell test code]],[1]!Table1[[Test code]:[Test code]],[1]!Table1[3-E ƞ at 20mAcm-2 (mV)],"",0)</f>
        <v>#REF!</v>
      </c>
      <c r="Z1274" s="69" t="e" cm="1">
        <f t="array" ref="Z1274">_xlfn.XLOOKUP(Table1[[#This Row],[5 cm2 cell test code]:[5 cm2 cell test code]],[1]!Table1[[Test code]:[Test code]],[1]!Table1[3-E Tafel slope (mV/dec)],"",0)</f>
        <v>#REF!</v>
      </c>
      <c r="AA1274" s="69" t="e" cm="1">
        <f t="array" ref="AA1274">_xlfn.XLOOKUP(Table1[[#This Row],[5 cm2 cell test code]:[5 cm2 cell test code]],[1]!Table1[[Test code]:[Test code]],[1]!Table1[E @ 100 mA/cm2 DIW/V],"",0)</f>
        <v>#REF!</v>
      </c>
      <c r="AB1274" s="69" t="e" cm="1">
        <f t="array" ref="AB1274">_xlfn.XLOOKUP(Table1[[#This Row],[5 cm2 cell test code]:[5 cm2 cell test code]],[1]!Table1[[Test code]:[Test code]],[1]!Table1[E @ 100 mA/cm2 10 mM KOH/V],"",0)</f>
        <v>#REF!</v>
      </c>
      <c r="AC1274" s="69" t="e" cm="1">
        <f t="array" ref="AC1274">_xlfn.XLOOKUP(Table1[[#This Row],[5 cm2 cell test code]:[5 cm2 cell test code]],[1]!Table1[[Test code]:[Test code]],[1]!Table1[Anode ICR/mOhm],"",0)</f>
        <v>#REF!</v>
      </c>
      <c r="AD1274" s="69" t="e" cm="1">
        <f t="array" ref="AD1274">_xlfn.XLOOKUP(Table1[[#This Row],[5 cm2 cell test code]:[5 cm2 cell test code]],[1]!Table1[[Test code]:[Test code]],[1]!Table1[HFR DIW/ mOhm cm2],"",0)</f>
        <v>#REF!</v>
      </c>
      <c r="AE1274" s="69" t="e" cm="1">
        <f t="array" ref="AE1274">_xlfn.XLOOKUP(Table1[[#This Row],[5 cm2 cell test code]:[5 cm2 cell test code]],[1]!Table1[[Test code]:[Test code]],[1]!Table1[HFR 10 mM KOH/ mOhm cm2],"",0)</f>
        <v>#REF!</v>
      </c>
      <c r="AF1274" s="69" t="e" cm="1">
        <f t="array" ref="AF1274">_xlfn.XLOOKUP(Table1[[#This Row],[5 cm2 cell test code]:[5 cm2 cell test code]],[1]!Table1[[Test code]:[Test code]],[1]!Table1[Ionic resistance DIW/Ohm cm2],"",0)</f>
        <v>#REF!</v>
      </c>
      <c r="AG1274" s="69" t="e" cm="1">
        <f t="array" ref="AG1274">_xlfn.XLOOKUP(Table1[[#This Row],[5 cm2 cell test code]:[5 cm2 cell test code]],[1]!Table1[[Test code]:[Test code]],[1]!Table1[Q_int_frac DIW],"",0)</f>
        <v>#REF!</v>
      </c>
      <c r="AH1274" s="69" t="e" cm="1">
        <f t="array" ref="AH1274">_xlfn.XLOOKUP(Table1[[#This Row],[5 cm2 cell test code]:[5 cm2 cell test code]],[1]!Table1[[Test code]:[Test code]],[1]!Table1[Ionic resistance 10 mM KOH/Ohm cm2],"",0)</f>
        <v>#REF!</v>
      </c>
      <c r="AI1274" s="69" t="e" cm="1">
        <f t="array" ref="AI1274">_xlfn.XLOOKUP(Table1[[#This Row],[5 cm2 cell test code]:[5 cm2 cell test code]],[1]!Table1[[Test code]:[Test code]],[1]!Table1[Q_int_frac DIW 10 mM KOH],"",0)</f>
        <v>#REF!</v>
      </c>
      <c r="AJ1274" s="69" t="e" cm="1">
        <f t="array" ref="AJ1274">_xlfn.XLOOKUP(Table1[[#This Row],[5 cm2 cell test code]:[5 cm2 cell test code]],[1]!Table1[[Test code]:[Test code]],[1]!Table1[DIW conductivity (µS/cm)],"",0)</f>
        <v>#REF!</v>
      </c>
    </row>
    <row r="1275" spans="1:36">
      <c r="A1275" s="81"/>
      <c r="U1275" s="101"/>
      <c r="V1275" s="101"/>
      <c r="W1275" s="69" t="e" cm="1">
        <f t="array" ref="W1275">_xlfn.XLOOKUP(Table1[[#This Row],[5 cm2 cell test code]:[5 cm2 cell test code]],[1]!Table1[[Test code]:[Test code]],[1]!Table1[i @ 1.8 V DIW (A/cm2)],"",0)</f>
        <v>#REF!</v>
      </c>
      <c r="X1275" s="69" t="e" cm="1">
        <f t="array" ref="X1275">_xlfn.XLOOKUP(Table1[[#This Row],[5 cm2 cell test code]:[5 cm2 cell test code]],[1]!Table1[[Test code]:[Test code]],[1]!Table1[i @ 1.8 V 10 mM KOH (A/cm2)],"",0)</f>
        <v>#REF!</v>
      </c>
      <c r="Y1275" s="69" t="e" cm="1">
        <f t="array" ref="Y1275">_xlfn.XLOOKUP(Table1[[#This Row],[5 cm2 cell test code]:[5 cm2 cell test code]],[1]!Table1[[Test code]:[Test code]],[1]!Table1[3-E ƞ at 20mAcm-2 (mV)],"",0)</f>
        <v>#REF!</v>
      </c>
      <c r="Z1275" s="69" t="e" cm="1">
        <f t="array" ref="Z1275">_xlfn.XLOOKUP(Table1[[#This Row],[5 cm2 cell test code]:[5 cm2 cell test code]],[1]!Table1[[Test code]:[Test code]],[1]!Table1[3-E Tafel slope (mV/dec)],"",0)</f>
        <v>#REF!</v>
      </c>
      <c r="AA1275" s="69" t="e" cm="1">
        <f t="array" ref="AA1275">_xlfn.XLOOKUP(Table1[[#This Row],[5 cm2 cell test code]:[5 cm2 cell test code]],[1]!Table1[[Test code]:[Test code]],[1]!Table1[E @ 100 mA/cm2 DIW/V],"",0)</f>
        <v>#REF!</v>
      </c>
      <c r="AB1275" s="69" t="e" cm="1">
        <f t="array" ref="AB1275">_xlfn.XLOOKUP(Table1[[#This Row],[5 cm2 cell test code]:[5 cm2 cell test code]],[1]!Table1[[Test code]:[Test code]],[1]!Table1[E @ 100 mA/cm2 10 mM KOH/V],"",0)</f>
        <v>#REF!</v>
      </c>
      <c r="AC1275" s="69" t="e" cm="1">
        <f t="array" ref="AC1275">_xlfn.XLOOKUP(Table1[[#This Row],[5 cm2 cell test code]:[5 cm2 cell test code]],[1]!Table1[[Test code]:[Test code]],[1]!Table1[Anode ICR/mOhm],"",0)</f>
        <v>#REF!</v>
      </c>
      <c r="AD1275" s="69" t="e" cm="1">
        <f t="array" ref="AD1275">_xlfn.XLOOKUP(Table1[[#This Row],[5 cm2 cell test code]:[5 cm2 cell test code]],[1]!Table1[[Test code]:[Test code]],[1]!Table1[HFR DIW/ mOhm cm2],"",0)</f>
        <v>#REF!</v>
      </c>
      <c r="AE1275" s="69" t="e" cm="1">
        <f t="array" ref="AE1275">_xlfn.XLOOKUP(Table1[[#This Row],[5 cm2 cell test code]:[5 cm2 cell test code]],[1]!Table1[[Test code]:[Test code]],[1]!Table1[HFR 10 mM KOH/ mOhm cm2],"",0)</f>
        <v>#REF!</v>
      </c>
      <c r="AF1275" s="69" t="e" cm="1">
        <f t="array" ref="AF1275">_xlfn.XLOOKUP(Table1[[#This Row],[5 cm2 cell test code]:[5 cm2 cell test code]],[1]!Table1[[Test code]:[Test code]],[1]!Table1[Ionic resistance DIW/Ohm cm2],"",0)</f>
        <v>#REF!</v>
      </c>
      <c r="AG1275" s="69" t="e" cm="1">
        <f t="array" ref="AG1275">_xlfn.XLOOKUP(Table1[[#This Row],[5 cm2 cell test code]:[5 cm2 cell test code]],[1]!Table1[[Test code]:[Test code]],[1]!Table1[Q_int_frac DIW],"",0)</f>
        <v>#REF!</v>
      </c>
      <c r="AH1275" s="69" t="e" cm="1">
        <f t="array" ref="AH1275">_xlfn.XLOOKUP(Table1[[#This Row],[5 cm2 cell test code]:[5 cm2 cell test code]],[1]!Table1[[Test code]:[Test code]],[1]!Table1[Ionic resistance 10 mM KOH/Ohm cm2],"",0)</f>
        <v>#REF!</v>
      </c>
      <c r="AI1275" s="69" t="e" cm="1">
        <f t="array" ref="AI1275">_xlfn.XLOOKUP(Table1[[#This Row],[5 cm2 cell test code]:[5 cm2 cell test code]],[1]!Table1[[Test code]:[Test code]],[1]!Table1[Q_int_frac DIW 10 mM KOH],"",0)</f>
        <v>#REF!</v>
      </c>
      <c r="AJ1275" s="69" t="e" cm="1">
        <f t="array" ref="AJ1275">_xlfn.XLOOKUP(Table1[[#This Row],[5 cm2 cell test code]:[5 cm2 cell test code]],[1]!Table1[[Test code]:[Test code]],[1]!Table1[DIW conductivity (µS/cm)],"",0)</f>
        <v>#REF!</v>
      </c>
    </row>
    <row r="1276" spans="1:36">
      <c r="A1276" s="81"/>
      <c r="U1276" s="101"/>
      <c r="V1276" s="101"/>
      <c r="W1276" s="69" t="e" cm="1">
        <f t="array" ref="W1276">_xlfn.XLOOKUP(Table1[[#This Row],[5 cm2 cell test code]:[5 cm2 cell test code]],[1]!Table1[[Test code]:[Test code]],[1]!Table1[i @ 1.8 V DIW (A/cm2)],"",0)</f>
        <v>#REF!</v>
      </c>
      <c r="X1276" s="69" t="e" cm="1">
        <f t="array" ref="X1276">_xlfn.XLOOKUP(Table1[[#This Row],[5 cm2 cell test code]:[5 cm2 cell test code]],[1]!Table1[[Test code]:[Test code]],[1]!Table1[i @ 1.8 V 10 mM KOH (A/cm2)],"",0)</f>
        <v>#REF!</v>
      </c>
      <c r="Y1276" s="69" t="e" cm="1">
        <f t="array" ref="Y1276">_xlfn.XLOOKUP(Table1[[#This Row],[5 cm2 cell test code]:[5 cm2 cell test code]],[1]!Table1[[Test code]:[Test code]],[1]!Table1[3-E ƞ at 20mAcm-2 (mV)],"",0)</f>
        <v>#REF!</v>
      </c>
      <c r="Z1276" s="69" t="e" cm="1">
        <f t="array" ref="Z1276">_xlfn.XLOOKUP(Table1[[#This Row],[5 cm2 cell test code]:[5 cm2 cell test code]],[1]!Table1[[Test code]:[Test code]],[1]!Table1[3-E Tafel slope (mV/dec)],"",0)</f>
        <v>#REF!</v>
      </c>
      <c r="AA1276" s="69" t="e" cm="1">
        <f t="array" ref="AA1276">_xlfn.XLOOKUP(Table1[[#This Row],[5 cm2 cell test code]:[5 cm2 cell test code]],[1]!Table1[[Test code]:[Test code]],[1]!Table1[E @ 100 mA/cm2 DIW/V],"",0)</f>
        <v>#REF!</v>
      </c>
      <c r="AB1276" s="69" t="e" cm="1">
        <f t="array" ref="AB1276">_xlfn.XLOOKUP(Table1[[#This Row],[5 cm2 cell test code]:[5 cm2 cell test code]],[1]!Table1[[Test code]:[Test code]],[1]!Table1[E @ 100 mA/cm2 10 mM KOH/V],"",0)</f>
        <v>#REF!</v>
      </c>
      <c r="AC1276" s="69" t="e" cm="1">
        <f t="array" ref="AC1276">_xlfn.XLOOKUP(Table1[[#This Row],[5 cm2 cell test code]:[5 cm2 cell test code]],[1]!Table1[[Test code]:[Test code]],[1]!Table1[Anode ICR/mOhm],"",0)</f>
        <v>#REF!</v>
      </c>
      <c r="AD1276" s="69" t="e" cm="1">
        <f t="array" ref="AD1276">_xlfn.XLOOKUP(Table1[[#This Row],[5 cm2 cell test code]:[5 cm2 cell test code]],[1]!Table1[[Test code]:[Test code]],[1]!Table1[HFR DIW/ mOhm cm2],"",0)</f>
        <v>#REF!</v>
      </c>
      <c r="AE1276" s="69" t="e" cm="1">
        <f t="array" ref="AE1276">_xlfn.XLOOKUP(Table1[[#This Row],[5 cm2 cell test code]:[5 cm2 cell test code]],[1]!Table1[[Test code]:[Test code]],[1]!Table1[HFR 10 mM KOH/ mOhm cm2],"",0)</f>
        <v>#REF!</v>
      </c>
      <c r="AF1276" s="69" t="e" cm="1">
        <f t="array" ref="AF1276">_xlfn.XLOOKUP(Table1[[#This Row],[5 cm2 cell test code]:[5 cm2 cell test code]],[1]!Table1[[Test code]:[Test code]],[1]!Table1[Ionic resistance DIW/Ohm cm2],"",0)</f>
        <v>#REF!</v>
      </c>
      <c r="AG1276" s="69" t="e" cm="1">
        <f t="array" ref="AG1276">_xlfn.XLOOKUP(Table1[[#This Row],[5 cm2 cell test code]:[5 cm2 cell test code]],[1]!Table1[[Test code]:[Test code]],[1]!Table1[Q_int_frac DIW],"",0)</f>
        <v>#REF!</v>
      </c>
      <c r="AH1276" s="69" t="e" cm="1">
        <f t="array" ref="AH1276">_xlfn.XLOOKUP(Table1[[#This Row],[5 cm2 cell test code]:[5 cm2 cell test code]],[1]!Table1[[Test code]:[Test code]],[1]!Table1[Ionic resistance 10 mM KOH/Ohm cm2],"",0)</f>
        <v>#REF!</v>
      </c>
      <c r="AI1276" s="69" t="e" cm="1">
        <f t="array" ref="AI1276">_xlfn.XLOOKUP(Table1[[#This Row],[5 cm2 cell test code]:[5 cm2 cell test code]],[1]!Table1[[Test code]:[Test code]],[1]!Table1[Q_int_frac DIW 10 mM KOH],"",0)</f>
        <v>#REF!</v>
      </c>
      <c r="AJ1276" s="69" t="e" cm="1">
        <f t="array" ref="AJ1276">_xlfn.XLOOKUP(Table1[[#This Row],[5 cm2 cell test code]:[5 cm2 cell test code]],[1]!Table1[[Test code]:[Test code]],[1]!Table1[DIW conductivity (µS/cm)],"",0)</f>
        <v>#REF!</v>
      </c>
    </row>
    <row r="1277" spans="1:36">
      <c r="A1277" s="81"/>
      <c r="U1277" s="101"/>
      <c r="V1277" s="101"/>
      <c r="W1277" s="69" t="e" cm="1">
        <f t="array" ref="W1277">_xlfn.XLOOKUP(Table1[[#This Row],[5 cm2 cell test code]:[5 cm2 cell test code]],[1]!Table1[[Test code]:[Test code]],[1]!Table1[i @ 1.8 V DIW (A/cm2)],"",0)</f>
        <v>#REF!</v>
      </c>
      <c r="X1277" s="69" t="e" cm="1">
        <f t="array" ref="X1277">_xlfn.XLOOKUP(Table1[[#This Row],[5 cm2 cell test code]:[5 cm2 cell test code]],[1]!Table1[[Test code]:[Test code]],[1]!Table1[i @ 1.8 V 10 mM KOH (A/cm2)],"",0)</f>
        <v>#REF!</v>
      </c>
      <c r="Y1277" s="69" t="e" cm="1">
        <f t="array" ref="Y1277">_xlfn.XLOOKUP(Table1[[#This Row],[5 cm2 cell test code]:[5 cm2 cell test code]],[1]!Table1[[Test code]:[Test code]],[1]!Table1[3-E ƞ at 20mAcm-2 (mV)],"",0)</f>
        <v>#REF!</v>
      </c>
      <c r="Z1277" s="69" t="e" cm="1">
        <f t="array" ref="Z1277">_xlfn.XLOOKUP(Table1[[#This Row],[5 cm2 cell test code]:[5 cm2 cell test code]],[1]!Table1[[Test code]:[Test code]],[1]!Table1[3-E Tafel slope (mV/dec)],"",0)</f>
        <v>#REF!</v>
      </c>
      <c r="AA1277" s="69" t="e" cm="1">
        <f t="array" ref="AA1277">_xlfn.XLOOKUP(Table1[[#This Row],[5 cm2 cell test code]:[5 cm2 cell test code]],[1]!Table1[[Test code]:[Test code]],[1]!Table1[E @ 100 mA/cm2 DIW/V],"",0)</f>
        <v>#REF!</v>
      </c>
      <c r="AB1277" s="69" t="e" cm="1">
        <f t="array" ref="AB1277">_xlfn.XLOOKUP(Table1[[#This Row],[5 cm2 cell test code]:[5 cm2 cell test code]],[1]!Table1[[Test code]:[Test code]],[1]!Table1[E @ 100 mA/cm2 10 mM KOH/V],"",0)</f>
        <v>#REF!</v>
      </c>
      <c r="AC1277" s="69" t="e" cm="1">
        <f t="array" ref="AC1277">_xlfn.XLOOKUP(Table1[[#This Row],[5 cm2 cell test code]:[5 cm2 cell test code]],[1]!Table1[[Test code]:[Test code]],[1]!Table1[Anode ICR/mOhm],"",0)</f>
        <v>#REF!</v>
      </c>
      <c r="AD1277" s="69" t="e" cm="1">
        <f t="array" ref="AD1277">_xlfn.XLOOKUP(Table1[[#This Row],[5 cm2 cell test code]:[5 cm2 cell test code]],[1]!Table1[[Test code]:[Test code]],[1]!Table1[HFR DIW/ mOhm cm2],"",0)</f>
        <v>#REF!</v>
      </c>
      <c r="AE1277" s="69" t="e" cm="1">
        <f t="array" ref="AE1277">_xlfn.XLOOKUP(Table1[[#This Row],[5 cm2 cell test code]:[5 cm2 cell test code]],[1]!Table1[[Test code]:[Test code]],[1]!Table1[HFR 10 mM KOH/ mOhm cm2],"",0)</f>
        <v>#REF!</v>
      </c>
      <c r="AF1277" s="69" t="e" cm="1">
        <f t="array" ref="AF1277">_xlfn.XLOOKUP(Table1[[#This Row],[5 cm2 cell test code]:[5 cm2 cell test code]],[1]!Table1[[Test code]:[Test code]],[1]!Table1[Ionic resistance DIW/Ohm cm2],"",0)</f>
        <v>#REF!</v>
      </c>
      <c r="AG1277" s="69" t="e" cm="1">
        <f t="array" ref="AG1277">_xlfn.XLOOKUP(Table1[[#This Row],[5 cm2 cell test code]:[5 cm2 cell test code]],[1]!Table1[[Test code]:[Test code]],[1]!Table1[Q_int_frac DIW],"",0)</f>
        <v>#REF!</v>
      </c>
      <c r="AH1277" s="69" t="e" cm="1">
        <f t="array" ref="AH1277">_xlfn.XLOOKUP(Table1[[#This Row],[5 cm2 cell test code]:[5 cm2 cell test code]],[1]!Table1[[Test code]:[Test code]],[1]!Table1[Ionic resistance 10 mM KOH/Ohm cm2],"",0)</f>
        <v>#REF!</v>
      </c>
      <c r="AI1277" s="69" t="e" cm="1">
        <f t="array" ref="AI1277">_xlfn.XLOOKUP(Table1[[#This Row],[5 cm2 cell test code]:[5 cm2 cell test code]],[1]!Table1[[Test code]:[Test code]],[1]!Table1[Q_int_frac DIW 10 mM KOH],"",0)</f>
        <v>#REF!</v>
      </c>
      <c r="AJ1277" s="69" t="e" cm="1">
        <f t="array" ref="AJ1277">_xlfn.XLOOKUP(Table1[[#This Row],[5 cm2 cell test code]:[5 cm2 cell test code]],[1]!Table1[[Test code]:[Test code]],[1]!Table1[DIW conductivity (µS/cm)],"",0)</f>
        <v>#REF!</v>
      </c>
    </row>
    <row r="1278" spans="1:36">
      <c r="A1278" s="81"/>
      <c r="U1278" s="101"/>
      <c r="V1278" s="101"/>
      <c r="W1278" s="69" t="e" cm="1">
        <f t="array" ref="W1278">_xlfn.XLOOKUP(Table1[[#This Row],[5 cm2 cell test code]:[5 cm2 cell test code]],[1]!Table1[[Test code]:[Test code]],[1]!Table1[i @ 1.8 V DIW (A/cm2)],"",0)</f>
        <v>#REF!</v>
      </c>
      <c r="X1278" s="69" t="e" cm="1">
        <f t="array" ref="X1278">_xlfn.XLOOKUP(Table1[[#This Row],[5 cm2 cell test code]:[5 cm2 cell test code]],[1]!Table1[[Test code]:[Test code]],[1]!Table1[i @ 1.8 V 10 mM KOH (A/cm2)],"",0)</f>
        <v>#REF!</v>
      </c>
      <c r="Y1278" s="69" t="e" cm="1">
        <f t="array" ref="Y1278">_xlfn.XLOOKUP(Table1[[#This Row],[5 cm2 cell test code]:[5 cm2 cell test code]],[1]!Table1[[Test code]:[Test code]],[1]!Table1[3-E ƞ at 20mAcm-2 (mV)],"",0)</f>
        <v>#REF!</v>
      </c>
      <c r="Z1278" s="69" t="e" cm="1">
        <f t="array" ref="Z1278">_xlfn.XLOOKUP(Table1[[#This Row],[5 cm2 cell test code]:[5 cm2 cell test code]],[1]!Table1[[Test code]:[Test code]],[1]!Table1[3-E Tafel slope (mV/dec)],"",0)</f>
        <v>#REF!</v>
      </c>
      <c r="AA1278" s="69" t="e" cm="1">
        <f t="array" ref="AA1278">_xlfn.XLOOKUP(Table1[[#This Row],[5 cm2 cell test code]:[5 cm2 cell test code]],[1]!Table1[[Test code]:[Test code]],[1]!Table1[E @ 100 mA/cm2 DIW/V],"",0)</f>
        <v>#REF!</v>
      </c>
      <c r="AB1278" s="69" t="e" cm="1">
        <f t="array" ref="AB1278">_xlfn.XLOOKUP(Table1[[#This Row],[5 cm2 cell test code]:[5 cm2 cell test code]],[1]!Table1[[Test code]:[Test code]],[1]!Table1[E @ 100 mA/cm2 10 mM KOH/V],"",0)</f>
        <v>#REF!</v>
      </c>
      <c r="AC1278" s="69" t="e" cm="1">
        <f t="array" ref="AC1278">_xlfn.XLOOKUP(Table1[[#This Row],[5 cm2 cell test code]:[5 cm2 cell test code]],[1]!Table1[[Test code]:[Test code]],[1]!Table1[Anode ICR/mOhm],"",0)</f>
        <v>#REF!</v>
      </c>
      <c r="AD1278" s="69" t="e" cm="1">
        <f t="array" ref="AD1278">_xlfn.XLOOKUP(Table1[[#This Row],[5 cm2 cell test code]:[5 cm2 cell test code]],[1]!Table1[[Test code]:[Test code]],[1]!Table1[HFR DIW/ mOhm cm2],"",0)</f>
        <v>#REF!</v>
      </c>
      <c r="AE1278" s="69" t="e" cm="1">
        <f t="array" ref="AE1278">_xlfn.XLOOKUP(Table1[[#This Row],[5 cm2 cell test code]:[5 cm2 cell test code]],[1]!Table1[[Test code]:[Test code]],[1]!Table1[HFR 10 mM KOH/ mOhm cm2],"",0)</f>
        <v>#REF!</v>
      </c>
      <c r="AF1278" s="69" t="e" cm="1">
        <f t="array" ref="AF1278">_xlfn.XLOOKUP(Table1[[#This Row],[5 cm2 cell test code]:[5 cm2 cell test code]],[1]!Table1[[Test code]:[Test code]],[1]!Table1[Ionic resistance DIW/Ohm cm2],"",0)</f>
        <v>#REF!</v>
      </c>
      <c r="AG1278" s="69" t="e" cm="1">
        <f t="array" ref="AG1278">_xlfn.XLOOKUP(Table1[[#This Row],[5 cm2 cell test code]:[5 cm2 cell test code]],[1]!Table1[[Test code]:[Test code]],[1]!Table1[Q_int_frac DIW],"",0)</f>
        <v>#REF!</v>
      </c>
      <c r="AH1278" s="69" t="e" cm="1">
        <f t="array" ref="AH1278">_xlfn.XLOOKUP(Table1[[#This Row],[5 cm2 cell test code]:[5 cm2 cell test code]],[1]!Table1[[Test code]:[Test code]],[1]!Table1[Ionic resistance 10 mM KOH/Ohm cm2],"",0)</f>
        <v>#REF!</v>
      </c>
      <c r="AI1278" s="69" t="e" cm="1">
        <f t="array" ref="AI1278">_xlfn.XLOOKUP(Table1[[#This Row],[5 cm2 cell test code]:[5 cm2 cell test code]],[1]!Table1[[Test code]:[Test code]],[1]!Table1[Q_int_frac DIW 10 mM KOH],"",0)</f>
        <v>#REF!</v>
      </c>
      <c r="AJ1278" s="69" t="e" cm="1">
        <f t="array" ref="AJ1278">_xlfn.XLOOKUP(Table1[[#This Row],[5 cm2 cell test code]:[5 cm2 cell test code]],[1]!Table1[[Test code]:[Test code]],[1]!Table1[DIW conductivity (µS/cm)],"",0)</f>
        <v>#REF!</v>
      </c>
    </row>
    <row r="1279" spans="1:36">
      <c r="A1279" s="81"/>
      <c r="U1279" s="101"/>
      <c r="V1279" s="101"/>
      <c r="W1279" s="69" t="e" cm="1">
        <f t="array" ref="W1279">_xlfn.XLOOKUP(Table1[[#This Row],[5 cm2 cell test code]:[5 cm2 cell test code]],[1]!Table1[[Test code]:[Test code]],[1]!Table1[i @ 1.8 V DIW (A/cm2)],"",0)</f>
        <v>#REF!</v>
      </c>
      <c r="X1279" s="69" t="e" cm="1">
        <f t="array" ref="X1279">_xlfn.XLOOKUP(Table1[[#This Row],[5 cm2 cell test code]:[5 cm2 cell test code]],[1]!Table1[[Test code]:[Test code]],[1]!Table1[i @ 1.8 V 10 mM KOH (A/cm2)],"",0)</f>
        <v>#REF!</v>
      </c>
      <c r="Y1279" s="69" t="e" cm="1">
        <f t="array" ref="Y1279">_xlfn.XLOOKUP(Table1[[#This Row],[5 cm2 cell test code]:[5 cm2 cell test code]],[1]!Table1[[Test code]:[Test code]],[1]!Table1[3-E ƞ at 20mAcm-2 (mV)],"",0)</f>
        <v>#REF!</v>
      </c>
      <c r="Z1279" s="69" t="e" cm="1">
        <f t="array" ref="Z1279">_xlfn.XLOOKUP(Table1[[#This Row],[5 cm2 cell test code]:[5 cm2 cell test code]],[1]!Table1[[Test code]:[Test code]],[1]!Table1[3-E Tafel slope (mV/dec)],"",0)</f>
        <v>#REF!</v>
      </c>
      <c r="AA1279" s="69" t="e" cm="1">
        <f t="array" ref="AA1279">_xlfn.XLOOKUP(Table1[[#This Row],[5 cm2 cell test code]:[5 cm2 cell test code]],[1]!Table1[[Test code]:[Test code]],[1]!Table1[E @ 100 mA/cm2 DIW/V],"",0)</f>
        <v>#REF!</v>
      </c>
      <c r="AB1279" s="69" t="e" cm="1">
        <f t="array" ref="AB1279">_xlfn.XLOOKUP(Table1[[#This Row],[5 cm2 cell test code]:[5 cm2 cell test code]],[1]!Table1[[Test code]:[Test code]],[1]!Table1[E @ 100 mA/cm2 10 mM KOH/V],"",0)</f>
        <v>#REF!</v>
      </c>
      <c r="AC1279" s="69" t="e" cm="1">
        <f t="array" ref="AC1279">_xlfn.XLOOKUP(Table1[[#This Row],[5 cm2 cell test code]:[5 cm2 cell test code]],[1]!Table1[[Test code]:[Test code]],[1]!Table1[Anode ICR/mOhm],"",0)</f>
        <v>#REF!</v>
      </c>
      <c r="AD1279" s="69" t="e" cm="1">
        <f t="array" ref="AD1279">_xlfn.XLOOKUP(Table1[[#This Row],[5 cm2 cell test code]:[5 cm2 cell test code]],[1]!Table1[[Test code]:[Test code]],[1]!Table1[HFR DIW/ mOhm cm2],"",0)</f>
        <v>#REF!</v>
      </c>
      <c r="AE1279" s="69" t="e" cm="1">
        <f t="array" ref="AE1279">_xlfn.XLOOKUP(Table1[[#This Row],[5 cm2 cell test code]:[5 cm2 cell test code]],[1]!Table1[[Test code]:[Test code]],[1]!Table1[HFR 10 mM KOH/ mOhm cm2],"",0)</f>
        <v>#REF!</v>
      </c>
      <c r="AF1279" s="69" t="e" cm="1">
        <f t="array" ref="AF1279">_xlfn.XLOOKUP(Table1[[#This Row],[5 cm2 cell test code]:[5 cm2 cell test code]],[1]!Table1[[Test code]:[Test code]],[1]!Table1[Ionic resistance DIW/Ohm cm2],"",0)</f>
        <v>#REF!</v>
      </c>
      <c r="AG1279" s="69" t="e" cm="1">
        <f t="array" ref="AG1279">_xlfn.XLOOKUP(Table1[[#This Row],[5 cm2 cell test code]:[5 cm2 cell test code]],[1]!Table1[[Test code]:[Test code]],[1]!Table1[Q_int_frac DIW],"",0)</f>
        <v>#REF!</v>
      </c>
      <c r="AH1279" s="69" t="e" cm="1">
        <f t="array" ref="AH1279">_xlfn.XLOOKUP(Table1[[#This Row],[5 cm2 cell test code]:[5 cm2 cell test code]],[1]!Table1[[Test code]:[Test code]],[1]!Table1[Ionic resistance 10 mM KOH/Ohm cm2],"",0)</f>
        <v>#REF!</v>
      </c>
      <c r="AI1279" s="69" t="e" cm="1">
        <f t="array" ref="AI1279">_xlfn.XLOOKUP(Table1[[#This Row],[5 cm2 cell test code]:[5 cm2 cell test code]],[1]!Table1[[Test code]:[Test code]],[1]!Table1[Q_int_frac DIW 10 mM KOH],"",0)</f>
        <v>#REF!</v>
      </c>
      <c r="AJ1279" s="69" t="e" cm="1">
        <f t="array" ref="AJ1279">_xlfn.XLOOKUP(Table1[[#This Row],[5 cm2 cell test code]:[5 cm2 cell test code]],[1]!Table1[[Test code]:[Test code]],[1]!Table1[DIW conductivity (µS/cm)],"",0)</f>
        <v>#REF!</v>
      </c>
    </row>
    <row r="1280" spans="1:36">
      <c r="A1280" s="81"/>
      <c r="U1280" s="101"/>
      <c r="V1280" s="101"/>
      <c r="W1280" s="69" t="e" cm="1">
        <f t="array" ref="W1280">_xlfn.XLOOKUP(Table1[[#This Row],[5 cm2 cell test code]:[5 cm2 cell test code]],[1]!Table1[[Test code]:[Test code]],[1]!Table1[i @ 1.8 V DIW (A/cm2)],"",0)</f>
        <v>#REF!</v>
      </c>
      <c r="X1280" s="69" t="e" cm="1">
        <f t="array" ref="X1280">_xlfn.XLOOKUP(Table1[[#This Row],[5 cm2 cell test code]:[5 cm2 cell test code]],[1]!Table1[[Test code]:[Test code]],[1]!Table1[i @ 1.8 V 10 mM KOH (A/cm2)],"",0)</f>
        <v>#REF!</v>
      </c>
      <c r="Y1280" s="69" t="e" cm="1">
        <f t="array" ref="Y1280">_xlfn.XLOOKUP(Table1[[#This Row],[5 cm2 cell test code]:[5 cm2 cell test code]],[1]!Table1[[Test code]:[Test code]],[1]!Table1[3-E ƞ at 20mAcm-2 (mV)],"",0)</f>
        <v>#REF!</v>
      </c>
      <c r="Z1280" s="69" t="e" cm="1">
        <f t="array" ref="Z1280">_xlfn.XLOOKUP(Table1[[#This Row],[5 cm2 cell test code]:[5 cm2 cell test code]],[1]!Table1[[Test code]:[Test code]],[1]!Table1[3-E Tafel slope (mV/dec)],"",0)</f>
        <v>#REF!</v>
      </c>
      <c r="AA1280" s="69" t="e" cm="1">
        <f t="array" ref="AA1280">_xlfn.XLOOKUP(Table1[[#This Row],[5 cm2 cell test code]:[5 cm2 cell test code]],[1]!Table1[[Test code]:[Test code]],[1]!Table1[E @ 100 mA/cm2 DIW/V],"",0)</f>
        <v>#REF!</v>
      </c>
      <c r="AB1280" s="69" t="e" cm="1">
        <f t="array" ref="AB1280">_xlfn.XLOOKUP(Table1[[#This Row],[5 cm2 cell test code]:[5 cm2 cell test code]],[1]!Table1[[Test code]:[Test code]],[1]!Table1[E @ 100 mA/cm2 10 mM KOH/V],"",0)</f>
        <v>#REF!</v>
      </c>
      <c r="AC1280" s="69" t="e" cm="1">
        <f t="array" ref="AC1280">_xlfn.XLOOKUP(Table1[[#This Row],[5 cm2 cell test code]:[5 cm2 cell test code]],[1]!Table1[[Test code]:[Test code]],[1]!Table1[Anode ICR/mOhm],"",0)</f>
        <v>#REF!</v>
      </c>
      <c r="AD1280" s="69" t="e" cm="1">
        <f t="array" ref="AD1280">_xlfn.XLOOKUP(Table1[[#This Row],[5 cm2 cell test code]:[5 cm2 cell test code]],[1]!Table1[[Test code]:[Test code]],[1]!Table1[HFR DIW/ mOhm cm2],"",0)</f>
        <v>#REF!</v>
      </c>
      <c r="AE1280" s="69" t="e" cm="1">
        <f t="array" ref="AE1280">_xlfn.XLOOKUP(Table1[[#This Row],[5 cm2 cell test code]:[5 cm2 cell test code]],[1]!Table1[[Test code]:[Test code]],[1]!Table1[HFR 10 mM KOH/ mOhm cm2],"",0)</f>
        <v>#REF!</v>
      </c>
      <c r="AF1280" s="69" t="e" cm="1">
        <f t="array" ref="AF1280">_xlfn.XLOOKUP(Table1[[#This Row],[5 cm2 cell test code]:[5 cm2 cell test code]],[1]!Table1[[Test code]:[Test code]],[1]!Table1[Ionic resistance DIW/Ohm cm2],"",0)</f>
        <v>#REF!</v>
      </c>
      <c r="AG1280" s="69" t="e" cm="1">
        <f t="array" ref="AG1280">_xlfn.XLOOKUP(Table1[[#This Row],[5 cm2 cell test code]:[5 cm2 cell test code]],[1]!Table1[[Test code]:[Test code]],[1]!Table1[Q_int_frac DIW],"",0)</f>
        <v>#REF!</v>
      </c>
      <c r="AH1280" s="69" t="e" cm="1">
        <f t="array" ref="AH1280">_xlfn.XLOOKUP(Table1[[#This Row],[5 cm2 cell test code]:[5 cm2 cell test code]],[1]!Table1[[Test code]:[Test code]],[1]!Table1[Ionic resistance 10 mM KOH/Ohm cm2],"",0)</f>
        <v>#REF!</v>
      </c>
      <c r="AI1280" s="69" t="e" cm="1">
        <f t="array" ref="AI1280">_xlfn.XLOOKUP(Table1[[#This Row],[5 cm2 cell test code]:[5 cm2 cell test code]],[1]!Table1[[Test code]:[Test code]],[1]!Table1[Q_int_frac DIW 10 mM KOH],"",0)</f>
        <v>#REF!</v>
      </c>
      <c r="AJ1280" s="69" t="e" cm="1">
        <f t="array" ref="AJ1280">_xlfn.XLOOKUP(Table1[[#This Row],[5 cm2 cell test code]:[5 cm2 cell test code]],[1]!Table1[[Test code]:[Test code]],[1]!Table1[DIW conductivity (µS/cm)],"",0)</f>
        <v>#REF!</v>
      </c>
    </row>
    <row r="1281" spans="1:36">
      <c r="A1281" s="81"/>
      <c r="U1281" s="101"/>
      <c r="V1281" s="101"/>
      <c r="W1281" s="69" t="e" cm="1">
        <f t="array" ref="W1281">_xlfn.XLOOKUP(Table1[[#This Row],[5 cm2 cell test code]:[5 cm2 cell test code]],[1]!Table1[[Test code]:[Test code]],[1]!Table1[i @ 1.8 V DIW (A/cm2)],"",0)</f>
        <v>#REF!</v>
      </c>
      <c r="X1281" s="69" t="e" cm="1">
        <f t="array" ref="X1281">_xlfn.XLOOKUP(Table1[[#This Row],[5 cm2 cell test code]:[5 cm2 cell test code]],[1]!Table1[[Test code]:[Test code]],[1]!Table1[i @ 1.8 V 10 mM KOH (A/cm2)],"",0)</f>
        <v>#REF!</v>
      </c>
      <c r="Y1281" s="69" t="e" cm="1">
        <f t="array" ref="Y1281">_xlfn.XLOOKUP(Table1[[#This Row],[5 cm2 cell test code]:[5 cm2 cell test code]],[1]!Table1[[Test code]:[Test code]],[1]!Table1[3-E ƞ at 20mAcm-2 (mV)],"",0)</f>
        <v>#REF!</v>
      </c>
      <c r="Z1281" s="69" t="e" cm="1">
        <f t="array" ref="Z1281">_xlfn.XLOOKUP(Table1[[#This Row],[5 cm2 cell test code]:[5 cm2 cell test code]],[1]!Table1[[Test code]:[Test code]],[1]!Table1[3-E Tafel slope (mV/dec)],"",0)</f>
        <v>#REF!</v>
      </c>
      <c r="AA1281" s="69" t="e" cm="1">
        <f t="array" ref="AA1281">_xlfn.XLOOKUP(Table1[[#This Row],[5 cm2 cell test code]:[5 cm2 cell test code]],[1]!Table1[[Test code]:[Test code]],[1]!Table1[E @ 100 mA/cm2 DIW/V],"",0)</f>
        <v>#REF!</v>
      </c>
      <c r="AB1281" s="69" t="e" cm="1">
        <f t="array" ref="AB1281">_xlfn.XLOOKUP(Table1[[#This Row],[5 cm2 cell test code]:[5 cm2 cell test code]],[1]!Table1[[Test code]:[Test code]],[1]!Table1[E @ 100 mA/cm2 10 mM KOH/V],"",0)</f>
        <v>#REF!</v>
      </c>
      <c r="AC1281" s="69" t="e" cm="1">
        <f t="array" ref="AC1281">_xlfn.XLOOKUP(Table1[[#This Row],[5 cm2 cell test code]:[5 cm2 cell test code]],[1]!Table1[[Test code]:[Test code]],[1]!Table1[Anode ICR/mOhm],"",0)</f>
        <v>#REF!</v>
      </c>
      <c r="AD1281" s="69" t="e" cm="1">
        <f t="array" ref="AD1281">_xlfn.XLOOKUP(Table1[[#This Row],[5 cm2 cell test code]:[5 cm2 cell test code]],[1]!Table1[[Test code]:[Test code]],[1]!Table1[HFR DIW/ mOhm cm2],"",0)</f>
        <v>#REF!</v>
      </c>
      <c r="AE1281" s="69" t="e" cm="1">
        <f t="array" ref="AE1281">_xlfn.XLOOKUP(Table1[[#This Row],[5 cm2 cell test code]:[5 cm2 cell test code]],[1]!Table1[[Test code]:[Test code]],[1]!Table1[HFR 10 mM KOH/ mOhm cm2],"",0)</f>
        <v>#REF!</v>
      </c>
      <c r="AF1281" s="69" t="e" cm="1">
        <f t="array" ref="AF1281">_xlfn.XLOOKUP(Table1[[#This Row],[5 cm2 cell test code]:[5 cm2 cell test code]],[1]!Table1[[Test code]:[Test code]],[1]!Table1[Ionic resistance DIW/Ohm cm2],"",0)</f>
        <v>#REF!</v>
      </c>
      <c r="AG1281" s="69" t="e" cm="1">
        <f t="array" ref="AG1281">_xlfn.XLOOKUP(Table1[[#This Row],[5 cm2 cell test code]:[5 cm2 cell test code]],[1]!Table1[[Test code]:[Test code]],[1]!Table1[Q_int_frac DIW],"",0)</f>
        <v>#REF!</v>
      </c>
      <c r="AH1281" s="69" t="e" cm="1">
        <f t="array" ref="AH1281">_xlfn.XLOOKUP(Table1[[#This Row],[5 cm2 cell test code]:[5 cm2 cell test code]],[1]!Table1[[Test code]:[Test code]],[1]!Table1[Ionic resistance 10 mM KOH/Ohm cm2],"",0)</f>
        <v>#REF!</v>
      </c>
      <c r="AI1281" s="69" t="e" cm="1">
        <f t="array" ref="AI1281">_xlfn.XLOOKUP(Table1[[#This Row],[5 cm2 cell test code]:[5 cm2 cell test code]],[1]!Table1[[Test code]:[Test code]],[1]!Table1[Q_int_frac DIW 10 mM KOH],"",0)</f>
        <v>#REF!</v>
      </c>
      <c r="AJ1281" s="69" t="e" cm="1">
        <f t="array" ref="AJ1281">_xlfn.XLOOKUP(Table1[[#This Row],[5 cm2 cell test code]:[5 cm2 cell test code]],[1]!Table1[[Test code]:[Test code]],[1]!Table1[DIW conductivity (µS/cm)],"",0)</f>
        <v>#REF!</v>
      </c>
    </row>
    <row r="1282" spans="1:36">
      <c r="A1282" s="81"/>
      <c r="U1282" s="101"/>
      <c r="V1282" s="101"/>
      <c r="W1282" s="69" t="e" cm="1">
        <f t="array" ref="W1282">_xlfn.XLOOKUP(Table1[[#This Row],[5 cm2 cell test code]:[5 cm2 cell test code]],[1]!Table1[[Test code]:[Test code]],[1]!Table1[i @ 1.8 V DIW (A/cm2)],"",0)</f>
        <v>#REF!</v>
      </c>
      <c r="X1282" s="69" t="e" cm="1">
        <f t="array" ref="X1282">_xlfn.XLOOKUP(Table1[[#This Row],[5 cm2 cell test code]:[5 cm2 cell test code]],[1]!Table1[[Test code]:[Test code]],[1]!Table1[i @ 1.8 V 10 mM KOH (A/cm2)],"",0)</f>
        <v>#REF!</v>
      </c>
      <c r="Y1282" s="69" t="e" cm="1">
        <f t="array" ref="Y1282">_xlfn.XLOOKUP(Table1[[#This Row],[5 cm2 cell test code]:[5 cm2 cell test code]],[1]!Table1[[Test code]:[Test code]],[1]!Table1[3-E ƞ at 20mAcm-2 (mV)],"",0)</f>
        <v>#REF!</v>
      </c>
      <c r="Z1282" s="69" t="e" cm="1">
        <f t="array" ref="Z1282">_xlfn.XLOOKUP(Table1[[#This Row],[5 cm2 cell test code]:[5 cm2 cell test code]],[1]!Table1[[Test code]:[Test code]],[1]!Table1[3-E Tafel slope (mV/dec)],"",0)</f>
        <v>#REF!</v>
      </c>
      <c r="AA1282" s="69" t="e" cm="1">
        <f t="array" ref="AA1282">_xlfn.XLOOKUP(Table1[[#This Row],[5 cm2 cell test code]:[5 cm2 cell test code]],[1]!Table1[[Test code]:[Test code]],[1]!Table1[E @ 100 mA/cm2 DIW/V],"",0)</f>
        <v>#REF!</v>
      </c>
      <c r="AB1282" s="69" t="e" cm="1">
        <f t="array" ref="AB1282">_xlfn.XLOOKUP(Table1[[#This Row],[5 cm2 cell test code]:[5 cm2 cell test code]],[1]!Table1[[Test code]:[Test code]],[1]!Table1[E @ 100 mA/cm2 10 mM KOH/V],"",0)</f>
        <v>#REF!</v>
      </c>
      <c r="AC1282" s="69" t="e" cm="1">
        <f t="array" ref="AC1282">_xlfn.XLOOKUP(Table1[[#This Row],[5 cm2 cell test code]:[5 cm2 cell test code]],[1]!Table1[[Test code]:[Test code]],[1]!Table1[Anode ICR/mOhm],"",0)</f>
        <v>#REF!</v>
      </c>
      <c r="AD1282" s="69" t="e" cm="1">
        <f t="array" ref="AD1282">_xlfn.XLOOKUP(Table1[[#This Row],[5 cm2 cell test code]:[5 cm2 cell test code]],[1]!Table1[[Test code]:[Test code]],[1]!Table1[HFR DIW/ mOhm cm2],"",0)</f>
        <v>#REF!</v>
      </c>
      <c r="AE1282" s="69" t="e" cm="1">
        <f t="array" ref="AE1282">_xlfn.XLOOKUP(Table1[[#This Row],[5 cm2 cell test code]:[5 cm2 cell test code]],[1]!Table1[[Test code]:[Test code]],[1]!Table1[HFR 10 mM KOH/ mOhm cm2],"",0)</f>
        <v>#REF!</v>
      </c>
      <c r="AF1282" s="69" t="e" cm="1">
        <f t="array" ref="AF1282">_xlfn.XLOOKUP(Table1[[#This Row],[5 cm2 cell test code]:[5 cm2 cell test code]],[1]!Table1[[Test code]:[Test code]],[1]!Table1[Ionic resistance DIW/Ohm cm2],"",0)</f>
        <v>#REF!</v>
      </c>
      <c r="AG1282" s="69" t="e" cm="1">
        <f t="array" ref="AG1282">_xlfn.XLOOKUP(Table1[[#This Row],[5 cm2 cell test code]:[5 cm2 cell test code]],[1]!Table1[[Test code]:[Test code]],[1]!Table1[Q_int_frac DIW],"",0)</f>
        <v>#REF!</v>
      </c>
      <c r="AH1282" s="69" t="e" cm="1">
        <f t="array" ref="AH1282">_xlfn.XLOOKUP(Table1[[#This Row],[5 cm2 cell test code]:[5 cm2 cell test code]],[1]!Table1[[Test code]:[Test code]],[1]!Table1[Ionic resistance 10 mM KOH/Ohm cm2],"",0)</f>
        <v>#REF!</v>
      </c>
      <c r="AI1282" s="69" t="e" cm="1">
        <f t="array" ref="AI1282">_xlfn.XLOOKUP(Table1[[#This Row],[5 cm2 cell test code]:[5 cm2 cell test code]],[1]!Table1[[Test code]:[Test code]],[1]!Table1[Q_int_frac DIW 10 mM KOH],"",0)</f>
        <v>#REF!</v>
      </c>
      <c r="AJ1282" s="69" t="e" cm="1">
        <f t="array" ref="AJ1282">_xlfn.XLOOKUP(Table1[[#This Row],[5 cm2 cell test code]:[5 cm2 cell test code]],[1]!Table1[[Test code]:[Test code]],[1]!Table1[DIW conductivity (µS/cm)],"",0)</f>
        <v>#REF!</v>
      </c>
    </row>
    <row r="1283" spans="1:36">
      <c r="A1283" s="81"/>
      <c r="U1283" s="101"/>
      <c r="V1283" s="101"/>
      <c r="W1283" s="69" t="e" cm="1">
        <f t="array" ref="W1283">_xlfn.XLOOKUP(Table1[[#This Row],[5 cm2 cell test code]:[5 cm2 cell test code]],[1]!Table1[[Test code]:[Test code]],[1]!Table1[i @ 1.8 V DIW (A/cm2)],"",0)</f>
        <v>#REF!</v>
      </c>
      <c r="X1283" s="69" t="e" cm="1">
        <f t="array" ref="X1283">_xlfn.XLOOKUP(Table1[[#This Row],[5 cm2 cell test code]:[5 cm2 cell test code]],[1]!Table1[[Test code]:[Test code]],[1]!Table1[i @ 1.8 V 10 mM KOH (A/cm2)],"",0)</f>
        <v>#REF!</v>
      </c>
      <c r="Y1283" s="69" t="e" cm="1">
        <f t="array" ref="Y1283">_xlfn.XLOOKUP(Table1[[#This Row],[5 cm2 cell test code]:[5 cm2 cell test code]],[1]!Table1[[Test code]:[Test code]],[1]!Table1[3-E ƞ at 20mAcm-2 (mV)],"",0)</f>
        <v>#REF!</v>
      </c>
      <c r="Z1283" s="69" t="e" cm="1">
        <f t="array" ref="Z1283">_xlfn.XLOOKUP(Table1[[#This Row],[5 cm2 cell test code]:[5 cm2 cell test code]],[1]!Table1[[Test code]:[Test code]],[1]!Table1[3-E Tafel slope (mV/dec)],"",0)</f>
        <v>#REF!</v>
      </c>
      <c r="AA1283" s="69" t="e" cm="1">
        <f t="array" ref="AA1283">_xlfn.XLOOKUP(Table1[[#This Row],[5 cm2 cell test code]:[5 cm2 cell test code]],[1]!Table1[[Test code]:[Test code]],[1]!Table1[E @ 100 mA/cm2 DIW/V],"",0)</f>
        <v>#REF!</v>
      </c>
      <c r="AB1283" s="69" t="e" cm="1">
        <f t="array" ref="AB1283">_xlfn.XLOOKUP(Table1[[#This Row],[5 cm2 cell test code]:[5 cm2 cell test code]],[1]!Table1[[Test code]:[Test code]],[1]!Table1[E @ 100 mA/cm2 10 mM KOH/V],"",0)</f>
        <v>#REF!</v>
      </c>
      <c r="AC1283" s="69" t="e" cm="1">
        <f t="array" ref="AC1283">_xlfn.XLOOKUP(Table1[[#This Row],[5 cm2 cell test code]:[5 cm2 cell test code]],[1]!Table1[[Test code]:[Test code]],[1]!Table1[Anode ICR/mOhm],"",0)</f>
        <v>#REF!</v>
      </c>
      <c r="AD1283" s="69" t="e" cm="1">
        <f t="array" ref="AD1283">_xlfn.XLOOKUP(Table1[[#This Row],[5 cm2 cell test code]:[5 cm2 cell test code]],[1]!Table1[[Test code]:[Test code]],[1]!Table1[HFR DIW/ mOhm cm2],"",0)</f>
        <v>#REF!</v>
      </c>
      <c r="AE1283" s="69" t="e" cm="1">
        <f t="array" ref="AE1283">_xlfn.XLOOKUP(Table1[[#This Row],[5 cm2 cell test code]:[5 cm2 cell test code]],[1]!Table1[[Test code]:[Test code]],[1]!Table1[HFR 10 mM KOH/ mOhm cm2],"",0)</f>
        <v>#REF!</v>
      </c>
      <c r="AF1283" s="69" t="e" cm="1">
        <f t="array" ref="AF1283">_xlfn.XLOOKUP(Table1[[#This Row],[5 cm2 cell test code]:[5 cm2 cell test code]],[1]!Table1[[Test code]:[Test code]],[1]!Table1[Ionic resistance DIW/Ohm cm2],"",0)</f>
        <v>#REF!</v>
      </c>
      <c r="AG1283" s="69" t="e" cm="1">
        <f t="array" ref="AG1283">_xlfn.XLOOKUP(Table1[[#This Row],[5 cm2 cell test code]:[5 cm2 cell test code]],[1]!Table1[[Test code]:[Test code]],[1]!Table1[Q_int_frac DIW],"",0)</f>
        <v>#REF!</v>
      </c>
      <c r="AH1283" s="69" t="e" cm="1">
        <f t="array" ref="AH1283">_xlfn.XLOOKUP(Table1[[#This Row],[5 cm2 cell test code]:[5 cm2 cell test code]],[1]!Table1[[Test code]:[Test code]],[1]!Table1[Ionic resistance 10 mM KOH/Ohm cm2],"",0)</f>
        <v>#REF!</v>
      </c>
      <c r="AI1283" s="69" t="e" cm="1">
        <f t="array" ref="AI1283">_xlfn.XLOOKUP(Table1[[#This Row],[5 cm2 cell test code]:[5 cm2 cell test code]],[1]!Table1[[Test code]:[Test code]],[1]!Table1[Q_int_frac DIW 10 mM KOH],"",0)</f>
        <v>#REF!</v>
      </c>
      <c r="AJ1283" s="69" t="e" cm="1">
        <f t="array" ref="AJ1283">_xlfn.XLOOKUP(Table1[[#This Row],[5 cm2 cell test code]:[5 cm2 cell test code]],[1]!Table1[[Test code]:[Test code]],[1]!Table1[DIW conductivity (µS/cm)],"",0)</f>
        <v>#REF!</v>
      </c>
    </row>
    <row r="1284" spans="1:36">
      <c r="A1284" s="81"/>
      <c r="U1284" s="101"/>
      <c r="V1284" s="101"/>
      <c r="W1284" s="69" t="e" cm="1">
        <f t="array" ref="W1284">_xlfn.XLOOKUP(Table1[[#This Row],[5 cm2 cell test code]:[5 cm2 cell test code]],[1]!Table1[[Test code]:[Test code]],[1]!Table1[i @ 1.8 V DIW (A/cm2)],"",0)</f>
        <v>#REF!</v>
      </c>
      <c r="X1284" s="69" t="e" cm="1">
        <f t="array" ref="X1284">_xlfn.XLOOKUP(Table1[[#This Row],[5 cm2 cell test code]:[5 cm2 cell test code]],[1]!Table1[[Test code]:[Test code]],[1]!Table1[i @ 1.8 V 10 mM KOH (A/cm2)],"",0)</f>
        <v>#REF!</v>
      </c>
      <c r="Y1284" s="69" t="e" cm="1">
        <f t="array" ref="Y1284">_xlfn.XLOOKUP(Table1[[#This Row],[5 cm2 cell test code]:[5 cm2 cell test code]],[1]!Table1[[Test code]:[Test code]],[1]!Table1[3-E ƞ at 20mAcm-2 (mV)],"",0)</f>
        <v>#REF!</v>
      </c>
      <c r="Z1284" s="69" t="e" cm="1">
        <f t="array" ref="Z1284">_xlfn.XLOOKUP(Table1[[#This Row],[5 cm2 cell test code]:[5 cm2 cell test code]],[1]!Table1[[Test code]:[Test code]],[1]!Table1[3-E Tafel slope (mV/dec)],"",0)</f>
        <v>#REF!</v>
      </c>
      <c r="AA1284" s="69" t="e" cm="1">
        <f t="array" ref="AA1284">_xlfn.XLOOKUP(Table1[[#This Row],[5 cm2 cell test code]:[5 cm2 cell test code]],[1]!Table1[[Test code]:[Test code]],[1]!Table1[E @ 100 mA/cm2 DIW/V],"",0)</f>
        <v>#REF!</v>
      </c>
      <c r="AB1284" s="69" t="e" cm="1">
        <f t="array" ref="AB1284">_xlfn.XLOOKUP(Table1[[#This Row],[5 cm2 cell test code]:[5 cm2 cell test code]],[1]!Table1[[Test code]:[Test code]],[1]!Table1[E @ 100 mA/cm2 10 mM KOH/V],"",0)</f>
        <v>#REF!</v>
      </c>
      <c r="AC1284" s="69" t="e" cm="1">
        <f t="array" ref="AC1284">_xlfn.XLOOKUP(Table1[[#This Row],[5 cm2 cell test code]:[5 cm2 cell test code]],[1]!Table1[[Test code]:[Test code]],[1]!Table1[Anode ICR/mOhm],"",0)</f>
        <v>#REF!</v>
      </c>
      <c r="AD1284" s="69" t="e" cm="1">
        <f t="array" ref="AD1284">_xlfn.XLOOKUP(Table1[[#This Row],[5 cm2 cell test code]:[5 cm2 cell test code]],[1]!Table1[[Test code]:[Test code]],[1]!Table1[HFR DIW/ mOhm cm2],"",0)</f>
        <v>#REF!</v>
      </c>
      <c r="AE1284" s="69" t="e" cm="1">
        <f t="array" ref="AE1284">_xlfn.XLOOKUP(Table1[[#This Row],[5 cm2 cell test code]:[5 cm2 cell test code]],[1]!Table1[[Test code]:[Test code]],[1]!Table1[HFR 10 mM KOH/ mOhm cm2],"",0)</f>
        <v>#REF!</v>
      </c>
      <c r="AF1284" s="69" t="e" cm="1">
        <f t="array" ref="AF1284">_xlfn.XLOOKUP(Table1[[#This Row],[5 cm2 cell test code]:[5 cm2 cell test code]],[1]!Table1[[Test code]:[Test code]],[1]!Table1[Ionic resistance DIW/Ohm cm2],"",0)</f>
        <v>#REF!</v>
      </c>
      <c r="AG1284" s="69" t="e" cm="1">
        <f t="array" ref="AG1284">_xlfn.XLOOKUP(Table1[[#This Row],[5 cm2 cell test code]:[5 cm2 cell test code]],[1]!Table1[[Test code]:[Test code]],[1]!Table1[Q_int_frac DIW],"",0)</f>
        <v>#REF!</v>
      </c>
      <c r="AH1284" s="69" t="e" cm="1">
        <f t="array" ref="AH1284">_xlfn.XLOOKUP(Table1[[#This Row],[5 cm2 cell test code]:[5 cm2 cell test code]],[1]!Table1[[Test code]:[Test code]],[1]!Table1[Ionic resistance 10 mM KOH/Ohm cm2],"",0)</f>
        <v>#REF!</v>
      </c>
      <c r="AI1284" s="69" t="e" cm="1">
        <f t="array" ref="AI1284">_xlfn.XLOOKUP(Table1[[#This Row],[5 cm2 cell test code]:[5 cm2 cell test code]],[1]!Table1[[Test code]:[Test code]],[1]!Table1[Q_int_frac DIW 10 mM KOH],"",0)</f>
        <v>#REF!</v>
      </c>
      <c r="AJ1284" s="69" t="e" cm="1">
        <f t="array" ref="AJ1284">_xlfn.XLOOKUP(Table1[[#This Row],[5 cm2 cell test code]:[5 cm2 cell test code]],[1]!Table1[[Test code]:[Test code]],[1]!Table1[DIW conductivity (µS/cm)],"",0)</f>
        <v>#REF!</v>
      </c>
    </row>
    <row r="1285" spans="1:36">
      <c r="A1285" s="81"/>
      <c r="U1285" s="101"/>
      <c r="V1285" s="101"/>
      <c r="W1285" s="69" t="e" cm="1">
        <f t="array" ref="W1285">_xlfn.XLOOKUP(Table1[[#This Row],[5 cm2 cell test code]:[5 cm2 cell test code]],[1]!Table1[[Test code]:[Test code]],[1]!Table1[i @ 1.8 V DIW (A/cm2)],"",0)</f>
        <v>#REF!</v>
      </c>
      <c r="X1285" s="69" t="e" cm="1">
        <f t="array" ref="X1285">_xlfn.XLOOKUP(Table1[[#This Row],[5 cm2 cell test code]:[5 cm2 cell test code]],[1]!Table1[[Test code]:[Test code]],[1]!Table1[i @ 1.8 V 10 mM KOH (A/cm2)],"",0)</f>
        <v>#REF!</v>
      </c>
      <c r="Y1285" s="69" t="e" cm="1">
        <f t="array" ref="Y1285">_xlfn.XLOOKUP(Table1[[#This Row],[5 cm2 cell test code]:[5 cm2 cell test code]],[1]!Table1[[Test code]:[Test code]],[1]!Table1[3-E ƞ at 20mAcm-2 (mV)],"",0)</f>
        <v>#REF!</v>
      </c>
      <c r="Z1285" s="69" t="e" cm="1">
        <f t="array" ref="Z1285">_xlfn.XLOOKUP(Table1[[#This Row],[5 cm2 cell test code]:[5 cm2 cell test code]],[1]!Table1[[Test code]:[Test code]],[1]!Table1[3-E Tafel slope (mV/dec)],"",0)</f>
        <v>#REF!</v>
      </c>
      <c r="AA1285" s="69" t="e" cm="1">
        <f t="array" ref="AA1285">_xlfn.XLOOKUP(Table1[[#This Row],[5 cm2 cell test code]:[5 cm2 cell test code]],[1]!Table1[[Test code]:[Test code]],[1]!Table1[E @ 100 mA/cm2 DIW/V],"",0)</f>
        <v>#REF!</v>
      </c>
      <c r="AB1285" s="69" t="e" cm="1">
        <f t="array" ref="AB1285">_xlfn.XLOOKUP(Table1[[#This Row],[5 cm2 cell test code]:[5 cm2 cell test code]],[1]!Table1[[Test code]:[Test code]],[1]!Table1[E @ 100 mA/cm2 10 mM KOH/V],"",0)</f>
        <v>#REF!</v>
      </c>
      <c r="AC1285" s="69" t="e" cm="1">
        <f t="array" ref="AC1285">_xlfn.XLOOKUP(Table1[[#This Row],[5 cm2 cell test code]:[5 cm2 cell test code]],[1]!Table1[[Test code]:[Test code]],[1]!Table1[Anode ICR/mOhm],"",0)</f>
        <v>#REF!</v>
      </c>
      <c r="AD1285" s="69" t="e" cm="1">
        <f t="array" ref="AD1285">_xlfn.XLOOKUP(Table1[[#This Row],[5 cm2 cell test code]:[5 cm2 cell test code]],[1]!Table1[[Test code]:[Test code]],[1]!Table1[HFR DIW/ mOhm cm2],"",0)</f>
        <v>#REF!</v>
      </c>
      <c r="AE1285" s="69" t="e" cm="1">
        <f t="array" ref="AE1285">_xlfn.XLOOKUP(Table1[[#This Row],[5 cm2 cell test code]:[5 cm2 cell test code]],[1]!Table1[[Test code]:[Test code]],[1]!Table1[HFR 10 mM KOH/ mOhm cm2],"",0)</f>
        <v>#REF!</v>
      </c>
      <c r="AF1285" s="69" t="e" cm="1">
        <f t="array" ref="AF1285">_xlfn.XLOOKUP(Table1[[#This Row],[5 cm2 cell test code]:[5 cm2 cell test code]],[1]!Table1[[Test code]:[Test code]],[1]!Table1[Ionic resistance DIW/Ohm cm2],"",0)</f>
        <v>#REF!</v>
      </c>
      <c r="AG1285" s="69" t="e" cm="1">
        <f t="array" ref="AG1285">_xlfn.XLOOKUP(Table1[[#This Row],[5 cm2 cell test code]:[5 cm2 cell test code]],[1]!Table1[[Test code]:[Test code]],[1]!Table1[Q_int_frac DIW],"",0)</f>
        <v>#REF!</v>
      </c>
      <c r="AH1285" s="69" t="e" cm="1">
        <f t="array" ref="AH1285">_xlfn.XLOOKUP(Table1[[#This Row],[5 cm2 cell test code]:[5 cm2 cell test code]],[1]!Table1[[Test code]:[Test code]],[1]!Table1[Ionic resistance 10 mM KOH/Ohm cm2],"",0)</f>
        <v>#REF!</v>
      </c>
      <c r="AI1285" s="69" t="e" cm="1">
        <f t="array" ref="AI1285">_xlfn.XLOOKUP(Table1[[#This Row],[5 cm2 cell test code]:[5 cm2 cell test code]],[1]!Table1[[Test code]:[Test code]],[1]!Table1[Q_int_frac DIW 10 mM KOH],"",0)</f>
        <v>#REF!</v>
      </c>
      <c r="AJ1285" s="69" t="e" cm="1">
        <f t="array" ref="AJ1285">_xlfn.XLOOKUP(Table1[[#This Row],[5 cm2 cell test code]:[5 cm2 cell test code]],[1]!Table1[[Test code]:[Test code]],[1]!Table1[DIW conductivity (µS/cm)],"",0)</f>
        <v>#REF!</v>
      </c>
    </row>
    <row r="1286" spans="1:36">
      <c r="A1286" s="81"/>
      <c r="U1286" s="101"/>
      <c r="V1286" s="101"/>
      <c r="W1286" s="69" t="e" cm="1">
        <f t="array" ref="W1286">_xlfn.XLOOKUP(Table1[[#This Row],[5 cm2 cell test code]:[5 cm2 cell test code]],[1]!Table1[[Test code]:[Test code]],[1]!Table1[i @ 1.8 V DIW (A/cm2)],"",0)</f>
        <v>#REF!</v>
      </c>
      <c r="X1286" s="69" t="e" cm="1">
        <f t="array" ref="X1286">_xlfn.XLOOKUP(Table1[[#This Row],[5 cm2 cell test code]:[5 cm2 cell test code]],[1]!Table1[[Test code]:[Test code]],[1]!Table1[i @ 1.8 V 10 mM KOH (A/cm2)],"",0)</f>
        <v>#REF!</v>
      </c>
      <c r="Y1286" s="69" t="e" cm="1">
        <f t="array" ref="Y1286">_xlfn.XLOOKUP(Table1[[#This Row],[5 cm2 cell test code]:[5 cm2 cell test code]],[1]!Table1[[Test code]:[Test code]],[1]!Table1[3-E ƞ at 20mAcm-2 (mV)],"",0)</f>
        <v>#REF!</v>
      </c>
      <c r="Z1286" s="69" t="e" cm="1">
        <f t="array" ref="Z1286">_xlfn.XLOOKUP(Table1[[#This Row],[5 cm2 cell test code]:[5 cm2 cell test code]],[1]!Table1[[Test code]:[Test code]],[1]!Table1[3-E Tafel slope (mV/dec)],"",0)</f>
        <v>#REF!</v>
      </c>
      <c r="AA1286" s="69" t="e" cm="1">
        <f t="array" ref="AA1286">_xlfn.XLOOKUP(Table1[[#This Row],[5 cm2 cell test code]:[5 cm2 cell test code]],[1]!Table1[[Test code]:[Test code]],[1]!Table1[E @ 100 mA/cm2 DIW/V],"",0)</f>
        <v>#REF!</v>
      </c>
      <c r="AB1286" s="69" t="e" cm="1">
        <f t="array" ref="AB1286">_xlfn.XLOOKUP(Table1[[#This Row],[5 cm2 cell test code]:[5 cm2 cell test code]],[1]!Table1[[Test code]:[Test code]],[1]!Table1[E @ 100 mA/cm2 10 mM KOH/V],"",0)</f>
        <v>#REF!</v>
      </c>
      <c r="AC1286" s="69" t="e" cm="1">
        <f t="array" ref="AC1286">_xlfn.XLOOKUP(Table1[[#This Row],[5 cm2 cell test code]:[5 cm2 cell test code]],[1]!Table1[[Test code]:[Test code]],[1]!Table1[Anode ICR/mOhm],"",0)</f>
        <v>#REF!</v>
      </c>
      <c r="AD1286" s="69" t="e" cm="1">
        <f t="array" ref="AD1286">_xlfn.XLOOKUP(Table1[[#This Row],[5 cm2 cell test code]:[5 cm2 cell test code]],[1]!Table1[[Test code]:[Test code]],[1]!Table1[HFR DIW/ mOhm cm2],"",0)</f>
        <v>#REF!</v>
      </c>
      <c r="AE1286" s="69" t="e" cm="1">
        <f t="array" ref="AE1286">_xlfn.XLOOKUP(Table1[[#This Row],[5 cm2 cell test code]:[5 cm2 cell test code]],[1]!Table1[[Test code]:[Test code]],[1]!Table1[HFR 10 mM KOH/ mOhm cm2],"",0)</f>
        <v>#REF!</v>
      </c>
      <c r="AF1286" s="69" t="e" cm="1">
        <f t="array" ref="AF1286">_xlfn.XLOOKUP(Table1[[#This Row],[5 cm2 cell test code]:[5 cm2 cell test code]],[1]!Table1[[Test code]:[Test code]],[1]!Table1[Ionic resistance DIW/Ohm cm2],"",0)</f>
        <v>#REF!</v>
      </c>
      <c r="AG1286" s="69" t="e" cm="1">
        <f t="array" ref="AG1286">_xlfn.XLOOKUP(Table1[[#This Row],[5 cm2 cell test code]:[5 cm2 cell test code]],[1]!Table1[[Test code]:[Test code]],[1]!Table1[Q_int_frac DIW],"",0)</f>
        <v>#REF!</v>
      </c>
      <c r="AH1286" s="69" t="e" cm="1">
        <f t="array" ref="AH1286">_xlfn.XLOOKUP(Table1[[#This Row],[5 cm2 cell test code]:[5 cm2 cell test code]],[1]!Table1[[Test code]:[Test code]],[1]!Table1[Ionic resistance 10 mM KOH/Ohm cm2],"",0)</f>
        <v>#REF!</v>
      </c>
      <c r="AI1286" s="69" t="e" cm="1">
        <f t="array" ref="AI1286">_xlfn.XLOOKUP(Table1[[#This Row],[5 cm2 cell test code]:[5 cm2 cell test code]],[1]!Table1[[Test code]:[Test code]],[1]!Table1[Q_int_frac DIW 10 mM KOH],"",0)</f>
        <v>#REF!</v>
      </c>
      <c r="AJ1286" s="69" t="e" cm="1">
        <f t="array" ref="AJ1286">_xlfn.XLOOKUP(Table1[[#This Row],[5 cm2 cell test code]:[5 cm2 cell test code]],[1]!Table1[[Test code]:[Test code]],[1]!Table1[DIW conductivity (µS/cm)],"",0)</f>
        <v>#REF!</v>
      </c>
    </row>
    <row r="1287" spans="1:36">
      <c r="A1287" s="81"/>
      <c r="U1287" s="101"/>
      <c r="V1287" s="101"/>
      <c r="W1287" s="69" t="e" cm="1">
        <f t="array" ref="W1287">_xlfn.XLOOKUP(Table1[[#This Row],[5 cm2 cell test code]:[5 cm2 cell test code]],[1]!Table1[[Test code]:[Test code]],[1]!Table1[i @ 1.8 V DIW (A/cm2)],"",0)</f>
        <v>#REF!</v>
      </c>
      <c r="X1287" s="69" t="e" cm="1">
        <f t="array" ref="X1287">_xlfn.XLOOKUP(Table1[[#This Row],[5 cm2 cell test code]:[5 cm2 cell test code]],[1]!Table1[[Test code]:[Test code]],[1]!Table1[i @ 1.8 V 10 mM KOH (A/cm2)],"",0)</f>
        <v>#REF!</v>
      </c>
      <c r="Y1287" s="69" t="e" cm="1">
        <f t="array" ref="Y1287">_xlfn.XLOOKUP(Table1[[#This Row],[5 cm2 cell test code]:[5 cm2 cell test code]],[1]!Table1[[Test code]:[Test code]],[1]!Table1[3-E ƞ at 20mAcm-2 (mV)],"",0)</f>
        <v>#REF!</v>
      </c>
      <c r="Z1287" s="69" t="e" cm="1">
        <f t="array" ref="Z1287">_xlfn.XLOOKUP(Table1[[#This Row],[5 cm2 cell test code]:[5 cm2 cell test code]],[1]!Table1[[Test code]:[Test code]],[1]!Table1[3-E Tafel slope (mV/dec)],"",0)</f>
        <v>#REF!</v>
      </c>
      <c r="AA1287" s="69" t="e" cm="1">
        <f t="array" ref="AA1287">_xlfn.XLOOKUP(Table1[[#This Row],[5 cm2 cell test code]:[5 cm2 cell test code]],[1]!Table1[[Test code]:[Test code]],[1]!Table1[E @ 100 mA/cm2 DIW/V],"",0)</f>
        <v>#REF!</v>
      </c>
      <c r="AB1287" s="69" t="e" cm="1">
        <f t="array" ref="AB1287">_xlfn.XLOOKUP(Table1[[#This Row],[5 cm2 cell test code]:[5 cm2 cell test code]],[1]!Table1[[Test code]:[Test code]],[1]!Table1[E @ 100 mA/cm2 10 mM KOH/V],"",0)</f>
        <v>#REF!</v>
      </c>
      <c r="AC1287" s="69" t="e" cm="1">
        <f t="array" ref="AC1287">_xlfn.XLOOKUP(Table1[[#This Row],[5 cm2 cell test code]:[5 cm2 cell test code]],[1]!Table1[[Test code]:[Test code]],[1]!Table1[Anode ICR/mOhm],"",0)</f>
        <v>#REF!</v>
      </c>
      <c r="AD1287" s="69" t="e" cm="1">
        <f t="array" ref="AD1287">_xlfn.XLOOKUP(Table1[[#This Row],[5 cm2 cell test code]:[5 cm2 cell test code]],[1]!Table1[[Test code]:[Test code]],[1]!Table1[HFR DIW/ mOhm cm2],"",0)</f>
        <v>#REF!</v>
      </c>
      <c r="AE1287" s="69" t="e" cm="1">
        <f t="array" ref="AE1287">_xlfn.XLOOKUP(Table1[[#This Row],[5 cm2 cell test code]:[5 cm2 cell test code]],[1]!Table1[[Test code]:[Test code]],[1]!Table1[HFR 10 mM KOH/ mOhm cm2],"",0)</f>
        <v>#REF!</v>
      </c>
      <c r="AF1287" s="69" t="e" cm="1">
        <f t="array" ref="AF1287">_xlfn.XLOOKUP(Table1[[#This Row],[5 cm2 cell test code]:[5 cm2 cell test code]],[1]!Table1[[Test code]:[Test code]],[1]!Table1[Ionic resistance DIW/Ohm cm2],"",0)</f>
        <v>#REF!</v>
      </c>
      <c r="AG1287" s="69" t="e" cm="1">
        <f t="array" ref="AG1287">_xlfn.XLOOKUP(Table1[[#This Row],[5 cm2 cell test code]:[5 cm2 cell test code]],[1]!Table1[[Test code]:[Test code]],[1]!Table1[Q_int_frac DIW],"",0)</f>
        <v>#REF!</v>
      </c>
      <c r="AH1287" s="69" t="e" cm="1">
        <f t="array" ref="AH1287">_xlfn.XLOOKUP(Table1[[#This Row],[5 cm2 cell test code]:[5 cm2 cell test code]],[1]!Table1[[Test code]:[Test code]],[1]!Table1[Ionic resistance 10 mM KOH/Ohm cm2],"",0)</f>
        <v>#REF!</v>
      </c>
      <c r="AI1287" s="69" t="e" cm="1">
        <f t="array" ref="AI1287">_xlfn.XLOOKUP(Table1[[#This Row],[5 cm2 cell test code]:[5 cm2 cell test code]],[1]!Table1[[Test code]:[Test code]],[1]!Table1[Q_int_frac DIW 10 mM KOH],"",0)</f>
        <v>#REF!</v>
      </c>
      <c r="AJ1287" s="69" t="e" cm="1">
        <f t="array" ref="AJ1287">_xlfn.XLOOKUP(Table1[[#This Row],[5 cm2 cell test code]:[5 cm2 cell test code]],[1]!Table1[[Test code]:[Test code]],[1]!Table1[DIW conductivity (µS/cm)],"",0)</f>
        <v>#REF!</v>
      </c>
    </row>
    <row r="1288" spans="1:36">
      <c r="A1288" s="81"/>
      <c r="U1288" s="101"/>
      <c r="V1288" s="101"/>
      <c r="W1288" s="69" t="e" cm="1">
        <f t="array" ref="W1288">_xlfn.XLOOKUP(Table1[[#This Row],[5 cm2 cell test code]:[5 cm2 cell test code]],[1]!Table1[[Test code]:[Test code]],[1]!Table1[i @ 1.8 V DIW (A/cm2)],"",0)</f>
        <v>#REF!</v>
      </c>
      <c r="X1288" s="69" t="e" cm="1">
        <f t="array" ref="X1288">_xlfn.XLOOKUP(Table1[[#This Row],[5 cm2 cell test code]:[5 cm2 cell test code]],[1]!Table1[[Test code]:[Test code]],[1]!Table1[i @ 1.8 V 10 mM KOH (A/cm2)],"",0)</f>
        <v>#REF!</v>
      </c>
      <c r="Y1288" s="69" t="e" cm="1">
        <f t="array" ref="Y1288">_xlfn.XLOOKUP(Table1[[#This Row],[5 cm2 cell test code]:[5 cm2 cell test code]],[1]!Table1[[Test code]:[Test code]],[1]!Table1[3-E ƞ at 20mAcm-2 (mV)],"",0)</f>
        <v>#REF!</v>
      </c>
      <c r="Z1288" s="69" t="e" cm="1">
        <f t="array" ref="Z1288">_xlfn.XLOOKUP(Table1[[#This Row],[5 cm2 cell test code]:[5 cm2 cell test code]],[1]!Table1[[Test code]:[Test code]],[1]!Table1[3-E Tafel slope (mV/dec)],"",0)</f>
        <v>#REF!</v>
      </c>
      <c r="AA1288" s="69" t="e" cm="1">
        <f t="array" ref="AA1288">_xlfn.XLOOKUP(Table1[[#This Row],[5 cm2 cell test code]:[5 cm2 cell test code]],[1]!Table1[[Test code]:[Test code]],[1]!Table1[E @ 100 mA/cm2 DIW/V],"",0)</f>
        <v>#REF!</v>
      </c>
      <c r="AB1288" s="69" t="e" cm="1">
        <f t="array" ref="AB1288">_xlfn.XLOOKUP(Table1[[#This Row],[5 cm2 cell test code]:[5 cm2 cell test code]],[1]!Table1[[Test code]:[Test code]],[1]!Table1[E @ 100 mA/cm2 10 mM KOH/V],"",0)</f>
        <v>#REF!</v>
      </c>
      <c r="AC1288" s="69" t="e" cm="1">
        <f t="array" ref="AC1288">_xlfn.XLOOKUP(Table1[[#This Row],[5 cm2 cell test code]:[5 cm2 cell test code]],[1]!Table1[[Test code]:[Test code]],[1]!Table1[Anode ICR/mOhm],"",0)</f>
        <v>#REF!</v>
      </c>
      <c r="AD1288" s="69" t="e" cm="1">
        <f t="array" ref="AD1288">_xlfn.XLOOKUP(Table1[[#This Row],[5 cm2 cell test code]:[5 cm2 cell test code]],[1]!Table1[[Test code]:[Test code]],[1]!Table1[HFR DIW/ mOhm cm2],"",0)</f>
        <v>#REF!</v>
      </c>
      <c r="AE1288" s="69" t="e" cm="1">
        <f t="array" ref="AE1288">_xlfn.XLOOKUP(Table1[[#This Row],[5 cm2 cell test code]:[5 cm2 cell test code]],[1]!Table1[[Test code]:[Test code]],[1]!Table1[HFR 10 mM KOH/ mOhm cm2],"",0)</f>
        <v>#REF!</v>
      </c>
      <c r="AF1288" s="69" t="e" cm="1">
        <f t="array" ref="AF1288">_xlfn.XLOOKUP(Table1[[#This Row],[5 cm2 cell test code]:[5 cm2 cell test code]],[1]!Table1[[Test code]:[Test code]],[1]!Table1[Ionic resistance DIW/Ohm cm2],"",0)</f>
        <v>#REF!</v>
      </c>
      <c r="AG1288" s="69" t="e" cm="1">
        <f t="array" ref="AG1288">_xlfn.XLOOKUP(Table1[[#This Row],[5 cm2 cell test code]:[5 cm2 cell test code]],[1]!Table1[[Test code]:[Test code]],[1]!Table1[Q_int_frac DIW],"",0)</f>
        <v>#REF!</v>
      </c>
      <c r="AH1288" s="69" t="e" cm="1">
        <f t="array" ref="AH1288">_xlfn.XLOOKUP(Table1[[#This Row],[5 cm2 cell test code]:[5 cm2 cell test code]],[1]!Table1[[Test code]:[Test code]],[1]!Table1[Ionic resistance 10 mM KOH/Ohm cm2],"",0)</f>
        <v>#REF!</v>
      </c>
      <c r="AI1288" s="69" t="e" cm="1">
        <f t="array" ref="AI1288">_xlfn.XLOOKUP(Table1[[#This Row],[5 cm2 cell test code]:[5 cm2 cell test code]],[1]!Table1[[Test code]:[Test code]],[1]!Table1[Q_int_frac DIW 10 mM KOH],"",0)</f>
        <v>#REF!</v>
      </c>
      <c r="AJ1288" s="69" t="e" cm="1">
        <f t="array" ref="AJ1288">_xlfn.XLOOKUP(Table1[[#This Row],[5 cm2 cell test code]:[5 cm2 cell test code]],[1]!Table1[[Test code]:[Test code]],[1]!Table1[DIW conductivity (µS/cm)],"",0)</f>
        <v>#REF!</v>
      </c>
    </row>
    <row r="1289" spans="1:36">
      <c r="A1289" s="81"/>
      <c r="U1289" s="101"/>
      <c r="V1289" s="101"/>
      <c r="W1289" s="69" t="e" cm="1">
        <f t="array" ref="W1289">_xlfn.XLOOKUP(Table1[[#This Row],[5 cm2 cell test code]:[5 cm2 cell test code]],[1]!Table1[[Test code]:[Test code]],[1]!Table1[i @ 1.8 V DIW (A/cm2)],"",0)</f>
        <v>#REF!</v>
      </c>
      <c r="X1289" s="69" t="e" cm="1">
        <f t="array" ref="X1289">_xlfn.XLOOKUP(Table1[[#This Row],[5 cm2 cell test code]:[5 cm2 cell test code]],[1]!Table1[[Test code]:[Test code]],[1]!Table1[i @ 1.8 V 10 mM KOH (A/cm2)],"",0)</f>
        <v>#REF!</v>
      </c>
      <c r="Y1289" s="69" t="e" cm="1">
        <f t="array" ref="Y1289">_xlfn.XLOOKUP(Table1[[#This Row],[5 cm2 cell test code]:[5 cm2 cell test code]],[1]!Table1[[Test code]:[Test code]],[1]!Table1[3-E ƞ at 20mAcm-2 (mV)],"",0)</f>
        <v>#REF!</v>
      </c>
      <c r="Z1289" s="69" t="e" cm="1">
        <f t="array" ref="Z1289">_xlfn.XLOOKUP(Table1[[#This Row],[5 cm2 cell test code]:[5 cm2 cell test code]],[1]!Table1[[Test code]:[Test code]],[1]!Table1[3-E Tafel slope (mV/dec)],"",0)</f>
        <v>#REF!</v>
      </c>
      <c r="AA1289" s="69" t="e" cm="1">
        <f t="array" ref="AA1289">_xlfn.XLOOKUP(Table1[[#This Row],[5 cm2 cell test code]:[5 cm2 cell test code]],[1]!Table1[[Test code]:[Test code]],[1]!Table1[E @ 100 mA/cm2 DIW/V],"",0)</f>
        <v>#REF!</v>
      </c>
      <c r="AB1289" s="69" t="e" cm="1">
        <f t="array" ref="AB1289">_xlfn.XLOOKUP(Table1[[#This Row],[5 cm2 cell test code]:[5 cm2 cell test code]],[1]!Table1[[Test code]:[Test code]],[1]!Table1[E @ 100 mA/cm2 10 mM KOH/V],"",0)</f>
        <v>#REF!</v>
      </c>
      <c r="AC1289" s="69" t="e" cm="1">
        <f t="array" ref="AC1289">_xlfn.XLOOKUP(Table1[[#This Row],[5 cm2 cell test code]:[5 cm2 cell test code]],[1]!Table1[[Test code]:[Test code]],[1]!Table1[Anode ICR/mOhm],"",0)</f>
        <v>#REF!</v>
      </c>
      <c r="AD1289" s="69" t="e" cm="1">
        <f t="array" ref="AD1289">_xlfn.XLOOKUP(Table1[[#This Row],[5 cm2 cell test code]:[5 cm2 cell test code]],[1]!Table1[[Test code]:[Test code]],[1]!Table1[HFR DIW/ mOhm cm2],"",0)</f>
        <v>#REF!</v>
      </c>
      <c r="AE1289" s="69" t="e" cm="1">
        <f t="array" ref="AE1289">_xlfn.XLOOKUP(Table1[[#This Row],[5 cm2 cell test code]:[5 cm2 cell test code]],[1]!Table1[[Test code]:[Test code]],[1]!Table1[HFR 10 mM KOH/ mOhm cm2],"",0)</f>
        <v>#REF!</v>
      </c>
      <c r="AF1289" s="69" t="e" cm="1">
        <f t="array" ref="AF1289">_xlfn.XLOOKUP(Table1[[#This Row],[5 cm2 cell test code]:[5 cm2 cell test code]],[1]!Table1[[Test code]:[Test code]],[1]!Table1[Ionic resistance DIW/Ohm cm2],"",0)</f>
        <v>#REF!</v>
      </c>
      <c r="AG1289" s="69" t="e" cm="1">
        <f t="array" ref="AG1289">_xlfn.XLOOKUP(Table1[[#This Row],[5 cm2 cell test code]:[5 cm2 cell test code]],[1]!Table1[[Test code]:[Test code]],[1]!Table1[Q_int_frac DIW],"",0)</f>
        <v>#REF!</v>
      </c>
      <c r="AH1289" s="69" t="e" cm="1">
        <f t="array" ref="AH1289">_xlfn.XLOOKUP(Table1[[#This Row],[5 cm2 cell test code]:[5 cm2 cell test code]],[1]!Table1[[Test code]:[Test code]],[1]!Table1[Ionic resistance 10 mM KOH/Ohm cm2],"",0)</f>
        <v>#REF!</v>
      </c>
      <c r="AI1289" s="69" t="e" cm="1">
        <f t="array" ref="AI1289">_xlfn.XLOOKUP(Table1[[#This Row],[5 cm2 cell test code]:[5 cm2 cell test code]],[1]!Table1[[Test code]:[Test code]],[1]!Table1[Q_int_frac DIW 10 mM KOH],"",0)</f>
        <v>#REF!</v>
      </c>
      <c r="AJ1289" s="69" t="e" cm="1">
        <f t="array" ref="AJ1289">_xlfn.XLOOKUP(Table1[[#This Row],[5 cm2 cell test code]:[5 cm2 cell test code]],[1]!Table1[[Test code]:[Test code]],[1]!Table1[DIW conductivity (µS/cm)],"",0)</f>
        <v>#REF!</v>
      </c>
    </row>
    <row r="1290" spans="1:36">
      <c r="A1290" s="81"/>
      <c r="U1290" s="101"/>
      <c r="V1290" s="101"/>
      <c r="W1290" s="69" t="e" cm="1">
        <f t="array" ref="W1290">_xlfn.XLOOKUP(Table1[[#This Row],[5 cm2 cell test code]:[5 cm2 cell test code]],[1]!Table1[[Test code]:[Test code]],[1]!Table1[i @ 1.8 V DIW (A/cm2)],"",0)</f>
        <v>#REF!</v>
      </c>
      <c r="X1290" s="69" t="e" cm="1">
        <f t="array" ref="X1290">_xlfn.XLOOKUP(Table1[[#This Row],[5 cm2 cell test code]:[5 cm2 cell test code]],[1]!Table1[[Test code]:[Test code]],[1]!Table1[i @ 1.8 V 10 mM KOH (A/cm2)],"",0)</f>
        <v>#REF!</v>
      </c>
      <c r="Y1290" s="69" t="e" cm="1">
        <f t="array" ref="Y1290">_xlfn.XLOOKUP(Table1[[#This Row],[5 cm2 cell test code]:[5 cm2 cell test code]],[1]!Table1[[Test code]:[Test code]],[1]!Table1[3-E ƞ at 20mAcm-2 (mV)],"",0)</f>
        <v>#REF!</v>
      </c>
      <c r="Z1290" s="69" t="e" cm="1">
        <f t="array" ref="Z1290">_xlfn.XLOOKUP(Table1[[#This Row],[5 cm2 cell test code]:[5 cm2 cell test code]],[1]!Table1[[Test code]:[Test code]],[1]!Table1[3-E Tafel slope (mV/dec)],"",0)</f>
        <v>#REF!</v>
      </c>
      <c r="AA1290" s="69" t="e" cm="1">
        <f t="array" ref="AA1290">_xlfn.XLOOKUP(Table1[[#This Row],[5 cm2 cell test code]:[5 cm2 cell test code]],[1]!Table1[[Test code]:[Test code]],[1]!Table1[E @ 100 mA/cm2 DIW/V],"",0)</f>
        <v>#REF!</v>
      </c>
      <c r="AB1290" s="69" t="e" cm="1">
        <f t="array" ref="AB1290">_xlfn.XLOOKUP(Table1[[#This Row],[5 cm2 cell test code]:[5 cm2 cell test code]],[1]!Table1[[Test code]:[Test code]],[1]!Table1[E @ 100 mA/cm2 10 mM KOH/V],"",0)</f>
        <v>#REF!</v>
      </c>
      <c r="AC1290" s="69" t="e" cm="1">
        <f t="array" ref="AC1290">_xlfn.XLOOKUP(Table1[[#This Row],[5 cm2 cell test code]:[5 cm2 cell test code]],[1]!Table1[[Test code]:[Test code]],[1]!Table1[Anode ICR/mOhm],"",0)</f>
        <v>#REF!</v>
      </c>
      <c r="AD1290" s="69" t="e" cm="1">
        <f t="array" ref="AD1290">_xlfn.XLOOKUP(Table1[[#This Row],[5 cm2 cell test code]:[5 cm2 cell test code]],[1]!Table1[[Test code]:[Test code]],[1]!Table1[HFR DIW/ mOhm cm2],"",0)</f>
        <v>#REF!</v>
      </c>
      <c r="AE1290" s="69" t="e" cm="1">
        <f t="array" ref="AE1290">_xlfn.XLOOKUP(Table1[[#This Row],[5 cm2 cell test code]:[5 cm2 cell test code]],[1]!Table1[[Test code]:[Test code]],[1]!Table1[HFR 10 mM KOH/ mOhm cm2],"",0)</f>
        <v>#REF!</v>
      </c>
      <c r="AF1290" s="69" t="e" cm="1">
        <f t="array" ref="AF1290">_xlfn.XLOOKUP(Table1[[#This Row],[5 cm2 cell test code]:[5 cm2 cell test code]],[1]!Table1[[Test code]:[Test code]],[1]!Table1[Ionic resistance DIW/Ohm cm2],"",0)</f>
        <v>#REF!</v>
      </c>
      <c r="AG1290" s="69" t="e" cm="1">
        <f t="array" ref="AG1290">_xlfn.XLOOKUP(Table1[[#This Row],[5 cm2 cell test code]:[5 cm2 cell test code]],[1]!Table1[[Test code]:[Test code]],[1]!Table1[Q_int_frac DIW],"",0)</f>
        <v>#REF!</v>
      </c>
      <c r="AH1290" s="69" t="e" cm="1">
        <f t="array" ref="AH1290">_xlfn.XLOOKUP(Table1[[#This Row],[5 cm2 cell test code]:[5 cm2 cell test code]],[1]!Table1[[Test code]:[Test code]],[1]!Table1[Ionic resistance 10 mM KOH/Ohm cm2],"",0)</f>
        <v>#REF!</v>
      </c>
      <c r="AI1290" s="69" t="e" cm="1">
        <f t="array" ref="AI1290">_xlfn.XLOOKUP(Table1[[#This Row],[5 cm2 cell test code]:[5 cm2 cell test code]],[1]!Table1[[Test code]:[Test code]],[1]!Table1[Q_int_frac DIW 10 mM KOH],"",0)</f>
        <v>#REF!</v>
      </c>
      <c r="AJ1290" s="69" t="e" cm="1">
        <f t="array" ref="AJ1290">_xlfn.XLOOKUP(Table1[[#This Row],[5 cm2 cell test code]:[5 cm2 cell test code]],[1]!Table1[[Test code]:[Test code]],[1]!Table1[DIW conductivity (µS/cm)],"",0)</f>
        <v>#REF!</v>
      </c>
    </row>
    <row r="1291" spans="1:36">
      <c r="A1291" s="81"/>
      <c r="U1291" s="101"/>
      <c r="V1291" s="101"/>
      <c r="W1291" s="69" t="e" cm="1">
        <f t="array" ref="W1291">_xlfn.XLOOKUP(Table1[[#This Row],[5 cm2 cell test code]:[5 cm2 cell test code]],[1]!Table1[[Test code]:[Test code]],[1]!Table1[i @ 1.8 V DIW (A/cm2)],"",0)</f>
        <v>#REF!</v>
      </c>
      <c r="X1291" s="69" t="e" cm="1">
        <f t="array" ref="X1291">_xlfn.XLOOKUP(Table1[[#This Row],[5 cm2 cell test code]:[5 cm2 cell test code]],[1]!Table1[[Test code]:[Test code]],[1]!Table1[i @ 1.8 V 10 mM KOH (A/cm2)],"",0)</f>
        <v>#REF!</v>
      </c>
      <c r="Y1291" s="69" t="e" cm="1">
        <f t="array" ref="Y1291">_xlfn.XLOOKUP(Table1[[#This Row],[5 cm2 cell test code]:[5 cm2 cell test code]],[1]!Table1[[Test code]:[Test code]],[1]!Table1[3-E ƞ at 20mAcm-2 (mV)],"",0)</f>
        <v>#REF!</v>
      </c>
      <c r="Z1291" s="69" t="e" cm="1">
        <f t="array" ref="Z1291">_xlfn.XLOOKUP(Table1[[#This Row],[5 cm2 cell test code]:[5 cm2 cell test code]],[1]!Table1[[Test code]:[Test code]],[1]!Table1[3-E Tafel slope (mV/dec)],"",0)</f>
        <v>#REF!</v>
      </c>
      <c r="AA1291" s="69" t="e" cm="1">
        <f t="array" ref="AA1291">_xlfn.XLOOKUP(Table1[[#This Row],[5 cm2 cell test code]:[5 cm2 cell test code]],[1]!Table1[[Test code]:[Test code]],[1]!Table1[E @ 100 mA/cm2 DIW/V],"",0)</f>
        <v>#REF!</v>
      </c>
      <c r="AB1291" s="69" t="e" cm="1">
        <f t="array" ref="AB1291">_xlfn.XLOOKUP(Table1[[#This Row],[5 cm2 cell test code]:[5 cm2 cell test code]],[1]!Table1[[Test code]:[Test code]],[1]!Table1[E @ 100 mA/cm2 10 mM KOH/V],"",0)</f>
        <v>#REF!</v>
      </c>
      <c r="AC1291" s="69" t="e" cm="1">
        <f t="array" ref="AC1291">_xlfn.XLOOKUP(Table1[[#This Row],[5 cm2 cell test code]:[5 cm2 cell test code]],[1]!Table1[[Test code]:[Test code]],[1]!Table1[Anode ICR/mOhm],"",0)</f>
        <v>#REF!</v>
      </c>
      <c r="AD1291" s="69" t="e" cm="1">
        <f t="array" ref="AD1291">_xlfn.XLOOKUP(Table1[[#This Row],[5 cm2 cell test code]:[5 cm2 cell test code]],[1]!Table1[[Test code]:[Test code]],[1]!Table1[HFR DIW/ mOhm cm2],"",0)</f>
        <v>#REF!</v>
      </c>
      <c r="AE1291" s="69" t="e" cm="1">
        <f t="array" ref="AE1291">_xlfn.XLOOKUP(Table1[[#This Row],[5 cm2 cell test code]:[5 cm2 cell test code]],[1]!Table1[[Test code]:[Test code]],[1]!Table1[HFR 10 mM KOH/ mOhm cm2],"",0)</f>
        <v>#REF!</v>
      </c>
      <c r="AF1291" s="69" t="e" cm="1">
        <f t="array" ref="AF1291">_xlfn.XLOOKUP(Table1[[#This Row],[5 cm2 cell test code]:[5 cm2 cell test code]],[1]!Table1[[Test code]:[Test code]],[1]!Table1[Ionic resistance DIW/Ohm cm2],"",0)</f>
        <v>#REF!</v>
      </c>
      <c r="AG1291" s="69" t="e" cm="1">
        <f t="array" ref="AG1291">_xlfn.XLOOKUP(Table1[[#This Row],[5 cm2 cell test code]:[5 cm2 cell test code]],[1]!Table1[[Test code]:[Test code]],[1]!Table1[Q_int_frac DIW],"",0)</f>
        <v>#REF!</v>
      </c>
      <c r="AH1291" s="69" t="e" cm="1">
        <f t="array" ref="AH1291">_xlfn.XLOOKUP(Table1[[#This Row],[5 cm2 cell test code]:[5 cm2 cell test code]],[1]!Table1[[Test code]:[Test code]],[1]!Table1[Ionic resistance 10 mM KOH/Ohm cm2],"",0)</f>
        <v>#REF!</v>
      </c>
      <c r="AI1291" s="69" t="e" cm="1">
        <f t="array" ref="AI1291">_xlfn.XLOOKUP(Table1[[#This Row],[5 cm2 cell test code]:[5 cm2 cell test code]],[1]!Table1[[Test code]:[Test code]],[1]!Table1[Q_int_frac DIW 10 mM KOH],"",0)</f>
        <v>#REF!</v>
      </c>
      <c r="AJ1291" s="69" t="e" cm="1">
        <f t="array" ref="AJ1291">_xlfn.XLOOKUP(Table1[[#This Row],[5 cm2 cell test code]:[5 cm2 cell test code]],[1]!Table1[[Test code]:[Test code]],[1]!Table1[DIW conductivity (µS/cm)],"",0)</f>
        <v>#REF!</v>
      </c>
    </row>
    <row r="1292" spans="1:36">
      <c r="A1292" s="81"/>
      <c r="U1292" s="101"/>
      <c r="V1292" s="101"/>
      <c r="W1292" s="69" t="e" cm="1">
        <f t="array" ref="W1292">_xlfn.XLOOKUP(Table1[[#This Row],[5 cm2 cell test code]:[5 cm2 cell test code]],[1]!Table1[[Test code]:[Test code]],[1]!Table1[i @ 1.8 V DIW (A/cm2)],"",0)</f>
        <v>#REF!</v>
      </c>
      <c r="X1292" s="69" t="e" cm="1">
        <f t="array" ref="X1292">_xlfn.XLOOKUP(Table1[[#This Row],[5 cm2 cell test code]:[5 cm2 cell test code]],[1]!Table1[[Test code]:[Test code]],[1]!Table1[i @ 1.8 V 10 mM KOH (A/cm2)],"",0)</f>
        <v>#REF!</v>
      </c>
      <c r="Y1292" s="69" t="e" cm="1">
        <f t="array" ref="Y1292">_xlfn.XLOOKUP(Table1[[#This Row],[5 cm2 cell test code]:[5 cm2 cell test code]],[1]!Table1[[Test code]:[Test code]],[1]!Table1[3-E ƞ at 20mAcm-2 (mV)],"",0)</f>
        <v>#REF!</v>
      </c>
      <c r="Z1292" s="69" t="e" cm="1">
        <f t="array" ref="Z1292">_xlfn.XLOOKUP(Table1[[#This Row],[5 cm2 cell test code]:[5 cm2 cell test code]],[1]!Table1[[Test code]:[Test code]],[1]!Table1[3-E Tafel slope (mV/dec)],"",0)</f>
        <v>#REF!</v>
      </c>
      <c r="AA1292" s="69" t="e" cm="1">
        <f t="array" ref="AA1292">_xlfn.XLOOKUP(Table1[[#This Row],[5 cm2 cell test code]:[5 cm2 cell test code]],[1]!Table1[[Test code]:[Test code]],[1]!Table1[E @ 100 mA/cm2 DIW/V],"",0)</f>
        <v>#REF!</v>
      </c>
      <c r="AB1292" s="69" t="e" cm="1">
        <f t="array" ref="AB1292">_xlfn.XLOOKUP(Table1[[#This Row],[5 cm2 cell test code]:[5 cm2 cell test code]],[1]!Table1[[Test code]:[Test code]],[1]!Table1[E @ 100 mA/cm2 10 mM KOH/V],"",0)</f>
        <v>#REF!</v>
      </c>
      <c r="AC1292" s="69" t="e" cm="1">
        <f t="array" ref="AC1292">_xlfn.XLOOKUP(Table1[[#This Row],[5 cm2 cell test code]:[5 cm2 cell test code]],[1]!Table1[[Test code]:[Test code]],[1]!Table1[Anode ICR/mOhm],"",0)</f>
        <v>#REF!</v>
      </c>
      <c r="AD1292" s="69" t="e" cm="1">
        <f t="array" ref="AD1292">_xlfn.XLOOKUP(Table1[[#This Row],[5 cm2 cell test code]:[5 cm2 cell test code]],[1]!Table1[[Test code]:[Test code]],[1]!Table1[HFR DIW/ mOhm cm2],"",0)</f>
        <v>#REF!</v>
      </c>
      <c r="AE1292" s="69" t="e" cm="1">
        <f t="array" ref="AE1292">_xlfn.XLOOKUP(Table1[[#This Row],[5 cm2 cell test code]:[5 cm2 cell test code]],[1]!Table1[[Test code]:[Test code]],[1]!Table1[HFR 10 mM KOH/ mOhm cm2],"",0)</f>
        <v>#REF!</v>
      </c>
      <c r="AF1292" s="69" t="e" cm="1">
        <f t="array" ref="AF1292">_xlfn.XLOOKUP(Table1[[#This Row],[5 cm2 cell test code]:[5 cm2 cell test code]],[1]!Table1[[Test code]:[Test code]],[1]!Table1[Ionic resistance DIW/Ohm cm2],"",0)</f>
        <v>#REF!</v>
      </c>
      <c r="AG1292" s="69" t="e" cm="1">
        <f t="array" ref="AG1292">_xlfn.XLOOKUP(Table1[[#This Row],[5 cm2 cell test code]:[5 cm2 cell test code]],[1]!Table1[[Test code]:[Test code]],[1]!Table1[Q_int_frac DIW],"",0)</f>
        <v>#REF!</v>
      </c>
      <c r="AH1292" s="69" t="e" cm="1">
        <f t="array" ref="AH1292">_xlfn.XLOOKUP(Table1[[#This Row],[5 cm2 cell test code]:[5 cm2 cell test code]],[1]!Table1[[Test code]:[Test code]],[1]!Table1[Ionic resistance 10 mM KOH/Ohm cm2],"",0)</f>
        <v>#REF!</v>
      </c>
      <c r="AI1292" s="69" t="e" cm="1">
        <f t="array" ref="AI1292">_xlfn.XLOOKUP(Table1[[#This Row],[5 cm2 cell test code]:[5 cm2 cell test code]],[1]!Table1[[Test code]:[Test code]],[1]!Table1[Q_int_frac DIW 10 mM KOH],"",0)</f>
        <v>#REF!</v>
      </c>
      <c r="AJ1292" s="69" t="e" cm="1">
        <f t="array" ref="AJ1292">_xlfn.XLOOKUP(Table1[[#This Row],[5 cm2 cell test code]:[5 cm2 cell test code]],[1]!Table1[[Test code]:[Test code]],[1]!Table1[DIW conductivity (µS/cm)],"",0)</f>
        <v>#REF!</v>
      </c>
    </row>
    <row r="1293" spans="1:36">
      <c r="A1293" s="81"/>
      <c r="U1293" s="101"/>
      <c r="V1293" s="101"/>
      <c r="W1293" s="69" t="e" cm="1">
        <f t="array" ref="W1293">_xlfn.XLOOKUP(Table1[[#This Row],[5 cm2 cell test code]:[5 cm2 cell test code]],[1]!Table1[[Test code]:[Test code]],[1]!Table1[i @ 1.8 V DIW (A/cm2)],"",0)</f>
        <v>#REF!</v>
      </c>
      <c r="X1293" s="69" t="e" cm="1">
        <f t="array" ref="X1293">_xlfn.XLOOKUP(Table1[[#This Row],[5 cm2 cell test code]:[5 cm2 cell test code]],[1]!Table1[[Test code]:[Test code]],[1]!Table1[i @ 1.8 V 10 mM KOH (A/cm2)],"",0)</f>
        <v>#REF!</v>
      </c>
      <c r="Y1293" s="69" t="e" cm="1">
        <f t="array" ref="Y1293">_xlfn.XLOOKUP(Table1[[#This Row],[5 cm2 cell test code]:[5 cm2 cell test code]],[1]!Table1[[Test code]:[Test code]],[1]!Table1[3-E ƞ at 20mAcm-2 (mV)],"",0)</f>
        <v>#REF!</v>
      </c>
      <c r="Z1293" s="69" t="e" cm="1">
        <f t="array" ref="Z1293">_xlfn.XLOOKUP(Table1[[#This Row],[5 cm2 cell test code]:[5 cm2 cell test code]],[1]!Table1[[Test code]:[Test code]],[1]!Table1[3-E Tafel slope (mV/dec)],"",0)</f>
        <v>#REF!</v>
      </c>
      <c r="AA1293" s="69" t="e" cm="1">
        <f t="array" ref="AA1293">_xlfn.XLOOKUP(Table1[[#This Row],[5 cm2 cell test code]:[5 cm2 cell test code]],[1]!Table1[[Test code]:[Test code]],[1]!Table1[E @ 100 mA/cm2 DIW/V],"",0)</f>
        <v>#REF!</v>
      </c>
      <c r="AB1293" s="69" t="e" cm="1">
        <f t="array" ref="AB1293">_xlfn.XLOOKUP(Table1[[#This Row],[5 cm2 cell test code]:[5 cm2 cell test code]],[1]!Table1[[Test code]:[Test code]],[1]!Table1[E @ 100 mA/cm2 10 mM KOH/V],"",0)</f>
        <v>#REF!</v>
      </c>
      <c r="AC1293" s="69" t="e" cm="1">
        <f t="array" ref="AC1293">_xlfn.XLOOKUP(Table1[[#This Row],[5 cm2 cell test code]:[5 cm2 cell test code]],[1]!Table1[[Test code]:[Test code]],[1]!Table1[Anode ICR/mOhm],"",0)</f>
        <v>#REF!</v>
      </c>
      <c r="AD1293" s="69" t="e" cm="1">
        <f t="array" ref="AD1293">_xlfn.XLOOKUP(Table1[[#This Row],[5 cm2 cell test code]:[5 cm2 cell test code]],[1]!Table1[[Test code]:[Test code]],[1]!Table1[HFR DIW/ mOhm cm2],"",0)</f>
        <v>#REF!</v>
      </c>
      <c r="AE1293" s="69" t="e" cm="1">
        <f t="array" ref="AE1293">_xlfn.XLOOKUP(Table1[[#This Row],[5 cm2 cell test code]:[5 cm2 cell test code]],[1]!Table1[[Test code]:[Test code]],[1]!Table1[HFR 10 mM KOH/ mOhm cm2],"",0)</f>
        <v>#REF!</v>
      </c>
      <c r="AF1293" s="69" t="e" cm="1">
        <f t="array" ref="AF1293">_xlfn.XLOOKUP(Table1[[#This Row],[5 cm2 cell test code]:[5 cm2 cell test code]],[1]!Table1[[Test code]:[Test code]],[1]!Table1[Ionic resistance DIW/Ohm cm2],"",0)</f>
        <v>#REF!</v>
      </c>
      <c r="AG1293" s="69" t="e" cm="1">
        <f t="array" ref="AG1293">_xlfn.XLOOKUP(Table1[[#This Row],[5 cm2 cell test code]:[5 cm2 cell test code]],[1]!Table1[[Test code]:[Test code]],[1]!Table1[Q_int_frac DIW],"",0)</f>
        <v>#REF!</v>
      </c>
      <c r="AH1293" s="69" t="e" cm="1">
        <f t="array" ref="AH1293">_xlfn.XLOOKUP(Table1[[#This Row],[5 cm2 cell test code]:[5 cm2 cell test code]],[1]!Table1[[Test code]:[Test code]],[1]!Table1[Ionic resistance 10 mM KOH/Ohm cm2],"",0)</f>
        <v>#REF!</v>
      </c>
      <c r="AI1293" s="69" t="e" cm="1">
        <f t="array" ref="AI1293">_xlfn.XLOOKUP(Table1[[#This Row],[5 cm2 cell test code]:[5 cm2 cell test code]],[1]!Table1[[Test code]:[Test code]],[1]!Table1[Q_int_frac DIW 10 mM KOH],"",0)</f>
        <v>#REF!</v>
      </c>
      <c r="AJ1293" s="69" t="e" cm="1">
        <f t="array" ref="AJ1293">_xlfn.XLOOKUP(Table1[[#This Row],[5 cm2 cell test code]:[5 cm2 cell test code]],[1]!Table1[[Test code]:[Test code]],[1]!Table1[DIW conductivity (µS/cm)],"",0)</f>
        <v>#REF!</v>
      </c>
    </row>
    <row r="1294" spans="1:36">
      <c r="A1294" s="81"/>
      <c r="U1294" s="101"/>
      <c r="V1294" s="101"/>
      <c r="W1294" s="69" t="e" cm="1">
        <f t="array" ref="W1294">_xlfn.XLOOKUP(Table1[[#This Row],[5 cm2 cell test code]:[5 cm2 cell test code]],[1]!Table1[[Test code]:[Test code]],[1]!Table1[i @ 1.8 V DIW (A/cm2)],"",0)</f>
        <v>#REF!</v>
      </c>
      <c r="X1294" s="69" t="e" cm="1">
        <f t="array" ref="X1294">_xlfn.XLOOKUP(Table1[[#This Row],[5 cm2 cell test code]:[5 cm2 cell test code]],[1]!Table1[[Test code]:[Test code]],[1]!Table1[i @ 1.8 V 10 mM KOH (A/cm2)],"",0)</f>
        <v>#REF!</v>
      </c>
      <c r="Y1294" s="69" t="e" cm="1">
        <f t="array" ref="Y1294">_xlfn.XLOOKUP(Table1[[#This Row],[5 cm2 cell test code]:[5 cm2 cell test code]],[1]!Table1[[Test code]:[Test code]],[1]!Table1[3-E ƞ at 20mAcm-2 (mV)],"",0)</f>
        <v>#REF!</v>
      </c>
      <c r="Z1294" s="69" t="e" cm="1">
        <f t="array" ref="Z1294">_xlfn.XLOOKUP(Table1[[#This Row],[5 cm2 cell test code]:[5 cm2 cell test code]],[1]!Table1[[Test code]:[Test code]],[1]!Table1[3-E Tafel slope (mV/dec)],"",0)</f>
        <v>#REF!</v>
      </c>
      <c r="AA1294" s="69" t="e" cm="1">
        <f t="array" ref="AA1294">_xlfn.XLOOKUP(Table1[[#This Row],[5 cm2 cell test code]:[5 cm2 cell test code]],[1]!Table1[[Test code]:[Test code]],[1]!Table1[E @ 100 mA/cm2 DIW/V],"",0)</f>
        <v>#REF!</v>
      </c>
      <c r="AB1294" s="69" t="e" cm="1">
        <f t="array" ref="AB1294">_xlfn.XLOOKUP(Table1[[#This Row],[5 cm2 cell test code]:[5 cm2 cell test code]],[1]!Table1[[Test code]:[Test code]],[1]!Table1[E @ 100 mA/cm2 10 mM KOH/V],"",0)</f>
        <v>#REF!</v>
      </c>
      <c r="AC1294" s="69" t="e" cm="1">
        <f t="array" ref="AC1294">_xlfn.XLOOKUP(Table1[[#This Row],[5 cm2 cell test code]:[5 cm2 cell test code]],[1]!Table1[[Test code]:[Test code]],[1]!Table1[Anode ICR/mOhm],"",0)</f>
        <v>#REF!</v>
      </c>
      <c r="AD1294" s="69" t="e" cm="1">
        <f t="array" ref="AD1294">_xlfn.XLOOKUP(Table1[[#This Row],[5 cm2 cell test code]:[5 cm2 cell test code]],[1]!Table1[[Test code]:[Test code]],[1]!Table1[HFR DIW/ mOhm cm2],"",0)</f>
        <v>#REF!</v>
      </c>
      <c r="AE1294" s="69" t="e" cm="1">
        <f t="array" ref="AE1294">_xlfn.XLOOKUP(Table1[[#This Row],[5 cm2 cell test code]:[5 cm2 cell test code]],[1]!Table1[[Test code]:[Test code]],[1]!Table1[HFR 10 mM KOH/ mOhm cm2],"",0)</f>
        <v>#REF!</v>
      </c>
      <c r="AF1294" s="69" t="e" cm="1">
        <f t="array" ref="AF1294">_xlfn.XLOOKUP(Table1[[#This Row],[5 cm2 cell test code]:[5 cm2 cell test code]],[1]!Table1[[Test code]:[Test code]],[1]!Table1[Ionic resistance DIW/Ohm cm2],"",0)</f>
        <v>#REF!</v>
      </c>
      <c r="AG1294" s="69" t="e" cm="1">
        <f t="array" ref="AG1294">_xlfn.XLOOKUP(Table1[[#This Row],[5 cm2 cell test code]:[5 cm2 cell test code]],[1]!Table1[[Test code]:[Test code]],[1]!Table1[Q_int_frac DIW],"",0)</f>
        <v>#REF!</v>
      </c>
      <c r="AH1294" s="69" t="e" cm="1">
        <f t="array" ref="AH1294">_xlfn.XLOOKUP(Table1[[#This Row],[5 cm2 cell test code]:[5 cm2 cell test code]],[1]!Table1[[Test code]:[Test code]],[1]!Table1[Ionic resistance 10 mM KOH/Ohm cm2],"",0)</f>
        <v>#REF!</v>
      </c>
      <c r="AI1294" s="69" t="e" cm="1">
        <f t="array" ref="AI1294">_xlfn.XLOOKUP(Table1[[#This Row],[5 cm2 cell test code]:[5 cm2 cell test code]],[1]!Table1[[Test code]:[Test code]],[1]!Table1[Q_int_frac DIW 10 mM KOH],"",0)</f>
        <v>#REF!</v>
      </c>
      <c r="AJ1294" s="69" t="e" cm="1">
        <f t="array" ref="AJ1294">_xlfn.XLOOKUP(Table1[[#This Row],[5 cm2 cell test code]:[5 cm2 cell test code]],[1]!Table1[[Test code]:[Test code]],[1]!Table1[DIW conductivity (µS/cm)],"",0)</f>
        <v>#REF!</v>
      </c>
    </row>
    <row r="1295" spans="1:36">
      <c r="A1295" s="81"/>
      <c r="U1295" s="101"/>
      <c r="V1295" s="101"/>
      <c r="W1295" s="69" t="e" cm="1">
        <f t="array" ref="W1295">_xlfn.XLOOKUP(Table1[[#This Row],[5 cm2 cell test code]:[5 cm2 cell test code]],[1]!Table1[[Test code]:[Test code]],[1]!Table1[i @ 1.8 V DIW (A/cm2)],"",0)</f>
        <v>#REF!</v>
      </c>
      <c r="X1295" s="69" t="e" cm="1">
        <f t="array" ref="X1295">_xlfn.XLOOKUP(Table1[[#This Row],[5 cm2 cell test code]:[5 cm2 cell test code]],[1]!Table1[[Test code]:[Test code]],[1]!Table1[i @ 1.8 V 10 mM KOH (A/cm2)],"",0)</f>
        <v>#REF!</v>
      </c>
      <c r="Y1295" s="69" t="e" cm="1">
        <f t="array" ref="Y1295">_xlfn.XLOOKUP(Table1[[#This Row],[5 cm2 cell test code]:[5 cm2 cell test code]],[1]!Table1[[Test code]:[Test code]],[1]!Table1[3-E ƞ at 20mAcm-2 (mV)],"",0)</f>
        <v>#REF!</v>
      </c>
      <c r="Z1295" s="69" t="e" cm="1">
        <f t="array" ref="Z1295">_xlfn.XLOOKUP(Table1[[#This Row],[5 cm2 cell test code]:[5 cm2 cell test code]],[1]!Table1[[Test code]:[Test code]],[1]!Table1[3-E Tafel slope (mV/dec)],"",0)</f>
        <v>#REF!</v>
      </c>
      <c r="AA1295" s="69" t="e" cm="1">
        <f t="array" ref="AA1295">_xlfn.XLOOKUP(Table1[[#This Row],[5 cm2 cell test code]:[5 cm2 cell test code]],[1]!Table1[[Test code]:[Test code]],[1]!Table1[E @ 100 mA/cm2 DIW/V],"",0)</f>
        <v>#REF!</v>
      </c>
      <c r="AB1295" s="69" t="e" cm="1">
        <f t="array" ref="AB1295">_xlfn.XLOOKUP(Table1[[#This Row],[5 cm2 cell test code]:[5 cm2 cell test code]],[1]!Table1[[Test code]:[Test code]],[1]!Table1[E @ 100 mA/cm2 10 mM KOH/V],"",0)</f>
        <v>#REF!</v>
      </c>
      <c r="AC1295" s="69" t="e" cm="1">
        <f t="array" ref="AC1295">_xlfn.XLOOKUP(Table1[[#This Row],[5 cm2 cell test code]:[5 cm2 cell test code]],[1]!Table1[[Test code]:[Test code]],[1]!Table1[Anode ICR/mOhm],"",0)</f>
        <v>#REF!</v>
      </c>
      <c r="AD1295" s="69" t="e" cm="1">
        <f t="array" ref="AD1295">_xlfn.XLOOKUP(Table1[[#This Row],[5 cm2 cell test code]:[5 cm2 cell test code]],[1]!Table1[[Test code]:[Test code]],[1]!Table1[HFR DIW/ mOhm cm2],"",0)</f>
        <v>#REF!</v>
      </c>
      <c r="AE1295" s="69" t="e" cm="1">
        <f t="array" ref="AE1295">_xlfn.XLOOKUP(Table1[[#This Row],[5 cm2 cell test code]:[5 cm2 cell test code]],[1]!Table1[[Test code]:[Test code]],[1]!Table1[HFR 10 mM KOH/ mOhm cm2],"",0)</f>
        <v>#REF!</v>
      </c>
      <c r="AF1295" s="69" t="e" cm="1">
        <f t="array" ref="AF1295">_xlfn.XLOOKUP(Table1[[#This Row],[5 cm2 cell test code]:[5 cm2 cell test code]],[1]!Table1[[Test code]:[Test code]],[1]!Table1[Ionic resistance DIW/Ohm cm2],"",0)</f>
        <v>#REF!</v>
      </c>
      <c r="AG1295" s="69" t="e" cm="1">
        <f t="array" ref="AG1295">_xlfn.XLOOKUP(Table1[[#This Row],[5 cm2 cell test code]:[5 cm2 cell test code]],[1]!Table1[[Test code]:[Test code]],[1]!Table1[Q_int_frac DIW],"",0)</f>
        <v>#REF!</v>
      </c>
      <c r="AH1295" s="69" t="e" cm="1">
        <f t="array" ref="AH1295">_xlfn.XLOOKUP(Table1[[#This Row],[5 cm2 cell test code]:[5 cm2 cell test code]],[1]!Table1[[Test code]:[Test code]],[1]!Table1[Ionic resistance 10 mM KOH/Ohm cm2],"",0)</f>
        <v>#REF!</v>
      </c>
      <c r="AI1295" s="69" t="e" cm="1">
        <f t="array" ref="AI1295">_xlfn.XLOOKUP(Table1[[#This Row],[5 cm2 cell test code]:[5 cm2 cell test code]],[1]!Table1[[Test code]:[Test code]],[1]!Table1[Q_int_frac DIW 10 mM KOH],"",0)</f>
        <v>#REF!</v>
      </c>
      <c r="AJ1295" s="69" t="e" cm="1">
        <f t="array" ref="AJ1295">_xlfn.XLOOKUP(Table1[[#This Row],[5 cm2 cell test code]:[5 cm2 cell test code]],[1]!Table1[[Test code]:[Test code]],[1]!Table1[DIW conductivity (µS/cm)],"",0)</f>
        <v>#REF!</v>
      </c>
    </row>
    <row r="1296" spans="1:36">
      <c r="A1296" s="81"/>
      <c r="U1296" s="101"/>
      <c r="V1296" s="101"/>
      <c r="W1296" s="69" t="e" cm="1">
        <f t="array" ref="W1296">_xlfn.XLOOKUP(Table1[[#This Row],[5 cm2 cell test code]:[5 cm2 cell test code]],[1]!Table1[[Test code]:[Test code]],[1]!Table1[i @ 1.8 V DIW (A/cm2)],"",0)</f>
        <v>#REF!</v>
      </c>
      <c r="X1296" s="69" t="e" cm="1">
        <f t="array" ref="X1296">_xlfn.XLOOKUP(Table1[[#This Row],[5 cm2 cell test code]:[5 cm2 cell test code]],[1]!Table1[[Test code]:[Test code]],[1]!Table1[i @ 1.8 V 10 mM KOH (A/cm2)],"",0)</f>
        <v>#REF!</v>
      </c>
      <c r="Y1296" s="69" t="e" cm="1">
        <f t="array" ref="Y1296">_xlfn.XLOOKUP(Table1[[#This Row],[5 cm2 cell test code]:[5 cm2 cell test code]],[1]!Table1[[Test code]:[Test code]],[1]!Table1[3-E ƞ at 20mAcm-2 (mV)],"",0)</f>
        <v>#REF!</v>
      </c>
      <c r="Z1296" s="69" t="e" cm="1">
        <f t="array" ref="Z1296">_xlfn.XLOOKUP(Table1[[#This Row],[5 cm2 cell test code]:[5 cm2 cell test code]],[1]!Table1[[Test code]:[Test code]],[1]!Table1[3-E Tafel slope (mV/dec)],"",0)</f>
        <v>#REF!</v>
      </c>
      <c r="AA1296" s="69" t="e" cm="1">
        <f t="array" ref="AA1296">_xlfn.XLOOKUP(Table1[[#This Row],[5 cm2 cell test code]:[5 cm2 cell test code]],[1]!Table1[[Test code]:[Test code]],[1]!Table1[E @ 100 mA/cm2 DIW/V],"",0)</f>
        <v>#REF!</v>
      </c>
      <c r="AB1296" s="69" t="e" cm="1">
        <f t="array" ref="AB1296">_xlfn.XLOOKUP(Table1[[#This Row],[5 cm2 cell test code]:[5 cm2 cell test code]],[1]!Table1[[Test code]:[Test code]],[1]!Table1[E @ 100 mA/cm2 10 mM KOH/V],"",0)</f>
        <v>#REF!</v>
      </c>
      <c r="AC1296" s="69" t="e" cm="1">
        <f t="array" ref="AC1296">_xlfn.XLOOKUP(Table1[[#This Row],[5 cm2 cell test code]:[5 cm2 cell test code]],[1]!Table1[[Test code]:[Test code]],[1]!Table1[Anode ICR/mOhm],"",0)</f>
        <v>#REF!</v>
      </c>
      <c r="AD1296" s="69" t="e" cm="1">
        <f t="array" ref="AD1296">_xlfn.XLOOKUP(Table1[[#This Row],[5 cm2 cell test code]:[5 cm2 cell test code]],[1]!Table1[[Test code]:[Test code]],[1]!Table1[HFR DIW/ mOhm cm2],"",0)</f>
        <v>#REF!</v>
      </c>
      <c r="AE1296" s="69" t="e" cm="1">
        <f t="array" ref="AE1296">_xlfn.XLOOKUP(Table1[[#This Row],[5 cm2 cell test code]:[5 cm2 cell test code]],[1]!Table1[[Test code]:[Test code]],[1]!Table1[HFR 10 mM KOH/ mOhm cm2],"",0)</f>
        <v>#REF!</v>
      </c>
      <c r="AF1296" s="69" t="e" cm="1">
        <f t="array" ref="AF1296">_xlfn.XLOOKUP(Table1[[#This Row],[5 cm2 cell test code]:[5 cm2 cell test code]],[1]!Table1[[Test code]:[Test code]],[1]!Table1[Ionic resistance DIW/Ohm cm2],"",0)</f>
        <v>#REF!</v>
      </c>
      <c r="AG1296" s="69" t="e" cm="1">
        <f t="array" ref="AG1296">_xlfn.XLOOKUP(Table1[[#This Row],[5 cm2 cell test code]:[5 cm2 cell test code]],[1]!Table1[[Test code]:[Test code]],[1]!Table1[Q_int_frac DIW],"",0)</f>
        <v>#REF!</v>
      </c>
      <c r="AH1296" s="69" t="e" cm="1">
        <f t="array" ref="AH1296">_xlfn.XLOOKUP(Table1[[#This Row],[5 cm2 cell test code]:[5 cm2 cell test code]],[1]!Table1[[Test code]:[Test code]],[1]!Table1[Ionic resistance 10 mM KOH/Ohm cm2],"",0)</f>
        <v>#REF!</v>
      </c>
      <c r="AI1296" s="69" t="e" cm="1">
        <f t="array" ref="AI1296">_xlfn.XLOOKUP(Table1[[#This Row],[5 cm2 cell test code]:[5 cm2 cell test code]],[1]!Table1[[Test code]:[Test code]],[1]!Table1[Q_int_frac DIW 10 mM KOH],"",0)</f>
        <v>#REF!</v>
      </c>
      <c r="AJ1296" s="69" t="e" cm="1">
        <f t="array" ref="AJ1296">_xlfn.XLOOKUP(Table1[[#This Row],[5 cm2 cell test code]:[5 cm2 cell test code]],[1]!Table1[[Test code]:[Test code]],[1]!Table1[DIW conductivity (µS/cm)],"",0)</f>
        <v>#REF!</v>
      </c>
    </row>
    <row r="1297" spans="1:36">
      <c r="A1297" s="81"/>
      <c r="U1297" s="101"/>
      <c r="V1297" s="101"/>
      <c r="W1297" s="69" t="e" cm="1">
        <f t="array" ref="W1297">_xlfn.XLOOKUP(Table1[[#This Row],[5 cm2 cell test code]:[5 cm2 cell test code]],[1]!Table1[[Test code]:[Test code]],[1]!Table1[i @ 1.8 V DIW (A/cm2)],"",0)</f>
        <v>#REF!</v>
      </c>
      <c r="X1297" s="69" t="e" cm="1">
        <f t="array" ref="X1297">_xlfn.XLOOKUP(Table1[[#This Row],[5 cm2 cell test code]:[5 cm2 cell test code]],[1]!Table1[[Test code]:[Test code]],[1]!Table1[i @ 1.8 V 10 mM KOH (A/cm2)],"",0)</f>
        <v>#REF!</v>
      </c>
      <c r="Y1297" s="69" t="e" cm="1">
        <f t="array" ref="Y1297">_xlfn.XLOOKUP(Table1[[#This Row],[5 cm2 cell test code]:[5 cm2 cell test code]],[1]!Table1[[Test code]:[Test code]],[1]!Table1[3-E ƞ at 20mAcm-2 (mV)],"",0)</f>
        <v>#REF!</v>
      </c>
      <c r="Z1297" s="69" t="e" cm="1">
        <f t="array" ref="Z1297">_xlfn.XLOOKUP(Table1[[#This Row],[5 cm2 cell test code]:[5 cm2 cell test code]],[1]!Table1[[Test code]:[Test code]],[1]!Table1[3-E Tafel slope (mV/dec)],"",0)</f>
        <v>#REF!</v>
      </c>
      <c r="AA1297" s="69" t="e" cm="1">
        <f t="array" ref="AA1297">_xlfn.XLOOKUP(Table1[[#This Row],[5 cm2 cell test code]:[5 cm2 cell test code]],[1]!Table1[[Test code]:[Test code]],[1]!Table1[E @ 100 mA/cm2 DIW/V],"",0)</f>
        <v>#REF!</v>
      </c>
      <c r="AB1297" s="69" t="e" cm="1">
        <f t="array" ref="AB1297">_xlfn.XLOOKUP(Table1[[#This Row],[5 cm2 cell test code]:[5 cm2 cell test code]],[1]!Table1[[Test code]:[Test code]],[1]!Table1[E @ 100 mA/cm2 10 mM KOH/V],"",0)</f>
        <v>#REF!</v>
      </c>
      <c r="AC1297" s="69" t="e" cm="1">
        <f t="array" ref="AC1297">_xlfn.XLOOKUP(Table1[[#This Row],[5 cm2 cell test code]:[5 cm2 cell test code]],[1]!Table1[[Test code]:[Test code]],[1]!Table1[Anode ICR/mOhm],"",0)</f>
        <v>#REF!</v>
      </c>
      <c r="AD1297" s="69" t="e" cm="1">
        <f t="array" ref="AD1297">_xlfn.XLOOKUP(Table1[[#This Row],[5 cm2 cell test code]:[5 cm2 cell test code]],[1]!Table1[[Test code]:[Test code]],[1]!Table1[HFR DIW/ mOhm cm2],"",0)</f>
        <v>#REF!</v>
      </c>
      <c r="AE1297" s="69" t="e" cm="1">
        <f t="array" ref="AE1297">_xlfn.XLOOKUP(Table1[[#This Row],[5 cm2 cell test code]:[5 cm2 cell test code]],[1]!Table1[[Test code]:[Test code]],[1]!Table1[HFR 10 mM KOH/ mOhm cm2],"",0)</f>
        <v>#REF!</v>
      </c>
      <c r="AF1297" s="69" t="e" cm="1">
        <f t="array" ref="AF1297">_xlfn.XLOOKUP(Table1[[#This Row],[5 cm2 cell test code]:[5 cm2 cell test code]],[1]!Table1[[Test code]:[Test code]],[1]!Table1[Ionic resistance DIW/Ohm cm2],"",0)</f>
        <v>#REF!</v>
      </c>
      <c r="AG1297" s="69" t="e" cm="1">
        <f t="array" ref="AG1297">_xlfn.XLOOKUP(Table1[[#This Row],[5 cm2 cell test code]:[5 cm2 cell test code]],[1]!Table1[[Test code]:[Test code]],[1]!Table1[Q_int_frac DIW],"",0)</f>
        <v>#REF!</v>
      </c>
      <c r="AH1297" s="69" t="e" cm="1">
        <f t="array" ref="AH1297">_xlfn.XLOOKUP(Table1[[#This Row],[5 cm2 cell test code]:[5 cm2 cell test code]],[1]!Table1[[Test code]:[Test code]],[1]!Table1[Ionic resistance 10 mM KOH/Ohm cm2],"",0)</f>
        <v>#REF!</v>
      </c>
      <c r="AI1297" s="69" t="e" cm="1">
        <f t="array" ref="AI1297">_xlfn.XLOOKUP(Table1[[#This Row],[5 cm2 cell test code]:[5 cm2 cell test code]],[1]!Table1[[Test code]:[Test code]],[1]!Table1[Q_int_frac DIW 10 mM KOH],"",0)</f>
        <v>#REF!</v>
      </c>
      <c r="AJ1297" s="69" t="e" cm="1">
        <f t="array" ref="AJ1297">_xlfn.XLOOKUP(Table1[[#This Row],[5 cm2 cell test code]:[5 cm2 cell test code]],[1]!Table1[[Test code]:[Test code]],[1]!Table1[DIW conductivity (µS/cm)],"",0)</f>
        <v>#REF!</v>
      </c>
    </row>
    <row r="1298" spans="1:36">
      <c r="A1298" s="81"/>
      <c r="U1298" s="101"/>
      <c r="V1298" s="101"/>
      <c r="W1298" s="69" t="e" cm="1">
        <f t="array" ref="W1298">_xlfn.XLOOKUP(Table1[[#This Row],[5 cm2 cell test code]:[5 cm2 cell test code]],[1]!Table1[[Test code]:[Test code]],[1]!Table1[i @ 1.8 V DIW (A/cm2)],"",0)</f>
        <v>#REF!</v>
      </c>
      <c r="X1298" s="69" t="e" cm="1">
        <f t="array" ref="X1298">_xlfn.XLOOKUP(Table1[[#This Row],[5 cm2 cell test code]:[5 cm2 cell test code]],[1]!Table1[[Test code]:[Test code]],[1]!Table1[i @ 1.8 V 10 mM KOH (A/cm2)],"",0)</f>
        <v>#REF!</v>
      </c>
      <c r="Y1298" s="69" t="e" cm="1">
        <f t="array" ref="Y1298">_xlfn.XLOOKUP(Table1[[#This Row],[5 cm2 cell test code]:[5 cm2 cell test code]],[1]!Table1[[Test code]:[Test code]],[1]!Table1[3-E ƞ at 20mAcm-2 (mV)],"",0)</f>
        <v>#REF!</v>
      </c>
      <c r="Z1298" s="69" t="e" cm="1">
        <f t="array" ref="Z1298">_xlfn.XLOOKUP(Table1[[#This Row],[5 cm2 cell test code]:[5 cm2 cell test code]],[1]!Table1[[Test code]:[Test code]],[1]!Table1[3-E Tafel slope (mV/dec)],"",0)</f>
        <v>#REF!</v>
      </c>
      <c r="AA1298" s="69" t="e" cm="1">
        <f t="array" ref="AA1298">_xlfn.XLOOKUP(Table1[[#This Row],[5 cm2 cell test code]:[5 cm2 cell test code]],[1]!Table1[[Test code]:[Test code]],[1]!Table1[E @ 100 mA/cm2 DIW/V],"",0)</f>
        <v>#REF!</v>
      </c>
      <c r="AB1298" s="69" t="e" cm="1">
        <f t="array" ref="AB1298">_xlfn.XLOOKUP(Table1[[#This Row],[5 cm2 cell test code]:[5 cm2 cell test code]],[1]!Table1[[Test code]:[Test code]],[1]!Table1[E @ 100 mA/cm2 10 mM KOH/V],"",0)</f>
        <v>#REF!</v>
      </c>
      <c r="AC1298" s="69" t="e" cm="1">
        <f t="array" ref="AC1298">_xlfn.XLOOKUP(Table1[[#This Row],[5 cm2 cell test code]:[5 cm2 cell test code]],[1]!Table1[[Test code]:[Test code]],[1]!Table1[Anode ICR/mOhm],"",0)</f>
        <v>#REF!</v>
      </c>
      <c r="AD1298" s="69" t="e" cm="1">
        <f t="array" ref="AD1298">_xlfn.XLOOKUP(Table1[[#This Row],[5 cm2 cell test code]:[5 cm2 cell test code]],[1]!Table1[[Test code]:[Test code]],[1]!Table1[HFR DIW/ mOhm cm2],"",0)</f>
        <v>#REF!</v>
      </c>
      <c r="AE1298" s="69" t="e" cm="1">
        <f t="array" ref="AE1298">_xlfn.XLOOKUP(Table1[[#This Row],[5 cm2 cell test code]:[5 cm2 cell test code]],[1]!Table1[[Test code]:[Test code]],[1]!Table1[HFR 10 mM KOH/ mOhm cm2],"",0)</f>
        <v>#REF!</v>
      </c>
      <c r="AF1298" s="69" t="e" cm="1">
        <f t="array" ref="AF1298">_xlfn.XLOOKUP(Table1[[#This Row],[5 cm2 cell test code]:[5 cm2 cell test code]],[1]!Table1[[Test code]:[Test code]],[1]!Table1[Ionic resistance DIW/Ohm cm2],"",0)</f>
        <v>#REF!</v>
      </c>
      <c r="AG1298" s="69" t="e" cm="1">
        <f t="array" ref="AG1298">_xlfn.XLOOKUP(Table1[[#This Row],[5 cm2 cell test code]:[5 cm2 cell test code]],[1]!Table1[[Test code]:[Test code]],[1]!Table1[Q_int_frac DIW],"",0)</f>
        <v>#REF!</v>
      </c>
      <c r="AH1298" s="69" t="e" cm="1">
        <f t="array" ref="AH1298">_xlfn.XLOOKUP(Table1[[#This Row],[5 cm2 cell test code]:[5 cm2 cell test code]],[1]!Table1[[Test code]:[Test code]],[1]!Table1[Ionic resistance 10 mM KOH/Ohm cm2],"",0)</f>
        <v>#REF!</v>
      </c>
      <c r="AI1298" s="69" t="e" cm="1">
        <f t="array" ref="AI1298">_xlfn.XLOOKUP(Table1[[#This Row],[5 cm2 cell test code]:[5 cm2 cell test code]],[1]!Table1[[Test code]:[Test code]],[1]!Table1[Q_int_frac DIW 10 mM KOH],"",0)</f>
        <v>#REF!</v>
      </c>
      <c r="AJ1298" s="69" t="e" cm="1">
        <f t="array" ref="AJ1298">_xlfn.XLOOKUP(Table1[[#This Row],[5 cm2 cell test code]:[5 cm2 cell test code]],[1]!Table1[[Test code]:[Test code]],[1]!Table1[DIW conductivity (µS/cm)],"",0)</f>
        <v>#REF!</v>
      </c>
    </row>
    <row r="1299" spans="1:36">
      <c r="A1299" s="81"/>
      <c r="U1299" s="101"/>
      <c r="V1299" s="101"/>
      <c r="W1299" s="69" t="e" cm="1">
        <f t="array" ref="W1299">_xlfn.XLOOKUP(Table1[[#This Row],[5 cm2 cell test code]:[5 cm2 cell test code]],[1]!Table1[[Test code]:[Test code]],[1]!Table1[i @ 1.8 V DIW (A/cm2)],"",0)</f>
        <v>#REF!</v>
      </c>
      <c r="X1299" s="69" t="e" cm="1">
        <f t="array" ref="X1299">_xlfn.XLOOKUP(Table1[[#This Row],[5 cm2 cell test code]:[5 cm2 cell test code]],[1]!Table1[[Test code]:[Test code]],[1]!Table1[i @ 1.8 V 10 mM KOH (A/cm2)],"",0)</f>
        <v>#REF!</v>
      </c>
      <c r="Y1299" s="69" t="e" cm="1">
        <f t="array" ref="Y1299">_xlfn.XLOOKUP(Table1[[#This Row],[5 cm2 cell test code]:[5 cm2 cell test code]],[1]!Table1[[Test code]:[Test code]],[1]!Table1[3-E ƞ at 20mAcm-2 (mV)],"",0)</f>
        <v>#REF!</v>
      </c>
      <c r="Z1299" s="69" t="e" cm="1">
        <f t="array" ref="Z1299">_xlfn.XLOOKUP(Table1[[#This Row],[5 cm2 cell test code]:[5 cm2 cell test code]],[1]!Table1[[Test code]:[Test code]],[1]!Table1[3-E Tafel slope (mV/dec)],"",0)</f>
        <v>#REF!</v>
      </c>
      <c r="AA1299" s="69" t="e" cm="1">
        <f t="array" ref="AA1299">_xlfn.XLOOKUP(Table1[[#This Row],[5 cm2 cell test code]:[5 cm2 cell test code]],[1]!Table1[[Test code]:[Test code]],[1]!Table1[E @ 100 mA/cm2 DIW/V],"",0)</f>
        <v>#REF!</v>
      </c>
      <c r="AB1299" s="69" t="e" cm="1">
        <f t="array" ref="AB1299">_xlfn.XLOOKUP(Table1[[#This Row],[5 cm2 cell test code]:[5 cm2 cell test code]],[1]!Table1[[Test code]:[Test code]],[1]!Table1[E @ 100 mA/cm2 10 mM KOH/V],"",0)</f>
        <v>#REF!</v>
      </c>
      <c r="AC1299" s="69" t="e" cm="1">
        <f t="array" ref="AC1299">_xlfn.XLOOKUP(Table1[[#This Row],[5 cm2 cell test code]:[5 cm2 cell test code]],[1]!Table1[[Test code]:[Test code]],[1]!Table1[Anode ICR/mOhm],"",0)</f>
        <v>#REF!</v>
      </c>
      <c r="AD1299" s="69" t="e" cm="1">
        <f t="array" ref="AD1299">_xlfn.XLOOKUP(Table1[[#This Row],[5 cm2 cell test code]:[5 cm2 cell test code]],[1]!Table1[[Test code]:[Test code]],[1]!Table1[HFR DIW/ mOhm cm2],"",0)</f>
        <v>#REF!</v>
      </c>
      <c r="AE1299" s="69" t="e" cm="1">
        <f t="array" ref="AE1299">_xlfn.XLOOKUP(Table1[[#This Row],[5 cm2 cell test code]:[5 cm2 cell test code]],[1]!Table1[[Test code]:[Test code]],[1]!Table1[HFR 10 mM KOH/ mOhm cm2],"",0)</f>
        <v>#REF!</v>
      </c>
      <c r="AF1299" s="69" t="e" cm="1">
        <f t="array" ref="AF1299">_xlfn.XLOOKUP(Table1[[#This Row],[5 cm2 cell test code]:[5 cm2 cell test code]],[1]!Table1[[Test code]:[Test code]],[1]!Table1[Ionic resistance DIW/Ohm cm2],"",0)</f>
        <v>#REF!</v>
      </c>
      <c r="AG1299" s="69" t="e" cm="1">
        <f t="array" ref="AG1299">_xlfn.XLOOKUP(Table1[[#This Row],[5 cm2 cell test code]:[5 cm2 cell test code]],[1]!Table1[[Test code]:[Test code]],[1]!Table1[Q_int_frac DIW],"",0)</f>
        <v>#REF!</v>
      </c>
      <c r="AH1299" s="69" t="e" cm="1">
        <f t="array" ref="AH1299">_xlfn.XLOOKUP(Table1[[#This Row],[5 cm2 cell test code]:[5 cm2 cell test code]],[1]!Table1[[Test code]:[Test code]],[1]!Table1[Ionic resistance 10 mM KOH/Ohm cm2],"",0)</f>
        <v>#REF!</v>
      </c>
      <c r="AI1299" s="69" t="e" cm="1">
        <f t="array" ref="AI1299">_xlfn.XLOOKUP(Table1[[#This Row],[5 cm2 cell test code]:[5 cm2 cell test code]],[1]!Table1[[Test code]:[Test code]],[1]!Table1[Q_int_frac DIW 10 mM KOH],"",0)</f>
        <v>#REF!</v>
      </c>
      <c r="AJ1299" s="69" t="e" cm="1">
        <f t="array" ref="AJ1299">_xlfn.XLOOKUP(Table1[[#This Row],[5 cm2 cell test code]:[5 cm2 cell test code]],[1]!Table1[[Test code]:[Test code]],[1]!Table1[DIW conductivity (µS/cm)],"",0)</f>
        <v>#REF!</v>
      </c>
    </row>
    <row r="1300" spans="1:36">
      <c r="A1300" s="81"/>
      <c r="U1300" s="101"/>
      <c r="V1300" s="101"/>
      <c r="W1300" s="69" t="e" cm="1">
        <f t="array" ref="W1300">_xlfn.XLOOKUP(Table1[[#This Row],[5 cm2 cell test code]:[5 cm2 cell test code]],[1]!Table1[[Test code]:[Test code]],[1]!Table1[i @ 1.8 V DIW (A/cm2)],"",0)</f>
        <v>#REF!</v>
      </c>
      <c r="X1300" s="69" t="e" cm="1">
        <f t="array" ref="X1300">_xlfn.XLOOKUP(Table1[[#This Row],[5 cm2 cell test code]:[5 cm2 cell test code]],[1]!Table1[[Test code]:[Test code]],[1]!Table1[i @ 1.8 V 10 mM KOH (A/cm2)],"",0)</f>
        <v>#REF!</v>
      </c>
      <c r="Y1300" s="69" t="e" cm="1">
        <f t="array" ref="Y1300">_xlfn.XLOOKUP(Table1[[#This Row],[5 cm2 cell test code]:[5 cm2 cell test code]],[1]!Table1[[Test code]:[Test code]],[1]!Table1[3-E ƞ at 20mAcm-2 (mV)],"",0)</f>
        <v>#REF!</v>
      </c>
      <c r="Z1300" s="69" t="e" cm="1">
        <f t="array" ref="Z1300">_xlfn.XLOOKUP(Table1[[#This Row],[5 cm2 cell test code]:[5 cm2 cell test code]],[1]!Table1[[Test code]:[Test code]],[1]!Table1[3-E Tafel slope (mV/dec)],"",0)</f>
        <v>#REF!</v>
      </c>
      <c r="AA1300" s="69" t="e" cm="1">
        <f t="array" ref="AA1300">_xlfn.XLOOKUP(Table1[[#This Row],[5 cm2 cell test code]:[5 cm2 cell test code]],[1]!Table1[[Test code]:[Test code]],[1]!Table1[E @ 100 mA/cm2 DIW/V],"",0)</f>
        <v>#REF!</v>
      </c>
      <c r="AB1300" s="69" t="e" cm="1">
        <f t="array" ref="AB1300">_xlfn.XLOOKUP(Table1[[#This Row],[5 cm2 cell test code]:[5 cm2 cell test code]],[1]!Table1[[Test code]:[Test code]],[1]!Table1[E @ 100 mA/cm2 10 mM KOH/V],"",0)</f>
        <v>#REF!</v>
      </c>
      <c r="AC1300" s="69" t="e" cm="1">
        <f t="array" ref="AC1300">_xlfn.XLOOKUP(Table1[[#This Row],[5 cm2 cell test code]:[5 cm2 cell test code]],[1]!Table1[[Test code]:[Test code]],[1]!Table1[Anode ICR/mOhm],"",0)</f>
        <v>#REF!</v>
      </c>
      <c r="AD1300" s="69" t="e" cm="1">
        <f t="array" ref="AD1300">_xlfn.XLOOKUP(Table1[[#This Row],[5 cm2 cell test code]:[5 cm2 cell test code]],[1]!Table1[[Test code]:[Test code]],[1]!Table1[HFR DIW/ mOhm cm2],"",0)</f>
        <v>#REF!</v>
      </c>
      <c r="AE1300" s="69" t="e" cm="1">
        <f t="array" ref="AE1300">_xlfn.XLOOKUP(Table1[[#This Row],[5 cm2 cell test code]:[5 cm2 cell test code]],[1]!Table1[[Test code]:[Test code]],[1]!Table1[HFR 10 mM KOH/ mOhm cm2],"",0)</f>
        <v>#REF!</v>
      </c>
      <c r="AF1300" s="69" t="e" cm="1">
        <f t="array" ref="AF1300">_xlfn.XLOOKUP(Table1[[#This Row],[5 cm2 cell test code]:[5 cm2 cell test code]],[1]!Table1[[Test code]:[Test code]],[1]!Table1[Ionic resistance DIW/Ohm cm2],"",0)</f>
        <v>#REF!</v>
      </c>
      <c r="AG1300" s="69" t="e" cm="1">
        <f t="array" ref="AG1300">_xlfn.XLOOKUP(Table1[[#This Row],[5 cm2 cell test code]:[5 cm2 cell test code]],[1]!Table1[[Test code]:[Test code]],[1]!Table1[Q_int_frac DIW],"",0)</f>
        <v>#REF!</v>
      </c>
      <c r="AH1300" s="69" t="e" cm="1">
        <f t="array" ref="AH1300">_xlfn.XLOOKUP(Table1[[#This Row],[5 cm2 cell test code]:[5 cm2 cell test code]],[1]!Table1[[Test code]:[Test code]],[1]!Table1[Ionic resistance 10 mM KOH/Ohm cm2],"",0)</f>
        <v>#REF!</v>
      </c>
      <c r="AI1300" s="69" t="e" cm="1">
        <f t="array" ref="AI1300">_xlfn.XLOOKUP(Table1[[#This Row],[5 cm2 cell test code]:[5 cm2 cell test code]],[1]!Table1[[Test code]:[Test code]],[1]!Table1[Q_int_frac DIW 10 mM KOH],"",0)</f>
        <v>#REF!</v>
      </c>
      <c r="AJ1300" s="69" t="e" cm="1">
        <f t="array" ref="AJ1300">_xlfn.XLOOKUP(Table1[[#This Row],[5 cm2 cell test code]:[5 cm2 cell test code]],[1]!Table1[[Test code]:[Test code]],[1]!Table1[DIW conductivity (µS/cm)],"",0)</f>
        <v>#REF!</v>
      </c>
    </row>
    <row r="1301" spans="1:36">
      <c r="A1301" s="81"/>
      <c r="U1301" s="101"/>
      <c r="V1301" s="101"/>
      <c r="W1301" s="69" t="e" cm="1">
        <f t="array" ref="W1301">_xlfn.XLOOKUP(Table1[[#This Row],[5 cm2 cell test code]:[5 cm2 cell test code]],[1]!Table1[[Test code]:[Test code]],[1]!Table1[i @ 1.8 V DIW (A/cm2)],"",0)</f>
        <v>#REF!</v>
      </c>
      <c r="X1301" s="69" t="e" cm="1">
        <f t="array" ref="X1301">_xlfn.XLOOKUP(Table1[[#This Row],[5 cm2 cell test code]:[5 cm2 cell test code]],[1]!Table1[[Test code]:[Test code]],[1]!Table1[i @ 1.8 V 10 mM KOH (A/cm2)],"",0)</f>
        <v>#REF!</v>
      </c>
      <c r="Y1301" s="69" t="e" cm="1">
        <f t="array" ref="Y1301">_xlfn.XLOOKUP(Table1[[#This Row],[5 cm2 cell test code]:[5 cm2 cell test code]],[1]!Table1[[Test code]:[Test code]],[1]!Table1[3-E ƞ at 20mAcm-2 (mV)],"",0)</f>
        <v>#REF!</v>
      </c>
      <c r="Z1301" s="69" t="e" cm="1">
        <f t="array" ref="Z1301">_xlfn.XLOOKUP(Table1[[#This Row],[5 cm2 cell test code]:[5 cm2 cell test code]],[1]!Table1[[Test code]:[Test code]],[1]!Table1[3-E Tafel slope (mV/dec)],"",0)</f>
        <v>#REF!</v>
      </c>
      <c r="AA1301" s="69" t="e" cm="1">
        <f t="array" ref="AA1301">_xlfn.XLOOKUP(Table1[[#This Row],[5 cm2 cell test code]:[5 cm2 cell test code]],[1]!Table1[[Test code]:[Test code]],[1]!Table1[E @ 100 mA/cm2 DIW/V],"",0)</f>
        <v>#REF!</v>
      </c>
      <c r="AB1301" s="69" t="e" cm="1">
        <f t="array" ref="AB1301">_xlfn.XLOOKUP(Table1[[#This Row],[5 cm2 cell test code]:[5 cm2 cell test code]],[1]!Table1[[Test code]:[Test code]],[1]!Table1[E @ 100 mA/cm2 10 mM KOH/V],"",0)</f>
        <v>#REF!</v>
      </c>
      <c r="AC1301" s="69" t="e" cm="1">
        <f t="array" ref="AC1301">_xlfn.XLOOKUP(Table1[[#This Row],[5 cm2 cell test code]:[5 cm2 cell test code]],[1]!Table1[[Test code]:[Test code]],[1]!Table1[Anode ICR/mOhm],"",0)</f>
        <v>#REF!</v>
      </c>
      <c r="AD1301" s="69" t="e" cm="1">
        <f t="array" ref="AD1301">_xlfn.XLOOKUP(Table1[[#This Row],[5 cm2 cell test code]:[5 cm2 cell test code]],[1]!Table1[[Test code]:[Test code]],[1]!Table1[HFR DIW/ mOhm cm2],"",0)</f>
        <v>#REF!</v>
      </c>
      <c r="AE1301" s="69" t="e" cm="1">
        <f t="array" ref="AE1301">_xlfn.XLOOKUP(Table1[[#This Row],[5 cm2 cell test code]:[5 cm2 cell test code]],[1]!Table1[[Test code]:[Test code]],[1]!Table1[HFR 10 mM KOH/ mOhm cm2],"",0)</f>
        <v>#REF!</v>
      </c>
      <c r="AF1301" s="69" t="e" cm="1">
        <f t="array" ref="AF1301">_xlfn.XLOOKUP(Table1[[#This Row],[5 cm2 cell test code]:[5 cm2 cell test code]],[1]!Table1[[Test code]:[Test code]],[1]!Table1[Ionic resistance DIW/Ohm cm2],"",0)</f>
        <v>#REF!</v>
      </c>
      <c r="AG1301" s="69" t="e" cm="1">
        <f t="array" ref="AG1301">_xlfn.XLOOKUP(Table1[[#This Row],[5 cm2 cell test code]:[5 cm2 cell test code]],[1]!Table1[[Test code]:[Test code]],[1]!Table1[Q_int_frac DIW],"",0)</f>
        <v>#REF!</v>
      </c>
      <c r="AH1301" s="69" t="e" cm="1">
        <f t="array" ref="AH1301">_xlfn.XLOOKUP(Table1[[#This Row],[5 cm2 cell test code]:[5 cm2 cell test code]],[1]!Table1[[Test code]:[Test code]],[1]!Table1[Ionic resistance 10 mM KOH/Ohm cm2],"",0)</f>
        <v>#REF!</v>
      </c>
      <c r="AI1301" s="69" t="e" cm="1">
        <f t="array" ref="AI1301">_xlfn.XLOOKUP(Table1[[#This Row],[5 cm2 cell test code]:[5 cm2 cell test code]],[1]!Table1[[Test code]:[Test code]],[1]!Table1[Q_int_frac DIW 10 mM KOH],"",0)</f>
        <v>#REF!</v>
      </c>
      <c r="AJ1301" s="69" t="e" cm="1">
        <f t="array" ref="AJ1301">_xlfn.XLOOKUP(Table1[[#This Row],[5 cm2 cell test code]:[5 cm2 cell test code]],[1]!Table1[[Test code]:[Test code]],[1]!Table1[DIW conductivity (µS/cm)],"",0)</f>
        <v>#REF!</v>
      </c>
    </row>
    <row r="1302" spans="1:36">
      <c r="A1302" s="81"/>
      <c r="U1302" s="101"/>
      <c r="V1302" s="101"/>
      <c r="W1302" s="69" t="e" cm="1">
        <f t="array" ref="W1302">_xlfn.XLOOKUP(Table1[[#This Row],[5 cm2 cell test code]:[5 cm2 cell test code]],[1]!Table1[[Test code]:[Test code]],[1]!Table1[i @ 1.8 V DIW (A/cm2)],"",0)</f>
        <v>#REF!</v>
      </c>
      <c r="X1302" s="69" t="e" cm="1">
        <f t="array" ref="X1302">_xlfn.XLOOKUP(Table1[[#This Row],[5 cm2 cell test code]:[5 cm2 cell test code]],[1]!Table1[[Test code]:[Test code]],[1]!Table1[i @ 1.8 V 10 mM KOH (A/cm2)],"",0)</f>
        <v>#REF!</v>
      </c>
      <c r="Y1302" s="69" t="e" cm="1">
        <f t="array" ref="Y1302">_xlfn.XLOOKUP(Table1[[#This Row],[5 cm2 cell test code]:[5 cm2 cell test code]],[1]!Table1[[Test code]:[Test code]],[1]!Table1[3-E ƞ at 20mAcm-2 (mV)],"",0)</f>
        <v>#REF!</v>
      </c>
      <c r="Z1302" s="69" t="e" cm="1">
        <f t="array" ref="Z1302">_xlfn.XLOOKUP(Table1[[#This Row],[5 cm2 cell test code]:[5 cm2 cell test code]],[1]!Table1[[Test code]:[Test code]],[1]!Table1[3-E Tafel slope (mV/dec)],"",0)</f>
        <v>#REF!</v>
      </c>
      <c r="AA1302" s="69" t="e" cm="1">
        <f t="array" ref="AA1302">_xlfn.XLOOKUP(Table1[[#This Row],[5 cm2 cell test code]:[5 cm2 cell test code]],[1]!Table1[[Test code]:[Test code]],[1]!Table1[E @ 100 mA/cm2 DIW/V],"",0)</f>
        <v>#REF!</v>
      </c>
      <c r="AB1302" s="69" t="e" cm="1">
        <f t="array" ref="AB1302">_xlfn.XLOOKUP(Table1[[#This Row],[5 cm2 cell test code]:[5 cm2 cell test code]],[1]!Table1[[Test code]:[Test code]],[1]!Table1[E @ 100 mA/cm2 10 mM KOH/V],"",0)</f>
        <v>#REF!</v>
      </c>
      <c r="AC1302" s="69" t="e" cm="1">
        <f t="array" ref="AC1302">_xlfn.XLOOKUP(Table1[[#This Row],[5 cm2 cell test code]:[5 cm2 cell test code]],[1]!Table1[[Test code]:[Test code]],[1]!Table1[Anode ICR/mOhm],"",0)</f>
        <v>#REF!</v>
      </c>
      <c r="AD1302" s="69" t="e" cm="1">
        <f t="array" ref="AD1302">_xlfn.XLOOKUP(Table1[[#This Row],[5 cm2 cell test code]:[5 cm2 cell test code]],[1]!Table1[[Test code]:[Test code]],[1]!Table1[HFR DIW/ mOhm cm2],"",0)</f>
        <v>#REF!</v>
      </c>
      <c r="AE1302" s="69" t="e" cm="1">
        <f t="array" ref="AE1302">_xlfn.XLOOKUP(Table1[[#This Row],[5 cm2 cell test code]:[5 cm2 cell test code]],[1]!Table1[[Test code]:[Test code]],[1]!Table1[HFR 10 mM KOH/ mOhm cm2],"",0)</f>
        <v>#REF!</v>
      </c>
      <c r="AF1302" s="69" t="e" cm="1">
        <f t="array" ref="AF1302">_xlfn.XLOOKUP(Table1[[#This Row],[5 cm2 cell test code]:[5 cm2 cell test code]],[1]!Table1[[Test code]:[Test code]],[1]!Table1[Ionic resistance DIW/Ohm cm2],"",0)</f>
        <v>#REF!</v>
      </c>
      <c r="AG1302" s="69" t="e" cm="1">
        <f t="array" ref="AG1302">_xlfn.XLOOKUP(Table1[[#This Row],[5 cm2 cell test code]:[5 cm2 cell test code]],[1]!Table1[[Test code]:[Test code]],[1]!Table1[Q_int_frac DIW],"",0)</f>
        <v>#REF!</v>
      </c>
      <c r="AH1302" s="69" t="e" cm="1">
        <f t="array" ref="AH1302">_xlfn.XLOOKUP(Table1[[#This Row],[5 cm2 cell test code]:[5 cm2 cell test code]],[1]!Table1[[Test code]:[Test code]],[1]!Table1[Ionic resistance 10 mM KOH/Ohm cm2],"",0)</f>
        <v>#REF!</v>
      </c>
      <c r="AI1302" s="69" t="e" cm="1">
        <f t="array" ref="AI1302">_xlfn.XLOOKUP(Table1[[#This Row],[5 cm2 cell test code]:[5 cm2 cell test code]],[1]!Table1[[Test code]:[Test code]],[1]!Table1[Q_int_frac DIW 10 mM KOH],"",0)</f>
        <v>#REF!</v>
      </c>
      <c r="AJ1302" s="69" t="e" cm="1">
        <f t="array" ref="AJ1302">_xlfn.XLOOKUP(Table1[[#This Row],[5 cm2 cell test code]:[5 cm2 cell test code]],[1]!Table1[[Test code]:[Test code]],[1]!Table1[DIW conductivity (µS/cm)],"",0)</f>
        <v>#REF!</v>
      </c>
    </row>
    <row r="1303" spans="1:36">
      <c r="A1303" s="81"/>
      <c r="U1303" s="101"/>
      <c r="V1303" s="101"/>
      <c r="W1303" s="69" t="e" cm="1">
        <f t="array" ref="W1303">_xlfn.XLOOKUP(Table1[[#This Row],[5 cm2 cell test code]:[5 cm2 cell test code]],[1]!Table1[[Test code]:[Test code]],[1]!Table1[i @ 1.8 V DIW (A/cm2)],"",0)</f>
        <v>#REF!</v>
      </c>
      <c r="X1303" s="69" t="e" cm="1">
        <f t="array" ref="X1303">_xlfn.XLOOKUP(Table1[[#This Row],[5 cm2 cell test code]:[5 cm2 cell test code]],[1]!Table1[[Test code]:[Test code]],[1]!Table1[i @ 1.8 V 10 mM KOH (A/cm2)],"",0)</f>
        <v>#REF!</v>
      </c>
      <c r="Y1303" s="69" t="e" cm="1">
        <f t="array" ref="Y1303">_xlfn.XLOOKUP(Table1[[#This Row],[5 cm2 cell test code]:[5 cm2 cell test code]],[1]!Table1[[Test code]:[Test code]],[1]!Table1[3-E ƞ at 20mAcm-2 (mV)],"",0)</f>
        <v>#REF!</v>
      </c>
      <c r="Z1303" s="69" t="e" cm="1">
        <f t="array" ref="Z1303">_xlfn.XLOOKUP(Table1[[#This Row],[5 cm2 cell test code]:[5 cm2 cell test code]],[1]!Table1[[Test code]:[Test code]],[1]!Table1[3-E Tafel slope (mV/dec)],"",0)</f>
        <v>#REF!</v>
      </c>
      <c r="AA1303" s="69" t="e" cm="1">
        <f t="array" ref="AA1303">_xlfn.XLOOKUP(Table1[[#This Row],[5 cm2 cell test code]:[5 cm2 cell test code]],[1]!Table1[[Test code]:[Test code]],[1]!Table1[E @ 100 mA/cm2 DIW/V],"",0)</f>
        <v>#REF!</v>
      </c>
      <c r="AB1303" s="69" t="e" cm="1">
        <f t="array" ref="AB1303">_xlfn.XLOOKUP(Table1[[#This Row],[5 cm2 cell test code]:[5 cm2 cell test code]],[1]!Table1[[Test code]:[Test code]],[1]!Table1[E @ 100 mA/cm2 10 mM KOH/V],"",0)</f>
        <v>#REF!</v>
      </c>
      <c r="AC1303" s="69" t="e" cm="1">
        <f t="array" ref="AC1303">_xlfn.XLOOKUP(Table1[[#This Row],[5 cm2 cell test code]:[5 cm2 cell test code]],[1]!Table1[[Test code]:[Test code]],[1]!Table1[Anode ICR/mOhm],"",0)</f>
        <v>#REF!</v>
      </c>
      <c r="AD1303" s="69" t="e" cm="1">
        <f t="array" ref="AD1303">_xlfn.XLOOKUP(Table1[[#This Row],[5 cm2 cell test code]:[5 cm2 cell test code]],[1]!Table1[[Test code]:[Test code]],[1]!Table1[HFR DIW/ mOhm cm2],"",0)</f>
        <v>#REF!</v>
      </c>
      <c r="AE1303" s="69" t="e" cm="1">
        <f t="array" ref="AE1303">_xlfn.XLOOKUP(Table1[[#This Row],[5 cm2 cell test code]:[5 cm2 cell test code]],[1]!Table1[[Test code]:[Test code]],[1]!Table1[HFR 10 mM KOH/ mOhm cm2],"",0)</f>
        <v>#REF!</v>
      </c>
      <c r="AF1303" s="69" t="e" cm="1">
        <f t="array" ref="AF1303">_xlfn.XLOOKUP(Table1[[#This Row],[5 cm2 cell test code]:[5 cm2 cell test code]],[1]!Table1[[Test code]:[Test code]],[1]!Table1[Ionic resistance DIW/Ohm cm2],"",0)</f>
        <v>#REF!</v>
      </c>
      <c r="AG1303" s="69" t="e" cm="1">
        <f t="array" ref="AG1303">_xlfn.XLOOKUP(Table1[[#This Row],[5 cm2 cell test code]:[5 cm2 cell test code]],[1]!Table1[[Test code]:[Test code]],[1]!Table1[Q_int_frac DIW],"",0)</f>
        <v>#REF!</v>
      </c>
      <c r="AH1303" s="69" t="e" cm="1">
        <f t="array" ref="AH1303">_xlfn.XLOOKUP(Table1[[#This Row],[5 cm2 cell test code]:[5 cm2 cell test code]],[1]!Table1[[Test code]:[Test code]],[1]!Table1[Ionic resistance 10 mM KOH/Ohm cm2],"",0)</f>
        <v>#REF!</v>
      </c>
      <c r="AI1303" s="69" t="e" cm="1">
        <f t="array" ref="AI1303">_xlfn.XLOOKUP(Table1[[#This Row],[5 cm2 cell test code]:[5 cm2 cell test code]],[1]!Table1[[Test code]:[Test code]],[1]!Table1[Q_int_frac DIW 10 mM KOH],"",0)</f>
        <v>#REF!</v>
      </c>
      <c r="AJ1303" s="69" t="e" cm="1">
        <f t="array" ref="AJ1303">_xlfn.XLOOKUP(Table1[[#This Row],[5 cm2 cell test code]:[5 cm2 cell test code]],[1]!Table1[[Test code]:[Test code]],[1]!Table1[DIW conductivity (µS/cm)],"",0)</f>
        <v>#REF!</v>
      </c>
    </row>
    <row r="1304" spans="1:36">
      <c r="A1304" s="81"/>
      <c r="U1304" s="101"/>
      <c r="V1304" s="101"/>
      <c r="W1304" s="69" t="e" cm="1">
        <f t="array" ref="W1304">_xlfn.XLOOKUP(Table1[[#This Row],[5 cm2 cell test code]:[5 cm2 cell test code]],[1]!Table1[[Test code]:[Test code]],[1]!Table1[i @ 1.8 V DIW (A/cm2)],"",0)</f>
        <v>#REF!</v>
      </c>
      <c r="X1304" s="69" t="e" cm="1">
        <f t="array" ref="X1304">_xlfn.XLOOKUP(Table1[[#This Row],[5 cm2 cell test code]:[5 cm2 cell test code]],[1]!Table1[[Test code]:[Test code]],[1]!Table1[i @ 1.8 V 10 mM KOH (A/cm2)],"",0)</f>
        <v>#REF!</v>
      </c>
      <c r="Y1304" s="69" t="e" cm="1">
        <f t="array" ref="Y1304">_xlfn.XLOOKUP(Table1[[#This Row],[5 cm2 cell test code]:[5 cm2 cell test code]],[1]!Table1[[Test code]:[Test code]],[1]!Table1[3-E ƞ at 20mAcm-2 (mV)],"",0)</f>
        <v>#REF!</v>
      </c>
      <c r="Z1304" s="69" t="e" cm="1">
        <f t="array" ref="Z1304">_xlfn.XLOOKUP(Table1[[#This Row],[5 cm2 cell test code]:[5 cm2 cell test code]],[1]!Table1[[Test code]:[Test code]],[1]!Table1[3-E Tafel slope (mV/dec)],"",0)</f>
        <v>#REF!</v>
      </c>
      <c r="AA1304" s="69" t="e" cm="1">
        <f t="array" ref="AA1304">_xlfn.XLOOKUP(Table1[[#This Row],[5 cm2 cell test code]:[5 cm2 cell test code]],[1]!Table1[[Test code]:[Test code]],[1]!Table1[E @ 100 mA/cm2 DIW/V],"",0)</f>
        <v>#REF!</v>
      </c>
      <c r="AB1304" s="69" t="e" cm="1">
        <f t="array" ref="AB1304">_xlfn.XLOOKUP(Table1[[#This Row],[5 cm2 cell test code]:[5 cm2 cell test code]],[1]!Table1[[Test code]:[Test code]],[1]!Table1[E @ 100 mA/cm2 10 mM KOH/V],"",0)</f>
        <v>#REF!</v>
      </c>
      <c r="AC1304" s="69" t="e" cm="1">
        <f t="array" ref="AC1304">_xlfn.XLOOKUP(Table1[[#This Row],[5 cm2 cell test code]:[5 cm2 cell test code]],[1]!Table1[[Test code]:[Test code]],[1]!Table1[Anode ICR/mOhm],"",0)</f>
        <v>#REF!</v>
      </c>
      <c r="AD1304" s="69" t="e" cm="1">
        <f t="array" ref="AD1304">_xlfn.XLOOKUP(Table1[[#This Row],[5 cm2 cell test code]:[5 cm2 cell test code]],[1]!Table1[[Test code]:[Test code]],[1]!Table1[HFR DIW/ mOhm cm2],"",0)</f>
        <v>#REF!</v>
      </c>
      <c r="AE1304" s="69" t="e" cm="1">
        <f t="array" ref="AE1304">_xlfn.XLOOKUP(Table1[[#This Row],[5 cm2 cell test code]:[5 cm2 cell test code]],[1]!Table1[[Test code]:[Test code]],[1]!Table1[HFR 10 mM KOH/ mOhm cm2],"",0)</f>
        <v>#REF!</v>
      </c>
      <c r="AF1304" s="69" t="e" cm="1">
        <f t="array" ref="AF1304">_xlfn.XLOOKUP(Table1[[#This Row],[5 cm2 cell test code]:[5 cm2 cell test code]],[1]!Table1[[Test code]:[Test code]],[1]!Table1[Ionic resistance DIW/Ohm cm2],"",0)</f>
        <v>#REF!</v>
      </c>
      <c r="AG1304" s="69" t="e" cm="1">
        <f t="array" ref="AG1304">_xlfn.XLOOKUP(Table1[[#This Row],[5 cm2 cell test code]:[5 cm2 cell test code]],[1]!Table1[[Test code]:[Test code]],[1]!Table1[Q_int_frac DIW],"",0)</f>
        <v>#REF!</v>
      </c>
      <c r="AH1304" s="69" t="e" cm="1">
        <f t="array" ref="AH1304">_xlfn.XLOOKUP(Table1[[#This Row],[5 cm2 cell test code]:[5 cm2 cell test code]],[1]!Table1[[Test code]:[Test code]],[1]!Table1[Ionic resistance 10 mM KOH/Ohm cm2],"",0)</f>
        <v>#REF!</v>
      </c>
      <c r="AI1304" s="69" t="e" cm="1">
        <f t="array" ref="AI1304">_xlfn.XLOOKUP(Table1[[#This Row],[5 cm2 cell test code]:[5 cm2 cell test code]],[1]!Table1[[Test code]:[Test code]],[1]!Table1[Q_int_frac DIW 10 mM KOH],"",0)</f>
        <v>#REF!</v>
      </c>
      <c r="AJ1304" s="69" t="e" cm="1">
        <f t="array" ref="AJ1304">_xlfn.XLOOKUP(Table1[[#This Row],[5 cm2 cell test code]:[5 cm2 cell test code]],[1]!Table1[[Test code]:[Test code]],[1]!Table1[DIW conductivity (µS/cm)],"",0)</f>
        <v>#REF!</v>
      </c>
    </row>
    <row r="1305" spans="1:36">
      <c r="A1305" s="81"/>
      <c r="U1305" s="101"/>
      <c r="V1305" s="101"/>
      <c r="W1305" s="69" t="e" cm="1">
        <f t="array" ref="W1305">_xlfn.XLOOKUP(Table1[[#This Row],[5 cm2 cell test code]:[5 cm2 cell test code]],[1]!Table1[[Test code]:[Test code]],[1]!Table1[i @ 1.8 V DIW (A/cm2)],"",0)</f>
        <v>#REF!</v>
      </c>
      <c r="X1305" s="69" t="e" cm="1">
        <f t="array" ref="X1305">_xlfn.XLOOKUP(Table1[[#This Row],[5 cm2 cell test code]:[5 cm2 cell test code]],[1]!Table1[[Test code]:[Test code]],[1]!Table1[i @ 1.8 V 10 mM KOH (A/cm2)],"",0)</f>
        <v>#REF!</v>
      </c>
      <c r="Y1305" s="69" t="e" cm="1">
        <f t="array" ref="Y1305">_xlfn.XLOOKUP(Table1[[#This Row],[5 cm2 cell test code]:[5 cm2 cell test code]],[1]!Table1[[Test code]:[Test code]],[1]!Table1[3-E ƞ at 20mAcm-2 (mV)],"",0)</f>
        <v>#REF!</v>
      </c>
      <c r="Z1305" s="69" t="e" cm="1">
        <f t="array" ref="Z1305">_xlfn.XLOOKUP(Table1[[#This Row],[5 cm2 cell test code]:[5 cm2 cell test code]],[1]!Table1[[Test code]:[Test code]],[1]!Table1[3-E Tafel slope (mV/dec)],"",0)</f>
        <v>#REF!</v>
      </c>
      <c r="AA1305" s="69" t="e" cm="1">
        <f t="array" ref="AA1305">_xlfn.XLOOKUP(Table1[[#This Row],[5 cm2 cell test code]:[5 cm2 cell test code]],[1]!Table1[[Test code]:[Test code]],[1]!Table1[E @ 100 mA/cm2 DIW/V],"",0)</f>
        <v>#REF!</v>
      </c>
      <c r="AB1305" s="69" t="e" cm="1">
        <f t="array" ref="AB1305">_xlfn.XLOOKUP(Table1[[#This Row],[5 cm2 cell test code]:[5 cm2 cell test code]],[1]!Table1[[Test code]:[Test code]],[1]!Table1[E @ 100 mA/cm2 10 mM KOH/V],"",0)</f>
        <v>#REF!</v>
      </c>
      <c r="AC1305" s="69" t="e" cm="1">
        <f t="array" ref="AC1305">_xlfn.XLOOKUP(Table1[[#This Row],[5 cm2 cell test code]:[5 cm2 cell test code]],[1]!Table1[[Test code]:[Test code]],[1]!Table1[Anode ICR/mOhm],"",0)</f>
        <v>#REF!</v>
      </c>
      <c r="AD1305" s="69" t="e" cm="1">
        <f t="array" ref="AD1305">_xlfn.XLOOKUP(Table1[[#This Row],[5 cm2 cell test code]:[5 cm2 cell test code]],[1]!Table1[[Test code]:[Test code]],[1]!Table1[HFR DIW/ mOhm cm2],"",0)</f>
        <v>#REF!</v>
      </c>
      <c r="AE1305" s="69" t="e" cm="1">
        <f t="array" ref="AE1305">_xlfn.XLOOKUP(Table1[[#This Row],[5 cm2 cell test code]:[5 cm2 cell test code]],[1]!Table1[[Test code]:[Test code]],[1]!Table1[HFR 10 mM KOH/ mOhm cm2],"",0)</f>
        <v>#REF!</v>
      </c>
      <c r="AF1305" s="69" t="e" cm="1">
        <f t="array" ref="AF1305">_xlfn.XLOOKUP(Table1[[#This Row],[5 cm2 cell test code]:[5 cm2 cell test code]],[1]!Table1[[Test code]:[Test code]],[1]!Table1[Ionic resistance DIW/Ohm cm2],"",0)</f>
        <v>#REF!</v>
      </c>
      <c r="AG1305" s="69" t="e" cm="1">
        <f t="array" ref="AG1305">_xlfn.XLOOKUP(Table1[[#This Row],[5 cm2 cell test code]:[5 cm2 cell test code]],[1]!Table1[[Test code]:[Test code]],[1]!Table1[Q_int_frac DIW],"",0)</f>
        <v>#REF!</v>
      </c>
      <c r="AH1305" s="69" t="e" cm="1">
        <f t="array" ref="AH1305">_xlfn.XLOOKUP(Table1[[#This Row],[5 cm2 cell test code]:[5 cm2 cell test code]],[1]!Table1[[Test code]:[Test code]],[1]!Table1[Ionic resistance 10 mM KOH/Ohm cm2],"",0)</f>
        <v>#REF!</v>
      </c>
      <c r="AI1305" s="69" t="e" cm="1">
        <f t="array" ref="AI1305">_xlfn.XLOOKUP(Table1[[#This Row],[5 cm2 cell test code]:[5 cm2 cell test code]],[1]!Table1[[Test code]:[Test code]],[1]!Table1[Q_int_frac DIW 10 mM KOH],"",0)</f>
        <v>#REF!</v>
      </c>
      <c r="AJ1305" s="69" t="e" cm="1">
        <f t="array" ref="AJ1305">_xlfn.XLOOKUP(Table1[[#This Row],[5 cm2 cell test code]:[5 cm2 cell test code]],[1]!Table1[[Test code]:[Test code]],[1]!Table1[DIW conductivity (µS/cm)],"",0)</f>
        <v>#REF!</v>
      </c>
    </row>
    <row r="1306" spans="1:36">
      <c r="A1306" s="81"/>
      <c r="U1306" s="101"/>
      <c r="V1306" s="101"/>
      <c r="W1306" s="69" t="e" cm="1">
        <f t="array" ref="W1306">_xlfn.XLOOKUP(Table1[[#This Row],[5 cm2 cell test code]:[5 cm2 cell test code]],[1]!Table1[[Test code]:[Test code]],[1]!Table1[i @ 1.8 V DIW (A/cm2)],"",0)</f>
        <v>#REF!</v>
      </c>
      <c r="X1306" s="69" t="e" cm="1">
        <f t="array" ref="X1306">_xlfn.XLOOKUP(Table1[[#This Row],[5 cm2 cell test code]:[5 cm2 cell test code]],[1]!Table1[[Test code]:[Test code]],[1]!Table1[i @ 1.8 V 10 mM KOH (A/cm2)],"",0)</f>
        <v>#REF!</v>
      </c>
      <c r="Y1306" s="69" t="e" cm="1">
        <f t="array" ref="Y1306">_xlfn.XLOOKUP(Table1[[#This Row],[5 cm2 cell test code]:[5 cm2 cell test code]],[1]!Table1[[Test code]:[Test code]],[1]!Table1[3-E ƞ at 20mAcm-2 (mV)],"",0)</f>
        <v>#REF!</v>
      </c>
      <c r="Z1306" s="69" t="e" cm="1">
        <f t="array" ref="Z1306">_xlfn.XLOOKUP(Table1[[#This Row],[5 cm2 cell test code]:[5 cm2 cell test code]],[1]!Table1[[Test code]:[Test code]],[1]!Table1[3-E Tafel slope (mV/dec)],"",0)</f>
        <v>#REF!</v>
      </c>
      <c r="AA1306" s="69" t="e" cm="1">
        <f t="array" ref="AA1306">_xlfn.XLOOKUP(Table1[[#This Row],[5 cm2 cell test code]:[5 cm2 cell test code]],[1]!Table1[[Test code]:[Test code]],[1]!Table1[E @ 100 mA/cm2 DIW/V],"",0)</f>
        <v>#REF!</v>
      </c>
      <c r="AB1306" s="69" t="e" cm="1">
        <f t="array" ref="AB1306">_xlfn.XLOOKUP(Table1[[#This Row],[5 cm2 cell test code]:[5 cm2 cell test code]],[1]!Table1[[Test code]:[Test code]],[1]!Table1[E @ 100 mA/cm2 10 mM KOH/V],"",0)</f>
        <v>#REF!</v>
      </c>
      <c r="AC1306" s="69" t="e" cm="1">
        <f t="array" ref="AC1306">_xlfn.XLOOKUP(Table1[[#This Row],[5 cm2 cell test code]:[5 cm2 cell test code]],[1]!Table1[[Test code]:[Test code]],[1]!Table1[Anode ICR/mOhm],"",0)</f>
        <v>#REF!</v>
      </c>
      <c r="AD1306" s="69" t="e" cm="1">
        <f t="array" ref="AD1306">_xlfn.XLOOKUP(Table1[[#This Row],[5 cm2 cell test code]:[5 cm2 cell test code]],[1]!Table1[[Test code]:[Test code]],[1]!Table1[HFR DIW/ mOhm cm2],"",0)</f>
        <v>#REF!</v>
      </c>
      <c r="AE1306" s="69" t="e" cm="1">
        <f t="array" ref="AE1306">_xlfn.XLOOKUP(Table1[[#This Row],[5 cm2 cell test code]:[5 cm2 cell test code]],[1]!Table1[[Test code]:[Test code]],[1]!Table1[HFR 10 mM KOH/ mOhm cm2],"",0)</f>
        <v>#REF!</v>
      </c>
      <c r="AF1306" s="69" t="e" cm="1">
        <f t="array" ref="AF1306">_xlfn.XLOOKUP(Table1[[#This Row],[5 cm2 cell test code]:[5 cm2 cell test code]],[1]!Table1[[Test code]:[Test code]],[1]!Table1[Ionic resistance DIW/Ohm cm2],"",0)</f>
        <v>#REF!</v>
      </c>
      <c r="AG1306" s="69" t="e" cm="1">
        <f t="array" ref="AG1306">_xlfn.XLOOKUP(Table1[[#This Row],[5 cm2 cell test code]:[5 cm2 cell test code]],[1]!Table1[[Test code]:[Test code]],[1]!Table1[Q_int_frac DIW],"",0)</f>
        <v>#REF!</v>
      </c>
      <c r="AH1306" s="69" t="e" cm="1">
        <f t="array" ref="AH1306">_xlfn.XLOOKUP(Table1[[#This Row],[5 cm2 cell test code]:[5 cm2 cell test code]],[1]!Table1[[Test code]:[Test code]],[1]!Table1[Ionic resistance 10 mM KOH/Ohm cm2],"",0)</f>
        <v>#REF!</v>
      </c>
      <c r="AI1306" s="69" t="e" cm="1">
        <f t="array" ref="AI1306">_xlfn.XLOOKUP(Table1[[#This Row],[5 cm2 cell test code]:[5 cm2 cell test code]],[1]!Table1[[Test code]:[Test code]],[1]!Table1[Q_int_frac DIW 10 mM KOH],"",0)</f>
        <v>#REF!</v>
      </c>
      <c r="AJ1306" s="69" t="e" cm="1">
        <f t="array" ref="AJ1306">_xlfn.XLOOKUP(Table1[[#This Row],[5 cm2 cell test code]:[5 cm2 cell test code]],[1]!Table1[[Test code]:[Test code]],[1]!Table1[DIW conductivity (µS/cm)],"",0)</f>
        <v>#REF!</v>
      </c>
    </row>
    <row r="1307" spans="1:36">
      <c r="A1307" s="81"/>
      <c r="U1307" s="101"/>
      <c r="V1307" s="101"/>
      <c r="W1307" s="69" t="e" cm="1">
        <f t="array" ref="W1307">_xlfn.XLOOKUP(Table1[[#This Row],[5 cm2 cell test code]:[5 cm2 cell test code]],[1]!Table1[[Test code]:[Test code]],[1]!Table1[i @ 1.8 V DIW (A/cm2)],"",0)</f>
        <v>#REF!</v>
      </c>
      <c r="X1307" s="69" t="e" cm="1">
        <f t="array" ref="X1307">_xlfn.XLOOKUP(Table1[[#This Row],[5 cm2 cell test code]:[5 cm2 cell test code]],[1]!Table1[[Test code]:[Test code]],[1]!Table1[i @ 1.8 V 10 mM KOH (A/cm2)],"",0)</f>
        <v>#REF!</v>
      </c>
      <c r="Y1307" s="69" t="e" cm="1">
        <f t="array" ref="Y1307">_xlfn.XLOOKUP(Table1[[#This Row],[5 cm2 cell test code]:[5 cm2 cell test code]],[1]!Table1[[Test code]:[Test code]],[1]!Table1[3-E ƞ at 20mAcm-2 (mV)],"",0)</f>
        <v>#REF!</v>
      </c>
      <c r="Z1307" s="69" t="e" cm="1">
        <f t="array" ref="Z1307">_xlfn.XLOOKUP(Table1[[#This Row],[5 cm2 cell test code]:[5 cm2 cell test code]],[1]!Table1[[Test code]:[Test code]],[1]!Table1[3-E Tafel slope (mV/dec)],"",0)</f>
        <v>#REF!</v>
      </c>
      <c r="AA1307" s="69" t="e" cm="1">
        <f t="array" ref="AA1307">_xlfn.XLOOKUP(Table1[[#This Row],[5 cm2 cell test code]:[5 cm2 cell test code]],[1]!Table1[[Test code]:[Test code]],[1]!Table1[E @ 100 mA/cm2 DIW/V],"",0)</f>
        <v>#REF!</v>
      </c>
      <c r="AB1307" s="69" t="e" cm="1">
        <f t="array" ref="AB1307">_xlfn.XLOOKUP(Table1[[#This Row],[5 cm2 cell test code]:[5 cm2 cell test code]],[1]!Table1[[Test code]:[Test code]],[1]!Table1[E @ 100 mA/cm2 10 mM KOH/V],"",0)</f>
        <v>#REF!</v>
      </c>
      <c r="AC1307" s="69" t="e" cm="1">
        <f t="array" ref="AC1307">_xlfn.XLOOKUP(Table1[[#This Row],[5 cm2 cell test code]:[5 cm2 cell test code]],[1]!Table1[[Test code]:[Test code]],[1]!Table1[Anode ICR/mOhm],"",0)</f>
        <v>#REF!</v>
      </c>
      <c r="AD1307" s="69" t="e" cm="1">
        <f t="array" ref="AD1307">_xlfn.XLOOKUP(Table1[[#This Row],[5 cm2 cell test code]:[5 cm2 cell test code]],[1]!Table1[[Test code]:[Test code]],[1]!Table1[HFR DIW/ mOhm cm2],"",0)</f>
        <v>#REF!</v>
      </c>
      <c r="AE1307" s="69" t="e" cm="1">
        <f t="array" ref="AE1307">_xlfn.XLOOKUP(Table1[[#This Row],[5 cm2 cell test code]:[5 cm2 cell test code]],[1]!Table1[[Test code]:[Test code]],[1]!Table1[HFR 10 mM KOH/ mOhm cm2],"",0)</f>
        <v>#REF!</v>
      </c>
      <c r="AF1307" s="69" t="e" cm="1">
        <f t="array" ref="AF1307">_xlfn.XLOOKUP(Table1[[#This Row],[5 cm2 cell test code]:[5 cm2 cell test code]],[1]!Table1[[Test code]:[Test code]],[1]!Table1[Ionic resistance DIW/Ohm cm2],"",0)</f>
        <v>#REF!</v>
      </c>
      <c r="AG1307" s="69" t="e" cm="1">
        <f t="array" ref="AG1307">_xlfn.XLOOKUP(Table1[[#This Row],[5 cm2 cell test code]:[5 cm2 cell test code]],[1]!Table1[[Test code]:[Test code]],[1]!Table1[Q_int_frac DIW],"",0)</f>
        <v>#REF!</v>
      </c>
      <c r="AH1307" s="69" t="e" cm="1">
        <f t="array" ref="AH1307">_xlfn.XLOOKUP(Table1[[#This Row],[5 cm2 cell test code]:[5 cm2 cell test code]],[1]!Table1[[Test code]:[Test code]],[1]!Table1[Ionic resistance 10 mM KOH/Ohm cm2],"",0)</f>
        <v>#REF!</v>
      </c>
      <c r="AI1307" s="69" t="e" cm="1">
        <f t="array" ref="AI1307">_xlfn.XLOOKUP(Table1[[#This Row],[5 cm2 cell test code]:[5 cm2 cell test code]],[1]!Table1[[Test code]:[Test code]],[1]!Table1[Q_int_frac DIW 10 mM KOH],"",0)</f>
        <v>#REF!</v>
      </c>
      <c r="AJ1307" s="69" t="e" cm="1">
        <f t="array" ref="AJ1307">_xlfn.XLOOKUP(Table1[[#This Row],[5 cm2 cell test code]:[5 cm2 cell test code]],[1]!Table1[[Test code]:[Test code]],[1]!Table1[DIW conductivity (µS/cm)],"",0)</f>
        <v>#REF!</v>
      </c>
    </row>
    <row r="1308" spans="1:36">
      <c r="A1308" s="81"/>
      <c r="U1308" s="101"/>
      <c r="V1308" s="101"/>
      <c r="W1308" s="69" t="e" cm="1">
        <f t="array" ref="W1308">_xlfn.XLOOKUP(Table1[[#This Row],[5 cm2 cell test code]:[5 cm2 cell test code]],[1]!Table1[[Test code]:[Test code]],[1]!Table1[i @ 1.8 V DIW (A/cm2)],"",0)</f>
        <v>#REF!</v>
      </c>
      <c r="X1308" s="69" t="e" cm="1">
        <f t="array" ref="X1308">_xlfn.XLOOKUP(Table1[[#This Row],[5 cm2 cell test code]:[5 cm2 cell test code]],[1]!Table1[[Test code]:[Test code]],[1]!Table1[i @ 1.8 V 10 mM KOH (A/cm2)],"",0)</f>
        <v>#REF!</v>
      </c>
      <c r="Y1308" s="69" t="e" cm="1">
        <f t="array" ref="Y1308">_xlfn.XLOOKUP(Table1[[#This Row],[5 cm2 cell test code]:[5 cm2 cell test code]],[1]!Table1[[Test code]:[Test code]],[1]!Table1[3-E ƞ at 20mAcm-2 (mV)],"",0)</f>
        <v>#REF!</v>
      </c>
      <c r="Z1308" s="69" t="e" cm="1">
        <f t="array" ref="Z1308">_xlfn.XLOOKUP(Table1[[#This Row],[5 cm2 cell test code]:[5 cm2 cell test code]],[1]!Table1[[Test code]:[Test code]],[1]!Table1[3-E Tafel slope (mV/dec)],"",0)</f>
        <v>#REF!</v>
      </c>
      <c r="AA1308" s="69" t="e" cm="1">
        <f t="array" ref="AA1308">_xlfn.XLOOKUP(Table1[[#This Row],[5 cm2 cell test code]:[5 cm2 cell test code]],[1]!Table1[[Test code]:[Test code]],[1]!Table1[E @ 100 mA/cm2 DIW/V],"",0)</f>
        <v>#REF!</v>
      </c>
      <c r="AB1308" s="69" t="e" cm="1">
        <f t="array" ref="AB1308">_xlfn.XLOOKUP(Table1[[#This Row],[5 cm2 cell test code]:[5 cm2 cell test code]],[1]!Table1[[Test code]:[Test code]],[1]!Table1[E @ 100 mA/cm2 10 mM KOH/V],"",0)</f>
        <v>#REF!</v>
      </c>
      <c r="AC1308" s="69" t="e" cm="1">
        <f t="array" ref="AC1308">_xlfn.XLOOKUP(Table1[[#This Row],[5 cm2 cell test code]:[5 cm2 cell test code]],[1]!Table1[[Test code]:[Test code]],[1]!Table1[Anode ICR/mOhm],"",0)</f>
        <v>#REF!</v>
      </c>
      <c r="AD1308" s="69" t="e" cm="1">
        <f t="array" ref="AD1308">_xlfn.XLOOKUP(Table1[[#This Row],[5 cm2 cell test code]:[5 cm2 cell test code]],[1]!Table1[[Test code]:[Test code]],[1]!Table1[HFR DIW/ mOhm cm2],"",0)</f>
        <v>#REF!</v>
      </c>
      <c r="AE1308" s="69" t="e" cm="1">
        <f t="array" ref="AE1308">_xlfn.XLOOKUP(Table1[[#This Row],[5 cm2 cell test code]:[5 cm2 cell test code]],[1]!Table1[[Test code]:[Test code]],[1]!Table1[HFR 10 mM KOH/ mOhm cm2],"",0)</f>
        <v>#REF!</v>
      </c>
      <c r="AF1308" s="69" t="e" cm="1">
        <f t="array" ref="AF1308">_xlfn.XLOOKUP(Table1[[#This Row],[5 cm2 cell test code]:[5 cm2 cell test code]],[1]!Table1[[Test code]:[Test code]],[1]!Table1[Ionic resistance DIW/Ohm cm2],"",0)</f>
        <v>#REF!</v>
      </c>
      <c r="AG1308" s="69" t="e" cm="1">
        <f t="array" ref="AG1308">_xlfn.XLOOKUP(Table1[[#This Row],[5 cm2 cell test code]:[5 cm2 cell test code]],[1]!Table1[[Test code]:[Test code]],[1]!Table1[Q_int_frac DIW],"",0)</f>
        <v>#REF!</v>
      </c>
      <c r="AH1308" s="69" t="e" cm="1">
        <f t="array" ref="AH1308">_xlfn.XLOOKUP(Table1[[#This Row],[5 cm2 cell test code]:[5 cm2 cell test code]],[1]!Table1[[Test code]:[Test code]],[1]!Table1[Ionic resistance 10 mM KOH/Ohm cm2],"",0)</f>
        <v>#REF!</v>
      </c>
      <c r="AI1308" s="69" t="e" cm="1">
        <f t="array" ref="AI1308">_xlfn.XLOOKUP(Table1[[#This Row],[5 cm2 cell test code]:[5 cm2 cell test code]],[1]!Table1[[Test code]:[Test code]],[1]!Table1[Q_int_frac DIW 10 mM KOH],"",0)</f>
        <v>#REF!</v>
      </c>
      <c r="AJ1308" s="69" t="e" cm="1">
        <f t="array" ref="AJ1308">_xlfn.XLOOKUP(Table1[[#This Row],[5 cm2 cell test code]:[5 cm2 cell test code]],[1]!Table1[[Test code]:[Test code]],[1]!Table1[DIW conductivity (µS/cm)],"",0)</f>
        <v>#REF!</v>
      </c>
    </row>
    <row r="1309" spans="1:36">
      <c r="A1309" s="81"/>
      <c r="U1309" s="101"/>
      <c r="V1309" s="101"/>
      <c r="W1309" s="69" t="e" cm="1">
        <f t="array" ref="W1309">_xlfn.XLOOKUP(Table1[[#This Row],[5 cm2 cell test code]:[5 cm2 cell test code]],[1]!Table1[[Test code]:[Test code]],[1]!Table1[i @ 1.8 V DIW (A/cm2)],"",0)</f>
        <v>#REF!</v>
      </c>
      <c r="X1309" s="69" t="e" cm="1">
        <f t="array" ref="X1309">_xlfn.XLOOKUP(Table1[[#This Row],[5 cm2 cell test code]:[5 cm2 cell test code]],[1]!Table1[[Test code]:[Test code]],[1]!Table1[i @ 1.8 V 10 mM KOH (A/cm2)],"",0)</f>
        <v>#REF!</v>
      </c>
      <c r="Y1309" s="69" t="e" cm="1">
        <f t="array" ref="Y1309">_xlfn.XLOOKUP(Table1[[#This Row],[5 cm2 cell test code]:[5 cm2 cell test code]],[1]!Table1[[Test code]:[Test code]],[1]!Table1[3-E ƞ at 20mAcm-2 (mV)],"",0)</f>
        <v>#REF!</v>
      </c>
      <c r="Z1309" s="69" t="e" cm="1">
        <f t="array" ref="Z1309">_xlfn.XLOOKUP(Table1[[#This Row],[5 cm2 cell test code]:[5 cm2 cell test code]],[1]!Table1[[Test code]:[Test code]],[1]!Table1[3-E Tafel slope (mV/dec)],"",0)</f>
        <v>#REF!</v>
      </c>
      <c r="AA1309" s="69" t="e" cm="1">
        <f t="array" ref="AA1309">_xlfn.XLOOKUP(Table1[[#This Row],[5 cm2 cell test code]:[5 cm2 cell test code]],[1]!Table1[[Test code]:[Test code]],[1]!Table1[E @ 100 mA/cm2 DIW/V],"",0)</f>
        <v>#REF!</v>
      </c>
      <c r="AB1309" s="69" t="e" cm="1">
        <f t="array" ref="AB1309">_xlfn.XLOOKUP(Table1[[#This Row],[5 cm2 cell test code]:[5 cm2 cell test code]],[1]!Table1[[Test code]:[Test code]],[1]!Table1[E @ 100 mA/cm2 10 mM KOH/V],"",0)</f>
        <v>#REF!</v>
      </c>
      <c r="AC1309" s="69" t="e" cm="1">
        <f t="array" ref="AC1309">_xlfn.XLOOKUP(Table1[[#This Row],[5 cm2 cell test code]:[5 cm2 cell test code]],[1]!Table1[[Test code]:[Test code]],[1]!Table1[Anode ICR/mOhm],"",0)</f>
        <v>#REF!</v>
      </c>
      <c r="AD1309" s="69" t="e" cm="1">
        <f t="array" ref="AD1309">_xlfn.XLOOKUP(Table1[[#This Row],[5 cm2 cell test code]:[5 cm2 cell test code]],[1]!Table1[[Test code]:[Test code]],[1]!Table1[HFR DIW/ mOhm cm2],"",0)</f>
        <v>#REF!</v>
      </c>
      <c r="AE1309" s="69" t="e" cm="1">
        <f t="array" ref="AE1309">_xlfn.XLOOKUP(Table1[[#This Row],[5 cm2 cell test code]:[5 cm2 cell test code]],[1]!Table1[[Test code]:[Test code]],[1]!Table1[HFR 10 mM KOH/ mOhm cm2],"",0)</f>
        <v>#REF!</v>
      </c>
      <c r="AF1309" s="69" t="e" cm="1">
        <f t="array" ref="AF1309">_xlfn.XLOOKUP(Table1[[#This Row],[5 cm2 cell test code]:[5 cm2 cell test code]],[1]!Table1[[Test code]:[Test code]],[1]!Table1[Ionic resistance DIW/Ohm cm2],"",0)</f>
        <v>#REF!</v>
      </c>
      <c r="AG1309" s="69" t="e" cm="1">
        <f t="array" ref="AG1309">_xlfn.XLOOKUP(Table1[[#This Row],[5 cm2 cell test code]:[5 cm2 cell test code]],[1]!Table1[[Test code]:[Test code]],[1]!Table1[Q_int_frac DIW],"",0)</f>
        <v>#REF!</v>
      </c>
      <c r="AH1309" s="69" t="e" cm="1">
        <f t="array" ref="AH1309">_xlfn.XLOOKUP(Table1[[#This Row],[5 cm2 cell test code]:[5 cm2 cell test code]],[1]!Table1[[Test code]:[Test code]],[1]!Table1[Ionic resistance 10 mM KOH/Ohm cm2],"",0)</f>
        <v>#REF!</v>
      </c>
      <c r="AI1309" s="69" t="e" cm="1">
        <f t="array" ref="AI1309">_xlfn.XLOOKUP(Table1[[#This Row],[5 cm2 cell test code]:[5 cm2 cell test code]],[1]!Table1[[Test code]:[Test code]],[1]!Table1[Q_int_frac DIW 10 mM KOH],"",0)</f>
        <v>#REF!</v>
      </c>
      <c r="AJ1309" s="69" t="e" cm="1">
        <f t="array" ref="AJ1309">_xlfn.XLOOKUP(Table1[[#This Row],[5 cm2 cell test code]:[5 cm2 cell test code]],[1]!Table1[[Test code]:[Test code]],[1]!Table1[DIW conductivity (µS/cm)],"",0)</f>
        <v>#REF!</v>
      </c>
    </row>
    <row r="1310" spans="1:36">
      <c r="A1310" s="81"/>
      <c r="U1310" s="101"/>
      <c r="V1310" s="101"/>
      <c r="W1310" s="69" t="e" cm="1">
        <f t="array" ref="W1310">_xlfn.XLOOKUP(Table1[[#This Row],[5 cm2 cell test code]:[5 cm2 cell test code]],[1]!Table1[[Test code]:[Test code]],[1]!Table1[i @ 1.8 V DIW (A/cm2)],"",0)</f>
        <v>#REF!</v>
      </c>
      <c r="X1310" s="69" t="e" cm="1">
        <f t="array" ref="X1310">_xlfn.XLOOKUP(Table1[[#This Row],[5 cm2 cell test code]:[5 cm2 cell test code]],[1]!Table1[[Test code]:[Test code]],[1]!Table1[i @ 1.8 V 10 mM KOH (A/cm2)],"",0)</f>
        <v>#REF!</v>
      </c>
      <c r="Y1310" s="69" t="e" cm="1">
        <f t="array" ref="Y1310">_xlfn.XLOOKUP(Table1[[#This Row],[5 cm2 cell test code]:[5 cm2 cell test code]],[1]!Table1[[Test code]:[Test code]],[1]!Table1[3-E ƞ at 20mAcm-2 (mV)],"",0)</f>
        <v>#REF!</v>
      </c>
      <c r="Z1310" s="69" t="e" cm="1">
        <f t="array" ref="Z1310">_xlfn.XLOOKUP(Table1[[#This Row],[5 cm2 cell test code]:[5 cm2 cell test code]],[1]!Table1[[Test code]:[Test code]],[1]!Table1[3-E Tafel slope (mV/dec)],"",0)</f>
        <v>#REF!</v>
      </c>
      <c r="AA1310" s="69" t="e" cm="1">
        <f t="array" ref="AA1310">_xlfn.XLOOKUP(Table1[[#This Row],[5 cm2 cell test code]:[5 cm2 cell test code]],[1]!Table1[[Test code]:[Test code]],[1]!Table1[E @ 100 mA/cm2 DIW/V],"",0)</f>
        <v>#REF!</v>
      </c>
      <c r="AB1310" s="69" t="e" cm="1">
        <f t="array" ref="AB1310">_xlfn.XLOOKUP(Table1[[#This Row],[5 cm2 cell test code]:[5 cm2 cell test code]],[1]!Table1[[Test code]:[Test code]],[1]!Table1[E @ 100 mA/cm2 10 mM KOH/V],"",0)</f>
        <v>#REF!</v>
      </c>
      <c r="AC1310" s="69" t="e" cm="1">
        <f t="array" ref="AC1310">_xlfn.XLOOKUP(Table1[[#This Row],[5 cm2 cell test code]:[5 cm2 cell test code]],[1]!Table1[[Test code]:[Test code]],[1]!Table1[Anode ICR/mOhm],"",0)</f>
        <v>#REF!</v>
      </c>
      <c r="AD1310" s="69" t="e" cm="1">
        <f t="array" ref="AD1310">_xlfn.XLOOKUP(Table1[[#This Row],[5 cm2 cell test code]:[5 cm2 cell test code]],[1]!Table1[[Test code]:[Test code]],[1]!Table1[HFR DIW/ mOhm cm2],"",0)</f>
        <v>#REF!</v>
      </c>
      <c r="AE1310" s="69" t="e" cm="1">
        <f t="array" ref="AE1310">_xlfn.XLOOKUP(Table1[[#This Row],[5 cm2 cell test code]:[5 cm2 cell test code]],[1]!Table1[[Test code]:[Test code]],[1]!Table1[HFR 10 mM KOH/ mOhm cm2],"",0)</f>
        <v>#REF!</v>
      </c>
      <c r="AF1310" s="69" t="e" cm="1">
        <f t="array" ref="AF1310">_xlfn.XLOOKUP(Table1[[#This Row],[5 cm2 cell test code]:[5 cm2 cell test code]],[1]!Table1[[Test code]:[Test code]],[1]!Table1[Ionic resistance DIW/Ohm cm2],"",0)</f>
        <v>#REF!</v>
      </c>
      <c r="AG1310" s="69" t="e" cm="1">
        <f t="array" ref="AG1310">_xlfn.XLOOKUP(Table1[[#This Row],[5 cm2 cell test code]:[5 cm2 cell test code]],[1]!Table1[[Test code]:[Test code]],[1]!Table1[Q_int_frac DIW],"",0)</f>
        <v>#REF!</v>
      </c>
      <c r="AH1310" s="69" t="e" cm="1">
        <f t="array" ref="AH1310">_xlfn.XLOOKUP(Table1[[#This Row],[5 cm2 cell test code]:[5 cm2 cell test code]],[1]!Table1[[Test code]:[Test code]],[1]!Table1[Ionic resistance 10 mM KOH/Ohm cm2],"",0)</f>
        <v>#REF!</v>
      </c>
      <c r="AI1310" s="69" t="e" cm="1">
        <f t="array" ref="AI1310">_xlfn.XLOOKUP(Table1[[#This Row],[5 cm2 cell test code]:[5 cm2 cell test code]],[1]!Table1[[Test code]:[Test code]],[1]!Table1[Q_int_frac DIW 10 mM KOH],"",0)</f>
        <v>#REF!</v>
      </c>
      <c r="AJ1310" s="69" t="e" cm="1">
        <f t="array" ref="AJ1310">_xlfn.XLOOKUP(Table1[[#This Row],[5 cm2 cell test code]:[5 cm2 cell test code]],[1]!Table1[[Test code]:[Test code]],[1]!Table1[DIW conductivity (µS/cm)],"",0)</f>
        <v>#REF!</v>
      </c>
    </row>
    <row r="1311" spans="1:36">
      <c r="A1311" s="81"/>
      <c r="U1311" s="101"/>
      <c r="V1311" s="101"/>
      <c r="W1311" s="69" t="e" cm="1">
        <f t="array" ref="W1311">_xlfn.XLOOKUP(Table1[[#This Row],[5 cm2 cell test code]:[5 cm2 cell test code]],[1]!Table1[[Test code]:[Test code]],[1]!Table1[i @ 1.8 V DIW (A/cm2)],"",0)</f>
        <v>#REF!</v>
      </c>
      <c r="X1311" s="69" t="e" cm="1">
        <f t="array" ref="X1311">_xlfn.XLOOKUP(Table1[[#This Row],[5 cm2 cell test code]:[5 cm2 cell test code]],[1]!Table1[[Test code]:[Test code]],[1]!Table1[i @ 1.8 V 10 mM KOH (A/cm2)],"",0)</f>
        <v>#REF!</v>
      </c>
      <c r="Y1311" s="69" t="e" cm="1">
        <f t="array" ref="Y1311">_xlfn.XLOOKUP(Table1[[#This Row],[5 cm2 cell test code]:[5 cm2 cell test code]],[1]!Table1[[Test code]:[Test code]],[1]!Table1[3-E ƞ at 20mAcm-2 (mV)],"",0)</f>
        <v>#REF!</v>
      </c>
      <c r="Z1311" s="69" t="e" cm="1">
        <f t="array" ref="Z1311">_xlfn.XLOOKUP(Table1[[#This Row],[5 cm2 cell test code]:[5 cm2 cell test code]],[1]!Table1[[Test code]:[Test code]],[1]!Table1[3-E Tafel slope (mV/dec)],"",0)</f>
        <v>#REF!</v>
      </c>
      <c r="AA1311" s="69" t="e" cm="1">
        <f t="array" ref="AA1311">_xlfn.XLOOKUP(Table1[[#This Row],[5 cm2 cell test code]:[5 cm2 cell test code]],[1]!Table1[[Test code]:[Test code]],[1]!Table1[E @ 100 mA/cm2 DIW/V],"",0)</f>
        <v>#REF!</v>
      </c>
      <c r="AB1311" s="69" t="e" cm="1">
        <f t="array" ref="AB1311">_xlfn.XLOOKUP(Table1[[#This Row],[5 cm2 cell test code]:[5 cm2 cell test code]],[1]!Table1[[Test code]:[Test code]],[1]!Table1[E @ 100 mA/cm2 10 mM KOH/V],"",0)</f>
        <v>#REF!</v>
      </c>
      <c r="AC1311" s="69" t="e" cm="1">
        <f t="array" ref="AC1311">_xlfn.XLOOKUP(Table1[[#This Row],[5 cm2 cell test code]:[5 cm2 cell test code]],[1]!Table1[[Test code]:[Test code]],[1]!Table1[Anode ICR/mOhm],"",0)</f>
        <v>#REF!</v>
      </c>
      <c r="AD1311" s="69" t="e" cm="1">
        <f t="array" ref="AD1311">_xlfn.XLOOKUP(Table1[[#This Row],[5 cm2 cell test code]:[5 cm2 cell test code]],[1]!Table1[[Test code]:[Test code]],[1]!Table1[HFR DIW/ mOhm cm2],"",0)</f>
        <v>#REF!</v>
      </c>
      <c r="AE1311" s="69" t="e" cm="1">
        <f t="array" ref="AE1311">_xlfn.XLOOKUP(Table1[[#This Row],[5 cm2 cell test code]:[5 cm2 cell test code]],[1]!Table1[[Test code]:[Test code]],[1]!Table1[HFR 10 mM KOH/ mOhm cm2],"",0)</f>
        <v>#REF!</v>
      </c>
      <c r="AF1311" s="69" t="e" cm="1">
        <f t="array" ref="AF1311">_xlfn.XLOOKUP(Table1[[#This Row],[5 cm2 cell test code]:[5 cm2 cell test code]],[1]!Table1[[Test code]:[Test code]],[1]!Table1[Ionic resistance DIW/Ohm cm2],"",0)</f>
        <v>#REF!</v>
      </c>
      <c r="AG1311" s="69" t="e" cm="1">
        <f t="array" ref="AG1311">_xlfn.XLOOKUP(Table1[[#This Row],[5 cm2 cell test code]:[5 cm2 cell test code]],[1]!Table1[[Test code]:[Test code]],[1]!Table1[Q_int_frac DIW],"",0)</f>
        <v>#REF!</v>
      </c>
      <c r="AH1311" s="69" t="e" cm="1">
        <f t="array" ref="AH1311">_xlfn.XLOOKUP(Table1[[#This Row],[5 cm2 cell test code]:[5 cm2 cell test code]],[1]!Table1[[Test code]:[Test code]],[1]!Table1[Ionic resistance 10 mM KOH/Ohm cm2],"",0)</f>
        <v>#REF!</v>
      </c>
      <c r="AI1311" s="69" t="e" cm="1">
        <f t="array" ref="AI1311">_xlfn.XLOOKUP(Table1[[#This Row],[5 cm2 cell test code]:[5 cm2 cell test code]],[1]!Table1[[Test code]:[Test code]],[1]!Table1[Q_int_frac DIW 10 mM KOH],"",0)</f>
        <v>#REF!</v>
      </c>
      <c r="AJ1311" s="69" t="e" cm="1">
        <f t="array" ref="AJ1311">_xlfn.XLOOKUP(Table1[[#This Row],[5 cm2 cell test code]:[5 cm2 cell test code]],[1]!Table1[[Test code]:[Test code]],[1]!Table1[DIW conductivity (µS/cm)],"",0)</f>
        <v>#REF!</v>
      </c>
    </row>
    <row r="1312" spans="1:36">
      <c r="A1312" s="81"/>
      <c r="U1312" s="101"/>
      <c r="V1312" s="101"/>
      <c r="W1312" s="69" t="e" cm="1">
        <f t="array" ref="W1312">_xlfn.XLOOKUP(Table1[[#This Row],[5 cm2 cell test code]:[5 cm2 cell test code]],[1]!Table1[[Test code]:[Test code]],[1]!Table1[i @ 1.8 V DIW (A/cm2)],"",0)</f>
        <v>#REF!</v>
      </c>
      <c r="X1312" s="69" t="e" cm="1">
        <f t="array" ref="X1312">_xlfn.XLOOKUP(Table1[[#This Row],[5 cm2 cell test code]:[5 cm2 cell test code]],[1]!Table1[[Test code]:[Test code]],[1]!Table1[i @ 1.8 V 10 mM KOH (A/cm2)],"",0)</f>
        <v>#REF!</v>
      </c>
      <c r="Y1312" s="69" t="e" cm="1">
        <f t="array" ref="Y1312">_xlfn.XLOOKUP(Table1[[#This Row],[5 cm2 cell test code]:[5 cm2 cell test code]],[1]!Table1[[Test code]:[Test code]],[1]!Table1[3-E ƞ at 20mAcm-2 (mV)],"",0)</f>
        <v>#REF!</v>
      </c>
      <c r="Z1312" s="69" t="e" cm="1">
        <f t="array" ref="Z1312">_xlfn.XLOOKUP(Table1[[#This Row],[5 cm2 cell test code]:[5 cm2 cell test code]],[1]!Table1[[Test code]:[Test code]],[1]!Table1[3-E Tafel slope (mV/dec)],"",0)</f>
        <v>#REF!</v>
      </c>
      <c r="AA1312" s="69" t="e" cm="1">
        <f t="array" ref="AA1312">_xlfn.XLOOKUP(Table1[[#This Row],[5 cm2 cell test code]:[5 cm2 cell test code]],[1]!Table1[[Test code]:[Test code]],[1]!Table1[E @ 100 mA/cm2 DIW/V],"",0)</f>
        <v>#REF!</v>
      </c>
      <c r="AB1312" s="69" t="e" cm="1">
        <f t="array" ref="AB1312">_xlfn.XLOOKUP(Table1[[#This Row],[5 cm2 cell test code]:[5 cm2 cell test code]],[1]!Table1[[Test code]:[Test code]],[1]!Table1[E @ 100 mA/cm2 10 mM KOH/V],"",0)</f>
        <v>#REF!</v>
      </c>
      <c r="AC1312" s="69" t="e" cm="1">
        <f t="array" ref="AC1312">_xlfn.XLOOKUP(Table1[[#This Row],[5 cm2 cell test code]:[5 cm2 cell test code]],[1]!Table1[[Test code]:[Test code]],[1]!Table1[Anode ICR/mOhm],"",0)</f>
        <v>#REF!</v>
      </c>
      <c r="AD1312" s="69" t="e" cm="1">
        <f t="array" ref="AD1312">_xlfn.XLOOKUP(Table1[[#This Row],[5 cm2 cell test code]:[5 cm2 cell test code]],[1]!Table1[[Test code]:[Test code]],[1]!Table1[HFR DIW/ mOhm cm2],"",0)</f>
        <v>#REF!</v>
      </c>
      <c r="AE1312" s="69" t="e" cm="1">
        <f t="array" ref="AE1312">_xlfn.XLOOKUP(Table1[[#This Row],[5 cm2 cell test code]:[5 cm2 cell test code]],[1]!Table1[[Test code]:[Test code]],[1]!Table1[HFR 10 mM KOH/ mOhm cm2],"",0)</f>
        <v>#REF!</v>
      </c>
      <c r="AF1312" s="69" t="e" cm="1">
        <f t="array" ref="AF1312">_xlfn.XLOOKUP(Table1[[#This Row],[5 cm2 cell test code]:[5 cm2 cell test code]],[1]!Table1[[Test code]:[Test code]],[1]!Table1[Ionic resistance DIW/Ohm cm2],"",0)</f>
        <v>#REF!</v>
      </c>
      <c r="AG1312" s="69" t="e" cm="1">
        <f t="array" ref="AG1312">_xlfn.XLOOKUP(Table1[[#This Row],[5 cm2 cell test code]:[5 cm2 cell test code]],[1]!Table1[[Test code]:[Test code]],[1]!Table1[Q_int_frac DIW],"",0)</f>
        <v>#REF!</v>
      </c>
      <c r="AH1312" s="69" t="e" cm="1">
        <f t="array" ref="AH1312">_xlfn.XLOOKUP(Table1[[#This Row],[5 cm2 cell test code]:[5 cm2 cell test code]],[1]!Table1[[Test code]:[Test code]],[1]!Table1[Ionic resistance 10 mM KOH/Ohm cm2],"",0)</f>
        <v>#REF!</v>
      </c>
      <c r="AI1312" s="69" t="e" cm="1">
        <f t="array" ref="AI1312">_xlfn.XLOOKUP(Table1[[#This Row],[5 cm2 cell test code]:[5 cm2 cell test code]],[1]!Table1[[Test code]:[Test code]],[1]!Table1[Q_int_frac DIW 10 mM KOH],"",0)</f>
        <v>#REF!</v>
      </c>
      <c r="AJ1312" s="69" t="e" cm="1">
        <f t="array" ref="AJ1312">_xlfn.XLOOKUP(Table1[[#This Row],[5 cm2 cell test code]:[5 cm2 cell test code]],[1]!Table1[[Test code]:[Test code]],[1]!Table1[DIW conductivity (µS/cm)],"",0)</f>
        <v>#REF!</v>
      </c>
    </row>
    <row r="1313" spans="1:36">
      <c r="A1313" s="81"/>
      <c r="U1313" s="101"/>
      <c r="V1313" s="101"/>
      <c r="W1313" s="69" t="e" cm="1">
        <f t="array" ref="W1313">_xlfn.XLOOKUP(Table1[[#This Row],[5 cm2 cell test code]:[5 cm2 cell test code]],[1]!Table1[[Test code]:[Test code]],[1]!Table1[i @ 1.8 V DIW (A/cm2)],"",0)</f>
        <v>#REF!</v>
      </c>
      <c r="X1313" s="69" t="e" cm="1">
        <f t="array" ref="X1313">_xlfn.XLOOKUP(Table1[[#This Row],[5 cm2 cell test code]:[5 cm2 cell test code]],[1]!Table1[[Test code]:[Test code]],[1]!Table1[i @ 1.8 V 10 mM KOH (A/cm2)],"",0)</f>
        <v>#REF!</v>
      </c>
      <c r="Y1313" s="69" t="e" cm="1">
        <f t="array" ref="Y1313">_xlfn.XLOOKUP(Table1[[#This Row],[5 cm2 cell test code]:[5 cm2 cell test code]],[1]!Table1[[Test code]:[Test code]],[1]!Table1[3-E ƞ at 20mAcm-2 (mV)],"",0)</f>
        <v>#REF!</v>
      </c>
      <c r="Z1313" s="69" t="e" cm="1">
        <f t="array" ref="Z1313">_xlfn.XLOOKUP(Table1[[#This Row],[5 cm2 cell test code]:[5 cm2 cell test code]],[1]!Table1[[Test code]:[Test code]],[1]!Table1[3-E Tafel slope (mV/dec)],"",0)</f>
        <v>#REF!</v>
      </c>
      <c r="AA1313" s="69" t="e" cm="1">
        <f t="array" ref="AA1313">_xlfn.XLOOKUP(Table1[[#This Row],[5 cm2 cell test code]:[5 cm2 cell test code]],[1]!Table1[[Test code]:[Test code]],[1]!Table1[E @ 100 mA/cm2 DIW/V],"",0)</f>
        <v>#REF!</v>
      </c>
      <c r="AB1313" s="69" t="e" cm="1">
        <f t="array" ref="AB1313">_xlfn.XLOOKUP(Table1[[#This Row],[5 cm2 cell test code]:[5 cm2 cell test code]],[1]!Table1[[Test code]:[Test code]],[1]!Table1[E @ 100 mA/cm2 10 mM KOH/V],"",0)</f>
        <v>#REF!</v>
      </c>
      <c r="AC1313" s="69" t="e" cm="1">
        <f t="array" ref="AC1313">_xlfn.XLOOKUP(Table1[[#This Row],[5 cm2 cell test code]:[5 cm2 cell test code]],[1]!Table1[[Test code]:[Test code]],[1]!Table1[Anode ICR/mOhm],"",0)</f>
        <v>#REF!</v>
      </c>
      <c r="AD1313" s="69" t="e" cm="1">
        <f t="array" ref="AD1313">_xlfn.XLOOKUP(Table1[[#This Row],[5 cm2 cell test code]:[5 cm2 cell test code]],[1]!Table1[[Test code]:[Test code]],[1]!Table1[HFR DIW/ mOhm cm2],"",0)</f>
        <v>#REF!</v>
      </c>
      <c r="AE1313" s="69" t="e" cm="1">
        <f t="array" ref="AE1313">_xlfn.XLOOKUP(Table1[[#This Row],[5 cm2 cell test code]:[5 cm2 cell test code]],[1]!Table1[[Test code]:[Test code]],[1]!Table1[HFR 10 mM KOH/ mOhm cm2],"",0)</f>
        <v>#REF!</v>
      </c>
      <c r="AF1313" s="69" t="e" cm="1">
        <f t="array" ref="AF1313">_xlfn.XLOOKUP(Table1[[#This Row],[5 cm2 cell test code]:[5 cm2 cell test code]],[1]!Table1[[Test code]:[Test code]],[1]!Table1[Ionic resistance DIW/Ohm cm2],"",0)</f>
        <v>#REF!</v>
      </c>
      <c r="AG1313" s="69" t="e" cm="1">
        <f t="array" ref="AG1313">_xlfn.XLOOKUP(Table1[[#This Row],[5 cm2 cell test code]:[5 cm2 cell test code]],[1]!Table1[[Test code]:[Test code]],[1]!Table1[Q_int_frac DIW],"",0)</f>
        <v>#REF!</v>
      </c>
      <c r="AH1313" s="69" t="e" cm="1">
        <f t="array" ref="AH1313">_xlfn.XLOOKUP(Table1[[#This Row],[5 cm2 cell test code]:[5 cm2 cell test code]],[1]!Table1[[Test code]:[Test code]],[1]!Table1[Ionic resistance 10 mM KOH/Ohm cm2],"",0)</f>
        <v>#REF!</v>
      </c>
      <c r="AI1313" s="69" t="e" cm="1">
        <f t="array" ref="AI1313">_xlfn.XLOOKUP(Table1[[#This Row],[5 cm2 cell test code]:[5 cm2 cell test code]],[1]!Table1[[Test code]:[Test code]],[1]!Table1[Q_int_frac DIW 10 mM KOH],"",0)</f>
        <v>#REF!</v>
      </c>
      <c r="AJ1313" s="69" t="e" cm="1">
        <f t="array" ref="AJ1313">_xlfn.XLOOKUP(Table1[[#This Row],[5 cm2 cell test code]:[5 cm2 cell test code]],[1]!Table1[[Test code]:[Test code]],[1]!Table1[DIW conductivity (µS/cm)],"",0)</f>
        <v>#REF!</v>
      </c>
    </row>
    <row r="1314" spans="1:36">
      <c r="A1314" s="81"/>
      <c r="U1314" s="101"/>
      <c r="V1314" s="101"/>
      <c r="W1314" s="69" t="e" cm="1">
        <f t="array" ref="W1314">_xlfn.XLOOKUP(Table1[[#This Row],[5 cm2 cell test code]:[5 cm2 cell test code]],[1]!Table1[[Test code]:[Test code]],[1]!Table1[i @ 1.8 V DIW (A/cm2)],"",0)</f>
        <v>#REF!</v>
      </c>
      <c r="X1314" s="69" t="e" cm="1">
        <f t="array" ref="X1314">_xlfn.XLOOKUP(Table1[[#This Row],[5 cm2 cell test code]:[5 cm2 cell test code]],[1]!Table1[[Test code]:[Test code]],[1]!Table1[i @ 1.8 V 10 mM KOH (A/cm2)],"",0)</f>
        <v>#REF!</v>
      </c>
      <c r="Y1314" s="69" t="e" cm="1">
        <f t="array" ref="Y1314">_xlfn.XLOOKUP(Table1[[#This Row],[5 cm2 cell test code]:[5 cm2 cell test code]],[1]!Table1[[Test code]:[Test code]],[1]!Table1[3-E ƞ at 20mAcm-2 (mV)],"",0)</f>
        <v>#REF!</v>
      </c>
      <c r="Z1314" s="69" t="e" cm="1">
        <f t="array" ref="Z1314">_xlfn.XLOOKUP(Table1[[#This Row],[5 cm2 cell test code]:[5 cm2 cell test code]],[1]!Table1[[Test code]:[Test code]],[1]!Table1[3-E Tafel slope (mV/dec)],"",0)</f>
        <v>#REF!</v>
      </c>
      <c r="AA1314" s="69" t="e" cm="1">
        <f t="array" ref="AA1314">_xlfn.XLOOKUP(Table1[[#This Row],[5 cm2 cell test code]:[5 cm2 cell test code]],[1]!Table1[[Test code]:[Test code]],[1]!Table1[E @ 100 mA/cm2 DIW/V],"",0)</f>
        <v>#REF!</v>
      </c>
      <c r="AB1314" s="69" t="e" cm="1">
        <f t="array" ref="AB1314">_xlfn.XLOOKUP(Table1[[#This Row],[5 cm2 cell test code]:[5 cm2 cell test code]],[1]!Table1[[Test code]:[Test code]],[1]!Table1[E @ 100 mA/cm2 10 mM KOH/V],"",0)</f>
        <v>#REF!</v>
      </c>
      <c r="AC1314" s="69" t="e" cm="1">
        <f t="array" ref="AC1314">_xlfn.XLOOKUP(Table1[[#This Row],[5 cm2 cell test code]:[5 cm2 cell test code]],[1]!Table1[[Test code]:[Test code]],[1]!Table1[Anode ICR/mOhm],"",0)</f>
        <v>#REF!</v>
      </c>
      <c r="AD1314" s="69" t="e" cm="1">
        <f t="array" ref="AD1314">_xlfn.XLOOKUP(Table1[[#This Row],[5 cm2 cell test code]:[5 cm2 cell test code]],[1]!Table1[[Test code]:[Test code]],[1]!Table1[HFR DIW/ mOhm cm2],"",0)</f>
        <v>#REF!</v>
      </c>
      <c r="AE1314" s="69" t="e" cm="1">
        <f t="array" ref="AE1314">_xlfn.XLOOKUP(Table1[[#This Row],[5 cm2 cell test code]:[5 cm2 cell test code]],[1]!Table1[[Test code]:[Test code]],[1]!Table1[HFR 10 mM KOH/ mOhm cm2],"",0)</f>
        <v>#REF!</v>
      </c>
      <c r="AF1314" s="69" t="e" cm="1">
        <f t="array" ref="AF1314">_xlfn.XLOOKUP(Table1[[#This Row],[5 cm2 cell test code]:[5 cm2 cell test code]],[1]!Table1[[Test code]:[Test code]],[1]!Table1[Ionic resistance DIW/Ohm cm2],"",0)</f>
        <v>#REF!</v>
      </c>
      <c r="AG1314" s="69" t="e" cm="1">
        <f t="array" ref="AG1314">_xlfn.XLOOKUP(Table1[[#This Row],[5 cm2 cell test code]:[5 cm2 cell test code]],[1]!Table1[[Test code]:[Test code]],[1]!Table1[Q_int_frac DIW],"",0)</f>
        <v>#REF!</v>
      </c>
      <c r="AH1314" s="69" t="e" cm="1">
        <f t="array" ref="AH1314">_xlfn.XLOOKUP(Table1[[#This Row],[5 cm2 cell test code]:[5 cm2 cell test code]],[1]!Table1[[Test code]:[Test code]],[1]!Table1[Ionic resistance 10 mM KOH/Ohm cm2],"",0)</f>
        <v>#REF!</v>
      </c>
      <c r="AI1314" s="69" t="e" cm="1">
        <f t="array" ref="AI1314">_xlfn.XLOOKUP(Table1[[#This Row],[5 cm2 cell test code]:[5 cm2 cell test code]],[1]!Table1[[Test code]:[Test code]],[1]!Table1[Q_int_frac DIW 10 mM KOH],"",0)</f>
        <v>#REF!</v>
      </c>
      <c r="AJ1314" s="69" t="e" cm="1">
        <f t="array" ref="AJ1314">_xlfn.XLOOKUP(Table1[[#This Row],[5 cm2 cell test code]:[5 cm2 cell test code]],[1]!Table1[[Test code]:[Test code]],[1]!Table1[DIW conductivity (µS/cm)],"",0)</f>
        <v>#REF!</v>
      </c>
    </row>
    <row r="1315" spans="1:36">
      <c r="A1315" s="81"/>
      <c r="U1315" s="101"/>
      <c r="V1315" s="101"/>
      <c r="W1315" s="69" t="e" cm="1">
        <f t="array" ref="W1315">_xlfn.XLOOKUP(Table1[[#This Row],[5 cm2 cell test code]:[5 cm2 cell test code]],[1]!Table1[[Test code]:[Test code]],[1]!Table1[i @ 1.8 V DIW (A/cm2)],"",0)</f>
        <v>#REF!</v>
      </c>
      <c r="X1315" s="69" t="e" cm="1">
        <f t="array" ref="X1315">_xlfn.XLOOKUP(Table1[[#This Row],[5 cm2 cell test code]:[5 cm2 cell test code]],[1]!Table1[[Test code]:[Test code]],[1]!Table1[i @ 1.8 V 10 mM KOH (A/cm2)],"",0)</f>
        <v>#REF!</v>
      </c>
      <c r="Y1315" s="69" t="e" cm="1">
        <f t="array" ref="Y1315">_xlfn.XLOOKUP(Table1[[#This Row],[5 cm2 cell test code]:[5 cm2 cell test code]],[1]!Table1[[Test code]:[Test code]],[1]!Table1[3-E ƞ at 20mAcm-2 (mV)],"",0)</f>
        <v>#REF!</v>
      </c>
      <c r="Z1315" s="69" t="e" cm="1">
        <f t="array" ref="Z1315">_xlfn.XLOOKUP(Table1[[#This Row],[5 cm2 cell test code]:[5 cm2 cell test code]],[1]!Table1[[Test code]:[Test code]],[1]!Table1[3-E Tafel slope (mV/dec)],"",0)</f>
        <v>#REF!</v>
      </c>
      <c r="AA1315" s="69" t="e" cm="1">
        <f t="array" ref="AA1315">_xlfn.XLOOKUP(Table1[[#This Row],[5 cm2 cell test code]:[5 cm2 cell test code]],[1]!Table1[[Test code]:[Test code]],[1]!Table1[E @ 100 mA/cm2 DIW/V],"",0)</f>
        <v>#REF!</v>
      </c>
      <c r="AB1315" s="69" t="e" cm="1">
        <f t="array" ref="AB1315">_xlfn.XLOOKUP(Table1[[#This Row],[5 cm2 cell test code]:[5 cm2 cell test code]],[1]!Table1[[Test code]:[Test code]],[1]!Table1[E @ 100 mA/cm2 10 mM KOH/V],"",0)</f>
        <v>#REF!</v>
      </c>
      <c r="AC1315" s="69" t="e" cm="1">
        <f t="array" ref="AC1315">_xlfn.XLOOKUP(Table1[[#This Row],[5 cm2 cell test code]:[5 cm2 cell test code]],[1]!Table1[[Test code]:[Test code]],[1]!Table1[Anode ICR/mOhm],"",0)</f>
        <v>#REF!</v>
      </c>
      <c r="AD1315" s="69" t="e" cm="1">
        <f t="array" ref="AD1315">_xlfn.XLOOKUP(Table1[[#This Row],[5 cm2 cell test code]:[5 cm2 cell test code]],[1]!Table1[[Test code]:[Test code]],[1]!Table1[HFR DIW/ mOhm cm2],"",0)</f>
        <v>#REF!</v>
      </c>
      <c r="AE1315" s="69" t="e" cm="1">
        <f t="array" ref="AE1315">_xlfn.XLOOKUP(Table1[[#This Row],[5 cm2 cell test code]:[5 cm2 cell test code]],[1]!Table1[[Test code]:[Test code]],[1]!Table1[HFR 10 mM KOH/ mOhm cm2],"",0)</f>
        <v>#REF!</v>
      </c>
      <c r="AF1315" s="69" t="e" cm="1">
        <f t="array" ref="AF1315">_xlfn.XLOOKUP(Table1[[#This Row],[5 cm2 cell test code]:[5 cm2 cell test code]],[1]!Table1[[Test code]:[Test code]],[1]!Table1[Ionic resistance DIW/Ohm cm2],"",0)</f>
        <v>#REF!</v>
      </c>
      <c r="AG1315" s="69" t="e" cm="1">
        <f t="array" ref="AG1315">_xlfn.XLOOKUP(Table1[[#This Row],[5 cm2 cell test code]:[5 cm2 cell test code]],[1]!Table1[[Test code]:[Test code]],[1]!Table1[Q_int_frac DIW],"",0)</f>
        <v>#REF!</v>
      </c>
      <c r="AH1315" s="69" t="e" cm="1">
        <f t="array" ref="AH1315">_xlfn.XLOOKUP(Table1[[#This Row],[5 cm2 cell test code]:[5 cm2 cell test code]],[1]!Table1[[Test code]:[Test code]],[1]!Table1[Ionic resistance 10 mM KOH/Ohm cm2],"",0)</f>
        <v>#REF!</v>
      </c>
      <c r="AI1315" s="69" t="e" cm="1">
        <f t="array" ref="AI1315">_xlfn.XLOOKUP(Table1[[#This Row],[5 cm2 cell test code]:[5 cm2 cell test code]],[1]!Table1[[Test code]:[Test code]],[1]!Table1[Q_int_frac DIW 10 mM KOH],"",0)</f>
        <v>#REF!</v>
      </c>
      <c r="AJ1315" s="69" t="e" cm="1">
        <f t="array" ref="AJ1315">_xlfn.XLOOKUP(Table1[[#This Row],[5 cm2 cell test code]:[5 cm2 cell test code]],[1]!Table1[[Test code]:[Test code]],[1]!Table1[DIW conductivity (µS/cm)],"",0)</f>
        <v>#REF!</v>
      </c>
    </row>
    <row r="1316" spans="1:36">
      <c r="A1316" s="81"/>
      <c r="U1316" s="101"/>
      <c r="V1316" s="101"/>
      <c r="W1316" s="69" t="e" cm="1">
        <f t="array" ref="W1316">_xlfn.XLOOKUP(Table1[[#This Row],[5 cm2 cell test code]:[5 cm2 cell test code]],[1]!Table1[[Test code]:[Test code]],[1]!Table1[i @ 1.8 V DIW (A/cm2)],"",0)</f>
        <v>#REF!</v>
      </c>
      <c r="X1316" s="69" t="e" cm="1">
        <f t="array" ref="X1316">_xlfn.XLOOKUP(Table1[[#This Row],[5 cm2 cell test code]:[5 cm2 cell test code]],[1]!Table1[[Test code]:[Test code]],[1]!Table1[i @ 1.8 V 10 mM KOH (A/cm2)],"",0)</f>
        <v>#REF!</v>
      </c>
      <c r="Y1316" s="69" t="e" cm="1">
        <f t="array" ref="Y1316">_xlfn.XLOOKUP(Table1[[#This Row],[5 cm2 cell test code]:[5 cm2 cell test code]],[1]!Table1[[Test code]:[Test code]],[1]!Table1[3-E ƞ at 20mAcm-2 (mV)],"",0)</f>
        <v>#REF!</v>
      </c>
      <c r="Z1316" s="69" t="e" cm="1">
        <f t="array" ref="Z1316">_xlfn.XLOOKUP(Table1[[#This Row],[5 cm2 cell test code]:[5 cm2 cell test code]],[1]!Table1[[Test code]:[Test code]],[1]!Table1[3-E Tafel slope (mV/dec)],"",0)</f>
        <v>#REF!</v>
      </c>
      <c r="AA1316" s="69" t="e" cm="1">
        <f t="array" ref="AA1316">_xlfn.XLOOKUP(Table1[[#This Row],[5 cm2 cell test code]:[5 cm2 cell test code]],[1]!Table1[[Test code]:[Test code]],[1]!Table1[E @ 100 mA/cm2 DIW/V],"",0)</f>
        <v>#REF!</v>
      </c>
      <c r="AB1316" s="69" t="e" cm="1">
        <f t="array" ref="AB1316">_xlfn.XLOOKUP(Table1[[#This Row],[5 cm2 cell test code]:[5 cm2 cell test code]],[1]!Table1[[Test code]:[Test code]],[1]!Table1[E @ 100 mA/cm2 10 mM KOH/V],"",0)</f>
        <v>#REF!</v>
      </c>
      <c r="AC1316" s="69" t="e" cm="1">
        <f t="array" ref="AC1316">_xlfn.XLOOKUP(Table1[[#This Row],[5 cm2 cell test code]:[5 cm2 cell test code]],[1]!Table1[[Test code]:[Test code]],[1]!Table1[Anode ICR/mOhm],"",0)</f>
        <v>#REF!</v>
      </c>
      <c r="AD1316" s="69" t="e" cm="1">
        <f t="array" ref="AD1316">_xlfn.XLOOKUP(Table1[[#This Row],[5 cm2 cell test code]:[5 cm2 cell test code]],[1]!Table1[[Test code]:[Test code]],[1]!Table1[HFR DIW/ mOhm cm2],"",0)</f>
        <v>#REF!</v>
      </c>
      <c r="AE1316" s="69" t="e" cm="1">
        <f t="array" ref="AE1316">_xlfn.XLOOKUP(Table1[[#This Row],[5 cm2 cell test code]:[5 cm2 cell test code]],[1]!Table1[[Test code]:[Test code]],[1]!Table1[HFR 10 mM KOH/ mOhm cm2],"",0)</f>
        <v>#REF!</v>
      </c>
      <c r="AF1316" s="69" t="e" cm="1">
        <f t="array" ref="AF1316">_xlfn.XLOOKUP(Table1[[#This Row],[5 cm2 cell test code]:[5 cm2 cell test code]],[1]!Table1[[Test code]:[Test code]],[1]!Table1[Ionic resistance DIW/Ohm cm2],"",0)</f>
        <v>#REF!</v>
      </c>
      <c r="AG1316" s="69" t="e" cm="1">
        <f t="array" ref="AG1316">_xlfn.XLOOKUP(Table1[[#This Row],[5 cm2 cell test code]:[5 cm2 cell test code]],[1]!Table1[[Test code]:[Test code]],[1]!Table1[Q_int_frac DIW],"",0)</f>
        <v>#REF!</v>
      </c>
      <c r="AH1316" s="69" t="e" cm="1">
        <f t="array" ref="AH1316">_xlfn.XLOOKUP(Table1[[#This Row],[5 cm2 cell test code]:[5 cm2 cell test code]],[1]!Table1[[Test code]:[Test code]],[1]!Table1[Ionic resistance 10 mM KOH/Ohm cm2],"",0)</f>
        <v>#REF!</v>
      </c>
      <c r="AI1316" s="69" t="e" cm="1">
        <f t="array" ref="AI1316">_xlfn.XLOOKUP(Table1[[#This Row],[5 cm2 cell test code]:[5 cm2 cell test code]],[1]!Table1[[Test code]:[Test code]],[1]!Table1[Q_int_frac DIW 10 mM KOH],"",0)</f>
        <v>#REF!</v>
      </c>
      <c r="AJ1316" s="69" t="e" cm="1">
        <f t="array" ref="AJ1316">_xlfn.XLOOKUP(Table1[[#This Row],[5 cm2 cell test code]:[5 cm2 cell test code]],[1]!Table1[[Test code]:[Test code]],[1]!Table1[DIW conductivity (µS/cm)],"",0)</f>
        <v>#REF!</v>
      </c>
    </row>
    <row r="1317" spans="1:36">
      <c r="A1317" s="81"/>
      <c r="U1317" s="101"/>
      <c r="V1317" s="101"/>
      <c r="W1317" s="69" t="e" cm="1">
        <f t="array" ref="W1317">_xlfn.XLOOKUP(Table1[[#This Row],[5 cm2 cell test code]:[5 cm2 cell test code]],[1]!Table1[[Test code]:[Test code]],[1]!Table1[i @ 1.8 V DIW (A/cm2)],"",0)</f>
        <v>#REF!</v>
      </c>
      <c r="X1317" s="69" t="e" cm="1">
        <f t="array" ref="X1317">_xlfn.XLOOKUP(Table1[[#This Row],[5 cm2 cell test code]:[5 cm2 cell test code]],[1]!Table1[[Test code]:[Test code]],[1]!Table1[i @ 1.8 V 10 mM KOH (A/cm2)],"",0)</f>
        <v>#REF!</v>
      </c>
      <c r="Y1317" s="69" t="e" cm="1">
        <f t="array" ref="Y1317">_xlfn.XLOOKUP(Table1[[#This Row],[5 cm2 cell test code]:[5 cm2 cell test code]],[1]!Table1[[Test code]:[Test code]],[1]!Table1[3-E ƞ at 20mAcm-2 (mV)],"",0)</f>
        <v>#REF!</v>
      </c>
      <c r="Z1317" s="69" t="e" cm="1">
        <f t="array" ref="Z1317">_xlfn.XLOOKUP(Table1[[#This Row],[5 cm2 cell test code]:[5 cm2 cell test code]],[1]!Table1[[Test code]:[Test code]],[1]!Table1[3-E Tafel slope (mV/dec)],"",0)</f>
        <v>#REF!</v>
      </c>
      <c r="AA1317" s="69" t="e" cm="1">
        <f t="array" ref="AA1317">_xlfn.XLOOKUP(Table1[[#This Row],[5 cm2 cell test code]:[5 cm2 cell test code]],[1]!Table1[[Test code]:[Test code]],[1]!Table1[E @ 100 mA/cm2 DIW/V],"",0)</f>
        <v>#REF!</v>
      </c>
      <c r="AB1317" s="69" t="e" cm="1">
        <f t="array" ref="AB1317">_xlfn.XLOOKUP(Table1[[#This Row],[5 cm2 cell test code]:[5 cm2 cell test code]],[1]!Table1[[Test code]:[Test code]],[1]!Table1[E @ 100 mA/cm2 10 mM KOH/V],"",0)</f>
        <v>#REF!</v>
      </c>
      <c r="AC1317" s="69" t="e" cm="1">
        <f t="array" ref="AC1317">_xlfn.XLOOKUP(Table1[[#This Row],[5 cm2 cell test code]:[5 cm2 cell test code]],[1]!Table1[[Test code]:[Test code]],[1]!Table1[Anode ICR/mOhm],"",0)</f>
        <v>#REF!</v>
      </c>
      <c r="AD1317" s="69" t="e" cm="1">
        <f t="array" ref="AD1317">_xlfn.XLOOKUP(Table1[[#This Row],[5 cm2 cell test code]:[5 cm2 cell test code]],[1]!Table1[[Test code]:[Test code]],[1]!Table1[HFR DIW/ mOhm cm2],"",0)</f>
        <v>#REF!</v>
      </c>
      <c r="AE1317" s="69" t="e" cm="1">
        <f t="array" ref="AE1317">_xlfn.XLOOKUP(Table1[[#This Row],[5 cm2 cell test code]:[5 cm2 cell test code]],[1]!Table1[[Test code]:[Test code]],[1]!Table1[HFR 10 mM KOH/ mOhm cm2],"",0)</f>
        <v>#REF!</v>
      </c>
      <c r="AF1317" s="69" t="e" cm="1">
        <f t="array" ref="AF1317">_xlfn.XLOOKUP(Table1[[#This Row],[5 cm2 cell test code]:[5 cm2 cell test code]],[1]!Table1[[Test code]:[Test code]],[1]!Table1[Ionic resistance DIW/Ohm cm2],"",0)</f>
        <v>#REF!</v>
      </c>
      <c r="AG1317" s="69" t="e" cm="1">
        <f t="array" ref="AG1317">_xlfn.XLOOKUP(Table1[[#This Row],[5 cm2 cell test code]:[5 cm2 cell test code]],[1]!Table1[[Test code]:[Test code]],[1]!Table1[Q_int_frac DIW],"",0)</f>
        <v>#REF!</v>
      </c>
      <c r="AH1317" s="69" t="e" cm="1">
        <f t="array" ref="AH1317">_xlfn.XLOOKUP(Table1[[#This Row],[5 cm2 cell test code]:[5 cm2 cell test code]],[1]!Table1[[Test code]:[Test code]],[1]!Table1[Ionic resistance 10 mM KOH/Ohm cm2],"",0)</f>
        <v>#REF!</v>
      </c>
      <c r="AI1317" s="69" t="e" cm="1">
        <f t="array" ref="AI1317">_xlfn.XLOOKUP(Table1[[#This Row],[5 cm2 cell test code]:[5 cm2 cell test code]],[1]!Table1[[Test code]:[Test code]],[1]!Table1[Q_int_frac DIW 10 mM KOH],"",0)</f>
        <v>#REF!</v>
      </c>
      <c r="AJ1317" s="69" t="e" cm="1">
        <f t="array" ref="AJ1317">_xlfn.XLOOKUP(Table1[[#This Row],[5 cm2 cell test code]:[5 cm2 cell test code]],[1]!Table1[[Test code]:[Test code]],[1]!Table1[DIW conductivity (µS/cm)],"",0)</f>
        <v>#REF!</v>
      </c>
    </row>
    <row r="1318" spans="1:36">
      <c r="A1318" s="81"/>
      <c r="U1318" s="101"/>
      <c r="V1318" s="101"/>
      <c r="W1318" s="69" t="e" cm="1">
        <f t="array" ref="W1318">_xlfn.XLOOKUP(Table1[[#This Row],[5 cm2 cell test code]:[5 cm2 cell test code]],[1]!Table1[[Test code]:[Test code]],[1]!Table1[i @ 1.8 V DIW (A/cm2)],"",0)</f>
        <v>#REF!</v>
      </c>
      <c r="X1318" s="69" t="e" cm="1">
        <f t="array" ref="X1318">_xlfn.XLOOKUP(Table1[[#This Row],[5 cm2 cell test code]:[5 cm2 cell test code]],[1]!Table1[[Test code]:[Test code]],[1]!Table1[i @ 1.8 V 10 mM KOH (A/cm2)],"",0)</f>
        <v>#REF!</v>
      </c>
      <c r="Y1318" s="69" t="e" cm="1">
        <f t="array" ref="Y1318">_xlfn.XLOOKUP(Table1[[#This Row],[5 cm2 cell test code]:[5 cm2 cell test code]],[1]!Table1[[Test code]:[Test code]],[1]!Table1[3-E ƞ at 20mAcm-2 (mV)],"",0)</f>
        <v>#REF!</v>
      </c>
      <c r="Z1318" s="69" t="e" cm="1">
        <f t="array" ref="Z1318">_xlfn.XLOOKUP(Table1[[#This Row],[5 cm2 cell test code]:[5 cm2 cell test code]],[1]!Table1[[Test code]:[Test code]],[1]!Table1[3-E Tafel slope (mV/dec)],"",0)</f>
        <v>#REF!</v>
      </c>
      <c r="AA1318" s="69" t="e" cm="1">
        <f t="array" ref="AA1318">_xlfn.XLOOKUP(Table1[[#This Row],[5 cm2 cell test code]:[5 cm2 cell test code]],[1]!Table1[[Test code]:[Test code]],[1]!Table1[E @ 100 mA/cm2 DIW/V],"",0)</f>
        <v>#REF!</v>
      </c>
      <c r="AB1318" s="69" t="e" cm="1">
        <f t="array" ref="AB1318">_xlfn.XLOOKUP(Table1[[#This Row],[5 cm2 cell test code]:[5 cm2 cell test code]],[1]!Table1[[Test code]:[Test code]],[1]!Table1[E @ 100 mA/cm2 10 mM KOH/V],"",0)</f>
        <v>#REF!</v>
      </c>
      <c r="AC1318" s="69" t="e" cm="1">
        <f t="array" ref="AC1318">_xlfn.XLOOKUP(Table1[[#This Row],[5 cm2 cell test code]:[5 cm2 cell test code]],[1]!Table1[[Test code]:[Test code]],[1]!Table1[Anode ICR/mOhm],"",0)</f>
        <v>#REF!</v>
      </c>
      <c r="AD1318" s="69" t="e" cm="1">
        <f t="array" ref="AD1318">_xlfn.XLOOKUP(Table1[[#This Row],[5 cm2 cell test code]:[5 cm2 cell test code]],[1]!Table1[[Test code]:[Test code]],[1]!Table1[HFR DIW/ mOhm cm2],"",0)</f>
        <v>#REF!</v>
      </c>
      <c r="AE1318" s="69" t="e" cm="1">
        <f t="array" ref="AE1318">_xlfn.XLOOKUP(Table1[[#This Row],[5 cm2 cell test code]:[5 cm2 cell test code]],[1]!Table1[[Test code]:[Test code]],[1]!Table1[HFR 10 mM KOH/ mOhm cm2],"",0)</f>
        <v>#REF!</v>
      </c>
      <c r="AF1318" s="69" t="e" cm="1">
        <f t="array" ref="AF1318">_xlfn.XLOOKUP(Table1[[#This Row],[5 cm2 cell test code]:[5 cm2 cell test code]],[1]!Table1[[Test code]:[Test code]],[1]!Table1[Ionic resistance DIW/Ohm cm2],"",0)</f>
        <v>#REF!</v>
      </c>
      <c r="AG1318" s="69" t="e" cm="1">
        <f t="array" ref="AG1318">_xlfn.XLOOKUP(Table1[[#This Row],[5 cm2 cell test code]:[5 cm2 cell test code]],[1]!Table1[[Test code]:[Test code]],[1]!Table1[Q_int_frac DIW],"",0)</f>
        <v>#REF!</v>
      </c>
      <c r="AH1318" s="69" t="e" cm="1">
        <f t="array" ref="AH1318">_xlfn.XLOOKUP(Table1[[#This Row],[5 cm2 cell test code]:[5 cm2 cell test code]],[1]!Table1[[Test code]:[Test code]],[1]!Table1[Ionic resistance 10 mM KOH/Ohm cm2],"",0)</f>
        <v>#REF!</v>
      </c>
      <c r="AI1318" s="69" t="e" cm="1">
        <f t="array" ref="AI1318">_xlfn.XLOOKUP(Table1[[#This Row],[5 cm2 cell test code]:[5 cm2 cell test code]],[1]!Table1[[Test code]:[Test code]],[1]!Table1[Q_int_frac DIW 10 mM KOH],"",0)</f>
        <v>#REF!</v>
      </c>
      <c r="AJ1318" s="69" t="e" cm="1">
        <f t="array" ref="AJ1318">_xlfn.XLOOKUP(Table1[[#This Row],[5 cm2 cell test code]:[5 cm2 cell test code]],[1]!Table1[[Test code]:[Test code]],[1]!Table1[DIW conductivity (µS/cm)],"",0)</f>
        <v>#REF!</v>
      </c>
    </row>
    <row r="1319" spans="1:36">
      <c r="A1319" s="81"/>
      <c r="U1319" s="101"/>
      <c r="V1319" s="101"/>
      <c r="W1319" s="69" t="e" cm="1">
        <f t="array" ref="W1319">_xlfn.XLOOKUP(Table1[[#This Row],[5 cm2 cell test code]:[5 cm2 cell test code]],[1]!Table1[[Test code]:[Test code]],[1]!Table1[i @ 1.8 V DIW (A/cm2)],"",0)</f>
        <v>#REF!</v>
      </c>
      <c r="X1319" s="69" t="e" cm="1">
        <f t="array" ref="X1319">_xlfn.XLOOKUP(Table1[[#This Row],[5 cm2 cell test code]:[5 cm2 cell test code]],[1]!Table1[[Test code]:[Test code]],[1]!Table1[i @ 1.8 V 10 mM KOH (A/cm2)],"",0)</f>
        <v>#REF!</v>
      </c>
      <c r="Y1319" s="69" t="e" cm="1">
        <f t="array" ref="Y1319">_xlfn.XLOOKUP(Table1[[#This Row],[5 cm2 cell test code]:[5 cm2 cell test code]],[1]!Table1[[Test code]:[Test code]],[1]!Table1[3-E ƞ at 20mAcm-2 (mV)],"",0)</f>
        <v>#REF!</v>
      </c>
      <c r="Z1319" s="69" t="e" cm="1">
        <f t="array" ref="Z1319">_xlfn.XLOOKUP(Table1[[#This Row],[5 cm2 cell test code]:[5 cm2 cell test code]],[1]!Table1[[Test code]:[Test code]],[1]!Table1[3-E Tafel slope (mV/dec)],"",0)</f>
        <v>#REF!</v>
      </c>
      <c r="AA1319" s="69" t="e" cm="1">
        <f t="array" ref="AA1319">_xlfn.XLOOKUP(Table1[[#This Row],[5 cm2 cell test code]:[5 cm2 cell test code]],[1]!Table1[[Test code]:[Test code]],[1]!Table1[E @ 100 mA/cm2 DIW/V],"",0)</f>
        <v>#REF!</v>
      </c>
      <c r="AB1319" s="69" t="e" cm="1">
        <f t="array" ref="AB1319">_xlfn.XLOOKUP(Table1[[#This Row],[5 cm2 cell test code]:[5 cm2 cell test code]],[1]!Table1[[Test code]:[Test code]],[1]!Table1[E @ 100 mA/cm2 10 mM KOH/V],"",0)</f>
        <v>#REF!</v>
      </c>
      <c r="AC1319" s="69" t="e" cm="1">
        <f t="array" ref="AC1319">_xlfn.XLOOKUP(Table1[[#This Row],[5 cm2 cell test code]:[5 cm2 cell test code]],[1]!Table1[[Test code]:[Test code]],[1]!Table1[Anode ICR/mOhm],"",0)</f>
        <v>#REF!</v>
      </c>
      <c r="AD1319" s="69" t="e" cm="1">
        <f t="array" ref="AD1319">_xlfn.XLOOKUP(Table1[[#This Row],[5 cm2 cell test code]:[5 cm2 cell test code]],[1]!Table1[[Test code]:[Test code]],[1]!Table1[HFR DIW/ mOhm cm2],"",0)</f>
        <v>#REF!</v>
      </c>
      <c r="AE1319" s="69" t="e" cm="1">
        <f t="array" ref="AE1319">_xlfn.XLOOKUP(Table1[[#This Row],[5 cm2 cell test code]:[5 cm2 cell test code]],[1]!Table1[[Test code]:[Test code]],[1]!Table1[HFR 10 mM KOH/ mOhm cm2],"",0)</f>
        <v>#REF!</v>
      </c>
      <c r="AF1319" s="69" t="e" cm="1">
        <f t="array" ref="AF1319">_xlfn.XLOOKUP(Table1[[#This Row],[5 cm2 cell test code]:[5 cm2 cell test code]],[1]!Table1[[Test code]:[Test code]],[1]!Table1[Ionic resistance DIW/Ohm cm2],"",0)</f>
        <v>#REF!</v>
      </c>
      <c r="AG1319" s="69" t="e" cm="1">
        <f t="array" ref="AG1319">_xlfn.XLOOKUP(Table1[[#This Row],[5 cm2 cell test code]:[5 cm2 cell test code]],[1]!Table1[[Test code]:[Test code]],[1]!Table1[Q_int_frac DIW],"",0)</f>
        <v>#REF!</v>
      </c>
      <c r="AH1319" s="69" t="e" cm="1">
        <f t="array" ref="AH1319">_xlfn.XLOOKUP(Table1[[#This Row],[5 cm2 cell test code]:[5 cm2 cell test code]],[1]!Table1[[Test code]:[Test code]],[1]!Table1[Ionic resistance 10 mM KOH/Ohm cm2],"",0)</f>
        <v>#REF!</v>
      </c>
      <c r="AI1319" s="69" t="e" cm="1">
        <f t="array" ref="AI1319">_xlfn.XLOOKUP(Table1[[#This Row],[5 cm2 cell test code]:[5 cm2 cell test code]],[1]!Table1[[Test code]:[Test code]],[1]!Table1[Q_int_frac DIW 10 mM KOH],"",0)</f>
        <v>#REF!</v>
      </c>
      <c r="AJ1319" s="69" t="e" cm="1">
        <f t="array" ref="AJ1319">_xlfn.XLOOKUP(Table1[[#This Row],[5 cm2 cell test code]:[5 cm2 cell test code]],[1]!Table1[[Test code]:[Test code]],[1]!Table1[DIW conductivity (µS/cm)],"",0)</f>
        <v>#REF!</v>
      </c>
    </row>
    <row r="1320" spans="1:36">
      <c r="A1320" s="81"/>
      <c r="U1320" s="101"/>
      <c r="V1320" s="101"/>
      <c r="W1320" s="69" t="e" cm="1">
        <f t="array" ref="W1320">_xlfn.XLOOKUP(Table1[[#This Row],[5 cm2 cell test code]:[5 cm2 cell test code]],[1]!Table1[[Test code]:[Test code]],[1]!Table1[i @ 1.8 V DIW (A/cm2)],"",0)</f>
        <v>#REF!</v>
      </c>
      <c r="X1320" s="69" t="e" cm="1">
        <f t="array" ref="X1320">_xlfn.XLOOKUP(Table1[[#This Row],[5 cm2 cell test code]:[5 cm2 cell test code]],[1]!Table1[[Test code]:[Test code]],[1]!Table1[i @ 1.8 V 10 mM KOH (A/cm2)],"",0)</f>
        <v>#REF!</v>
      </c>
      <c r="Y1320" s="69" t="e" cm="1">
        <f t="array" ref="Y1320">_xlfn.XLOOKUP(Table1[[#This Row],[5 cm2 cell test code]:[5 cm2 cell test code]],[1]!Table1[[Test code]:[Test code]],[1]!Table1[3-E ƞ at 20mAcm-2 (mV)],"",0)</f>
        <v>#REF!</v>
      </c>
      <c r="Z1320" s="69" t="e" cm="1">
        <f t="array" ref="Z1320">_xlfn.XLOOKUP(Table1[[#This Row],[5 cm2 cell test code]:[5 cm2 cell test code]],[1]!Table1[[Test code]:[Test code]],[1]!Table1[3-E Tafel slope (mV/dec)],"",0)</f>
        <v>#REF!</v>
      </c>
      <c r="AA1320" s="69" t="e" cm="1">
        <f t="array" ref="AA1320">_xlfn.XLOOKUP(Table1[[#This Row],[5 cm2 cell test code]:[5 cm2 cell test code]],[1]!Table1[[Test code]:[Test code]],[1]!Table1[E @ 100 mA/cm2 DIW/V],"",0)</f>
        <v>#REF!</v>
      </c>
      <c r="AB1320" s="69" t="e" cm="1">
        <f t="array" ref="AB1320">_xlfn.XLOOKUP(Table1[[#This Row],[5 cm2 cell test code]:[5 cm2 cell test code]],[1]!Table1[[Test code]:[Test code]],[1]!Table1[E @ 100 mA/cm2 10 mM KOH/V],"",0)</f>
        <v>#REF!</v>
      </c>
      <c r="AC1320" s="69" t="e" cm="1">
        <f t="array" ref="AC1320">_xlfn.XLOOKUP(Table1[[#This Row],[5 cm2 cell test code]:[5 cm2 cell test code]],[1]!Table1[[Test code]:[Test code]],[1]!Table1[Anode ICR/mOhm],"",0)</f>
        <v>#REF!</v>
      </c>
      <c r="AD1320" s="69" t="e" cm="1">
        <f t="array" ref="AD1320">_xlfn.XLOOKUP(Table1[[#This Row],[5 cm2 cell test code]:[5 cm2 cell test code]],[1]!Table1[[Test code]:[Test code]],[1]!Table1[HFR DIW/ mOhm cm2],"",0)</f>
        <v>#REF!</v>
      </c>
      <c r="AE1320" s="69" t="e" cm="1">
        <f t="array" ref="AE1320">_xlfn.XLOOKUP(Table1[[#This Row],[5 cm2 cell test code]:[5 cm2 cell test code]],[1]!Table1[[Test code]:[Test code]],[1]!Table1[HFR 10 mM KOH/ mOhm cm2],"",0)</f>
        <v>#REF!</v>
      </c>
      <c r="AF1320" s="69" t="e" cm="1">
        <f t="array" ref="AF1320">_xlfn.XLOOKUP(Table1[[#This Row],[5 cm2 cell test code]:[5 cm2 cell test code]],[1]!Table1[[Test code]:[Test code]],[1]!Table1[Ionic resistance DIW/Ohm cm2],"",0)</f>
        <v>#REF!</v>
      </c>
      <c r="AG1320" s="69" t="e" cm="1">
        <f t="array" ref="AG1320">_xlfn.XLOOKUP(Table1[[#This Row],[5 cm2 cell test code]:[5 cm2 cell test code]],[1]!Table1[[Test code]:[Test code]],[1]!Table1[Q_int_frac DIW],"",0)</f>
        <v>#REF!</v>
      </c>
      <c r="AH1320" s="69" t="e" cm="1">
        <f t="array" ref="AH1320">_xlfn.XLOOKUP(Table1[[#This Row],[5 cm2 cell test code]:[5 cm2 cell test code]],[1]!Table1[[Test code]:[Test code]],[1]!Table1[Ionic resistance 10 mM KOH/Ohm cm2],"",0)</f>
        <v>#REF!</v>
      </c>
      <c r="AI1320" s="69" t="e" cm="1">
        <f t="array" ref="AI1320">_xlfn.XLOOKUP(Table1[[#This Row],[5 cm2 cell test code]:[5 cm2 cell test code]],[1]!Table1[[Test code]:[Test code]],[1]!Table1[Q_int_frac DIW 10 mM KOH],"",0)</f>
        <v>#REF!</v>
      </c>
      <c r="AJ1320" s="69" t="e" cm="1">
        <f t="array" ref="AJ1320">_xlfn.XLOOKUP(Table1[[#This Row],[5 cm2 cell test code]:[5 cm2 cell test code]],[1]!Table1[[Test code]:[Test code]],[1]!Table1[DIW conductivity (µS/cm)],"",0)</f>
        <v>#REF!</v>
      </c>
    </row>
    <row r="1321" spans="1:36">
      <c r="A1321" s="81"/>
      <c r="U1321" s="101"/>
      <c r="V1321" s="101"/>
      <c r="W1321" s="69" t="e" cm="1">
        <f t="array" ref="W1321">_xlfn.XLOOKUP(Table1[[#This Row],[5 cm2 cell test code]:[5 cm2 cell test code]],[1]!Table1[[Test code]:[Test code]],[1]!Table1[i @ 1.8 V DIW (A/cm2)],"",0)</f>
        <v>#REF!</v>
      </c>
      <c r="X1321" s="69" t="e" cm="1">
        <f t="array" ref="X1321">_xlfn.XLOOKUP(Table1[[#This Row],[5 cm2 cell test code]:[5 cm2 cell test code]],[1]!Table1[[Test code]:[Test code]],[1]!Table1[i @ 1.8 V 10 mM KOH (A/cm2)],"",0)</f>
        <v>#REF!</v>
      </c>
      <c r="Y1321" s="69" t="e" cm="1">
        <f t="array" ref="Y1321">_xlfn.XLOOKUP(Table1[[#This Row],[5 cm2 cell test code]:[5 cm2 cell test code]],[1]!Table1[[Test code]:[Test code]],[1]!Table1[3-E ƞ at 20mAcm-2 (mV)],"",0)</f>
        <v>#REF!</v>
      </c>
      <c r="Z1321" s="69" t="e" cm="1">
        <f t="array" ref="Z1321">_xlfn.XLOOKUP(Table1[[#This Row],[5 cm2 cell test code]:[5 cm2 cell test code]],[1]!Table1[[Test code]:[Test code]],[1]!Table1[3-E Tafel slope (mV/dec)],"",0)</f>
        <v>#REF!</v>
      </c>
      <c r="AA1321" s="69" t="e" cm="1">
        <f t="array" ref="AA1321">_xlfn.XLOOKUP(Table1[[#This Row],[5 cm2 cell test code]:[5 cm2 cell test code]],[1]!Table1[[Test code]:[Test code]],[1]!Table1[E @ 100 mA/cm2 DIW/V],"",0)</f>
        <v>#REF!</v>
      </c>
      <c r="AB1321" s="69" t="e" cm="1">
        <f t="array" ref="AB1321">_xlfn.XLOOKUP(Table1[[#This Row],[5 cm2 cell test code]:[5 cm2 cell test code]],[1]!Table1[[Test code]:[Test code]],[1]!Table1[E @ 100 mA/cm2 10 mM KOH/V],"",0)</f>
        <v>#REF!</v>
      </c>
      <c r="AC1321" s="69" t="e" cm="1">
        <f t="array" ref="AC1321">_xlfn.XLOOKUP(Table1[[#This Row],[5 cm2 cell test code]:[5 cm2 cell test code]],[1]!Table1[[Test code]:[Test code]],[1]!Table1[Anode ICR/mOhm],"",0)</f>
        <v>#REF!</v>
      </c>
      <c r="AD1321" s="69" t="e" cm="1">
        <f t="array" ref="AD1321">_xlfn.XLOOKUP(Table1[[#This Row],[5 cm2 cell test code]:[5 cm2 cell test code]],[1]!Table1[[Test code]:[Test code]],[1]!Table1[HFR DIW/ mOhm cm2],"",0)</f>
        <v>#REF!</v>
      </c>
      <c r="AE1321" s="69" t="e" cm="1">
        <f t="array" ref="AE1321">_xlfn.XLOOKUP(Table1[[#This Row],[5 cm2 cell test code]:[5 cm2 cell test code]],[1]!Table1[[Test code]:[Test code]],[1]!Table1[HFR 10 mM KOH/ mOhm cm2],"",0)</f>
        <v>#REF!</v>
      </c>
      <c r="AF1321" s="69" t="e" cm="1">
        <f t="array" ref="AF1321">_xlfn.XLOOKUP(Table1[[#This Row],[5 cm2 cell test code]:[5 cm2 cell test code]],[1]!Table1[[Test code]:[Test code]],[1]!Table1[Ionic resistance DIW/Ohm cm2],"",0)</f>
        <v>#REF!</v>
      </c>
      <c r="AG1321" s="69" t="e" cm="1">
        <f t="array" ref="AG1321">_xlfn.XLOOKUP(Table1[[#This Row],[5 cm2 cell test code]:[5 cm2 cell test code]],[1]!Table1[[Test code]:[Test code]],[1]!Table1[Q_int_frac DIW],"",0)</f>
        <v>#REF!</v>
      </c>
      <c r="AH1321" s="69" t="e" cm="1">
        <f t="array" ref="AH1321">_xlfn.XLOOKUP(Table1[[#This Row],[5 cm2 cell test code]:[5 cm2 cell test code]],[1]!Table1[[Test code]:[Test code]],[1]!Table1[Ionic resistance 10 mM KOH/Ohm cm2],"",0)</f>
        <v>#REF!</v>
      </c>
      <c r="AI1321" s="69" t="e" cm="1">
        <f t="array" ref="AI1321">_xlfn.XLOOKUP(Table1[[#This Row],[5 cm2 cell test code]:[5 cm2 cell test code]],[1]!Table1[[Test code]:[Test code]],[1]!Table1[Q_int_frac DIW 10 mM KOH],"",0)</f>
        <v>#REF!</v>
      </c>
      <c r="AJ1321" s="69" t="e" cm="1">
        <f t="array" ref="AJ1321">_xlfn.XLOOKUP(Table1[[#This Row],[5 cm2 cell test code]:[5 cm2 cell test code]],[1]!Table1[[Test code]:[Test code]],[1]!Table1[DIW conductivity (µS/cm)],"",0)</f>
        <v>#REF!</v>
      </c>
    </row>
    <row r="1322" spans="1:36">
      <c r="A1322" s="81"/>
      <c r="U1322" s="101"/>
      <c r="V1322" s="101"/>
      <c r="W1322" s="69" t="e" cm="1">
        <f t="array" ref="W1322">_xlfn.XLOOKUP(Table1[[#This Row],[5 cm2 cell test code]:[5 cm2 cell test code]],[1]!Table1[[Test code]:[Test code]],[1]!Table1[i @ 1.8 V DIW (A/cm2)],"",0)</f>
        <v>#REF!</v>
      </c>
      <c r="X1322" s="69" t="e" cm="1">
        <f t="array" ref="X1322">_xlfn.XLOOKUP(Table1[[#This Row],[5 cm2 cell test code]:[5 cm2 cell test code]],[1]!Table1[[Test code]:[Test code]],[1]!Table1[i @ 1.8 V 10 mM KOH (A/cm2)],"",0)</f>
        <v>#REF!</v>
      </c>
      <c r="Y1322" s="69" t="e" cm="1">
        <f t="array" ref="Y1322">_xlfn.XLOOKUP(Table1[[#This Row],[5 cm2 cell test code]:[5 cm2 cell test code]],[1]!Table1[[Test code]:[Test code]],[1]!Table1[3-E ƞ at 20mAcm-2 (mV)],"",0)</f>
        <v>#REF!</v>
      </c>
      <c r="Z1322" s="69" t="e" cm="1">
        <f t="array" ref="Z1322">_xlfn.XLOOKUP(Table1[[#This Row],[5 cm2 cell test code]:[5 cm2 cell test code]],[1]!Table1[[Test code]:[Test code]],[1]!Table1[3-E Tafel slope (mV/dec)],"",0)</f>
        <v>#REF!</v>
      </c>
      <c r="AA1322" s="69" t="e" cm="1">
        <f t="array" ref="AA1322">_xlfn.XLOOKUP(Table1[[#This Row],[5 cm2 cell test code]:[5 cm2 cell test code]],[1]!Table1[[Test code]:[Test code]],[1]!Table1[E @ 100 mA/cm2 DIW/V],"",0)</f>
        <v>#REF!</v>
      </c>
      <c r="AB1322" s="69" t="e" cm="1">
        <f t="array" ref="AB1322">_xlfn.XLOOKUP(Table1[[#This Row],[5 cm2 cell test code]:[5 cm2 cell test code]],[1]!Table1[[Test code]:[Test code]],[1]!Table1[E @ 100 mA/cm2 10 mM KOH/V],"",0)</f>
        <v>#REF!</v>
      </c>
      <c r="AC1322" s="69" t="e" cm="1">
        <f t="array" ref="AC1322">_xlfn.XLOOKUP(Table1[[#This Row],[5 cm2 cell test code]:[5 cm2 cell test code]],[1]!Table1[[Test code]:[Test code]],[1]!Table1[Anode ICR/mOhm],"",0)</f>
        <v>#REF!</v>
      </c>
      <c r="AD1322" s="69" t="e" cm="1">
        <f t="array" ref="AD1322">_xlfn.XLOOKUP(Table1[[#This Row],[5 cm2 cell test code]:[5 cm2 cell test code]],[1]!Table1[[Test code]:[Test code]],[1]!Table1[HFR DIW/ mOhm cm2],"",0)</f>
        <v>#REF!</v>
      </c>
      <c r="AE1322" s="69" t="e" cm="1">
        <f t="array" ref="AE1322">_xlfn.XLOOKUP(Table1[[#This Row],[5 cm2 cell test code]:[5 cm2 cell test code]],[1]!Table1[[Test code]:[Test code]],[1]!Table1[HFR 10 mM KOH/ mOhm cm2],"",0)</f>
        <v>#REF!</v>
      </c>
      <c r="AF1322" s="69" t="e" cm="1">
        <f t="array" ref="AF1322">_xlfn.XLOOKUP(Table1[[#This Row],[5 cm2 cell test code]:[5 cm2 cell test code]],[1]!Table1[[Test code]:[Test code]],[1]!Table1[Ionic resistance DIW/Ohm cm2],"",0)</f>
        <v>#REF!</v>
      </c>
      <c r="AG1322" s="69" t="e" cm="1">
        <f t="array" ref="AG1322">_xlfn.XLOOKUP(Table1[[#This Row],[5 cm2 cell test code]:[5 cm2 cell test code]],[1]!Table1[[Test code]:[Test code]],[1]!Table1[Q_int_frac DIW],"",0)</f>
        <v>#REF!</v>
      </c>
      <c r="AH1322" s="69" t="e" cm="1">
        <f t="array" ref="AH1322">_xlfn.XLOOKUP(Table1[[#This Row],[5 cm2 cell test code]:[5 cm2 cell test code]],[1]!Table1[[Test code]:[Test code]],[1]!Table1[Ionic resistance 10 mM KOH/Ohm cm2],"",0)</f>
        <v>#REF!</v>
      </c>
      <c r="AI1322" s="69" t="e" cm="1">
        <f t="array" ref="AI1322">_xlfn.XLOOKUP(Table1[[#This Row],[5 cm2 cell test code]:[5 cm2 cell test code]],[1]!Table1[[Test code]:[Test code]],[1]!Table1[Q_int_frac DIW 10 mM KOH],"",0)</f>
        <v>#REF!</v>
      </c>
      <c r="AJ1322" s="69" t="e" cm="1">
        <f t="array" ref="AJ1322">_xlfn.XLOOKUP(Table1[[#This Row],[5 cm2 cell test code]:[5 cm2 cell test code]],[1]!Table1[[Test code]:[Test code]],[1]!Table1[DIW conductivity (µS/cm)],"",0)</f>
        <v>#REF!</v>
      </c>
    </row>
    <row r="1323" spans="1:36">
      <c r="A1323" s="81"/>
      <c r="U1323" s="101"/>
      <c r="V1323" s="101"/>
      <c r="W1323" s="69" t="e" cm="1">
        <f t="array" ref="W1323">_xlfn.XLOOKUP(Table1[[#This Row],[5 cm2 cell test code]:[5 cm2 cell test code]],[1]!Table1[[Test code]:[Test code]],[1]!Table1[i @ 1.8 V DIW (A/cm2)],"",0)</f>
        <v>#REF!</v>
      </c>
      <c r="X1323" s="69" t="e" cm="1">
        <f t="array" ref="X1323">_xlfn.XLOOKUP(Table1[[#This Row],[5 cm2 cell test code]:[5 cm2 cell test code]],[1]!Table1[[Test code]:[Test code]],[1]!Table1[i @ 1.8 V 10 mM KOH (A/cm2)],"",0)</f>
        <v>#REF!</v>
      </c>
      <c r="Y1323" s="69" t="e" cm="1">
        <f t="array" ref="Y1323">_xlfn.XLOOKUP(Table1[[#This Row],[5 cm2 cell test code]:[5 cm2 cell test code]],[1]!Table1[[Test code]:[Test code]],[1]!Table1[3-E ƞ at 20mAcm-2 (mV)],"",0)</f>
        <v>#REF!</v>
      </c>
      <c r="Z1323" s="69" t="e" cm="1">
        <f t="array" ref="Z1323">_xlfn.XLOOKUP(Table1[[#This Row],[5 cm2 cell test code]:[5 cm2 cell test code]],[1]!Table1[[Test code]:[Test code]],[1]!Table1[3-E Tafel slope (mV/dec)],"",0)</f>
        <v>#REF!</v>
      </c>
      <c r="AA1323" s="69" t="e" cm="1">
        <f t="array" ref="AA1323">_xlfn.XLOOKUP(Table1[[#This Row],[5 cm2 cell test code]:[5 cm2 cell test code]],[1]!Table1[[Test code]:[Test code]],[1]!Table1[E @ 100 mA/cm2 DIW/V],"",0)</f>
        <v>#REF!</v>
      </c>
      <c r="AB1323" s="69" t="e" cm="1">
        <f t="array" ref="AB1323">_xlfn.XLOOKUP(Table1[[#This Row],[5 cm2 cell test code]:[5 cm2 cell test code]],[1]!Table1[[Test code]:[Test code]],[1]!Table1[E @ 100 mA/cm2 10 mM KOH/V],"",0)</f>
        <v>#REF!</v>
      </c>
      <c r="AC1323" s="69" t="e" cm="1">
        <f t="array" ref="AC1323">_xlfn.XLOOKUP(Table1[[#This Row],[5 cm2 cell test code]:[5 cm2 cell test code]],[1]!Table1[[Test code]:[Test code]],[1]!Table1[Anode ICR/mOhm],"",0)</f>
        <v>#REF!</v>
      </c>
      <c r="AD1323" s="69" t="e" cm="1">
        <f t="array" ref="AD1323">_xlfn.XLOOKUP(Table1[[#This Row],[5 cm2 cell test code]:[5 cm2 cell test code]],[1]!Table1[[Test code]:[Test code]],[1]!Table1[HFR DIW/ mOhm cm2],"",0)</f>
        <v>#REF!</v>
      </c>
      <c r="AE1323" s="69" t="e" cm="1">
        <f t="array" ref="AE1323">_xlfn.XLOOKUP(Table1[[#This Row],[5 cm2 cell test code]:[5 cm2 cell test code]],[1]!Table1[[Test code]:[Test code]],[1]!Table1[HFR 10 mM KOH/ mOhm cm2],"",0)</f>
        <v>#REF!</v>
      </c>
      <c r="AF1323" s="69" t="e" cm="1">
        <f t="array" ref="AF1323">_xlfn.XLOOKUP(Table1[[#This Row],[5 cm2 cell test code]:[5 cm2 cell test code]],[1]!Table1[[Test code]:[Test code]],[1]!Table1[Ionic resistance DIW/Ohm cm2],"",0)</f>
        <v>#REF!</v>
      </c>
      <c r="AG1323" s="69" t="e" cm="1">
        <f t="array" ref="AG1323">_xlfn.XLOOKUP(Table1[[#This Row],[5 cm2 cell test code]:[5 cm2 cell test code]],[1]!Table1[[Test code]:[Test code]],[1]!Table1[Q_int_frac DIW],"",0)</f>
        <v>#REF!</v>
      </c>
      <c r="AH1323" s="69" t="e" cm="1">
        <f t="array" ref="AH1323">_xlfn.XLOOKUP(Table1[[#This Row],[5 cm2 cell test code]:[5 cm2 cell test code]],[1]!Table1[[Test code]:[Test code]],[1]!Table1[Ionic resistance 10 mM KOH/Ohm cm2],"",0)</f>
        <v>#REF!</v>
      </c>
      <c r="AI1323" s="69" t="e" cm="1">
        <f t="array" ref="AI1323">_xlfn.XLOOKUP(Table1[[#This Row],[5 cm2 cell test code]:[5 cm2 cell test code]],[1]!Table1[[Test code]:[Test code]],[1]!Table1[Q_int_frac DIW 10 mM KOH],"",0)</f>
        <v>#REF!</v>
      </c>
      <c r="AJ1323" s="69" t="e" cm="1">
        <f t="array" ref="AJ1323">_xlfn.XLOOKUP(Table1[[#This Row],[5 cm2 cell test code]:[5 cm2 cell test code]],[1]!Table1[[Test code]:[Test code]],[1]!Table1[DIW conductivity (µS/cm)],"",0)</f>
        <v>#REF!</v>
      </c>
    </row>
    <row r="1324" spans="1:36">
      <c r="A1324" s="81"/>
      <c r="U1324" s="101"/>
      <c r="V1324" s="101"/>
      <c r="W1324" s="69" t="e" cm="1">
        <f t="array" ref="W1324">_xlfn.XLOOKUP(Table1[[#This Row],[5 cm2 cell test code]:[5 cm2 cell test code]],[1]!Table1[[Test code]:[Test code]],[1]!Table1[i @ 1.8 V DIW (A/cm2)],"",0)</f>
        <v>#REF!</v>
      </c>
      <c r="X1324" s="69" t="e" cm="1">
        <f t="array" ref="X1324">_xlfn.XLOOKUP(Table1[[#This Row],[5 cm2 cell test code]:[5 cm2 cell test code]],[1]!Table1[[Test code]:[Test code]],[1]!Table1[i @ 1.8 V 10 mM KOH (A/cm2)],"",0)</f>
        <v>#REF!</v>
      </c>
      <c r="Y1324" s="69" t="e" cm="1">
        <f t="array" ref="Y1324">_xlfn.XLOOKUP(Table1[[#This Row],[5 cm2 cell test code]:[5 cm2 cell test code]],[1]!Table1[[Test code]:[Test code]],[1]!Table1[3-E ƞ at 20mAcm-2 (mV)],"",0)</f>
        <v>#REF!</v>
      </c>
      <c r="Z1324" s="69" t="e" cm="1">
        <f t="array" ref="Z1324">_xlfn.XLOOKUP(Table1[[#This Row],[5 cm2 cell test code]:[5 cm2 cell test code]],[1]!Table1[[Test code]:[Test code]],[1]!Table1[3-E Tafel slope (mV/dec)],"",0)</f>
        <v>#REF!</v>
      </c>
      <c r="AA1324" s="69" t="e" cm="1">
        <f t="array" ref="AA1324">_xlfn.XLOOKUP(Table1[[#This Row],[5 cm2 cell test code]:[5 cm2 cell test code]],[1]!Table1[[Test code]:[Test code]],[1]!Table1[E @ 100 mA/cm2 DIW/V],"",0)</f>
        <v>#REF!</v>
      </c>
      <c r="AB1324" s="69" t="e" cm="1">
        <f t="array" ref="AB1324">_xlfn.XLOOKUP(Table1[[#This Row],[5 cm2 cell test code]:[5 cm2 cell test code]],[1]!Table1[[Test code]:[Test code]],[1]!Table1[E @ 100 mA/cm2 10 mM KOH/V],"",0)</f>
        <v>#REF!</v>
      </c>
      <c r="AC1324" s="69" t="e" cm="1">
        <f t="array" ref="AC1324">_xlfn.XLOOKUP(Table1[[#This Row],[5 cm2 cell test code]:[5 cm2 cell test code]],[1]!Table1[[Test code]:[Test code]],[1]!Table1[Anode ICR/mOhm],"",0)</f>
        <v>#REF!</v>
      </c>
      <c r="AD1324" s="69" t="e" cm="1">
        <f t="array" ref="AD1324">_xlfn.XLOOKUP(Table1[[#This Row],[5 cm2 cell test code]:[5 cm2 cell test code]],[1]!Table1[[Test code]:[Test code]],[1]!Table1[HFR DIW/ mOhm cm2],"",0)</f>
        <v>#REF!</v>
      </c>
      <c r="AE1324" s="69" t="e" cm="1">
        <f t="array" ref="AE1324">_xlfn.XLOOKUP(Table1[[#This Row],[5 cm2 cell test code]:[5 cm2 cell test code]],[1]!Table1[[Test code]:[Test code]],[1]!Table1[HFR 10 mM KOH/ mOhm cm2],"",0)</f>
        <v>#REF!</v>
      </c>
      <c r="AF1324" s="69" t="e" cm="1">
        <f t="array" ref="AF1324">_xlfn.XLOOKUP(Table1[[#This Row],[5 cm2 cell test code]:[5 cm2 cell test code]],[1]!Table1[[Test code]:[Test code]],[1]!Table1[Ionic resistance DIW/Ohm cm2],"",0)</f>
        <v>#REF!</v>
      </c>
      <c r="AG1324" s="69" t="e" cm="1">
        <f t="array" ref="AG1324">_xlfn.XLOOKUP(Table1[[#This Row],[5 cm2 cell test code]:[5 cm2 cell test code]],[1]!Table1[[Test code]:[Test code]],[1]!Table1[Q_int_frac DIW],"",0)</f>
        <v>#REF!</v>
      </c>
      <c r="AH1324" s="69" t="e" cm="1">
        <f t="array" ref="AH1324">_xlfn.XLOOKUP(Table1[[#This Row],[5 cm2 cell test code]:[5 cm2 cell test code]],[1]!Table1[[Test code]:[Test code]],[1]!Table1[Ionic resistance 10 mM KOH/Ohm cm2],"",0)</f>
        <v>#REF!</v>
      </c>
      <c r="AI1324" s="69" t="e" cm="1">
        <f t="array" ref="AI1324">_xlfn.XLOOKUP(Table1[[#This Row],[5 cm2 cell test code]:[5 cm2 cell test code]],[1]!Table1[[Test code]:[Test code]],[1]!Table1[Q_int_frac DIW 10 mM KOH],"",0)</f>
        <v>#REF!</v>
      </c>
      <c r="AJ1324" s="69" t="e" cm="1">
        <f t="array" ref="AJ1324">_xlfn.XLOOKUP(Table1[[#This Row],[5 cm2 cell test code]:[5 cm2 cell test code]],[1]!Table1[[Test code]:[Test code]],[1]!Table1[DIW conductivity (µS/cm)],"",0)</f>
        <v>#REF!</v>
      </c>
    </row>
    <row r="1325" spans="1:36">
      <c r="A1325" s="81"/>
      <c r="U1325" s="101"/>
      <c r="V1325" s="101"/>
      <c r="W1325" s="69" t="e" cm="1">
        <f t="array" ref="W1325">_xlfn.XLOOKUP(Table1[[#This Row],[5 cm2 cell test code]:[5 cm2 cell test code]],[1]!Table1[[Test code]:[Test code]],[1]!Table1[i @ 1.8 V DIW (A/cm2)],"",0)</f>
        <v>#REF!</v>
      </c>
      <c r="X1325" s="69" t="e" cm="1">
        <f t="array" ref="X1325">_xlfn.XLOOKUP(Table1[[#This Row],[5 cm2 cell test code]:[5 cm2 cell test code]],[1]!Table1[[Test code]:[Test code]],[1]!Table1[i @ 1.8 V 10 mM KOH (A/cm2)],"",0)</f>
        <v>#REF!</v>
      </c>
      <c r="Y1325" s="69" t="e" cm="1">
        <f t="array" ref="Y1325">_xlfn.XLOOKUP(Table1[[#This Row],[5 cm2 cell test code]:[5 cm2 cell test code]],[1]!Table1[[Test code]:[Test code]],[1]!Table1[3-E ƞ at 20mAcm-2 (mV)],"",0)</f>
        <v>#REF!</v>
      </c>
      <c r="Z1325" s="69" t="e" cm="1">
        <f t="array" ref="Z1325">_xlfn.XLOOKUP(Table1[[#This Row],[5 cm2 cell test code]:[5 cm2 cell test code]],[1]!Table1[[Test code]:[Test code]],[1]!Table1[3-E Tafel slope (mV/dec)],"",0)</f>
        <v>#REF!</v>
      </c>
      <c r="AA1325" s="69" t="e" cm="1">
        <f t="array" ref="AA1325">_xlfn.XLOOKUP(Table1[[#This Row],[5 cm2 cell test code]:[5 cm2 cell test code]],[1]!Table1[[Test code]:[Test code]],[1]!Table1[E @ 100 mA/cm2 DIW/V],"",0)</f>
        <v>#REF!</v>
      </c>
      <c r="AB1325" s="69" t="e" cm="1">
        <f t="array" ref="AB1325">_xlfn.XLOOKUP(Table1[[#This Row],[5 cm2 cell test code]:[5 cm2 cell test code]],[1]!Table1[[Test code]:[Test code]],[1]!Table1[E @ 100 mA/cm2 10 mM KOH/V],"",0)</f>
        <v>#REF!</v>
      </c>
      <c r="AC1325" s="69" t="e" cm="1">
        <f t="array" ref="AC1325">_xlfn.XLOOKUP(Table1[[#This Row],[5 cm2 cell test code]:[5 cm2 cell test code]],[1]!Table1[[Test code]:[Test code]],[1]!Table1[Anode ICR/mOhm],"",0)</f>
        <v>#REF!</v>
      </c>
      <c r="AD1325" s="69" t="e" cm="1">
        <f t="array" ref="AD1325">_xlfn.XLOOKUP(Table1[[#This Row],[5 cm2 cell test code]:[5 cm2 cell test code]],[1]!Table1[[Test code]:[Test code]],[1]!Table1[HFR DIW/ mOhm cm2],"",0)</f>
        <v>#REF!</v>
      </c>
      <c r="AE1325" s="69" t="e" cm="1">
        <f t="array" ref="AE1325">_xlfn.XLOOKUP(Table1[[#This Row],[5 cm2 cell test code]:[5 cm2 cell test code]],[1]!Table1[[Test code]:[Test code]],[1]!Table1[HFR 10 mM KOH/ mOhm cm2],"",0)</f>
        <v>#REF!</v>
      </c>
      <c r="AF1325" s="69" t="e" cm="1">
        <f t="array" ref="AF1325">_xlfn.XLOOKUP(Table1[[#This Row],[5 cm2 cell test code]:[5 cm2 cell test code]],[1]!Table1[[Test code]:[Test code]],[1]!Table1[Ionic resistance DIW/Ohm cm2],"",0)</f>
        <v>#REF!</v>
      </c>
      <c r="AG1325" s="69" t="e" cm="1">
        <f t="array" ref="AG1325">_xlfn.XLOOKUP(Table1[[#This Row],[5 cm2 cell test code]:[5 cm2 cell test code]],[1]!Table1[[Test code]:[Test code]],[1]!Table1[Q_int_frac DIW],"",0)</f>
        <v>#REF!</v>
      </c>
      <c r="AH1325" s="69" t="e" cm="1">
        <f t="array" ref="AH1325">_xlfn.XLOOKUP(Table1[[#This Row],[5 cm2 cell test code]:[5 cm2 cell test code]],[1]!Table1[[Test code]:[Test code]],[1]!Table1[Ionic resistance 10 mM KOH/Ohm cm2],"",0)</f>
        <v>#REF!</v>
      </c>
      <c r="AI1325" s="69" t="e" cm="1">
        <f t="array" ref="AI1325">_xlfn.XLOOKUP(Table1[[#This Row],[5 cm2 cell test code]:[5 cm2 cell test code]],[1]!Table1[[Test code]:[Test code]],[1]!Table1[Q_int_frac DIW 10 mM KOH],"",0)</f>
        <v>#REF!</v>
      </c>
      <c r="AJ1325" s="69" t="e" cm="1">
        <f t="array" ref="AJ1325">_xlfn.XLOOKUP(Table1[[#This Row],[5 cm2 cell test code]:[5 cm2 cell test code]],[1]!Table1[[Test code]:[Test code]],[1]!Table1[DIW conductivity (µS/cm)],"",0)</f>
        <v>#REF!</v>
      </c>
    </row>
    <row r="1326" spans="1:36">
      <c r="A1326" s="81"/>
      <c r="U1326" s="101"/>
      <c r="V1326" s="101"/>
      <c r="W1326" s="69" t="e" cm="1">
        <f t="array" ref="W1326">_xlfn.XLOOKUP(Table1[[#This Row],[5 cm2 cell test code]:[5 cm2 cell test code]],[1]!Table1[[Test code]:[Test code]],[1]!Table1[i @ 1.8 V DIW (A/cm2)],"",0)</f>
        <v>#REF!</v>
      </c>
      <c r="X1326" s="69" t="e" cm="1">
        <f t="array" ref="X1326">_xlfn.XLOOKUP(Table1[[#This Row],[5 cm2 cell test code]:[5 cm2 cell test code]],[1]!Table1[[Test code]:[Test code]],[1]!Table1[i @ 1.8 V 10 mM KOH (A/cm2)],"",0)</f>
        <v>#REF!</v>
      </c>
      <c r="Y1326" s="69" t="e" cm="1">
        <f t="array" ref="Y1326">_xlfn.XLOOKUP(Table1[[#This Row],[5 cm2 cell test code]:[5 cm2 cell test code]],[1]!Table1[[Test code]:[Test code]],[1]!Table1[3-E ƞ at 20mAcm-2 (mV)],"",0)</f>
        <v>#REF!</v>
      </c>
      <c r="Z1326" s="69" t="e" cm="1">
        <f t="array" ref="Z1326">_xlfn.XLOOKUP(Table1[[#This Row],[5 cm2 cell test code]:[5 cm2 cell test code]],[1]!Table1[[Test code]:[Test code]],[1]!Table1[3-E Tafel slope (mV/dec)],"",0)</f>
        <v>#REF!</v>
      </c>
      <c r="AA1326" s="69" t="e" cm="1">
        <f t="array" ref="AA1326">_xlfn.XLOOKUP(Table1[[#This Row],[5 cm2 cell test code]:[5 cm2 cell test code]],[1]!Table1[[Test code]:[Test code]],[1]!Table1[E @ 100 mA/cm2 DIW/V],"",0)</f>
        <v>#REF!</v>
      </c>
      <c r="AB1326" s="69" t="e" cm="1">
        <f t="array" ref="AB1326">_xlfn.XLOOKUP(Table1[[#This Row],[5 cm2 cell test code]:[5 cm2 cell test code]],[1]!Table1[[Test code]:[Test code]],[1]!Table1[E @ 100 mA/cm2 10 mM KOH/V],"",0)</f>
        <v>#REF!</v>
      </c>
      <c r="AC1326" s="69" t="e" cm="1">
        <f t="array" ref="AC1326">_xlfn.XLOOKUP(Table1[[#This Row],[5 cm2 cell test code]:[5 cm2 cell test code]],[1]!Table1[[Test code]:[Test code]],[1]!Table1[Anode ICR/mOhm],"",0)</f>
        <v>#REF!</v>
      </c>
      <c r="AD1326" s="69" t="e" cm="1">
        <f t="array" ref="AD1326">_xlfn.XLOOKUP(Table1[[#This Row],[5 cm2 cell test code]:[5 cm2 cell test code]],[1]!Table1[[Test code]:[Test code]],[1]!Table1[HFR DIW/ mOhm cm2],"",0)</f>
        <v>#REF!</v>
      </c>
      <c r="AE1326" s="69" t="e" cm="1">
        <f t="array" ref="AE1326">_xlfn.XLOOKUP(Table1[[#This Row],[5 cm2 cell test code]:[5 cm2 cell test code]],[1]!Table1[[Test code]:[Test code]],[1]!Table1[HFR 10 mM KOH/ mOhm cm2],"",0)</f>
        <v>#REF!</v>
      </c>
      <c r="AF1326" s="69" t="e" cm="1">
        <f t="array" ref="AF1326">_xlfn.XLOOKUP(Table1[[#This Row],[5 cm2 cell test code]:[5 cm2 cell test code]],[1]!Table1[[Test code]:[Test code]],[1]!Table1[Ionic resistance DIW/Ohm cm2],"",0)</f>
        <v>#REF!</v>
      </c>
      <c r="AG1326" s="69" t="e" cm="1">
        <f t="array" ref="AG1326">_xlfn.XLOOKUP(Table1[[#This Row],[5 cm2 cell test code]:[5 cm2 cell test code]],[1]!Table1[[Test code]:[Test code]],[1]!Table1[Q_int_frac DIW],"",0)</f>
        <v>#REF!</v>
      </c>
      <c r="AH1326" s="69" t="e" cm="1">
        <f t="array" ref="AH1326">_xlfn.XLOOKUP(Table1[[#This Row],[5 cm2 cell test code]:[5 cm2 cell test code]],[1]!Table1[[Test code]:[Test code]],[1]!Table1[Ionic resistance 10 mM KOH/Ohm cm2],"",0)</f>
        <v>#REF!</v>
      </c>
      <c r="AI1326" s="69" t="e" cm="1">
        <f t="array" ref="AI1326">_xlfn.XLOOKUP(Table1[[#This Row],[5 cm2 cell test code]:[5 cm2 cell test code]],[1]!Table1[[Test code]:[Test code]],[1]!Table1[Q_int_frac DIW 10 mM KOH],"",0)</f>
        <v>#REF!</v>
      </c>
      <c r="AJ1326" s="69" t="e" cm="1">
        <f t="array" ref="AJ1326">_xlfn.XLOOKUP(Table1[[#This Row],[5 cm2 cell test code]:[5 cm2 cell test code]],[1]!Table1[[Test code]:[Test code]],[1]!Table1[DIW conductivity (µS/cm)],"",0)</f>
        <v>#REF!</v>
      </c>
    </row>
    <row r="1327" spans="1:36">
      <c r="A1327" s="81"/>
      <c r="U1327" s="101"/>
      <c r="V1327" s="101"/>
      <c r="W1327" s="69" t="e" cm="1">
        <f t="array" ref="W1327">_xlfn.XLOOKUP(Table1[[#This Row],[5 cm2 cell test code]:[5 cm2 cell test code]],[1]!Table1[[Test code]:[Test code]],[1]!Table1[i @ 1.8 V DIW (A/cm2)],"",0)</f>
        <v>#REF!</v>
      </c>
      <c r="X1327" s="69" t="e" cm="1">
        <f t="array" ref="X1327">_xlfn.XLOOKUP(Table1[[#This Row],[5 cm2 cell test code]:[5 cm2 cell test code]],[1]!Table1[[Test code]:[Test code]],[1]!Table1[i @ 1.8 V 10 mM KOH (A/cm2)],"",0)</f>
        <v>#REF!</v>
      </c>
      <c r="Y1327" s="69" t="e" cm="1">
        <f t="array" ref="Y1327">_xlfn.XLOOKUP(Table1[[#This Row],[5 cm2 cell test code]:[5 cm2 cell test code]],[1]!Table1[[Test code]:[Test code]],[1]!Table1[3-E ƞ at 20mAcm-2 (mV)],"",0)</f>
        <v>#REF!</v>
      </c>
      <c r="Z1327" s="69" t="e" cm="1">
        <f t="array" ref="Z1327">_xlfn.XLOOKUP(Table1[[#This Row],[5 cm2 cell test code]:[5 cm2 cell test code]],[1]!Table1[[Test code]:[Test code]],[1]!Table1[3-E Tafel slope (mV/dec)],"",0)</f>
        <v>#REF!</v>
      </c>
      <c r="AA1327" s="69" t="e" cm="1">
        <f t="array" ref="AA1327">_xlfn.XLOOKUP(Table1[[#This Row],[5 cm2 cell test code]:[5 cm2 cell test code]],[1]!Table1[[Test code]:[Test code]],[1]!Table1[E @ 100 mA/cm2 DIW/V],"",0)</f>
        <v>#REF!</v>
      </c>
      <c r="AB1327" s="69" t="e" cm="1">
        <f t="array" ref="AB1327">_xlfn.XLOOKUP(Table1[[#This Row],[5 cm2 cell test code]:[5 cm2 cell test code]],[1]!Table1[[Test code]:[Test code]],[1]!Table1[E @ 100 mA/cm2 10 mM KOH/V],"",0)</f>
        <v>#REF!</v>
      </c>
      <c r="AC1327" s="69" t="e" cm="1">
        <f t="array" ref="AC1327">_xlfn.XLOOKUP(Table1[[#This Row],[5 cm2 cell test code]:[5 cm2 cell test code]],[1]!Table1[[Test code]:[Test code]],[1]!Table1[Anode ICR/mOhm],"",0)</f>
        <v>#REF!</v>
      </c>
      <c r="AD1327" s="69" t="e" cm="1">
        <f t="array" ref="AD1327">_xlfn.XLOOKUP(Table1[[#This Row],[5 cm2 cell test code]:[5 cm2 cell test code]],[1]!Table1[[Test code]:[Test code]],[1]!Table1[HFR DIW/ mOhm cm2],"",0)</f>
        <v>#REF!</v>
      </c>
      <c r="AE1327" s="69" t="e" cm="1">
        <f t="array" ref="AE1327">_xlfn.XLOOKUP(Table1[[#This Row],[5 cm2 cell test code]:[5 cm2 cell test code]],[1]!Table1[[Test code]:[Test code]],[1]!Table1[HFR 10 mM KOH/ mOhm cm2],"",0)</f>
        <v>#REF!</v>
      </c>
      <c r="AF1327" s="69" t="e" cm="1">
        <f t="array" ref="AF1327">_xlfn.XLOOKUP(Table1[[#This Row],[5 cm2 cell test code]:[5 cm2 cell test code]],[1]!Table1[[Test code]:[Test code]],[1]!Table1[Ionic resistance DIW/Ohm cm2],"",0)</f>
        <v>#REF!</v>
      </c>
      <c r="AG1327" s="69" t="e" cm="1">
        <f t="array" ref="AG1327">_xlfn.XLOOKUP(Table1[[#This Row],[5 cm2 cell test code]:[5 cm2 cell test code]],[1]!Table1[[Test code]:[Test code]],[1]!Table1[Q_int_frac DIW],"",0)</f>
        <v>#REF!</v>
      </c>
      <c r="AH1327" s="69" t="e" cm="1">
        <f t="array" ref="AH1327">_xlfn.XLOOKUP(Table1[[#This Row],[5 cm2 cell test code]:[5 cm2 cell test code]],[1]!Table1[[Test code]:[Test code]],[1]!Table1[Ionic resistance 10 mM KOH/Ohm cm2],"",0)</f>
        <v>#REF!</v>
      </c>
      <c r="AI1327" s="69" t="e" cm="1">
        <f t="array" ref="AI1327">_xlfn.XLOOKUP(Table1[[#This Row],[5 cm2 cell test code]:[5 cm2 cell test code]],[1]!Table1[[Test code]:[Test code]],[1]!Table1[Q_int_frac DIW 10 mM KOH],"",0)</f>
        <v>#REF!</v>
      </c>
      <c r="AJ1327" s="69" t="e" cm="1">
        <f t="array" ref="AJ1327">_xlfn.XLOOKUP(Table1[[#This Row],[5 cm2 cell test code]:[5 cm2 cell test code]],[1]!Table1[[Test code]:[Test code]],[1]!Table1[DIW conductivity (µS/cm)],"",0)</f>
        <v>#REF!</v>
      </c>
    </row>
    <row r="1328" spans="1:36">
      <c r="A1328" s="81"/>
      <c r="U1328" s="101"/>
      <c r="V1328" s="101"/>
      <c r="W1328" s="69" t="e" cm="1">
        <f t="array" ref="W1328">_xlfn.XLOOKUP(Table1[[#This Row],[5 cm2 cell test code]:[5 cm2 cell test code]],[1]!Table1[[Test code]:[Test code]],[1]!Table1[i @ 1.8 V DIW (A/cm2)],"",0)</f>
        <v>#REF!</v>
      </c>
      <c r="X1328" s="69" t="e" cm="1">
        <f t="array" ref="X1328">_xlfn.XLOOKUP(Table1[[#This Row],[5 cm2 cell test code]:[5 cm2 cell test code]],[1]!Table1[[Test code]:[Test code]],[1]!Table1[i @ 1.8 V 10 mM KOH (A/cm2)],"",0)</f>
        <v>#REF!</v>
      </c>
      <c r="Y1328" s="69" t="e" cm="1">
        <f t="array" ref="Y1328">_xlfn.XLOOKUP(Table1[[#This Row],[5 cm2 cell test code]:[5 cm2 cell test code]],[1]!Table1[[Test code]:[Test code]],[1]!Table1[3-E ƞ at 20mAcm-2 (mV)],"",0)</f>
        <v>#REF!</v>
      </c>
      <c r="Z1328" s="69" t="e" cm="1">
        <f t="array" ref="Z1328">_xlfn.XLOOKUP(Table1[[#This Row],[5 cm2 cell test code]:[5 cm2 cell test code]],[1]!Table1[[Test code]:[Test code]],[1]!Table1[3-E Tafel slope (mV/dec)],"",0)</f>
        <v>#REF!</v>
      </c>
      <c r="AA1328" s="69" t="e" cm="1">
        <f t="array" ref="AA1328">_xlfn.XLOOKUP(Table1[[#This Row],[5 cm2 cell test code]:[5 cm2 cell test code]],[1]!Table1[[Test code]:[Test code]],[1]!Table1[E @ 100 mA/cm2 DIW/V],"",0)</f>
        <v>#REF!</v>
      </c>
      <c r="AB1328" s="69" t="e" cm="1">
        <f t="array" ref="AB1328">_xlfn.XLOOKUP(Table1[[#This Row],[5 cm2 cell test code]:[5 cm2 cell test code]],[1]!Table1[[Test code]:[Test code]],[1]!Table1[E @ 100 mA/cm2 10 mM KOH/V],"",0)</f>
        <v>#REF!</v>
      </c>
      <c r="AC1328" s="69" t="e" cm="1">
        <f t="array" ref="AC1328">_xlfn.XLOOKUP(Table1[[#This Row],[5 cm2 cell test code]:[5 cm2 cell test code]],[1]!Table1[[Test code]:[Test code]],[1]!Table1[Anode ICR/mOhm],"",0)</f>
        <v>#REF!</v>
      </c>
      <c r="AD1328" s="69" t="e" cm="1">
        <f t="array" ref="AD1328">_xlfn.XLOOKUP(Table1[[#This Row],[5 cm2 cell test code]:[5 cm2 cell test code]],[1]!Table1[[Test code]:[Test code]],[1]!Table1[HFR DIW/ mOhm cm2],"",0)</f>
        <v>#REF!</v>
      </c>
      <c r="AE1328" s="69" t="e" cm="1">
        <f t="array" ref="AE1328">_xlfn.XLOOKUP(Table1[[#This Row],[5 cm2 cell test code]:[5 cm2 cell test code]],[1]!Table1[[Test code]:[Test code]],[1]!Table1[HFR 10 mM KOH/ mOhm cm2],"",0)</f>
        <v>#REF!</v>
      </c>
      <c r="AF1328" s="69" t="e" cm="1">
        <f t="array" ref="AF1328">_xlfn.XLOOKUP(Table1[[#This Row],[5 cm2 cell test code]:[5 cm2 cell test code]],[1]!Table1[[Test code]:[Test code]],[1]!Table1[Ionic resistance DIW/Ohm cm2],"",0)</f>
        <v>#REF!</v>
      </c>
      <c r="AG1328" s="69" t="e" cm="1">
        <f t="array" ref="AG1328">_xlfn.XLOOKUP(Table1[[#This Row],[5 cm2 cell test code]:[5 cm2 cell test code]],[1]!Table1[[Test code]:[Test code]],[1]!Table1[Q_int_frac DIW],"",0)</f>
        <v>#REF!</v>
      </c>
      <c r="AH1328" s="69" t="e" cm="1">
        <f t="array" ref="AH1328">_xlfn.XLOOKUP(Table1[[#This Row],[5 cm2 cell test code]:[5 cm2 cell test code]],[1]!Table1[[Test code]:[Test code]],[1]!Table1[Ionic resistance 10 mM KOH/Ohm cm2],"",0)</f>
        <v>#REF!</v>
      </c>
      <c r="AI1328" s="69" t="e" cm="1">
        <f t="array" ref="AI1328">_xlfn.XLOOKUP(Table1[[#This Row],[5 cm2 cell test code]:[5 cm2 cell test code]],[1]!Table1[[Test code]:[Test code]],[1]!Table1[Q_int_frac DIW 10 mM KOH],"",0)</f>
        <v>#REF!</v>
      </c>
      <c r="AJ1328" s="69" t="e" cm="1">
        <f t="array" ref="AJ1328">_xlfn.XLOOKUP(Table1[[#This Row],[5 cm2 cell test code]:[5 cm2 cell test code]],[1]!Table1[[Test code]:[Test code]],[1]!Table1[DIW conductivity (µS/cm)],"",0)</f>
        <v>#REF!</v>
      </c>
    </row>
    <row r="1329" spans="1:36">
      <c r="A1329" s="81"/>
      <c r="U1329" s="101"/>
      <c r="V1329" s="101"/>
      <c r="W1329" s="69" t="e" cm="1">
        <f t="array" ref="W1329">_xlfn.XLOOKUP(Table1[[#This Row],[5 cm2 cell test code]:[5 cm2 cell test code]],[1]!Table1[[Test code]:[Test code]],[1]!Table1[i @ 1.8 V DIW (A/cm2)],"",0)</f>
        <v>#REF!</v>
      </c>
      <c r="X1329" s="69" t="e" cm="1">
        <f t="array" ref="X1329">_xlfn.XLOOKUP(Table1[[#This Row],[5 cm2 cell test code]:[5 cm2 cell test code]],[1]!Table1[[Test code]:[Test code]],[1]!Table1[i @ 1.8 V 10 mM KOH (A/cm2)],"",0)</f>
        <v>#REF!</v>
      </c>
      <c r="Y1329" s="69" t="e" cm="1">
        <f t="array" ref="Y1329">_xlfn.XLOOKUP(Table1[[#This Row],[5 cm2 cell test code]:[5 cm2 cell test code]],[1]!Table1[[Test code]:[Test code]],[1]!Table1[3-E ƞ at 20mAcm-2 (mV)],"",0)</f>
        <v>#REF!</v>
      </c>
      <c r="Z1329" s="69" t="e" cm="1">
        <f t="array" ref="Z1329">_xlfn.XLOOKUP(Table1[[#This Row],[5 cm2 cell test code]:[5 cm2 cell test code]],[1]!Table1[[Test code]:[Test code]],[1]!Table1[3-E Tafel slope (mV/dec)],"",0)</f>
        <v>#REF!</v>
      </c>
      <c r="AA1329" s="69" t="e" cm="1">
        <f t="array" ref="AA1329">_xlfn.XLOOKUP(Table1[[#This Row],[5 cm2 cell test code]:[5 cm2 cell test code]],[1]!Table1[[Test code]:[Test code]],[1]!Table1[E @ 100 mA/cm2 DIW/V],"",0)</f>
        <v>#REF!</v>
      </c>
      <c r="AB1329" s="69" t="e" cm="1">
        <f t="array" ref="AB1329">_xlfn.XLOOKUP(Table1[[#This Row],[5 cm2 cell test code]:[5 cm2 cell test code]],[1]!Table1[[Test code]:[Test code]],[1]!Table1[E @ 100 mA/cm2 10 mM KOH/V],"",0)</f>
        <v>#REF!</v>
      </c>
      <c r="AC1329" s="69" t="e" cm="1">
        <f t="array" ref="AC1329">_xlfn.XLOOKUP(Table1[[#This Row],[5 cm2 cell test code]:[5 cm2 cell test code]],[1]!Table1[[Test code]:[Test code]],[1]!Table1[Anode ICR/mOhm],"",0)</f>
        <v>#REF!</v>
      </c>
      <c r="AD1329" s="69" t="e" cm="1">
        <f t="array" ref="AD1329">_xlfn.XLOOKUP(Table1[[#This Row],[5 cm2 cell test code]:[5 cm2 cell test code]],[1]!Table1[[Test code]:[Test code]],[1]!Table1[HFR DIW/ mOhm cm2],"",0)</f>
        <v>#REF!</v>
      </c>
      <c r="AE1329" s="69" t="e" cm="1">
        <f t="array" ref="AE1329">_xlfn.XLOOKUP(Table1[[#This Row],[5 cm2 cell test code]:[5 cm2 cell test code]],[1]!Table1[[Test code]:[Test code]],[1]!Table1[HFR 10 mM KOH/ mOhm cm2],"",0)</f>
        <v>#REF!</v>
      </c>
      <c r="AF1329" s="69" t="e" cm="1">
        <f t="array" ref="AF1329">_xlfn.XLOOKUP(Table1[[#This Row],[5 cm2 cell test code]:[5 cm2 cell test code]],[1]!Table1[[Test code]:[Test code]],[1]!Table1[Ionic resistance DIW/Ohm cm2],"",0)</f>
        <v>#REF!</v>
      </c>
      <c r="AG1329" s="69" t="e" cm="1">
        <f t="array" ref="AG1329">_xlfn.XLOOKUP(Table1[[#This Row],[5 cm2 cell test code]:[5 cm2 cell test code]],[1]!Table1[[Test code]:[Test code]],[1]!Table1[Q_int_frac DIW],"",0)</f>
        <v>#REF!</v>
      </c>
      <c r="AH1329" s="69" t="e" cm="1">
        <f t="array" ref="AH1329">_xlfn.XLOOKUP(Table1[[#This Row],[5 cm2 cell test code]:[5 cm2 cell test code]],[1]!Table1[[Test code]:[Test code]],[1]!Table1[Ionic resistance 10 mM KOH/Ohm cm2],"",0)</f>
        <v>#REF!</v>
      </c>
      <c r="AI1329" s="69" t="e" cm="1">
        <f t="array" ref="AI1329">_xlfn.XLOOKUP(Table1[[#This Row],[5 cm2 cell test code]:[5 cm2 cell test code]],[1]!Table1[[Test code]:[Test code]],[1]!Table1[Q_int_frac DIW 10 mM KOH],"",0)</f>
        <v>#REF!</v>
      </c>
      <c r="AJ1329" s="69" t="e" cm="1">
        <f t="array" ref="AJ1329">_xlfn.XLOOKUP(Table1[[#This Row],[5 cm2 cell test code]:[5 cm2 cell test code]],[1]!Table1[[Test code]:[Test code]],[1]!Table1[DIW conductivity (µS/cm)],"",0)</f>
        <v>#REF!</v>
      </c>
    </row>
    <row r="1330" spans="1:36">
      <c r="A1330" s="81"/>
      <c r="U1330" s="101"/>
      <c r="V1330" s="101"/>
      <c r="W1330" s="69" t="e" cm="1">
        <f t="array" ref="W1330">_xlfn.XLOOKUP(Table1[[#This Row],[5 cm2 cell test code]:[5 cm2 cell test code]],[1]!Table1[[Test code]:[Test code]],[1]!Table1[i @ 1.8 V DIW (A/cm2)],"",0)</f>
        <v>#REF!</v>
      </c>
      <c r="X1330" s="69" t="e" cm="1">
        <f t="array" ref="X1330">_xlfn.XLOOKUP(Table1[[#This Row],[5 cm2 cell test code]:[5 cm2 cell test code]],[1]!Table1[[Test code]:[Test code]],[1]!Table1[i @ 1.8 V 10 mM KOH (A/cm2)],"",0)</f>
        <v>#REF!</v>
      </c>
      <c r="Y1330" s="69" t="e" cm="1">
        <f t="array" ref="Y1330">_xlfn.XLOOKUP(Table1[[#This Row],[5 cm2 cell test code]:[5 cm2 cell test code]],[1]!Table1[[Test code]:[Test code]],[1]!Table1[3-E ƞ at 20mAcm-2 (mV)],"",0)</f>
        <v>#REF!</v>
      </c>
      <c r="Z1330" s="69" t="e" cm="1">
        <f t="array" ref="Z1330">_xlfn.XLOOKUP(Table1[[#This Row],[5 cm2 cell test code]:[5 cm2 cell test code]],[1]!Table1[[Test code]:[Test code]],[1]!Table1[3-E Tafel slope (mV/dec)],"",0)</f>
        <v>#REF!</v>
      </c>
      <c r="AA1330" s="69" t="e" cm="1">
        <f t="array" ref="AA1330">_xlfn.XLOOKUP(Table1[[#This Row],[5 cm2 cell test code]:[5 cm2 cell test code]],[1]!Table1[[Test code]:[Test code]],[1]!Table1[E @ 100 mA/cm2 DIW/V],"",0)</f>
        <v>#REF!</v>
      </c>
      <c r="AB1330" s="69" t="e" cm="1">
        <f t="array" ref="AB1330">_xlfn.XLOOKUP(Table1[[#This Row],[5 cm2 cell test code]:[5 cm2 cell test code]],[1]!Table1[[Test code]:[Test code]],[1]!Table1[E @ 100 mA/cm2 10 mM KOH/V],"",0)</f>
        <v>#REF!</v>
      </c>
      <c r="AC1330" s="69" t="e" cm="1">
        <f t="array" ref="AC1330">_xlfn.XLOOKUP(Table1[[#This Row],[5 cm2 cell test code]:[5 cm2 cell test code]],[1]!Table1[[Test code]:[Test code]],[1]!Table1[Anode ICR/mOhm],"",0)</f>
        <v>#REF!</v>
      </c>
      <c r="AD1330" s="69" t="e" cm="1">
        <f t="array" ref="AD1330">_xlfn.XLOOKUP(Table1[[#This Row],[5 cm2 cell test code]:[5 cm2 cell test code]],[1]!Table1[[Test code]:[Test code]],[1]!Table1[HFR DIW/ mOhm cm2],"",0)</f>
        <v>#REF!</v>
      </c>
      <c r="AE1330" s="69" t="e" cm="1">
        <f t="array" ref="AE1330">_xlfn.XLOOKUP(Table1[[#This Row],[5 cm2 cell test code]:[5 cm2 cell test code]],[1]!Table1[[Test code]:[Test code]],[1]!Table1[HFR 10 mM KOH/ mOhm cm2],"",0)</f>
        <v>#REF!</v>
      </c>
      <c r="AF1330" s="69" t="e" cm="1">
        <f t="array" ref="AF1330">_xlfn.XLOOKUP(Table1[[#This Row],[5 cm2 cell test code]:[5 cm2 cell test code]],[1]!Table1[[Test code]:[Test code]],[1]!Table1[Ionic resistance DIW/Ohm cm2],"",0)</f>
        <v>#REF!</v>
      </c>
      <c r="AG1330" s="69" t="e" cm="1">
        <f t="array" ref="AG1330">_xlfn.XLOOKUP(Table1[[#This Row],[5 cm2 cell test code]:[5 cm2 cell test code]],[1]!Table1[[Test code]:[Test code]],[1]!Table1[Q_int_frac DIW],"",0)</f>
        <v>#REF!</v>
      </c>
      <c r="AH1330" s="69" t="e" cm="1">
        <f t="array" ref="AH1330">_xlfn.XLOOKUP(Table1[[#This Row],[5 cm2 cell test code]:[5 cm2 cell test code]],[1]!Table1[[Test code]:[Test code]],[1]!Table1[Ionic resistance 10 mM KOH/Ohm cm2],"",0)</f>
        <v>#REF!</v>
      </c>
      <c r="AI1330" s="69" t="e" cm="1">
        <f t="array" ref="AI1330">_xlfn.XLOOKUP(Table1[[#This Row],[5 cm2 cell test code]:[5 cm2 cell test code]],[1]!Table1[[Test code]:[Test code]],[1]!Table1[Q_int_frac DIW 10 mM KOH],"",0)</f>
        <v>#REF!</v>
      </c>
      <c r="AJ1330" s="69" t="e" cm="1">
        <f t="array" ref="AJ1330">_xlfn.XLOOKUP(Table1[[#This Row],[5 cm2 cell test code]:[5 cm2 cell test code]],[1]!Table1[[Test code]:[Test code]],[1]!Table1[DIW conductivity (µS/cm)],"",0)</f>
        <v>#REF!</v>
      </c>
    </row>
    <row r="1331" spans="1:36">
      <c r="A1331" s="81"/>
      <c r="U1331" s="101"/>
      <c r="V1331" s="101"/>
      <c r="W1331" s="69" t="e" cm="1">
        <f t="array" ref="W1331">_xlfn.XLOOKUP(Table1[[#This Row],[5 cm2 cell test code]:[5 cm2 cell test code]],[1]!Table1[[Test code]:[Test code]],[1]!Table1[i @ 1.8 V DIW (A/cm2)],"",0)</f>
        <v>#REF!</v>
      </c>
      <c r="X1331" s="69" t="e" cm="1">
        <f t="array" ref="X1331">_xlfn.XLOOKUP(Table1[[#This Row],[5 cm2 cell test code]:[5 cm2 cell test code]],[1]!Table1[[Test code]:[Test code]],[1]!Table1[i @ 1.8 V 10 mM KOH (A/cm2)],"",0)</f>
        <v>#REF!</v>
      </c>
      <c r="Y1331" s="69" t="e" cm="1">
        <f t="array" ref="Y1331">_xlfn.XLOOKUP(Table1[[#This Row],[5 cm2 cell test code]:[5 cm2 cell test code]],[1]!Table1[[Test code]:[Test code]],[1]!Table1[3-E ƞ at 20mAcm-2 (mV)],"",0)</f>
        <v>#REF!</v>
      </c>
      <c r="Z1331" s="69" t="e" cm="1">
        <f t="array" ref="Z1331">_xlfn.XLOOKUP(Table1[[#This Row],[5 cm2 cell test code]:[5 cm2 cell test code]],[1]!Table1[[Test code]:[Test code]],[1]!Table1[3-E Tafel slope (mV/dec)],"",0)</f>
        <v>#REF!</v>
      </c>
      <c r="AA1331" s="69" t="e" cm="1">
        <f t="array" ref="AA1331">_xlfn.XLOOKUP(Table1[[#This Row],[5 cm2 cell test code]:[5 cm2 cell test code]],[1]!Table1[[Test code]:[Test code]],[1]!Table1[E @ 100 mA/cm2 DIW/V],"",0)</f>
        <v>#REF!</v>
      </c>
      <c r="AB1331" s="69" t="e" cm="1">
        <f t="array" ref="AB1331">_xlfn.XLOOKUP(Table1[[#This Row],[5 cm2 cell test code]:[5 cm2 cell test code]],[1]!Table1[[Test code]:[Test code]],[1]!Table1[E @ 100 mA/cm2 10 mM KOH/V],"",0)</f>
        <v>#REF!</v>
      </c>
      <c r="AC1331" s="69" t="e" cm="1">
        <f t="array" ref="AC1331">_xlfn.XLOOKUP(Table1[[#This Row],[5 cm2 cell test code]:[5 cm2 cell test code]],[1]!Table1[[Test code]:[Test code]],[1]!Table1[Anode ICR/mOhm],"",0)</f>
        <v>#REF!</v>
      </c>
      <c r="AD1331" s="69" t="e" cm="1">
        <f t="array" ref="AD1331">_xlfn.XLOOKUP(Table1[[#This Row],[5 cm2 cell test code]:[5 cm2 cell test code]],[1]!Table1[[Test code]:[Test code]],[1]!Table1[HFR DIW/ mOhm cm2],"",0)</f>
        <v>#REF!</v>
      </c>
      <c r="AE1331" s="69" t="e" cm="1">
        <f t="array" ref="AE1331">_xlfn.XLOOKUP(Table1[[#This Row],[5 cm2 cell test code]:[5 cm2 cell test code]],[1]!Table1[[Test code]:[Test code]],[1]!Table1[HFR 10 mM KOH/ mOhm cm2],"",0)</f>
        <v>#REF!</v>
      </c>
      <c r="AF1331" s="69" t="e" cm="1">
        <f t="array" ref="AF1331">_xlfn.XLOOKUP(Table1[[#This Row],[5 cm2 cell test code]:[5 cm2 cell test code]],[1]!Table1[[Test code]:[Test code]],[1]!Table1[Ionic resistance DIW/Ohm cm2],"",0)</f>
        <v>#REF!</v>
      </c>
      <c r="AG1331" s="69" t="e" cm="1">
        <f t="array" ref="AG1331">_xlfn.XLOOKUP(Table1[[#This Row],[5 cm2 cell test code]:[5 cm2 cell test code]],[1]!Table1[[Test code]:[Test code]],[1]!Table1[Q_int_frac DIW],"",0)</f>
        <v>#REF!</v>
      </c>
      <c r="AH1331" s="69" t="e" cm="1">
        <f t="array" ref="AH1331">_xlfn.XLOOKUP(Table1[[#This Row],[5 cm2 cell test code]:[5 cm2 cell test code]],[1]!Table1[[Test code]:[Test code]],[1]!Table1[Ionic resistance 10 mM KOH/Ohm cm2],"",0)</f>
        <v>#REF!</v>
      </c>
      <c r="AI1331" s="69" t="e" cm="1">
        <f t="array" ref="AI1331">_xlfn.XLOOKUP(Table1[[#This Row],[5 cm2 cell test code]:[5 cm2 cell test code]],[1]!Table1[[Test code]:[Test code]],[1]!Table1[Q_int_frac DIW 10 mM KOH],"",0)</f>
        <v>#REF!</v>
      </c>
      <c r="AJ1331" s="69" t="e" cm="1">
        <f t="array" ref="AJ1331">_xlfn.XLOOKUP(Table1[[#This Row],[5 cm2 cell test code]:[5 cm2 cell test code]],[1]!Table1[[Test code]:[Test code]],[1]!Table1[DIW conductivity (µS/cm)],"",0)</f>
        <v>#REF!</v>
      </c>
    </row>
    <row r="1332" spans="1:36">
      <c r="A1332" s="81"/>
      <c r="U1332" s="101"/>
      <c r="V1332" s="101"/>
      <c r="W1332" s="69" t="e" cm="1">
        <f t="array" ref="W1332">_xlfn.XLOOKUP(Table1[[#This Row],[5 cm2 cell test code]:[5 cm2 cell test code]],[1]!Table1[[Test code]:[Test code]],[1]!Table1[i @ 1.8 V DIW (A/cm2)],"",0)</f>
        <v>#REF!</v>
      </c>
      <c r="X1332" s="69" t="e" cm="1">
        <f t="array" ref="X1332">_xlfn.XLOOKUP(Table1[[#This Row],[5 cm2 cell test code]:[5 cm2 cell test code]],[1]!Table1[[Test code]:[Test code]],[1]!Table1[i @ 1.8 V 10 mM KOH (A/cm2)],"",0)</f>
        <v>#REF!</v>
      </c>
      <c r="Y1332" s="69" t="e" cm="1">
        <f t="array" ref="Y1332">_xlfn.XLOOKUP(Table1[[#This Row],[5 cm2 cell test code]:[5 cm2 cell test code]],[1]!Table1[[Test code]:[Test code]],[1]!Table1[3-E ƞ at 20mAcm-2 (mV)],"",0)</f>
        <v>#REF!</v>
      </c>
      <c r="Z1332" s="69" t="e" cm="1">
        <f t="array" ref="Z1332">_xlfn.XLOOKUP(Table1[[#This Row],[5 cm2 cell test code]:[5 cm2 cell test code]],[1]!Table1[[Test code]:[Test code]],[1]!Table1[3-E Tafel slope (mV/dec)],"",0)</f>
        <v>#REF!</v>
      </c>
      <c r="AA1332" s="69" t="e" cm="1">
        <f t="array" ref="AA1332">_xlfn.XLOOKUP(Table1[[#This Row],[5 cm2 cell test code]:[5 cm2 cell test code]],[1]!Table1[[Test code]:[Test code]],[1]!Table1[E @ 100 mA/cm2 DIW/V],"",0)</f>
        <v>#REF!</v>
      </c>
      <c r="AB1332" s="69" t="e" cm="1">
        <f t="array" ref="AB1332">_xlfn.XLOOKUP(Table1[[#This Row],[5 cm2 cell test code]:[5 cm2 cell test code]],[1]!Table1[[Test code]:[Test code]],[1]!Table1[E @ 100 mA/cm2 10 mM KOH/V],"",0)</f>
        <v>#REF!</v>
      </c>
      <c r="AC1332" s="69" t="e" cm="1">
        <f t="array" ref="AC1332">_xlfn.XLOOKUP(Table1[[#This Row],[5 cm2 cell test code]:[5 cm2 cell test code]],[1]!Table1[[Test code]:[Test code]],[1]!Table1[Anode ICR/mOhm],"",0)</f>
        <v>#REF!</v>
      </c>
      <c r="AD1332" s="69" t="e" cm="1">
        <f t="array" ref="AD1332">_xlfn.XLOOKUP(Table1[[#This Row],[5 cm2 cell test code]:[5 cm2 cell test code]],[1]!Table1[[Test code]:[Test code]],[1]!Table1[HFR DIW/ mOhm cm2],"",0)</f>
        <v>#REF!</v>
      </c>
      <c r="AE1332" s="69" t="e" cm="1">
        <f t="array" ref="AE1332">_xlfn.XLOOKUP(Table1[[#This Row],[5 cm2 cell test code]:[5 cm2 cell test code]],[1]!Table1[[Test code]:[Test code]],[1]!Table1[HFR 10 mM KOH/ mOhm cm2],"",0)</f>
        <v>#REF!</v>
      </c>
      <c r="AF1332" s="69" t="e" cm="1">
        <f t="array" ref="AF1332">_xlfn.XLOOKUP(Table1[[#This Row],[5 cm2 cell test code]:[5 cm2 cell test code]],[1]!Table1[[Test code]:[Test code]],[1]!Table1[Ionic resistance DIW/Ohm cm2],"",0)</f>
        <v>#REF!</v>
      </c>
      <c r="AG1332" s="69" t="e" cm="1">
        <f t="array" ref="AG1332">_xlfn.XLOOKUP(Table1[[#This Row],[5 cm2 cell test code]:[5 cm2 cell test code]],[1]!Table1[[Test code]:[Test code]],[1]!Table1[Q_int_frac DIW],"",0)</f>
        <v>#REF!</v>
      </c>
      <c r="AH1332" s="69" t="e" cm="1">
        <f t="array" ref="AH1332">_xlfn.XLOOKUP(Table1[[#This Row],[5 cm2 cell test code]:[5 cm2 cell test code]],[1]!Table1[[Test code]:[Test code]],[1]!Table1[Ionic resistance 10 mM KOH/Ohm cm2],"",0)</f>
        <v>#REF!</v>
      </c>
      <c r="AI1332" s="69" t="e" cm="1">
        <f t="array" ref="AI1332">_xlfn.XLOOKUP(Table1[[#This Row],[5 cm2 cell test code]:[5 cm2 cell test code]],[1]!Table1[[Test code]:[Test code]],[1]!Table1[Q_int_frac DIW 10 mM KOH],"",0)</f>
        <v>#REF!</v>
      </c>
      <c r="AJ1332" s="69" t="e" cm="1">
        <f t="array" ref="AJ1332">_xlfn.XLOOKUP(Table1[[#This Row],[5 cm2 cell test code]:[5 cm2 cell test code]],[1]!Table1[[Test code]:[Test code]],[1]!Table1[DIW conductivity (µS/cm)],"",0)</f>
        <v>#REF!</v>
      </c>
    </row>
    <row r="1333" spans="1:36">
      <c r="A1333" s="81"/>
      <c r="U1333" s="101"/>
      <c r="V1333" s="101"/>
      <c r="W1333" s="69" t="e" cm="1">
        <f t="array" ref="W1333">_xlfn.XLOOKUP(Table1[[#This Row],[5 cm2 cell test code]:[5 cm2 cell test code]],[1]!Table1[[Test code]:[Test code]],[1]!Table1[i @ 1.8 V DIW (A/cm2)],"",0)</f>
        <v>#REF!</v>
      </c>
      <c r="X1333" s="69" t="e" cm="1">
        <f t="array" ref="X1333">_xlfn.XLOOKUP(Table1[[#This Row],[5 cm2 cell test code]:[5 cm2 cell test code]],[1]!Table1[[Test code]:[Test code]],[1]!Table1[i @ 1.8 V 10 mM KOH (A/cm2)],"",0)</f>
        <v>#REF!</v>
      </c>
      <c r="Y1333" s="69" t="e" cm="1">
        <f t="array" ref="Y1333">_xlfn.XLOOKUP(Table1[[#This Row],[5 cm2 cell test code]:[5 cm2 cell test code]],[1]!Table1[[Test code]:[Test code]],[1]!Table1[3-E ƞ at 20mAcm-2 (mV)],"",0)</f>
        <v>#REF!</v>
      </c>
      <c r="Z1333" s="69" t="e" cm="1">
        <f t="array" ref="Z1333">_xlfn.XLOOKUP(Table1[[#This Row],[5 cm2 cell test code]:[5 cm2 cell test code]],[1]!Table1[[Test code]:[Test code]],[1]!Table1[3-E Tafel slope (mV/dec)],"",0)</f>
        <v>#REF!</v>
      </c>
      <c r="AA1333" s="69" t="e" cm="1">
        <f t="array" ref="AA1333">_xlfn.XLOOKUP(Table1[[#This Row],[5 cm2 cell test code]:[5 cm2 cell test code]],[1]!Table1[[Test code]:[Test code]],[1]!Table1[E @ 100 mA/cm2 DIW/V],"",0)</f>
        <v>#REF!</v>
      </c>
      <c r="AB1333" s="69" t="e" cm="1">
        <f t="array" ref="AB1333">_xlfn.XLOOKUP(Table1[[#This Row],[5 cm2 cell test code]:[5 cm2 cell test code]],[1]!Table1[[Test code]:[Test code]],[1]!Table1[E @ 100 mA/cm2 10 mM KOH/V],"",0)</f>
        <v>#REF!</v>
      </c>
      <c r="AC1333" s="69" t="e" cm="1">
        <f t="array" ref="AC1333">_xlfn.XLOOKUP(Table1[[#This Row],[5 cm2 cell test code]:[5 cm2 cell test code]],[1]!Table1[[Test code]:[Test code]],[1]!Table1[Anode ICR/mOhm],"",0)</f>
        <v>#REF!</v>
      </c>
      <c r="AD1333" s="69" t="e" cm="1">
        <f t="array" ref="AD1333">_xlfn.XLOOKUP(Table1[[#This Row],[5 cm2 cell test code]:[5 cm2 cell test code]],[1]!Table1[[Test code]:[Test code]],[1]!Table1[HFR DIW/ mOhm cm2],"",0)</f>
        <v>#REF!</v>
      </c>
      <c r="AE1333" s="69" t="e" cm="1">
        <f t="array" ref="AE1333">_xlfn.XLOOKUP(Table1[[#This Row],[5 cm2 cell test code]:[5 cm2 cell test code]],[1]!Table1[[Test code]:[Test code]],[1]!Table1[HFR 10 mM KOH/ mOhm cm2],"",0)</f>
        <v>#REF!</v>
      </c>
      <c r="AF1333" s="69" t="e" cm="1">
        <f t="array" ref="AF1333">_xlfn.XLOOKUP(Table1[[#This Row],[5 cm2 cell test code]:[5 cm2 cell test code]],[1]!Table1[[Test code]:[Test code]],[1]!Table1[Ionic resistance DIW/Ohm cm2],"",0)</f>
        <v>#REF!</v>
      </c>
      <c r="AG1333" s="69" t="e" cm="1">
        <f t="array" ref="AG1333">_xlfn.XLOOKUP(Table1[[#This Row],[5 cm2 cell test code]:[5 cm2 cell test code]],[1]!Table1[[Test code]:[Test code]],[1]!Table1[Q_int_frac DIW],"",0)</f>
        <v>#REF!</v>
      </c>
      <c r="AH1333" s="69" t="e" cm="1">
        <f t="array" ref="AH1333">_xlfn.XLOOKUP(Table1[[#This Row],[5 cm2 cell test code]:[5 cm2 cell test code]],[1]!Table1[[Test code]:[Test code]],[1]!Table1[Ionic resistance 10 mM KOH/Ohm cm2],"",0)</f>
        <v>#REF!</v>
      </c>
      <c r="AI1333" s="69" t="e" cm="1">
        <f t="array" ref="AI1333">_xlfn.XLOOKUP(Table1[[#This Row],[5 cm2 cell test code]:[5 cm2 cell test code]],[1]!Table1[[Test code]:[Test code]],[1]!Table1[Q_int_frac DIW 10 mM KOH],"",0)</f>
        <v>#REF!</v>
      </c>
      <c r="AJ1333" s="69" t="e" cm="1">
        <f t="array" ref="AJ1333">_xlfn.XLOOKUP(Table1[[#This Row],[5 cm2 cell test code]:[5 cm2 cell test code]],[1]!Table1[[Test code]:[Test code]],[1]!Table1[DIW conductivity (µS/cm)],"",0)</f>
        <v>#REF!</v>
      </c>
    </row>
    <row r="1334" spans="1:36">
      <c r="A1334" s="81"/>
      <c r="U1334" s="101"/>
      <c r="V1334" s="101"/>
      <c r="W1334" s="69" t="e" cm="1">
        <f t="array" ref="W1334">_xlfn.XLOOKUP(Table1[[#This Row],[5 cm2 cell test code]:[5 cm2 cell test code]],[1]!Table1[[Test code]:[Test code]],[1]!Table1[i @ 1.8 V DIW (A/cm2)],"",0)</f>
        <v>#REF!</v>
      </c>
      <c r="X1334" s="69" t="e" cm="1">
        <f t="array" ref="X1334">_xlfn.XLOOKUP(Table1[[#This Row],[5 cm2 cell test code]:[5 cm2 cell test code]],[1]!Table1[[Test code]:[Test code]],[1]!Table1[i @ 1.8 V 10 mM KOH (A/cm2)],"",0)</f>
        <v>#REF!</v>
      </c>
      <c r="Y1334" s="69" t="e" cm="1">
        <f t="array" ref="Y1334">_xlfn.XLOOKUP(Table1[[#This Row],[5 cm2 cell test code]:[5 cm2 cell test code]],[1]!Table1[[Test code]:[Test code]],[1]!Table1[3-E ƞ at 20mAcm-2 (mV)],"",0)</f>
        <v>#REF!</v>
      </c>
      <c r="Z1334" s="69" t="e" cm="1">
        <f t="array" ref="Z1334">_xlfn.XLOOKUP(Table1[[#This Row],[5 cm2 cell test code]:[5 cm2 cell test code]],[1]!Table1[[Test code]:[Test code]],[1]!Table1[3-E Tafel slope (mV/dec)],"",0)</f>
        <v>#REF!</v>
      </c>
      <c r="AA1334" s="69" t="e" cm="1">
        <f t="array" ref="AA1334">_xlfn.XLOOKUP(Table1[[#This Row],[5 cm2 cell test code]:[5 cm2 cell test code]],[1]!Table1[[Test code]:[Test code]],[1]!Table1[E @ 100 mA/cm2 DIW/V],"",0)</f>
        <v>#REF!</v>
      </c>
      <c r="AB1334" s="69" t="e" cm="1">
        <f t="array" ref="AB1334">_xlfn.XLOOKUP(Table1[[#This Row],[5 cm2 cell test code]:[5 cm2 cell test code]],[1]!Table1[[Test code]:[Test code]],[1]!Table1[E @ 100 mA/cm2 10 mM KOH/V],"",0)</f>
        <v>#REF!</v>
      </c>
      <c r="AC1334" s="69" t="e" cm="1">
        <f t="array" ref="AC1334">_xlfn.XLOOKUP(Table1[[#This Row],[5 cm2 cell test code]:[5 cm2 cell test code]],[1]!Table1[[Test code]:[Test code]],[1]!Table1[Anode ICR/mOhm],"",0)</f>
        <v>#REF!</v>
      </c>
      <c r="AD1334" s="69" t="e" cm="1">
        <f t="array" ref="AD1334">_xlfn.XLOOKUP(Table1[[#This Row],[5 cm2 cell test code]:[5 cm2 cell test code]],[1]!Table1[[Test code]:[Test code]],[1]!Table1[HFR DIW/ mOhm cm2],"",0)</f>
        <v>#REF!</v>
      </c>
      <c r="AE1334" s="69" t="e" cm="1">
        <f t="array" ref="AE1334">_xlfn.XLOOKUP(Table1[[#This Row],[5 cm2 cell test code]:[5 cm2 cell test code]],[1]!Table1[[Test code]:[Test code]],[1]!Table1[HFR 10 mM KOH/ mOhm cm2],"",0)</f>
        <v>#REF!</v>
      </c>
      <c r="AF1334" s="69" t="e" cm="1">
        <f t="array" ref="AF1334">_xlfn.XLOOKUP(Table1[[#This Row],[5 cm2 cell test code]:[5 cm2 cell test code]],[1]!Table1[[Test code]:[Test code]],[1]!Table1[Ionic resistance DIW/Ohm cm2],"",0)</f>
        <v>#REF!</v>
      </c>
      <c r="AG1334" s="69" t="e" cm="1">
        <f t="array" ref="AG1334">_xlfn.XLOOKUP(Table1[[#This Row],[5 cm2 cell test code]:[5 cm2 cell test code]],[1]!Table1[[Test code]:[Test code]],[1]!Table1[Q_int_frac DIW],"",0)</f>
        <v>#REF!</v>
      </c>
      <c r="AH1334" s="69" t="e" cm="1">
        <f t="array" ref="AH1334">_xlfn.XLOOKUP(Table1[[#This Row],[5 cm2 cell test code]:[5 cm2 cell test code]],[1]!Table1[[Test code]:[Test code]],[1]!Table1[Ionic resistance 10 mM KOH/Ohm cm2],"",0)</f>
        <v>#REF!</v>
      </c>
      <c r="AI1334" s="69" t="e" cm="1">
        <f t="array" ref="AI1334">_xlfn.XLOOKUP(Table1[[#This Row],[5 cm2 cell test code]:[5 cm2 cell test code]],[1]!Table1[[Test code]:[Test code]],[1]!Table1[Q_int_frac DIW 10 mM KOH],"",0)</f>
        <v>#REF!</v>
      </c>
      <c r="AJ1334" s="69" t="e" cm="1">
        <f t="array" ref="AJ1334">_xlfn.XLOOKUP(Table1[[#This Row],[5 cm2 cell test code]:[5 cm2 cell test code]],[1]!Table1[[Test code]:[Test code]],[1]!Table1[DIW conductivity (µS/cm)],"",0)</f>
        <v>#REF!</v>
      </c>
    </row>
    <row r="1335" spans="1:36">
      <c r="A1335" s="81"/>
      <c r="U1335" s="101"/>
      <c r="V1335" s="101"/>
      <c r="W1335" s="69" t="e" cm="1">
        <f t="array" ref="W1335">_xlfn.XLOOKUP(Table1[[#This Row],[5 cm2 cell test code]:[5 cm2 cell test code]],[1]!Table1[[Test code]:[Test code]],[1]!Table1[i @ 1.8 V DIW (A/cm2)],"",0)</f>
        <v>#REF!</v>
      </c>
      <c r="X1335" s="69" t="e" cm="1">
        <f t="array" ref="X1335">_xlfn.XLOOKUP(Table1[[#This Row],[5 cm2 cell test code]:[5 cm2 cell test code]],[1]!Table1[[Test code]:[Test code]],[1]!Table1[i @ 1.8 V 10 mM KOH (A/cm2)],"",0)</f>
        <v>#REF!</v>
      </c>
      <c r="Y1335" s="69" t="e" cm="1">
        <f t="array" ref="Y1335">_xlfn.XLOOKUP(Table1[[#This Row],[5 cm2 cell test code]:[5 cm2 cell test code]],[1]!Table1[[Test code]:[Test code]],[1]!Table1[3-E ƞ at 20mAcm-2 (mV)],"",0)</f>
        <v>#REF!</v>
      </c>
      <c r="Z1335" s="69" t="e" cm="1">
        <f t="array" ref="Z1335">_xlfn.XLOOKUP(Table1[[#This Row],[5 cm2 cell test code]:[5 cm2 cell test code]],[1]!Table1[[Test code]:[Test code]],[1]!Table1[3-E Tafel slope (mV/dec)],"",0)</f>
        <v>#REF!</v>
      </c>
      <c r="AA1335" s="69" t="e" cm="1">
        <f t="array" ref="AA1335">_xlfn.XLOOKUP(Table1[[#This Row],[5 cm2 cell test code]:[5 cm2 cell test code]],[1]!Table1[[Test code]:[Test code]],[1]!Table1[E @ 100 mA/cm2 DIW/V],"",0)</f>
        <v>#REF!</v>
      </c>
      <c r="AB1335" s="69" t="e" cm="1">
        <f t="array" ref="AB1335">_xlfn.XLOOKUP(Table1[[#This Row],[5 cm2 cell test code]:[5 cm2 cell test code]],[1]!Table1[[Test code]:[Test code]],[1]!Table1[E @ 100 mA/cm2 10 mM KOH/V],"",0)</f>
        <v>#REF!</v>
      </c>
      <c r="AC1335" s="69" t="e" cm="1">
        <f t="array" ref="AC1335">_xlfn.XLOOKUP(Table1[[#This Row],[5 cm2 cell test code]:[5 cm2 cell test code]],[1]!Table1[[Test code]:[Test code]],[1]!Table1[Anode ICR/mOhm],"",0)</f>
        <v>#REF!</v>
      </c>
      <c r="AD1335" s="69" t="e" cm="1">
        <f t="array" ref="AD1335">_xlfn.XLOOKUP(Table1[[#This Row],[5 cm2 cell test code]:[5 cm2 cell test code]],[1]!Table1[[Test code]:[Test code]],[1]!Table1[HFR DIW/ mOhm cm2],"",0)</f>
        <v>#REF!</v>
      </c>
      <c r="AE1335" s="69" t="e" cm="1">
        <f t="array" ref="AE1335">_xlfn.XLOOKUP(Table1[[#This Row],[5 cm2 cell test code]:[5 cm2 cell test code]],[1]!Table1[[Test code]:[Test code]],[1]!Table1[HFR 10 mM KOH/ mOhm cm2],"",0)</f>
        <v>#REF!</v>
      </c>
      <c r="AF1335" s="69" t="e" cm="1">
        <f t="array" ref="AF1335">_xlfn.XLOOKUP(Table1[[#This Row],[5 cm2 cell test code]:[5 cm2 cell test code]],[1]!Table1[[Test code]:[Test code]],[1]!Table1[Ionic resistance DIW/Ohm cm2],"",0)</f>
        <v>#REF!</v>
      </c>
      <c r="AG1335" s="69" t="e" cm="1">
        <f t="array" ref="AG1335">_xlfn.XLOOKUP(Table1[[#This Row],[5 cm2 cell test code]:[5 cm2 cell test code]],[1]!Table1[[Test code]:[Test code]],[1]!Table1[Q_int_frac DIW],"",0)</f>
        <v>#REF!</v>
      </c>
      <c r="AH1335" s="69" t="e" cm="1">
        <f t="array" ref="AH1335">_xlfn.XLOOKUP(Table1[[#This Row],[5 cm2 cell test code]:[5 cm2 cell test code]],[1]!Table1[[Test code]:[Test code]],[1]!Table1[Ionic resistance 10 mM KOH/Ohm cm2],"",0)</f>
        <v>#REF!</v>
      </c>
      <c r="AI1335" s="69" t="e" cm="1">
        <f t="array" ref="AI1335">_xlfn.XLOOKUP(Table1[[#This Row],[5 cm2 cell test code]:[5 cm2 cell test code]],[1]!Table1[[Test code]:[Test code]],[1]!Table1[Q_int_frac DIW 10 mM KOH],"",0)</f>
        <v>#REF!</v>
      </c>
      <c r="AJ1335" s="69" t="e" cm="1">
        <f t="array" ref="AJ1335">_xlfn.XLOOKUP(Table1[[#This Row],[5 cm2 cell test code]:[5 cm2 cell test code]],[1]!Table1[[Test code]:[Test code]],[1]!Table1[DIW conductivity (µS/cm)],"",0)</f>
        <v>#REF!</v>
      </c>
    </row>
    <row r="1336" spans="1:36">
      <c r="A1336" s="81"/>
      <c r="U1336" s="101"/>
      <c r="V1336" s="101"/>
      <c r="W1336" s="69" t="e" cm="1">
        <f t="array" ref="W1336">_xlfn.XLOOKUP(Table1[[#This Row],[5 cm2 cell test code]:[5 cm2 cell test code]],[1]!Table1[[Test code]:[Test code]],[1]!Table1[i @ 1.8 V DIW (A/cm2)],"",0)</f>
        <v>#REF!</v>
      </c>
      <c r="X1336" s="69" t="e" cm="1">
        <f t="array" ref="X1336">_xlfn.XLOOKUP(Table1[[#This Row],[5 cm2 cell test code]:[5 cm2 cell test code]],[1]!Table1[[Test code]:[Test code]],[1]!Table1[i @ 1.8 V 10 mM KOH (A/cm2)],"",0)</f>
        <v>#REF!</v>
      </c>
      <c r="Y1336" s="69" t="e" cm="1">
        <f t="array" ref="Y1336">_xlfn.XLOOKUP(Table1[[#This Row],[5 cm2 cell test code]:[5 cm2 cell test code]],[1]!Table1[[Test code]:[Test code]],[1]!Table1[3-E ƞ at 20mAcm-2 (mV)],"",0)</f>
        <v>#REF!</v>
      </c>
      <c r="Z1336" s="69" t="e" cm="1">
        <f t="array" ref="Z1336">_xlfn.XLOOKUP(Table1[[#This Row],[5 cm2 cell test code]:[5 cm2 cell test code]],[1]!Table1[[Test code]:[Test code]],[1]!Table1[3-E Tafel slope (mV/dec)],"",0)</f>
        <v>#REF!</v>
      </c>
      <c r="AA1336" s="69" t="e" cm="1">
        <f t="array" ref="AA1336">_xlfn.XLOOKUP(Table1[[#This Row],[5 cm2 cell test code]:[5 cm2 cell test code]],[1]!Table1[[Test code]:[Test code]],[1]!Table1[E @ 100 mA/cm2 DIW/V],"",0)</f>
        <v>#REF!</v>
      </c>
      <c r="AB1336" s="69" t="e" cm="1">
        <f t="array" ref="AB1336">_xlfn.XLOOKUP(Table1[[#This Row],[5 cm2 cell test code]:[5 cm2 cell test code]],[1]!Table1[[Test code]:[Test code]],[1]!Table1[E @ 100 mA/cm2 10 mM KOH/V],"",0)</f>
        <v>#REF!</v>
      </c>
      <c r="AC1336" s="69" t="e" cm="1">
        <f t="array" ref="AC1336">_xlfn.XLOOKUP(Table1[[#This Row],[5 cm2 cell test code]:[5 cm2 cell test code]],[1]!Table1[[Test code]:[Test code]],[1]!Table1[Anode ICR/mOhm],"",0)</f>
        <v>#REF!</v>
      </c>
      <c r="AD1336" s="69" t="e" cm="1">
        <f t="array" ref="AD1336">_xlfn.XLOOKUP(Table1[[#This Row],[5 cm2 cell test code]:[5 cm2 cell test code]],[1]!Table1[[Test code]:[Test code]],[1]!Table1[HFR DIW/ mOhm cm2],"",0)</f>
        <v>#REF!</v>
      </c>
      <c r="AE1336" s="69" t="e" cm="1">
        <f t="array" ref="AE1336">_xlfn.XLOOKUP(Table1[[#This Row],[5 cm2 cell test code]:[5 cm2 cell test code]],[1]!Table1[[Test code]:[Test code]],[1]!Table1[HFR 10 mM KOH/ mOhm cm2],"",0)</f>
        <v>#REF!</v>
      </c>
      <c r="AF1336" s="69" t="e" cm="1">
        <f t="array" ref="AF1336">_xlfn.XLOOKUP(Table1[[#This Row],[5 cm2 cell test code]:[5 cm2 cell test code]],[1]!Table1[[Test code]:[Test code]],[1]!Table1[Ionic resistance DIW/Ohm cm2],"",0)</f>
        <v>#REF!</v>
      </c>
      <c r="AG1336" s="69" t="e" cm="1">
        <f t="array" ref="AG1336">_xlfn.XLOOKUP(Table1[[#This Row],[5 cm2 cell test code]:[5 cm2 cell test code]],[1]!Table1[[Test code]:[Test code]],[1]!Table1[Q_int_frac DIW],"",0)</f>
        <v>#REF!</v>
      </c>
      <c r="AH1336" s="69" t="e" cm="1">
        <f t="array" ref="AH1336">_xlfn.XLOOKUP(Table1[[#This Row],[5 cm2 cell test code]:[5 cm2 cell test code]],[1]!Table1[[Test code]:[Test code]],[1]!Table1[Ionic resistance 10 mM KOH/Ohm cm2],"",0)</f>
        <v>#REF!</v>
      </c>
      <c r="AI1336" s="69" t="e" cm="1">
        <f t="array" ref="AI1336">_xlfn.XLOOKUP(Table1[[#This Row],[5 cm2 cell test code]:[5 cm2 cell test code]],[1]!Table1[[Test code]:[Test code]],[1]!Table1[Q_int_frac DIW 10 mM KOH],"",0)</f>
        <v>#REF!</v>
      </c>
      <c r="AJ1336" s="69" t="e" cm="1">
        <f t="array" ref="AJ1336">_xlfn.XLOOKUP(Table1[[#This Row],[5 cm2 cell test code]:[5 cm2 cell test code]],[1]!Table1[[Test code]:[Test code]],[1]!Table1[DIW conductivity (µS/cm)],"",0)</f>
        <v>#REF!</v>
      </c>
    </row>
    <row r="1337" spans="1:36">
      <c r="A1337" s="81"/>
      <c r="U1337" s="101"/>
      <c r="V1337" s="101"/>
      <c r="W1337" s="69" t="e" cm="1">
        <f t="array" ref="W1337">_xlfn.XLOOKUP(Table1[[#This Row],[5 cm2 cell test code]:[5 cm2 cell test code]],[1]!Table1[[Test code]:[Test code]],[1]!Table1[i @ 1.8 V DIW (A/cm2)],"",0)</f>
        <v>#REF!</v>
      </c>
      <c r="X1337" s="69" t="e" cm="1">
        <f t="array" ref="X1337">_xlfn.XLOOKUP(Table1[[#This Row],[5 cm2 cell test code]:[5 cm2 cell test code]],[1]!Table1[[Test code]:[Test code]],[1]!Table1[i @ 1.8 V 10 mM KOH (A/cm2)],"",0)</f>
        <v>#REF!</v>
      </c>
      <c r="Y1337" s="69" t="e" cm="1">
        <f t="array" ref="Y1337">_xlfn.XLOOKUP(Table1[[#This Row],[5 cm2 cell test code]:[5 cm2 cell test code]],[1]!Table1[[Test code]:[Test code]],[1]!Table1[3-E ƞ at 20mAcm-2 (mV)],"",0)</f>
        <v>#REF!</v>
      </c>
      <c r="Z1337" s="69" t="e" cm="1">
        <f t="array" ref="Z1337">_xlfn.XLOOKUP(Table1[[#This Row],[5 cm2 cell test code]:[5 cm2 cell test code]],[1]!Table1[[Test code]:[Test code]],[1]!Table1[3-E Tafel slope (mV/dec)],"",0)</f>
        <v>#REF!</v>
      </c>
      <c r="AA1337" s="69" t="e" cm="1">
        <f t="array" ref="AA1337">_xlfn.XLOOKUP(Table1[[#This Row],[5 cm2 cell test code]:[5 cm2 cell test code]],[1]!Table1[[Test code]:[Test code]],[1]!Table1[E @ 100 mA/cm2 DIW/V],"",0)</f>
        <v>#REF!</v>
      </c>
      <c r="AB1337" s="69" t="e" cm="1">
        <f t="array" ref="AB1337">_xlfn.XLOOKUP(Table1[[#This Row],[5 cm2 cell test code]:[5 cm2 cell test code]],[1]!Table1[[Test code]:[Test code]],[1]!Table1[E @ 100 mA/cm2 10 mM KOH/V],"",0)</f>
        <v>#REF!</v>
      </c>
      <c r="AC1337" s="69" t="e" cm="1">
        <f t="array" ref="AC1337">_xlfn.XLOOKUP(Table1[[#This Row],[5 cm2 cell test code]:[5 cm2 cell test code]],[1]!Table1[[Test code]:[Test code]],[1]!Table1[Anode ICR/mOhm],"",0)</f>
        <v>#REF!</v>
      </c>
      <c r="AD1337" s="69" t="e" cm="1">
        <f t="array" ref="AD1337">_xlfn.XLOOKUP(Table1[[#This Row],[5 cm2 cell test code]:[5 cm2 cell test code]],[1]!Table1[[Test code]:[Test code]],[1]!Table1[HFR DIW/ mOhm cm2],"",0)</f>
        <v>#REF!</v>
      </c>
      <c r="AE1337" s="69" t="e" cm="1">
        <f t="array" ref="AE1337">_xlfn.XLOOKUP(Table1[[#This Row],[5 cm2 cell test code]:[5 cm2 cell test code]],[1]!Table1[[Test code]:[Test code]],[1]!Table1[HFR 10 mM KOH/ mOhm cm2],"",0)</f>
        <v>#REF!</v>
      </c>
      <c r="AF1337" s="69" t="e" cm="1">
        <f t="array" ref="AF1337">_xlfn.XLOOKUP(Table1[[#This Row],[5 cm2 cell test code]:[5 cm2 cell test code]],[1]!Table1[[Test code]:[Test code]],[1]!Table1[Ionic resistance DIW/Ohm cm2],"",0)</f>
        <v>#REF!</v>
      </c>
      <c r="AG1337" s="69" t="e" cm="1">
        <f t="array" ref="AG1337">_xlfn.XLOOKUP(Table1[[#This Row],[5 cm2 cell test code]:[5 cm2 cell test code]],[1]!Table1[[Test code]:[Test code]],[1]!Table1[Q_int_frac DIW],"",0)</f>
        <v>#REF!</v>
      </c>
      <c r="AH1337" s="69" t="e" cm="1">
        <f t="array" ref="AH1337">_xlfn.XLOOKUP(Table1[[#This Row],[5 cm2 cell test code]:[5 cm2 cell test code]],[1]!Table1[[Test code]:[Test code]],[1]!Table1[Ionic resistance 10 mM KOH/Ohm cm2],"",0)</f>
        <v>#REF!</v>
      </c>
      <c r="AI1337" s="69" t="e" cm="1">
        <f t="array" ref="AI1337">_xlfn.XLOOKUP(Table1[[#This Row],[5 cm2 cell test code]:[5 cm2 cell test code]],[1]!Table1[[Test code]:[Test code]],[1]!Table1[Q_int_frac DIW 10 mM KOH],"",0)</f>
        <v>#REF!</v>
      </c>
      <c r="AJ1337" s="69" t="e" cm="1">
        <f t="array" ref="AJ1337">_xlfn.XLOOKUP(Table1[[#This Row],[5 cm2 cell test code]:[5 cm2 cell test code]],[1]!Table1[[Test code]:[Test code]],[1]!Table1[DIW conductivity (µS/cm)],"",0)</f>
        <v>#REF!</v>
      </c>
    </row>
    <row r="1338" spans="1:36">
      <c r="A1338" s="81"/>
      <c r="U1338" s="101"/>
      <c r="V1338" s="101"/>
      <c r="W1338" s="69" t="e" cm="1">
        <f t="array" ref="W1338">_xlfn.XLOOKUP(Table1[[#This Row],[5 cm2 cell test code]:[5 cm2 cell test code]],[1]!Table1[[Test code]:[Test code]],[1]!Table1[i @ 1.8 V DIW (A/cm2)],"",0)</f>
        <v>#REF!</v>
      </c>
      <c r="X1338" s="69" t="e" cm="1">
        <f t="array" ref="X1338">_xlfn.XLOOKUP(Table1[[#This Row],[5 cm2 cell test code]:[5 cm2 cell test code]],[1]!Table1[[Test code]:[Test code]],[1]!Table1[i @ 1.8 V 10 mM KOH (A/cm2)],"",0)</f>
        <v>#REF!</v>
      </c>
      <c r="Y1338" s="69" t="e" cm="1">
        <f t="array" ref="Y1338">_xlfn.XLOOKUP(Table1[[#This Row],[5 cm2 cell test code]:[5 cm2 cell test code]],[1]!Table1[[Test code]:[Test code]],[1]!Table1[3-E ƞ at 20mAcm-2 (mV)],"",0)</f>
        <v>#REF!</v>
      </c>
      <c r="Z1338" s="69" t="e" cm="1">
        <f t="array" ref="Z1338">_xlfn.XLOOKUP(Table1[[#This Row],[5 cm2 cell test code]:[5 cm2 cell test code]],[1]!Table1[[Test code]:[Test code]],[1]!Table1[3-E Tafel slope (mV/dec)],"",0)</f>
        <v>#REF!</v>
      </c>
      <c r="AA1338" s="69" t="e" cm="1">
        <f t="array" ref="AA1338">_xlfn.XLOOKUP(Table1[[#This Row],[5 cm2 cell test code]:[5 cm2 cell test code]],[1]!Table1[[Test code]:[Test code]],[1]!Table1[E @ 100 mA/cm2 DIW/V],"",0)</f>
        <v>#REF!</v>
      </c>
      <c r="AB1338" s="69" t="e" cm="1">
        <f t="array" ref="AB1338">_xlfn.XLOOKUP(Table1[[#This Row],[5 cm2 cell test code]:[5 cm2 cell test code]],[1]!Table1[[Test code]:[Test code]],[1]!Table1[E @ 100 mA/cm2 10 mM KOH/V],"",0)</f>
        <v>#REF!</v>
      </c>
      <c r="AC1338" s="69" t="e" cm="1">
        <f t="array" ref="AC1338">_xlfn.XLOOKUP(Table1[[#This Row],[5 cm2 cell test code]:[5 cm2 cell test code]],[1]!Table1[[Test code]:[Test code]],[1]!Table1[Anode ICR/mOhm],"",0)</f>
        <v>#REF!</v>
      </c>
      <c r="AD1338" s="69" t="e" cm="1">
        <f t="array" ref="AD1338">_xlfn.XLOOKUP(Table1[[#This Row],[5 cm2 cell test code]:[5 cm2 cell test code]],[1]!Table1[[Test code]:[Test code]],[1]!Table1[HFR DIW/ mOhm cm2],"",0)</f>
        <v>#REF!</v>
      </c>
      <c r="AE1338" s="69" t="e" cm="1">
        <f t="array" ref="AE1338">_xlfn.XLOOKUP(Table1[[#This Row],[5 cm2 cell test code]:[5 cm2 cell test code]],[1]!Table1[[Test code]:[Test code]],[1]!Table1[HFR 10 mM KOH/ mOhm cm2],"",0)</f>
        <v>#REF!</v>
      </c>
      <c r="AF1338" s="69" t="e" cm="1">
        <f t="array" ref="AF1338">_xlfn.XLOOKUP(Table1[[#This Row],[5 cm2 cell test code]:[5 cm2 cell test code]],[1]!Table1[[Test code]:[Test code]],[1]!Table1[Ionic resistance DIW/Ohm cm2],"",0)</f>
        <v>#REF!</v>
      </c>
      <c r="AG1338" s="69" t="e" cm="1">
        <f t="array" ref="AG1338">_xlfn.XLOOKUP(Table1[[#This Row],[5 cm2 cell test code]:[5 cm2 cell test code]],[1]!Table1[[Test code]:[Test code]],[1]!Table1[Q_int_frac DIW],"",0)</f>
        <v>#REF!</v>
      </c>
      <c r="AH1338" s="69" t="e" cm="1">
        <f t="array" ref="AH1338">_xlfn.XLOOKUP(Table1[[#This Row],[5 cm2 cell test code]:[5 cm2 cell test code]],[1]!Table1[[Test code]:[Test code]],[1]!Table1[Ionic resistance 10 mM KOH/Ohm cm2],"",0)</f>
        <v>#REF!</v>
      </c>
      <c r="AI1338" s="69" t="e" cm="1">
        <f t="array" ref="AI1338">_xlfn.XLOOKUP(Table1[[#This Row],[5 cm2 cell test code]:[5 cm2 cell test code]],[1]!Table1[[Test code]:[Test code]],[1]!Table1[Q_int_frac DIW 10 mM KOH],"",0)</f>
        <v>#REF!</v>
      </c>
      <c r="AJ1338" s="69" t="e" cm="1">
        <f t="array" ref="AJ1338">_xlfn.XLOOKUP(Table1[[#This Row],[5 cm2 cell test code]:[5 cm2 cell test code]],[1]!Table1[[Test code]:[Test code]],[1]!Table1[DIW conductivity (µS/cm)],"",0)</f>
        <v>#REF!</v>
      </c>
    </row>
    <row r="1339" spans="1:36">
      <c r="A1339" s="81"/>
      <c r="U1339" s="101"/>
      <c r="V1339" s="101"/>
      <c r="W1339" s="69" t="e" cm="1">
        <f t="array" ref="W1339">_xlfn.XLOOKUP(Table1[[#This Row],[5 cm2 cell test code]:[5 cm2 cell test code]],[1]!Table1[[Test code]:[Test code]],[1]!Table1[i @ 1.8 V DIW (A/cm2)],"",0)</f>
        <v>#REF!</v>
      </c>
      <c r="X1339" s="69" t="e" cm="1">
        <f t="array" ref="X1339">_xlfn.XLOOKUP(Table1[[#This Row],[5 cm2 cell test code]:[5 cm2 cell test code]],[1]!Table1[[Test code]:[Test code]],[1]!Table1[i @ 1.8 V 10 mM KOH (A/cm2)],"",0)</f>
        <v>#REF!</v>
      </c>
      <c r="Y1339" s="69" t="e" cm="1">
        <f t="array" ref="Y1339">_xlfn.XLOOKUP(Table1[[#This Row],[5 cm2 cell test code]:[5 cm2 cell test code]],[1]!Table1[[Test code]:[Test code]],[1]!Table1[3-E ƞ at 20mAcm-2 (mV)],"",0)</f>
        <v>#REF!</v>
      </c>
      <c r="Z1339" s="69" t="e" cm="1">
        <f t="array" ref="Z1339">_xlfn.XLOOKUP(Table1[[#This Row],[5 cm2 cell test code]:[5 cm2 cell test code]],[1]!Table1[[Test code]:[Test code]],[1]!Table1[3-E Tafel slope (mV/dec)],"",0)</f>
        <v>#REF!</v>
      </c>
      <c r="AA1339" s="69" t="e" cm="1">
        <f t="array" ref="AA1339">_xlfn.XLOOKUP(Table1[[#This Row],[5 cm2 cell test code]:[5 cm2 cell test code]],[1]!Table1[[Test code]:[Test code]],[1]!Table1[E @ 100 mA/cm2 DIW/V],"",0)</f>
        <v>#REF!</v>
      </c>
      <c r="AB1339" s="69" t="e" cm="1">
        <f t="array" ref="AB1339">_xlfn.XLOOKUP(Table1[[#This Row],[5 cm2 cell test code]:[5 cm2 cell test code]],[1]!Table1[[Test code]:[Test code]],[1]!Table1[E @ 100 mA/cm2 10 mM KOH/V],"",0)</f>
        <v>#REF!</v>
      </c>
      <c r="AC1339" s="69" t="e" cm="1">
        <f t="array" ref="AC1339">_xlfn.XLOOKUP(Table1[[#This Row],[5 cm2 cell test code]:[5 cm2 cell test code]],[1]!Table1[[Test code]:[Test code]],[1]!Table1[Anode ICR/mOhm],"",0)</f>
        <v>#REF!</v>
      </c>
      <c r="AD1339" s="69" t="e" cm="1">
        <f t="array" ref="AD1339">_xlfn.XLOOKUP(Table1[[#This Row],[5 cm2 cell test code]:[5 cm2 cell test code]],[1]!Table1[[Test code]:[Test code]],[1]!Table1[HFR DIW/ mOhm cm2],"",0)</f>
        <v>#REF!</v>
      </c>
      <c r="AE1339" s="69" t="e" cm="1">
        <f t="array" ref="AE1339">_xlfn.XLOOKUP(Table1[[#This Row],[5 cm2 cell test code]:[5 cm2 cell test code]],[1]!Table1[[Test code]:[Test code]],[1]!Table1[HFR 10 mM KOH/ mOhm cm2],"",0)</f>
        <v>#REF!</v>
      </c>
      <c r="AF1339" s="69" t="e" cm="1">
        <f t="array" ref="AF1339">_xlfn.XLOOKUP(Table1[[#This Row],[5 cm2 cell test code]:[5 cm2 cell test code]],[1]!Table1[[Test code]:[Test code]],[1]!Table1[Ionic resistance DIW/Ohm cm2],"",0)</f>
        <v>#REF!</v>
      </c>
      <c r="AG1339" s="69" t="e" cm="1">
        <f t="array" ref="AG1339">_xlfn.XLOOKUP(Table1[[#This Row],[5 cm2 cell test code]:[5 cm2 cell test code]],[1]!Table1[[Test code]:[Test code]],[1]!Table1[Q_int_frac DIW],"",0)</f>
        <v>#REF!</v>
      </c>
      <c r="AH1339" s="69" t="e" cm="1">
        <f t="array" ref="AH1339">_xlfn.XLOOKUP(Table1[[#This Row],[5 cm2 cell test code]:[5 cm2 cell test code]],[1]!Table1[[Test code]:[Test code]],[1]!Table1[Ionic resistance 10 mM KOH/Ohm cm2],"",0)</f>
        <v>#REF!</v>
      </c>
      <c r="AI1339" s="69" t="e" cm="1">
        <f t="array" ref="AI1339">_xlfn.XLOOKUP(Table1[[#This Row],[5 cm2 cell test code]:[5 cm2 cell test code]],[1]!Table1[[Test code]:[Test code]],[1]!Table1[Q_int_frac DIW 10 mM KOH],"",0)</f>
        <v>#REF!</v>
      </c>
      <c r="AJ1339" s="69" t="e" cm="1">
        <f t="array" ref="AJ1339">_xlfn.XLOOKUP(Table1[[#This Row],[5 cm2 cell test code]:[5 cm2 cell test code]],[1]!Table1[[Test code]:[Test code]],[1]!Table1[DIW conductivity (µS/cm)],"",0)</f>
        <v>#REF!</v>
      </c>
    </row>
    <row r="1340" spans="1:36">
      <c r="A1340" s="81"/>
      <c r="U1340" s="101"/>
      <c r="V1340" s="101"/>
      <c r="W1340" s="69" t="e" cm="1">
        <f t="array" ref="W1340">_xlfn.XLOOKUP(Table1[[#This Row],[5 cm2 cell test code]:[5 cm2 cell test code]],[1]!Table1[[Test code]:[Test code]],[1]!Table1[i @ 1.8 V DIW (A/cm2)],"",0)</f>
        <v>#REF!</v>
      </c>
      <c r="X1340" s="69" t="e" cm="1">
        <f t="array" ref="X1340">_xlfn.XLOOKUP(Table1[[#This Row],[5 cm2 cell test code]:[5 cm2 cell test code]],[1]!Table1[[Test code]:[Test code]],[1]!Table1[i @ 1.8 V 10 mM KOH (A/cm2)],"",0)</f>
        <v>#REF!</v>
      </c>
      <c r="Y1340" s="69" t="e" cm="1">
        <f t="array" ref="Y1340">_xlfn.XLOOKUP(Table1[[#This Row],[5 cm2 cell test code]:[5 cm2 cell test code]],[1]!Table1[[Test code]:[Test code]],[1]!Table1[3-E ƞ at 20mAcm-2 (mV)],"",0)</f>
        <v>#REF!</v>
      </c>
      <c r="Z1340" s="69" t="e" cm="1">
        <f t="array" ref="Z1340">_xlfn.XLOOKUP(Table1[[#This Row],[5 cm2 cell test code]:[5 cm2 cell test code]],[1]!Table1[[Test code]:[Test code]],[1]!Table1[3-E Tafel slope (mV/dec)],"",0)</f>
        <v>#REF!</v>
      </c>
      <c r="AA1340" s="69" t="e" cm="1">
        <f t="array" ref="AA1340">_xlfn.XLOOKUP(Table1[[#This Row],[5 cm2 cell test code]:[5 cm2 cell test code]],[1]!Table1[[Test code]:[Test code]],[1]!Table1[E @ 100 mA/cm2 DIW/V],"",0)</f>
        <v>#REF!</v>
      </c>
      <c r="AB1340" s="69" t="e" cm="1">
        <f t="array" ref="AB1340">_xlfn.XLOOKUP(Table1[[#This Row],[5 cm2 cell test code]:[5 cm2 cell test code]],[1]!Table1[[Test code]:[Test code]],[1]!Table1[E @ 100 mA/cm2 10 mM KOH/V],"",0)</f>
        <v>#REF!</v>
      </c>
      <c r="AC1340" s="69" t="e" cm="1">
        <f t="array" ref="AC1340">_xlfn.XLOOKUP(Table1[[#This Row],[5 cm2 cell test code]:[5 cm2 cell test code]],[1]!Table1[[Test code]:[Test code]],[1]!Table1[Anode ICR/mOhm],"",0)</f>
        <v>#REF!</v>
      </c>
      <c r="AD1340" s="69" t="e" cm="1">
        <f t="array" ref="AD1340">_xlfn.XLOOKUP(Table1[[#This Row],[5 cm2 cell test code]:[5 cm2 cell test code]],[1]!Table1[[Test code]:[Test code]],[1]!Table1[HFR DIW/ mOhm cm2],"",0)</f>
        <v>#REF!</v>
      </c>
      <c r="AE1340" s="69" t="e" cm="1">
        <f t="array" ref="AE1340">_xlfn.XLOOKUP(Table1[[#This Row],[5 cm2 cell test code]:[5 cm2 cell test code]],[1]!Table1[[Test code]:[Test code]],[1]!Table1[HFR 10 mM KOH/ mOhm cm2],"",0)</f>
        <v>#REF!</v>
      </c>
      <c r="AF1340" s="69" t="e" cm="1">
        <f t="array" ref="AF1340">_xlfn.XLOOKUP(Table1[[#This Row],[5 cm2 cell test code]:[5 cm2 cell test code]],[1]!Table1[[Test code]:[Test code]],[1]!Table1[Ionic resistance DIW/Ohm cm2],"",0)</f>
        <v>#REF!</v>
      </c>
      <c r="AG1340" s="69" t="e" cm="1">
        <f t="array" ref="AG1340">_xlfn.XLOOKUP(Table1[[#This Row],[5 cm2 cell test code]:[5 cm2 cell test code]],[1]!Table1[[Test code]:[Test code]],[1]!Table1[Q_int_frac DIW],"",0)</f>
        <v>#REF!</v>
      </c>
      <c r="AH1340" s="69" t="e" cm="1">
        <f t="array" ref="AH1340">_xlfn.XLOOKUP(Table1[[#This Row],[5 cm2 cell test code]:[5 cm2 cell test code]],[1]!Table1[[Test code]:[Test code]],[1]!Table1[Ionic resistance 10 mM KOH/Ohm cm2],"",0)</f>
        <v>#REF!</v>
      </c>
      <c r="AI1340" s="69" t="e" cm="1">
        <f t="array" ref="AI1340">_xlfn.XLOOKUP(Table1[[#This Row],[5 cm2 cell test code]:[5 cm2 cell test code]],[1]!Table1[[Test code]:[Test code]],[1]!Table1[Q_int_frac DIW 10 mM KOH],"",0)</f>
        <v>#REF!</v>
      </c>
      <c r="AJ1340" s="69" t="e" cm="1">
        <f t="array" ref="AJ1340">_xlfn.XLOOKUP(Table1[[#This Row],[5 cm2 cell test code]:[5 cm2 cell test code]],[1]!Table1[[Test code]:[Test code]],[1]!Table1[DIW conductivity (µS/cm)],"",0)</f>
        <v>#REF!</v>
      </c>
    </row>
    <row r="1341" spans="1:36">
      <c r="A1341" s="81"/>
      <c r="U1341" s="101"/>
      <c r="V1341" s="101"/>
      <c r="W1341" s="69" t="e" cm="1">
        <f t="array" ref="W1341">_xlfn.XLOOKUP(Table1[[#This Row],[5 cm2 cell test code]:[5 cm2 cell test code]],[1]!Table1[[Test code]:[Test code]],[1]!Table1[i @ 1.8 V DIW (A/cm2)],"",0)</f>
        <v>#REF!</v>
      </c>
      <c r="X1341" s="69" t="e" cm="1">
        <f t="array" ref="X1341">_xlfn.XLOOKUP(Table1[[#This Row],[5 cm2 cell test code]:[5 cm2 cell test code]],[1]!Table1[[Test code]:[Test code]],[1]!Table1[i @ 1.8 V 10 mM KOH (A/cm2)],"",0)</f>
        <v>#REF!</v>
      </c>
      <c r="Y1341" s="69" t="e" cm="1">
        <f t="array" ref="Y1341">_xlfn.XLOOKUP(Table1[[#This Row],[5 cm2 cell test code]:[5 cm2 cell test code]],[1]!Table1[[Test code]:[Test code]],[1]!Table1[3-E ƞ at 20mAcm-2 (mV)],"",0)</f>
        <v>#REF!</v>
      </c>
      <c r="Z1341" s="69" t="e" cm="1">
        <f t="array" ref="Z1341">_xlfn.XLOOKUP(Table1[[#This Row],[5 cm2 cell test code]:[5 cm2 cell test code]],[1]!Table1[[Test code]:[Test code]],[1]!Table1[3-E Tafel slope (mV/dec)],"",0)</f>
        <v>#REF!</v>
      </c>
      <c r="AA1341" s="69" t="e" cm="1">
        <f t="array" ref="AA1341">_xlfn.XLOOKUP(Table1[[#This Row],[5 cm2 cell test code]:[5 cm2 cell test code]],[1]!Table1[[Test code]:[Test code]],[1]!Table1[E @ 100 mA/cm2 DIW/V],"",0)</f>
        <v>#REF!</v>
      </c>
      <c r="AB1341" s="69" t="e" cm="1">
        <f t="array" ref="AB1341">_xlfn.XLOOKUP(Table1[[#This Row],[5 cm2 cell test code]:[5 cm2 cell test code]],[1]!Table1[[Test code]:[Test code]],[1]!Table1[E @ 100 mA/cm2 10 mM KOH/V],"",0)</f>
        <v>#REF!</v>
      </c>
      <c r="AC1341" s="69" t="e" cm="1">
        <f t="array" ref="AC1341">_xlfn.XLOOKUP(Table1[[#This Row],[5 cm2 cell test code]:[5 cm2 cell test code]],[1]!Table1[[Test code]:[Test code]],[1]!Table1[Anode ICR/mOhm],"",0)</f>
        <v>#REF!</v>
      </c>
      <c r="AD1341" s="69" t="e" cm="1">
        <f t="array" ref="AD1341">_xlfn.XLOOKUP(Table1[[#This Row],[5 cm2 cell test code]:[5 cm2 cell test code]],[1]!Table1[[Test code]:[Test code]],[1]!Table1[HFR DIW/ mOhm cm2],"",0)</f>
        <v>#REF!</v>
      </c>
      <c r="AE1341" s="69" t="e" cm="1">
        <f t="array" ref="AE1341">_xlfn.XLOOKUP(Table1[[#This Row],[5 cm2 cell test code]:[5 cm2 cell test code]],[1]!Table1[[Test code]:[Test code]],[1]!Table1[HFR 10 mM KOH/ mOhm cm2],"",0)</f>
        <v>#REF!</v>
      </c>
      <c r="AF1341" s="69" t="e" cm="1">
        <f t="array" ref="AF1341">_xlfn.XLOOKUP(Table1[[#This Row],[5 cm2 cell test code]:[5 cm2 cell test code]],[1]!Table1[[Test code]:[Test code]],[1]!Table1[Ionic resistance DIW/Ohm cm2],"",0)</f>
        <v>#REF!</v>
      </c>
      <c r="AG1341" s="69" t="e" cm="1">
        <f t="array" ref="AG1341">_xlfn.XLOOKUP(Table1[[#This Row],[5 cm2 cell test code]:[5 cm2 cell test code]],[1]!Table1[[Test code]:[Test code]],[1]!Table1[Q_int_frac DIW],"",0)</f>
        <v>#REF!</v>
      </c>
      <c r="AH1341" s="69" t="e" cm="1">
        <f t="array" ref="AH1341">_xlfn.XLOOKUP(Table1[[#This Row],[5 cm2 cell test code]:[5 cm2 cell test code]],[1]!Table1[[Test code]:[Test code]],[1]!Table1[Ionic resistance 10 mM KOH/Ohm cm2],"",0)</f>
        <v>#REF!</v>
      </c>
      <c r="AI1341" s="69" t="e" cm="1">
        <f t="array" ref="AI1341">_xlfn.XLOOKUP(Table1[[#This Row],[5 cm2 cell test code]:[5 cm2 cell test code]],[1]!Table1[[Test code]:[Test code]],[1]!Table1[Q_int_frac DIW 10 mM KOH],"",0)</f>
        <v>#REF!</v>
      </c>
      <c r="AJ1341" s="69" t="e" cm="1">
        <f t="array" ref="AJ1341">_xlfn.XLOOKUP(Table1[[#This Row],[5 cm2 cell test code]:[5 cm2 cell test code]],[1]!Table1[[Test code]:[Test code]],[1]!Table1[DIW conductivity (µS/cm)],"",0)</f>
        <v>#REF!</v>
      </c>
    </row>
    <row r="1342" spans="1:36">
      <c r="A1342" s="81"/>
      <c r="U1342" s="101"/>
      <c r="V1342" s="101"/>
      <c r="W1342" s="69" t="e" cm="1">
        <f t="array" ref="W1342">_xlfn.XLOOKUP(Table1[[#This Row],[5 cm2 cell test code]:[5 cm2 cell test code]],[1]!Table1[[Test code]:[Test code]],[1]!Table1[i @ 1.8 V DIW (A/cm2)],"",0)</f>
        <v>#REF!</v>
      </c>
      <c r="X1342" s="69" t="e" cm="1">
        <f t="array" ref="X1342">_xlfn.XLOOKUP(Table1[[#This Row],[5 cm2 cell test code]:[5 cm2 cell test code]],[1]!Table1[[Test code]:[Test code]],[1]!Table1[i @ 1.8 V 10 mM KOH (A/cm2)],"",0)</f>
        <v>#REF!</v>
      </c>
      <c r="Y1342" s="69" t="e" cm="1">
        <f t="array" ref="Y1342">_xlfn.XLOOKUP(Table1[[#This Row],[5 cm2 cell test code]:[5 cm2 cell test code]],[1]!Table1[[Test code]:[Test code]],[1]!Table1[3-E ƞ at 20mAcm-2 (mV)],"",0)</f>
        <v>#REF!</v>
      </c>
      <c r="Z1342" s="69" t="e" cm="1">
        <f t="array" ref="Z1342">_xlfn.XLOOKUP(Table1[[#This Row],[5 cm2 cell test code]:[5 cm2 cell test code]],[1]!Table1[[Test code]:[Test code]],[1]!Table1[3-E Tafel slope (mV/dec)],"",0)</f>
        <v>#REF!</v>
      </c>
      <c r="AA1342" s="69" t="e" cm="1">
        <f t="array" ref="AA1342">_xlfn.XLOOKUP(Table1[[#This Row],[5 cm2 cell test code]:[5 cm2 cell test code]],[1]!Table1[[Test code]:[Test code]],[1]!Table1[E @ 100 mA/cm2 DIW/V],"",0)</f>
        <v>#REF!</v>
      </c>
      <c r="AB1342" s="69" t="e" cm="1">
        <f t="array" ref="AB1342">_xlfn.XLOOKUP(Table1[[#This Row],[5 cm2 cell test code]:[5 cm2 cell test code]],[1]!Table1[[Test code]:[Test code]],[1]!Table1[E @ 100 mA/cm2 10 mM KOH/V],"",0)</f>
        <v>#REF!</v>
      </c>
      <c r="AC1342" s="69" t="e" cm="1">
        <f t="array" ref="AC1342">_xlfn.XLOOKUP(Table1[[#This Row],[5 cm2 cell test code]:[5 cm2 cell test code]],[1]!Table1[[Test code]:[Test code]],[1]!Table1[Anode ICR/mOhm],"",0)</f>
        <v>#REF!</v>
      </c>
      <c r="AD1342" s="69" t="e" cm="1">
        <f t="array" ref="AD1342">_xlfn.XLOOKUP(Table1[[#This Row],[5 cm2 cell test code]:[5 cm2 cell test code]],[1]!Table1[[Test code]:[Test code]],[1]!Table1[HFR DIW/ mOhm cm2],"",0)</f>
        <v>#REF!</v>
      </c>
      <c r="AE1342" s="69" t="e" cm="1">
        <f t="array" ref="AE1342">_xlfn.XLOOKUP(Table1[[#This Row],[5 cm2 cell test code]:[5 cm2 cell test code]],[1]!Table1[[Test code]:[Test code]],[1]!Table1[HFR 10 mM KOH/ mOhm cm2],"",0)</f>
        <v>#REF!</v>
      </c>
      <c r="AF1342" s="69" t="e" cm="1">
        <f t="array" ref="AF1342">_xlfn.XLOOKUP(Table1[[#This Row],[5 cm2 cell test code]:[5 cm2 cell test code]],[1]!Table1[[Test code]:[Test code]],[1]!Table1[Ionic resistance DIW/Ohm cm2],"",0)</f>
        <v>#REF!</v>
      </c>
      <c r="AG1342" s="69" t="e" cm="1">
        <f t="array" ref="AG1342">_xlfn.XLOOKUP(Table1[[#This Row],[5 cm2 cell test code]:[5 cm2 cell test code]],[1]!Table1[[Test code]:[Test code]],[1]!Table1[Q_int_frac DIW],"",0)</f>
        <v>#REF!</v>
      </c>
      <c r="AH1342" s="69" t="e" cm="1">
        <f t="array" ref="AH1342">_xlfn.XLOOKUP(Table1[[#This Row],[5 cm2 cell test code]:[5 cm2 cell test code]],[1]!Table1[[Test code]:[Test code]],[1]!Table1[Ionic resistance 10 mM KOH/Ohm cm2],"",0)</f>
        <v>#REF!</v>
      </c>
      <c r="AI1342" s="69" t="e" cm="1">
        <f t="array" ref="AI1342">_xlfn.XLOOKUP(Table1[[#This Row],[5 cm2 cell test code]:[5 cm2 cell test code]],[1]!Table1[[Test code]:[Test code]],[1]!Table1[Q_int_frac DIW 10 mM KOH],"",0)</f>
        <v>#REF!</v>
      </c>
      <c r="AJ1342" s="69" t="e" cm="1">
        <f t="array" ref="AJ1342">_xlfn.XLOOKUP(Table1[[#This Row],[5 cm2 cell test code]:[5 cm2 cell test code]],[1]!Table1[[Test code]:[Test code]],[1]!Table1[DIW conductivity (µS/cm)],"",0)</f>
        <v>#REF!</v>
      </c>
    </row>
    <row r="1343" spans="1:36">
      <c r="A1343" s="81"/>
      <c r="U1343" s="101"/>
      <c r="V1343" s="101"/>
      <c r="W1343" s="69" t="e" cm="1">
        <f t="array" ref="W1343">_xlfn.XLOOKUP(Table1[[#This Row],[5 cm2 cell test code]:[5 cm2 cell test code]],[1]!Table1[[Test code]:[Test code]],[1]!Table1[i @ 1.8 V DIW (A/cm2)],"",0)</f>
        <v>#REF!</v>
      </c>
      <c r="X1343" s="69" t="e" cm="1">
        <f t="array" ref="X1343">_xlfn.XLOOKUP(Table1[[#This Row],[5 cm2 cell test code]:[5 cm2 cell test code]],[1]!Table1[[Test code]:[Test code]],[1]!Table1[i @ 1.8 V 10 mM KOH (A/cm2)],"",0)</f>
        <v>#REF!</v>
      </c>
      <c r="Y1343" s="69" t="e" cm="1">
        <f t="array" ref="Y1343">_xlfn.XLOOKUP(Table1[[#This Row],[5 cm2 cell test code]:[5 cm2 cell test code]],[1]!Table1[[Test code]:[Test code]],[1]!Table1[3-E ƞ at 20mAcm-2 (mV)],"",0)</f>
        <v>#REF!</v>
      </c>
      <c r="Z1343" s="69" t="e" cm="1">
        <f t="array" ref="Z1343">_xlfn.XLOOKUP(Table1[[#This Row],[5 cm2 cell test code]:[5 cm2 cell test code]],[1]!Table1[[Test code]:[Test code]],[1]!Table1[3-E Tafel slope (mV/dec)],"",0)</f>
        <v>#REF!</v>
      </c>
      <c r="AA1343" s="69" t="e" cm="1">
        <f t="array" ref="AA1343">_xlfn.XLOOKUP(Table1[[#This Row],[5 cm2 cell test code]:[5 cm2 cell test code]],[1]!Table1[[Test code]:[Test code]],[1]!Table1[E @ 100 mA/cm2 DIW/V],"",0)</f>
        <v>#REF!</v>
      </c>
      <c r="AB1343" s="69" t="e" cm="1">
        <f t="array" ref="AB1343">_xlfn.XLOOKUP(Table1[[#This Row],[5 cm2 cell test code]:[5 cm2 cell test code]],[1]!Table1[[Test code]:[Test code]],[1]!Table1[E @ 100 mA/cm2 10 mM KOH/V],"",0)</f>
        <v>#REF!</v>
      </c>
      <c r="AC1343" s="69" t="e" cm="1">
        <f t="array" ref="AC1343">_xlfn.XLOOKUP(Table1[[#This Row],[5 cm2 cell test code]:[5 cm2 cell test code]],[1]!Table1[[Test code]:[Test code]],[1]!Table1[Anode ICR/mOhm],"",0)</f>
        <v>#REF!</v>
      </c>
      <c r="AD1343" s="69" t="e" cm="1">
        <f t="array" ref="AD1343">_xlfn.XLOOKUP(Table1[[#This Row],[5 cm2 cell test code]:[5 cm2 cell test code]],[1]!Table1[[Test code]:[Test code]],[1]!Table1[HFR DIW/ mOhm cm2],"",0)</f>
        <v>#REF!</v>
      </c>
      <c r="AE1343" s="69" t="e" cm="1">
        <f t="array" ref="AE1343">_xlfn.XLOOKUP(Table1[[#This Row],[5 cm2 cell test code]:[5 cm2 cell test code]],[1]!Table1[[Test code]:[Test code]],[1]!Table1[HFR 10 mM KOH/ mOhm cm2],"",0)</f>
        <v>#REF!</v>
      </c>
      <c r="AF1343" s="69" t="e" cm="1">
        <f t="array" ref="AF1343">_xlfn.XLOOKUP(Table1[[#This Row],[5 cm2 cell test code]:[5 cm2 cell test code]],[1]!Table1[[Test code]:[Test code]],[1]!Table1[Ionic resistance DIW/Ohm cm2],"",0)</f>
        <v>#REF!</v>
      </c>
      <c r="AG1343" s="69" t="e" cm="1">
        <f t="array" ref="AG1343">_xlfn.XLOOKUP(Table1[[#This Row],[5 cm2 cell test code]:[5 cm2 cell test code]],[1]!Table1[[Test code]:[Test code]],[1]!Table1[Q_int_frac DIW],"",0)</f>
        <v>#REF!</v>
      </c>
      <c r="AH1343" s="69" t="e" cm="1">
        <f t="array" ref="AH1343">_xlfn.XLOOKUP(Table1[[#This Row],[5 cm2 cell test code]:[5 cm2 cell test code]],[1]!Table1[[Test code]:[Test code]],[1]!Table1[Ionic resistance 10 mM KOH/Ohm cm2],"",0)</f>
        <v>#REF!</v>
      </c>
      <c r="AI1343" s="69" t="e" cm="1">
        <f t="array" ref="AI1343">_xlfn.XLOOKUP(Table1[[#This Row],[5 cm2 cell test code]:[5 cm2 cell test code]],[1]!Table1[[Test code]:[Test code]],[1]!Table1[Q_int_frac DIW 10 mM KOH],"",0)</f>
        <v>#REF!</v>
      </c>
      <c r="AJ1343" s="69" t="e" cm="1">
        <f t="array" ref="AJ1343">_xlfn.XLOOKUP(Table1[[#This Row],[5 cm2 cell test code]:[5 cm2 cell test code]],[1]!Table1[[Test code]:[Test code]],[1]!Table1[DIW conductivity (µS/cm)],"",0)</f>
        <v>#REF!</v>
      </c>
    </row>
    <row r="1344" spans="1:36">
      <c r="A1344" s="81"/>
      <c r="U1344" s="101"/>
      <c r="V1344" s="101"/>
      <c r="W1344" s="69" t="e" cm="1">
        <f t="array" ref="W1344">_xlfn.XLOOKUP(Table1[[#This Row],[5 cm2 cell test code]:[5 cm2 cell test code]],[1]!Table1[[Test code]:[Test code]],[1]!Table1[i @ 1.8 V DIW (A/cm2)],"",0)</f>
        <v>#REF!</v>
      </c>
      <c r="X1344" s="69" t="e" cm="1">
        <f t="array" ref="X1344">_xlfn.XLOOKUP(Table1[[#This Row],[5 cm2 cell test code]:[5 cm2 cell test code]],[1]!Table1[[Test code]:[Test code]],[1]!Table1[i @ 1.8 V 10 mM KOH (A/cm2)],"",0)</f>
        <v>#REF!</v>
      </c>
      <c r="Y1344" s="69" t="e" cm="1">
        <f t="array" ref="Y1344">_xlfn.XLOOKUP(Table1[[#This Row],[5 cm2 cell test code]:[5 cm2 cell test code]],[1]!Table1[[Test code]:[Test code]],[1]!Table1[3-E ƞ at 20mAcm-2 (mV)],"",0)</f>
        <v>#REF!</v>
      </c>
      <c r="Z1344" s="69" t="e" cm="1">
        <f t="array" ref="Z1344">_xlfn.XLOOKUP(Table1[[#This Row],[5 cm2 cell test code]:[5 cm2 cell test code]],[1]!Table1[[Test code]:[Test code]],[1]!Table1[3-E Tafel slope (mV/dec)],"",0)</f>
        <v>#REF!</v>
      </c>
      <c r="AA1344" s="69" t="e" cm="1">
        <f t="array" ref="AA1344">_xlfn.XLOOKUP(Table1[[#This Row],[5 cm2 cell test code]:[5 cm2 cell test code]],[1]!Table1[[Test code]:[Test code]],[1]!Table1[E @ 100 mA/cm2 DIW/V],"",0)</f>
        <v>#REF!</v>
      </c>
      <c r="AB1344" s="69" t="e" cm="1">
        <f t="array" ref="AB1344">_xlfn.XLOOKUP(Table1[[#This Row],[5 cm2 cell test code]:[5 cm2 cell test code]],[1]!Table1[[Test code]:[Test code]],[1]!Table1[E @ 100 mA/cm2 10 mM KOH/V],"",0)</f>
        <v>#REF!</v>
      </c>
      <c r="AC1344" s="69" t="e" cm="1">
        <f t="array" ref="AC1344">_xlfn.XLOOKUP(Table1[[#This Row],[5 cm2 cell test code]:[5 cm2 cell test code]],[1]!Table1[[Test code]:[Test code]],[1]!Table1[Anode ICR/mOhm],"",0)</f>
        <v>#REF!</v>
      </c>
      <c r="AD1344" s="69" t="e" cm="1">
        <f t="array" ref="AD1344">_xlfn.XLOOKUP(Table1[[#This Row],[5 cm2 cell test code]:[5 cm2 cell test code]],[1]!Table1[[Test code]:[Test code]],[1]!Table1[HFR DIW/ mOhm cm2],"",0)</f>
        <v>#REF!</v>
      </c>
      <c r="AE1344" s="69" t="e" cm="1">
        <f t="array" ref="AE1344">_xlfn.XLOOKUP(Table1[[#This Row],[5 cm2 cell test code]:[5 cm2 cell test code]],[1]!Table1[[Test code]:[Test code]],[1]!Table1[HFR 10 mM KOH/ mOhm cm2],"",0)</f>
        <v>#REF!</v>
      </c>
      <c r="AF1344" s="69" t="e" cm="1">
        <f t="array" ref="AF1344">_xlfn.XLOOKUP(Table1[[#This Row],[5 cm2 cell test code]:[5 cm2 cell test code]],[1]!Table1[[Test code]:[Test code]],[1]!Table1[Ionic resistance DIW/Ohm cm2],"",0)</f>
        <v>#REF!</v>
      </c>
      <c r="AG1344" s="69" t="e" cm="1">
        <f t="array" ref="AG1344">_xlfn.XLOOKUP(Table1[[#This Row],[5 cm2 cell test code]:[5 cm2 cell test code]],[1]!Table1[[Test code]:[Test code]],[1]!Table1[Q_int_frac DIW],"",0)</f>
        <v>#REF!</v>
      </c>
      <c r="AH1344" s="69" t="e" cm="1">
        <f t="array" ref="AH1344">_xlfn.XLOOKUP(Table1[[#This Row],[5 cm2 cell test code]:[5 cm2 cell test code]],[1]!Table1[[Test code]:[Test code]],[1]!Table1[Ionic resistance 10 mM KOH/Ohm cm2],"",0)</f>
        <v>#REF!</v>
      </c>
      <c r="AI1344" s="69" t="e" cm="1">
        <f t="array" ref="AI1344">_xlfn.XLOOKUP(Table1[[#This Row],[5 cm2 cell test code]:[5 cm2 cell test code]],[1]!Table1[[Test code]:[Test code]],[1]!Table1[Q_int_frac DIW 10 mM KOH],"",0)</f>
        <v>#REF!</v>
      </c>
      <c r="AJ1344" s="69" t="e" cm="1">
        <f t="array" ref="AJ1344">_xlfn.XLOOKUP(Table1[[#This Row],[5 cm2 cell test code]:[5 cm2 cell test code]],[1]!Table1[[Test code]:[Test code]],[1]!Table1[DIW conductivity (µS/cm)],"",0)</f>
        <v>#REF!</v>
      </c>
    </row>
    <row r="1345" spans="1:36">
      <c r="A1345" s="81"/>
      <c r="U1345" s="101"/>
      <c r="V1345" s="101"/>
      <c r="W1345" s="69" t="e" cm="1">
        <f t="array" ref="W1345">_xlfn.XLOOKUP(Table1[[#This Row],[5 cm2 cell test code]:[5 cm2 cell test code]],[1]!Table1[[Test code]:[Test code]],[1]!Table1[i @ 1.8 V DIW (A/cm2)],"",0)</f>
        <v>#REF!</v>
      </c>
      <c r="X1345" s="69" t="e" cm="1">
        <f t="array" ref="X1345">_xlfn.XLOOKUP(Table1[[#This Row],[5 cm2 cell test code]:[5 cm2 cell test code]],[1]!Table1[[Test code]:[Test code]],[1]!Table1[i @ 1.8 V 10 mM KOH (A/cm2)],"",0)</f>
        <v>#REF!</v>
      </c>
      <c r="Y1345" s="69" t="e" cm="1">
        <f t="array" ref="Y1345">_xlfn.XLOOKUP(Table1[[#This Row],[5 cm2 cell test code]:[5 cm2 cell test code]],[1]!Table1[[Test code]:[Test code]],[1]!Table1[3-E ƞ at 20mAcm-2 (mV)],"",0)</f>
        <v>#REF!</v>
      </c>
      <c r="Z1345" s="69" t="e" cm="1">
        <f t="array" ref="Z1345">_xlfn.XLOOKUP(Table1[[#This Row],[5 cm2 cell test code]:[5 cm2 cell test code]],[1]!Table1[[Test code]:[Test code]],[1]!Table1[3-E Tafel slope (mV/dec)],"",0)</f>
        <v>#REF!</v>
      </c>
      <c r="AA1345" s="69" t="e" cm="1">
        <f t="array" ref="AA1345">_xlfn.XLOOKUP(Table1[[#This Row],[5 cm2 cell test code]:[5 cm2 cell test code]],[1]!Table1[[Test code]:[Test code]],[1]!Table1[E @ 100 mA/cm2 DIW/V],"",0)</f>
        <v>#REF!</v>
      </c>
      <c r="AB1345" s="69" t="e" cm="1">
        <f t="array" ref="AB1345">_xlfn.XLOOKUP(Table1[[#This Row],[5 cm2 cell test code]:[5 cm2 cell test code]],[1]!Table1[[Test code]:[Test code]],[1]!Table1[E @ 100 mA/cm2 10 mM KOH/V],"",0)</f>
        <v>#REF!</v>
      </c>
      <c r="AC1345" s="69" t="e" cm="1">
        <f t="array" ref="AC1345">_xlfn.XLOOKUP(Table1[[#This Row],[5 cm2 cell test code]:[5 cm2 cell test code]],[1]!Table1[[Test code]:[Test code]],[1]!Table1[Anode ICR/mOhm],"",0)</f>
        <v>#REF!</v>
      </c>
      <c r="AD1345" s="69" t="e" cm="1">
        <f t="array" ref="AD1345">_xlfn.XLOOKUP(Table1[[#This Row],[5 cm2 cell test code]:[5 cm2 cell test code]],[1]!Table1[[Test code]:[Test code]],[1]!Table1[HFR DIW/ mOhm cm2],"",0)</f>
        <v>#REF!</v>
      </c>
      <c r="AE1345" s="69" t="e" cm="1">
        <f t="array" ref="AE1345">_xlfn.XLOOKUP(Table1[[#This Row],[5 cm2 cell test code]:[5 cm2 cell test code]],[1]!Table1[[Test code]:[Test code]],[1]!Table1[HFR 10 mM KOH/ mOhm cm2],"",0)</f>
        <v>#REF!</v>
      </c>
      <c r="AF1345" s="69" t="e" cm="1">
        <f t="array" ref="AF1345">_xlfn.XLOOKUP(Table1[[#This Row],[5 cm2 cell test code]:[5 cm2 cell test code]],[1]!Table1[[Test code]:[Test code]],[1]!Table1[Ionic resistance DIW/Ohm cm2],"",0)</f>
        <v>#REF!</v>
      </c>
      <c r="AG1345" s="69" t="e" cm="1">
        <f t="array" ref="AG1345">_xlfn.XLOOKUP(Table1[[#This Row],[5 cm2 cell test code]:[5 cm2 cell test code]],[1]!Table1[[Test code]:[Test code]],[1]!Table1[Q_int_frac DIW],"",0)</f>
        <v>#REF!</v>
      </c>
      <c r="AH1345" s="69" t="e" cm="1">
        <f t="array" ref="AH1345">_xlfn.XLOOKUP(Table1[[#This Row],[5 cm2 cell test code]:[5 cm2 cell test code]],[1]!Table1[[Test code]:[Test code]],[1]!Table1[Ionic resistance 10 mM KOH/Ohm cm2],"",0)</f>
        <v>#REF!</v>
      </c>
      <c r="AI1345" s="69" t="e" cm="1">
        <f t="array" ref="AI1345">_xlfn.XLOOKUP(Table1[[#This Row],[5 cm2 cell test code]:[5 cm2 cell test code]],[1]!Table1[[Test code]:[Test code]],[1]!Table1[Q_int_frac DIW 10 mM KOH],"",0)</f>
        <v>#REF!</v>
      </c>
      <c r="AJ1345" s="69" t="e" cm="1">
        <f t="array" ref="AJ1345">_xlfn.XLOOKUP(Table1[[#This Row],[5 cm2 cell test code]:[5 cm2 cell test code]],[1]!Table1[[Test code]:[Test code]],[1]!Table1[DIW conductivity (µS/cm)],"",0)</f>
        <v>#REF!</v>
      </c>
    </row>
    <row r="1346" spans="1:36">
      <c r="A1346" s="81"/>
      <c r="U1346" s="101"/>
      <c r="V1346" s="101"/>
      <c r="W1346" s="69" t="e" cm="1">
        <f t="array" ref="W1346">_xlfn.XLOOKUP(Table1[[#This Row],[5 cm2 cell test code]:[5 cm2 cell test code]],[1]!Table1[[Test code]:[Test code]],[1]!Table1[i @ 1.8 V DIW (A/cm2)],"",0)</f>
        <v>#REF!</v>
      </c>
      <c r="X1346" s="69" t="e" cm="1">
        <f t="array" ref="X1346">_xlfn.XLOOKUP(Table1[[#This Row],[5 cm2 cell test code]:[5 cm2 cell test code]],[1]!Table1[[Test code]:[Test code]],[1]!Table1[i @ 1.8 V 10 mM KOH (A/cm2)],"",0)</f>
        <v>#REF!</v>
      </c>
      <c r="Y1346" s="69" t="e" cm="1">
        <f t="array" ref="Y1346">_xlfn.XLOOKUP(Table1[[#This Row],[5 cm2 cell test code]:[5 cm2 cell test code]],[1]!Table1[[Test code]:[Test code]],[1]!Table1[3-E ƞ at 20mAcm-2 (mV)],"",0)</f>
        <v>#REF!</v>
      </c>
      <c r="Z1346" s="69" t="e" cm="1">
        <f t="array" ref="Z1346">_xlfn.XLOOKUP(Table1[[#This Row],[5 cm2 cell test code]:[5 cm2 cell test code]],[1]!Table1[[Test code]:[Test code]],[1]!Table1[3-E Tafel slope (mV/dec)],"",0)</f>
        <v>#REF!</v>
      </c>
      <c r="AA1346" s="69" t="e" cm="1">
        <f t="array" ref="AA1346">_xlfn.XLOOKUP(Table1[[#This Row],[5 cm2 cell test code]:[5 cm2 cell test code]],[1]!Table1[[Test code]:[Test code]],[1]!Table1[E @ 100 mA/cm2 DIW/V],"",0)</f>
        <v>#REF!</v>
      </c>
      <c r="AB1346" s="69" t="e" cm="1">
        <f t="array" ref="AB1346">_xlfn.XLOOKUP(Table1[[#This Row],[5 cm2 cell test code]:[5 cm2 cell test code]],[1]!Table1[[Test code]:[Test code]],[1]!Table1[E @ 100 mA/cm2 10 mM KOH/V],"",0)</f>
        <v>#REF!</v>
      </c>
      <c r="AC1346" s="69" t="e" cm="1">
        <f t="array" ref="AC1346">_xlfn.XLOOKUP(Table1[[#This Row],[5 cm2 cell test code]:[5 cm2 cell test code]],[1]!Table1[[Test code]:[Test code]],[1]!Table1[Anode ICR/mOhm],"",0)</f>
        <v>#REF!</v>
      </c>
      <c r="AD1346" s="69" t="e" cm="1">
        <f t="array" ref="AD1346">_xlfn.XLOOKUP(Table1[[#This Row],[5 cm2 cell test code]:[5 cm2 cell test code]],[1]!Table1[[Test code]:[Test code]],[1]!Table1[HFR DIW/ mOhm cm2],"",0)</f>
        <v>#REF!</v>
      </c>
      <c r="AE1346" s="69" t="e" cm="1">
        <f t="array" ref="AE1346">_xlfn.XLOOKUP(Table1[[#This Row],[5 cm2 cell test code]:[5 cm2 cell test code]],[1]!Table1[[Test code]:[Test code]],[1]!Table1[HFR 10 mM KOH/ mOhm cm2],"",0)</f>
        <v>#REF!</v>
      </c>
      <c r="AF1346" s="69" t="e" cm="1">
        <f t="array" ref="AF1346">_xlfn.XLOOKUP(Table1[[#This Row],[5 cm2 cell test code]:[5 cm2 cell test code]],[1]!Table1[[Test code]:[Test code]],[1]!Table1[Ionic resistance DIW/Ohm cm2],"",0)</f>
        <v>#REF!</v>
      </c>
      <c r="AG1346" s="69" t="e" cm="1">
        <f t="array" ref="AG1346">_xlfn.XLOOKUP(Table1[[#This Row],[5 cm2 cell test code]:[5 cm2 cell test code]],[1]!Table1[[Test code]:[Test code]],[1]!Table1[Q_int_frac DIW],"",0)</f>
        <v>#REF!</v>
      </c>
      <c r="AH1346" s="69" t="e" cm="1">
        <f t="array" ref="AH1346">_xlfn.XLOOKUP(Table1[[#This Row],[5 cm2 cell test code]:[5 cm2 cell test code]],[1]!Table1[[Test code]:[Test code]],[1]!Table1[Ionic resistance 10 mM KOH/Ohm cm2],"",0)</f>
        <v>#REF!</v>
      </c>
      <c r="AI1346" s="69" t="e" cm="1">
        <f t="array" ref="AI1346">_xlfn.XLOOKUP(Table1[[#This Row],[5 cm2 cell test code]:[5 cm2 cell test code]],[1]!Table1[[Test code]:[Test code]],[1]!Table1[Q_int_frac DIW 10 mM KOH],"",0)</f>
        <v>#REF!</v>
      </c>
      <c r="AJ1346" s="69" t="e" cm="1">
        <f t="array" ref="AJ1346">_xlfn.XLOOKUP(Table1[[#This Row],[5 cm2 cell test code]:[5 cm2 cell test code]],[1]!Table1[[Test code]:[Test code]],[1]!Table1[DIW conductivity (µS/cm)],"",0)</f>
        <v>#REF!</v>
      </c>
    </row>
    <row r="1347" spans="1:36">
      <c r="A1347" s="81"/>
      <c r="U1347" s="101"/>
      <c r="V1347" s="101"/>
      <c r="W1347" s="69" t="e" cm="1">
        <f t="array" ref="W1347">_xlfn.XLOOKUP(Table1[[#This Row],[5 cm2 cell test code]:[5 cm2 cell test code]],[1]!Table1[[Test code]:[Test code]],[1]!Table1[i @ 1.8 V DIW (A/cm2)],"",0)</f>
        <v>#REF!</v>
      </c>
      <c r="X1347" s="69" t="e" cm="1">
        <f t="array" ref="X1347">_xlfn.XLOOKUP(Table1[[#This Row],[5 cm2 cell test code]:[5 cm2 cell test code]],[1]!Table1[[Test code]:[Test code]],[1]!Table1[i @ 1.8 V 10 mM KOH (A/cm2)],"",0)</f>
        <v>#REF!</v>
      </c>
      <c r="Y1347" s="69" t="e" cm="1">
        <f t="array" ref="Y1347">_xlfn.XLOOKUP(Table1[[#This Row],[5 cm2 cell test code]:[5 cm2 cell test code]],[1]!Table1[[Test code]:[Test code]],[1]!Table1[3-E ƞ at 20mAcm-2 (mV)],"",0)</f>
        <v>#REF!</v>
      </c>
      <c r="Z1347" s="69" t="e" cm="1">
        <f t="array" ref="Z1347">_xlfn.XLOOKUP(Table1[[#This Row],[5 cm2 cell test code]:[5 cm2 cell test code]],[1]!Table1[[Test code]:[Test code]],[1]!Table1[3-E Tafel slope (mV/dec)],"",0)</f>
        <v>#REF!</v>
      </c>
      <c r="AA1347" s="69" t="e" cm="1">
        <f t="array" ref="AA1347">_xlfn.XLOOKUP(Table1[[#This Row],[5 cm2 cell test code]:[5 cm2 cell test code]],[1]!Table1[[Test code]:[Test code]],[1]!Table1[E @ 100 mA/cm2 DIW/V],"",0)</f>
        <v>#REF!</v>
      </c>
      <c r="AB1347" s="69" t="e" cm="1">
        <f t="array" ref="AB1347">_xlfn.XLOOKUP(Table1[[#This Row],[5 cm2 cell test code]:[5 cm2 cell test code]],[1]!Table1[[Test code]:[Test code]],[1]!Table1[E @ 100 mA/cm2 10 mM KOH/V],"",0)</f>
        <v>#REF!</v>
      </c>
      <c r="AC1347" s="69" t="e" cm="1">
        <f t="array" ref="AC1347">_xlfn.XLOOKUP(Table1[[#This Row],[5 cm2 cell test code]:[5 cm2 cell test code]],[1]!Table1[[Test code]:[Test code]],[1]!Table1[Anode ICR/mOhm],"",0)</f>
        <v>#REF!</v>
      </c>
      <c r="AD1347" s="69" t="e" cm="1">
        <f t="array" ref="AD1347">_xlfn.XLOOKUP(Table1[[#This Row],[5 cm2 cell test code]:[5 cm2 cell test code]],[1]!Table1[[Test code]:[Test code]],[1]!Table1[HFR DIW/ mOhm cm2],"",0)</f>
        <v>#REF!</v>
      </c>
      <c r="AE1347" s="69" t="e" cm="1">
        <f t="array" ref="AE1347">_xlfn.XLOOKUP(Table1[[#This Row],[5 cm2 cell test code]:[5 cm2 cell test code]],[1]!Table1[[Test code]:[Test code]],[1]!Table1[HFR 10 mM KOH/ mOhm cm2],"",0)</f>
        <v>#REF!</v>
      </c>
      <c r="AF1347" s="69" t="e" cm="1">
        <f t="array" ref="AF1347">_xlfn.XLOOKUP(Table1[[#This Row],[5 cm2 cell test code]:[5 cm2 cell test code]],[1]!Table1[[Test code]:[Test code]],[1]!Table1[Ionic resistance DIW/Ohm cm2],"",0)</f>
        <v>#REF!</v>
      </c>
      <c r="AG1347" s="69" t="e" cm="1">
        <f t="array" ref="AG1347">_xlfn.XLOOKUP(Table1[[#This Row],[5 cm2 cell test code]:[5 cm2 cell test code]],[1]!Table1[[Test code]:[Test code]],[1]!Table1[Q_int_frac DIW],"",0)</f>
        <v>#REF!</v>
      </c>
      <c r="AH1347" s="69" t="e" cm="1">
        <f t="array" ref="AH1347">_xlfn.XLOOKUP(Table1[[#This Row],[5 cm2 cell test code]:[5 cm2 cell test code]],[1]!Table1[[Test code]:[Test code]],[1]!Table1[Ionic resistance 10 mM KOH/Ohm cm2],"",0)</f>
        <v>#REF!</v>
      </c>
      <c r="AI1347" s="69" t="e" cm="1">
        <f t="array" ref="AI1347">_xlfn.XLOOKUP(Table1[[#This Row],[5 cm2 cell test code]:[5 cm2 cell test code]],[1]!Table1[[Test code]:[Test code]],[1]!Table1[Q_int_frac DIW 10 mM KOH],"",0)</f>
        <v>#REF!</v>
      </c>
      <c r="AJ1347" s="69" t="e" cm="1">
        <f t="array" ref="AJ1347">_xlfn.XLOOKUP(Table1[[#This Row],[5 cm2 cell test code]:[5 cm2 cell test code]],[1]!Table1[[Test code]:[Test code]],[1]!Table1[DIW conductivity (µS/cm)],"",0)</f>
        <v>#REF!</v>
      </c>
    </row>
    <row r="1348" spans="1:36">
      <c r="A1348" s="81"/>
      <c r="U1348" s="101"/>
      <c r="V1348" s="101"/>
      <c r="W1348" s="69" t="e" cm="1">
        <f t="array" ref="W1348">_xlfn.XLOOKUP(Table1[[#This Row],[5 cm2 cell test code]:[5 cm2 cell test code]],[1]!Table1[[Test code]:[Test code]],[1]!Table1[i @ 1.8 V DIW (A/cm2)],"",0)</f>
        <v>#REF!</v>
      </c>
      <c r="X1348" s="69" t="e" cm="1">
        <f t="array" ref="X1348">_xlfn.XLOOKUP(Table1[[#This Row],[5 cm2 cell test code]:[5 cm2 cell test code]],[1]!Table1[[Test code]:[Test code]],[1]!Table1[i @ 1.8 V 10 mM KOH (A/cm2)],"",0)</f>
        <v>#REF!</v>
      </c>
      <c r="Y1348" s="69" t="e" cm="1">
        <f t="array" ref="Y1348">_xlfn.XLOOKUP(Table1[[#This Row],[5 cm2 cell test code]:[5 cm2 cell test code]],[1]!Table1[[Test code]:[Test code]],[1]!Table1[3-E ƞ at 20mAcm-2 (mV)],"",0)</f>
        <v>#REF!</v>
      </c>
      <c r="Z1348" s="69" t="e" cm="1">
        <f t="array" ref="Z1348">_xlfn.XLOOKUP(Table1[[#This Row],[5 cm2 cell test code]:[5 cm2 cell test code]],[1]!Table1[[Test code]:[Test code]],[1]!Table1[3-E Tafel slope (mV/dec)],"",0)</f>
        <v>#REF!</v>
      </c>
      <c r="AA1348" s="69" t="e" cm="1">
        <f t="array" ref="AA1348">_xlfn.XLOOKUP(Table1[[#This Row],[5 cm2 cell test code]:[5 cm2 cell test code]],[1]!Table1[[Test code]:[Test code]],[1]!Table1[E @ 100 mA/cm2 DIW/V],"",0)</f>
        <v>#REF!</v>
      </c>
      <c r="AB1348" s="69" t="e" cm="1">
        <f t="array" ref="AB1348">_xlfn.XLOOKUP(Table1[[#This Row],[5 cm2 cell test code]:[5 cm2 cell test code]],[1]!Table1[[Test code]:[Test code]],[1]!Table1[E @ 100 mA/cm2 10 mM KOH/V],"",0)</f>
        <v>#REF!</v>
      </c>
      <c r="AC1348" s="69" t="e" cm="1">
        <f t="array" ref="AC1348">_xlfn.XLOOKUP(Table1[[#This Row],[5 cm2 cell test code]:[5 cm2 cell test code]],[1]!Table1[[Test code]:[Test code]],[1]!Table1[Anode ICR/mOhm],"",0)</f>
        <v>#REF!</v>
      </c>
      <c r="AD1348" s="69" t="e" cm="1">
        <f t="array" ref="AD1348">_xlfn.XLOOKUP(Table1[[#This Row],[5 cm2 cell test code]:[5 cm2 cell test code]],[1]!Table1[[Test code]:[Test code]],[1]!Table1[HFR DIW/ mOhm cm2],"",0)</f>
        <v>#REF!</v>
      </c>
      <c r="AE1348" s="69" t="e" cm="1">
        <f t="array" ref="AE1348">_xlfn.XLOOKUP(Table1[[#This Row],[5 cm2 cell test code]:[5 cm2 cell test code]],[1]!Table1[[Test code]:[Test code]],[1]!Table1[HFR 10 mM KOH/ mOhm cm2],"",0)</f>
        <v>#REF!</v>
      </c>
      <c r="AF1348" s="69" t="e" cm="1">
        <f t="array" ref="AF1348">_xlfn.XLOOKUP(Table1[[#This Row],[5 cm2 cell test code]:[5 cm2 cell test code]],[1]!Table1[[Test code]:[Test code]],[1]!Table1[Ionic resistance DIW/Ohm cm2],"",0)</f>
        <v>#REF!</v>
      </c>
      <c r="AG1348" s="69" t="e" cm="1">
        <f t="array" ref="AG1348">_xlfn.XLOOKUP(Table1[[#This Row],[5 cm2 cell test code]:[5 cm2 cell test code]],[1]!Table1[[Test code]:[Test code]],[1]!Table1[Q_int_frac DIW],"",0)</f>
        <v>#REF!</v>
      </c>
      <c r="AH1348" s="69" t="e" cm="1">
        <f t="array" ref="AH1348">_xlfn.XLOOKUP(Table1[[#This Row],[5 cm2 cell test code]:[5 cm2 cell test code]],[1]!Table1[[Test code]:[Test code]],[1]!Table1[Ionic resistance 10 mM KOH/Ohm cm2],"",0)</f>
        <v>#REF!</v>
      </c>
      <c r="AI1348" s="69" t="e" cm="1">
        <f t="array" ref="AI1348">_xlfn.XLOOKUP(Table1[[#This Row],[5 cm2 cell test code]:[5 cm2 cell test code]],[1]!Table1[[Test code]:[Test code]],[1]!Table1[Q_int_frac DIW 10 mM KOH],"",0)</f>
        <v>#REF!</v>
      </c>
      <c r="AJ1348" s="69" t="e" cm="1">
        <f t="array" ref="AJ1348">_xlfn.XLOOKUP(Table1[[#This Row],[5 cm2 cell test code]:[5 cm2 cell test code]],[1]!Table1[[Test code]:[Test code]],[1]!Table1[DIW conductivity (µS/cm)],"",0)</f>
        <v>#REF!</v>
      </c>
    </row>
    <row r="1349" spans="1:36">
      <c r="A1349" s="81"/>
      <c r="U1349" s="101"/>
      <c r="V1349" s="101"/>
      <c r="W1349" s="69" t="e" cm="1">
        <f t="array" ref="W1349">_xlfn.XLOOKUP(Table1[[#This Row],[5 cm2 cell test code]:[5 cm2 cell test code]],[1]!Table1[[Test code]:[Test code]],[1]!Table1[i @ 1.8 V DIW (A/cm2)],"",0)</f>
        <v>#REF!</v>
      </c>
      <c r="X1349" s="69" t="e" cm="1">
        <f t="array" ref="X1349">_xlfn.XLOOKUP(Table1[[#This Row],[5 cm2 cell test code]:[5 cm2 cell test code]],[1]!Table1[[Test code]:[Test code]],[1]!Table1[i @ 1.8 V 10 mM KOH (A/cm2)],"",0)</f>
        <v>#REF!</v>
      </c>
      <c r="Y1349" s="69" t="e" cm="1">
        <f t="array" ref="Y1349">_xlfn.XLOOKUP(Table1[[#This Row],[5 cm2 cell test code]:[5 cm2 cell test code]],[1]!Table1[[Test code]:[Test code]],[1]!Table1[3-E ƞ at 20mAcm-2 (mV)],"",0)</f>
        <v>#REF!</v>
      </c>
      <c r="Z1349" s="69" t="e" cm="1">
        <f t="array" ref="Z1349">_xlfn.XLOOKUP(Table1[[#This Row],[5 cm2 cell test code]:[5 cm2 cell test code]],[1]!Table1[[Test code]:[Test code]],[1]!Table1[3-E Tafel slope (mV/dec)],"",0)</f>
        <v>#REF!</v>
      </c>
      <c r="AA1349" s="69" t="e" cm="1">
        <f t="array" ref="AA1349">_xlfn.XLOOKUP(Table1[[#This Row],[5 cm2 cell test code]:[5 cm2 cell test code]],[1]!Table1[[Test code]:[Test code]],[1]!Table1[E @ 100 mA/cm2 DIW/V],"",0)</f>
        <v>#REF!</v>
      </c>
      <c r="AB1349" s="69" t="e" cm="1">
        <f t="array" ref="AB1349">_xlfn.XLOOKUP(Table1[[#This Row],[5 cm2 cell test code]:[5 cm2 cell test code]],[1]!Table1[[Test code]:[Test code]],[1]!Table1[E @ 100 mA/cm2 10 mM KOH/V],"",0)</f>
        <v>#REF!</v>
      </c>
      <c r="AC1349" s="69" t="e" cm="1">
        <f t="array" ref="AC1349">_xlfn.XLOOKUP(Table1[[#This Row],[5 cm2 cell test code]:[5 cm2 cell test code]],[1]!Table1[[Test code]:[Test code]],[1]!Table1[Anode ICR/mOhm],"",0)</f>
        <v>#REF!</v>
      </c>
      <c r="AD1349" s="69" t="e" cm="1">
        <f t="array" ref="AD1349">_xlfn.XLOOKUP(Table1[[#This Row],[5 cm2 cell test code]:[5 cm2 cell test code]],[1]!Table1[[Test code]:[Test code]],[1]!Table1[HFR DIW/ mOhm cm2],"",0)</f>
        <v>#REF!</v>
      </c>
      <c r="AE1349" s="69" t="e" cm="1">
        <f t="array" ref="AE1349">_xlfn.XLOOKUP(Table1[[#This Row],[5 cm2 cell test code]:[5 cm2 cell test code]],[1]!Table1[[Test code]:[Test code]],[1]!Table1[HFR 10 mM KOH/ mOhm cm2],"",0)</f>
        <v>#REF!</v>
      </c>
      <c r="AF1349" s="69" t="e" cm="1">
        <f t="array" ref="AF1349">_xlfn.XLOOKUP(Table1[[#This Row],[5 cm2 cell test code]:[5 cm2 cell test code]],[1]!Table1[[Test code]:[Test code]],[1]!Table1[Ionic resistance DIW/Ohm cm2],"",0)</f>
        <v>#REF!</v>
      </c>
      <c r="AG1349" s="69" t="e" cm="1">
        <f t="array" ref="AG1349">_xlfn.XLOOKUP(Table1[[#This Row],[5 cm2 cell test code]:[5 cm2 cell test code]],[1]!Table1[[Test code]:[Test code]],[1]!Table1[Q_int_frac DIW],"",0)</f>
        <v>#REF!</v>
      </c>
      <c r="AH1349" s="69" t="e" cm="1">
        <f t="array" ref="AH1349">_xlfn.XLOOKUP(Table1[[#This Row],[5 cm2 cell test code]:[5 cm2 cell test code]],[1]!Table1[[Test code]:[Test code]],[1]!Table1[Ionic resistance 10 mM KOH/Ohm cm2],"",0)</f>
        <v>#REF!</v>
      </c>
      <c r="AI1349" s="69" t="e" cm="1">
        <f t="array" ref="AI1349">_xlfn.XLOOKUP(Table1[[#This Row],[5 cm2 cell test code]:[5 cm2 cell test code]],[1]!Table1[[Test code]:[Test code]],[1]!Table1[Q_int_frac DIW 10 mM KOH],"",0)</f>
        <v>#REF!</v>
      </c>
      <c r="AJ1349" s="69" t="e" cm="1">
        <f t="array" ref="AJ1349">_xlfn.XLOOKUP(Table1[[#This Row],[5 cm2 cell test code]:[5 cm2 cell test code]],[1]!Table1[[Test code]:[Test code]],[1]!Table1[DIW conductivity (µS/cm)],"",0)</f>
        <v>#REF!</v>
      </c>
    </row>
    <row r="1350" spans="1:36">
      <c r="A1350" s="81"/>
      <c r="U1350" s="101"/>
      <c r="V1350" s="101"/>
      <c r="W1350" s="69" t="e" cm="1">
        <f t="array" ref="W1350">_xlfn.XLOOKUP(Table1[[#This Row],[5 cm2 cell test code]:[5 cm2 cell test code]],[1]!Table1[[Test code]:[Test code]],[1]!Table1[i @ 1.8 V DIW (A/cm2)],"",0)</f>
        <v>#REF!</v>
      </c>
      <c r="X1350" s="69" t="e" cm="1">
        <f t="array" ref="X1350">_xlfn.XLOOKUP(Table1[[#This Row],[5 cm2 cell test code]:[5 cm2 cell test code]],[1]!Table1[[Test code]:[Test code]],[1]!Table1[i @ 1.8 V 10 mM KOH (A/cm2)],"",0)</f>
        <v>#REF!</v>
      </c>
      <c r="Y1350" s="69" t="e" cm="1">
        <f t="array" ref="Y1350">_xlfn.XLOOKUP(Table1[[#This Row],[5 cm2 cell test code]:[5 cm2 cell test code]],[1]!Table1[[Test code]:[Test code]],[1]!Table1[3-E ƞ at 20mAcm-2 (mV)],"",0)</f>
        <v>#REF!</v>
      </c>
      <c r="Z1350" s="69" t="e" cm="1">
        <f t="array" ref="Z1350">_xlfn.XLOOKUP(Table1[[#This Row],[5 cm2 cell test code]:[5 cm2 cell test code]],[1]!Table1[[Test code]:[Test code]],[1]!Table1[3-E Tafel slope (mV/dec)],"",0)</f>
        <v>#REF!</v>
      </c>
      <c r="AA1350" s="69" t="e" cm="1">
        <f t="array" ref="AA1350">_xlfn.XLOOKUP(Table1[[#This Row],[5 cm2 cell test code]:[5 cm2 cell test code]],[1]!Table1[[Test code]:[Test code]],[1]!Table1[E @ 100 mA/cm2 DIW/V],"",0)</f>
        <v>#REF!</v>
      </c>
      <c r="AB1350" s="69" t="e" cm="1">
        <f t="array" ref="AB1350">_xlfn.XLOOKUP(Table1[[#This Row],[5 cm2 cell test code]:[5 cm2 cell test code]],[1]!Table1[[Test code]:[Test code]],[1]!Table1[E @ 100 mA/cm2 10 mM KOH/V],"",0)</f>
        <v>#REF!</v>
      </c>
      <c r="AC1350" s="69" t="e" cm="1">
        <f t="array" ref="AC1350">_xlfn.XLOOKUP(Table1[[#This Row],[5 cm2 cell test code]:[5 cm2 cell test code]],[1]!Table1[[Test code]:[Test code]],[1]!Table1[Anode ICR/mOhm],"",0)</f>
        <v>#REF!</v>
      </c>
      <c r="AD1350" s="69" t="e" cm="1">
        <f t="array" ref="AD1350">_xlfn.XLOOKUP(Table1[[#This Row],[5 cm2 cell test code]:[5 cm2 cell test code]],[1]!Table1[[Test code]:[Test code]],[1]!Table1[HFR DIW/ mOhm cm2],"",0)</f>
        <v>#REF!</v>
      </c>
      <c r="AE1350" s="69" t="e" cm="1">
        <f t="array" ref="AE1350">_xlfn.XLOOKUP(Table1[[#This Row],[5 cm2 cell test code]:[5 cm2 cell test code]],[1]!Table1[[Test code]:[Test code]],[1]!Table1[HFR 10 mM KOH/ mOhm cm2],"",0)</f>
        <v>#REF!</v>
      </c>
      <c r="AF1350" s="69" t="e" cm="1">
        <f t="array" ref="AF1350">_xlfn.XLOOKUP(Table1[[#This Row],[5 cm2 cell test code]:[5 cm2 cell test code]],[1]!Table1[[Test code]:[Test code]],[1]!Table1[Ionic resistance DIW/Ohm cm2],"",0)</f>
        <v>#REF!</v>
      </c>
      <c r="AG1350" s="69" t="e" cm="1">
        <f t="array" ref="AG1350">_xlfn.XLOOKUP(Table1[[#This Row],[5 cm2 cell test code]:[5 cm2 cell test code]],[1]!Table1[[Test code]:[Test code]],[1]!Table1[Q_int_frac DIW],"",0)</f>
        <v>#REF!</v>
      </c>
      <c r="AH1350" s="69" t="e" cm="1">
        <f t="array" ref="AH1350">_xlfn.XLOOKUP(Table1[[#This Row],[5 cm2 cell test code]:[5 cm2 cell test code]],[1]!Table1[[Test code]:[Test code]],[1]!Table1[Ionic resistance 10 mM KOH/Ohm cm2],"",0)</f>
        <v>#REF!</v>
      </c>
      <c r="AI1350" s="69" t="e" cm="1">
        <f t="array" ref="AI1350">_xlfn.XLOOKUP(Table1[[#This Row],[5 cm2 cell test code]:[5 cm2 cell test code]],[1]!Table1[[Test code]:[Test code]],[1]!Table1[Q_int_frac DIW 10 mM KOH],"",0)</f>
        <v>#REF!</v>
      </c>
      <c r="AJ1350" s="69" t="e" cm="1">
        <f t="array" ref="AJ1350">_xlfn.XLOOKUP(Table1[[#This Row],[5 cm2 cell test code]:[5 cm2 cell test code]],[1]!Table1[[Test code]:[Test code]],[1]!Table1[DIW conductivity (µS/cm)],"",0)</f>
        <v>#REF!</v>
      </c>
    </row>
    <row r="1351" spans="1:36">
      <c r="A1351" s="81"/>
      <c r="U1351" s="101"/>
      <c r="V1351" s="101"/>
      <c r="W1351" s="69" t="e" cm="1">
        <f t="array" ref="W1351">_xlfn.XLOOKUP(Table1[[#This Row],[5 cm2 cell test code]:[5 cm2 cell test code]],[1]!Table1[[Test code]:[Test code]],[1]!Table1[i @ 1.8 V DIW (A/cm2)],"",0)</f>
        <v>#REF!</v>
      </c>
      <c r="X1351" s="69" t="e" cm="1">
        <f t="array" ref="X1351">_xlfn.XLOOKUP(Table1[[#This Row],[5 cm2 cell test code]:[5 cm2 cell test code]],[1]!Table1[[Test code]:[Test code]],[1]!Table1[i @ 1.8 V 10 mM KOH (A/cm2)],"",0)</f>
        <v>#REF!</v>
      </c>
      <c r="Y1351" s="69" t="e" cm="1">
        <f t="array" ref="Y1351">_xlfn.XLOOKUP(Table1[[#This Row],[5 cm2 cell test code]:[5 cm2 cell test code]],[1]!Table1[[Test code]:[Test code]],[1]!Table1[3-E ƞ at 20mAcm-2 (mV)],"",0)</f>
        <v>#REF!</v>
      </c>
      <c r="Z1351" s="69" t="e" cm="1">
        <f t="array" ref="Z1351">_xlfn.XLOOKUP(Table1[[#This Row],[5 cm2 cell test code]:[5 cm2 cell test code]],[1]!Table1[[Test code]:[Test code]],[1]!Table1[3-E Tafel slope (mV/dec)],"",0)</f>
        <v>#REF!</v>
      </c>
      <c r="AA1351" s="69" t="e" cm="1">
        <f t="array" ref="AA1351">_xlfn.XLOOKUP(Table1[[#This Row],[5 cm2 cell test code]:[5 cm2 cell test code]],[1]!Table1[[Test code]:[Test code]],[1]!Table1[E @ 100 mA/cm2 DIW/V],"",0)</f>
        <v>#REF!</v>
      </c>
      <c r="AB1351" s="69" t="e" cm="1">
        <f t="array" ref="AB1351">_xlfn.XLOOKUP(Table1[[#This Row],[5 cm2 cell test code]:[5 cm2 cell test code]],[1]!Table1[[Test code]:[Test code]],[1]!Table1[E @ 100 mA/cm2 10 mM KOH/V],"",0)</f>
        <v>#REF!</v>
      </c>
      <c r="AC1351" s="69" t="e" cm="1">
        <f t="array" ref="AC1351">_xlfn.XLOOKUP(Table1[[#This Row],[5 cm2 cell test code]:[5 cm2 cell test code]],[1]!Table1[[Test code]:[Test code]],[1]!Table1[Anode ICR/mOhm],"",0)</f>
        <v>#REF!</v>
      </c>
      <c r="AD1351" s="69" t="e" cm="1">
        <f t="array" ref="AD1351">_xlfn.XLOOKUP(Table1[[#This Row],[5 cm2 cell test code]:[5 cm2 cell test code]],[1]!Table1[[Test code]:[Test code]],[1]!Table1[HFR DIW/ mOhm cm2],"",0)</f>
        <v>#REF!</v>
      </c>
      <c r="AE1351" s="69" t="e" cm="1">
        <f t="array" ref="AE1351">_xlfn.XLOOKUP(Table1[[#This Row],[5 cm2 cell test code]:[5 cm2 cell test code]],[1]!Table1[[Test code]:[Test code]],[1]!Table1[HFR 10 mM KOH/ mOhm cm2],"",0)</f>
        <v>#REF!</v>
      </c>
      <c r="AF1351" s="69" t="e" cm="1">
        <f t="array" ref="AF1351">_xlfn.XLOOKUP(Table1[[#This Row],[5 cm2 cell test code]:[5 cm2 cell test code]],[1]!Table1[[Test code]:[Test code]],[1]!Table1[Ionic resistance DIW/Ohm cm2],"",0)</f>
        <v>#REF!</v>
      </c>
      <c r="AG1351" s="69" t="e" cm="1">
        <f t="array" ref="AG1351">_xlfn.XLOOKUP(Table1[[#This Row],[5 cm2 cell test code]:[5 cm2 cell test code]],[1]!Table1[[Test code]:[Test code]],[1]!Table1[Q_int_frac DIW],"",0)</f>
        <v>#REF!</v>
      </c>
      <c r="AH1351" s="69" t="e" cm="1">
        <f t="array" ref="AH1351">_xlfn.XLOOKUP(Table1[[#This Row],[5 cm2 cell test code]:[5 cm2 cell test code]],[1]!Table1[[Test code]:[Test code]],[1]!Table1[Ionic resistance 10 mM KOH/Ohm cm2],"",0)</f>
        <v>#REF!</v>
      </c>
      <c r="AI1351" s="69" t="e" cm="1">
        <f t="array" ref="AI1351">_xlfn.XLOOKUP(Table1[[#This Row],[5 cm2 cell test code]:[5 cm2 cell test code]],[1]!Table1[[Test code]:[Test code]],[1]!Table1[Q_int_frac DIW 10 mM KOH],"",0)</f>
        <v>#REF!</v>
      </c>
      <c r="AJ1351" s="69" t="e" cm="1">
        <f t="array" ref="AJ1351">_xlfn.XLOOKUP(Table1[[#This Row],[5 cm2 cell test code]:[5 cm2 cell test code]],[1]!Table1[[Test code]:[Test code]],[1]!Table1[DIW conductivity (µS/cm)],"",0)</f>
        <v>#REF!</v>
      </c>
    </row>
    <row r="1352" spans="1:36">
      <c r="A1352" s="81"/>
      <c r="U1352" s="101"/>
      <c r="V1352" s="101"/>
      <c r="W1352" s="69" t="e" cm="1">
        <f t="array" ref="W1352">_xlfn.XLOOKUP(Table1[[#This Row],[5 cm2 cell test code]:[5 cm2 cell test code]],[1]!Table1[[Test code]:[Test code]],[1]!Table1[i @ 1.8 V DIW (A/cm2)],"",0)</f>
        <v>#REF!</v>
      </c>
      <c r="X1352" s="69" t="e" cm="1">
        <f t="array" ref="X1352">_xlfn.XLOOKUP(Table1[[#This Row],[5 cm2 cell test code]:[5 cm2 cell test code]],[1]!Table1[[Test code]:[Test code]],[1]!Table1[i @ 1.8 V 10 mM KOH (A/cm2)],"",0)</f>
        <v>#REF!</v>
      </c>
      <c r="Y1352" s="69" t="e" cm="1">
        <f t="array" ref="Y1352">_xlfn.XLOOKUP(Table1[[#This Row],[5 cm2 cell test code]:[5 cm2 cell test code]],[1]!Table1[[Test code]:[Test code]],[1]!Table1[3-E ƞ at 20mAcm-2 (mV)],"",0)</f>
        <v>#REF!</v>
      </c>
      <c r="Z1352" s="69" t="e" cm="1">
        <f t="array" ref="Z1352">_xlfn.XLOOKUP(Table1[[#This Row],[5 cm2 cell test code]:[5 cm2 cell test code]],[1]!Table1[[Test code]:[Test code]],[1]!Table1[3-E Tafel slope (mV/dec)],"",0)</f>
        <v>#REF!</v>
      </c>
      <c r="AA1352" s="69" t="e" cm="1">
        <f t="array" ref="AA1352">_xlfn.XLOOKUP(Table1[[#This Row],[5 cm2 cell test code]:[5 cm2 cell test code]],[1]!Table1[[Test code]:[Test code]],[1]!Table1[E @ 100 mA/cm2 DIW/V],"",0)</f>
        <v>#REF!</v>
      </c>
      <c r="AB1352" s="69" t="e" cm="1">
        <f t="array" ref="AB1352">_xlfn.XLOOKUP(Table1[[#This Row],[5 cm2 cell test code]:[5 cm2 cell test code]],[1]!Table1[[Test code]:[Test code]],[1]!Table1[E @ 100 mA/cm2 10 mM KOH/V],"",0)</f>
        <v>#REF!</v>
      </c>
      <c r="AC1352" s="69" t="e" cm="1">
        <f t="array" ref="AC1352">_xlfn.XLOOKUP(Table1[[#This Row],[5 cm2 cell test code]:[5 cm2 cell test code]],[1]!Table1[[Test code]:[Test code]],[1]!Table1[Anode ICR/mOhm],"",0)</f>
        <v>#REF!</v>
      </c>
      <c r="AD1352" s="69" t="e" cm="1">
        <f t="array" ref="AD1352">_xlfn.XLOOKUP(Table1[[#This Row],[5 cm2 cell test code]:[5 cm2 cell test code]],[1]!Table1[[Test code]:[Test code]],[1]!Table1[HFR DIW/ mOhm cm2],"",0)</f>
        <v>#REF!</v>
      </c>
      <c r="AE1352" s="69" t="e" cm="1">
        <f t="array" ref="AE1352">_xlfn.XLOOKUP(Table1[[#This Row],[5 cm2 cell test code]:[5 cm2 cell test code]],[1]!Table1[[Test code]:[Test code]],[1]!Table1[HFR 10 mM KOH/ mOhm cm2],"",0)</f>
        <v>#REF!</v>
      </c>
      <c r="AF1352" s="69" t="e" cm="1">
        <f t="array" ref="AF1352">_xlfn.XLOOKUP(Table1[[#This Row],[5 cm2 cell test code]:[5 cm2 cell test code]],[1]!Table1[[Test code]:[Test code]],[1]!Table1[Ionic resistance DIW/Ohm cm2],"",0)</f>
        <v>#REF!</v>
      </c>
      <c r="AG1352" s="69" t="e" cm="1">
        <f t="array" ref="AG1352">_xlfn.XLOOKUP(Table1[[#This Row],[5 cm2 cell test code]:[5 cm2 cell test code]],[1]!Table1[[Test code]:[Test code]],[1]!Table1[Q_int_frac DIW],"",0)</f>
        <v>#REF!</v>
      </c>
      <c r="AH1352" s="69" t="e" cm="1">
        <f t="array" ref="AH1352">_xlfn.XLOOKUP(Table1[[#This Row],[5 cm2 cell test code]:[5 cm2 cell test code]],[1]!Table1[[Test code]:[Test code]],[1]!Table1[Ionic resistance 10 mM KOH/Ohm cm2],"",0)</f>
        <v>#REF!</v>
      </c>
      <c r="AI1352" s="69" t="e" cm="1">
        <f t="array" ref="AI1352">_xlfn.XLOOKUP(Table1[[#This Row],[5 cm2 cell test code]:[5 cm2 cell test code]],[1]!Table1[[Test code]:[Test code]],[1]!Table1[Q_int_frac DIW 10 mM KOH],"",0)</f>
        <v>#REF!</v>
      </c>
      <c r="AJ1352" s="69" t="e" cm="1">
        <f t="array" ref="AJ1352">_xlfn.XLOOKUP(Table1[[#This Row],[5 cm2 cell test code]:[5 cm2 cell test code]],[1]!Table1[[Test code]:[Test code]],[1]!Table1[DIW conductivity (µS/cm)],"",0)</f>
        <v>#REF!</v>
      </c>
    </row>
    <row r="1353" spans="1:36">
      <c r="A1353" s="81"/>
      <c r="U1353" s="101"/>
      <c r="V1353" s="101"/>
      <c r="W1353" s="69" t="e" cm="1">
        <f t="array" ref="W1353">_xlfn.XLOOKUP(Table1[[#This Row],[5 cm2 cell test code]:[5 cm2 cell test code]],[1]!Table1[[Test code]:[Test code]],[1]!Table1[i @ 1.8 V DIW (A/cm2)],"",0)</f>
        <v>#REF!</v>
      </c>
      <c r="X1353" s="69" t="e" cm="1">
        <f t="array" ref="X1353">_xlfn.XLOOKUP(Table1[[#This Row],[5 cm2 cell test code]:[5 cm2 cell test code]],[1]!Table1[[Test code]:[Test code]],[1]!Table1[i @ 1.8 V 10 mM KOH (A/cm2)],"",0)</f>
        <v>#REF!</v>
      </c>
      <c r="Y1353" s="69" t="e" cm="1">
        <f t="array" ref="Y1353">_xlfn.XLOOKUP(Table1[[#This Row],[5 cm2 cell test code]:[5 cm2 cell test code]],[1]!Table1[[Test code]:[Test code]],[1]!Table1[3-E ƞ at 20mAcm-2 (mV)],"",0)</f>
        <v>#REF!</v>
      </c>
      <c r="Z1353" s="69" t="e" cm="1">
        <f t="array" ref="Z1353">_xlfn.XLOOKUP(Table1[[#This Row],[5 cm2 cell test code]:[5 cm2 cell test code]],[1]!Table1[[Test code]:[Test code]],[1]!Table1[3-E Tafel slope (mV/dec)],"",0)</f>
        <v>#REF!</v>
      </c>
      <c r="AA1353" s="69" t="e" cm="1">
        <f t="array" ref="AA1353">_xlfn.XLOOKUP(Table1[[#This Row],[5 cm2 cell test code]:[5 cm2 cell test code]],[1]!Table1[[Test code]:[Test code]],[1]!Table1[E @ 100 mA/cm2 DIW/V],"",0)</f>
        <v>#REF!</v>
      </c>
      <c r="AB1353" s="69" t="e" cm="1">
        <f t="array" ref="AB1353">_xlfn.XLOOKUP(Table1[[#This Row],[5 cm2 cell test code]:[5 cm2 cell test code]],[1]!Table1[[Test code]:[Test code]],[1]!Table1[E @ 100 mA/cm2 10 mM KOH/V],"",0)</f>
        <v>#REF!</v>
      </c>
      <c r="AC1353" s="69" t="e" cm="1">
        <f t="array" ref="AC1353">_xlfn.XLOOKUP(Table1[[#This Row],[5 cm2 cell test code]:[5 cm2 cell test code]],[1]!Table1[[Test code]:[Test code]],[1]!Table1[Anode ICR/mOhm],"",0)</f>
        <v>#REF!</v>
      </c>
      <c r="AD1353" s="69" t="e" cm="1">
        <f t="array" ref="AD1353">_xlfn.XLOOKUP(Table1[[#This Row],[5 cm2 cell test code]:[5 cm2 cell test code]],[1]!Table1[[Test code]:[Test code]],[1]!Table1[HFR DIW/ mOhm cm2],"",0)</f>
        <v>#REF!</v>
      </c>
      <c r="AE1353" s="69" t="e" cm="1">
        <f t="array" ref="AE1353">_xlfn.XLOOKUP(Table1[[#This Row],[5 cm2 cell test code]:[5 cm2 cell test code]],[1]!Table1[[Test code]:[Test code]],[1]!Table1[HFR 10 mM KOH/ mOhm cm2],"",0)</f>
        <v>#REF!</v>
      </c>
      <c r="AF1353" s="69" t="e" cm="1">
        <f t="array" ref="AF1353">_xlfn.XLOOKUP(Table1[[#This Row],[5 cm2 cell test code]:[5 cm2 cell test code]],[1]!Table1[[Test code]:[Test code]],[1]!Table1[Ionic resistance DIW/Ohm cm2],"",0)</f>
        <v>#REF!</v>
      </c>
      <c r="AG1353" s="69" t="e" cm="1">
        <f t="array" ref="AG1353">_xlfn.XLOOKUP(Table1[[#This Row],[5 cm2 cell test code]:[5 cm2 cell test code]],[1]!Table1[[Test code]:[Test code]],[1]!Table1[Q_int_frac DIW],"",0)</f>
        <v>#REF!</v>
      </c>
      <c r="AH1353" s="69" t="e" cm="1">
        <f t="array" ref="AH1353">_xlfn.XLOOKUP(Table1[[#This Row],[5 cm2 cell test code]:[5 cm2 cell test code]],[1]!Table1[[Test code]:[Test code]],[1]!Table1[Ionic resistance 10 mM KOH/Ohm cm2],"",0)</f>
        <v>#REF!</v>
      </c>
      <c r="AI1353" s="69" t="e" cm="1">
        <f t="array" ref="AI1353">_xlfn.XLOOKUP(Table1[[#This Row],[5 cm2 cell test code]:[5 cm2 cell test code]],[1]!Table1[[Test code]:[Test code]],[1]!Table1[Q_int_frac DIW 10 mM KOH],"",0)</f>
        <v>#REF!</v>
      </c>
      <c r="AJ1353" s="69" t="e" cm="1">
        <f t="array" ref="AJ1353">_xlfn.XLOOKUP(Table1[[#This Row],[5 cm2 cell test code]:[5 cm2 cell test code]],[1]!Table1[[Test code]:[Test code]],[1]!Table1[DIW conductivity (µS/cm)],"",0)</f>
        <v>#REF!</v>
      </c>
    </row>
    <row r="1354" spans="1:36">
      <c r="A1354" s="81"/>
      <c r="U1354" s="101"/>
      <c r="V1354" s="101"/>
      <c r="W1354" s="69" t="e" cm="1">
        <f t="array" ref="W1354">_xlfn.XLOOKUP(Table1[[#This Row],[5 cm2 cell test code]:[5 cm2 cell test code]],[1]!Table1[[Test code]:[Test code]],[1]!Table1[i @ 1.8 V DIW (A/cm2)],"",0)</f>
        <v>#REF!</v>
      </c>
      <c r="X1354" s="69" t="e" cm="1">
        <f t="array" ref="X1354">_xlfn.XLOOKUP(Table1[[#This Row],[5 cm2 cell test code]:[5 cm2 cell test code]],[1]!Table1[[Test code]:[Test code]],[1]!Table1[i @ 1.8 V 10 mM KOH (A/cm2)],"",0)</f>
        <v>#REF!</v>
      </c>
      <c r="Y1354" s="69" t="e" cm="1">
        <f t="array" ref="Y1354">_xlfn.XLOOKUP(Table1[[#This Row],[5 cm2 cell test code]:[5 cm2 cell test code]],[1]!Table1[[Test code]:[Test code]],[1]!Table1[3-E ƞ at 20mAcm-2 (mV)],"",0)</f>
        <v>#REF!</v>
      </c>
      <c r="Z1354" s="69" t="e" cm="1">
        <f t="array" ref="Z1354">_xlfn.XLOOKUP(Table1[[#This Row],[5 cm2 cell test code]:[5 cm2 cell test code]],[1]!Table1[[Test code]:[Test code]],[1]!Table1[3-E Tafel slope (mV/dec)],"",0)</f>
        <v>#REF!</v>
      </c>
      <c r="AA1354" s="69" t="e" cm="1">
        <f t="array" ref="AA1354">_xlfn.XLOOKUP(Table1[[#This Row],[5 cm2 cell test code]:[5 cm2 cell test code]],[1]!Table1[[Test code]:[Test code]],[1]!Table1[E @ 100 mA/cm2 DIW/V],"",0)</f>
        <v>#REF!</v>
      </c>
      <c r="AB1354" s="69" t="e" cm="1">
        <f t="array" ref="AB1354">_xlfn.XLOOKUP(Table1[[#This Row],[5 cm2 cell test code]:[5 cm2 cell test code]],[1]!Table1[[Test code]:[Test code]],[1]!Table1[E @ 100 mA/cm2 10 mM KOH/V],"",0)</f>
        <v>#REF!</v>
      </c>
      <c r="AC1354" s="69" t="e" cm="1">
        <f t="array" ref="AC1354">_xlfn.XLOOKUP(Table1[[#This Row],[5 cm2 cell test code]:[5 cm2 cell test code]],[1]!Table1[[Test code]:[Test code]],[1]!Table1[Anode ICR/mOhm],"",0)</f>
        <v>#REF!</v>
      </c>
      <c r="AD1354" s="69" t="e" cm="1">
        <f t="array" ref="AD1354">_xlfn.XLOOKUP(Table1[[#This Row],[5 cm2 cell test code]:[5 cm2 cell test code]],[1]!Table1[[Test code]:[Test code]],[1]!Table1[HFR DIW/ mOhm cm2],"",0)</f>
        <v>#REF!</v>
      </c>
      <c r="AE1354" s="69" t="e" cm="1">
        <f t="array" ref="AE1354">_xlfn.XLOOKUP(Table1[[#This Row],[5 cm2 cell test code]:[5 cm2 cell test code]],[1]!Table1[[Test code]:[Test code]],[1]!Table1[HFR 10 mM KOH/ mOhm cm2],"",0)</f>
        <v>#REF!</v>
      </c>
      <c r="AF1354" s="69" t="e" cm="1">
        <f t="array" ref="AF1354">_xlfn.XLOOKUP(Table1[[#This Row],[5 cm2 cell test code]:[5 cm2 cell test code]],[1]!Table1[[Test code]:[Test code]],[1]!Table1[Ionic resistance DIW/Ohm cm2],"",0)</f>
        <v>#REF!</v>
      </c>
      <c r="AG1354" s="69" t="e" cm="1">
        <f t="array" ref="AG1354">_xlfn.XLOOKUP(Table1[[#This Row],[5 cm2 cell test code]:[5 cm2 cell test code]],[1]!Table1[[Test code]:[Test code]],[1]!Table1[Q_int_frac DIW],"",0)</f>
        <v>#REF!</v>
      </c>
      <c r="AH1354" s="69" t="e" cm="1">
        <f t="array" ref="AH1354">_xlfn.XLOOKUP(Table1[[#This Row],[5 cm2 cell test code]:[5 cm2 cell test code]],[1]!Table1[[Test code]:[Test code]],[1]!Table1[Ionic resistance 10 mM KOH/Ohm cm2],"",0)</f>
        <v>#REF!</v>
      </c>
      <c r="AI1354" s="69" t="e" cm="1">
        <f t="array" ref="AI1354">_xlfn.XLOOKUP(Table1[[#This Row],[5 cm2 cell test code]:[5 cm2 cell test code]],[1]!Table1[[Test code]:[Test code]],[1]!Table1[Q_int_frac DIW 10 mM KOH],"",0)</f>
        <v>#REF!</v>
      </c>
      <c r="AJ1354" s="69" t="e" cm="1">
        <f t="array" ref="AJ1354">_xlfn.XLOOKUP(Table1[[#This Row],[5 cm2 cell test code]:[5 cm2 cell test code]],[1]!Table1[[Test code]:[Test code]],[1]!Table1[DIW conductivity (µS/cm)],"",0)</f>
        <v>#REF!</v>
      </c>
    </row>
    <row r="1355" spans="1:36">
      <c r="A1355" s="81"/>
      <c r="U1355" s="101"/>
      <c r="V1355" s="101"/>
      <c r="W1355" s="69" t="e" cm="1">
        <f t="array" ref="W1355">_xlfn.XLOOKUP(Table1[[#This Row],[5 cm2 cell test code]:[5 cm2 cell test code]],[1]!Table1[[Test code]:[Test code]],[1]!Table1[i @ 1.8 V DIW (A/cm2)],"",0)</f>
        <v>#REF!</v>
      </c>
      <c r="X1355" s="69" t="e" cm="1">
        <f t="array" ref="X1355">_xlfn.XLOOKUP(Table1[[#This Row],[5 cm2 cell test code]:[5 cm2 cell test code]],[1]!Table1[[Test code]:[Test code]],[1]!Table1[i @ 1.8 V 10 mM KOH (A/cm2)],"",0)</f>
        <v>#REF!</v>
      </c>
      <c r="Y1355" s="69" t="e" cm="1">
        <f t="array" ref="Y1355">_xlfn.XLOOKUP(Table1[[#This Row],[5 cm2 cell test code]:[5 cm2 cell test code]],[1]!Table1[[Test code]:[Test code]],[1]!Table1[3-E ƞ at 20mAcm-2 (mV)],"",0)</f>
        <v>#REF!</v>
      </c>
      <c r="Z1355" s="69" t="e" cm="1">
        <f t="array" ref="Z1355">_xlfn.XLOOKUP(Table1[[#This Row],[5 cm2 cell test code]:[5 cm2 cell test code]],[1]!Table1[[Test code]:[Test code]],[1]!Table1[3-E Tafel slope (mV/dec)],"",0)</f>
        <v>#REF!</v>
      </c>
      <c r="AA1355" s="69" t="e" cm="1">
        <f t="array" ref="AA1355">_xlfn.XLOOKUP(Table1[[#This Row],[5 cm2 cell test code]:[5 cm2 cell test code]],[1]!Table1[[Test code]:[Test code]],[1]!Table1[E @ 100 mA/cm2 DIW/V],"",0)</f>
        <v>#REF!</v>
      </c>
      <c r="AB1355" s="69" t="e" cm="1">
        <f t="array" ref="AB1355">_xlfn.XLOOKUP(Table1[[#This Row],[5 cm2 cell test code]:[5 cm2 cell test code]],[1]!Table1[[Test code]:[Test code]],[1]!Table1[E @ 100 mA/cm2 10 mM KOH/V],"",0)</f>
        <v>#REF!</v>
      </c>
      <c r="AC1355" s="69" t="e" cm="1">
        <f t="array" ref="AC1355">_xlfn.XLOOKUP(Table1[[#This Row],[5 cm2 cell test code]:[5 cm2 cell test code]],[1]!Table1[[Test code]:[Test code]],[1]!Table1[Anode ICR/mOhm],"",0)</f>
        <v>#REF!</v>
      </c>
      <c r="AD1355" s="69" t="e" cm="1">
        <f t="array" ref="AD1355">_xlfn.XLOOKUP(Table1[[#This Row],[5 cm2 cell test code]:[5 cm2 cell test code]],[1]!Table1[[Test code]:[Test code]],[1]!Table1[HFR DIW/ mOhm cm2],"",0)</f>
        <v>#REF!</v>
      </c>
      <c r="AE1355" s="69" t="e" cm="1">
        <f t="array" ref="AE1355">_xlfn.XLOOKUP(Table1[[#This Row],[5 cm2 cell test code]:[5 cm2 cell test code]],[1]!Table1[[Test code]:[Test code]],[1]!Table1[HFR 10 mM KOH/ mOhm cm2],"",0)</f>
        <v>#REF!</v>
      </c>
      <c r="AF1355" s="69" t="e" cm="1">
        <f t="array" ref="AF1355">_xlfn.XLOOKUP(Table1[[#This Row],[5 cm2 cell test code]:[5 cm2 cell test code]],[1]!Table1[[Test code]:[Test code]],[1]!Table1[Ionic resistance DIW/Ohm cm2],"",0)</f>
        <v>#REF!</v>
      </c>
      <c r="AG1355" s="69" t="e" cm="1">
        <f t="array" ref="AG1355">_xlfn.XLOOKUP(Table1[[#This Row],[5 cm2 cell test code]:[5 cm2 cell test code]],[1]!Table1[[Test code]:[Test code]],[1]!Table1[Q_int_frac DIW],"",0)</f>
        <v>#REF!</v>
      </c>
      <c r="AH1355" s="69" t="e" cm="1">
        <f t="array" ref="AH1355">_xlfn.XLOOKUP(Table1[[#This Row],[5 cm2 cell test code]:[5 cm2 cell test code]],[1]!Table1[[Test code]:[Test code]],[1]!Table1[Ionic resistance 10 mM KOH/Ohm cm2],"",0)</f>
        <v>#REF!</v>
      </c>
      <c r="AI1355" s="69" t="e" cm="1">
        <f t="array" ref="AI1355">_xlfn.XLOOKUP(Table1[[#This Row],[5 cm2 cell test code]:[5 cm2 cell test code]],[1]!Table1[[Test code]:[Test code]],[1]!Table1[Q_int_frac DIW 10 mM KOH],"",0)</f>
        <v>#REF!</v>
      </c>
      <c r="AJ1355" s="69" t="e" cm="1">
        <f t="array" ref="AJ1355">_xlfn.XLOOKUP(Table1[[#This Row],[5 cm2 cell test code]:[5 cm2 cell test code]],[1]!Table1[[Test code]:[Test code]],[1]!Table1[DIW conductivity (µS/cm)],"",0)</f>
        <v>#REF!</v>
      </c>
    </row>
    <row r="1356" spans="1:36">
      <c r="A1356" s="81"/>
      <c r="U1356" s="101"/>
      <c r="V1356" s="101"/>
      <c r="W1356" s="69" t="e" cm="1">
        <f t="array" ref="W1356">_xlfn.XLOOKUP(Table1[[#This Row],[5 cm2 cell test code]:[5 cm2 cell test code]],[1]!Table1[[Test code]:[Test code]],[1]!Table1[i @ 1.8 V DIW (A/cm2)],"",0)</f>
        <v>#REF!</v>
      </c>
      <c r="X1356" s="69" t="e" cm="1">
        <f t="array" ref="X1356">_xlfn.XLOOKUP(Table1[[#This Row],[5 cm2 cell test code]:[5 cm2 cell test code]],[1]!Table1[[Test code]:[Test code]],[1]!Table1[i @ 1.8 V 10 mM KOH (A/cm2)],"",0)</f>
        <v>#REF!</v>
      </c>
      <c r="Y1356" s="69" t="e" cm="1">
        <f t="array" ref="Y1356">_xlfn.XLOOKUP(Table1[[#This Row],[5 cm2 cell test code]:[5 cm2 cell test code]],[1]!Table1[[Test code]:[Test code]],[1]!Table1[3-E ƞ at 20mAcm-2 (mV)],"",0)</f>
        <v>#REF!</v>
      </c>
      <c r="Z1356" s="69" t="e" cm="1">
        <f t="array" ref="Z1356">_xlfn.XLOOKUP(Table1[[#This Row],[5 cm2 cell test code]:[5 cm2 cell test code]],[1]!Table1[[Test code]:[Test code]],[1]!Table1[3-E Tafel slope (mV/dec)],"",0)</f>
        <v>#REF!</v>
      </c>
      <c r="AA1356" s="69" t="e" cm="1">
        <f t="array" ref="AA1356">_xlfn.XLOOKUP(Table1[[#This Row],[5 cm2 cell test code]:[5 cm2 cell test code]],[1]!Table1[[Test code]:[Test code]],[1]!Table1[E @ 100 mA/cm2 DIW/V],"",0)</f>
        <v>#REF!</v>
      </c>
      <c r="AB1356" s="69" t="e" cm="1">
        <f t="array" ref="AB1356">_xlfn.XLOOKUP(Table1[[#This Row],[5 cm2 cell test code]:[5 cm2 cell test code]],[1]!Table1[[Test code]:[Test code]],[1]!Table1[E @ 100 mA/cm2 10 mM KOH/V],"",0)</f>
        <v>#REF!</v>
      </c>
      <c r="AC1356" s="69" t="e" cm="1">
        <f t="array" ref="AC1356">_xlfn.XLOOKUP(Table1[[#This Row],[5 cm2 cell test code]:[5 cm2 cell test code]],[1]!Table1[[Test code]:[Test code]],[1]!Table1[Anode ICR/mOhm],"",0)</f>
        <v>#REF!</v>
      </c>
      <c r="AD1356" s="69" t="e" cm="1">
        <f t="array" ref="AD1356">_xlfn.XLOOKUP(Table1[[#This Row],[5 cm2 cell test code]:[5 cm2 cell test code]],[1]!Table1[[Test code]:[Test code]],[1]!Table1[HFR DIW/ mOhm cm2],"",0)</f>
        <v>#REF!</v>
      </c>
      <c r="AE1356" s="69" t="e" cm="1">
        <f t="array" ref="AE1356">_xlfn.XLOOKUP(Table1[[#This Row],[5 cm2 cell test code]:[5 cm2 cell test code]],[1]!Table1[[Test code]:[Test code]],[1]!Table1[HFR 10 mM KOH/ mOhm cm2],"",0)</f>
        <v>#REF!</v>
      </c>
      <c r="AF1356" s="69" t="e" cm="1">
        <f t="array" ref="AF1356">_xlfn.XLOOKUP(Table1[[#This Row],[5 cm2 cell test code]:[5 cm2 cell test code]],[1]!Table1[[Test code]:[Test code]],[1]!Table1[Ionic resistance DIW/Ohm cm2],"",0)</f>
        <v>#REF!</v>
      </c>
      <c r="AG1356" s="69" t="e" cm="1">
        <f t="array" ref="AG1356">_xlfn.XLOOKUP(Table1[[#This Row],[5 cm2 cell test code]:[5 cm2 cell test code]],[1]!Table1[[Test code]:[Test code]],[1]!Table1[Q_int_frac DIW],"",0)</f>
        <v>#REF!</v>
      </c>
      <c r="AH1356" s="69" t="e" cm="1">
        <f t="array" ref="AH1356">_xlfn.XLOOKUP(Table1[[#This Row],[5 cm2 cell test code]:[5 cm2 cell test code]],[1]!Table1[[Test code]:[Test code]],[1]!Table1[Ionic resistance 10 mM KOH/Ohm cm2],"",0)</f>
        <v>#REF!</v>
      </c>
      <c r="AI1356" s="69" t="e" cm="1">
        <f t="array" ref="AI1356">_xlfn.XLOOKUP(Table1[[#This Row],[5 cm2 cell test code]:[5 cm2 cell test code]],[1]!Table1[[Test code]:[Test code]],[1]!Table1[Q_int_frac DIW 10 mM KOH],"",0)</f>
        <v>#REF!</v>
      </c>
      <c r="AJ1356" s="69" t="e" cm="1">
        <f t="array" ref="AJ1356">_xlfn.XLOOKUP(Table1[[#This Row],[5 cm2 cell test code]:[5 cm2 cell test code]],[1]!Table1[[Test code]:[Test code]],[1]!Table1[DIW conductivity (µS/cm)],"",0)</f>
        <v>#REF!</v>
      </c>
    </row>
    <row r="1357" spans="1:36">
      <c r="A1357" s="81"/>
      <c r="U1357" s="101"/>
      <c r="V1357" s="101"/>
      <c r="W1357" s="69" t="e" cm="1">
        <f t="array" ref="W1357">_xlfn.XLOOKUP(Table1[[#This Row],[5 cm2 cell test code]:[5 cm2 cell test code]],[1]!Table1[[Test code]:[Test code]],[1]!Table1[i @ 1.8 V DIW (A/cm2)],"",0)</f>
        <v>#REF!</v>
      </c>
      <c r="X1357" s="69" t="e" cm="1">
        <f t="array" ref="X1357">_xlfn.XLOOKUP(Table1[[#This Row],[5 cm2 cell test code]:[5 cm2 cell test code]],[1]!Table1[[Test code]:[Test code]],[1]!Table1[i @ 1.8 V 10 mM KOH (A/cm2)],"",0)</f>
        <v>#REF!</v>
      </c>
      <c r="Y1357" s="69" t="e" cm="1">
        <f t="array" ref="Y1357">_xlfn.XLOOKUP(Table1[[#This Row],[5 cm2 cell test code]:[5 cm2 cell test code]],[1]!Table1[[Test code]:[Test code]],[1]!Table1[3-E ƞ at 20mAcm-2 (mV)],"",0)</f>
        <v>#REF!</v>
      </c>
      <c r="Z1357" s="69" t="e" cm="1">
        <f t="array" ref="Z1357">_xlfn.XLOOKUP(Table1[[#This Row],[5 cm2 cell test code]:[5 cm2 cell test code]],[1]!Table1[[Test code]:[Test code]],[1]!Table1[3-E Tafel slope (mV/dec)],"",0)</f>
        <v>#REF!</v>
      </c>
      <c r="AA1357" s="69" t="e" cm="1">
        <f t="array" ref="AA1357">_xlfn.XLOOKUP(Table1[[#This Row],[5 cm2 cell test code]:[5 cm2 cell test code]],[1]!Table1[[Test code]:[Test code]],[1]!Table1[E @ 100 mA/cm2 DIW/V],"",0)</f>
        <v>#REF!</v>
      </c>
      <c r="AB1357" s="69" t="e" cm="1">
        <f t="array" ref="AB1357">_xlfn.XLOOKUP(Table1[[#This Row],[5 cm2 cell test code]:[5 cm2 cell test code]],[1]!Table1[[Test code]:[Test code]],[1]!Table1[E @ 100 mA/cm2 10 mM KOH/V],"",0)</f>
        <v>#REF!</v>
      </c>
      <c r="AC1357" s="69" t="e" cm="1">
        <f t="array" ref="AC1357">_xlfn.XLOOKUP(Table1[[#This Row],[5 cm2 cell test code]:[5 cm2 cell test code]],[1]!Table1[[Test code]:[Test code]],[1]!Table1[Anode ICR/mOhm],"",0)</f>
        <v>#REF!</v>
      </c>
      <c r="AD1357" s="69" t="e" cm="1">
        <f t="array" ref="AD1357">_xlfn.XLOOKUP(Table1[[#This Row],[5 cm2 cell test code]:[5 cm2 cell test code]],[1]!Table1[[Test code]:[Test code]],[1]!Table1[HFR DIW/ mOhm cm2],"",0)</f>
        <v>#REF!</v>
      </c>
      <c r="AE1357" s="69" t="e" cm="1">
        <f t="array" ref="AE1357">_xlfn.XLOOKUP(Table1[[#This Row],[5 cm2 cell test code]:[5 cm2 cell test code]],[1]!Table1[[Test code]:[Test code]],[1]!Table1[HFR 10 mM KOH/ mOhm cm2],"",0)</f>
        <v>#REF!</v>
      </c>
      <c r="AF1357" s="69" t="e" cm="1">
        <f t="array" ref="AF1357">_xlfn.XLOOKUP(Table1[[#This Row],[5 cm2 cell test code]:[5 cm2 cell test code]],[1]!Table1[[Test code]:[Test code]],[1]!Table1[Ionic resistance DIW/Ohm cm2],"",0)</f>
        <v>#REF!</v>
      </c>
      <c r="AG1357" s="69" t="e" cm="1">
        <f t="array" ref="AG1357">_xlfn.XLOOKUP(Table1[[#This Row],[5 cm2 cell test code]:[5 cm2 cell test code]],[1]!Table1[[Test code]:[Test code]],[1]!Table1[Q_int_frac DIW],"",0)</f>
        <v>#REF!</v>
      </c>
      <c r="AH1357" s="69" t="e" cm="1">
        <f t="array" ref="AH1357">_xlfn.XLOOKUP(Table1[[#This Row],[5 cm2 cell test code]:[5 cm2 cell test code]],[1]!Table1[[Test code]:[Test code]],[1]!Table1[Ionic resistance 10 mM KOH/Ohm cm2],"",0)</f>
        <v>#REF!</v>
      </c>
      <c r="AI1357" s="69" t="e" cm="1">
        <f t="array" ref="AI1357">_xlfn.XLOOKUP(Table1[[#This Row],[5 cm2 cell test code]:[5 cm2 cell test code]],[1]!Table1[[Test code]:[Test code]],[1]!Table1[Q_int_frac DIW 10 mM KOH],"",0)</f>
        <v>#REF!</v>
      </c>
      <c r="AJ1357" s="69" t="e" cm="1">
        <f t="array" ref="AJ1357">_xlfn.XLOOKUP(Table1[[#This Row],[5 cm2 cell test code]:[5 cm2 cell test code]],[1]!Table1[[Test code]:[Test code]],[1]!Table1[DIW conductivity (µS/cm)],"",0)</f>
        <v>#REF!</v>
      </c>
    </row>
    <row r="1358" spans="1:36">
      <c r="A1358" s="81"/>
      <c r="U1358" s="101"/>
      <c r="V1358" s="101"/>
      <c r="W1358" s="69" t="e" cm="1">
        <f t="array" ref="W1358">_xlfn.XLOOKUP(Table1[[#This Row],[5 cm2 cell test code]:[5 cm2 cell test code]],[1]!Table1[[Test code]:[Test code]],[1]!Table1[i @ 1.8 V DIW (A/cm2)],"",0)</f>
        <v>#REF!</v>
      </c>
      <c r="X1358" s="69" t="e" cm="1">
        <f t="array" ref="X1358">_xlfn.XLOOKUP(Table1[[#This Row],[5 cm2 cell test code]:[5 cm2 cell test code]],[1]!Table1[[Test code]:[Test code]],[1]!Table1[i @ 1.8 V 10 mM KOH (A/cm2)],"",0)</f>
        <v>#REF!</v>
      </c>
      <c r="Y1358" s="69" t="e" cm="1">
        <f t="array" ref="Y1358">_xlfn.XLOOKUP(Table1[[#This Row],[5 cm2 cell test code]:[5 cm2 cell test code]],[1]!Table1[[Test code]:[Test code]],[1]!Table1[3-E ƞ at 20mAcm-2 (mV)],"",0)</f>
        <v>#REF!</v>
      </c>
      <c r="Z1358" s="69" t="e" cm="1">
        <f t="array" ref="Z1358">_xlfn.XLOOKUP(Table1[[#This Row],[5 cm2 cell test code]:[5 cm2 cell test code]],[1]!Table1[[Test code]:[Test code]],[1]!Table1[3-E Tafel slope (mV/dec)],"",0)</f>
        <v>#REF!</v>
      </c>
      <c r="AA1358" s="69" t="e" cm="1">
        <f t="array" ref="AA1358">_xlfn.XLOOKUP(Table1[[#This Row],[5 cm2 cell test code]:[5 cm2 cell test code]],[1]!Table1[[Test code]:[Test code]],[1]!Table1[E @ 100 mA/cm2 DIW/V],"",0)</f>
        <v>#REF!</v>
      </c>
      <c r="AB1358" s="69" t="e" cm="1">
        <f t="array" ref="AB1358">_xlfn.XLOOKUP(Table1[[#This Row],[5 cm2 cell test code]:[5 cm2 cell test code]],[1]!Table1[[Test code]:[Test code]],[1]!Table1[E @ 100 mA/cm2 10 mM KOH/V],"",0)</f>
        <v>#REF!</v>
      </c>
      <c r="AC1358" s="69" t="e" cm="1">
        <f t="array" ref="AC1358">_xlfn.XLOOKUP(Table1[[#This Row],[5 cm2 cell test code]:[5 cm2 cell test code]],[1]!Table1[[Test code]:[Test code]],[1]!Table1[Anode ICR/mOhm],"",0)</f>
        <v>#REF!</v>
      </c>
      <c r="AD1358" s="69" t="e" cm="1">
        <f t="array" ref="AD1358">_xlfn.XLOOKUP(Table1[[#This Row],[5 cm2 cell test code]:[5 cm2 cell test code]],[1]!Table1[[Test code]:[Test code]],[1]!Table1[HFR DIW/ mOhm cm2],"",0)</f>
        <v>#REF!</v>
      </c>
      <c r="AE1358" s="69" t="e" cm="1">
        <f t="array" ref="AE1358">_xlfn.XLOOKUP(Table1[[#This Row],[5 cm2 cell test code]:[5 cm2 cell test code]],[1]!Table1[[Test code]:[Test code]],[1]!Table1[HFR 10 mM KOH/ mOhm cm2],"",0)</f>
        <v>#REF!</v>
      </c>
      <c r="AF1358" s="69" t="e" cm="1">
        <f t="array" ref="AF1358">_xlfn.XLOOKUP(Table1[[#This Row],[5 cm2 cell test code]:[5 cm2 cell test code]],[1]!Table1[[Test code]:[Test code]],[1]!Table1[Ionic resistance DIW/Ohm cm2],"",0)</f>
        <v>#REF!</v>
      </c>
      <c r="AG1358" s="69" t="e" cm="1">
        <f t="array" ref="AG1358">_xlfn.XLOOKUP(Table1[[#This Row],[5 cm2 cell test code]:[5 cm2 cell test code]],[1]!Table1[[Test code]:[Test code]],[1]!Table1[Q_int_frac DIW],"",0)</f>
        <v>#REF!</v>
      </c>
      <c r="AH1358" s="69" t="e" cm="1">
        <f t="array" ref="AH1358">_xlfn.XLOOKUP(Table1[[#This Row],[5 cm2 cell test code]:[5 cm2 cell test code]],[1]!Table1[[Test code]:[Test code]],[1]!Table1[Ionic resistance 10 mM KOH/Ohm cm2],"",0)</f>
        <v>#REF!</v>
      </c>
      <c r="AI1358" s="69" t="e" cm="1">
        <f t="array" ref="AI1358">_xlfn.XLOOKUP(Table1[[#This Row],[5 cm2 cell test code]:[5 cm2 cell test code]],[1]!Table1[[Test code]:[Test code]],[1]!Table1[Q_int_frac DIW 10 mM KOH],"",0)</f>
        <v>#REF!</v>
      </c>
      <c r="AJ1358" s="69" t="e" cm="1">
        <f t="array" ref="AJ1358">_xlfn.XLOOKUP(Table1[[#This Row],[5 cm2 cell test code]:[5 cm2 cell test code]],[1]!Table1[[Test code]:[Test code]],[1]!Table1[DIW conductivity (µS/cm)],"",0)</f>
        <v>#REF!</v>
      </c>
    </row>
    <row r="1359" spans="1:36">
      <c r="A1359" s="81"/>
      <c r="U1359" s="101"/>
      <c r="V1359" s="101"/>
      <c r="W1359" s="69" t="e" cm="1">
        <f t="array" ref="W1359">_xlfn.XLOOKUP(Table1[[#This Row],[5 cm2 cell test code]:[5 cm2 cell test code]],[1]!Table1[[Test code]:[Test code]],[1]!Table1[i @ 1.8 V DIW (A/cm2)],"",0)</f>
        <v>#REF!</v>
      </c>
      <c r="X1359" s="69" t="e" cm="1">
        <f t="array" ref="X1359">_xlfn.XLOOKUP(Table1[[#This Row],[5 cm2 cell test code]:[5 cm2 cell test code]],[1]!Table1[[Test code]:[Test code]],[1]!Table1[i @ 1.8 V 10 mM KOH (A/cm2)],"",0)</f>
        <v>#REF!</v>
      </c>
      <c r="Y1359" s="69" t="e" cm="1">
        <f t="array" ref="Y1359">_xlfn.XLOOKUP(Table1[[#This Row],[5 cm2 cell test code]:[5 cm2 cell test code]],[1]!Table1[[Test code]:[Test code]],[1]!Table1[3-E ƞ at 20mAcm-2 (mV)],"",0)</f>
        <v>#REF!</v>
      </c>
      <c r="Z1359" s="69" t="e" cm="1">
        <f t="array" ref="Z1359">_xlfn.XLOOKUP(Table1[[#This Row],[5 cm2 cell test code]:[5 cm2 cell test code]],[1]!Table1[[Test code]:[Test code]],[1]!Table1[3-E Tafel slope (mV/dec)],"",0)</f>
        <v>#REF!</v>
      </c>
      <c r="AA1359" s="69" t="e" cm="1">
        <f t="array" ref="AA1359">_xlfn.XLOOKUP(Table1[[#This Row],[5 cm2 cell test code]:[5 cm2 cell test code]],[1]!Table1[[Test code]:[Test code]],[1]!Table1[E @ 100 mA/cm2 DIW/V],"",0)</f>
        <v>#REF!</v>
      </c>
      <c r="AB1359" s="69" t="e" cm="1">
        <f t="array" ref="AB1359">_xlfn.XLOOKUP(Table1[[#This Row],[5 cm2 cell test code]:[5 cm2 cell test code]],[1]!Table1[[Test code]:[Test code]],[1]!Table1[E @ 100 mA/cm2 10 mM KOH/V],"",0)</f>
        <v>#REF!</v>
      </c>
      <c r="AC1359" s="69" t="e" cm="1">
        <f t="array" ref="AC1359">_xlfn.XLOOKUP(Table1[[#This Row],[5 cm2 cell test code]:[5 cm2 cell test code]],[1]!Table1[[Test code]:[Test code]],[1]!Table1[Anode ICR/mOhm],"",0)</f>
        <v>#REF!</v>
      </c>
      <c r="AD1359" s="69" t="e" cm="1">
        <f t="array" ref="AD1359">_xlfn.XLOOKUP(Table1[[#This Row],[5 cm2 cell test code]:[5 cm2 cell test code]],[1]!Table1[[Test code]:[Test code]],[1]!Table1[HFR DIW/ mOhm cm2],"",0)</f>
        <v>#REF!</v>
      </c>
      <c r="AE1359" s="69" t="e" cm="1">
        <f t="array" ref="AE1359">_xlfn.XLOOKUP(Table1[[#This Row],[5 cm2 cell test code]:[5 cm2 cell test code]],[1]!Table1[[Test code]:[Test code]],[1]!Table1[HFR 10 mM KOH/ mOhm cm2],"",0)</f>
        <v>#REF!</v>
      </c>
      <c r="AF1359" s="69" t="e" cm="1">
        <f t="array" ref="AF1359">_xlfn.XLOOKUP(Table1[[#This Row],[5 cm2 cell test code]:[5 cm2 cell test code]],[1]!Table1[[Test code]:[Test code]],[1]!Table1[Ionic resistance DIW/Ohm cm2],"",0)</f>
        <v>#REF!</v>
      </c>
      <c r="AG1359" s="69" t="e" cm="1">
        <f t="array" ref="AG1359">_xlfn.XLOOKUP(Table1[[#This Row],[5 cm2 cell test code]:[5 cm2 cell test code]],[1]!Table1[[Test code]:[Test code]],[1]!Table1[Q_int_frac DIW],"",0)</f>
        <v>#REF!</v>
      </c>
      <c r="AH1359" s="69" t="e" cm="1">
        <f t="array" ref="AH1359">_xlfn.XLOOKUP(Table1[[#This Row],[5 cm2 cell test code]:[5 cm2 cell test code]],[1]!Table1[[Test code]:[Test code]],[1]!Table1[Ionic resistance 10 mM KOH/Ohm cm2],"",0)</f>
        <v>#REF!</v>
      </c>
      <c r="AI1359" s="69" t="e" cm="1">
        <f t="array" ref="AI1359">_xlfn.XLOOKUP(Table1[[#This Row],[5 cm2 cell test code]:[5 cm2 cell test code]],[1]!Table1[[Test code]:[Test code]],[1]!Table1[Q_int_frac DIW 10 mM KOH],"",0)</f>
        <v>#REF!</v>
      </c>
      <c r="AJ1359" s="69" t="e" cm="1">
        <f t="array" ref="AJ1359">_xlfn.XLOOKUP(Table1[[#This Row],[5 cm2 cell test code]:[5 cm2 cell test code]],[1]!Table1[[Test code]:[Test code]],[1]!Table1[DIW conductivity (µS/cm)],"",0)</f>
        <v>#REF!</v>
      </c>
    </row>
    <row r="1360" spans="1:36">
      <c r="A1360" s="81"/>
      <c r="U1360" s="101"/>
      <c r="V1360" s="101"/>
      <c r="W1360" s="69" t="e" cm="1">
        <f t="array" ref="W1360">_xlfn.XLOOKUP(Table1[[#This Row],[5 cm2 cell test code]:[5 cm2 cell test code]],[1]!Table1[[Test code]:[Test code]],[1]!Table1[i @ 1.8 V DIW (A/cm2)],"",0)</f>
        <v>#REF!</v>
      </c>
      <c r="X1360" s="69" t="e" cm="1">
        <f t="array" ref="X1360">_xlfn.XLOOKUP(Table1[[#This Row],[5 cm2 cell test code]:[5 cm2 cell test code]],[1]!Table1[[Test code]:[Test code]],[1]!Table1[i @ 1.8 V 10 mM KOH (A/cm2)],"",0)</f>
        <v>#REF!</v>
      </c>
      <c r="Y1360" s="69" t="e" cm="1">
        <f t="array" ref="Y1360">_xlfn.XLOOKUP(Table1[[#This Row],[5 cm2 cell test code]:[5 cm2 cell test code]],[1]!Table1[[Test code]:[Test code]],[1]!Table1[3-E ƞ at 20mAcm-2 (mV)],"",0)</f>
        <v>#REF!</v>
      </c>
      <c r="Z1360" s="69" t="e" cm="1">
        <f t="array" ref="Z1360">_xlfn.XLOOKUP(Table1[[#This Row],[5 cm2 cell test code]:[5 cm2 cell test code]],[1]!Table1[[Test code]:[Test code]],[1]!Table1[3-E Tafel slope (mV/dec)],"",0)</f>
        <v>#REF!</v>
      </c>
      <c r="AA1360" s="69" t="e" cm="1">
        <f t="array" ref="AA1360">_xlfn.XLOOKUP(Table1[[#This Row],[5 cm2 cell test code]:[5 cm2 cell test code]],[1]!Table1[[Test code]:[Test code]],[1]!Table1[E @ 100 mA/cm2 DIW/V],"",0)</f>
        <v>#REF!</v>
      </c>
      <c r="AB1360" s="69" t="e" cm="1">
        <f t="array" ref="AB1360">_xlfn.XLOOKUP(Table1[[#This Row],[5 cm2 cell test code]:[5 cm2 cell test code]],[1]!Table1[[Test code]:[Test code]],[1]!Table1[E @ 100 mA/cm2 10 mM KOH/V],"",0)</f>
        <v>#REF!</v>
      </c>
      <c r="AC1360" s="69" t="e" cm="1">
        <f t="array" ref="AC1360">_xlfn.XLOOKUP(Table1[[#This Row],[5 cm2 cell test code]:[5 cm2 cell test code]],[1]!Table1[[Test code]:[Test code]],[1]!Table1[Anode ICR/mOhm],"",0)</f>
        <v>#REF!</v>
      </c>
      <c r="AD1360" s="69" t="e" cm="1">
        <f t="array" ref="AD1360">_xlfn.XLOOKUP(Table1[[#This Row],[5 cm2 cell test code]:[5 cm2 cell test code]],[1]!Table1[[Test code]:[Test code]],[1]!Table1[HFR DIW/ mOhm cm2],"",0)</f>
        <v>#REF!</v>
      </c>
      <c r="AE1360" s="69" t="e" cm="1">
        <f t="array" ref="AE1360">_xlfn.XLOOKUP(Table1[[#This Row],[5 cm2 cell test code]:[5 cm2 cell test code]],[1]!Table1[[Test code]:[Test code]],[1]!Table1[HFR 10 mM KOH/ mOhm cm2],"",0)</f>
        <v>#REF!</v>
      </c>
      <c r="AF1360" s="69" t="e" cm="1">
        <f t="array" ref="AF1360">_xlfn.XLOOKUP(Table1[[#This Row],[5 cm2 cell test code]:[5 cm2 cell test code]],[1]!Table1[[Test code]:[Test code]],[1]!Table1[Ionic resistance DIW/Ohm cm2],"",0)</f>
        <v>#REF!</v>
      </c>
      <c r="AG1360" s="69" t="e" cm="1">
        <f t="array" ref="AG1360">_xlfn.XLOOKUP(Table1[[#This Row],[5 cm2 cell test code]:[5 cm2 cell test code]],[1]!Table1[[Test code]:[Test code]],[1]!Table1[Q_int_frac DIW],"",0)</f>
        <v>#REF!</v>
      </c>
      <c r="AH1360" s="69" t="e" cm="1">
        <f t="array" ref="AH1360">_xlfn.XLOOKUP(Table1[[#This Row],[5 cm2 cell test code]:[5 cm2 cell test code]],[1]!Table1[[Test code]:[Test code]],[1]!Table1[Ionic resistance 10 mM KOH/Ohm cm2],"",0)</f>
        <v>#REF!</v>
      </c>
      <c r="AI1360" s="69" t="e" cm="1">
        <f t="array" ref="AI1360">_xlfn.XLOOKUP(Table1[[#This Row],[5 cm2 cell test code]:[5 cm2 cell test code]],[1]!Table1[[Test code]:[Test code]],[1]!Table1[Q_int_frac DIW 10 mM KOH],"",0)</f>
        <v>#REF!</v>
      </c>
      <c r="AJ1360" s="69" t="e" cm="1">
        <f t="array" ref="AJ1360">_xlfn.XLOOKUP(Table1[[#This Row],[5 cm2 cell test code]:[5 cm2 cell test code]],[1]!Table1[[Test code]:[Test code]],[1]!Table1[DIW conductivity (µS/cm)],"",0)</f>
        <v>#REF!</v>
      </c>
    </row>
    <row r="1361" spans="1:36">
      <c r="A1361" s="81"/>
      <c r="U1361" s="101"/>
      <c r="V1361" s="101"/>
      <c r="W1361" s="69" t="e" cm="1">
        <f t="array" ref="W1361">_xlfn.XLOOKUP(Table1[[#This Row],[5 cm2 cell test code]:[5 cm2 cell test code]],[1]!Table1[[Test code]:[Test code]],[1]!Table1[i @ 1.8 V DIW (A/cm2)],"",0)</f>
        <v>#REF!</v>
      </c>
      <c r="X1361" s="69" t="e" cm="1">
        <f t="array" ref="X1361">_xlfn.XLOOKUP(Table1[[#This Row],[5 cm2 cell test code]:[5 cm2 cell test code]],[1]!Table1[[Test code]:[Test code]],[1]!Table1[i @ 1.8 V 10 mM KOH (A/cm2)],"",0)</f>
        <v>#REF!</v>
      </c>
      <c r="Y1361" s="69" t="e" cm="1">
        <f t="array" ref="Y1361">_xlfn.XLOOKUP(Table1[[#This Row],[5 cm2 cell test code]:[5 cm2 cell test code]],[1]!Table1[[Test code]:[Test code]],[1]!Table1[3-E ƞ at 20mAcm-2 (mV)],"",0)</f>
        <v>#REF!</v>
      </c>
      <c r="Z1361" s="69" t="e" cm="1">
        <f t="array" ref="Z1361">_xlfn.XLOOKUP(Table1[[#This Row],[5 cm2 cell test code]:[5 cm2 cell test code]],[1]!Table1[[Test code]:[Test code]],[1]!Table1[3-E Tafel slope (mV/dec)],"",0)</f>
        <v>#REF!</v>
      </c>
      <c r="AA1361" s="69" t="e" cm="1">
        <f t="array" ref="AA1361">_xlfn.XLOOKUP(Table1[[#This Row],[5 cm2 cell test code]:[5 cm2 cell test code]],[1]!Table1[[Test code]:[Test code]],[1]!Table1[E @ 100 mA/cm2 DIW/V],"",0)</f>
        <v>#REF!</v>
      </c>
      <c r="AB1361" s="69" t="e" cm="1">
        <f t="array" ref="AB1361">_xlfn.XLOOKUP(Table1[[#This Row],[5 cm2 cell test code]:[5 cm2 cell test code]],[1]!Table1[[Test code]:[Test code]],[1]!Table1[E @ 100 mA/cm2 10 mM KOH/V],"",0)</f>
        <v>#REF!</v>
      </c>
      <c r="AC1361" s="69" t="e" cm="1">
        <f t="array" ref="AC1361">_xlfn.XLOOKUP(Table1[[#This Row],[5 cm2 cell test code]:[5 cm2 cell test code]],[1]!Table1[[Test code]:[Test code]],[1]!Table1[Anode ICR/mOhm],"",0)</f>
        <v>#REF!</v>
      </c>
      <c r="AD1361" s="69" t="e" cm="1">
        <f t="array" ref="AD1361">_xlfn.XLOOKUP(Table1[[#This Row],[5 cm2 cell test code]:[5 cm2 cell test code]],[1]!Table1[[Test code]:[Test code]],[1]!Table1[HFR DIW/ mOhm cm2],"",0)</f>
        <v>#REF!</v>
      </c>
      <c r="AE1361" s="69" t="e" cm="1">
        <f t="array" ref="AE1361">_xlfn.XLOOKUP(Table1[[#This Row],[5 cm2 cell test code]:[5 cm2 cell test code]],[1]!Table1[[Test code]:[Test code]],[1]!Table1[HFR 10 mM KOH/ mOhm cm2],"",0)</f>
        <v>#REF!</v>
      </c>
      <c r="AF1361" s="69" t="e" cm="1">
        <f t="array" ref="AF1361">_xlfn.XLOOKUP(Table1[[#This Row],[5 cm2 cell test code]:[5 cm2 cell test code]],[1]!Table1[[Test code]:[Test code]],[1]!Table1[Ionic resistance DIW/Ohm cm2],"",0)</f>
        <v>#REF!</v>
      </c>
      <c r="AG1361" s="69" t="e" cm="1">
        <f t="array" ref="AG1361">_xlfn.XLOOKUP(Table1[[#This Row],[5 cm2 cell test code]:[5 cm2 cell test code]],[1]!Table1[[Test code]:[Test code]],[1]!Table1[Q_int_frac DIW],"",0)</f>
        <v>#REF!</v>
      </c>
      <c r="AH1361" s="69" t="e" cm="1">
        <f t="array" ref="AH1361">_xlfn.XLOOKUP(Table1[[#This Row],[5 cm2 cell test code]:[5 cm2 cell test code]],[1]!Table1[[Test code]:[Test code]],[1]!Table1[Ionic resistance 10 mM KOH/Ohm cm2],"",0)</f>
        <v>#REF!</v>
      </c>
      <c r="AI1361" s="69" t="e" cm="1">
        <f t="array" ref="AI1361">_xlfn.XLOOKUP(Table1[[#This Row],[5 cm2 cell test code]:[5 cm2 cell test code]],[1]!Table1[[Test code]:[Test code]],[1]!Table1[Q_int_frac DIW 10 mM KOH],"",0)</f>
        <v>#REF!</v>
      </c>
      <c r="AJ1361" s="69" t="e" cm="1">
        <f t="array" ref="AJ1361">_xlfn.XLOOKUP(Table1[[#This Row],[5 cm2 cell test code]:[5 cm2 cell test code]],[1]!Table1[[Test code]:[Test code]],[1]!Table1[DIW conductivity (µS/cm)],"",0)</f>
        <v>#REF!</v>
      </c>
    </row>
    <row r="1362" spans="1:36">
      <c r="A1362" s="81"/>
      <c r="U1362" s="101"/>
      <c r="V1362" s="101"/>
      <c r="W1362" s="69" t="e" cm="1">
        <f t="array" ref="W1362">_xlfn.XLOOKUP(Table1[[#This Row],[5 cm2 cell test code]:[5 cm2 cell test code]],[1]!Table1[[Test code]:[Test code]],[1]!Table1[i @ 1.8 V DIW (A/cm2)],"",0)</f>
        <v>#REF!</v>
      </c>
      <c r="X1362" s="69" t="e" cm="1">
        <f t="array" ref="X1362">_xlfn.XLOOKUP(Table1[[#This Row],[5 cm2 cell test code]:[5 cm2 cell test code]],[1]!Table1[[Test code]:[Test code]],[1]!Table1[i @ 1.8 V 10 mM KOH (A/cm2)],"",0)</f>
        <v>#REF!</v>
      </c>
      <c r="Y1362" s="69" t="e" cm="1">
        <f t="array" ref="Y1362">_xlfn.XLOOKUP(Table1[[#This Row],[5 cm2 cell test code]:[5 cm2 cell test code]],[1]!Table1[[Test code]:[Test code]],[1]!Table1[3-E ƞ at 20mAcm-2 (mV)],"",0)</f>
        <v>#REF!</v>
      </c>
      <c r="Z1362" s="69" t="e" cm="1">
        <f t="array" ref="Z1362">_xlfn.XLOOKUP(Table1[[#This Row],[5 cm2 cell test code]:[5 cm2 cell test code]],[1]!Table1[[Test code]:[Test code]],[1]!Table1[3-E Tafel slope (mV/dec)],"",0)</f>
        <v>#REF!</v>
      </c>
      <c r="AA1362" s="69" t="e" cm="1">
        <f t="array" ref="AA1362">_xlfn.XLOOKUP(Table1[[#This Row],[5 cm2 cell test code]:[5 cm2 cell test code]],[1]!Table1[[Test code]:[Test code]],[1]!Table1[E @ 100 mA/cm2 DIW/V],"",0)</f>
        <v>#REF!</v>
      </c>
      <c r="AB1362" s="69" t="e" cm="1">
        <f t="array" ref="AB1362">_xlfn.XLOOKUP(Table1[[#This Row],[5 cm2 cell test code]:[5 cm2 cell test code]],[1]!Table1[[Test code]:[Test code]],[1]!Table1[E @ 100 mA/cm2 10 mM KOH/V],"",0)</f>
        <v>#REF!</v>
      </c>
      <c r="AC1362" s="69" t="e" cm="1">
        <f t="array" ref="AC1362">_xlfn.XLOOKUP(Table1[[#This Row],[5 cm2 cell test code]:[5 cm2 cell test code]],[1]!Table1[[Test code]:[Test code]],[1]!Table1[Anode ICR/mOhm],"",0)</f>
        <v>#REF!</v>
      </c>
      <c r="AD1362" s="69" t="e" cm="1">
        <f t="array" ref="AD1362">_xlfn.XLOOKUP(Table1[[#This Row],[5 cm2 cell test code]:[5 cm2 cell test code]],[1]!Table1[[Test code]:[Test code]],[1]!Table1[HFR DIW/ mOhm cm2],"",0)</f>
        <v>#REF!</v>
      </c>
      <c r="AE1362" s="69" t="e" cm="1">
        <f t="array" ref="AE1362">_xlfn.XLOOKUP(Table1[[#This Row],[5 cm2 cell test code]:[5 cm2 cell test code]],[1]!Table1[[Test code]:[Test code]],[1]!Table1[HFR 10 mM KOH/ mOhm cm2],"",0)</f>
        <v>#REF!</v>
      </c>
      <c r="AF1362" s="69" t="e" cm="1">
        <f t="array" ref="AF1362">_xlfn.XLOOKUP(Table1[[#This Row],[5 cm2 cell test code]:[5 cm2 cell test code]],[1]!Table1[[Test code]:[Test code]],[1]!Table1[Ionic resistance DIW/Ohm cm2],"",0)</f>
        <v>#REF!</v>
      </c>
      <c r="AG1362" s="69" t="e" cm="1">
        <f t="array" ref="AG1362">_xlfn.XLOOKUP(Table1[[#This Row],[5 cm2 cell test code]:[5 cm2 cell test code]],[1]!Table1[[Test code]:[Test code]],[1]!Table1[Q_int_frac DIW],"",0)</f>
        <v>#REF!</v>
      </c>
      <c r="AH1362" s="69" t="e" cm="1">
        <f t="array" ref="AH1362">_xlfn.XLOOKUP(Table1[[#This Row],[5 cm2 cell test code]:[5 cm2 cell test code]],[1]!Table1[[Test code]:[Test code]],[1]!Table1[Ionic resistance 10 mM KOH/Ohm cm2],"",0)</f>
        <v>#REF!</v>
      </c>
      <c r="AI1362" s="69" t="e" cm="1">
        <f t="array" ref="AI1362">_xlfn.XLOOKUP(Table1[[#This Row],[5 cm2 cell test code]:[5 cm2 cell test code]],[1]!Table1[[Test code]:[Test code]],[1]!Table1[Q_int_frac DIW 10 mM KOH],"",0)</f>
        <v>#REF!</v>
      </c>
      <c r="AJ1362" s="69" t="e" cm="1">
        <f t="array" ref="AJ1362">_xlfn.XLOOKUP(Table1[[#This Row],[5 cm2 cell test code]:[5 cm2 cell test code]],[1]!Table1[[Test code]:[Test code]],[1]!Table1[DIW conductivity (µS/cm)],"",0)</f>
        <v>#REF!</v>
      </c>
    </row>
    <row r="1363" spans="1:36">
      <c r="A1363" s="81"/>
      <c r="U1363" s="101"/>
      <c r="V1363" s="101"/>
      <c r="W1363" s="69" t="e" cm="1">
        <f t="array" ref="W1363">_xlfn.XLOOKUP(Table1[[#This Row],[5 cm2 cell test code]:[5 cm2 cell test code]],[1]!Table1[[Test code]:[Test code]],[1]!Table1[i @ 1.8 V DIW (A/cm2)],"",0)</f>
        <v>#REF!</v>
      </c>
      <c r="X1363" s="69" t="e" cm="1">
        <f t="array" ref="X1363">_xlfn.XLOOKUP(Table1[[#This Row],[5 cm2 cell test code]:[5 cm2 cell test code]],[1]!Table1[[Test code]:[Test code]],[1]!Table1[i @ 1.8 V 10 mM KOH (A/cm2)],"",0)</f>
        <v>#REF!</v>
      </c>
      <c r="Y1363" s="69" t="e" cm="1">
        <f t="array" ref="Y1363">_xlfn.XLOOKUP(Table1[[#This Row],[5 cm2 cell test code]:[5 cm2 cell test code]],[1]!Table1[[Test code]:[Test code]],[1]!Table1[3-E ƞ at 20mAcm-2 (mV)],"",0)</f>
        <v>#REF!</v>
      </c>
      <c r="Z1363" s="69" t="e" cm="1">
        <f t="array" ref="Z1363">_xlfn.XLOOKUP(Table1[[#This Row],[5 cm2 cell test code]:[5 cm2 cell test code]],[1]!Table1[[Test code]:[Test code]],[1]!Table1[3-E Tafel slope (mV/dec)],"",0)</f>
        <v>#REF!</v>
      </c>
      <c r="AA1363" s="69" t="e" cm="1">
        <f t="array" ref="AA1363">_xlfn.XLOOKUP(Table1[[#This Row],[5 cm2 cell test code]:[5 cm2 cell test code]],[1]!Table1[[Test code]:[Test code]],[1]!Table1[E @ 100 mA/cm2 DIW/V],"",0)</f>
        <v>#REF!</v>
      </c>
      <c r="AB1363" s="69" t="e" cm="1">
        <f t="array" ref="AB1363">_xlfn.XLOOKUP(Table1[[#This Row],[5 cm2 cell test code]:[5 cm2 cell test code]],[1]!Table1[[Test code]:[Test code]],[1]!Table1[E @ 100 mA/cm2 10 mM KOH/V],"",0)</f>
        <v>#REF!</v>
      </c>
      <c r="AC1363" s="69" t="e" cm="1">
        <f t="array" ref="AC1363">_xlfn.XLOOKUP(Table1[[#This Row],[5 cm2 cell test code]:[5 cm2 cell test code]],[1]!Table1[[Test code]:[Test code]],[1]!Table1[Anode ICR/mOhm],"",0)</f>
        <v>#REF!</v>
      </c>
      <c r="AD1363" s="69" t="e" cm="1">
        <f t="array" ref="AD1363">_xlfn.XLOOKUP(Table1[[#This Row],[5 cm2 cell test code]:[5 cm2 cell test code]],[1]!Table1[[Test code]:[Test code]],[1]!Table1[HFR DIW/ mOhm cm2],"",0)</f>
        <v>#REF!</v>
      </c>
      <c r="AE1363" s="69" t="e" cm="1">
        <f t="array" ref="AE1363">_xlfn.XLOOKUP(Table1[[#This Row],[5 cm2 cell test code]:[5 cm2 cell test code]],[1]!Table1[[Test code]:[Test code]],[1]!Table1[HFR 10 mM KOH/ mOhm cm2],"",0)</f>
        <v>#REF!</v>
      </c>
      <c r="AF1363" s="69" t="e" cm="1">
        <f t="array" ref="AF1363">_xlfn.XLOOKUP(Table1[[#This Row],[5 cm2 cell test code]:[5 cm2 cell test code]],[1]!Table1[[Test code]:[Test code]],[1]!Table1[Ionic resistance DIW/Ohm cm2],"",0)</f>
        <v>#REF!</v>
      </c>
      <c r="AG1363" s="69" t="e" cm="1">
        <f t="array" ref="AG1363">_xlfn.XLOOKUP(Table1[[#This Row],[5 cm2 cell test code]:[5 cm2 cell test code]],[1]!Table1[[Test code]:[Test code]],[1]!Table1[Q_int_frac DIW],"",0)</f>
        <v>#REF!</v>
      </c>
      <c r="AH1363" s="69" t="e" cm="1">
        <f t="array" ref="AH1363">_xlfn.XLOOKUP(Table1[[#This Row],[5 cm2 cell test code]:[5 cm2 cell test code]],[1]!Table1[[Test code]:[Test code]],[1]!Table1[Ionic resistance 10 mM KOH/Ohm cm2],"",0)</f>
        <v>#REF!</v>
      </c>
      <c r="AI1363" s="69" t="e" cm="1">
        <f t="array" ref="AI1363">_xlfn.XLOOKUP(Table1[[#This Row],[5 cm2 cell test code]:[5 cm2 cell test code]],[1]!Table1[[Test code]:[Test code]],[1]!Table1[Q_int_frac DIW 10 mM KOH],"",0)</f>
        <v>#REF!</v>
      </c>
      <c r="AJ1363" s="69" t="e" cm="1">
        <f t="array" ref="AJ1363">_xlfn.XLOOKUP(Table1[[#This Row],[5 cm2 cell test code]:[5 cm2 cell test code]],[1]!Table1[[Test code]:[Test code]],[1]!Table1[DIW conductivity (µS/cm)],"",0)</f>
        <v>#REF!</v>
      </c>
    </row>
    <row r="1364" spans="1:36">
      <c r="A1364" s="81"/>
      <c r="U1364" s="101"/>
      <c r="V1364" s="101"/>
      <c r="W1364" s="69" t="e" cm="1">
        <f t="array" ref="W1364">_xlfn.XLOOKUP(Table1[[#This Row],[5 cm2 cell test code]:[5 cm2 cell test code]],[1]!Table1[[Test code]:[Test code]],[1]!Table1[i @ 1.8 V DIW (A/cm2)],"",0)</f>
        <v>#REF!</v>
      </c>
      <c r="X1364" s="69" t="e" cm="1">
        <f t="array" ref="X1364">_xlfn.XLOOKUP(Table1[[#This Row],[5 cm2 cell test code]:[5 cm2 cell test code]],[1]!Table1[[Test code]:[Test code]],[1]!Table1[i @ 1.8 V 10 mM KOH (A/cm2)],"",0)</f>
        <v>#REF!</v>
      </c>
      <c r="Y1364" s="69" t="e" cm="1">
        <f t="array" ref="Y1364">_xlfn.XLOOKUP(Table1[[#This Row],[5 cm2 cell test code]:[5 cm2 cell test code]],[1]!Table1[[Test code]:[Test code]],[1]!Table1[3-E ƞ at 20mAcm-2 (mV)],"",0)</f>
        <v>#REF!</v>
      </c>
      <c r="Z1364" s="69" t="e" cm="1">
        <f t="array" ref="Z1364">_xlfn.XLOOKUP(Table1[[#This Row],[5 cm2 cell test code]:[5 cm2 cell test code]],[1]!Table1[[Test code]:[Test code]],[1]!Table1[3-E Tafel slope (mV/dec)],"",0)</f>
        <v>#REF!</v>
      </c>
      <c r="AA1364" s="69" t="e" cm="1">
        <f t="array" ref="AA1364">_xlfn.XLOOKUP(Table1[[#This Row],[5 cm2 cell test code]:[5 cm2 cell test code]],[1]!Table1[[Test code]:[Test code]],[1]!Table1[E @ 100 mA/cm2 DIW/V],"",0)</f>
        <v>#REF!</v>
      </c>
      <c r="AB1364" s="69" t="e" cm="1">
        <f t="array" ref="AB1364">_xlfn.XLOOKUP(Table1[[#This Row],[5 cm2 cell test code]:[5 cm2 cell test code]],[1]!Table1[[Test code]:[Test code]],[1]!Table1[E @ 100 mA/cm2 10 mM KOH/V],"",0)</f>
        <v>#REF!</v>
      </c>
      <c r="AC1364" s="69" t="e" cm="1">
        <f t="array" ref="AC1364">_xlfn.XLOOKUP(Table1[[#This Row],[5 cm2 cell test code]:[5 cm2 cell test code]],[1]!Table1[[Test code]:[Test code]],[1]!Table1[Anode ICR/mOhm],"",0)</f>
        <v>#REF!</v>
      </c>
      <c r="AD1364" s="69" t="e" cm="1">
        <f t="array" ref="AD1364">_xlfn.XLOOKUP(Table1[[#This Row],[5 cm2 cell test code]:[5 cm2 cell test code]],[1]!Table1[[Test code]:[Test code]],[1]!Table1[HFR DIW/ mOhm cm2],"",0)</f>
        <v>#REF!</v>
      </c>
      <c r="AE1364" s="69" t="e" cm="1">
        <f t="array" ref="AE1364">_xlfn.XLOOKUP(Table1[[#This Row],[5 cm2 cell test code]:[5 cm2 cell test code]],[1]!Table1[[Test code]:[Test code]],[1]!Table1[HFR 10 mM KOH/ mOhm cm2],"",0)</f>
        <v>#REF!</v>
      </c>
      <c r="AF1364" s="69" t="e" cm="1">
        <f t="array" ref="AF1364">_xlfn.XLOOKUP(Table1[[#This Row],[5 cm2 cell test code]:[5 cm2 cell test code]],[1]!Table1[[Test code]:[Test code]],[1]!Table1[Ionic resistance DIW/Ohm cm2],"",0)</f>
        <v>#REF!</v>
      </c>
      <c r="AG1364" s="69" t="e" cm="1">
        <f t="array" ref="AG1364">_xlfn.XLOOKUP(Table1[[#This Row],[5 cm2 cell test code]:[5 cm2 cell test code]],[1]!Table1[[Test code]:[Test code]],[1]!Table1[Q_int_frac DIW],"",0)</f>
        <v>#REF!</v>
      </c>
      <c r="AH1364" s="69" t="e" cm="1">
        <f t="array" ref="AH1364">_xlfn.XLOOKUP(Table1[[#This Row],[5 cm2 cell test code]:[5 cm2 cell test code]],[1]!Table1[[Test code]:[Test code]],[1]!Table1[Ionic resistance 10 mM KOH/Ohm cm2],"",0)</f>
        <v>#REF!</v>
      </c>
      <c r="AI1364" s="69" t="e" cm="1">
        <f t="array" ref="AI1364">_xlfn.XLOOKUP(Table1[[#This Row],[5 cm2 cell test code]:[5 cm2 cell test code]],[1]!Table1[[Test code]:[Test code]],[1]!Table1[Q_int_frac DIW 10 mM KOH],"",0)</f>
        <v>#REF!</v>
      </c>
      <c r="AJ1364" s="69" t="e" cm="1">
        <f t="array" ref="AJ1364">_xlfn.XLOOKUP(Table1[[#This Row],[5 cm2 cell test code]:[5 cm2 cell test code]],[1]!Table1[[Test code]:[Test code]],[1]!Table1[DIW conductivity (µS/cm)],"",0)</f>
        <v>#REF!</v>
      </c>
    </row>
    <row r="1365" spans="1:36">
      <c r="A1365" s="81"/>
      <c r="U1365" s="101"/>
      <c r="V1365" s="101"/>
      <c r="W1365" s="69" t="e" cm="1">
        <f t="array" ref="W1365">_xlfn.XLOOKUP(Table1[[#This Row],[5 cm2 cell test code]:[5 cm2 cell test code]],[1]!Table1[[Test code]:[Test code]],[1]!Table1[i @ 1.8 V DIW (A/cm2)],"",0)</f>
        <v>#REF!</v>
      </c>
      <c r="X1365" s="69" t="e" cm="1">
        <f t="array" ref="X1365">_xlfn.XLOOKUP(Table1[[#This Row],[5 cm2 cell test code]:[5 cm2 cell test code]],[1]!Table1[[Test code]:[Test code]],[1]!Table1[i @ 1.8 V 10 mM KOH (A/cm2)],"",0)</f>
        <v>#REF!</v>
      </c>
      <c r="Y1365" s="69" t="e" cm="1">
        <f t="array" ref="Y1365">_xlfn.XLOOKUP(Table1[[#This Row],[5 cm2 cell test code]:[5 cm2 cell test code]],[1]!Table1[[Test code]:[Test code]],[1]!Table1[3-E ƞ at 20mAcm-2 (mV)],"",0)</f>
        <v>#REF!</v>
      </c>
      <c r="Z1365" s="69" t="e" cm="1">
        <f t="array" ref="Z1365">_xlfn.XLOOKUP(Table1[[#This Row],[5 cm2 cell test code]:[5 cm2 cell test code]],[1]!Table1[[Test code]:[Test code]],[1]!Table1[3-E Tafel slope (mV/dec)],"",0)</f>
        <v>#REF!</v>
      </c>
      <c r="AA1365" s="69" t="e" cm="1">
        <f t="array" ref="AA1365">_xlfn.XLOOKUP(Table1[[#This Row],[5 cm2 cell test code]:[5 cm2 cell test code]],[1]!Table1[[Test code]:[Test code]],[1]!Table1[E @ 100 mA/cm2 DIW/V],"",0)</f>
        <v>#REF!</v>
      </c>
      <c r="AB1365" s="69" t="e" cm="1">
        <f t="array" ref="AB1365">_xlfn.XLOOKUP(Table1[[#This Row],[5 cm2 cell test code]:[5 cm2 cell test code]],[1]!Table1[[Test code]:[Test code]],[1]!Table1[E @ 100 mA/cm2 10 mM KOH/V],"",0)</f>
        <v>#REF!</v>
      </c>
      <c r="AC1365" s="69" t="e" cm="1">
        <f t="array" ref="AC1365">_xlfn.XLOOKUP(Table1[[#This Row],[5 cm2 cell test code]:[5 cm2 cell test code]],[1]!Table1[[Test code]:[Test code]],[1]!Table1[Anode ICR/mOhm],"",0)</f>
        <v>#REF!</v>
      </c>
      <c r="AD1365" s="69" t="e" cm="1">
        <f t="array" ref="AD1365">_xlfn.XLOOKUP(Table1[[#This Row],[5 cm2 cell test code]:[5 cm2 cell test code]],[1]!Table1[[Test code]:[Test code]],[1]!Table1[HFR DIW/ mOhm cm2],"",0)</f>
        <v>#REF!</v>
      </c>
      <c r="AE1365" s="69" t="e" cm="1">
        <f t="array" ref="AE1365">_xlfn.XLOOKUP(Table1[[#This Row],[5 cm2 cell test code]:[5 cm2 cell test code]],[1]!Table1[[Test code]:[Test code]],[1]!Table1[HFR 10 mM KOH/ mOhm cm2],"",0)</f>
        <v>#REF!</v>
      </c>
      <c r="AF1365" s="69" t="e" cm="1">
        <f t="array" ref="AF1365">_xlfn.XLOOKUP(Table1[[#This Row],[5 cm2 cell test code]:[5 cm2 cell test code]],[1]!Table1[[Test code]:[Test code]],[1]!Table1[Ionic resistance DIW/Ohm cm2],"",0)</f>
        <v>#REF!</v>
      </c>
      <c r="AG1365" s="69" t="e" cm="1">
        <f t="array" ref="AG1365">_xlfn.XLOOKUP(Table1[[#This Row],[5 cm2 cell test code]:[5 cm2 cell test code]],[1]!Table1[[Test code]:[Test code]],[1]!Table1[Q_int_frac DIW],"",0)</f>
        <v>#REF!</v>
      </c>
      <c r="AH1365" s="69" t="e" cm="1">
        <f t="array" ref="AH1365">_xlfn.XLOOKUP(Table1[[#This Row],[5 cm2 cell test code]:[5 cm2 cell test code]],[1]!Table1[[Test code]:[Test code]],[1]!Table1[Ionic resistance 10 mM KOH/Ohm cm2],"",0)</f>
        <v>#REF!</v>
      </c>
      <c r="AI1365" s="69" t="e" cm="1">
        <f t="array" ref="AI1365">_xlfn.XLOOKUP(Table1[[#This Row],[5 cm2 cell test code]:[5 cm2 cell test code]],[1]!Table1[[Test code]:[Test code]],[1]!Table1[Q_int_frac DIW 10 mM KOH],"",0)</f>
        <v>#REF!</v>
      </c>
      <c r="AJ1365" s="69" t="e" cm="1">
        <f t="array" ref="AJ1365">_xlfn.XLOOKUP(Table1[[#This Row],[5 cm2 cell test code]:[5 cm2 cell test code]],[1]!Table1[[Test code]:[Test code]],[1]!Table1[DIW conductivity (µS/cm)],"",0)</f>
        <v>#REF!</v>
      </c>
    </row>
    <row r="1366" spans="1:36">
      <c r="A1366" s="81"/>
      <c r="U1366" s="101"/>
      <c r="V1366" s="101"/>
      <c r="W1366" s="69" t="e" cm="1">
        <f t="array" ref="W1366">_xlfn.XLOOKUP(Table1[[#This Row],[5 cm2 cell test code]:[5 cm2 cell test code]],[1]!Table1[[Test code]:[Test code]],[1]!Table1[i @ 1.8 V DIW (A/cm2)],"",0)</f>
        <v>#REF!</v>
      </c>
      <c r="X1366" s="69" t="e" cm="1">
        <f t="array" ref="X1366">_xlfn.XLOOKUP(Table1[[#This Row],[5 cm2 cell test code]:[5 cm2 cell test code]],[1]!Table1[[Test code]:[Test code]],[1]!Table1[i @ 1.8 V 10 mM KOH (A/cm2)],"",0)</f>
        <v>#REF!</v>
      </c>
      <c r="Y1366" s="69" t="e" cm="1">
        <f t="array" ref="Y1366">_xlfn.XLOOKUP(Table1[[#This Row],[5 cm2 cell test code]:[5 cm2 cell test code]],[1]!Table1[[Test code]:[Test code]],[1]!Table1[3-E ƞ at 20mAcm-2 (mV)],"",0)</f>
        <v>#REF!</v>
      </c>
      <c r="Z1366" s="69" t="e" cm="1">
        <f t="array" ref="Z1366">_xlfn.XLOOKUP(Table1[[#This Row],[5 cm2 cell test code]:[5 cm2 cell test code]],[1]!Table1[[Test code]:[Test code]],[1]!Table1[3-E Tafel slope (mV/dec)],"",0)</f>
        <v>#REF!</v>
      </c>
      <c r="AA1366" s="69" t="e" cm="1">
        <f t="array" ref="AA1366">_xlfn.XLOOKUP(Table1[[#This Row],[5 cm2 cell test code]:[5 cm2 cell test code]],[1]!Table1[[Test code]:[Test code]],[1]!Table1[E @ 100 mA/cm2 DIW/V],"",0)</f>
        <v>#REF!</v>
      </c>
      <c r="AB1366" s="69" t="e" cm="1">
        <f t="array" ref="AB1366">_xlfn.XLOOKUP(Table1[[#This Row],[5 cm2 cell test code]:[5 cm2 cell test code]],[1]!Table1[[Test code]:[Test code]],[1]!Table1[E @ 100 mA/cm2 10 mM KOH/V],"",0)</f>
        <v>#REF!</v>
      </c>
      <c r="AC1366" s="69" t="e" cm="1">
        <f t="array" ref="AC1366">_xlfn.XLOOKUP(Table1[[#This Row],[5 cm2 cell test code]:[5 cm2 cell test code]],[1]!Table1[[Test code]:[Test code]],[1]!Table1[Anode ICR/mOhm],"",0)</f>
        <v>#REF!</v>
      </c>
      <c r="AD1366" s="69" t="e" cm="1">
        <f t="array" ref="AD1366">_xlfn.XLOOKUP(Table1[[#This Row],[5 cm2 cell test code]:[5 cm2 cell test code]],[1]!Table1[[Test code]:[Test code]],[1]!Table1[HFR DIW/ mOhm cm2],"",0)</f>
        <v>#REF!</v>
      </c>
      <c r="AE1366" s="69" t="e" cm="1">
        <f t="array" ref="AE1366">_xlfn.XLOOKUP(Table1[[#This Row],[5 cm2 cell test code]:[5 cm2 cell test code]],[1]!Table1[[Test code]:[Test code]],[1]!Table1[HFR 10 mM KOH/ mOhm cm2],"",0)</f>
        <v>#REF!</v>
      </c>
      <c r="AF1366" s="69" t="e" cm="1">
        <f t="array" ref="AF1366">_xlfn.XLOOKUP(Table1[[#This Row],[5 cm2 cell test code]:[5 cm2 cell test code]],[1]!Table1[[Test code]:[Test code]],[1]!Table1[Ionic resistance DIW/Ohm cm2],"",0)</f>
        <v>#REF!</v>
      </c>
      <c r="AG1366" s="69" t="e" cm="1">
        <f t="array" ref="AG1366">_xlfn.XLOOKUP(Table1[[#This Row],[5 cm2 cell test code]:[5 cm2 cell test code]],[1]!Table1[[Test code]:[Test code]],[1]!Table1[Q_int_frac DIW],"",0)</f>
        <v>#REF!</v>
      </c>
      <c r="AH1366" s="69" t="e" cm="1">
        <f t="array" ref="AH1366">_xlfn.XLOOKUP(Table1[[#This Row],[5 cm2 cell test code]:[5 cm2 cell test code]],[1]!Table1[[Test code]:[Test code]],[1]!Table1[Ionic resistance 10 mM KOH/Ohm cm2],"",0)</f>
        <v>#REF!</v>
      </c>
      <c r="AI1366" s="69" t="e" cm="1">
        <f t="array" ref="AI1366">_xlfn.XLOOKUP(Table1[[#This Row],[5 cm2 cell test code]:[5 cm2 cell test code]],[1]!Table1[[Test code]:[Test code]],[1]!Table1[Q_int_frac DIW 10 mM KOH],"",0)</f>
        <v>#REF!</v>
      </c>
      <c r="AJ1366" s="69" t="e" cm="1">
        <f t="array" ref="AJ1366">_xlfn.XLOOKUP(Table1[[#This Row],[5 cm2 cell test code]:[5 cm2 cell test code]],[1]!Table1[[Test code]:[Test code]],[1]!Table1[DIW conductivity (µS/cm)],"",0)</f>
        <v>#REF!</v>
      </c>
    </row>
    <row r="1367" spans="1:36">
      <c r="A1367" s="81"/>
      <c r="U1367" s="101"/>
      <c r="V1367" s="101"/>
      <c r="W1367" s="69" t="e" cm="1">
        <f t="array" ref="W1367">_xlfn.XLOOKUP(Table1[[#This Row],[5 cm2 cell test code]:[5 cm2 cell test code]],[1]!Table1[[Test code]:[Test code]],[1]!Table1[i @ 1.8 V DIW (A/cm2)],"",0)</f>
        <v>#REF!</v>
      </c>
      <c r="X1367" s="69" t="e" cm="1">
        <f t="array" ref="X1367">_xlfn.XLOOKUP(Table1[[#This Row],[5 cm2 cell test code]:[5 cm2 cell test code]],[1]!Table1[[Test code]:[Test code]],[1]!Table1[i @ 1.8 V 10 mM KOH (A/cm2)],"",0)</f>
        <v>#REF!</v>
      </c>
      <c r="Y1367" s="69" t="e" cm="1">
        <f t="array" ref="Y1367">_xlfn.XLOOKUP(Table1[[#This Row],[5 cm2 cell test code]:[5 cm2 cell test code]],[1]!Table1[[Test code]:[Test code]],[1]!Table1[3-E ƞ at 20mAcm-2 (mV)],"",0)</f>
        <v>#REF!</v>
      </c>
      <c r="Z1367" s="69" t="e" cm="1">
        <f t="array" ref="Z1367">_xlfn.XLOOKUP(Table1[[#This Row],[5 cm2 cell test code]:[5 cm2 cell test code]],[1]!Table1[[Test code]:[Test code]],[1]!Table1[3-E Tafel slope (mV/dec)],"",0)</f>
        <v>#REF!</v>
      </c>
      <c r="AA1367" s="69" t="e" cm="1">
        <f t="array" ref="AA1367">_xlfn.XLOOKUP(Table1[[#This Row],[5 cm2 cell test code]:[5 cm2 cell test code]],[1]!Table1[[Test code]:[Test code]],[1]!Table1[E @ 100 mA/cm2 DIW/V],"",0)</f>
        <v>#REF!</v>
      </c>
      <c r="AB1367" s="69" t="e" cm="1">
        <f t="array" ref="AB1367">_xlfn.XLOOKUP(Table1[[#This Row],[5 cm2 cell test code]:[5 cm2 cell test code]],[1]!Table1[[Test code]:[Test code]],[1]!Table1[E @ 100 mA/cm2 10 mM KOH/V],"",0)</f>
        <v>#REF!</v>
      </c>
      <c r="AC1367" s="69" t="e" cm="1">
        <f t="array" ref="AC1367">_xlfn.XLOOKUP(Table1[[#This Row],[5 cm2 cell test code]:[5 cm2 cell test code]],[1]!Table1[[Test code]:[Test code]],[1]!Table1[Anode ICR/mOhm],"",0)</f>
        <v>#REF!</v>
      </c>
      <c r="AD1367" s="69" t="e" cm="1">
        <f t="array" ref="AD1367">_xlfn.XLOOKUP(Table1[[#This Row],[5 cm2 cell test code]:[5 cm2 cell test code]],[1]!Table1[[Test code]:[Test code]],[1]!Table1[HFR DIW/ mOhm cm2],"",0)</f>
        <v>#REF!</v>
      </c>
      <c r="AE1367" s="69" t="e" cm="1">
        <f t="array" ref="AE1367">_xlfn.XLOOKUP(Table1[[#This Row],[5 cm2 cell test code]:[5 cm2 cell test code]],[1]!Table1[[Test code]:[Test code]],[1]!Table1[HFR 10 mM KOH/ mOhm cm2],"",0)</f>
        <v>#REF!</v>
      </c>
      <c r="AF1367" s="69" t="e" cm="1">
        <f t="array" ref="AF1367">_xlfn.XLOOKUP(Table1[[#This Row],[5 cm2 cell test code]:[5 cm2 cell test code]],[1]!Table1[[Test code]:[Test code]],[1]!Table1[Ionic resistance DIW/Ohm cm2],"",0)</f>
        <v>#REF!</v>
      </c>
      <c r="AG1367" s="69" t="e" cm="1">
        <f t="array" ref="AG1367">_xlfn.XLOOKUP(Table1[[#This Row],[5 cm2 cell test code]:[5 cm2 cell test code]],[1]!Table1[[Test code]:[Test code]],[1]!Table1[Q_int_frac DIW],"",0)</f>
        <v>#REF!</v>
      </c>
      <c r="AH1367" s="69" t="e" cm="1">
        <f t="array" ref="AH1367">_xlfn.XLOOKUP(Table1[[#This Row],[5 cm2 cell test code]:[5 cm2 cell test code]],[1]!Table1[[Test code]:[Test code]],[1]!Table1[Ionic resistance 10 mM KOH/Ohm cm2],"",0)</f>
        <v>#REF!</v>
      </c>
      <c r="AI1367" s="69" t="e" cm="1">
        <f t="array" ref="AI1367">_xlfn.XLOOKUP(Table1[[#This Row],[5 cm2 cell test code]:[5 cm2 cell test code]],[1]!Table1[[Test code]:[Test code]],[1]!Table1[Q_int_frac DIW 10 mM KOH],"",0)</f>
        <v>#REF!</v>
      </c>
      <c r="AJ1367" s="69" t="e" cm="1">
        <f t="array" ref="AJ1367">_xlfn.XLOOKUP(Table1[[#This Row],[5 cm2 cell test code]:[5 cm2 cell test code]],[1]!Table1[[Test code]:[Test code]],[1]!Table1[DIW conductivity (µS/cm)],"",0)</f>
        <v>#REF!</v>
      </c>
    </row>
    <row r="1368" spans="1:36">
      <c r="A1368" s="81"/>
      <c r="U1368" s="101"/>
      <c r="V1368" s="101"/>
      <c r="W1368" s="69" t="e" cm="1">
        <f t="array" ref="W1368">_xlfn.XLOOKUP(Table1[[#This Row],[5 cm2 cell test code]:[5 cm2 cell test code]],[1]!Table1[[Test code]:[Test code]],[1]!Table1[i @ 1.8 V DIW (A/cm2)],"",0)</f>
        <v>#REF!</v>
      </c>
      <c r="X1368" s="69" t="e" cm="1">
        <f t="array" ref="X1368">_xlfn.XLOOKUP(Table1[[#This Row],[5 cm2 cell test code]:[5 cm2 cell test code]],[1]!Table1[[Test code]:[Test code]],[1]!Table1[i @ 1.8 V 10 mM KOH (A/cm2)],"",0)</f>
        <v>#REF!</v>
      </c>
      <c r="Y1368" s="69" t="e" cm="1">
        <f t="array" ref="Y1368">_xlfn.XLOOKUP(Table1[[#This Row],[5 cm2 cell test code]:[5 cm2 cell test code]],[1]!Table1[[Test code]:[Test code]],[1]!Table1[3-E ƞ at 20mAcm-2 (mV)],"",0)</f>
        <v>#REF!</v>
      </c>
      <c r="Z1368" s="69" t="e" cm="1">
        <f t="array" ref="Z1368">_xlfn.XLOOKUP(Table1[[#This Row],[5 cm2 cell test code]:[5 cm2 cell test code]],[1]!Table1[[Test code]:[Test code]],[1]!Table1[3-E Tafel slope (mV/dec)],"",0)</f>
        <v>#REF!</v>
      </c>
      <c r="AA1368" s="69" t="e" cm="1">
        <f t="array" ref="AA1368">_xlfn.XLOOKUP(Table1[[#This Row],[5 cm2 cell test code]:[5 cm2 cell test code]],[1]!Table1[[Test code]:[Test code]],[1]!Table1[E @ 100 mA/cm2 DIW/V],"",0)</f>
        <v>#REF!</v>
      </c>
      <c r="AB1368" s="69" t="e" cm="1">
        <f t="array" ref="AB1368">_xlfn.XLOOKUP(Table1[[#This Row],[5 cm2 cell test code]:[5 cm2 cell test code]],[1]!Table1[[Test code]:[Test code]],[1]!Table1[E @ 100 mA/cm2 10 mM KOH/V],"",0)</f>
        <v>#REF!</v>
      </c>
      <c r="AC1368" s="69" t="e" cm="1">
        <f t="array" ref="AC1368">_xlfn.XLOOKUP(Table1[[#This Row],[5 cm2 cell test code]:[5 cm2 cell test code]],[1]!Table1[[Test code]:[Test code]],[1]!Table1[Anode ICR/mOhm],"",0)</f>
        <v>#REF!</v>
      </c>
      <c r="AD1368" s="69" t="e" cm="1">
        <f t="array" ref="AD1368">_xlfn.XLOOKUP(Table1[[#This Row],[5 cm2 cell test code]:[5 cm2 cell test code]],[1]!Table1[[Test code]:[Test code]],[1]!Table1[HFR DIW/ mOhm cm2],"",0)</f>
        <v>#REF!</v>
      </c>
      <c r="AE1368" s="69" t="e" cm="1">
        <f t="array" ref="AE1368">_xlfn.XLOOKUP(Table1[[#This Row],[5 cm2 cell test code]:[5 cm2 cell test code]],[1]!Table1[[Test code]:[Test code]],[1]!Table1[HFR 10 mM KOH/ mOhm cm2],"",0)</f>
        <v>#REF!</v>
      </c>
      <c r="AF1368" s="69" t="e" cm="1">
        <f t="array" ref="AF1368">_xlfn.XLOOKUP(Table1[[#This Row],[5 cm2 cell test code]:[5 cm2 cell test code]],[1]!Table1[[Test code]:[Test code]],[1]!Table1[Ionic resistance DIW/Ohm cm2],"",0)</f>
        <v>#REF!</v>
      </c>
      <c r="AG1368" s="69" t="e" cm="1">
        <f t="array" ref="AG1368">_xlfn.XLOOKUP(Table1[[#This Row],[5 cm2 cell test code]:[5 cm2 cell test code]],[1]!Table1[[Test code]:[Test code]],[1]!Table1[Q_int_frac DIW],"",0)</f>
        <v>#REF!</v>
      </c>
      <c r="AH1368" s="69" t="e" cm="1">
        <f t="array" ref="AH1368">_xlfn.XLOOKUP(Table1[[#This Row],[5 cm2 cell test code]:[5 cm2 cell test code]],[1]!Table1[[Test code]:[Test code]],[1]!Table1[Ionic resistance 10 mM KOH/Ohm cm2],"",0)</f>
        <v>#REF!</v>
      </c>
      <c r="AI1368" s="69" t="e" cm="1">
        <f t="array" ref="AI1368">_xlfn.XLOOKUP(Table1[[#This Row],[5 cm2 cell test code]:[5 cm2 cell test code]],[1]!Table1[[Test code]:[Test code]],[1]!Table1[Q_int_frac DIW 10 mM KOH],"",0)</f>
        <v>#REF!</v>
      </c>
      <c r="AJ1368" s="69" t="e" cm="1">
        <f t="array" ref="AJ1368">_xlfn.XLOOKUP(Table1[[#This Row],[5 cm2 cell test code]:[5 cm2 cell test code]],[1]!Table1[[Test code]:[Test code]],[1]!Table1[DIW conductivity (µS/cm)],"",0)</f>
        <v>#REF!</v>
      </c>
    </row>
    <row r="1369" spans="1:36">
      <c r="A1369" s="81"/>
      <c r="U1369" s="101"/>
      <c r="V1369" s="101"/>
      <c r="W1369" s="69" t="e" cm="1">
        <f t="array" ref="W1369">_xlfn.XLOOKUP(Table1[[#This Row],[5 cm2 cell test code]:[5 cm2 cell test code]],[1]!Table1[[Test code]:[Test code]],[1]!Table1[i @ 1.8 V DIW (A/cm2)],"",0)</f>
        <v>#REF!</v>
      </c>
      <c r="X1369" s="69" t="e" cm="1">
        <f t="array" ref="X1369">_xlfn.XLOOKUP(Table1[[#This Row],[5 cm2 cell test code]:[5 cm2 cell test code]],[1]!Table1[[Test code]:[Test code]],[1]!Table1[i @ 1.8 V 10 mM KOH (A/cm2)],"",0)</f>
        <v>#REF!</v>
      </c>
      <c r="Y1369" s="69" t="e" cm="1">
        <f t="array" ref="Y1369">_xlfn.XLOOKUP(Table1[[#This Row],[5 cm2 cell test code]:[5 cm2 cell test code]],[1]!Table1[[Test code]:[Test code]],[1]!Table1[3-E ƞ at 20mAcm-2 (mV)],"",0)</f>
        <v>#REF!</v>
      </c>
      <c r="Z1369" s="69" t="e" cm="1">
        <f t="array" ref="Z1369">_xlfn.XLOOKUP(Table1[[#This Row],[5 cm2 cell test code]:[5 cm2 cell test code]],[1]!Table1[[Test code]:[Test code]],[1]!Table1[3-E Tafel slope (mV/dec)],"",0)</f>
        <v>#REF!</v>
      </c>
      <c r="AA1369" s="69" t="e" cm="1">
        <f t="array" ref="AA1369">_xlfn.XLOOKUP(Table1[[#This Row],[5 cm2 cell test code]:[5 cm2 cell test code]],[1]!Table1[[Test code]:[Test code]],[1]!Table1[E @ 100 mA/cm2 DIW/V],"",0)</f>
        <v>#REF!</v>
      </c>
      <c r="AB1369" s="69" t="e" cm="1">
        <f t="array" ref="AB1369">_xlfn.XLOOKUP(Table1[[#This Row],[5 cm2 cell test code]:[5 cm2 cell test code]],[1]!Table1[[Test code]:[Test code]],[1]!Table1[E @ 100 mA/cm2 10 mM KOH/V],"",0)</f>
        <v>#REF!</v>
      </c>
      <c r="AC1369" s="69" t="e" cm="1">
        <f t="array" ref="AC1369">_xlfn.XLOOKUP(Table1[[#This Row],[5 cm2 cell test code]:[5 cm2 cell test code]],[1]!Table1[[Test code]:[Test code]],[1]!Table1[Anode ICR/mOhm],"",0)</f>
        <v>#REF!</v>
      </c>
      <c r="AD1369" s="69" t="e" cm="1">
        <f t="array" ref="AD1369">_xlfn.XLOOKUP(Table1[[#This Row],[5 cm2 cell test code]:[5 cm2 cell test code]],[1]!Table1[[Test code]:[Test code]],[1]!Table1[HFR DIW/ mOhm cm2],"",0)</f>
        <v>#REF!</v>
      </c>
      <c r="AE1369" s="69" t="e" cm="1">
        <f t="array" ref="AE1369">_xlfn.XLOOKUP(Table1[[#This Row],[5 cm2 cell test code]:[5 cm2 cell test code]],[1]!Table1[[Test code]:[Test code]],[1]!Table1[HFR 10 mM KOH/ mOhm cm2],"",0)</f>
        <v>#REF!</v>
      </c>
      <c r="AF1369" s="69" t="e" cm="1">
        <f t="array" ref="AF1369">_xlfn.XLOOKUP(Table1[[#This Row],[5 cm2 cell test code]:[5 cm2 cell test code]],[1]!Table1[[Test code]:[Test code]],[1]!Table1[Ionic resistance DIW/Ohm cm2],"",0)</f>
        <v>#REF!</v>
      </c>
      <c r="AG1369" s="69" t="e" cm="1">
        <f t="array" ref="AG1369">_xlfn.XLOOKUP(Table1[[#This Row],[5 cm2 cell test code]:[5 cm2 cell test code]],[1]!Table1[[Test code]:[Test code]],[1]!Table1[Q_int_frac DIW],"",0)</f>
        <v>#REF!</v>
      </c>
      <c r="AH1369" s="69" t="e" cm="1">
        <f t="array" ref="AH1369">_xlfn.XLOOKUP(Table1[[#This Row],[5 cm2 cell test code]:[5 cm2 cell test code]],[1]!Table1[[Test code]:[Test code]],[1]!Table1[Ionic resistance 10 mM KOH/Ohm cm2],"",0)</f>
        <v>#REF!</v>
      </c>
      <c r="AI1369" s="69" t="e" cm="1">
        <f t="array" ref="AI1369">_xlfn.XLOOKUP(Table1[[#This Row],[5 cm2 cell test code]:[5 cm2 cell test code]],[1]!Table1[[Test code]:[Test code]],[1]!Table1[Q_int_frac DIW 10 mM KOH],"",0)</f>
        <v>#REF!</v>
      </c>
      <c r="AJ1369" s="69" t="e" cm="1">
        <f t="array" ref="AJ1369">_xlfn.XLOOKUP(Table1[[#This Row],[5 cm2 cell test code]:[5 cm2 cell test code]],[1]!Table1[[Test code]:[Test code]],[1]!Table1[DIW conductivity (µS/cm)],"",0)</f>
        <v>#REF!</v>
      </c>
    </row>
    <row r="1370" spans="1:36">
      <c r="A1370" s="81"/>
      <c r="U1370" s="101"/>
      <c r="V1370" s="101"/>
      <c r="W1370" s="69" t="e" cm="1">
        <f t="array" ref="W1370">_xlfn.XLOOKUP(Table1[[#This Row],[5 cm2 cell test code]:[5 cm2 cell test code]],[1]!Table1[[Test code]:[Test code]],[1]!Table1[i @ 1.8 V DIW (A/cm2)],"",0)</f>
        <v>#REF!</v>
      </c>
      <c r="X1370" s="69" t="e" cm="1">
        <f t="array" ref="X1370">_xlfn.XLOOKUP(Table1[[#This Row],[5 cm2 cell test code]:[5 cm2 cell test code]],[1]!Table1[[Test code]:[Test code]],[1]!Table1[i @ 1.8 V 10 mM KOH (A/cm2)],"",0)</f>
        <v>#REF!</v>
      </c>
      <c r="Y1370" s="69" t="e" cm="1">
        <f t="array" ref="Y1370">_xlfn.XLOOKUP(Table1[[#This Row],[5 cm2 cell test code]:[5 cm2 cell test code]],[1]!Table1[[Test code]:[Test code]],[1]!Table1[3-E ƞ at 20mAcm-2 (mV)],"",0)</f>
        <v>#REF!</v>
      </c>
      <c r="Z1370" s="69" t="e" cm="1">
        <f t="array" ref="Z1370">_xlfn.XLOOKUP(Table1[[#This Row],[5 cm2 cell test code]:[5 cm2 cell test code]],[1]!Table1[[Test code]:[Test code]],[1]!Table1[3-E Tafel slope (mV/dec)],"",0)</f>
        <v>#REF!</v>
      </c>
      <c r="AA1370" s="69" t="e" cm="1">
        <f t="array" ref="AA1370">_xlfn.XLOOKUP(Table1[[#This Row],[5 cm2 cell test code]:[5 cm2 cell test code]],[1]!Table1[[Test code]:[Test code]],[1]!Table1[E @ 100 mA/cm2 DIW/V],"",0)</f>
        <v>#REF!</v>
      </c>
      <c r="AB1370" s="69" t="e" cm="1">
        <f t="array" ref="AB1370">_xlfn.XLOOKUP(Table1[[#This Row],[5 cm2 cell test code]:[5 cm2 cell test code]],[1]!Table1[[Test code]:[Test code]],[1]!Table1[E @ 100 mA/cm2 10 mM KOH/V],"",0)</f>
        <v>#REF!</v>
      </c>
      <c r="AC1370" s="69" t="e" cm="1">
        <f t="array" ref="AC1370">_xlfn.XLOOKUP(Table1[[#This Row],[5 cm2 cell test code]:[5 cm2 cell test code]],[1]!Table1[[Test code]:[Test code]],[1]!Table1[Anode ICR/mOhm],"",0)</f>
        <v>#REF!</v>
      </c>
      <c r="AD1370" s="69" t="e" cm="1">
        <f t="array" ref="AD1370">_xlfn.XLOOKUP(Table1[[#This Row],[5 cm2 cell test code]:[5 cm2 cell test code]],[1]!Table1[[Test code]:[Test code]],[1]!Table1[HFR DIW/ mOhm cm2],"",0)</f>
        <v>#REF!</v>
      </c>
      <c r="AE1370" s="69" t="e" cm="1">
        <f t="array" ref="AE1370">_xlfn.XLOOKUP(Table1[[#This Row],[5 cm2 cell test code]:[5 cm2 cell test code]],[1]!Table1[[Test code]:[Test code]],[1]!Table1[HFR 10 mM KOH/ mOhm cm2],"",0)</f>
        <v>#REF!</v>
      </c>
      <c r="AF1370" s="69" t="e" cm="1">
        <f t="array" ref="AF1370">_xlfn.XLOOKUP(Table1[[#This Row],[5 cm2 cell test code]:[5 cm2 cell test code]],[1]!Table1[[Test code]:[Test code]],[1]!Table1[Ionic resistance DIW/Ohm cm2],"",0)</f>
        <v>#REF!</v>
      </c>
      <c r="AG1370" s="69" t="e" cm="1">
        <f t="array" ref="AG1370">_xlfn.XLOOKUP(Table1[[#This Row],[5 cm2 cell test code]:[5 cm2 cell test code]],[1]!Table1[[Test code]:[Test code]],[1]!Table1[Q_int_frac DIW],"",0)</f>
        <v>#REF!</v>
      </c>
      <c r="AH1370" s="69" t="e" cm="1">
        <f t="array" ref="AH1370">_xlfn.XLOOKUP(Table1[[#This Row],[5 cm2 cell test code]:[5 cm2 cell test code]],[1]!Table1[[Test code]:[Test code]],[1]!Table1[Ionic resistance 10 mM KOH/Ohm cm2],"",0)</f>
        <v>#REF!</v>
      </c>
      <c r="AI1370" s="69" t="e" cm="1">
        <f t="array" ref="AI1370">_xlfn.XLOOKUP(Table1[[#This Row],[5 cm2 cell test code]:[5 cm2 cell test code]],[1]!Table1[[Test code]:[Test code]],[1]!Table1[Q_int_frac DIW 10 mM KOH],"",0)</f>
        <v>#REF!</v>
      </c>
      <c r="AJ1370" s="69" t="e" cm="1">
        <f t="array" ref="AJ1370">_xlfn.XLOOKUP(Table1[[#This Row],[5 cm2 cell test code]:[5 cm2 cell test code]],[1]!Table1[[Test code]:[Test code]],[1]!Table1[DIW conductivity (µS/cm)],"",0)</f>
        <v>#REF!</v>
      </c>
    </row>
    <row r="1371" spans="1:36">
      <c r="A1371" s="81"/>
      <c r="U1371" s="101"/>
      <c r="V1371" s="101"/>
      <c r="W1371" s="69" t="e" cm="1">
        <f t="array" ref="W1371">_xlfn.XLOOKUP(Table1[[#This Row],[5 cm2 cell test code]:[5 cm2 cell test code]],[1]!Table1[[Test code]:[Test code]],[1]!Table1[i @ 1.8 V DIW (A/cm2)],"",0)</f>
        <v>#REF!</v>
      </c>
      <c r="X1371" s="69" t="e" cm="1">
        <f t="array" ref="X1371">_xlfn.XLOOKUP(Table1[[#This Row],[5 cm2 cell test code]:[5 cm2 cell test code]],[1]!Table1[[Test code]:[Test code]],[1]!Table1[i @ 1.8 V 10 mM KOH (A/cm2)],"",0)</f>
        <v>#REF!</v>
      </c>
      <c r="Y1371" s="69" t="e" cm="1">
        <f t="array" ref="Y1371">_xlfn.XLOOKUP(Table1[[#This Row],[5 cm2 cell test code]:[5 cm2 cell test code]],[1]!Table1[[Test code]:[Test code]],[1]!Table1[3-E ƞ at 20mAcm-2 (mV)],"",0)</f>
        <v>#REF!</v>
      </c>
      <c r="Z1371" s="69" t="e" cm="1">
        <f t="array" ref="Z1371">_xlfn.XLOOKUP(Table1[[#This Row],[5 cm2 cell test code]:[5 cm2 cell test code]],[1]!Table1[[Test code]:[Test code]],[1]!Table1[3-E Tafel slope (mV/dec)],"",0)</f>
        <v>#REF!</v>
      </c>
      <c r="AA1371" s="69" t="e" cm="1">
        <f t="array" ref="AA1371">_xlfn.XLOOKUP(Table1[[#This Row],[5 cm2 cell test code]:[5 cm2 cell test code]],[1]!Table1[[Test code]:[Test code]],[1]!Table1[E @ 100 mA/cm2 DIW/V],"",0)</f>
        <v>#REF!</v>
      </c>
      <c r="AB1371" s="69" t="e" cm="1">
        <f t="array" ref="AB1371">_xlfn.XLOOKUP(Table1[[#This Row],[5 cm2 cell test code]:[5 cm2 cell test code]],[1]!Table1[[Test code]:[Test code]],[1]!Table1[E @ 100 mA/cm2 10 mM KOH/V],"",0)</f>
        <v>#REF!</v>
      </c>
      <c r="AC1371" s="69" t="e" cm="1">
        <f t="array" ref="AC1371">_xlfn.XLOOKUP(Table1[[#This Row],[5 cm2 cell test code]:[5 cm2 cell test code]],[1]!Table1[[Test code]:[Test code]],[1]!Table1[Anode ICR/mOhm],"",0)</f>
        <v>#REF!</v>
      </c>
      <c r="AD1371" s="69" t="e" cm="1">
        <f t="array" ref="AD1371">_xlfn.XLOOKUP(Table1[[#This Row],[5 cm2 cell test code]:[5 cm2 cell test code]],[1]!Table1[[Test code]:[Test code]],[1]!Table1[HFR DIW/ mOhm cm2],"",0)</f>
        <v>#REF!</v>
      </c>
      <c r="AE1371" s="69" t="e" cm="1">
        <f t="array" ref="AE1371">_xlfn.XLOOKUP(Table1[[#This Row],[5 cm2 cell test code]:[5 cm2 cell test code]],[1]!Table1[[Test code]:[Test code]],[1]!Table1[HFR 10 mM KOH/ mOhm cm2],"",0)</f>
        <v>#REF!</v>
      </c>
      <c r="AF1371" s="69" t="e" cm="1">
        <f t="array" ref="AF1371">_xlfn.XLOOKUP(Table1[[#This Row],[5 cm2 cell test code]:[5 cm2 cell test code]],[1]!Table1[[Test code]:[Test code]],[1]!Table1[Ionic resistance DIW/Ohm cm2],"",0)</f>
        <v>#REF!</v>
      </c>
      <c r="AG1371" s="69" t="e" cm="1">
        <f t="array" ref="AG1371">_xlfn.XLOOKUP(Table1[[#This Row],[5 cm2 cell test code]:[5 cm2 cell test code]],[1]!Table1[[Test code]:[Test code]],[1]!Table1[Q_int_frac DIW],"",0)</f>
        <v>#REF!</v>
      </c>
      <c r="AH1371" s="69" t="e" cm="1">
        <f t="array" ref="AH1371">_xlfn.XLOOKUP(Table1[[#This Row],[5 cm2 cell test code]:[5 cm2 cell test code]],[1]!Table1[[Test code]:[Test code]],[1]!Table1[Ionic resistance 10 mM KOH/Ohm cm2],"",0)</f>
        <v>#REF!</v>
      </c>
      <c r="AI1371" s="69" t="e" cm="1">
        <f t="array" ref="AI1371">_xlfn.XLOOKUP(Table1[[#This Row],[5 cm2 cell test code]:[5 cm2 cell test code]],[1]!Table1[[Test code]:[Test code]],[1]!Table1[Q_int_frac DIW 10 mM KOH],"",0)</f>
        <v>#REF!</v>
      </c>
      <c r="AJ1371" s="69" t="e" cm="1">
        <f t="array" ref="AJ1371">_xlfn.XLOOKUP(Table1[[#This Row],[5 cm2 cell test code]:[5 cm2 cell test code]],[1]!Table1[[Test code]:[Test code]],[1]!Table1[DIW conductivity (µS/cm)],"",0)</f>
        <v>#REF!</v>
      </c>
    </row>
    <row r="1372" spans="1:36">
      <c r="A1372" s="81"/>
      <c r="U1372" s="101"/>
      <c r="V1372" s="101"/>
      <c r="W1372" s="69" t="e" cm="1">
        <f t="array" ref="W1372">_xlfn.XLOOKUP(Table1[[#This Row],[5 cm2 cell test code]:[5 cm2 cell test code]],[1]!Table1[[Test code]:[Test code]],[1]!Table1[i @ 1.8 V DIW (A/cm2)],"",0)</f>
        <v>#REF!</v>
      </c>
      <c r="X1372" s="69" t="e" cm="1">
        <f t="array" ref="X1372">_xlfn.XLOOKUP(Table1[[#This Row],[5 cm2 cell test code]:[5 cm2 cell test code]],[1]!Table1[[Test code]:[Test code]],[1]!Table1[i @ 1.8 V 10 mM KOH (A/cm2)],"",0)</f>
        <v>#REF!</v>
      </c>
      <c r="Y1372" s="69" t="e" cm="1">
        <f t="array" ref="Y1372">_xlfn.XLOOKUP(Table1[[#This Row],[5 cm2 cell test code]:[5 cm2 cell test code]],[1]!Table1[[Test code]:[Test code]],[1]!Table1[3-E ƞ at 20mAcm-2 (mV)],"",0)</f>
        <v>#REF!</v>
      </c>
      <c r="Z1372" s="69" t="e" cm="1">
        <f t="array" ref="Z1372">_xlfn.XLOOKUP(Table1[[#This Row],[5 cm2 cell test code]:[5 cm2 cell test code]],[1]!Table1[[Test code]:[Test code]],[1]!Table1[3-E Tafel slope (mV/dec)],"",0)</f>
        <v>#REF!</v>
      </c>
      <c r="AA1372" s="69" t="e" cm="1">
        <f t="array" ref="AA1372">_xlfn.XLOOKUP(Table1[[#This Row],[5 cm2 cell test code]:[5 cm2 cell test code]],[1]!Table1[[Test code]:[Test code]],[1]!Table1[E @ 100 mA/cm2 DIW/V],"",0)</f>
        <v>#REF!</v>
      </c>
      <c r="AB1372" s="69" t="e" cm="1">
        <f t="array" ref="AB1372">_xlfn.XLOOKUP(Table1[[#This Row],[5 cm2 cell test code]:[5 cm2 cell test code]],[1]!Table1[[Test code]:[Test code]],[1]!Table1[E @ 100 mA/cm2 10 mM KOH/V],"",0)</f>
        <v>#REF!</v>
      </c>
      <c r="AC1372" s="69" t="e" cm="1">
        <f t="array" ref="AC1372">_xlfn.XLOOKUP(Table1[[#This Row],[5 cm2 cell test code]:[5 cm2 cell test code]],[1]!Table1[[Test code]:[Test code]],[1]!Table1[Anode ICR/mOhm],"",0)</f>
        <v>#REF!</v>
      </c>
      <c r="AD1372" s="69" t="e" cm="1">
        <f t="array" ref="AD1372">_xlfn.XLOOKUP(Table1[[#This Row],[5 cm2 cell test code]:[5 cm2 cell test code]],[1]!Table1[[Test code]:[Test code]],[1]!Table1[HFR DIW/ mOhm cm2],"",0)</f>
        <v>#REF!</v>
      </c>
      <c r="AE1372" s="69" t="e" cm="1">
        <f t="array" ref="AE1372">_xlfn.XLOOKUP(Table1[[#This Row],[5 cm2 cell test code]:[5 cm2 cell test code]],[1]!Table1[[Test code]:[Test code]],[1]!Table1[HFR 10 mM KOH/ mOhm cm2],"",0)</f>
        <v>#REF!</v>
      </c>
      <c r="AF1372" s="69" t="e" cm="1">
        <f t="array" ref="AF1372">_xlfn.XLOOKUP(Table1[[#This Row],[5 cm2 cell test code]:[5 cm2 cell test code]],[1]!Table1[[Test code]:[Test code]],[1]!Table1[Ionic resistance DIW/Ohm cm2],"",0)</f>
        <v>#REF!</v>
      </c>
      <c r="AG1372" s="69" t="e" cm="1">
        <f t="array" ref="AG1372">_xlfn.XLOOKUP(Table1[[#This Row],[5 cm2 cell test code]:[5 cm2 cell test code]],[1]!Table1[[Test code]:[Test code]],[1]!Table1[Q_int_frac DIW],"",0)</f>
        <v>#REF!</v>
      </c>
      <c r="AH1372" s="69" t="e" cm="1">
        <f t="array" ref="AH1372">_xlfn.XLOOKUP(Table1[[#This Row],[5 cm2 cell test code]:[5 cm2 cell test code]],[1]!Table1[[Test code]:[Test code]],[1]!Table1[Ionic resistance 10 mM KOH/Ohm cm2],"",0)</f>
        <v>#REF!</v>
      </c>
      <c r="AI1372" s="69" t="e" cm="1">
        <f t="array" ref="AI1372">_xlfn.XLOOKUP(Table1[[#This Row],[5 cm2 cell test code]:[5 cm2 cell test code]],[1]!Table1[[Test code]:[Test code]],[1]!Table1[Q_int_frac DIW 10 mM KOH],"",0)</f>
        <v>#REF!</v>
      </c>
      <c r="AJ1372" s="69" t="e" cm="1">
        <f t="array" ref="AJ1372">_xlfn.XLOOKUP(Table1[[#This Row],[5 cm2 cell test code]:[5 cm2 cell test code]],[1]!Table1[[Test code]:[Test code]],[1]!Table1[DIW conductivity (µS/cm)],"",0)</f>
        <v>#REF!</v>
      </c>
    </row>
    <row r="1373" spans="1:36">
      <c r="A1373" s="81"/>
      <c r="U1373" s="101"/>
      <c r="V1373" s="101"/>
      <c r="W1373" s="69" t="e" cm="1">
        <f t="array" ref="W1373">_xlfn.XLOOKUP(Table1[[#This Row],[5 cm2 cell test code]:[5 cm2 cell test code]],[1]!Table1[[Test code]:[Test code]],[1]!Table1[i @ 1.8 V DIW (A/cm2)],"",0)</f>
        <v>#REF!</v>
      </c>
      <c r="X1373" s="69" t="e" cm="1">
        <f t="array" ref="X1373">_xlfn.XLOOKUP(Table1[[#This Row],[5 cm2 cell test code]:[5 cm2 cell test code]],[1]!Table1[[Test code]:[Test code]],[1]!Table1[i @ 1.8 V 10 mM KOH (A/cm2)],"",0)</f>
        <v>#REF!</v>
      </c>
      <c r="Y1373" s="69" t="e" cm="1">
        <f t="array" ref="Y1373">_xlfn.XLOOKUP(Table1[[#This Row],[5 cm2 cell test code]:[5 cm2 cell test code]],[1]!Table1[[Test code]:[Test code]],[1]!Table1[3-E ƞ at 20mAcm-2 (mV)],"",0)</f>
        <v>#REF!</v>
      </c>
      <c r="Z1373" s="69" t="e" cm="1">
        <f t="array" ref="Z1373">_xlfn.XLOOKUP(Table1[[#This Row],[5 cm2 cell test code]:[5 cm2 cell test code]],[1]!Table1[[Test code]:[Test code]],[1]!Table1[3-E Tafel slope (mV/dec)],"",0)</f>
        <v>#REF!</v>
      </c>
      <c r="AA1373" s="69" t="e" cm="1">
        <f t="array" ref="AA1373">_xlfn.XLOOKUP(Table1[[#This Row],[5 cm2 cell test code]:[5 cm2 cell test code]],[1]!Table1[[Test code]:[Test code]],[1]!Table1[E @ 100 mA/cm2 DIW/V],"",0)</f>
        <v>#REF!</v>
      </c>
      <c r="AB1373" s="69" t="e" cm="1">
        <f t="array" ref="AB1373">_xlfn.XLOOKUP(Table1[[#This Row],[5 cm2 cell test code]:[5 cm2 cell test code]],[1]!Table1[[Test code]:[Test code]],[1]!Table1[E @ 100 mA/cm2 10 mM KOH/V],"",0)</f>
        <v>#REF!</v>
      </c>
      <c r="AC1373" s="69" t="e" cm="1">
        <f t="array" ref="AC1373">_xlfn.XLOOKUP(Table1[[#This Row],[5 cm2 cell test code]:[5 cm2 cell test code]],[1]!Table1[[Test code]:[Test code]],[1]!Table1[Anode ICR/mOhm],"",0)</f>
        <v>#REF!</v>
      </c>
      <c r="AD1373" s="69" t="e" cm="1">
        <f t="array" ref="AD1373">_xlfn.XLOOKUP(Table1[[#This Row],[5 cm2 cell test code]:[5 cm2 cell test code]],[1]!Table1[[Test code]:[Test code]],[1]!Table1[HFR DIW/ mOhm cm2],"",0)</f>
        <v>#REF!</v>
      </c>
      <c r="AE1373" s="69" t="e" cm="1">
        <f t="array" ref="AE1373">_xlfn.XLOOKUP(Table1[[#This Row],[5 cm2 cell test code]:[5 cm2 cell test code]],[1]!Table1[[Test code]:[Test code]],[1]!Table1[HFR 10 mM KOH/ mOhm cm2],"",0)</f>
        <v>#REF!</v>
      </c>
      <c r="AF1373" s="69" t="e" cm="1">
        <f t="array" ref="AF1373">_xlfn.XLOOKUP(Table1[[#This Row],[5 cm2 cell test code]:[5 cm2 cell test code]],[1]!Table1[[Test code]:[Test code]],[1]!Table1[Ionic resistance DIW/Ohm cm2],"",0)</f>
        <v>#REF!</v>
      </c>
      <c r="AG1373" s="69" t="e" cm="1">
        <f t="array" ref="AG1373">_xlfn.XLOOKUP(Table1[[#This Row],[5 cm2 cell test code]:[5 cm2 cell test code]],[1]!Table1[[Test code]:[Test code]],[1]!Table1[Q_int_frac DIW],"",0)</f>
        <v>#REF!</v>
      </c>
      <c r="AH1373" s="69" t="e" cm="1">
        <f t="array" ref="AH1373">_xlfn.XLOOKUP(Table1[[#This Row],[5 cm2 cell test code]:[5 cm2 cell test code]],[1]!Table1[[Test code]:[Test code]],[1]!Table1[Ionic resistance 10 mM KOH/Ohm cm2],"",0)</f>
        <v>#REF!</v>
      </c>
      <c r="AI1373" s="69" t="e" cm="1">
        <f t="array" ref="AI1373">_xlfn.XLOOKUP(Table1[[#This Row],[5 cm2 cell test code]:[5 cm2 cell test code]],[1]!Table1[[Test code]:[Test code]],[1]!Table1[Q_int_frac DIW 10 mM KOH],"",0)</f>
        <v>#REF!</v>
      </c>
      <c r="AJ1373" s="69" t="e" cm="1">
        <f t="array" ref="AJ1373">_xlfn.XLOOKUP(Table1[[#This Row],[5 cm2 cell test code]:[5 cm2 cell test code]],[1]!Table1[[Test code]:[Test code]],[1]!Table1[DIW conductivity (µS/cm)],"",0)</f>
        <v>#REF!</v>
      </c>
    </row>
    <row r="1374" spans="1:36">
      <c r="A1374" s="81"/>
      <c r="U1374" s="101"/>
      <c r="V1374" s="101"/>
      <c r="W1374" s="69" t="e" cm="1">
        <f t="array" ref="W1374">_xlfn.XLOOKUP(Table1[[#This Row],[5 cm2 cell test code]:[5 cm2 cell test code]],[1]!Table1[[Test code]:[Test code]],[1]!Table1[i @ 1.8 V DIW (A/cm2)],"",0)</f>
        <v>#REF!</v>
      </c>
      <c r="X1374" s="69" t="e" cm="1">
        <f t="array" ref="X1374">_xlfn.XLOOKUP(Table1[[#This Row],[5 cm2 cell test code]:[5 cm2 cell test code]],[1]!Table1[[Test code]:[Test code]],[1]!Table1[i @ 1.8 V 10 mM KOH (A/cm2)],"",0)</f>
        <v>#REF!</v>
      </c>
      <c r="Y1374" s="69" t="e" cm="1">
        <f t="array" ref="Y1374">_xlfn.XLOOKUP(Table1[[#This Row],[5 cm2 cell test code]:[5 cm2 cell test code]],[1]!Table1[[Test code]:[Test code]],[1]!Table1[3-E ƞ at 20mAcm-2 (mV)],"",0)</f>
        <v>#REF!</v>
      </c>
      <c r="Z1374" s="69" t="e" cm="1">
        <f t="array" ref="Z1374">_xlfn.XLOOKUP(Table1[[#This Row],[5 cm2 cell test code]:[5 cm2 cell test code]],[1]!Table1[[Test code]:[Test code]],[1]!Table1[3-E Tafel slope (mV/dec)],"",0)</f>
        <v>#REF!</v>
      </c>
      <c r="AA1374" s="69" t="e" cm="1">
        <f t="array" ref="AA1374">_xlfn.XLOOKUP(Table1[[#This Row],[5 cm2 cell test code]:[5 cm2 cell test code]],[1]!Table1[[Test code]:[Test code]],[1]!Table1[E @ 100 mA/cm2 DIW/V],"",0)</f>
        <v>#REF!</v>
      </c>
      <c r="AB1374" s="69" t="e" cm="1">
        <f t="array" ref="AB1374">_xlfn.XLOOKUP(Table1[[#This Row],[5 cm2 cell test code]:[5 cm2 cell test code]],[1]!Table1[[Test code]:[Test code]],[1]!Table1[E @ 100 mA/cm2 10 mM KOH/V],"",0)</f>
        <v>#REF!</v>
      </c>
      <c r="AC1374" s="69" t="e" cm="1">
        <f t="array" ref="AC1374">_xlfn.XLOOKUP(Table1[[#This Row],[5 cm2 cell test code]:[5 cm2 cell test code]],[1]!Table1[[Test code]:[Test code]],[1]!Table1[Anode ICR/mOhm],"",0)</f>
        <v>#REF!</v>
      </c>
      <c r="AD1374" s="69" t="e" cm="1">
        <f t="array" ref="AD1374">_xlfn.XLOOKUP(Table1[[#This Row],[5 cm2 cell test code]:[5 cm2 cell test code]],[1]!Table1[[Test code]:[Test code]],[1]!Table1[HFR DIW/ mOhm cm2],"",0)</f>
        <v>#REF!</v>
      </c>
      <c r="AE1374" s="69" t="e" cm="1">
        <f t="array" ref="AE1374">_xlfn.XLOOKUP(Table1[[#This Row],[5 cm2 cell test code]:[5 cm2 cell test code]],[1]!Table1[[Test code]:[Test code]],[1]!Table1[HFR 10 mM KOH/ mOhm cm2],"",0)</f>
        <v>#REF!</v>
      </c>
      <c r="AF1374" s="69" t="e" cm="1">
        <f t="array" ref="AF1374">_xlfn.XLOOKUP(Table1[[#This Row],[5 cm2 cell test code]:[5 cm2 cell test code]],[1]!Table1[[Test code]:[Test code]],[1]!Table1[Ionic resistance DIW/Ohm cm2],"",0)</f>
        <v>#REF!</v>
      </c>
      <c r="AG1374" s="69" t="e" cm="1">
        <f t="array" ref="AG1374">_xlfn.XLOOKUP(Table1[[#This Row],[5 cm2 cell test code]:[5 cm2 cell test code]],[1]!Table1[[Test code]:[Test code]],[1]!Table1[Q_int_frac DIW],"",0)</f>
        <v>#REF!</v>
      </c>
      <c r="AH1374" s="69" t="e" cm="1">
        <f t="array" ref="AH1374">_xlfn.XLOOKUP(Table1[[#This Row],[5 cm2 cell test code]:[5 cm2 cell test code]],[1]!Table1[[Test code]:[Test code]],[1]!Table1[Ionic resistance 10 mM KOH/Ohm cm2],"",0)</f>
        <v>#REF!</v>
      </c>
      <c r="AI1374" s="69" t="e" cm="1">
        <f t="array" ref="AI1374">_xlfn.XLOOKUP(Table1[[#This Row],[5 cm2 cell test code]:[5 cm2 cell test code]],[1]!Table1[[Test code]:[Test code]],[1]!Table1[Q_int_frac DIW 10 mM KOH],"",0)</f>
        <v>#REF!</v>
      </c>
      <c r="AJ1374" s="69" t="e" cm="1">
        <f t="array" ref="AJ1374">_xlfn.XLOOKUP(Table1[[#This Row],[5 cm2 cell test code]:[5 cm2 cell test code]],[1]!Table1[[Test code]:[Test code]],[1]!Table1[DIW conductivity (µS/cm)],"",0)</f>
        <v>#REF!</v>
      </c>
    </row>
    <row r="1375" spans="1:36">
      <c r="A1375" s="81"/>
      <c r="U1375" s="101"/>
      <c r="V1375" s="101"/>
      <c r="W1375" s="69" t="e" cm="1">
        <f t="array" ref="W1375">_xlfn.XLOOKUP(Table1[[#This Row],[5 cm2 cell test code]:[5 cm2 cell test code]],[1]!Table1[[Test code]:[Test code]],[1]!Table1[i @ 1.8 V DIW (A/cm2)],"",0)</f>
        <v>#REF!</v>
      </c>
      <c r="X1375" s="69" t="e" cm="1">
        <f t="array" ref="X1375">_xlfn.XLOOKUP(Table1[[#This Row],[5 cm2 cell test code]:[5 cm2 cell test code]],[1]!Table1[[Test code]:[Test code]],[1]!Table1[i @ 1.8 V 10 mM KOH (A/cm2)],"",0)</f>
        <v>#REF!</v>
      </c>
      <c r="Y1375" s="69" t="e" cm="1">
        <f t="array" ref="Y1375">_xlfn.XLOOKUP(Table1[[#This Row],[5 cm2 cell test code]:[5 cm2 cell test code]],[1]!Table1[[Test code]:[Test code]],[1]!Table1[3-E ƞ at 20mAcm-2 (mV)],"",0)</f>
        <v>#REF!</v>
      </c>
      <c r="Z1375" s="69" t="e" cm="1">
        <f t="array" ref="Z1375">_xlfn.XLOOKUP(Table1[[#This Row],[5 cm2 cell test code]:[5 cm2 cell test code]],[1]!Table1[[Test code]:[Test code]],[1]!Table1[3-E Tafel slope (mV/dec)],"",0)</f>
        <v>#REF!</v>
      </c>
      <c r="AA1375" s="69" t="e" cm="1">
        <f t="array" ref="AA1375">_xlfn.XLOOKUP(Table1[[#This Row],[5 cm2 cell test code]:[5 cm2 cell test code]],[1]!Table1[[Test code]:[Test code]],[1]!Table1[E @ 100 mA/cm2 DIW/V],"",0)</f>
        <v>#REF!</v>
      </c>
      <c r="AB1375" s="69" t="e" cm="1">
        <f t="array" ref="AB1375">_xlfn.XLOOKUP(Table1[[#This Row],[5 cm2 cell test code]:[5 cm2 cell test code]],[1]!Table1[[Test code]:[Test code]],[1]!Table1[E @ 100 mA/cm2 10 mM KOH/V],"",0)</f>
        <v>#REF!</v>
      </c>
      <c r="AC1375" s="69" t="e" cm="1">
        <f t="array" ref="AC1375">_xlfn.XLOOKUP(Table1[[#This Row],[5 cm2 cell test code]:[5 cm2 cell test code]],[1]!Table1[[Test code]:[Test code]],[1]!Table1[Anode ICR/mOhm],"",0)</f>
        <v>#REF!</v>
      </c>
      <c r="AD1375" s="69" t="e" cm="1">
        <f t="array" ref="AD1375">_xlfn.XLOOKUP(Table1[[#This Row],[5 cm2 cell test code]:[5 cm2 cell test code]],[1]!Table1[[Test code]:[Test code]],[1]!Table1[HFR DIW/ mOhm cm2],"",0)</f>
        <v>#REF!</v>
      </c>
      <c r="AE1375" s="69" t="e" cm="1">
        <f t="array" ref="AE1375">_xlfn.XLOOKUP(Table1[[#This Row],[5 cm2 cell test code]:[5 cm2 cell test code]],[1]!Table1[[Test code]:[Test code]],[1]!Table1[HFR 10 mM KOH/ mOhm cm2],"",0)</f>
        <v>#REF!</v>
      </c>
      <c r="AF1375" s="69" t="e" cm="1">
        <f t="array" ref="AF1375">_xlfn.XLOOKUP(Table1[[#This Row],[5 cm2 cell test code]:[5 cm2 cell test code]],[1]!Table1[[Test code]:[Test code]],[1]!Table1[Ionic resistance DIW/Ohm cm2],"",0)</f>
        <v>#REF!</v>
      </c>
      <c r="AG1375" s="69" t="e" cm="1">
        <f t="array" ref="AG1375">_xlfn.XLOOKUP(Table1[[#This Row],[5 cm2 cell test code]:[5 cm2 cell test code]],[1]!Table1[[Test code]:[Test code]],[1]!Table1[Q_int_frac DIW],"",0)</f>
        <v>#REF!</v>
      </c>
      <c r="AH1375" s="69" t="e" cm="1">
        <f t="array" ref="AH1375">_xlfn.XLOOKUP(Table1[[#This Row],[5 cm2 cell test code]:[5 cm2 cell test code]],[1]!Table1[[Test code]:[Test code]],[1]!Table1[Ionic resistance 10 mM KOH/Ohm cm2],"",0)</f>
        <v>#REF!</v>
      </c>
      <c r="AI1375" s="69" t="e" cm="1">
        <f t="array" ref="AI1375">_xlfn.XLOOKUP(Table1[[#This Row],[5 cm2 cell test code]:[5 cm2 cell test code]],[1]!Table1[[Test code]:[Test code]],[1]!Table1[Q_int_frac DIW 10 mM KOH],"",0)</f>
        <v>#REF!</v>
      </c>
      <c r="AJ1375" s="69" t="e" cm="1">
        <f t="array" ref="AJ1375">_xlfn.XLOOKUP(Table1[[#This Row],[5 cm2 cell test code]:[5 cm2 cell test code]],[1]!Table1[[Test code]:[Test code]],[1]!Table1[DIW conductivity (µS/cm)],"",0)</f>
        <v>#REF!</v>
      </c>
    </row>
    <row r="1376" spans="1:36">
      <c r="A1376" s="81"/>
      <c r="U1376" s="101"/>
      <c r="V1376" s="101"/>
      <c r="W1376" s="69" t="e" cm="1">
        <f t="array" ref="W1376">_xlfn.XLOOKUP(Table1[[#This Row],[5 cm2 cell test code]:[5 cm2 cell test code]],[1]!Table1[[Test code]:[Test code]],[1]!Table1[i @ 1.8 V DIW (A/cm2)],"",0)</f>
        <v>#REF!</v>
      </c>
      <c r="X1376" s="69" t="e" cm="1">
        <f t="array" ref="X1376">_xlfn.XLOOKUP(Table1[[#This Row],[5 cm2 cell test code]:[5 cm2 cell test code]],[1]!Table1[[Test code]:[Test code]],[1]!Table1[i @ 1.8 V 10 mM KOH (A/cm2)],"",0)</f>
        <v>#REF!</v>
      </c>
      <c r="Y1376" s="69" t="e" cm="1">
        <f t="array" ref="Y1376">_xlfn.XLOOKUP(Table1[[#This Row],[5 cm2 cell test code]:[5 cm2 cell test code]],[1]!Table1[[Test code]:[Test code]],[1]!Table1[3-E ƞ at 20mAcm-2 (mV)],"",0)</f>
        <v>#REF!</v>
      </c>
      <c r="Z1376" s="69" t="e" cm="1">
        <f t="array" ref="Z1376">_xlfn.XLOOKUP(Table1[[#This Row],[5 cm2 cell test code]:[5 cm2 cell test code]],[1]!Table1[[Test code]:[Test code]],[1]!Table1[3-E Tafel slope (mV/dec)],"",0)</f>
        <v>#REF!</v>
      </c>
      <c r="AA1376" s="69" t="e" cm="1">
        <f t="array" ref="AA1376">_xlfn.XLOOKUP(Table1[[#This Row],[5 cm2 cell test code]:[5 cm2 cell test code]],[1]!Table1[[Test code]:[Test code]],[1]!Table1[E @ 100 mA/cm2 DIW/V],"",0)</f>
        <v>#REF!</v>
      </c>
      <c r="AB1376" s="69" t="e" cm="1">
        <f t="array" ref="AB1376">_xlfn.XLOOKUP(Table1[[#This Row],[5 cm2 cell test code]:[5 cm2 cell test code]],[1]!Table1[[Test code]:[Test code]],[1]!Table1[E @ 100 mA/cm2 10 mM KOH/V],"",0)</f>
        <v>#REF!</v>
      </c>
      <c r="AC1376" s="69" t="e" cm="1">
        <f t="array" ref="AC1376">_xlfn.XLOOKUP(Table1[[#This Row],[5 cm2 cell test code]:[5 cm2 cell test code]],[1]!Table1[[Test code]:[Test code]],[1]!Table1[Anode ICR/mOhm],"",0)</f>
        <v>#REF!</v>
      </c>
      <c r="AD1376" s="69" t="e" cm="1">
        <f t="array" ref="AD1376">_xlfn.XLOOKUP(Table1[[#This Row],[5 cm2 cell test code]:[5 cm2 cell test code]],[1]!Table1[[Test code]:[Test code]],[1]!Table1[HFR DIW/ mOhm cm2],"",0)</f>
        <v>#REF!</v>
      </c>
      <c r="AE1376" s="69" t="e" cm="1">
        <f t="array" ref="AE1376">_xlfn.XLOOKUP(Table1[[#This Row],[5 cm2 cell test code]:[5 cm2 cell test code]],[1]!Table1[[Test code]:[Test code]],[1]!Table1[HFR 10 mM KOH/ mOhm cm2],"",0)</f>
        <v>#REF!</v>
      </c>
      <c r="AF1376" s="69" t="e" cm="1">
        <f t="array" ref="AF1376">_xlfn.XLOOKUP(Table1[[#This Row],[5 cm2 cell test code]:[5 cm2 cell test code]],[1]!Table1[[Test code]:[Test code]],[1]!Table1[Ionic resistance DIW/Ohm cm2],"",0)</f>
        <v>#REF!</v>
      </c>
      <c r="AG1376" s="69" t="e" cm="1">
        <f t="array" ref="AG1376">_xlfn.XLOOKUP(Table1[[#This Row],[5 cm2 cell test code]:[5 cm2 cell test code]],[1]!Table1[[Test code]:[Test code]],[1]!Table1[Q_int_frac DIW],"",0)</f>
        <v>#REF!</v>
      </c>
      <c r="AH1376" s="69" t="e" cm="1">
        <f t="array" ref="AH1376">_xlfn.XLOOKUP(Table1[[#This Row],[5 cm2 cell test code]:[5 cm2 cell test code]],[1]!Table1[[Test code]:[Test code]],[1]!Table1[Ionic resistance 10 mM KOH/Ohm cm2],"",0)</f>
        <v>#REF!</v>
      </c>
      <c r="AI1376" s="69" t="e" cm="1">
        <f t="array" ref="AI1376">_xlfn.XLOOKUP(Table1[[#This Row],[5 cm2 cell test code]:[5 cm2 cell test code]],[1]!Table1[[Test code]:[Test code]],[1]!Table1[Q_int_frac DIW 10 mM KOH],"",0)</f>
        <v>#REF!</v>
      </c>
      <c r="AJ1376" s="69" t="e" cm="1">
        <f t="array" ref="AJ1376">_xlfn.XLOOKUP(Table1[[#This Row],[5 cm2 cell test code]:[5 cm2 cell test code]],[1]!Table1[[Test code]:[Test code]],[1]!Table1[DIW conductivity (µS/cm)],"",0)</f>
        <v>#REF!</v>
      </c>
    </row>
    <row r="1377" spans="1:36">
      <c r="A1377" s="81"/>
      <c r="U1377" s="101"/>
      <c r="V1377" s="101"/>
      <c r="W1377" s="69" t="e" cm="1">
        <f t="array" ref="W1377">_xlfn.XLOOKUP(Table1[[#This Row],[5 cm2 cell test code]:[5 cm2 cell test code]],[1]!Table1[[Test code]:[Test code]],[1]!Table1[i @ 1.8 V DIW (A/cm2)],"",0)</f>
        <v>#REF!</v>
      </c>
      <c r="X1377" s="69" t="e" cm="1">
        <f t="array" ref="X1377">_xlfn.XLOOKUP(Table1[[#This Row],[5 cm2 cell test code]:[5 cm2 cell test code]],[1]!Table1[[Test code]:[Test code]],[1]!Table1[i @ 1.8 V 10 mM KOH (A/cm2)],"",0)</f>
        <v>#REF!</v>
      </c>
      <c r="Y1377" s="69" t="e" cm="1">
        <f t="array" ref="Y1377">_xlfn.XLOOKUP(Table1[[#This Row],[5 cm2 cell test code]:[5 cm2 cell test code]],[1]!Table1[[Test code]:[Test code]],[1]!Table1[3-E ƞ at 20mAcm-2 (mV)],"",0)</f>
        <v>#REF!</v>
      </c>
      <c r="Z1377" s="69" t="e" cm="1">
        <f t="array" ref="Z1377">_xlfn.XLOOKUP(Table1[[#This Row],[5 cm2 cell test code]:[5 cm2 cell test code]],[1]!Table1[[Test code]:[Test code]],[1]!Table1[3-E Tafel slope (mV/dec)],"",0)</f>
        <v>#REF!</v>
      </c>
      <c r="AA1377" s="69" t="e" cm="1">
        <f t="array" ref="AA1377">_xlfn.XLOOKUP(Table1[[#This Row],[5 cm2 cell test code]:[5 cm2 cell test code]],[1]!Table1[[Test code]:[Test code]],[1]!Table1[E @ 100 mA/cm2 DIW/V],"",0)</f>
        <v>#REF!</v>
      </c>
      <c r="AB1377" s="69" t="e" cm="1">
        <f t="array" ref="AB1377">_xlfn.XLOOKUP(Table1[[#This Row],[5 cm2 cell test code]:[5 cm2 cell test code]],[1]!Table1[[Test code]:[Test code]],[1]!Table1[E @ 100 mA/cm2 10 mM KOH/V],"",0)</f>
        <v>#REF!</v>
      </c>
      <c r="AC1377" s="69" t="e" cm="1">
        <f t="array" ref="AC1377">_xlfn.XLOOKUP(Table1[[#This Row],[5 cm2 cell test code]:[5 cm2 cell test code]],[1]!Table1[[Test code]:[Test code]],[1]!Table1[Anode ICR/mOhm],"",0)</f>
        <v>#REF!</v>
      </c>
      <c r="AD1377" s="69" t="e" cm="1">
        <f t="array" ref="AD1377">_xlfn.XLOOKUP(Table1[[#This Row],[5 cm2 cell test code]:[5 cm2 cell test code]],[1]!Table1[[Test code]:[Test code]],[1]!Table1[HFR DIW/ mOhm cm2],"",0)</f>
        <v>#REF!</v>
      </c>
      <c r="AE1377" s="69" t="e" cm="1">
        <f t="array" ref="AE1377">_xlfn.XLOOKUP(Table1[[#This Row],[5 cm2 cell test code]:[5 cm2 cell test code]],[1]!Table1[[Test code]:[Test code]],[1]!Table1[HFR 10 mM KOH/ mOhm cm2],"",0)</f>
        <v>#REF!</v>
      </c>
      <c r="AF1377" s="69" t="e" cm="1">
        <f t="array" ref="AF1377">_xlfn.XLOOKUP(Table1[[#This Row],[5 cm2 cell test code]:[5 cm2 cell test code]],[1]!Table1[[Test code]:[Test code]],[1]!Table1[Ionic resistance DIW/Ohm cm2],"",0)</f>
        <v>#REF!</v>
      </c>
      <c r="AG1377" s="69" t="e" cm="1">
        <f t="array" ref="AG1377">_xlfn.XLOOKUP(Table1[[#This Row],[5 cm2 cell test code]:[5 cm2 cell test code]],[1]!Table1[[Test code]:[Test code]],[1]!Table1[Q_int_frac DIW],"",0)</f>
        <v>#REF!</v>
      </c>
      <c r="AH1377" s="69" t="e" cm="1">
        <f t="array" ref="AH1377">_xlfn.XLOOKUP(Table1[[#This Row],[5 cm2 cell test code]:[5 cm2 cell test code]],[1]!Table1[[Test code]:[Test code]],[1]!Table1[Ionic resistance 10 mM KOH/Ohm cm2],"",0)</f>
        <v>#REF!</v>
      </c>
      <c r="AI1377" s="69" t="e" cm="1">
        <f t="array" ref="AI1377">_xlfn.XLOOKUP(Table1[[#This Row],[5 cm2 cell test code]:[5 cm2 cell test code]],[1]!Table1[[Test code]:[Test code]],[1]!Table1[Q_int_frac DIW 10 mM KOH],"",0)</f>
        <v>#REF!</v>
      </c>
      <c r="AJ1377" s="69" t="e" cm="1">
        <f t="array" ref="AJ1377">_xlfn.XLOOKUP(Table1[[#This Row],[5 cm2 cell test code]:[5 cm2 cell test code]],[1]!Table1[[Test code]:[Test code]],[1]!Table1[DIW conductivity (µS/cm)],"",0)</f>
        <v>#REF!</v>
      </c>
    </row>
    <row r="1378" spans="1:36">
      <c r="A1378" s="81"/>
      <c r="U1378" s="101"/>
      <c r="V1378" s="101"/>
      <c r="W1378" s="69" t="e" cm="1">
        <f t="array" ref="W1378">_xlfn.XLOOKUP(Table1[[#This Row],[5 cm2 cell test code]:[5 cm2 cell test code]],[1]!Table1[[Test code]:[Test code]],[1]!Table1[i @ 1.8 V DIW (A/cm2)],"",0)</f>
        <v>#REF!</v>
      </c>
      <c r="X1378" s="69" t="e" cm="1">
        <f t="array" ref="X1378">_xlfn.XLOOKUP(Table1[[#This Row],[5 cm2 cell test code]:[5 cm2 cell test code]],[1]!Table1[[Test code]:[Test code]],[1]!Table1[i @ 1.8 V 10 mM KOH (A/cm2)],"",0)</f>
        <v>#REF!</v>
      </c>
      <c r="Y1378" s="69" t="e" cm="1">
        <f t="array" ref="Y1378">_xlfn.XLOOKUP(Table1[[#This Row],[5 cm2 cell test code]:[5 cm2 cell test code]],[1]!Table1[[Test code]:[Test code]],[1]!Table1[3-E ƞ at 20mAcm-2 (mV)],"",0)</f>
        <v>#REF!</v>
      </c>
      <c r="Z1378" s="69" t="e" cm="1">
        <f t="array" ref="Z1378">_xlfn.XLOOKUP(Table1[[#This Row],[5 cm2 cell test code]:[5 cm2 cell test code]],[1]!Table1[[Test code]:[Test code]],[1]!Table1[3-E Tafel slope (mV/dec)],"",0)</f>
        <v>#REF!</v>
      </c>
      <c r="AA1378" s="69" t="e" cm="1">
        <f t="array" ref="AA1378">_xlfn.XLOOKUP(Table1[[#This Row],[5 cm2 cell test code]:[5 cm2 cell test code]],[1]!Table1[[Test code]:[Test code]],[1]!Table1[E @ 100 mA/cm2 DIW/V],"",0)</f>
        <v>#REF!</v>
      </c>
      <c r="AB1378" s="69" t="e" cm="1">
        <f t="array" ref="AB1378">_xlfn.XLOOKUP(Table1[[#This Row],[5 cm2 cell test code]:[5 cm2 cell test code]],[1]!Table1[[Test code]:[Test code]],[1]!Table1[E @ 100 mA/cm2 10 mM KOH/V],"",0)</f>
        <v>#REF!</v>
      </c>
      <c r="AC1378" s="69" t="e" cm="1">
        <f t="array" ref="AC1378">_xlfn.XLOOKUP(Table1[[#This Row],[5 cm2 cell test code]:[5 cm2 cell test code]],[1]!Table1[[Test code]:[Test code]],[1]!Table1[Anode ICR/mOhm],"",0)</f>
        <v>#REF!</v>
      </c>
      <c r="AD1378" s="69" t="e" cm="1">
        <f t="array" ref="AD1378">_xlfn.XLOOKUP(Table1[[#This Row],[5 cm2 cell test code]:[5 cm2 cell test code]],[1]!Table1[[Test code]:[Test code]],[1]!Table1[HFR DIW/ mOhm cm2],"",0)</f>
        <v>#REF!</v>
      </c>
      <c r="AE1378" s="69" t="e" cm="1">
        <f t="array" ref="AE1378">_xlfn.XLOOKUP(Table1[[#This Row],[5 cm2 cell test code]:[5 cm2 cell test code]],[1]!Table1[[Test code]:[Test code]],[1]!Table1[HFR 10 mM KOH/ mOhm cm2],"",0)</f>
        <v>#REF!</v>
      </c>
      <c r="AF1378" s="69" t="e" cm="1">
        <f t="array" ref="AF1378">_xlfn.XLOOKUP(Table1[[#This Row],[5 cm2 cell test code]:[5 cm2 cell test code]],[1]!Table1[[Test code]:[Test code]],[1]!Table1[Ionic resistance DIW/Ohm cm2],"",0)</f>
        <v>#REF!</v>
      </c>
      <c r="AG1378" s="69" t="e" cm="1">
        <f t="array" ref="AG1378">_xlfn.XLOOKUP(Table1[[#This Row],[5 cm2 cell test code]:[5 cm2 cell test code]],[1]!Table1[[Test code]:[Test code]],[1]!Table1[Q_int_frac DIW],"",0)</f>
        <v>#REF!</v>
      </c>
      <c r="AH1378" s="69" t="e" cm="1">
        <f t="array" ref="AH1378">_xlfn.XLOOKUP(Table1[[#This Row],[5 cm2 cell test code]:[5 cm2 cell test code]],[1]!Table1[[Test code]:[Test code]],[1]!Table1[Ionic resistance 10 mM KOH/Ohm cm2],"",0)</f>
        <v>#REF!</v>
      </c>
      <c r="AI1378" s="69" t="e" cm="1">
        <f t="array" ref="AI1378">_xlfn.XLOOKUP(Table1[[#This Row],[5 cm2 cell test code]:[5 cm2 cell test code]],[1]!Table1[[Test code]:[Test code]],[1]!Table1[Q_int_frac DIW 10 mM KOH],"",0)</f>
        <v>#REF!</v>
      </c>
      <c r="AJ1378" s="69" t="e" cm="1">
        <f t="array" ref="AJ1378">_xlfn.XLOOKUP(Table1[[#This Row],[5 cm2 cell test code]:[5 cm2 cell test code]],[1]!Table1[[Test code]:[Test code]],[1]!Table1[DIW conductivity (µS/cm)],"",0)</f>
        <v>#REF!</v>
      </c>
    </row>
    <row r="1379" spans="1:36">
      <c r="A1379" s="81"/>
      <c r="U1379" s="101"/>
      <c r="V1379" s="101"/>
      <c r="W1379" s="69" t="e" cm="1">
        <f t="array" ref="W1379">_xlfn.XLOOKUP(Table1[[#This Row],[5 cm2 cell test code]:[5 cm2 cell test code]],[1]!Table1[[Test code]:[Test code]],[1]!Table1[i @ 1.8 V DIW (A/cm2)],"",0)</f>
        <v>#REF!</v>
      </c>
      <c r="X1379" s="69" t="e" cm="1">
        <f t="array" ref="X1379">_xlfn.XLOOKUP(Table1[[#This Row],[5 cm2 cell test code]:[5 cm2 cell test code]],[1]!Table1[[Test code]:[Test code]],[1]!Table1[i @ 1.8 V 10 mM KOH (A/cm2)],"",0)</f>
        <v>#REF!</v>
      </c>
      <c r="Y1379" s="69" t="e" cm="1">
        <f t="array" ref="Y1379">_xlfn.XLOOKUP(Table1[[#This Row],[5 cm2 cell test code]:[5 cm2 cell test code]],[1]!Table1[[Test code]:[Test code]],[1]!Table1[3-E ƞ at 20mAcm-2 (mV)],"",0)</f>
        <v>#REF!</v>
      </c>
      <c r="Z1379" s="69" t="e" cm="1">
        <f t="array" ref="Z1379">_xlfn.XLOOKUP(Table1[[#This Row],[5 cm2 cell test code]:[5 cm2 cell test code]],[1]!Table1[[Test code]:[Test code]],[1]!Table1[3-E Tafel slope (mV/dec)],"",0)</f>
        <v>#REF!</v>
      </c>
      <c r="AA1379" s="69" t="e" cm="1">
        <f t="array" ref="AA1379">_xlfn.XLOOKUP(Table1[[#This Row],[5 cm2 cell test code]:[5 cm2 cell test code]],[1]!Table1[[Test code]:[Test code]],[1]!Table1[E @ 100 mA/cm2 DIW/V],"",0)</f>
        <v>#REF!</v>
      </c>
      <c r="AB1379" s="69" t="e" cm="1">
        <f t="array" ref="AB1379">_xlfn.XLOOKUP(Table1[[#This Row],[5 cm2 cell test code]:[5 cm2 cell test code]],[1]!Table1[[Test code]:[Test code]],[1]!Table1[E @ 100 mA/cm2 10 mM KOH/V],"",0)</f>
        <v>#REF!</v>
      </c>
      <c r="AC1379" s="69" t="e" cm="1">
        <f t="array" ref="AC1379">_xlfn.XLOOKUP(Table1[[#This Row],[5 cm2 cell test code]:[5 cm2 cell test code]],[1]!Table1[[Test code]:[Test code]],[1]!Table1[Anode ICR/mOhm],"",0)</f>
        <v>#REF!</v>
      </c>
      <c r="AD1379" s="69" t="e" cm="1">
        <f t="array" ref="AD1379">_xlfn.XLOOKUP(Table1[[#This Row],[5 cm2 cell test code]:[5 cm2 cell test code]],[1]!Table1[[Test code]:[Test code]],[1]!Table1[HFR DIW/ mOhm cm2],"",0)</f>
        <v>#REF!</v>
      </c>
      <c r="AE1379" s="69" t="e" cm="1">
        <f t="array" ref="AE1379">_xlfn.XLOOKUP(Table1[[#This Row],[5 cm2 cell test code]:[5 cm2 cell test code]],[1]!Table1[[Test code]:[Test code]],[1]!Table1[HFR 10 mM KOH/ mOhm cm2],"",0)</f>
        <v>#REF!</v>
      </c>
      <c r="AF1379" s="69" t="e" cm="1">
        <f t="array" ref="AF1379">_xlfn.XLOOKUP(Table1[[#This Row],[5 cm2 cell test code]:[5 cm2 cell test code]],[1]!Table1[[Test code]:[Test code]],[1]!Table1[Ionic resistance DIW/Ohm cm2],"",0)</f>
        <v>#REF!</v>
      </c>
      <c r="AG1379" s="69" t="e" cm="1">
        <f t="array" ref="AG1379">_xlfn.XLOOKUP(Table1[[#This Row],[5 cm2 cell test code]:[5 cm2 cell test code]],[1]!Table1[[Test code]:[Test code]],[1]!Table1[Q_int_frac DIW],"",0)</f>
        <v>#REF!</v>
      </c>
      <c r="AH1379" s="69" t="e" cm="1">
        <f t="array" ref="AH1379">_xlfn.XLOOKUP(Table1[[#This Row],[5 cm2 cell test code]:[5 cm2 cell test code]],[1]!Table1[[Test code]:[Test code]],[1]!Table1[Ionic resistance 10 mM KOH/Ohm cm2],"",0)</f>
        <v>#REF!</v>
      </c>
      <c r="AI1379" s="69" t="e" cm="1">
        <f t="array" ref="AI1379">_xlfn.XLOOKUP(Table1[[#This Row],[5 cm2 cell test code]:[5 cm2 cell test code]],[1]!Table1[[Test code]:[Test code]],[1]!Table1[Q_int_frac DIW 10 mM KOH],"",0)</f>
        <v>#REF!</v>
      </c>
      <c r="AJ1379" s="69" t="e" cm="1">
        <f t="array" ref="AJ1379">_xlfn.XLOOKUP(Table1[[#This Row],[5 cm2 cell test code]:[5 cm2 cell test code]],[1]!Table1[[Test code]:[Test code]],[1]!Table1[DIW conductivity (µS/cm)],"",0)</f>
        <v>#REF!</v>
      </c>
    </row>
    <row r="1380" spans="1:36">
      <c r="A1380" s="81"/>
      <c r="U1380" s="101"/>
      <c r="V1380" s="101"/>
      <c r="W1380" s="69" t="e" cm="1">
        <f t="array" ref="W1380">_xlfn.XLOOKUP(Table1[[#This Row],[5 cm2 cell test code]:[5 cm2 cell test code]],[1]!Table1[[Test code]:[Test code]],[1]!Table1[i @ 1.8 V DIW (A/cm2)],"",0)</f>
        <v>#REF!</v>
      </c>
      <c r="X1380" s="69" t="e" cm="1">
        <f t="array" ref="X1380">_xlfn.XLOOKUP(Table1[[#This Row],[5 cm2 cell test code]:[5 cm2 cell test code]],[1]!Table1[[Test code]:[Test code]],[1]!Table1[i @ 1.8 V 10 mM KOH (A/cm2)],"",0)</f>
        <v>#REF!</v>
      </c>
      <c r="Y1380" s="69" t="e" cm="1">
        <f t="array" ref="Y1380">_xlfn.XLOOKUP(Table1[[#This Row],[5 cm2 cell test code]:[5 cm2 cell test code]],[1]!Table1[[Test code]:[Test code]],[1]!Table1[3-E ƞ at 20mAcm-2 (mV)],"",0)</f>
        <v>#REF!</v>
      </c>
      <c r="Z1380" s="69" t="e" cm="1">
        <f t="array" ref="Z1380">_xlfn.XLOOKUP(Table1[[#This Row],[5 cm2 cell test code]:[5 cm2 cell test code]],[1]!Table1[[Test code]:[Test code]],[1]!Table1[3-E Tafel slope (mV/dec)],"",0)</f>
        <v>#REF!</v>
      </c>
      <c r="AA1380" s="69" t="e" cm="1">
        <f t="array" ref="AA1380">_xlfn.XLOOKUP(Table1[[#This Row],[5 cm2 cell test code]:[5 cm2 cell test code]],[1]!Table1[[Test code]:[Test code]],[1]!Table1[E @ 100 mA/cm2 DIW/V],"",0)</f>
        <v>#REF!</v>
      </c>
      <c r="AB1380" s="69" t="e" cm="1">
        <f t="array" ref="AB1380">_xlfn.XLOOKUP(Table1[[#This Row],[5 cm2 cell test code]:[5 cm2 cell test code]],[1]!Table1[[Test code]:[Test code]],[1]!Table1[E @ 100 mA/cm2 10 mM KOH/V],"",0)</f>
        <v>#REF!</v>
      </c>
      <c r="AC1380" s="69" t="e" cm="1">
        <f t="array" ref="AC1380">_xlfn.XLOOKUP(Table1[[#This Row],[5 cm2 cell test code]:[5 cm2 cell test code]],[1]!Table1[[Test code]:[Test code]],[1]!Table1[Anode ICR/mOhm],"",0)</f>
        <v>#REF!</v>
      </c>
      <c r="AD1380" s="69" t="e" cm="1">
        <f t="array" ref="AD1380">_xlfn.XLOOKUP(Table1[[#This Row],[5 cm2 cell test code]:[5 cm2 cell test code]],[1]!Table1[[Test code]:[Test code]],[1]!Table1[HFR DIW/ mOhm cm2],"",0)</f>
        <v>#REF!</v>
      </c>
      <c r="AE1380" s="69" t="e" cm="1">
        <f t="array" ref="AE1380">_xlfn.XLOOKUP(Table1[[#This Row],[5 cm2 cell test code]:[5 cm2 cell test code]],[1]!Table1[[Test code]:[Test code]],[1]!Table1[HFR 10 mM KOH/ mOhm cm2],"",0)</f>
        <v>#REF!</v>
      </c>
      <c r="AF1380" s="69" t="e" cm="1">
        <f t="array" ref="AF1380">_xlfn.XLOOKUP(Table1[[#This Row],[5 cm2 cell test code]:[5 cm2 cell test code]],[1]!Table1[[Test code]:[Test code]],[1]!Table1[Ionic resistance DIW/Ohm cm2],"",0)</f>
        <v>#REF!</v>
      </c>
      <c r="AG1380" s="69" t="e" cm="1">
        <f t="array" ref="AG1380">_xlfn.XLOOKUP(Table1[[#This Row],[5 cm2 cell test code]:[5 cm2 cell test code]],[1]!Table1[[Test code]:[Test code]],[1]!Table1[Q_int_frac DIW],"",0)</f>
        <v>#REF!</v>
      </c>
      <c r="AH1380" s="69" t="e" cm="1">
        <f t="array" ref="AH1380">_xlfn.XLOOKUP(Table1[[#This Row],[5 cm2 cell test code]:[5 cm2 cell test code]],[1]!Table1[[Test code]:[Test code]],[1]!Table1[Ionic resistance 10 mM KOH/Ohm cm2],"",0)</f>
        <v>#REF!</v>
      </c>
      <c r="AI1380" s="69" t="e" cm="1">
        <f t="array" ref="AI1380">_xlfn.XLOOKUP(Table1[[#This Row],[5 cm2 cell test code]:[5 cm2 cell test code]],[1]!Table1[[Test code]:[Test code]],[1]!Table1[Q_int_frac DIW 10 mM KOH],"",0)</f>
        <v>#REF!</v>
      </c>
      <c r="AJ1380" s="69" t="e" cm="1">
        <f t="array" ref="AJ1380">_xlfn.XLOOKUP(Table1[[#This Row],[5 cm2 cell test code]:[5 cm2 cell test code]],[1]!Table1[[Test code]:[Test code]],[1]!Table1[DIW conductivity (µS/cm)],"",0)</f>
        <v>#REF!</v>
      </c>
    </row>
    <row r="1381" spans="1:36">
      <c r="A1381" s="81"/>
      <c r="U1381" s="101"/>
      <c r="V1381" s="101"/>
      <c r="W1381" s="69" t="e" cm="1">
        <f t="array" ref="W1381">_xlfn.XLOOKUP(Table1[[#This Row],[5 cm2 cell test code]:[5 cm2 cell test code]],[1]!Table1[[Test code]:[Test code]],[1]!Table1[i @ 1.8 V DIW (A/cm2)],"",0)</f>
        <v>#REF!</v>
      </c>
      <c r="X1381" s="69" t="e" cm="1">
        <f t="array" ref="X1381">_xlfn.XLOOKUP(Table1[[#This Row],[5 cm2 cell test code]:[5 cm2 cell test code]],[1]!Table1[[Test code]:[Test code]],[1]!Table1[i @ 1.8 V 10 mM KOH (A/cm2)],"",0)</f>
        <v>#REF!</v>
      </c>
      <c r="Y1381" s="69" t="e" cm="1">
        <f t="array" ref="Y1381">_xlfn.XLOOKUP(Table1[[#This Row],[5 cm2 cell test code]:[5 cm2 cell test code]],[1]!Table1[[Test code]:[Test code]],[1]!Table1[3-E ƞ at 20mAcm-2 (mV)],"",0)</f>
        <v>#REF!</v>
      </c>
      <c r="Z1381" s="69" t="e" cm="1">
        <f t="array" ref="Z1381">_xlfn.XLOOKUP(Table1[[#This Row],[5 cm2 cell test code]:[5 cm2 cell test code]],[1]!Table1[[Test code]:[Test code]],[1]!Table1[3-E Tafel slope (mV/dec)],"",0)</f>
        <v>#REF!</v>
      </c>
      <c r="AA1381" s="69" t="e" cm="1">
        <f t="array" ref="AA1381">_xlfn.XLOOKUP(Table1[[#This Row],[5 cm2 cell test code]:[5 cm2 cell test code]],[1]!Table1[[Test code]:[Test code]],[1]!Table1[E @ 100 mA/cm2 DIW/V],"",0)</f>
        <v>#REF!</v>
      </c>
      <c r="AB1381" s="69" t="e" cm="1">
        <f t="array" ref="AB1381">_xlfn.XLOOKUP(Table1[[#This Row],[5 cm2 cell test code]:[5 cm2 cell test code]],[1]!Table1[[Test code]:[Test code]],[1]!Table1[E @ 100 mA/cm2 10 mM KOH/V],"",0)</f>
        <v>#REF!</v>
      </c>
      <c r="AC1381" s="69" t="e" cm="1">
        <f t="array" ref="AC1381">_xlfn.XLOOKUP(Table1[[#This Row],[5 cm2 cell test code]:[5 cm2 cell test code]],[1]!Table1[[Test code]:[Test code]],[1]!Table1[Anode ICR/mOhm],"",0)</f>
        <v>#REF!</v>
      </c>
      <c r="AD1381" s="69" t="e" cm="1">
        <f t="array" ref="AD1381">_xlfn.XLOOKUP(Table1[[#This Row],[5 cm2 cell test code]:[5 cm2 cell test code]],[1]!Table1[[Test code]:[Test code]],[1]!Table1[HFR DIW/ mOhm cm2],"",0)</f>
        <v>#REF!</v>
      </c>
      <c r="AE1381" s="69" t="e" cm="1">
        <f t="array" ref="AE1381">_xlfn.XLOOKUP(Table1[[#This Row],[5 cm2 cell test code]:[5 cm2 cell test code]],[1]!Table1[[Test code]:[Test code]],[1]!Table1[HFR 10 mM KOH/ mOhm cm2],"",0)</f>
        <v>#REF!</v>
      </c>
      <c r="AF1381" s="69" t="e" cm="1">
        <f t="array" ref="AF1381">_xlfn.XLOOKUP(Table1[[#This Row],[5 cm2 cell test code]:[5 cm2 cell test code]],[1]!Table1[[Test code]:[Test code]],[1]!Table1[Ionic resistance DIW/Ohm cm2],"",0)</f>
        <v>#REF!</v>
      </c>
      <c r="AG1381" s="69" t="e" cm="1">
        <f t="array" ref="AG1381">_xlfn.XLOOKUP(Table1[[#This Row],[5 cm2 cell test code]:[5 cm2 cell test code]],[1]!Table1[[Test code]:[Test code]],[1]!Table1[Q_int_frac DIW],"",0)</f>
        <v>#REF!</v>
      </c>
      <c r="AH1381" s="69" t="e" cm="1">
        <f t="array" ref="AH1381">_xlfn.XLOOKUP(Table1[[#This Row],[5 cm2 cell test code]:[5 cm2 cell test code]],[1]!Table1[[Test code]:[Test code]],[1]!Table1[Ionic resistance 10 mM KOH/Ohm cm2],"",0)</f>
        <v>#REF!</v>
      </c>
      <c r="AI1381" s="69" t="e" cm="1">
        <f t="array" ref="AI1381">_xlfn.XLOOKUP(Table1[[#This Row],[5 cm2 cell test code]:[5 cm2 cell test code]],[1]!Table1[[Test code]:[Test code]],[1]!Table1[Q_int_frac DIW 10 mM KOH],"",0)</f>
        <v>#REF!</v>
      </c>
      <c r="AJ1381" s="69" t="e" cm="1">
        <f t="array" ref="AJ1381">_xlfn.XLOOKUP(Table1[[#This Row],[5 cm2 cell test code]:[5 cm2 cell test code]],[1]!Table1[[Test code]:[Test code]],[1]!Table1[DIW conductivity (µS/cm)],"",0)</f>
        <v>#REF!</v>
      </c>
    </row>
    <row r="1382" spans="1:36">
      <c r="A1382" s="81"/>
      <c r="U1382" s="101"/>
      <c r="V1382" s="101"/>
      <c r="W1382" s="69" t="e" cm="1">
        <f t="array" ref="W1382">_xlfn.XLOOKUP(Table1[[#This Row],[5 cm2 cell test code]:[5 cm2 cell test code]],[1]!Table1[[Test code]:[Test code]],[1]!Table1[i @ 1.8 V DIW (A/cm2)],"",0)</f>
        <v>#REF!</v>
      </c>
      <c r="X1382" s="69" t="e" cm="1">
        <f t="array" ref="X1382">_xlfn.XLOOKUP(Table1[[#This Row],[5 cm2 cell test code]:[5 cm2 cell test code]],[1]!Table1[[Test code]:[Test code]],[1]!Table1[i @ 1.8 V 10 mM KOH (A/cm2)],"",0)</f>
        <v>#REF!</v>
      </c>
      <c r="Y1382" s="69" t="e" cm="1">
        <f t="array" ref="Y1382">_xlfn.XLOOKUP(Table1[[#This Row],[5 cm2 cell test code]:[5 cm2 cell test code]],[1]!Table1[[Test code]:[Test code]],[1]!Table1[3-E ƞ at 20mAcm-2 (mV)],"",0)</f>
        <v>#REF!</v>
      </c>
      <c r="Z1382" s="69" t="e" cm="1">
        <f t="array" ref="Z1382">_xlfn.XLOOKUP(Table1[[#This Row],[5 cm2 cell test code]:[5 cm2 cell test code]],[1]!Table1[[Test code]:[Test code]],[1]!Table1[3-E Tafel slope (mV/dec)],"",0)</f>
        <v>#REF!</v>
      </c>
      <c r="AA1382" s="69" t="e" cm="1">
        <f t="array" ref="AA1382">_xlfn.XLOOKUP(Table1[[#This Row],[5 cm2 cell test code]:[5 cm2 cell test code]],[1]!Table1[[Test code]:[Test code]],[1]!Table1[E @ 100 mA/cm2 DIW/V],"",0)</f>
        <v>#REF!</v>
      </c>
      <c r="AB1382" s="69" t="e" cm="1">
        <f t="array" ref="AB1382">_xlfn.XLOOKUP(Table1[[#This Row],[5 cm2 cell test code]:[5 cm2 cell test code]],[1]!Table1[[Test code]:[Test code]],[1]!Table1[E @ 100 mA/cm2 10 mM KOH/V],"",0)</f>
        <v>#REF!</v>
      </c>
      <c r="AC1382" s="69" t="e" cm="1">
        <f t="array" ref="AC1382">_xlfn.XLOOKUP(Table1[[#This Row],[5 cm2 cell test code]:[5 cm2 cell test code]],[1]!Table1[[Test code]:[Test code]],[1]!Table1[Anode ICR/mOhm],"",0)</f>
        <v>#REF!</v>
      </c>
      <c r="AD1382" s="69" t="e" cm="1">
        <f t="array" ref="AD1382">_xlfn.XLOOKUP(Table1[[#This Row],[5 cm2 cell test code]:[5 cm2 cell test code]],[1]!Table1[[Test code]:[Test code]],[1]!Table1[HFR DIW/ mOhm cm2],"",0)</f>
        <v>#REF!</v>
      </c>
      <c r="AE1382" s="69" t="e" cm="1">
        <f t="array" ref="AE1382">_xlfn.XLOOKUP(Table1[[#This Row],[5 cm2 cell test code]:[5 cm2 cell test code]],[1]!Table1[[Test code]:[Test code]],[1]!Table1[HFR 10 mM KOH/ mOhm cm2],"",0)</f>
        <v>#REF!</v>
      </c>
      <c r="AF1382" s="69" t="e" cm="1">
        <f t="array" ref="AF1382">_xlfn.XLOOKUP(Table1[[#This Row],[5 cm2 cell test code]:[5 cm2 cell test code]],[1]!Table1[[Test code]:[Test code]],[1]!Table1[Ionic resistance DIW/Ohm cm2],"",0)</f>
        <v>#REF!</v>
      </c>
      <c r="AG1382" s="69" t="e" cm="1">
        <f t="array" ref="AG1382">_xlfn.XLOOKUP(Table1[[#This Row],[5 cm2 cell test code]:[5 cm2 cell test code]],[1]!Table1[[Test code]:[Test code]],[1]!Table1[Q_int_frac DIW],"",0)</f>
        <v>#REF!</v>
      </c>
      <c r="AH1382" s="69" t="e" cm="1">
        <f t="array" ref="AH1382">_xlfn.XLOOKUP(Table1[[#This Row],[5 cm2 cell test code]:[5 cm2 cell test code]],[1]!Table1[[Test code]:[Test code]],[1]!Table1[Ionic resistance 10 mM KOH/Ohm cm2],"",0)</f>
        <v>#REF!</v>
      </c>
      <c r="AI1382" s="69" t="e" cm="1">
        <f t="array" ref="AI1382">_xlfn.XLOOKUP(Table1[[#This Row],[5 cm2 cell test code]:[5 cm2 cell test code]],[1]!Table1[[Test code]:[Test code]],[1]!Table1[Q_int_frac DIW 10 mM KOH],"",0)</f>
        <v>#REF!</v>
      </c>
      <c r="AJ1382" s="69" t="e" cm="1">
        <f t="array" ref="AJ1382">_xlfn.XLOOKUP(Table1[[#This Row],[5 cm2 cell test code]:[5 cm2 cell test code]],[1]!Table1[[Test code]:[Test code]],[1]!Table1[DIW conductivity (µS/cm)],"",0)</f>
        <v>#REF!</v>
      </c>
    </row>
    <row r="1383" spans="1:36">
      <c r="A1383" s="81"/>
      <c r="U1383" s="101"/>
      <c r="V1383" s="101"/>
      <c r="W1383" s="69" t="e" cm="1">
        <f t="array" ref="W1383">_xlfn.XLOOKUP(Table1[[#This Row],[5 cm2 cell test code]:[5 cm2 cell test code]],[1]!Table1[[Test code]:[Test code]],[1]!Table1[i @ 1.8 V DIW (A/cm2)],"",0)</f>
        <v>#REF!</v>
      </c>
      <c r="X1383" s="69" t="e" cm="1">
        <f t="array" ref="X1383">_xlfn.XLOOKUP(Table1[[#This Row],[5 cm2 cell test code]:[5 cm2 cell test code]],[1]!Table1[[Test code]:[Test code]],[1]!Table1[i @ 1.8 V 10 mM KOH (A/cm2)],"",0)</f>
        <v>#REF!</v>
      </c>
      <c r="Y1383" s="69" t="e" cm="1">
        <f t="array" ref="Y1383">_xlfn.XLOOKUP(Table1[[#This Row],[5 cm2 cell test code]:[5 cm2 cell test code]],[1]!Table1[[Test code]:[Test code]],[1]!Table1[3-E ƞ at 20mAcm-2 (mV)],"",0)</f>
        <v>#REF!</v>
      </c>
      <c r="Z1383" s="69" t="e" cm="1">
        <f t="array" ref="Z1383">_xlfn.XLOOKUP(Table1[[#This Row],[5 cm2 cell test code]:[5 cm2 cell test code]],[1]!Table1[[Test code]:[Test code]],[1]!Table1[3-E Tafel slope (mV/dec)],"",0)</f>
        <v>#REF!</v>
      </c>
      <c r="AA1383" s="69" t="e" cm="1">
        <f t="array" ref="AA1383">_xlfn.XLOOKUP(Table1[[#This Row],[5 cm2 cell test code]:[5 cm2 cell test code]],[1]!Table1[[Test code]:[Test code]],[1]!Table1[E @ 100 mA/cm2 DIW/V],"",0)</f>
        <v>#REF!</v>
      </c>
      <c r="AB1383" s="69" t="e" cm="1">
        <f t="array" ref="AB1383">_xlfn.XLOOKUP(Table1[[#This Row],[5 cm2 cell test code]:[5 cm2 cell test code]],[1]!Table1[[Test code]:[Test code]],[1]!Table1[E @ 100 mA/cm2 10 mM KOH/V],"",0)</f>
        <v>#REF!</v>
      </c>
      <c r="AC1383" s="69" t="e" cm="1">
        <f t="array" ref="AC1383">_xlfn.XLOOKUP(Table1[[#This Row],[5 cm2 cell test code]:[5 cm2 cell test code]],[1]!Table1[[Test code]:[Test code]],[1]!Table1[Anode ICR/mOhm],"",0)</f>
        <v>#REF!</v>
      </c>
      <c r="AD1383" s="69" t="e" cm="1">
        <f t="array" ref="AD1383">_xlfn.XLOOKUP(Table1[[#This Row],[5 cm2 cell test code]:[5 cm2 cell test code]],[1]!Table1[[Test code]:[Test code]],[1]!Table1[HFR DIW/ mOhm cm2],"",0)</f>
        <v>#REF!</v>
      </c>
      <c r="AE1383" s="69" t="e" cm="1">
        <f t="array" ref="AE1383">_xlfn.XLOOKUP(Table1[[#This Row],[5 cm2 cell test code]:[5 cm2 cell test code]],[1]!Table1[[Test code]:[Test code]],[1]!Table1[HFR 10 mM KOH/ mOhm cm2],"",0)</f>
        <v>#REF!</v>
      </c>
      <c r="AF1383" s="69" t="e" cm="1">
        <f t="array" ref="AF1383">_xlfn.XLOOKUP(Table1[[#This Row],[5 cm2 cell test code]:[5 cm2 cell test code]],[1]!Table1[[Test code]:[Test code]],[1]!Table1[Ionic resistance DIW/Ohm cm2],"",0)</f>
        <v>#REF!</v>
      </c>
      <c r="AG1383" s="69" t="e" cm="1">
        <f t="array" ref="AG1383">_xlfn.XLOOKUP(Table1[[#This Row],[5 cm2 cell test code]:[5 cm2 cell test code]],[1]!Table1[[Test code]:[Test code]],[1]!Table1[Q_int_frac DIW],"",0)</f>
        <v>#REF!</v>
      </c>
      <c r="AH1383" s="69" t="e" cm="1">
        <f t="array" ref="AH1383">_xlfn.XLOOKUP(Table1[[#This Row],[5 cm2 cell test code]:[5 cm2 cell test code]],[1]!Table1[[Test code]:[Test code]],[1]!Table1[Ionic resistance 10 mM KOH/Ohm cm2],"",0)</f>
        <v>#REF!</v>
      </c>
      <c r="AI1383" s="69" t="e" cm="1">
        <f t="array" ref="AI1383">_xlfn.XLOOKUP(Table1[[#This Row],[5 cm2 cell test code]:[5 cm2 cell test code]],[1]!Table1[[Test code]:[Test code]],[1]!Table1[Q_int_frac DIW 10 mM KOH],"",0)</f>
        <v>#REF!</v>
      </c>
      <c r="AJ1383" s="69" t="e" cm="1">
        <f t="array" ref="AJ1383">_xlfn.XLOOKUP(Table1[[#This Row],[5 cm2 cell test code]:[5 cm2 cell test code]],[1]!Table1[[Test code]:[Test code]],[1]!Table1[DIW conductivity (µS/cm)],"",0)</f>
        <v>#REF!</v>
      </c>
    </row>
    <row r="1384" spans="1:36">
      <c r="A1384" s="81"/>
      <c r="U1384" s="101"/>
      <c r="V1384" s="101"/>
      <c r="W1384" s="69" t="e" cm="1">
        <f t="array" ref="W1384">_xlfn.XLOOKUP(Table1[[#This Row],[5 cm2 cell test code]:[5 cm2 cell test code]],[1]!Table1[[Test code]:[Test code]],[1]!Table1[i @ 1.8 V DIW (A/cm2)],"",0)</f>
        <v>#REF!</v>
      </c>
      <c r="X1384" s="69" t="e" cm="1">
        <f t="array" ref="X1384">_xlfn.XLOOKUP(Table1[[#This Row],[5 cm2 cell test code]:[5 cm2 cell test code]],[1]!Table1[[Test code]:[Test code]],[1]!Table1[i @ 1.8 V 10 mM KOH (A/cm2)],"",0)</f>
        <v>#REF!</v>
      </c>
      <c r="Y1384" s="69" t="e" cm="1">
        <f t="array" ref="Y1384">_xlfn.XLOOKUP(Table1[[#This Row],[5 cm2 cell test code]:[5 cm2 cell test code]],[1]!Table1[[Test code]:[Test code]],[1]!Table1[3-E ƞ at 20mAcm-2 (mV)],"",0)</f>
        <v>#REF!</v>
      </c>
      <c r="Z1384" s="69" t="e" cm="1">
        <f t="array" ref="Z1384">_xlfn.XLOOKUP(Table1[[#This Row],[5 cm2 cell test code]:[5 cm2 cell test code]],[1]!Table1[[Test code]:[Test code]],[1]!Table1[3-E Tafel slope (mV/dec)],"",0)</f>
        <v>#REF!</v>
      </c>
      <c r="AA1384" s="69" t="e" cm="1">
        <f t="array" ref="AA1384">_xlfn.XLOOKUP(Table1[[#This Row],[5 cm2 cell test code]:[5 cm2 cell test code]],[1]!Table1[[Test code]:[Test code]],[1]!Table1[E @ 100 mA/cm2 DIW/V],"",0)</f>
        <v>#REF!</v>
      </c>
      <c r="AB1384" s="69" t="e" cm="1">
        <f t="array" ref="AB1384">_xlfn.XLOOKUP(Table1[[#This Row],[5 cm2 cell test code]:[5 cm2 cell test code]],[1]!Table1[[Test code]:[Test code]],[1]!Table1[E @ 100 mA/cm2 10 mM KOH/V],"",0)</f>
        <v>#REF!</v>
      </c>
      <c r="AC1384" s="69" t="e" cm="1">
        <f t="array" ref="AC1384">_xlfn.XLOOKUP(Table1[[#This Row],[5 cm2 cell test code]:[5 cm2 cell test code]],[1]!Table1[[Test code]:[Test code]],[1]!Table1[Anode ICR/mOhm],"",0)</f>
        <v>#REF!</v>
      </c>
      <c r="AD1384" s="69" t="e" cm="1">
        <f t="array" ref="AD1384">_xlfn.XLOOKUP(Table1[[#This Row],[5 cm2 cell test code]:[5 cm2 cell test code]],[1]!Table1[[Test code]:[Test code]],[1]!Table1[HFR DIW/ mOhm cm2],"",0)</f>
        <v>#REF!</v>
      </c>
      <c r="AE1384" s="69" t="e" cm="1">
        <f t="array" ref="AE1384">_xlfn.XLOOKUP(Table1[[#This Row],[5 cm2 cell test code]:[5 cm2 cell test code]],[1]!Table1[[Test code]:[Test code]],[1]!Table1[HFR 10 mM KOH/ mOhm cm2],"",0)</f>
        <v>#REF!</v>
      </c>
      <c r="AF1384" s="69" t="e" cm="1">
        <f t="array" ref="AF1384">_xlfn.XLOOKUP(Table1[[#This Row],[5 cm2 cell test code]:[5 cm2 cell test code]],[1]!Table1[[Test code]:[Test code]],[1]!Table1[Ionic resistance DIW/Ohm cm2],"",0)</f>
        <v>#REF!</v>
      </c>
      <c r="AG1384" s="69" t="e" cm="1">
        <f t="array" ref="AG1384">_xlfn.XLOOKUP(Table1[[#This Row],[5 cm2 cell test code]:[5 cm2 cell test code]],[1]!Table1[[Test code]:[Test code]],[1]!Table1[Q_int_frac DIW],"",0)</f>
        <v>#REF!</v>
      </c>
      <c r="AH1384" s="69" t="e" cm="1">
        <f t="array" ref="AH1384">_xlfn.XLOOKUP(Table1[[#This Row],[5 cm2 cell test code]:[5 cm2 cell test code]],[1]!Table1[[Test code]:[Test code]],[1]!Table1[Ionic resistance 10 mM KOH/Ohm cm2],"",0)</f>
        <v>#REF!</v>
      </c>
      <c r="AI1384" s="69" t="e" cm="1">
        <f t="array" ref="AI1384">_xlfn.XLOOKUP(Table1[[#This Row],[5 cm2 cell test code]:[5 cm2 cell test code]],[1]!Table1[[Test code]:[Test code]],[1]!Table1[Q_int_frac DIW 10 mM KOH],"",0)</f>
        <v>#REF!</v>
      </c>
      <c r="AJ1384" s="69" t="e" cm="1">
        <f t="array" ref="AJ1384">_xlfn.XLOOKUP(Table1[[#This Row],[5 cm2 cell test code]:[5 cm2 cell test code]],[1]!Table1[[Test code]:[Test code]],[1]!Table1[DIW conductivity (µS/cm)],"",0)</f>
        <v>#REF!</v>
      </c>
    </row>
    <row r="1385" spans="1:36">
      <c r="A1385" s="81"/>
      <c r="U1385" s="101"/>
      <c r="V1385" s="101"/>
      <c r="W1385" s="69" t="e" cm="1">
        <f t="array" ref="W1385">_xlfn.XLOOKUP(Table1[[#This Row],[5 cm2 cell test code]:[5 cm2 cell test code]],[1]!Table1[[Test code]:[Test code]],[1]!Table1[i @ 1.8 V DIW (A/cm2)],"",0)</f>
        <v>#REF!</v>
      </c>
      <c r="X1385" s="69" t="e" cm="1">
        <f t="array" ref="X1385">_xlfn.XLOOKUP(Table1[[#This Row],[5 cm2 cell test code]:[5 cm2 cell test code]],[1]!Table1[[Test code]:[Test code]],[1]!Table1[i @ 1.8 V 10 mM KOH (A/cm2)],"",0)</f>
        <v>#REF!</v>
      </c>
      <c r="Y1385" s="69" t="e" cm="1">
        <f t="array" ref="Y1385">_xlfn.XLOOKUP(Table1[[#This Row],[5 cm2 cell test code]:[5 cm2 cell test code]],[1]!Table1[[Test code]:[Test code]],[1]!Table1[3-E ƞ at 20mAcm-2 (mV)],"",0)</f>
        <v>#REF!</v>
      </c>
      <c r="Z1385" s="69" t="e" cm="1">
        <f t="array" ref="Z1385">_xlfn.XLOOKUP(Table1[[#This Row],[5 cm2 cell test code]:[5 cm2 cell test code]],[1]!Table1[[Test code]:[Test code]],[1]!Table1[3-E Tafel slope (mV/dec)],"",0)</f>
        <v>#REF!</v>
      </c>
      <c r="AA1385" s="69" t="e" cm="1">
        <f t="array" ref="AA1385">_xlfn.XLOOKUP(Table1[[#This Row],[5 cm2 cell test code]:[5 cm2 cell test code]],[1]!Table1[[Test code]:[Test code]],[1]!Table1[E @ 100 mA/cm2 DIW/V],"",0)</f>
        <v>#REF!</v>
      </c>
      <c r="AB1385" s="69" t="e" cm="1">
        <f t="array" ref="AB1385">_xlfn.XLOOKUP(Table1[[#This Row],[5 cm2 cell test code]:[5 cm2 cell test code]],[1]!Table1[[Test code]:[Test code]],[1]!Table1[E @ 100 mA/cm2 10 mM KOH/V],"",0)</f>
        <v>#REF!</v>
      </c>
      <c r="AC1385" s="69" t="e" cm="1">
        <f t="array" ref="AC1385">_xlfn.XLOOKUP(Table1[[#This Row],[5 cm2 cell test code]:[5 cm2 cell test code]],[1]!Table1[[Test code]:[Test code]],[1]!Table1[Anode ICR/mOhm],"",0)</f>
        <v>#REF!</v>
      </c>
      <c r="AD1385" s="69" t="e" cm="1">
        <f t="array" ref="AD1385">_xlfn.XLOOKUP(Table1[[#This Row],[5 cm2 cell test code]:[5 cm2 cell test code]],[1]!Table1[[Test code]:[Test code]],[1]!Table1[HFR DIW/ mOhm cm2],"",0)</f>
        <v>#REF!</v>
      </c>
      <c r="AE1385" s="69" t="e" cm="1">
        <f t="array" ref="AE1385">_xlfn.XLOOKUP(Table1[[#This Row],[5 cm2 cell test code]:[5 cm2 cell test code]],[1]!Table1[[Test code]:[Test code]],[1]!Table1[HFR 10 mM KOH/ mOhm cm2],"",0)</f>
        <v>#REF!</v>
      </c>
      <c r="AF1385" s="69" t="e" cm="1">
        <f t="array" ref="AF1385">_xlfn.XLOOKUP(Table1[[#This Row],[5 cm2 cell test code]:[5 cm2 cell test code]],[1]!Table1[[Test code]:[Test code]],[1]!Table1[Ionic resistance DIW/Ohm cm2],"",0)</f>
        <v>#REF!</v>
      </c>
      <c r="AG1385" s="69" t="e" cm="1">
        <f t="array" ref="AG1385">_xlfn.XLOOKUP(Table1[[#This Row],[5 cm2 cell test code]:[5 cm2 cell test code]],[1]!Table1[[Test code]:[Test code]],[1]!Table1[Q_int_frac DIW],"",0)</f>
        <v>#REF!</v>
      </c>
      <c r="AH1385" s="69" t="e" cm="1">
        <f t="array" ref="AH1385">_xlfn.XLOOKUP(Table1[[#This Row],[5 cm2 cell test code]:[5 cm2 cell test code]],[1]!Table1[[Test code]:[Test code]],[1]!Table1[Ionic resistance 10 mM KOH/Ohm cm2],"",0)</f>
        <v>#REF!</v>
      </c>
      <c r="AI1385" s="69" t="e" cm="1">
        <f t="array" ref="AI1385">_xlfn.XLOOKUP(Table1[[#This Row],[5 cm2 cell test code]:[5 cm2 cell test code]],[1]!Table1[[Test code]:[Test code]],[1]!Table1[Q_int_frac DIW 10 mM KOH],"",0)</f>
        <v>#REF!</v>
      </c>
      <c r="AJ1385" s="69" t="e" cm="1">
        <f t="array" ref="AJ1385">_xlfn.XLOOKUP(Table1[[#This Row],[5 cm2 cell test code]:[5 cm2 cell test code]],[1]!Table1[[Test code]:[Test code]],[1]!Table1[DIW conductivity (µS/cm)],"",0)</f>
        <v>#REF!</v>
      </c>
    </row>
    <row r="1386" spans="1:36">
      <c r="A1386" s="81"/>
      <c r="U1386" s="101"/>
      <c r="V1386" s="101"/>
      <c r="W1386" s="69" t="e" cm="1">
        <f t="array" ref="W1386">_xlfn.XLOOKUP(Table1[[#This Row],[5 cm2 cell test code]:[5 cm2 cell test code]],[1]!Table1[[Test code]:[Test code]],[1]!Table1[i @ 1.8 V DIW (A/cm2)],"",0)</f>
        <v>#REF!</v>
      </c>
      <c r="X1386" s="69" t="e" cm="1">
        <f t="array" ref="X1386">_xlfn.XLOOKUP(Table1[[#This Row],[5 cm2 cell test code]:[5 cm2 cell test code]],[1]!Table1[[Test code]:[Test code]],[1]!Table1[i @ 1.8 V 10 mM KOH (A/cm2)],"",0)</f>
        <v>#REF!</v>
      </c>
      <c r="Y1386" s="69" t="e" cm="1">
        <f t="array" ref="Y1386">_xlfn.XLOOKUP(Table1[[#This Row],[5 cm2 cell test code]:[5 cm2 cell test code]],[1]!Table1[[Test code]:[Test code]],[1]!Table1[3-E ƞ at 20mAcm-2 (mV)],"",0)</f>
        <v>#REF!</v>
      </c>
      <c r="Z1386" s="69" t="e" cm="1">
        <f t="array" ref="Z1386">_xlfn.XLOOKUP(Table1[[#This Row],[5 cm2 cell test code]:[5 cm2 cell test code]],[1]!Table1[[Test code]:[Test code]],[1]!Table1[3-E Tafel slope (mV/dec)],"",0)</f>
        <v>#REF!</v>
      </c>
      <c r="AA1386" s="69" t="e" cm="1">
        <f t="array" ref="AA1386">_xlfn.XLOOKUP(Table1[[#This Row],[5 cm2 cell test code]:[5 cm2 cell test code]],[1]!Table1[[Test code]:[Test code]],[1]!Table1[E @ 100 mA/cm2 DIW/V],"",0)</f>
        <v>#REF!</v>
      </c>
      <c r="AB1386" s="69" t="e" cm="1">
        <f t="array" ref="AB1386">_xlfn.XLOOKUP(Table1[[#This Row],[5 cm2 cell test code]:[5 cm2 cell test code]],[1]!Table1[[Test code]:[Test code]],[1]!Table1[E @ 100 mA/cm2 10 mM KOH/V],"",0)</f>
        <v>#REF!</v>
      </c>
      <c r="AC1386" s="69" t="e" cm="1">
        <f t="array" ref="AC1386">_xlfn.XLOOKUP(Table1[[#This Row],[5 cm2 cell test code]:[5 cm2 cell test code]],[1]!Table1[[Test code]:[Test code]],[1]!Table1[Anode ICR/mOhm],"",0)</f>
        <v>#REF!</v>
      </c>
      <c r="AD1386" s="69" t="e" cm="1">
        <f t="array" ref="AD1386">_xlfn.XLOOKUP(Table1[[#This Row],[5 cm2 cell test code]:[5 cm2 cell test code]],[1]!Table1[[Test code]:[Test code]],[1]!Table1[HFR DIW/ mOhm cm2],"",0)</f>
        <v>#REF!</v>
      </c>
      <c r="AE1386" s="69" t="e" cm="1">
        <f t="array" ref="AE1386">_xlfn.XLOOKUP(Table1[[#This Row],[5 cm2 cell test code]:[5 cm2 cell test code]],[1]!Table1[[Test code]:[Test code]],[1]!Table1[HFR 10 mM KOH/ mOhm cm2],"",0)</f>
        <v>#REF!</v>
      </c>
      <c r="AF1386" s="69" t="e" cm="1">
        <f t="array" ref="AF1386">_xlfn.XLOOKUP(Table1[[#This Row],[5 cm2 cell test code]:[5 cm2 cell test code]],[1]!Table1[[Test code]:[Test code]],[1]!Table1[Ionic resistance DIW/Ohm cm2],"",0)</f>
        <v>#REF!</v>
      </c>
      <c r="AG1386" s="69" t="e" cm="1">
        <f t="array" ref="AG1386">_xlfn.XLOOKUP(Table1[[#This Row],[5 cm2 cell test code]:[5 cm2 cell test code]],[1]!Table1[[Test code]:[Test code]],[1]!Table1[Q_int_frac DIW],"",0)</f>
        <v>#REF!</v>
      </c>
      <c r="AH1386" s="69" t="e" cm="1">
        <f t="array" ref="AH1386">_xlfn.XLOOKUP(Table1[[#This Row],[5 cm2 cell test code]:[5 cm2 cell test code]],[1]!Table1[[Test code]:[Test code]],[1]!Table1[Ionic resistance 10 mM KOH/Ohm cm2],"",0)</f>
        <v>#REF!</v>
      </c>
      <c r="AI1386" s="69" t="e" cm="1">
        <f t="array" ref="AI1386">_xlfn.XLOOKUP(Table1[[#This Row],[5 cm2 cell test code]:[5 cm2 cell test code]],[1]!Table1[[Test code]:[Test code]],[1]!Table1[Q_int_frac DIW 10 mM KOH],"",0)</f>
        <v>#REF!</v>
      </c>
      <c r="AJ1386" s="69" t="e" cm="1">
        <f t="array" ref="AJ1386">_xlfn.XLOOKUP(Table1[[#This Row],[5 cm2 cell test code]:[5 cm2 cell test code]],[1]!Table1[[Test code]:[Test code]],[1]!Table1[DIW conductivity (µS/cm)],"",0)</f>
        <v>#REF!</v>
      </c>
    </row>
    <row r="1387" spans="1:36">
      <c r="A1387" s="81"/>
      <c r="U1387" s="101"/>
      <c r="V1387" s="101"/>
      <c r="W1387" s="69" t="e" cm="1">
        <f t="array" ref="W1387">_xlfn.XLOOKUP(Table1[[#This Row],[5 cm2 cell test code]:[5 cm2 cell test code]],[1]!Table1[[Test code]:[Test code]],[1]!Table1[i @ 1.8 V DIW (A/cm2)],"",0)</f>
        <v>#REF!</v>
      </c>
      <c r="X1387" s="69" t="e" cm="1">
        <f t="array" ref="X1387">_xlfn.XLOOKUP(Table1[[#This Row],[5 cm2 cell test code]:[5 cm2 cell test code]],[1]!Table1[[Test code]:[Test code]],[1]!Table1[i @ 1.8 V 10 mM KOH (A/cm2)],"",0)</f>
        <v>#REF!</v>
      </c>
      <c r="Y1387" s="69" t="e" cm="1">
        <f t="array" ref="Y1387">_xlfn.XLOOKUP(Table1[[#This Row],[5 cm2 cell test code]:[5 cm2 cell test code]],[1]!Table1[[Test code]:[Test code]],[1]!Table1[3-E ƞ at 20mAcm-2 (mV)],"",0)</f>
        <v>#REF!</v>
      </c>
      <c r="Z1387" s="69" t="e" cm="1">
        <f t="array" ref="Z1387">_xlfn.XLOOKUP(Table1[[#This Row],[5 cm2 cell test code]:[5 cm2 cell test code]],[1]!Table1[[Test code]:[Test code]],[1]!Table1[3-E Tafel slope (mV/dec)],"",0)</f>
        <v>#REF!</v>
      </c>
      <c r="AA1387" s="69" t="e" cm="1">
        <f t="array" ref="AA1387">_xlfn.XLOOKUP(Table1[[#This Row],[5 cm2 cell test code]:[5 cm2 cell test code]],[1]!Table1[[Test code]:[Test code]],[1]!Table1[E @ 100 mA/cm2 DIW/V],"",0)</f>
        <v>#REF!</v>
      </c>
      <c r="AB1387" s="69" t="e" cm="1">
        <f t="array" ref="AB1387">_xlfn.XLOOKUP(Table1[[#This Row],[5 cm2 cell test code]:[5 cm2 cell test code]],[1]!Table1[[Test code]:[Test code]],[1]!Table1[E @ 100 mA/cm2 10 mM KOH/V],"",0)</f>
        <v>#REF!</v>
      </c>
      <c r="AC1387" s="69" t="e" cm="1">
        <f t="array" ref="AC1387">_xlfn.XLOOKUP(Table1[[#This Row],[5 cm2 cell test code]:[5 cm2 cell test code]],[1]!Table1[[Test code]:[Test code]],[1]!Table1[Anode ICR/mOhm],"",0)</f>
        <v>#REF!</v>
      </c>
      <c r="AD1387" s="69" t="e" cm="1">
        <f t="array" ref="AD1387">_xlfn.XLOOKUP(Table1[[#This Row],[5 cm2 cell test code]:[5 cm2 cell test code]],[1]!Table1[[Test code]:[Test code]],[1]!Table1[HFR DIW/ mOhm cm2],"",0)</f>
        <v>#REF!</v>
      </c>
      <c r="AE1387" s="69" t="e" cm="1">
        <f t="array" ref="AE1387">_xlfn.XLOOKUP(Table1[[#This Row],[5 cm2 cell test code]:[5 cm2 cell test code]],[1]!Table1[[Test code]:[Test code]],[1]!Table1[HFR 10 mM KOH/ mOhm cm2],"",0)</f>
        <v>#REF!</v>
      </c>
      <c r="AF1387" s="69" t="e" cm="1">
        <f t="array" ref="AF1387">_xlfn.XLOOKUP(Table1[[#This Row],[5 cm2 cell test code]:[5 cm2 cell test code]],[1]!Table1[[Test code]:[Test code]],[1]!Table1[Ionic resistance DIW/Ohm cm2],"",0)</f>
        <v>#REF!</v>
      </c>
      <c r="AG1387" s="69" t="e" cm="1">
        <f t="array" ref="AG1387">_xlfn.XLOOKUP(Table1[[#This Row],[5 cm2 cell test code]:[5 cm2 cell test code]],[1]!Table1[[Test code]:[Test code]],[1]!Table1[Q_int_frac DIW],"",0)</f>
        <v>#REF!</v>
      </c>
      <c r="AH1387" s="69" t="e" cm="1">
        <f t="array" ref="AH1387">_xlfn.XLOOKUP(Table1[[#This Row],[5 cm2 cell test code]:[5 cm2 cell test code]],[1]!Table1[[Test code]:[Test code]],[1]!Table1[Ionic resistance 10 mM KOH/Ohm cm2],"",0)</f>
        <v>#REF!</v>
      </c>
      <c r="AI1387" s="69" t="e" cm="1">
        <f t="array" ref="AI1387">_xlfn.XLOOKUP(Table1[[#This Row],[5 cm2 cell test code]:[5 cm2 cell test code]],[1]!Table1[[Test code]:[Test code]],[1]!Table1[Q_int_frac DIW 10 mM KOH],"",0)</f>
        <v>#REF!</v>
      </c>
      <c r="AJ1387" s="69" t="e" cm="1">
        <f t="array" ref="AJ1387">_xlfn.XLOOKUP(Table1[[#This Row],[5 cm2 cell test code]:[5 cm2 cell test code]],[1]!Table1[[Test code]:[Test code]],[1]!Table1[DIW conductivity (µS/cm)],"",0)</f>
        <v>#REF!</v>
      </c>
    </row>
    <row r="1388" spans="1:36">
      <c r="A1388" s="81"/>
      <c r="U1388" s="101"/>
      <c r="V1388" s="101"/>
      <c r="W1388" s="69" t="e" cm="1">
        <f t="array" ref="W1388">_xlfn.XLOOKUP(Table1[[#This Row],[5 cm2 cell test code]:[5 cm2 cell test code]],[1]!Table1[[Test code]:[Test code]],[1]!Table1[i @ 1.8 V DIW (A/cm2)],"",0)</f>
        <v>#REF!</v>
      </c>
      <c r="X1388" s="69" t="e" cm="1">
        <f t="array" ref="X1388">_xlfn.XLOOKUP(Table1[[#This Row],[5 cm2 cell test code]:[5 cm2 cell test code]],[1]!Table1[[Test code]:[Test code]],[1]!Table1[i @ 1.8 V 10 mM KOH (A/cm2)],"",0)</f>
        <v>#REF!</v>
      </c>
      <c r="Y1388" s="69" t="e" cm="1">
        <f t="array" ref="Y1388">_xlfn.XLOOKUP(Table1[[#This Row],[5 cm2 cell test code]:[5 cm2 cell test code]],[1]!Table1[[Test code]:[Test code]],[1]!Table1[3-E ƞ at 20mAcm-2 (mV)],"",0)</f>
        <v>#REF!</v>
      </c>
      <c r="Z1388" s="69" t="e" cm="1">
        <f t="array" ref="Z1388">_xlfn.XLOOKUP(Table1[[#This Row],[5 cm2 cell test code]:[5 cm2 cell test code]],[1]!Table1[[Test code]:[Test code]],[1]!Table1[3-E Tafel slope (mV/dec)],"",0)</f>
        <v>#REF!</v>
      </c>
      <c r="AA1388" s="69" t="e" cm="1">
        <f t="array" ref="AA1388">_xlfn.XLOOKUP(Table1[[#This Row],[5 cm2 cell test code]:[5 cm2 cell test code]],[1]!Table1[[Test code]:[Test code]],[1]!Table1[E @ 100 mA/cm2 DIW/V],"",0)</f>
        <v>#REF!</v>
      </c>
      <c r="AB1388" s="69" t="e" cm="1">
        <f t="array" ref="AB1388">_xlfn.XLOOKUP(Table1[[#This Row],[5 cm2 cell test code]:[5 cm2 cell test code]],[1]!Table1[[Test code]:[Test code]],[1]!Table1[E @ 100 mA/cm2 10 mM KOH/V],"",0)</f>
        <v>#REF!</v>
      </c>
      <c r="AC1388" s="69" t="e" cm="1">
        <f t="array" ref="AC1388">_xlfn.XLOOKUP(Table1[[#This Row],[5 cm2 cell test code]:[5 cm2 cell test code]],[1]!Table1[[Test code]:[Test code]],[1]!Table1[Anode ICR/mOhm],"",0)</f>
        <v>#REF!</v>
      </c>
      <c r="AD1388" s="69" t="e" cm="1">
        <f t="array" ref="AD1388">_xlfn.XLOOKUP(Table1[[#This Row],[5 cm2 cell test code]:[5 cm2 cell test code]],[1]!Table1[[Test code]:[Test code]],[1]!Table1[HFR DIW/ mOhm cm2],"",0)</f>
        <v>#REF!</v>
      </c>
      <c r="AE1388" s="69" t="e" cm="1">
        <f t="array" ref="AE1388">_xlfn.XLOOKUP(Table1[[#This Row],[5 cm2 cell test code]:[5 cm2 cell test code]],[1]!Table1[[Test code]:[Test code]],[1]!Table1[HFR 10 mM KOH/ mOhm cm2],"",0)</f>
        <v>#REF!</v>
      </c>
      <c r="AF1388" s="69" t="e" cm="1">
        <f t="array" ref="AF1388">_xlfn.XLOOKUP(Table1[[#This Row],[5 cm2 cell test code]:[5 cm2 cell test code]],[1]!Table1[[Test code]:[Test code]],[1]!Table1[Ionic resistance DIW/Ohm cm2],"",0)</f>
        <v>#REF!</v>
      </c>
      <c r="AG1388" s="69" t="e" cm="1">
        <f t="array" ref="AG1388">_xlfn.XLOOKUP(Table1[[#This Row],[5 cm2 cell test code]:[5 cm2 cell test code]],[1]!Table1[[Test code]:[Test code]],[1]!Table1[Q_int_frac DIW],"",0)</f>
        <v>#REF!</v>
      </c>
      <c r="AH1388" s="69" t="e" cm="1">
        <f t="array" ref="AH1388">_xlfn.XLOOKUP(Table1[[#This Row],[5 cm2 cell test code]:[5 cm2 cell test code]],[1]!Table1[[Test code]:[Test code]],[1]!Table1[Ionic resistance 10 mM KOH/Ohm cm2],"",0)</f>
        <v>#REF!</v>
      </c>
      <c r="AI1388" s="69" t="e" cm="1">
        <f t="array" ref="AI1388">_xlfn.XLOOKUP(Table1[[#This Row],[5 cm2 cell test code]:[5 cm2 cell test code]],[1]!Table1[[Test code]:[Test code]],[1]!Table1[Q_int_frac DIW 10 mM KOH],"",0)</f>
        <v>#REF!</v>
      </c>
      <c r="AJ1388" s="69" t="e" cm="1">
        <f t="array" ref="AJ1388">_xlfn.XLOOKUP(Table1[[#This Row],[5 cm2 cell test code]:[5 cm2 cell test code]],[1]!Table1[[Test code]:[Test code]],[1]!Table1[DIW conductivity (µS/cm)],"",0)</f>
        <v>#REF!</v>
      </c>
    </row>
    <row r="1389" spans="1:36">
      <c r="A1389" s="81"/>
      <c r="U1389" s="101"/>
      <c r="V1389" s="101"/>
      <c r="W1389" s="69" t="e" cm="1">
        <f t="array" ref="W1389">_xlfn.XLOOKUP(Table1[[#This Row],[5 cm2 cell test code]:[5 cm2 cell test code]],[1]!Table1[[Test code]:[Test code]],[1]!Table1[i @ 1.8 V DIW (A/cm2)],"",0)</f>
        <v>#REF!</v>
      </c>
      <c r="X1389" s="69" t="e" cm="1">
        <f t="array" ref="X1389">_xlfn.XLOOKUP(Table1[[#This Row],[5 cm2 cell test code]:[5 cm2 cell test code]],[1]!Table1[[Test code]:[Test code]],[1]!Table1[i @ 1.8 V 10 mM KOH (A/cm2)],"",0)</f>
        <v>#REF!</v>
      </c>
      <c r="Y1389" s="69" t="e" cm="1">
        <f t="array" ref="Y1389">_xlfn.XLOOKUP(Table1[[#This Row],[5 cm2 cell test code]:[5 cm2 cell test code]],[1]!Table1[[Test code]:[Test code]],[1]!Table1[3-E ƞ at 20mAcm-2 (mV)],"",0)</f>
        <v>#REF!</v>
      </c>
      <c r="Z1389" s="69" t="e" cm="1">
        <f t="array" ref="Z1389">_xlfn.XLOOKUP(Table1[[#This Row],[5 cm2 cell test code]:[5 cm2 cell test code]],[1]!Table1[[Test code]:[Test code]],[1]!Table1[3-E Tafel slope (mV/dec)],"",0)</f>
        <v>#REF!</v>
      </c>
      <c r="AA1389" s="69" t="e" cm="1">
        <f t="array" ref="AA1389">_xlfn.XLOOKUP(Table1[[#This Row],[5 cm2 cell test code]:[5 cm2 cell test code]],[1]!Table1[[Test code]:[Test code]],[1]!Table1[E @ 100 mA/cm2 DIW/V],"",0)</f>
        <v>#REF!</v>
      </c>
      <c r="AB1389" s="69" t="e" cm="1">
        <f t="array" ref="AB1389">_xlfn.XLOOKUP(Table1[[#This Row],[5 cm2 cell test code]:[5 cm2 cell test code]],[1]!Table1[[Test code]:[Test code]],[1]!Table1[E @ 100 mA/cm2 10 mM KOH/V],"",0)</f>
        <v>#REF!</v>
      </c>
      <c r="AC1389" s="69" t="e" cm="1">
        <f t="array" ref="AC1389">_xlfn.XLOOKUP(Table1[[#This Row],[5 cm2 cell test code]:[5 cm2 cell test code]],[1]!Table1[[Test code]:[Test code]],[1]!Table1[Anode ICR/mOhm],"",0)</f>
        <v>#REF!</v>
      </c>
      <c r="AD1389" s="69" t="e" cm="1">
        <f t="array" ref="AD1389">_xlfn.XLOOKUP(Table1[[#This Row],[5 cm2 cell test code]:[5 cm2 cell test code]],[1]!Table1[[Test code]:[Test code]],[1]!Table1[HFR DIW/ mOhm cm2],"",0)</f>
        <v>#REF!</v>
      </c>
      <c r="AE1389" s="69" t="e" cm="1">
        <f t="array" ref="AE1389">_xlfn.XLOOKUP(Table1[[#This Row],[5 cm2 cell test code]:[5 cm2 cell test code]],[1]!Table1[[Test code]:[Test code]],[1]!Table1[HFR 10 mM KOH/ mOhm cm2],"",0)</f>
        <v>#REF!</v>
      </c>
      <c r="AF1389" s="69" t="e" cm="1">
        <f t="array" ref="AF1389">_xlfn.XLOOKUP(Table1[[#This Row],[5 cm2 cell test code]:[5 cm2 cell test code]],[1]!Table1[[Test code]:[Test code]],[1]!Table1[Ionic resistance DIW/Ohm cm2],"",0)</f>
        <v>#REF!</v>
      </c>
      <c r="AG1389" s="69" t="e" cm="1">
        <f t="array" ref="AG1389">_xlfn.XLOOKUP(Table1[[#This Row],[5 cm2 cell test code]:[5 cm2 cell test code]],[1]!Table1[[Test code]:[Test code]],[1]!Table1[Q_int_frac DIW],"",0)</f>
        <v>#REF!</v>
      </c>
      <c r="AH1389" s="69" t="e" cm="1">
        <f t="array" ref="AH1389">_xlfn.XLOOKUP(Table1[[#This Row],[5 cm2 cell test code]:[5 cm2 cell test code]],[1]!Table1[[Test code]:[Test code]],[1]!Table1[Ionic resistance 10 mM KOH/Ohm cm2],"",0)</f>
        <v>#REF!</v>
      </c>
      <c r="AI1389" s="69" t="e" cm="1">
        <f t="array" ref="AI1389">_xlfn.XLOOKUP(Table1[[#This Row],[5 cm2 cell test code]:[5 cm2 cell test code]],[1]!Table1[[Test code]:[Test code]],[1]!Table1[Q_int_frac DIW 10 mM KOH],"",0)</f>
        <v>#REF!</v>
      </c>
      <c r="AJ1389" s="69" t="e" cm="1">
        <f t="array" ref="AJ1389">_xlfn.XLOOKUP(Table1[[#This Row],[5 cm2 cell test code]:[5 cm2 cell test code]],[1]!Table1[[Test code]:[Test code]],[1]!Table1[DIW conductivity (µS/cm)],"",0)</f>
        <v>#REF!</v>
      </c>
    </row>
    <row r="1390" spans="1:36">
      <c r="A1390" s="81"/>
      <c r="U1390" s="101"/>
      <c r="V1390" s="101"/>
      <c r="W1390" s="69" t="e" cm="1">
        <f t="array" ref="W1390">_xlfn.XLOOKUP(Table1[[#This Row],[5 cm2 cell test code]:[5 cm2 cell test code]],[1]!Table1[[Test code]:[Test code]],[1]!Table1[i @ 1.8 V DIW (A/cm2)],"",0)</f>
        <v>#REF!</v>
      </c>
      <c r="X1390" s="69" t="e" cm="1">
        <f t="array" ref="X1390">_xlfn.XLOOKUP(Table1[[#This Row],[5 cm2 cell test code]:[5 cm2 cell test code]],[1]!Table1[[Test code]:[Test code]],[1]!Table1[i @ 1.8 V 10 mM KOH (A/cm2)],"",0)</f>
        <v>#REF!</v>
      </c>
      <c r="Y1390" s="69" t="e" cm="1">
        <f t="array" ref="Y1390">_xlfn.XLOOKUP(Table1[[#This Row],[5 cm2 cell test code]:[5 cm2 cell test code]],[1]!Table1[[Test code]:[Test code]],[1]!Table1[3-E ƞ at 20mAcm-2 (mV)],"",0)</f>
        <v>#REF!</v>
      </c>
      <c r="Z1390" s="69" t="e" cm="1">
        <f t="array" ref="Z1390">_xlfn.XLOOKUP(Table1[[#This Row],[5 cm2 cell test code]:[5 cm2 cell test code]],[1]!Table1[[Test code]:[Test code]],[1]!Table1[3-E Tafel slope (mV/dec)],"",0)</f>
        <v>#REF!</v>
      </c>
      <c r="AA1390" s="69" t="e" cm="1">
        <f t="array" ref="AA1390">_xlfn.XLOOKUP(Table1[[#This Row],[5 cm2 cell test code]:[5 cm2 cell test code]],[1]!Table1[[Test code]:[Test code]],[1]!Table1[E @ 100 mA/cm2 DIW/V],"",0)</f>
        <v>#REF!</v>
      </c>
      <c r="AB1390" s="69" t="e" cm="1">
        <f t="array" ref="AB1390">_xlfn.XLOOKUP(Table1[[#This Row],[5 cm2 cell test code]:[5 cm2 cell test code]],[1]!Table1[[Test code]:[Test code]],[1]!Table1[E @ 100 mA/cm2 10 mM KOH/V],"",0)</f>
        <v>#REF!</v>
      </c>
      <c r="AC1390" s="69" t="e" cm="1">
        <f t="array" ref="AC1390">_xlfn.XLOOKUP(Table1[[#This Row],[5 cm2 cell test code]:[5 cm2 cell test code]],[1]!Table1[[Test code]:[Test code]],[1]!Table1[Anode ICR/mOhm],"",0)</f>
        <v>#REF!</v>
      </c>
      <c r="AD1390" s="69" t="e" cm="1">
        <f t="array" ref="AD1390">_xlfn.XLOOKUP(Table1[[#This Row],[5 cm2 cell test code]:[5 cm2 cell test code]],[1]!Table1[[Test code]:[Test code]],[1]!Table1[HFR DIW/ mOhm cm2],"",0)</f>
        <v>#REF!</v>
      </c>
      <c r="AE1390" s="69" t="e" cm="1">
        <f t="array" ref="AE1390">_xlfn.XLOOKUP(Table1[[#This Row],[5 cm2 cell test code]:[5 cm2 cell test code]],[1]!Table1[[Test code]:[Test code]],[1]!Table1[HFR 10 mM KOH/ mOhm cm2],"",0)</f>
        <v>#REF!</v>
      </c>
      <c r="AF1390" s="69" t="e" cm="1">
        <f t="array" ref="AF1390">_xlfn.XLOOKUP(Table1[[#This Row],[5 cm2 cell test code]:[5 cm2 cell test code]],[1]!Table1[[Test code]:[Test code]],[1]!Table1[Ionic resistance DIW/Ohm cm2],"",0)</f>
        <v>#REF!</v>
      </c>
      <c r="AG1390" s="69" t="e" cm="1">
        <f t="array" ref="AG1390">_xlfn.XLOOKUP(Table1[[#This Row],[5 cm2 cell test code]:[5 cm2 cell test code]],[1]!Table1[[Test code]:[Test code]],[1]!Table1[Q_int_frac DIW],"",0)</f>
        <v>#REF!</v>
      </c>
      <c r="AH1390" s="69" t="e" cm="1">
        <f t="array" ref="AH1390">_xlfn.XLOOKUP(Table1[[#This Row],[5 cm2 cell test code]:[5 cm2 cell test code]],[1]!Table1[[Test code]:[Test code]],[1]!Table1[Ionic resistance 10 mM KOH/Ohm cm2],"",0)</f>
        <v>#REF!</v>
      </c>
      <c r="AI1390" s="69" t="e" cm="1">
        <f t="array" ref="AI1390">_xlfn.XLOOKUP(Table1[[#This Row],[5 cm2 cell test code]:[5 cm2 cell test code]],[1]!Table1[[Test code]:[Test code]],[1]!Table1[Q_int_frac DIW 10 mM KOH],"",0)</f>
        <v>#REF!</v>
      </c>
      <c r="AJ1390" s="69" t="e" cm="1">
        <f t="array" ref="AJ1390">_xlfn.XLOOKUP(Table1[[#This Row],[5 cm2 cell test code]:[5 cm2 cell test code]],[1]!Table1[[Test code]:[Test code]],[1]!Table1[DIW conductivity (µS/cm)],"",0)</f>
        <v>#REF!</v>
      </c>
    </row>
    <row r="1391" spans="1:36">
      <c r="A1391" s="81"/>
      <c r="U1391" s="101"/>
      <c r="V1391" s="101"/>
      <c r="W1391" s="69" t="e" cm="1">
        <f t="array" ref="W1391">_xlfn.XLOOKUP(Table1[[#This Row],[5 cm2 cell test code]:[5 cm2 cell test code]],[1]!Table1[[Test code]:[Test code]],[1]!Table1[i @ 1.8 V DIW (A/cm2)],"",0)</f>
        <v>#REF!</v>
      </c>
      <c r="X1391" s="69" t="e" cm="1">
        <f t="array" ref="X1391">_xlfn.XLOOKUP(Table1[[#This Row],[5 cm2 cell test code]:[5 cm2 cell test code]],[1]!Table1[[Test code]:[Test code]],[1]!Table1[i @ 1.8 V 10 mM KOH (A/cm2)],"",0)</f>
        <v>#REF!</v>
      </c>
      <c r="Y1391" s="69" t="e" cm="1">
        <f t="array" ref="Y1391">_xlfn.XLOOKUP(Table1[[#This Row],[5 cm2 cell test code]:[5 cm2 cell test code]],[1]!Table1[[Test code]:[Test code]],[1]!Table1[3-E ƞ at 20mAcm-2 (mV)],"",0)</f>
        <v>#REF!</v>
      </c>
      <c r="Z1391" s="69" t="e" cm="1">
        <f t="array" ref="Z1391">_xlfn.XLOOKUP(Table1[[#This Row],[5 cm2 cell test code]:[5 cm2 cell test code]],[1]!Table1[[Test code]:[Test code]],[1]!Table1[3-E Tafel slope (mV/dec)],"",0)</f>
        <v>#REF!</v>
      </c>
      <c r="AA1391" s="69" t="e" cm="1">
        <f t="array" ref="AA1391">_xlfn.XLOOKUP(Table1[[#This Row],[5 cm2 cell test code]:[5 cm2 cell test code]],[1]!Table1[[Test code]:[Test code]],[1]!Table1[E @ 100 mA/cm2 DIW/V],"",0)</f>
        <v>#REF!</v>
      </c>
      <c r="AB1391" s="69" t="e" cm="1">
        <f t="array" ref="AB1391">_xlfn.XLOOKUP(Table1[[#This Row],[5 cm2 cell test code]:[5 cm2 cell test code]],[1]!Table1[[Test code]:[Test code]],[1]!Table1[E @ 100 mA/cm2 10 mM KOH/V],"",0)</f>
        <v>#REF!</v>
      </c>
      <c r="AC1391" s="69" t="e" cm="1">
        <f t="array" ref="AC1391">_xlfn.XLOOKUP(Table1[[#This Row],[5 cm2 cell test code]:[5 cm2 cell test code]],[1]!Table1[[Test code]:[Test code]],[1]!Table1[Anode ICR/mOhm],"",0)</f>
        <v>#REF!</v>
      </c>
      <c r="AD1391" s="69" t="e" cm="1">
        <f t="array" ref="AD1391">_xlfn.XLOOKUP(Table1[[#This Row],[5 cm2 cell test code]:[5 cm2 cell test code]],[1]!Table1[[Test code]:[Test code]],[1]!Table1[HFR DIW/ mOhm cm2],"",0)</f>
        <v>#REF!</v>
      </c>
      <c r="AE1391" s="69" t="e" cm="1">
        <f t="array" ref="AE1391">_xlfn.XLOOKUP(Table1[[#This Row],[5 cm2 cell test code]:[5 cm2 cell test code]],[1]!Table1[[Test code]:[Test code]],[1]!Table1[HFR 10 mM KOH/ mOhm cm2],"",0)</f>
        <v>#REF!</v>
      </c>
      <c r="AF1391" s="69" t="e" cm="1">
        <f t="array" ref="AF1391">_xlfn.XLOOKUP(Table1[[#This Row],[5 cm2 cell test code]:[5 cm2 cell test code]],[1]!Table1[[Test code]:[Test code]],[1]!Table1[Ionic resistance DIW/Ohm cm2],"",0)</f>
        <v>#REF!</v>
      </c>
      <c r="AG1391" s="69" t="e" cm="1">
        <f t="array" ref="AG1391">_xlfn.XLOOKUP(Table1[[#This Row],[5 cm2 cell test code]:[5 cm2 cell test code]],[1]!Table1[[Test code]:[Test code]],[1]!Table1[Q_int_frac DIW],"",0)</f>
        <v>#REF!</v>
      </c>
      <c r="AH1391" s="69" t="e" cm="1">
        <f t="array" ref="AH1391">_xlfn.XLOOKUP(Table1[[#This Row],[5 cm2 cell test code]:[5 cm2 cell test code]],[1]!Table1[[Test code]:[Test code]],[1]!Table1[Ionic resistance 10 mM KOH/Ohm cm2],"",0)</f>
        <v>#REF!</v>
      </c>
      <c r="AI1391" s="69" t="e" cm="1">
        <f t="array" ref="AI1391">_xlfn.XLOOKUP(Table1[[#This Row],[5 cm2 cell test code]:[5 cm2 cell test code]],[1]!Table1[[Test code]:[Test code]],[1]!Table1[Q_int_frac DIW 10 mM KOH],"",0)</f>
        <v>#REF!</v>
      </c>
      <c r="AJ1391" s="69" t="e" cm="1">
        <f t="array" ref="AJ1391">_xlfn.XLOOKUP(Table1[[#This Row],[5 cm2 cell test code]:[5 cm2 cell test code]],[1]!Table1[[Test code]:[Test code]],[1]!Table1[DIW conductivity (µS/cm)],"",0)</f>
        <v>#REF!</v>
      </c>
    </row>
    <row r="1392" spans="1:36">
      <c r="A1392" s="81"/>
      <c r="U1392" s="101"/>
      <c r="V1392" s="101"/>
      <c r="W1392" s="69" t="e" cm="1">
        <f t="array" ref="W1392">_xlfn.XLOOKUP(Table1[[#This Row],[5 cm2 cell test code]:[5 cm2 cell test code]],[1]!Table1[[Test code]:[Test code]],[1]!Table1[i @ 1.8 V DIW (A/cm2)],"",0)</f>
        <v>#REF!</v>
      </c>
      <c r="X1392" s="69" t="e" cm="1">
        <f t="array" ref="X1392">_xlfn.XLOOKUP(Table1[[#This Row],[5 cm2 cell test code]:[5 cm2 cell test code]],[1]!Table1[[Test code]:[Test code]],[1]!Table1[i @ 1.8 V 10 mM KOH (A/cm2)],"",0)</f>
        <v>#REF!</v>
      </c>
      <c r="Y1392" s="69" t="e" cm="1">
        <f t="array" ref="Y1392">_xlfn.XLOOKUP(Table1[[#This Row],[5 cm2 cell test code]:[5 cm2 cell test code]],[1]!Table1[[Test code]:[Test code]],[1]!Table1[3-E ƞ at 20mAcm-2 (mV)],"",0)</f>
        <v>#REF!</v>
      </c>
      <c r="Z1392" s="69" t="e" cm="1">
        <f t="array" ref="Z1392">_xlfn.XLOOKUP(Table1[[#This Row],[5 cm2 cell test code]:[5 cm2 cell test code]],[1]!Table1[[Test code]:[Test code]],[1]!Table1[3-E Tafel slope (mV/dec)],"",0)</f>
        <v>#REF!</v>
      </c>
      <c r="AA1392" s="69" t="e" cm="1">
        <f t="array" ref="AA1392">_xlfn.XLOOKUP(Table1[[#This Row],[5 cm2 cell test code]:[5 cm2 cell test code]],[1]!Table1[[Test code]:[Test code]],[1]!Table1[E @ 100 mA/cm2 DIW/V],"",0)</f>
        <v>#REF!</v>
      </c>
      <c r="AB1392" s="69" t="e" cm="1">
        <f t="array" ref="AB1392">_xlfn.XLOOKUP(Table1[[#This Row],[5 cm2 cell test code]:[5 cm2 cell test code]],[1]!Table1[[Test code]:[Test code]],[1]!Table1[E @ 100 mA/cm2 10 mM KOH/V],"",0)</f>
        <v>#REF!</v>
      </c>
      <c r="AC1392" s="69" t="e" cm="1">
        <f t="array" ref="AC1392">_xlfn.XLOOKUP(Table1[[#This Row],[5 cm2 cell test code]:[5 cm2 cell test code]],[1]!Table1[[Test code]:[Test code]],[1]!Table1[Anode ICR/mOhm],"",0)</f>
        <v>#REF!</v>
      </c>
      <c r="AD1392" s="69" t="e" cm="1">
        <f t="array" ref="AD1392">_xlfn.XLOOKUP(Table1[[#This Row],[5 cm2 cell test code]:[5 cm2 cell test code]],[1]!Table1[[Test code]:[Test code]],[1]!Table1[HFR DIW/ mOhm cm2],"",0)</f>
        <v>#REF!</v>
      </c>
      <c r="AE1392" s="69" t="e" cm="1">
        <f t="array" ref="AE1392">_xlfn.XLOOKUP(Table1[[#This Row],[5 cm2 cell test code]:[5 cm2 cell test code]],[1]!Table1[[Test code]:[Test code]],[1]!Table1[HFR 10 mM KOH/ mOhm cm2],"",0)</f>
        <v>#REF!</v>
      </c>
      <c r="AF1392" s="69" t="e" cm="1">
        <f t="array" ref="AF1392">_xlfn.XLOOKUP(Table1[[#This Row],[5 cm2 cell test code]:[5 cm2 cell test code]],[1]!Table1[[Test code]:[Test code]],[1]!Table1[Ionic resistance DIW/Ohm cm2],"",0)</f>
        <v>#REF!</v>
      </c>
      <c r="AG1392" s="69" t="e" cm="1">
        <f t="array" ref="AG1392">_xlfn.XLOOKUP(Table1[[#This Row],[5 cm2 cell test code]:[5 cm2 cell test code]],[1]!Table1[[Test code]:[Test code]],[1]!Table1[Q_int_frac DIW],"",0)</f>
        <v>#REF!</v>
      </c>
      <c r="AH1392" s="69" t="e" cm="1">
        <f t="array" ref="AH1392">_xlfn.XLOOKUP(Table1[[#This Row],[5 cm2 cell test code]:[5 cm2 cell test code]],[1]!Table1[[Test code]:[Test code]],[1]!Table1[Ionic resistance 10 mM KOH/Ohm cm2],"",0)</f>
        <v>#REF!</v>
      </c>
      <c r="AI1392" s="69" t="e" cm="1">
        <f t="array" ref="AI1392">_xlfn.XLOOKUP(Table1[[#This Row],[5 cm2 cell test code]:[5 cm2 cell test code]],[1]!Table1[[Test code]:[Test code]],[1]!Table1[Q_int_frac DIW 10 mM KOH],"",0)</f>
        <v>#REF!</v>
      </c>
      <c r="AJ1392" s="69" t="e" cm="1">
        <f t="array" ref="AJ1392">_xlfn.XLOOKUP(Table1[[#This Row],[5 cm2 cell test code]:[5 cm2 cell test code]],[1]!Table1[[Test code]:[Test code]],[1]!Table1[DIW conductivity (µS/cm)],"",0)</f>
        <v>#REF!</v>
      </c>
    </row>
    <row r="1393" spans="1:36">
      <c r="A1393" s="81"/>
      <c r="U1393" s="101"/>
      <c r="V1393" s="101"/>
      <c r="W1393" s="69" t="e" cm="1">
        <f t="array" ref="W1393">_xlfn.XLOOKUP(Table1[[#This Row],[5 cm2 cell test code]:[5 cm2 cell test code]],[1]!Table1[[Test code]:[Test code]],[1]!Table1[i @ 1.8 V DIW (A/cm2)],"",0)</f>
        <v>#REF!</v>
      </c>
      <c r="X1393" s="69" t="e" cm="1">
        <f t="array" ref="X1393">_xlfn.XLOOKUP(Table1[[#This Row],[5 cm2 cell test code]:[5 cm2 cell test code]],[1]!Table1[[Test code]:[Test code]],[1]!Table1[i @ 1.8 V 10 mM KOH (A/cm2)],"",0)</f>
        <v>#REF!</v>
      </c>
      <c r="Y1393" s="69" t="e" cm="1">
        <f t="array" ref="Y1393">_xlfn.XLOOKUP(Table1[[#This Row],[5 cm2 cell test code]:[5 cm2 cell test code]],[1]!Table1[[Test code]:[Test code]],[1]!Table1[3-E ƞ at 20mAcm-2 (mV)],"",0)</f>
        <v>#REF!</v>
      </c>
      <c r="Z1393" s="69" t="e" cm="1">
        <f t="array" ref="Z1393">_xlfn.XLOOKUP(Table1[[#This Row],[5 cm2 cell test code]:[5 cm2 cell test code]],[1]!Table1[[Test code]:[Test code]],[1]!Table1[3-E Tafel slope (mV/dec)],"",0)</f>
        <v>#REF!</v>
      </c>
      <c r="AA1393" s="69" t="e" cm="1">
        <f t="array" ref="AA1393">_xlfn.XLOOKUP(Table1[[#This Row],[5 cm2 cell test code]:[5 cm2 cell test code]],[1]!Table1[[Test code]:[Test code]],[1]!Table1[E @ 100 mA/cm2 DIW/V],"",0)</f>
        <v>#REF!</v>
      </c>
      <c r="AB1393" s="69" t="e" cm="1">
        <f t="array" ref="AB1393">_xlfn.XLOOKUP(Table1[[#This Row],[5 cm2 cell test code]:[5 cm2 cell test code]],[1]!Table1[[Test code]:[Test code]],[1]!Table1[E @ 100 mA/cm2 10 mM KOH/V],"",0)</f>
        <v>#REF!</v>
      </c>
      <c r="AC1393" s="69" t="e" cm="1">
        <f t="array" ref="AC1393">_xlfn.XLOOKUP(Table1[[#This Row],[5 cm2 cell test code]:[5 cm2 cell test code]],[1]!Table1[[Test code]:[Test code]],[1]!Table1[Anode ICR/mOhm],"",0)</f>
        <v>#REF!</v>
      </c>
      <c r="AD1393" s="69" t="e" cm="1">
        <f t="array" ref="AD1393">_xlfn.XLOOKUP(Table1[[#This Row],[5 cm2 cell test code]:[5 cm2 cell test code]],[1]!Table1[[Test code]:[Test code]],[1]!Table1[HFR DIW/ mOhm cm2],"",0)</f>
        <v>#REF!</v>
      </c>
      <c r="AE1393" s="69" t="e" cm="1">
        <f t="array" ref="AE1393">_xlfn.XLOOKUP(Table1[[#This Row],[5 cm2 cell test code]:[5 cm2 cell test code]],[1]!Table1[[Test code]:[Test code]],[1]!Table1[HFR 10 mM KOH/ mOhm cm2],"",0)</f>
        <v>#REF!</v>
      </c>
      <c r="AF1393" s="69" t="e" cm="1">
        <f t="array" ref="AF1393">_xlfn.XLOOKUP(Table1[[#This Row],[5 cm2 cell test code]:[5 cm2 cell test code]],[1]!Table1[[Test code]:[Test code]],[1]!Table1[Ionic resistance DIW/Ohm cm2],"",0)</f>
        <v>#REF!</v>
      </c>
      <c r="AG1393" s="69" t="e" cm="1">
        <f t="array" ref="AG1393">_xlfn.XLOOKUP(Table1[[#This Row],[5 cm2 cell test code]:[5 cm2 cell test code]],[1]!Table1[[Test code]:[Test code]],[1]!Table1[Q_int_frac DIW],"",0)</f>
        <v>#REF!</v>
      </c>
      <c r="AH1393" s="69" t="e" cm="1">
        <f t="array" ref="AH1393">_xlfn.XLOOKUP(Table1[[#This Row],[5 cm2 cell test code]:[5 cm2 cell test code]],[1]!Table1[[Test code]:[Test code]],[1]!Table1[Ionic resistance 10 mM KOH/Ohm cm2],"",0)</f>
        <v>#REF!</v>
      </c>
      <c r="AI1393" s="69" t="e" cm="1">
        <f t="array" ref="AI1393">_xlfn.XLOOKUP(Table1[[#This Row],[5 cm2 cell test code]:[5 cm2 cell test code]],[1]!Table1[[Test code]:[Test code]],[1]!Table1[Q_int_frac DIW 10 mM KOH],"",0)</f>
        <v>#REF!</v>
      </c>
      <c r="AJ1393" s="69" t="e" cm="1">
        <f t="array" ref="AJ1393">_xlfn.XLOOKUP(Table1[[#This Row],[5 cm2 cell test code]:[5 cm2 cell test code]],[1]!Table1[[Test code]:[Test code]],[1]!Table1[DIW conductivity (µS/cm)],"",0)</f>
        <v>#REF!</v>
      </c>
    </row>
    <row r="1394" spans="1:36">
      <c r="A1394" s="81"/>
      <c r="U1394" s="101"/>
      <c r="V1394" s="101"/>
      <c r="W1394" s="69" t="e" cm="1">
        <f t="array" ref="W1394">_xlfn.XLOOKUP(Table1[[#This Row],[5 cm2 cell test code]:[5 cm2 cell test code]],[1]!Table1[[Test code]:[Test code]],[1]!Table1[i @ 1.8 V DIW (A/cm2)],"",0)</f>
        <v>#REF!</v>
      </c>
      <c r="X1394" s="69" t="e" cm="1">
        <f t="array" ref="X1394">_xlfn.XLOOKUP(Table1[[#This Row],[5 cm2 cell test code]:[5 cm2 cell test code]],[1]!Table1[[Test code]:[Test code]],[1]!Table1[i @ 1.8 V 10 mM KOH (A/cm2)],"",0)</f>
        <v>#REF!</v>
      </c>
      <c r="Y1394" s="69" t="e" cm="1">
        <f t="array" ref="Y1394">_xlfn.XLOOKUP(Table1[[#This Row],[5 cm2 cell test code]:[5 cm2 cell test code]],[1]!Table1[[Test code]:[Test code]],[1]!Table1[3-E ƞ at 20mAcm-2 (mV)],"",0)</f>
        <v>#REF!</v>
      </c>
      <c r="Z1394" s="69" t="e" cm="1">
        <f t="array" ref="Z1394">_xlfn.XLOOKUP(Table1[[#This Row],[5 cm2 cell test code]:[5 cm2 cell test code]],[1]!Table1[[Test code]:[Test code]],[1]!Table1[3-E Tafel slope (mV/dec)],"",0)</f>
        <v>#REF!</v>
      </c>
      <c r="AA1394" s="69" t="e" cm="1">
        <f t="array" ref="AA1394">_xlfn.XLOOKUP(Table1[[#This Row],[5 cm2 cell test code]:[5 cm2 cell test code]],[1]!Table1[[Test code]:[Test code]],[1]!Table1[E @ 100 mA/cm2 DIW/V],"",0)</f>
        <v>#REF!</v>
      </c>
      <c r="AB1394" s="69" t="e" cm="1">
        <f t="array" ref="AB1394">_xlfn.XLOOKUP(Table1[[#This Row],[5 cm2 cell test code]:[5 cm2 cell test code]],[1]!Table1[[Test code]:[Test code]],[1]!Table1[E @ 100 mA/cm2 10 mM KOH/V],"",0)</f>
        <v>#REF!</v>
      </c>
      <c r="AC1394" s="69" t="e" cm="1">
        <f t="array" ref="AC1394">_xlfn.XLOOKUP(Table1[[#This Row],[5 cm2 cell test code]:[5 cm2 cell test code]],[1]!Table1[[Test code]:[Test code]],[1]!Table1[Anode ICR/mOhm],"",0)</f>
        <v>#REF!</v>
      </c>
      <c r="AD1394" s="69" t="e" cm="1">
        <f t="array" ref="AD1394">_xlfn.XLOOKUP(Table1[[#This Row],[5 cm2 cell test code]:[5 cm2 cell test code]],[1]!Table1[[Test code]:[Test code]],[1]!Table1[HFR DIW/ mOhm cm2],"",0)</f>
        <v>#REF!</v>
      </c>
      <c r="AE1394" s="69" t="e" cm="1">
        <f t="array" ref="AE1394">_xlfn.XLOOKUP(Table1[[#This Row],[5 cm2 cell test code]:[5 cm2 cell test code]],[1]!Table1[[Test code]:[Test code]],[1]!Table1[HFR 10 mM KOH/ mOhm cm2],"",0)</f>
        <v>#REF!</v>
      </c>
      <c r="AF1394" s="69" t="e" cm="1">
        <f t="array" ref="AF1394">_xlfn.XLOOKUP(Table1[[#This Row],[5 cm2 cell test code]:[5 cm2 cell test code]],[1]!Table1[[Test code]:[Test code]],[1]!Table1[Ionic resistance DIW/Ohm cm2],"",0)</f>
        <v>#REF!</v>
      </c>
      <c r="AG1394" s="69" t="e" cm="1">
        <f t="array" ref="AG1394">_xlfn.XLOOKUP(Table1[[#This Row],[5 cm2 cell test code]:[5 cm2 cell test code]],[1]!Table1[[Test code]:[Test code]],[1]!Table1[Q_int_frac DIW],"",0)</f>
        <v>#REF!</v>
      </c>
      <c r="AH1394" s="69" t="e" cm="1">
        <f t="array" ref="AH1394">_xlfn.XLOOKUP(Table1[[#This Row],[5 cm2 cell test code]:[5 cm2 cell test code]],[1]!Table1[[Test code]:[Test code]],[1]!Table1[Ionic resistance 10 mM KOH/Ohm cm2],"",0)</f>
        <v>#REF!</v>
      </c>
      <c r="AI1394" s="69" t="e" cm="1">
        <f t="array" ref="AI1394">_xlfn.XLOOKUP(Table1[[#This Row],[5 cm2 cell test code]:[5 cm2 cell test code]],[1]!Table1[[Test code]:[Test code]],[1]!Table1[Q_int_frac DIW 10 mM KOH],"",0)</f>
        <v>#REF!</v>
      </c>
      <c r="AJ1394" s="69" t="e" cm="1">
        <f t="array" ref="AJ1394">_xlfn.XLOOKUP(Table1[[#This Row],[5 cm2 cell test code]:[5 cm2 cell test code]],[1]!Table1[[Test code]:[Test code]],[1]!Table1[DIW conductivity (µS/cm)],"",0)</f>
        <v>#REF!</v>
      </c>
    </row>
    <row r="1395" spans="1:36">
      <c r="A1395" s="81"/>
      <c r="U1395" s="101"/>
      <c r="V1395" s="101"/>
      <c r="W1395" s="69" t="e" cm="1">
        <f t="array" ref="W1395">_xlfn.XLOOKUP(Table1[[#This Row],[5 cm2 cell test code]:[5 cm2 cell test code]],[1]!Table1[[Test code]:[Test code]],[1]!Table1[i @ 1.8 V DIW (A/cm2)],"",0)</f>
        <v>#REF!</v>
      </c>
      <c r="X1395" s="69" t="e" cm="1">
        <f t="array" ref="X1395">_xlfn.XLOOKUP(Table1[[#This Row],[5 cm2 cell test code]:[5 cm2 cell test code]],[1]!Table1[[Test code]:[Test code]],[1]!Table1[i @ 1.8 V 10 mM KOH (A/cm2)],"",0)</f>
        <v>#REF!</v>
      </c>
      <c r="Y1395" s="69" t="e" cm="1">
        <f t="array" ref="Y1395">_xlfn.XLOOKUP(Table1[[#This Row],[5 cm2 cell test code]:[5 cm2 cell test code]],[1]!Table1[[Test code]:[Test code]],[1]!Table1[3-E ƞ at 20mAcm-2 (mV)],"",0)</f>
        <v>#REF!</v>
      </c>
      <c r="Z1395" s="69" t="e" cm="1">
        <f t="array" ref="Z1395">_xlfn.XLOOKUP(Table1[[#This Row],[5 cm2 cell test code]:[5 cm2 cell test code]],[1]!Table1[[Test code]:[Test code]],[1]!Table1[3-E Tafel slope (mV/dec)],"",0)</f>
        <v>#REF!</v>
      </c>
      <c r="AA1395" s="69" t="e" cm="1">
        <f t="array" ref="AA1395">_xlfn.XLOOKUP(Table1[[#This Row],[5 cm2 cell test code]:[5 cm2 cell test code]],[1]!Table1[[Test code]:[Test code]],[1]!Table1[E @ 100 mA/cm2 DIW/V],"",0)</f>
        <v>#REF!</v>
      </c>
      <c r="AB1395" s="69" t="e" cm="1">
        <f t="array" ref="AB1395">_xlfn.XLOOKUP(Table1[[#This Row],[5 cm2 cell test code]:[5 cm2 cell test code]],[1]!Table1[[Test code]:[Test code]],[1]!Table1[E @ 100 mA/cm2 10 mM KOH/V],"",0)</f>
        <v>#REF!</v>
      </c>
      <c r="AC1395" s="69" t="e" cm="1">
        <f t="array" ref="AC1395">_xlfn.XLOOKUP(Table1[[#This Row],[5 cm2 cell test code]:[5 cm2 cell test code]],[1]!Table1[[Test code]:[Test code]],[1]!Table1[Anode ICR/mOhm],"",0)</f>
        <v>#REF!</v>
      </c>
      <c r="AD1395" s="69" t="e" cm="1">
        <f t="array" ref="AD1395">_xlfn.XLOOKUP(Table1[[#This Row],[5 cm2 cell test code]:[5 cm2 cell test code]],[1]!Table1[[Test code]:[Test code]],[1]!Table1[HFR DIW/ mOhm cm2],"",0)</f>
        <v>#REF!</v>
      </c>
      <c r="AE1395" s="69" t="e" cm="1">
        <f t="array" ref="AE1395">_xlfn.XLOOKUP(Table1[[#This Row],[5 cm2 cell test code]:[5 cm2 cell test code]],[1]!Table1[[Test code]:[Test code]],[1]!Table1[HFR 10 mM KOH/ mOhm cm2],"",0)</f>
        <v>#REF!</v>
      </c>
      <c r="AF1395" s="69" t="e" cm="1">
        <f t="array" ref="AF1395">_xlfn.XLOOKUP(Table1[[#This Row],[5 cm2 cell test code]:[5 cm2 cell test code]],[1]!Table1[[Test code]:[Test code]],[1]!Table1[Ionic resistance DIW/Ohm cm2],"",0)</f>
        <v>#REF!</v>
      </c>
      <c r="AG1395" s="69" t="e" cm="1">
        <f t="array" ref="AG1395">_xlfn.XLOOKUP(Table1[[#This Row],[5 cm2 cell test code]:[5 cm2 cell test code]],[1]!Table1[[Test code]:[Test code]],[1]!Table1[Q_int_frac DIW],"",0)</f>
        <v>#REF!</v>
      </c>
      <c r="AH1395" s="69" t="e" cm="1">
        <f t="array" ref="AH1395">_xlfn.XLOOKUP(Table1[[#This Row],[5 cm2 cell test code]:[5 cm2 cell test code]],[1]!Table1[[Test code]:[Test code]],[1]!Table1[Ionic resistance 10 mM KOH/Ohm cm2],"",0)</f>
        <v>#REF!</v>
      </c>
      <c r="AI1395" s="69" t="e" cm="1">
        <f t="array" ref="AI1395">_xlfn.XLOOKUP(Table1[[#This Row],[5 cm2 cell test code]:[5 cm2 cell test code]],[1]!Table1[[Test code]:[Test code]],[1]!Table1[Q_int_frac DIW 10 mM KOH],"",0)</f>
        <v>#REF!</v>
      </c>
      <c r="AJ1395" s="69" t="e" cm="1">
        <f t="array" ref="AJ1395">_xlfn.XLOOKUP(Table1[[#This Row],[5 cm2 cell test code]:[5 cm2 cell test code]],[1]!Table1[[Test code]:[Test code]],[1]!Table1[DIW conductivity (µS/cm)],"",0)</f>
        <v>#REF!</v>
      </c>
    </row>
    <row r="1396" spans="1:36">
      <c r="A1396" s="81"/>
      <c r="U1396" s="101"/>
      <c r="V1396" s="101"/>
      <c r="W1396" s="69" t="e" cm="1">
        <f t="array" ref="W1396">_xlfn.XLOOKUP(Table1[[#This Row],[5 cm2 cell test code]:[5 cm2 cell test code]],[1]!Table1[[Test code]:[Test code]],[1]!Table1[i @ 1.8 V DIW (A/cm2)],"",0)</f>
        <v>#REF!</v>
      </c>
      <c r="X1396" s="69" t="e" cm="1">
        <f t="array" ref="X1396">_xlfn.XLOOKUP(Table1[[#This Row],[5 cm2 cell test code]:[5 cm2 cell test code]],[1]!Table1[[Test code]:[Test code]],[1]!Table1[i @ 1.8 V 10 mM KOH (A/cm2)],"",0)</f>
        <v>#REF!</v>
      </c>
      <c r="Y1396" s="69" t="e" cm="1">
        <f t="array" ref="Y1396">_xlfn.XLOOKUP(Table1[[#This Row],[5 cm2 cell test code]:[5 cm2 cell test code]],[1]!Table1[[Test code]:[Test code]],[1]!Table1[3-E ƞ at 20mAcm-2 (mV)],"",0)</f>
        <v>#REF!</v>
      </c>
      <c r="Z1396" s="69" t="e" cm="1">
        <f t="array" ref="Z1396">_xlfn.XLOOKUP(Table1[[#This Row],[5 cm2 cell test code]:[5 cm2 cell test code]],[1]!Table1[[Test code]:[Test code]],[1]!Table1[3-E Tafel slope (mV/dec)],"",0)</f>
        <v>#REF!</v>
      </c>
      <c r="AA1396" s="69" t="e" cm="1">
        <f t="array" ref="AA1396">_xlfn.XLOOKUP(Table1[[#This Row],[5 cm2 cell test code]:[5 cm2 cell test code]],[1]!Table1[[Test code]:[Test code]],[1]!Table1[E @ 100 mA/cm2 DIW/V],"",0)</f>
        <v>#REF!</v>
      </c>
      <c r="AB1396" s="69" t="e" cm="1">
        <f t="array" ref="AB1396">_xlfn.XLOOKUP(Table1[[#This Row],[5 cm2 cell test code]:[5 cm2 cell test code]],[1]!Table1[[Test code]:[Test code]],[1]!Table1[E @ 100 mA/cm2 10 mM KOH/V],"",0)</f>
        <v>#REF!</v>
      </c>
      <c r="AC1396" s="69" t="e" cm="1">
        <f t="array" ref="AC1396">_xlfn.XLOOKUP(Table1[[#This Row],[5 cm2 cell test code]:[5 cm2 cell test code]],[1]!Table1[[Test code]:[Test code]],[1]!Table1[Anode ICR/mOhm],"",0)</f>
        <v>#REF!</v>
      </c>
      <c r="AD1396" s="69" t="e" cm="1">
        <f t="array" ref="AD1396">_xlfn.XLOOKUP(Table1[[#This Row],[5 cm2 cell test code]:[5 cm2 cell test code]],[1]!Table1[[Test code]:[Test code]],[1]!Table1[HFR DIW/ mOhm cm2],"",0)</f>
        <v>#REF!</v>
      </c>
      <c r="AE1396" s="69" t="e" cm="1">
        <f t="array" ref="AE1396">_xlfn.XLOOKUP(Table1[[#This Row],[5 cm2 cell test code]:[5 cm2 cell test code]],[1]!Table1[[Test code]:[Test code]],[1]!Table1[HFR 10 mM KOH/ mOhm cm2],"",0)</f>
        <v>#REF!</v>
      </c>
      <c r="AF1396" s="69" t="e" cm="1">
        <f t="array" ref="AF1396">_xlfn.XLOOKUP(Table1[[#This Row],[5 cm2 cell test code]:[5 cm2 cell test code]],[1]!Table1[[Test code]:[Test code]],[1]!Table1[Ionic resistance DIW/Ohm cm2],"",0)</f>
        <v>#REF!</v>
      </c>
      <c r="AG1396" s="69" t="e" cm="1">
        <f t="array" ref="AG1396">_xlfn.XLOOKUP(Table1[[#This Row],[5 cm2 cell test code]:[5 cm2 cell test code]],[1]!Table1[[Test code]:[Test code]],[1]!Table1[Q_int_frac DIW],"",0)</f>
        <v>#REF!</v>
      </c>
      <c r="AH1396" s="69" t="e" cm="1">
        <f t="array" ref="AH1396">_xlfn.XLOOKUP(Table1[[#This Row],[5 cm2 cell test code]:[5 cm2 cell test code]],[1]!Table1[[Test code]:[Test code]],[1]!Table1[Ionic resistance 10 mM KOH/Ohm cm2],"",0)</f>
        <v>#REF!</v>
      </c>
      <c r="AI1396" s="69" t="e" cm="1">
        <f t="array" ref="AI1396">_xlfn.XLOOKUP(Table1[[#This Row],[5 cm2 cell test code]:[5 cm2 cell test code]],[1]!Table1[[Test code]:[Test code]],[1]!Table1[Q_int_frac DIW 10 mM KOH],"",0)</f>
        <v>#REF!</v>
      </c>
      <c r="AJ1396" s="69" t="e" cm="1">
        <f t="array" ref="AJ1396">_xlfn.XLOOKUP(Table1[[#This Row],[5 cm2 cell test code]:[5 cm2 cell test code]],[1]!Table1[[Test code]:[Test code]],[1]!Table1[DIW conductivity (µS/cm)],"",0)</f>
        <v>#REF!</v>
      </c>
    </row>
    <row r="1397" spans="1:36">
      <c r="A1397" s="81"/>
      <c r="U1397" s="101"/>
      <c r="V1397" s="101"/>
      <c r="W1397" s="69" t="e" cm="1">
        <f t="array" ref="W1397">_xlfn.XLOOKUP(Table1[[#This Row],[5 cm2 cell test code]:[5 cm2 cell test code]],[1]!Table1[[Test code]:[Test code]],[1]!Table1[i @ 1.8 V DIW (A/cm2)],"",0)</f>
        <v>#REF!</v>
      </c>
      <c r="X1397" s="69" t="e" cm="1">
        <f t="array" ref="X1397">_xlfn.XLOOKUP(Table1[[#This Row],[5 cm2 cell test code]:[5 cm2 cell test code]],[1]!Table1[[Test code]:[Test code]],[1]!Table1[i @ 1.8 V 10 mM KOH (A/cm2)],"",0)</f>
        <v>#REF!</v>
      </c>
      <c r="Y1397" s="69" t="e" cm="1">
        <f t="array" ref="Y1397">_xlfn.XLOOKUP(Table1[[#This Row],[5 cm2 cell test code]:[5 cm2 cell test code]],[1]!Table1[[Test code]:[Test code]],[1]!Table1[3-E ƞ at 20mAcm-2 (mV)],"",0)</f>
        <v>#REF!</v>
      </c>
      <c r="Z1397" s="69" t="e" cm="1">
        <f t="array" ref="Z1397">_xlfn.XLOOKUP(Table1[[#This Row],[5 cm2 cell test code]:[5 cm2 cell test code]],[1]!Table1[[Test code]:[Test code]],[1]!Table1[3-E Tafel slope (mV/dec)],"",0)</f>
        <v>#REF!</v>
      </c>
      <c r="AA1397" s="69" t="e" cm="1">
        <f t="array" ref="AA1397">_xlfn.XLOOKUP(Table1[[#This Row],[5 cm2 cell test code]:[5 cm2 cell test code]],[1]!Table1[[Test code]:[Test code]],[1]!Table1[E @ 100 mA/cm2 DIW/V],"",0)</f>
        <v>#REF!</v>
      </c>
      <c r="AB1397" s="69" t="e" cm="1">
        <f t="array" ref="AB1397">_xlfn.XLOOKUP(Table1[[#This Row],[5 cm2 cell test code]:[5 cm2 cell test code]],[1]!Table1[[Test code]:[Test code]],[1]!Table1[E @ 100 mA/cm2 10 mM KOH/V],"",0)</f>
        <v>#REF!</v>
      </c>
      <c r="AC1397" s="69" t="e" cm="1">
        <f t="array" ref="AC1397">_xlfn.XLOOKUP(Table1[[#This Row],[5 cm2 cell test code]:[5 cm2 cell test code]],[1]!Table1[[Test code]:[Test code]],[1]!Table1[Anode ICR/mOhm],"",0)</f>
        <v>#REF!</v>
      </c>
      <c r="AD1397" s="69" t="e" cm="1">
        <f t="array" ref="AD1397">_xlfn.XLOOKUP(Table1[[#This Row],[5 cm2 cell test code]:[5 cm2 cell test code]],[1]!Table1[[Test code]:[Test code]],[1]!Table1[HFR DIW/ mOhm cm2],"",0)</f>
        <v>#REF!</v>
      </c>
      <c r="AE1397" s="69" t="e" cm="1">
        <f t="array" ref="AE1397">_xlfn.XLOOKUP(Table1[[#This Row],[5 cm2 cell test code]:[5 cm2 cell test code]],[1]!Table1[[Test code]:[Test code]],[1]!Table1[HFR 10 mM KOH/ mOhm cm2],"",0)</f>
        <v>#REF!</v>
      </c>
      <c r="AF1397" s="69" t="e" cm="1">
        <f t="array" ref="AF1397">_xlfn.XLOOKUP(Table1[[#This Row],[5 cm2 cell test code]:[5 cm2 cell test code]],[1]!Table1[[Test code]:[Test code]],[1]!Table1[Ionic resistance DIW/Ohm cm2],"",0)</f>
        <v>#REF!</v>
      </c>
      <c r="AG1397" s="69" t="e" cm="1">
        <f t="array" ref="AG1397">_xlfn.XLOOKUP(Table1[[#This Row],[5 cm2 cell test code]:[5 cm2 cell test code]],[1]!Table1[[Test code]:[Test code]],[1]!Table1[Q_int_frac DIW],"",0)</f>
        <v>#REF!</v>
      </c>
      <c r="AH1397" s="69" t="e" cm="1">
        <f t="array" ref="AH1397">_xlfn.XLOOKUP(Table1[[#This Row],[5 cm2 cell test code]:[5 cm2 cell test code]],[1]!Table1[[Test code]:[Test code]],[1]!Table1[Ionic resistance 10 mM KOH/Ohm cm2],"",0)</f>
        <v>#REF!</v>
      </c>
      <c r="AI1397" s="69" t="e" cm="1">
        <f t="array" ref="AI1397">_xlfn.XLOOKUP(Table1[[#This Row],[5 cm2 cell test code]:[5 cm2 cell test code]],[1]!Table1[[Test code]:[Test code]],[1]!Table1[Q_int_frac DIW 10 mM KOH],"",0)</f>
        <v>#REF!</v>
      </c>
      <c r="AJ1397" s="69" t="e" cm="1">
        <f t="array" ref="AJ1397">_xlfn.XLOOKUP(Table1[[#This Row],[5 cm2 cell test code]:[5 cm2 cell test code]],[1]!Table1[[Test code]:[Test code]],[1]!Table1[DIW conductivity (µS/cm)],"",0)</f>
        <v>#REF!</v>
      </c>
    </row>
    <row r="1398" spans="1:36">
      <c r="A1398" s="81"/>
      <c r="U1398" s="101"/>
      <c r="V1398" s="101"/>
      <c r="W1398" s="69" t="e" cm="1">
        <f t="array" ref="W1398">_xlfn.XLOOKUP(Table1[[#This Row],[5 cm2 cell test code]:[5 cm2 cell test code]],[1]!Table1[[Test code]:[Test code]],[1]!Table1[i @ 1.8 V DIW (A/cm2)],"",0)</f>
        <v>#REF!</v>
      </c>
      <c r="X1398" s="69" t="e" cm="1">
        <f t="array" ref="X1398">_xlfn.XLOOKUP(Table1[[#This Row],[5 cm2 cell test code]:[5 cm2 cell test code]],[1]!Table1[[Test code]:[Test code]],[1]!Table1[i @ 1.8 V 10 mM KOH (A/cm2)],"",0)</f>
        <v>#REF!</v>
      </c>
      <c r="Y1398" s="69" t="e" cm="1">
        <f t="array" ref="Y1398">_xlfn.XLOOKUP(Table1[[#This Row],[5 cm2 cell test code]:[5 cm2 cell test code]],[1]!Table1[[Test code]:[Test code]],[1]!Table1[3-E ƞ at 20mAcm-2 (mV)],"",0)</f>
        <v>#REF!</v>
      </c>
      <c r="Z1398" s="69" t="e" cm="1">
        <f t="array" ref="Z1398">_xlfn.XLOOKUP(Table1[[#This Row],[5 cm2 cell test code]:[5 cm2 cell test code]],[1]!Table1[[Test code]:[Test code]],[1]!Table1[3-E Tafel slope (mV/dec)],"",0)</f>
        <v>#REF!</v>
      </c>
      <c r="AA1398" s="69" t="e" cm="1">
        <f t="array" ref="AA1398">_xlfn.XLOOKUP(Table1[[#This Row],[5 cm2 cell test code]:[5 cm2 cell test code]],[1]!Table1[[Test code]:[Test code]],[1]!Table1[E @ 100 mA/cm2 DIW/V],"",0)</f>
        <v>#REF!</v>
      </c>
      <c r="AB1398" s="69" t="e" cm="1">
        <f t="array" ref="AB1398">_xlfn.XLOOKUP(Table1[[#This Row],[5 cm2 cell test code]:[5 cm2 cell test code]],[1]!Table1[[Test code]:[Test code]],[1]!Table1[E @ 100 mA/cm2 10 mM KOH/V],"",0)</f>
        <v>#REF!</v>
      </c>
      <c r="AC1398" s="69" t="e" cm="1">
        <f t="array" ref="AC1398">_xlfn.XLOOKUP(Table1[[#This Row],[5 cm2 cell test code]:[5 cm2 cell test code]],[1]!Table1[[Test code]:[Test code]],[1]!Table1[Anode ICR/mOhm],"",0)</f>
        <v>#REF!</v>
      </c>
      <c r="AD1398" s="69" t="e" cm="1">
        <f t="array" ref="AD1398">_xlfn.XLOOKUP(Table1[[#This Row],[5 cm2 cell test code]:[5 cm2 cell test code]],[1]!Table1[[Test code]:[Test code]],[1]!Table1[HFR DIW/ mOhm cm2],"",0)</f>
        <v>#REF!</v>
      </c>
      <c r="AE1398" s="69" t="e" cm="1">
        <f t="array" ref="AE1398">_xlfn.XLOOKUP(Table1[[#This Row],[5 cm2 cell test code]:[5 cm2 cell test code]],[1]!Table1[[Test code]:[Test code]],[1]!Table1[HFR 10 mM KOH/ mOhm cm2],"",0)</f>
        <v>#REF!</v>
      </c>
      <c r="AF1398" s="69" t="e" cm="1">
        <f t="array" ref="AF1398">_xlfn.XLOOKUP(Table1[[#This Row],[5 cm2 cell test code]:[5 cm2 cell test code]],[1]!Table1[[Test code]:[Test code]],[1]!Table1[Ionic resistance DIW/Ohm cm2],"",0)</f>
        <v>#REF!</v>
      </c>
      <c r="AG1398" s="69" t="e" cm="1">
        <f t="array" ref="AG1398">_xlfn.XLOOKUP(Table1[[#This Row],[5 cm2 cell test code]:[5 cm2 cell test code]],[1]!Table1[[Test code]:[Test code]],[1]!Table1[Q_int_frac DIW],"",0)</f>
        <v>#REF!</v>
      </c>
      <c r="AH1398" s="69" t="e" cm="1">
        <f t="array" ref="AH1398">_xlfn.XLOOKUP(Table1[[#This Row],[5 cm2 cell test code]:[5 cm2 cell test code]],[1]!Table1[[Test code]:[Test code]],[1]!Table1[Ionic resistance 10 mM KOH/Ohm cm2],"",0)</f>
        <v>#REF!</v>
      </c>
      <c r="AI1398" s="69" t="e" cm="1">
        <f t="array" ref="AI1398">_xlfn.XLOOKUP(Table1[[#This Row],[5 cm2 cell test code]:[5 cm2 cell test code]],[1]!Table1[[Test code]:[Test code]],[1]!Table1[Q_int_frac DIW 10 mM KOH],"",0)</f>
        <v>#REF!</v>
      </c>
      <c r="AJ1398" s="69" t="e" cm="1">
        <f t="array" ref="AJ1398">_xlfn.XLOOKUP(Table1[[#This Row],[5 cm2 cell test code]:[5 cm2 cell test code]],[1]!Table1[[Test code]:[Test code]],[1]!Table1[DIW conductivity (µS/cm)],"",0)</f>
        <v>#REF!</v>
      </c>
    </row>
    <row r="1399" spans="1:36">
      <c r="A1399" s="81"/>
      <c r="U1399" s="101"/>
      <c r="V1399" s="101"/>
      <c r="W1399" s="69" t="e" cm="1">
        <f t="array" ref="W1399">_xlfn.XLOOKUP(Table1[[#This Row],[5 cm2 cell test code]:[5 cm2 cell test code]],[1]!Table1[[Test code]:[Test code]],[1]!Table1[i @ 1.8 V DIW (A/cm2)],"",0)</f>
        <v>#REF!</v>
      </c>
      <c r="X1399" s="69" t="e" cm="1">
        <f t="array" ref="X1399">_xlfn.XLOOKUP(Table1[[#This Row],[5 cm2 cell test code]:[5 cm2 cell test code]],[1]!Table1[[Test code]:[Test code]],[1]!Table1[i @ 1.8 V 10 mM KOH (A/cm2)],"",0)</f>
        <v>#REF!</v>
      </c>
      <c r="Y1399" s="69" t="e" cm="1">
        <f t="array" ref="Y1399">_xlfn.XLOOKUP(Table1[[#This Row],[5 cm2 cell test code]:[5 cm2 cell test code]],[1]!Table1[[Test code]:[Test code]],[1]!Table1[3-E ƞ at 20mAcm-2 (mV)],"",0)</f>
        <v>#REF!</v>
      </c>
      <c r="Z1399" s="69" t="e" cm="1">
        <f t="array" ref="Z1399">_xlfn.XLOOKUP(Table1[[#This Row],[5 cm2 cell test code]:[5 cm2 cell test code]],[1]!Table1[[Test code]:[Test code]],[1]!Table1[3-E Tafel slope (mV/dec)],"",0)</f>
        <v>#REF!</v>
      </c>
      <c r="AA1399" s="69" t="e" cm="1">
        <f t="array" ref="AA1399">_xlfn.XLOOKUP(Table1[[#This Row],[5 cm2 cell test code]:[5 cm2 cell test code]],[1]!Table1[[Test code]:[Test code]],[1]!Table1[E @ 100 mA/cm2 DIW/V],"",0)</f>
        <v>#REF!</v>
      </c>
      <c r="AB1399" s="69" t="e" cm="1">
        <f t="array" ref="AB1399">_xlfn.XLOOKUP(Table1[[#This Row],[5 cm2 cell test code]:[5 cm2 cell test code]],[1]!Table1[[Test code]:[Test code]],[1]!Table1[E @ 100 mA/cm2 10 mM KOH/V],"",0)</f>
        <v>#REF!</v>
      </c>
      <c r="AC1399" s="69" t="e" cm="1">
        <f t="array" ref="AC1399">_xlfn.XLOOKUP(Table1[[#This Row],[5 cm2 cell test code]:[5 cm2 cell test code]],[1]!Table1[[Test code]:[Test code]],[1]!Table1[Anode ICR/mOhm],"",0)</f>
        <v>#REF!</v>
      </c>
      <c r="AD1399" s="69" t="e" cm="1">
        <f t="array" ref="AD1399">_xlfn.XLOOKUP(Table1[[#This Row],[5 cm2 cell test code]:[5 cm2 cell test code]],[1]!Table1[[Test code]:[Test code]],[1]!Table1[HFR DIW/ mOhm cm2],"",0)</f>
        <v>#REF!</v>
      </c>
      <c r="AE1399" s="69" t="e" cm="1">
        <f t="array" ref="AE1399">_xlfn.XLOOKUP(Table1[[#This Row],[5 cm2 cell test code]:[5 cm2 cell test code]],[1]!Table1[[Test code]:[Test code]],[1]!Table1[HFR 10 mM KOH/ mOhm cm2],"",0)</f>
        <v>#REF!</v>
      </c>
      <c r="AF1399" s="69" t="e" cm="1">
        <f t="array" ref="AF1399">_xlfn.XLOOKUP(Table1[[#This Row],[5 cm2 cell test code]:[5 cm2 cell test code]],[1]!Table1[[Test code]:[Test code]],[1]!Table1[Ionic resistance DIW/Ohm cm2],"",0)</f>
        <v>#REF!</v>
      </c>
      <c r="AG1399" s="69" t="e" cm="1">
        <f t="array" ref="AG1399">_xlfn.XLOOKUP(Table1[[#This Row],[5 cm2 cell test code]:[5 cm2 cell test code]],[1]!Table1[[Test code]:[Test code]],[1]!Table1[Q_int_frac DIW],"",0)</f>
        <v>#REF!</v>
      </c>
      <c r="AH1399" s="69" t="e" cm="1">
        <f t="array" ref="AH1399">_xlfn.XLOOKUP(Table1[[#This Row],[5 cm2 cell test code]:[5 cm2 cell test code]],[1]!Table1[[Test code]:[Test code]],[1]!Table1[Ionic resistance 10 mM KOH/Ohm cm2],"",0)</f>
        <v>#REF!</v>
      </c>
      <c r="AI1399" s="69" t="e" cm="1">
        <f t="array" ref="AI1399">_xlfn.XLOOKUP(Table1[[#This Row],[5 cm2 cell test code]:[5 cm2 cell test code]],[1]!Table1[[Test code]:[Test code]],[1]!Table1[Q_int_frac DIW 10 mM KOH],"",0)</f>
        <v>#REF!</v>
      </c>
      <c r="AJ1399" s="69" t="e" cm="1">
        <f t="array" ref="AJ1399">_xlfn.XLOOKUP(Table1[[#This Row],[5 cm2 cell test code]:[5 cm2 cell test code]],[1]!Table1[[Test code]:[Test code]],[1]!Table1[DIW conductivity (µS/cm)],"",0)</f>
        <v>#REF!</v>
      </c>
    </row>
    <row r="1400" spans="1:36">
      <c r="A1400" s="81"/>
      <c r="U1400" s="101"/>
      <c r="V1400" s="101"/>
      <c r="W1400" s="69" t="e" cm="1">
        <f t="array" ref="W1400">_xlfn.XLOOKUP(Table1[[#This Row],[5 cm2 cell test code]:[5 cm2 cell test code]],[1]!Table1[[Test code]:[Test code]],[1]!Table1[i @ 1.8 V DIW (A/cm2)],"",0)</f>
        <v>#REF!</v>
      </c>
      <c r="X1400" s="69" t="e" cm="1">
        <f t="array" ref="X1400">_xlfn.XLOOKUP(Table1[[#This Row],[5 cm2 cell test code]:[5 cm2 cell test code]],[1]!Table1[[Test code]:[Test code]],[1]!Table1[i @ 1.8 V 10 mM KOH (A/cm2)],"",0)</f>
        <v>#REF!</v>
      </c>
      <c r="Y1400" s="69" t="e" cm="1">
        <f t="array" ref="Y1400">_xlfn.XLOOKUP(Table1[[#This Row],[5 cm2 cell test code]:[5 cm2 cell test code]],[1]!Table1[[Test code]:[Test code]],[1]!Table1[3-E ƞ at 20mAcm-2 (mV)],"",0)</f>
        <v>#REF!</v>
      </c>
      <c r="Z1400" s="69" t="e" cm="1">
        <f t="array" ref="Z1400">_xlfn.XLOOKUP(Table1[[#This Row],[5 cm2 cell test code]:[5 cm2 cell test code]],[1]!Table1[[Test code]:[Test code]],[1]!Table1[3-E Tafel slope (mV/dec)],"",0)</f>
        <v>#REF!</v>
      </c>
      <c r="AA1400" s="69" t="e" cm="1">
        <f t="array" ref="AA1400">_xlfn.XLOOKUP(Table1[[#This Row],[5 cm2 cell test code]:[5 cm2 cell test code]],[1]!Table1[[Test code]:[Test code]],[1]!Table1[E @ 100 mA/cm2 DIW/V],"",0)</f>
        <v>#REF!</v>
      </c>
      <c r="AB1400" s="69" t="e" cm="1">
        <f t="array" ref="AB1400">_xlfn.XLOOKUP(Table1[[#This Row],[5 cm2 cell test code]:[5 cm2 cell test code]],[1]!Table1[[Test code]:[Test code]],[1]!Table1[E @ 100 mA/cm2 10 mM KOH/V],"",0)</f>
        <v>#REF!</v>
      </c>
      <c r="AC1400" s="69" t="e" cm="1">
        <f t="array" ref="AC1400">_xlfn.XLOOKUP(Table1[[#This Row],[5 cm2 cell test code]:[5 cm2 cell test code]],[1]!Table1[[Test code]:[Test code]],[1]!Table1[Anode ICR/mOhm],"",0)</f>
        <v>#REF!</v>
      </c>
      <c r="AD1400" s="69" t="e" cm="1">
        <f t="array" ref="AD1400">_xlfn.XLOOKUP(Table1[[#This Row],[5 cm2 cell test code]:[5 cm2 cell test code]],[1]!Table1[[Test code]:[Test code]],[1]!Table1[HFR DIW/ mOhm cm2],"",0)</f>
        <v>#REF!</v>
      </c>
      <c r="AE1400" s="69" t="e" cm="1">
        <f t="array" ref="AE1400">_xlfn.XLOOKUP(Table1[[#This Row],[5 cm2 cell test code]:[5 cm2 cell test code]],[1]!Table1[[Test code]:[Test code]],[1]!Table1[HFR 10 mM KOH/ mOhm cm2],"",0)</f>
        <v>#REF!</v>
      </c>
      <c r="AF1400" s="69" t="e" cm="1">
        <f t="array" ref="AF1400">_xlfn.XLOOKUP(Table1[[#This Row],[5 cm2 cell test code]:[5 cm2 cell test code]],[1]!Table1[[Test code]:[Test code]],[1]!Table1[Ionic resistance DIW/Ohm cm2],"",0)</f>
        <v>#REF!</v>
      </c>
      <c r="AG1400" s="69" t="e" cm="1">
        <f t="array" ref="AG1400">_xlfn.XLOOKUP(Table1[[#This Row],[5 cm2 cell test code]:[5 cm2 cell test code]],[1]!Table1[[Test code]:[Test code]],[1]!Table1[Q_int_frac DIW],"",0)</f>
        <v>#REF!</v>
      </c>
      <c r="AH1400" s="69" t="e" cm="1">
        <f t="array" ref="AH1400">_xlfn.XLOOKUP(Table1[[#This Row],[5 cm2 cell test code]:[5 cm2 cell test code]],[1]!Table1[[Test code]:[Test code]],[1]!Table1[Ionic resistance 10 mM KOH/Ohm cm2],"",0)</f>
        <v>#REF!</v>
      </c>
      <c r="AI1400" s="69" t="e" cm="1">
        <f t="array" ref="AI1400">_xlfn.XLOOKUP(Table1[[#This Row],[5 cm2 cell test code]:[5 cm2 cell test code]],[1]!Table1[[Test code]:[Test code]],[1]!Table1[Q_int_frac DIW 10 mM KOH],"",0)</f>
        <v>#REF!</v>
      </c>
      <c r="AJ1400" s="69" t="e" cm="1">
        <f t="array" ref="AJ1400">_xlfn.XLOOKUP(Table1[[#This Row],[5 cm2 cell test code]:[5 cm2 cell test code]],[1]!Table1[[Test code]:[Test code]],[1]!Table1[DIW conductivity (µS/cm)],"",0)</f>
        <v>#REF!</v>
      </c>
    </row>
    <row r="1401" spans="1:36">
      <c r="A1401" s="81"/>
      <c r="U1401" s="101"/>
      <c r="V1401" s="101"/>
      <c r="W1401" s="69" t="e" cm="1">
        <f t="array" ref="W1401">_xlfn.XLOOKUP(Table1[[#This Row],[5 cm2 cell test code]:[5 cm2 cell test code]],[1]!Table1[[Test code]:[Test code]],[1]!Table1[i @ 1.8 V DIW (A/cm2)],"",0)</f>
        <v>#REF!</v>
      </c>
      <c r="X1401" s="69" t="e" cm="1">
        <f t="array" ref="X1401">_xlfn.XLOOKUP(Table1[[#This Row],[5 cm2 cell test code]:[5 cm2 cell test code]],[1]!Table1[[Test code]:[Test code]],[1]!Table1[i @ 1.8 V 10 mM KOH (A/cm2)],"",0)</f>
        <v>#REF!</v>
      </c>
      <c r="Y1401" s="69" t="e" cm="1">
        <f t="array" ref="Y1401">_xlfn.XLOOKUP(Table1[[#This Row],[5 cm2 cell test code]:[5 cm2 cell test code]],[1]!Table1[[Test code]:[Test code]],[1]!Table1[3-E ƞ at 20mAcm-2 (mV)],"",0)</f>
        <v>#REF!</v>
      </c>
      <c r="Z1401" s="69" t="e" cm="1">
        <f t="array" ref="Z1401">_xlfn.XLOOKUP(Table1[[#This Row],[5 cm2 cell test code]:[5 cm2 cell test code]],[1]!Table1[[Test code]:[Test code]],[1]!Table1[3-E Tafel slope (mV/dec)],"",0)</f>
        <v>#REF!</v>
      </c>
      <c r="AA1401" s="69" t="e" cm="1">
        <f t="array" ref="AA1401">_xlfn.XLOOKUP(Table1[[#This Row],[5 cm2 cell test code]:[5 cm2 cell test code]],[1]!Table1[[Test code]:[Test code]],[1]!Table1[E @ 100 mA/cm2 DIW/V],"",0)</f>
        <v>#REF!</v>
      </c>
      <c r="AB1401" s="69" t="e" cm="1">
        <f t="array" ref="AB1401">_xlfn.XLOOKUP(Table1[[#This Row],[5 cm2 cell test code]:[5 cm2 cell test code]],[1]!Table1[[Test code]:[Test code]],[1]!Table1[E @ 100 mA/cm2 10 mM KOH/V],"",0)</f>
        <v>#REF!</v>
      </c>
      <c r="AC1401" s="69" t="e" cm="1">
        <f t="array" ref="AC1401">_xlfn.XLOOKUP(Table1[[#This Row],[5 cm2 cell test code]:[5 cm2 cell test code]],[1]!Table1[[Test code]:[Test code]],[1]!Table1[Anode ICR/mOhm],"",0)</f>
        <v>#REF!</v>
      </c>
      <c r="AD1401" s="69" t="e" cm="1">
        <f t="array" ref="AD1401">_xlfn.XLOOKUP(Table1[[#This Row],[5 cm2 cell test code]:[5 cm2 cell test code]],[1]!Table1[[Test code]:[Test code]],[1]!Table1[HFR DIW/ mOhm cm2],"",0)</f>
        <v>#REF!</v>
      </c>
      <c r="AE1401" s="69" t="e" cm="1">
        <f t="array" ref="AE1401">_xlfn.XLOOKUP(Table1[[#This Row],[5 cm2 cell test code]:[5 cm2 cell test code]],[1]!Table1[[Test code]:[Test code]],[1]!Table1[HFR 10 mM KOH/ mOhm cm2],"",0)</f>
        <v>#REF!</v>
      </c>
      <c r="AF1401" s="69" t="e" cm="1">
        <f t="array" ref="AF1401">_xlfn.XLOOKUP(Table1[[#This Row],[5 cm2 cell test code]:[5 cm2 cell test code]],[1]!Table1[[Test code]:[Test code]],[1]!Table1[Ionic resistance DIW/Ohm cm2],"",0)</f>
        <v>#REF!</v>
      </c>
      <c r="AG1401" s="69" t="e" cm="1">
        <f t="array" ref="AG1401">_xlfn.XLOOKUP(Table1[[#This Row],[5 cm2 cell test code]:[5 cm2 cell test code]],[1]!Table1[[Test code]:[Test code]],[1]!Table1[Q_int_frac DIW],"",0)</f>
        <v>#REF!</v>
      </c>
      <c r="AH1401" s="69" t="e" cm="1">
        <f t="array" ref="AH1401">_xlfn.XLOOKUP(Table1[[#This Row],[5 cm2 cell test code]:[5 cm2 cell test code]],[1]!Table1[[Test code]:[Test code]],[1]!Table1[Ionic resistance 10 mM KOH/Ohm cm2],"",0)</f>
        <v>#REF!</v>
      </c>
      <c r="AI1401" s="69" t="e" cm="1">
        <f t="array" ref="AI1401">_xlfn.XLOOKUP(Table1[[#This Row],[5 cm2 cell test code]:[5 cm2 cell test code]],[1]!Table1[[Test code]:[Test code]],[1]!Table1[Q_int_frac DIW 10 mM KOH],"",0)</f>
        <v>#REF!</v>
      </c>
      <c r="AJ1401" s="69" t="e" cm="1">
        <f t="array" ref="AJ1401">_xlfn.XLOOKUP(Table1[[#This Row],[5 cm2 cell test code]:[5 cm2 cell test code]],[1]!Table1[[Test code]:[Test code]],[1]!Table1[DIW conductivity (µS/cm)],"",0)</f>
        <v>#REF!</v>
      </c>
    </row>
    <row r="1402" spans="1:36">
      <c r="A1402" s="81"/>
      <c r="U1402" s="101"/>
      <c r="V1402" s="101"/>
      <c r="W1402" s="69" t="e" cm="1">
        <f t="array" ref="W1402">_xlfn.XLOOKUP(Table1[[#This Row],[5 cm2 cell test code]:[5 cm2 cell test code]],[1]!Table1[[Test code]:[Test code]],[1]!Table1[i @ 1.8 V DIW (A/cm2)],"",0)</f>
        <v>#REF!</v>
      </c>
      <c r="X1402" s="69" t="e" cm="1">
        <f t="array" ref="X1402">_xlfn.XLOOKUP(Table1[[#This Row],[5 cm2 cell test code]:[5 cm2 cell test code]],[1]!Table1[[Test code]:[Test code]],[1]!Table1[i @ 1.8 V 10 mM KOH (A/cm2)],"",0)</f>
        <v>#REF!</v>
      </c>
      <c r="Y1402" s="69" t="e" cm="1">
        <f t="array" ref="Y1402">_xlfn.XLOOKUP(Table1[[#This Row],[5 cm2 cell test code]:[5 cm2 cell test code]],[1]!Table1[[Test code]:[Test code]],[1]!Table1[3-E ƞ at 20mAcm-2 (mV)],"",0)</f>
        <v>#REF!</v>
      </c>
      <c r="Z1402" s="69" t="e" cm="1">
        <f t="array" ref="Z1402">_xlfn.XLOOKUP(Table1[[#This Row],[5 cm2 cell test code]:[5 cm2 cell test code]],[1]!Table1[[Test code]:[Test code]],[1]!Table1[3-E Tafel slope (mV/dec)],"",0)</f>
        <v>#REF!</v>
      </c>
      <c r="AA1402" s="69" t="e" cm="1">
        <f t="array" ref="AA1402">_xlfn.XLOOKUP(Table1[[#This Row],[5 cm2 cell test code]:[5 cm2 cell test code]],[1]!Table1[[Test code]:[Test code]],[1]!Table1[E @ 100 mA/cm2 DIW/V],"",0)</f>
        <v>#REF!</v>
      </c>
      <c r="AB1402" s="69" t="e" cm="1">
        <f t="array" ref="AB1402">_xlfn.XLOOKUP(Table1[[#This Row],[5 cm2 cell test code]:[5 cm2 cell test code]],[1]!Table1[[Test code]:[Test code]],[1]!Table1[E @ 100 mA/cm2 10 mM KOH/V],"",0)</f>
        <v>#REF!</v>
      </c>
      <c r="AC1402" s="69" t="e" cm="1">
        <f t="array" ref="AC1402">_xlfn.XLOOKUP(Table1[[#This Row],[5 cm2 cell test code]:[5 cm2 cell test code]],[1]!Table1[[Test code]:[Test code]],[1]!Table1[Anode ICR/mOhm],"",0)</f>
        <v>#REF!</v>
      </c>
      <c r="AD1402" s="69" t="e" cm="1">
        <f t="array" ref="AD1402">_xlfn.XLOOKUP(Table1[[#This Row],[5 cm2 cell test code]:[5 cm2 cell test code]],[1]!Table1[[Test code]:[Test code]],[1]!Table1[HFR DIW/ mOhm cm2],"",0)</f>
        <v>#REF!</v>
      </c>
      <c r="AE1402" s="69" t="e" cm="1">
        <f t="array" ref="AE1402">_xlfn.XLOOKUP(Table1[[#This Row],[5 cm2 cell test code]:[5 cm2 cell test code]],[1]!Table1[[Test code]:[Test code]],[1]!Table1[HFR 10 mM KOH/ mOhm cm2],"",0)</f>
        <v>#REF!</v>
      </c>
      <c r="AF1402" s="69" t="e" cm="1">
        <f t="array" ref="AF1402">_xlfn.XLOOKUP(Table1[[#This Row],[5 cm2 cell test code]:[5 cm2 cell test code]],[1]!Table1[[Test code]:[Test code]],[1]!Table1[Ionic resistance DIW/Ohm cm2],"",0)</f>
        <v>#REF!</v>
      </c>
      <c r="AG1402" s="69" t="e" cm="1">
        <f t="array" ref="AG1402">_xlfn.XLOOKUP(Table1[[#This Row],[5 cm2 cell test code]:[5 cm2 cell test code]],[1]!Table1[[Test code]:[Test code]],[1]!Table1[Q_int_frac DIW],"",0)</f>
        <v>#REF!</v>
      </c>
      <c r="AH1402" s="69" t="e" cm="1">
        <f t="array" ref="AH1402">_xlfn.XLOOKUP(Table1[[#This Row],[5 cm2 cell test code]:[5 cm2 cell test code]],[1]!Table1[[Test code]:[Test code]],[1]!Table1[Ionic resistance 10 mM KOH/Ohm cm2],"",0)</f>
        <v>#REF!</v>
      </c>
      <c r="AI1402" s="69" t="e" cm="1">
        <f t="array" ref="AI1402">_xlfn.XLOOKUP(Table1[[#This Row],[5 cm2 cell test code]:[5 cm2 cell test code]],[1]!Table1[[Test code]:[Test code]],[1]!Table1[Q_int_frac DIW 10 mM KOH],"",0)</f>
        <v>#REF!</v>
      </c>
      <c r="AJ1402" s="69" t="e" cm="1">
        <f t="array" ref="AJ1402">_xlfn.XLOOKUP(Table1[[#This Row],[5 cm2 cell test code]:[5 cm2 cell test code]],[1]!Table1[[Test code]:[Test code]],[1]!Table1[DIW conductivity (µS/cm)],"",0)</f>
        <v>#REF!</v>
      </c>
    </row>
    <row r="1403" spans="1:36">
      <c r="A1403" s="81"/>
      <c r="U1403" s="101"/>
      <c r="V1403" s="101"/>
      <c r="W1403" s="69" t="e" cm="1">
        <f t="array" ref="W1403">_xlfn.XLOOKUP(Table1[[#This Row],[5 cm2 cell test code]:[5 cm2 cell test code]],[1]!Table1[[Test code]:[Test code]],[1]!Table1[i @ 1.8 V DIW (A/cm2)],"",0)</f>
        <v>#REF!</v>
      </c>
      <c r="X1403" s="69" t="e" cm="1">
        <f t="array" ref="X1403">_xlfn.XLOOKUP(Table1[[#This Row],[5 cm2 cell test code]:[5 cm2 cell test code]],[1]!Table1[[Test code]:[Test code]],[1]!Table1[i @ 1.8 V 10 mM KOH (A/cm2)],"",0)</f>
        <v>#REF!</v>
      </c>
      <c r="Y1403" s="69" t="e" cm="1">
        <f t="array" ref="Y1403">_xlfn.XLOOKUP(Table1[[#This Row],[5 cm2 cell test code]:[5 cm2 cell test code]],[1]!Table1[[Test code]:[Test code]],[1]!Table1[3-E ƞ at 20mAcm-2 (mV)],"",0)</f>
        <v>#REF!</v>
      </c>
      <c r="Z1403" s="69" t="e" cm="1">
        <f t="array" ref="Z1403">_xlfn.XLOOKUP(Table1[[#This Row],[5 cm2 cell test code]:[5 cm2 cell test code]],[1]!Table1[[Test code]:[Test code]],[1]!Table1[3-E Tafel slope (mV/dec)],"",0)</f>
        <v>#REF!</v>
      </c>
      <c r="AA1403" s="69" t="e" cm="1">
        <f t="array" ref="AA1403">_xlfn.XLOOKUP(Table1[[#This Row],[5 cm2 cell test code]:[5 cm2 cell test code]],[1]!Table1[[Test code]:[Test code]],[1]!Table1[E @ 100 mA/cm2 DIW/V],"",0)</f>
        <v>#REF!</v>
      </c>
      <c r="AB1403" s="69" t="e" cm="1">
        <f t="array" ref="AB1403">_xlfn.XLOOKUP(Table1[[#This Row],[5 cm2 cell test code]:[5 cm2 cell test code]],[1]!Table1[[Test code]:[Test code]],[1]!Table1[E @ 100 mA/cm2 10 mM KOH/V],"",0)</f>
        <v>#REF!</v>
      </c>
      <c r="AC1403" s="69" t="e" cm="1">
        <f t="array" ref="AC1403">_xlfn.XLOOKUP(Table1[[#This Row],[5 cm2 cell test code]:[5 cm2 cell test code]],[1]!Table1[[Test code]:[Test code]],[1]!Table1[Anode ICR/mOhm],"",0)</f>
        <v>#REF!</v>
      </c>
      <c r="AD1403" s="69" t="e" cm="1">
        <f t="array" ref="AD1403">_xlfn.XLOOKUP(Table1[[#This Row],[5 cm2 cell test code]:[5 cm2 cell test code]],[1]!Table1[[Test code]:[Test code]],[1]!Table1[HFR DIW/ mOhm cm2],"",0)</f>
        <v>#REF!</v>
      </c>
      <c r="AE1403" s="69" t="e" cm="1">
        <f t="array" ref="AE1403">_xlfn.XLOOKUP(Table1[[#This Row],[5 cm2 cell test code]:[5 cm2 cell test code]],[1]!Table1[[Test code]:[Test code]],[1]!Table1[HFR 10 mM KOH/ mOhm cm2],"",0)</f>
        <v>#REF!</v>
      </c>
      <c r="AF1403" s="69" t="e" cm="1">
        <f t="array" ref="AF1403">_xlfn.XLOOKUP(Table1[[#This Row],[5 cm2 cell test code]:[5 cm2 cell test code]],[1]!Table1[[Test code]:[Test code]],[1]!Table1[Ionic resistance DIW/Ohm cm2],"",0)</f>
        <v>#REF!</v>
      </c>
      <c r="AG1403" s="69" t="e" cm="1">
        <f t="array" ref="AG1403">_xlfn.XLOOKUP(Table1[[#This Row],[5 cm2 cell test code]:[5 cm2 cell test code]],[1]!Table1[[Test code]:[Test code]],[1]!Table1[Q_int_frac DIW],"",0)</f>
        <v>#REF!</v>
      </c>
      <c r="AH1403" s="69" t="e" cm="1">
        <f t="array" ref="AH1403">_xlfn.XLOOKUP(Table1[[#This Row],[5 cm2 cell test code]:[5 cm2 cell test code]],[1]!Table1[[Test code]:[Test code]],[1]!Table1[Ionic resistance 10 mM KOH/Ohm cm2],"",0)</f>
        <v>#REF!</v>
      </c>
      <c r="AI1403" s="69" t="e" cm="1">
        <f t="array" ref="AI1403">_xlfn.XLOOKUP(Table1[[#This Row],[5 cm2 cell test code]:[5 cm2 cell test code]],[1]!Table1[[Test code]:[Test code]],[1]!Table1[Q_int_frac DIW 10 mM KOH],"",0)</f>
        <v>#REF!</v>
      </c>
      <c r="AJ1403" s="69" t="e" cm="1">
        <f t="array" ref="AJ1403">_xlfn.XLOOKUP(Table1[[#This Row],[5 cm2 cell test code]:[5 cm2 cell test code]],[1]!Table1[[Test code]:[Test code]],[1]!Table1[DIW conductivity (µS/cm)],"",0)</f>
        <v>#REF!</v>
      </c>
    </row>
    <row r="1404" spans="1:36">
      <c r="A1404" s="81"/>
      <c r="U1404" s="101"/>
      <c r="V1404" s="101"/>
      <c r="W1404" s="69" t="e" cm="1">
        <f t="array" ref="W1404">_xlfn.XLOOKUP(Table1[[#This Row],[5 cm2 cell test code]:[5 cm2 cell test code]],[1]!Table1[[Test code]:[Test code]],[1]!Table1[i @ 1.8 V DIW (A/cm2)],"",0)</f>
        <v>#REF!</v>
      </c>
      <c r="X1404" s="69" t="e" cm="1">
        <f t="array" ref="X1404">_xlfn.XLOOKUP(Table1[[#This Row],[5 cm2 cell test code]:[5 cm2 cell test code]],[1]!Table1[[Test code]:[Test code]],[1]!Table1[i @ 1.8 V 10 mM KOH (A/cm2)],"",0)</f>
        <v>#REF!</v>
      </c>
      <c r="Y1404" s="69" t="e" cm="1">
        <f t="array" ref="Y1404">_xlfn.XLOOKUP(Table1[[#This Row],[5 cm2 cell test code]:[5 cm2 cell test code]],[1]!Table1[[Test code]:[Test code]],[1]!Table1[3-E ƞ at 20mAcm-2 (mV)],"",0)</f>
        <v>#REF!</v>
      </c>
      <c r="Z1404" s="69" t="e" cm="1">
        <f t="array" ref="Z1404">_xlfn.XLOOKUP(Table1[[#This Row],[5 cm2 cell test code]:[5 cm2 cell test code]],[1]!Table1[[Test code]:[Test code]],[1]!Table1[3-E Tafel slope (mV/dec)],"",0)</f>
        <v>#REF!</v>
      </c>
      <c r="AA1404" s="69" t="e" cm="1">
        <f t="array" ref="AA1404">_xlfn.XLOOKUP(Table1[[#This Row],[5 cm2 cell test code]:[5 cm2 cell test code]],[1]!Table1[[Test code]:[Test code]],[1]!Table1[E @ 100 mA/cm2 DIW/V],"",0)</f>
        <v>#REF!</v>
      </c>
      <c r="AB1404" s="69" t="e" cm="1">
        <f t="array" ref="AB1404">_xlfn.XLOOKUP(Table1[[#This Row],[5 cm2 cell test code]:[5 cm2 cell test code]],[1]!Table1[[Test code]:[Test code]],[1]!Table1[E @ 100 mA/cm2 10 mM KOH/V],"",0)</f>
        <v>#REF!</v>
      </c>
      <c r="AC1404" s="69" t="e" cm="1">
        <f t="array" ref="AC1404">_xlfn.XLOOKUP(Table1[[#This Row],[5 cm2 cell test code]:[5 cm2 cell test code]],[1]!Table1[[Test code]:[Test code]],[1]!Table1[Anode ICR/mOhm],"",0)</f>
        <v>#REF!</v>
      </c>
      <c r="AD1404" s="69" t="e" cm="1">
        <f t="array" ref="AD1404">_xlfn.XLOOKUP(Table1[[#This Row],[5 cm2 cell test code]:[5 cm2 cell test code]],[1]!Table1[[Test code]:[Test code]],[1]!Table1[HFR DIW/ mOhm cm2],"",0)</f>
        <v>#REF!</v>
      </c>
      <c r="AE1404" s="69" t="e" cm="1">
        <f t="array" ref="AE1404">_xlfn.XLOOKUP(Table1[[#This Row],[5 cm2 cell test code]:[5 cm2 cell test code]],[1]!Table1[[Test code]:[Test code]],[1]!Table1[HFR 10 mM KOH/ mOhm cm2],"",0)</f>
        <v>#REF!</v>
      </c>
      <c r="AF1404" s="69" t="e" cm="1">
        <f t="array" ref="AF1404">_xlfn.XLOOKUP(Table1[[#This Row],[5 cm2 cell test code]:[5 cm2 cell test code]],[1]!Table1[[Test code]:[Test code]],[1]!Table1[Ionic resistance DIW/Ohm cm2],"",0)</f>
        <v>#REF!</v>
      </c>
      <c r="AG1404" s="69" t="e" cm="1">
        <f t="array" ref="AG1404">_xlfn.XLOOKUP(Table1[[#This Row],[5 cm2 cell test code]:[5 cm2 cell test code]],[1]!Table1[[Test code]:[Test code]],[1]!Table1[Q_int_frac DIW],"",0)</f>
        <v>#REF!</v>
      </c>
      <c r="AH1404" s="69" t="e" cm="1">
        <f t="array" ref="AH1404">_xlfn.XLOOKUP(Table1[[#This Row],[5 cm2 cell test code]:[5 cm2 cell test code]],[1]!Table1[[Test code]:[Test code]],[1]!Table1[Ionic resistance 10 mM KOH/Ohm cm2],"",0)</f>
        <v>#REF!</v>
      </c>
      <c r="AI1404" s="69" t="e" cm="1">
        <f t="array" ref="AI1404">_xlfn.XLOOKUP(Table1[[#This Row],[5 cm2 cell test code]:[5 cm2 cell test code]],[1]!Table1[[Test code]:[Test code]],[1]!Table1[Q_int_frac DIW 10 mM KOH],"",0)</f>
        <v>#REF!</v>
      </c>
      <c r="AJ1404" s="69" t="e" cm="1">
        <f t="array" ref="AJ1404">_xlfn.XLOOKUP(Table1[[#This Row],[5 cm2 cell test code]:[5 cm2 cell test code]],[1]!Table1[[Test code]:[Test code]],[1]!Table1[DIW conductivity (µS/cm)],"",0)</f>
        <v>#REF!</v>
      </c>
    </row>
    <row r="1405" spans="1:36">
      <c r="A1405" s="81"/>
      <c r="U1405" s="101"/>
      <c r="V1405" s="101"/>
      <c r="W1405" s="69" t="e" cm="1">
        <f t="array" ref="W1405">_xlfn.XLOOKUP(Table1[[#This Row],[5 cm2 cell test code]:[5 cm2 cell test code]],[1]!Table1[[Test code]:[Test code]],[1]!Table1[i @ 1.8 V DIW (A/cm2)],"",0)</f>
        <v>#REF!</v>
      </c>
      <c r="X1405" s="69" t="e" cm="1">
        <f t="array" ref="X1405">_xlfn.XLOOKUP(Table1[[#This Row],[5 cm2 cell test code]:[5 cm2 cell test code]],[1]!Table1[[Test code]:[Test code]],[1]!Table1[i @ 1.8 V 10 mM KOH (A/cm2)],"",0)</f>
        <v>#REF!</v>
      </c>
      <c r="Y1405" s="69" t="e" cm="1">
        <f t="array" ref="Y1405">_xlfn.XLOOKUP(Table1[[#This Row],[5 cm2 cell test code]:[5 cm2 cell test code]],[1]!Table1[[Test code]:[Test code]],[1]!Table1[3-E ƞ at 20mAcm-2 (mV)],"",0)</f>
        <v>#REF!</v>
      </c>
      <c r="Z1405" s="69" t="e" cm="1">
        <f t="array" ref="Z1405">_xlfn.XLOOKUP(Table1[[#This Row],[5 cm2 cell test code]:[5 cm2 cell test code]],[1]!Table1[[Test code]:[Test code]],[1]!Table1[3-E Tafel slope (mV/dec)],"",0)</f>
        <v>#REF!</v>
      </c>
      <c r="AA1405" s="69" t="e" cm="1">
        <f t="array" ref="AA1405">_xlfn.XLOOKUP(Table1[[#This Row],[5 cm2 cell test code]:[5 cm2 cell test code]],[1]!Table1[[Test code]:[Test code]],[1]!Table1[E @ 100 mA/cm2 DIW/V],"",0)</f>
        <v>#REF!</v>
      </c>
      <c r="AB1405" s="69" t="e" cm="1">
        <f t="array" ref="AB1405">_xlfn.XLOOKUP(Table1[[#This Row],[5 cm2 cell test code]:[5 cm2 cell test code]],[1]!Table1[[Test code]:[Test code]],[1]!Table1[E @ 100 mA/cm2 10 mM KOH/V],"",0)</f>
        <v>#REF!</v>
      </c>
      <c r="AC1405" s="69" t="e" cm="1">
        <f t="array" ref="AC1405">_xlfn.XLOOKUP(Table1[[#This Row],[5 cm2 cell test code]:[5 cm2 cell test code]],[1]!Table1[[Test code]:[Test code]],[1]!Table1[Anode ICR/mOhm],"",0)</f>
        <v>#REF!</v>
      </c>
      <c r="AD1405" s="69" t="e" cm="1">
        <f t="array" ref="AD1405">_xlfn.XLOOKUP(Table1[[#This Row],[5 cm2 cell test code]:[5 cm2 cell test code]],[1]!Table1[[Test code]:[Test code]],[1]!Table1[HFR DIW/ mOhm cm2],"",0)</f>
        <v>#REF!</v>
      </c>
      <c r="AE1405" s="69" t="e" cm="1">
        <f t="array" ref="AE1405">_xlfn.XLOOKUP(Table1[[#This Row],[5 cm2 cell test code]:[5 cm2 cell test code]],[1]!Table1[[Test code]:[Test code]],[1]!Table1[HFR 10 mM KOH/ mOhm cm2],"",0)</f>
        <v>#REF!</v>
      </c>
      <c r="AF1405" s="69" t="e" cm="1">
        <f t="array" ref="AF1405">_xlfn.XLOOKUP(Table1[[#This Row],[5 cm2 cell test code]:[5 cm2 cell test code]],[1]!Table1[[Test code]:[Test code]],[1]!Table1[Ionic resistance DIW/Ohm cm2],"",0)</f>
        <v>#REF!</v>
      </c>
      <c r="AG1405" s="69" t="e" cm="1">
        <f t="array" ref="AG1405">_xlfn.XLOOKUP(Table1[[#This Row],[5 cm2 cell test code]:[5 cm2 cell test code]],[1]!Table1[[Test code]:[Test code]],[1]!Table1[Q_int_frac DIW],"",0)</f>
        <v>#REF!</v>
      </c>
      <c r="AH1405" s="69" t="e" cm="1">
        <f t="array" ref="AH1405">_xlfn.XLOOKUP(Table1[[#This Row],[5 cm2 cell test code]:[5 cm2 cell test code]],[1]!Table1[[Test code]:[Test code]],[1]!Table1[Ionic resistance 10 mM KOH/Ohm cm2],"",0)</f>
        <v>#REF!</v>
      </c>
      <c r="AI1405" s="69" t="e" cm="1">
        <f t="array" ref="AI1405">_xlfn.XLOOKUP(Table1[[#This Row],[5 cm2 cell test code]:[5 cm2 cell test code]],[1]!Table1[[Test code]:[Test code]],[1]!Table1[Q_int_frac DIW 10 mM KOH],"",0)</f>
        <v>#REF!</v>
      </c>
      <c r="AJ1405" s="69" t="e" cm="1">
        <f t="array" ref="AJ1405">_xlfn.XLOOKUP(Table1[[#This Row],[5 cm2 cell test code]:[5 cm2 cell test code]],[1]!Table1[[Test code]:[Test code]],[1]!Table1[DIW conductivity (µS/cm)],"",0)</f>
        <v>#REF!</v>
      </c>
    </row>
    <row r="1406" spans="1:36">
      <c r="A1406" s="81"/>
      <c r="U1406" s="101"/>
      <c r="V1406" s="101"/>
      <c r="W1406" s="69" t="e" cm="1">
        <f t="array" ref="W1406">_xlfn.XLOOKUP(Table1[[#This Row],[5 cm2 cell test code]:[5 cm2 cell test code]],[1]!Table1[[Test code]:[Test code]],[1]!Table1[i @ 1.8 V DIW (A/cm2)],"",0)</f>
        <v>#REF!</v>
      </c>
      <c r="X1406" s="69" t="e" cm="1">
        <f t="array" ref="X1406">_xlfn.XLOOKUP(Table1[[#This Row],[5 cm2 cell test code]:[5 cm2 cell test code]],[1]!Table1[[Test code]:[Test code]],[1]!Table1[i @ 1.8 V 10 mM KOH (A/cm2)],"",0)</f>
        <v>#REF!</v>
      </c>
      <c r="Y1406" s="69" t="e" cm="1">
        <f t="array" ref="Y1406">_xlfn.XLOOKUP(Table1[[#This Row],[5 cm2 cell test code]:[5 cm2 cell test code]],[1]!Table1[[Test code]:[Test code]],[1]!Table1[3-E ƞ at 20mAcm-2 (mV)],"",0)</f>
        <v>#REF!</v>
      </c>
      <c r="Z1406" s="69" t="e" cm="1">
        <f t="array" ref="Z1406">_xlfn.XLOOKUP(Table1[[#This Row],[5 cm2 cell test code]:[5 cm2 cell test code]],[1]!Table1[[Test code]:[Test code]],[1]!Table1[3-E Tafel slope (mV/dec)],"",0)</f>
        <v>#REF!</v>
      </c>
      <c r="AA1406" s="69" t="e" cm="1">
        <f t="array" ref="AA1406">_xlfn.XLOOKUP(Table1[[#This Row],[5 cm2 cell test code]:[5 cm2 cell test code]],[1]!Table1[[Test code]:[Test code]],[1]!Table1[E @ 100 mA/cm2 DIW/V],"",0)</f>
        <v>#REF!</v>
      </c>
      <c r="AB1406" s="69" t="e" cm="1">
        <f t="array" ref="AB1406">_xlfn.XLOOKUP(Table1[[#This Row],[5 cm2 cell test code]:[5 cm2 cell test code]],[1]!Table1[[Test code]:[Test code]],[1]!Table1[E @ 100 mA/cm2 10 mM KOH/V],"",0)</f>
        <v>#REF!</v>
      </c>
      <c r="AC1406" s="69" t="e" cm="1">
        <f t="array" ref="AC1406">_xlfn.XLOOKUP(Table1[[#This Row],[5 cm2 cell test code]:[5 cm2 cell test code]],[1]!Table1[[Test code]:[Test code]],[1]!Table1[Anode ICR/mOhm],"",0)</f>
        <v>#REF!</v>
      </c>
      <c r="AD1406" s="69" t="e" cm="1">
        <f t="array" ref="AD1406">_xlfn.XLOOKUP(Table1[[#This Row],[5 cm2 cell test code]:[5 cm2 cell test code]],[1]!Table1[[Test code]:[Test code]],[1]!Table1[HFR DIW/ mOhm cm2],"",0)</f>
        <v>#REF!</v>
      </c>
      <c r="AE1406" s="69" t="e" cm="1">
        <f t="array" ref="AE1406">_xlfn.XLOOKUP(Table1[[#This Row],[5 cm2 cell test code]:[5 cm2 cell test code]],[1]!Table1[[Test code]:[Test code]],[1]!Table1[HFR 10 mM KOH/ mOhm cm2],"",0)</f>
        <v>#REF!</v>
      </c>
      <c r="AF1406" s="69" t="e" cm="1">
        <f t="array" ref="AF1406">_xlfn.XLOOKUP(Table1[[#This Row],[5 cm2 cell test code]:[5 cm2 cell test code]],[1]!Table1[[Test code]:[Test code]],[1]!Table1[Ionic resistance DIW/Ohm cm2],"",0)</f>
        <v>#REF!</v>
      </c>
      <c r="AG1406" s="69" t="e" cm="1">
        <f t="array" ref="AG1406">_xlfn.XLOOKUP(Table1[[#This Row],[5 cm2 cell test code]:[5 cm2 cell test code]],[1]!Table1[[Test code]:[Test code]],[1]!Table1[Q_int_frac DIW],"",0)</f>
        <v>#REF!</v>
      </c>
      <c r="AH1406" s="69" t="e" cm="1">
        <f t="array" ref="AH1406">_xlfn.XLOOKUP(Table1[[#This Row],[5 cm2 cell test code]:[5 cm2 cell test code]],[1]!Table1[[Test code]:[Test code]],[1]!Table1[Ionic resistance 10 mM KOH/Ohm cm2],"",0)</f>
        <v>#REF!</v>
      </c>
      <c r="AI1406" s="69" t="e" cm="1">
        <f t="array" ref="AI1406">_xlfn.XLOOKUP(Table1[[#This Row],[5 cm2 cell test code]:[5 cm2 cell test code]],[1]!Table1[[Test code]:[Test code]],[1]!Table1[Q_int_frac DIW 10 mM KOH],"",0)</f>
        <v>#REF!</v>
      </c>
      <c r="AJ1406" s="69" t="e" cm="1">
        <f t="array" ref="AJ1406">_xlfn.XLOOKUP(Table1[[#This Row],[5 cm2 cell test code]:[5 cm2 cell test code]],[1]!Table1[[Test code]:[Test code]],[1]!Table1[DIW conductivity (µS/cm)],"",0)</f>
        <v>#REF!</v>
      </c>
    </row>
    <row r="1407" spans="1:36">
      <c r="A1407" s="81"/>
      <c r="U1407" s="101"/>
      <c r="V1407" s="101"/>
      <c r="W1407" s="69" t="e" cm="1">
        <f t="array" ref="W1407">_xlfn.XLOOKUP(Table1[[#This Row],[5 cm2 cell test code]:[5 cm2 cell test code]],[1]!Table1[[Test code]:[Test code]],[1]!Table1[i @ 1.8 V DIW (A/cm2)],"",0)</f>
        <v>#REF!</v>
      </c>
      <c r="X1407" s="69" t="e" cm="1">
        <f t="array" ref="X1407">_xlfn.XLOOKUP(Table1[[#This Row],[5 cm2 cell test code]:[5 cm2 cell test code]],[1]!Table1[[Test code]:[Test code]],[1]!Table1[i @ 1.8 V 10 mM KOH (A/cm2)],"",0)</f>
        <v>#REF!</v>
      </c>
      <c r="Y1407" s="69" t="e" cm="1">
        <f t="array" ref="Y1407">_xlfn.XLOOKUP(Table1[[#This Row],[5 cm2 cell test code]:[5 cm2 cell test code]],[1]!Table1[[Test code]:[Test code]],[1]!Table1[3-E ƞ at 20mAcm-2 (mV)],"",0)</f>
        <v>#REF!</v>
      </c>
      <c r="Z1407" s="69" t="e" cm="1">
        <f t="array" ref="Z1407">_xlfn.XLOOKUP(Table1[[#This Row],[5 cm2 cell test code]:[5 cm2 cell test code]],[1]!Table1[[Test code]:[Test code]],[1]!Table1[3-E Tafel slope (mV/dec)],"",0)</f>
        <v>#REF!</v>
      </c>
      <c r="AA1407" s="69" t="e" cm="1">
        <f t="array" ref="AA1407">_xlfn.XLOOKUP(Table1[[#This Row],[5 cm2 cell test code]:[5 cm2 cell test code]],[1]!Table1[[Test code]:[Test code]],[1]!Table1[E @ 100 mA/cm2 DIW/V],"",0)</f>
        <v>#REF!</v>
      </c>
      <c r="AB1407" s="69" t="e" cm="1">
        <f t="array" ref="AB1407">_xlfn.XLOOKUP(Table1[[#This Row],[5 cm2 cell test code]:[5 cm2 cell test code]],[1]!Table1[[Test code]:[Test code]],[1]!Table1[E @ 100 mA/cm2 10 mM KOH/V],"",0)</f>
        <v>#REF!</v>
      </c>
      <c r="AC1407" s="69" t="e" cm="1">
        <f t="array" ref="AC1407">_xlfn.XLOOKUP(Table1[[#This Row],[5 cm2 cell test code]:[5 cm2 cell test code]],[1]!Table1[[Test code]:[Test code]],[1]!Table1[Anode ICR/mOhm],"",0)</f>
        <v>#REF!</v>
      </c>
      <c r="AD1407" s="69" t="e" cm="1">
        <f t="array" ref="AD1407">_xlfn.XLOOKUP(Table1[[#This Row],[5 cm2 cell test code]:[5 cm2 cell test code]],[1]!Table1[[Test code]:[Test code]],[1]!Table1[HFR DIW/ mOhm cm2],"",0)</f>
        <v>#REF!</v>
      </c>
      <c r="AE1407" s="69" t="e" cm="1">
        <f t="array" ref="AE1407">_xlfn.XLOOKUP(Table1[[#This Row],[5 cm2 cell test code]:[5 cm2 cell test code]],[1]!Table1[[Test code]:[Test code]],[1]!Table1[HFR 10 mM KOH/ mOhm cm2],"",0)</f>
        <v>#REF!</v>
      </c>
      <c r="AF1407" s="69" t="e" cm="1">
        <f t="array" ref="AF1407">_xlfn.XLOOKUP(Table1[[#This Row],[5 cm2 cell test code]:[5 cm2 cell test code]],[1]!Table1[[Test code]:[Test code]],[1]!Table1[Ionic resistance DIW/Ohm cm2],"",0)</f>
        <v>#REF!</v>
      </c>
      <c r="AG1407" s="69" t="e" cm="1">
        <f t="array" ref="AG1407">_xlfn.XLOOKUP(Table1[[#This Row],[5 cm2 cell test code]:[5 cm2 cell test code]],[1]!Table1[[Test code]:[Test code]],[1]!Table1[Q_int_frac DIW],"",0)</f>
        <v>#REF!</v>
      </c>
      <c r="AH1407" s="69" t="e" cm="1">
        <f t="array" ref="AH1407">_xlfn.XLOOKUP(Table1[[#This Row],[5 cm2 cell test code]:[5 cm2 cell test code]],[1]!Table1[[Test code]:[Test code]],[1]!Table1[Ionic resistance 10 mM KOH/Ohm cm2],"",0)</f>
        <v>#REF!</v>
      </c>
      <c r="AI1407" s="69" t="e" cm="1">
        <f t="array" ref="AI1407">_xlfn.XLOOKUP(Table1[[#This Row],[5 cm2 cell test code]:[5 cm2 cell test code]],[1]!Table1[[Test code]:[Test code]],[1]!Table1[Q_int_frac DIW 10 mM KOH],"",0)</f>
        <v>#REF!</v>
      </c>
      <c r="AJ1407" s="69" t="e" cm="1">
        <f t="array" ref="AJ1407">_xlfn.XLOOKUP(Table1[[#This Row],[5 cm2 cell test code]:[5 cm2 cell test code]],[1]!Table1[[Test code]:[Test code]],[1]!Table1[DIW conductivity (µS/cm)],"",0)</f>
        <v>#REF!</v>
      </c>
    </row>
    <row r="1408" spans="1:36">
      <c r="A1408" s="81"/>
      <c r="U1408" s="101"/>
      <c r="V1408" s="101"/>
      <c r="W1408" s="69" t="e" cm="1">
        <f t="array" ref="W1408">_xlfn.XLOOKUP(Table1[[#This Row],[5 cm2 cell test code]:[5 cm2 cell test code]],[1]!Table1[[Test code]:[Test code]],[1]!Table1[i @ 1.8 V DIW (A/cm2)],"",0)</f>
        <v>#REF!</v>
      </c>
      <c r="X1408" s="69" t="e" cm="1">
        <f t="array" ref="X1408">_xlfn.XLOOKUP(Table1[[#This Row],[5 cm2 cell test code]:[5 cm2 cell test code]],[1]!Table1[[Test code]:[Test code]],[1]!Table1[i @ 1.8 V 10 mM KOH (A/cm2)],"",0)</f>
        <v>#REF!</v>
      </c>
      <c r="Y1408" s="69" t="e" cm="1">
        <f t="array" ref="Y1408">_xlfn.XLOOKUP(Table1[[#This Row],[5 cm2 cell test code]:[5 cm2 cell test code]],[1]!Table1[[Test code]:[Test code]],[1]!Table1[3-E ƞ at 20mAcm-2 (mV)],"",0)</f>
        <v>#REF!</v>
      </c>
      <c r="Z1408" s="69" t="e" cm="1">
        <f t="array" ref="Z1408">_xlfn.XLOOKUP(Table1[[#This Row],[5 cm2 cell test code]:[5 cm2 cell test code]],[1]!Table1[[Test code]:[Test code]],[1]!Table1[3-E Tafel slope (mV/dec)],"",0)</f>
        <v>#REF!</v>
      </c>
      <c r="AA1408" s="69" t="e" cm="1">
        <f t="array" ref="AA1408">_xlfn.XLOOKUP(Table1[[#This Row],[5 cm2 cell test code]:[5 cm2 cell test code]],[1]!Table1[[Test code]:[Test code]],[1]!Table1[E @ 100 mA/cm2 DIW/V],"",0)</f>
        <v>#REF!</v>
      </c>
      <c r="AB1408" s="69" t="e" cm="1">
        <f t="array" ref="AB1408">_xlfn.XLOOKUP(Table1[[#This Row],[5 cm2 cell test code]:[5 cm2 cell test code]],[1]!Table1[[Test code]:[Test code]],[1]!Table1[E @ 100 mA/cm2 10 mM KOH/V],"",0)</f>
        <v>#REF!</v>
      </c>
      <c r="AC1408" s="69" t="e" cm="1">
        <f t="array" ref="AC1408">_xlfn.XLOOKUP(Table1[[#This Row],[5 cm2 cell test code]:[5 cm2 cell test code]],[1]!Table1[[Test code]:[Test code]],[1]!Table1[Anode ICR/mOhm],"",0)</f>
        <v>#REF!</v>
      </c>
      <c r="AD1408" s="69" t="e" cm="1">
        <f t="array" ref="AD1408">_xlfn.XLOOKUP(Table1[[#This Row],[5 cm2 cell test code]:[5 cm2 cell test code]],[1]!Table1[[Test code]:[Test code]],[1]!Table1[HFR DIW/ mOhm cm2],"",0)</f>
        <v>#REF!</v>
      </c>
      <c r="AE1408" s="69" t="e" cm="1">
        <f t="array" ref="AE1408">_xlfn.XLOOKUP(Table1[[#This Row],[5 cm2 cell test code]:[5 cm2 cell test code]],[1]!Table1[[Test code]:[Test code]],[1]!Table1[HFR 10 mM KOH/ mOhm cm2],"",0)</f>
        <v>#REF!</v>
      </c>
      <c r="AF1408" s="69" t="e" cm="1">
        <f t="array" ref="AF1408">_xlfn.XLOOKUP(Table1[[#This Row],[5 cm2 cell test code]:[5 cm2 cell test code]],[1]!Table1[[Test code]:[Test code]],[1]!Table1[Ionic resistance DIW/Ohm cm2],"",0)</f>
        <v>#REF!</v>
      </c>
      <c r="AG1408" s="69" t="e" cm="1">
        <f t="array" ref="AG1408">_xlfn.XLOOKUP(Table1[[#This Row],[5 cm2 cell test code]:[5 cm2 cell test code]],[1]!Table1[[Test code]:[Test code]],[1]!Table1[Q_int_frac DIW],"",0)</f>
        <v>#REF!</v>
      </c>
      <c r="AH1408" s="69" t="e" cm="1">
        <f t="array" ref="AH1408">_xlfn.XLOOKUP(Table1[[#This Row],[5 cm2 cell test code]:[5 cm2 cell test code]],[1]!Table1[[Test code]:[Test code]],[1]!Table1[Ionic resistance 10 mM KOH/Ohm cm2],"",0)</f>
        <v>#REF!</v>
      </c>
      <c r="AI1408" s="69" t="e" cm="1">
        <f t="array" ref="AI1408">_xlfn.XLOOKUP(Table1[[#This Row],[5 cm2 cell test code]:[5 cm2 cell test code]],[1]!Table1[[Test code]:[Test code]],[1]!Table1[Q_int_frac DIW 10 mM KOH],"",0)</f>
        <v>#REF!</v>
      </c>
      <c r="AJ1408" s="69" t="e" cm="1">
        <f t="array" ref="AJ1408">_xlfn.XLOOKUP(Table1[[#This Row],[5 cm2 cell test code]:[5 cm2 cell test code]],[1]!Table1[[Test code]:[Test code]],[1]!Table1[DIW conductivity (µS/cm)],"",0)</f>
        <v>#REF!</v>
      </c>
    </row>
    <row r="1409" spans="1:36">
      <c r="A1409" s="81"/>
      <c r="U1409" s="101"/>
      <c r="V1409" s="101"/>
      <c r="W1409" s="69" t="e" cm="1">
        <f t="array" ref="W1409">_xlfn.XLOOKUP(Table1[[#This Row],[5 cm2 cell test code]:[5 cm2 cell test code]],[1]!Table1[[Test code]:[Test code]],[1]!Table1[i @ 1.8 V DIW (A/cm2)],"",0)</f>
        <v>#REF!</v>
      </c>
      <c r="X1409" s="69" t="e" cm="1">
        <f t="array" ref="X1409">_xlfn.XLOOKUP(Table1[[#This Row],[5 cm2 cell test code]:[5 cm2 cell test code]],[1]!Table1[[Test code]:[Test code]],[1]!Table1[i @ 1.8 V 10 mM KOH (A/cm2)],"",0)</f>
        <v>#REF!</v>
      </c>
      <c r="Y1409" s="69" t="e" cm="1">
        <f t="array" ref="Y1409">_xlfn.XLOOKUP(Table1[[#This Row],[5 cm2 cell test code]:[5 cm2 cell test code]],[1]!Table1[[Test code]:[Test code]],[1]!Table1[3-E ƞ at 20mAcm-2 (mV)],"",0)</f>
        <v>#REF!</v>
      </c>
      <c r="Z1409" s="69" t="e" cm="1">
        <f t="array" ref="Z1409">_xlfn.XLOOKUP(Table1[[#This Row],[5 cm2 cell test code]:[5 cm2 cell test code]],[1]!Table1[[Test code]:[Test code]],[1]!Table1[3-E Tafel slope (mV/dec)],"",0)</f>
        <v>#REF!</v>
      </c>
      <c r="AA1409" s="69" t="e" cm="1">
        <f t="array" ref="AA1409">_xlfn.XLOOKUP(Table1[[#This Row],[5 cm2 cell test code]:[5 cm2 cell test code]],[1]!Table1[[Test code]:[Test code]],[1]!Table1[E @ 100 mA/cm2 DIW/V],"",0)</f>
        <v>#REF!</v>
      </c>
      <c r="AB1409" s="69" t="e" cm="1">
        <f t="array" ref="AB1409">_xlfn.XLOOKUP(Table1[[#This Row],[5 cm2 cell test code]:[5 cm2 cell test code]],[1]!Table1[[Test code]:[Test code]],[1]!Table1[E @ 100 mA/cm2 10 mM KOH/V],"",0)</f>
        <v>#REF!</v>
      </c>
      <c r="AC1409" s="69" t="e" cm="1">
        <f t="array" ref="AC1409">_xlfn.XLOOKUP(Table1[[#This Row],[5 cm2 cell test code]:[5 cm2 cell test code]],[1]!Table1[[Test code]:[Test code]],[1]!Table1[Anode ICR/mOhm],"",0)</f>
        <v>#REF!</v>
      </c>
      <c r="AD1409" s="69" t="e" cm="1">
        <f t="array" ref="AD1409">_xlfn.XLOOKUP(Table1[[#This Row],[5 cm2 cell test code]:[5 cm2 cell test code]],[1]!Table1[[Test code]:[Test code]],[1]!Table1[HFR DIW/ mOhm cm2],"",0)</f>
        <v>#REF!</v>
      </c>
      <c r="AE1409" s="69" t="e" cm="1">
        <f t="array" ref="AE1409">_xlfn.XLOOKUP(Table1[[#This Row],[5 cm2 cell test code]:[5 cm2 cell test code]],[1]!Table1[[Test code]:[Test code]],[1]!Table1[HFR 10 mM KOH/ mOhm cm2],"",0)</f>
        <v>#REF!</v>
      </c>
      <c r="AF1409" s="69" t="e" cm="1">
        <f t="array" ref="AF1409">_xlfn.XLOOKUP(Table1[[#This Row],[5 cm2 cell test code]:[5 cm2 cell test code]],[1]!Table1[[Test code]:[Test code]],[1]!Table1[Ionic resistance DIW/Ohm cm2],"",0)</f>
        <v>#REF!</v>
      </c>
      <c r="AG1409" s="69" t="e" cm="1">
        <f t="array" ref="AG1409">_xlfn.XLOOKUP(Table1[[#This Row],[5 cm2 cell test code]:[5 cm2 cell test code]],[1]!Table1[[Test code]:[Test code]],[1]!Table1[Q_int_frac DIW],"",0)</f>
        <v>#REF!</v>
      </c>
      <c r="AH1409" s="69" t="e" cm="1">
        <f t="array" ref="AH1409">_xlfn.XLOOKUP(Table1[[#This Row],[5 cm2 cell test code]:[5 cm2 cell test code]],[1]!Table1[[Test code]:[Test code]],[1]!Table1[Ionic resistance 10 mM KOH/Ohm cm2],"",0)</f>
        <v>#REF!</v>
      </c>
      <c r="AI1409" s="69" t="e" cm="1">
        <f t="array" ref="AI1409">_xlfn.XLOOKUP(Table1[[#This Row],[5 cm2 cell test code]:[5 cm2 cell test code]],[1]!Table1[[Test code]:[Test code]],[1]!Table1[Q_int_frac DIW 10 mM KOH],"",0)</f>
        <v>#REF!</v>
      </c>
      <c r="AJ1409" s="69" t="e" cm="1">
        <f t="array" ref="AJ1409">_xlfn.XLOOKUP(Table1[[#This Row],[5 cm2 cell test code]:[5 cm2 cell test code]],[1]!Table1[[Test code]:[Test code]],[1]!Table1[DIW conductivity (µS/cm)],"",0)</f>
        <v>#REF!</v>
      </c>
    </row>
    <row r="1410" spans="1:36">
      <c r="A1410" s="81"/>
      <c r="U1410" s="101"/>
      <c r="V1410" s="101"/>
      <c r="W1410" s="69" t="e" cm="1">
        <f t="array" ref="W1410">_xlfn.XLOOKUP(Table1[[#This Row],[5 cm2 cell test code]:[5 cm2 cell test code]],[1]!Table1[[Test code]:[Test code]],[1]!Table1[i @ 1.8 V DIW (A/cm2)],"",0)</f>
        <v>#REF!</v>
      </c>
      <c r="X1410" s="69" t="e" cm="1">
        <f t="array" ref="X1410">_xlfn.XLOOKUP(Table1[[#This Row],[5 cm2 cell test code]:[5 cm2 cell test code]],[1]!Table1[[Test code]:[Test code]],[1]!Table1[i @ 1.8 V 10 mM KOH (A/cm2)],"",0)</f>
        <v>#REF!</v>
      </c>
      <c r="Y1410" s="69" t="e" cm="1">
        <f t="array" ref="Y1410">_xlfn.XLOOKUP(Table1[[#This Row],[5 cm2 cell test code]:[5 cm2 cell test code]],[1]!Table1[[Test code]:[Test code]],[1]!Table1[3-E ƞ at 20mAcm-2 (mV)],"",0)</f>
        <v>#REF!</v>
      </c>
      <c r="Z1410" s="69" t="e" cm="1">
        <f t="array" ref="Z1410">_xlfn.XLOOKUP(Table1[[#This Row],[5 cm2 cell test code]:[5 cm2 cell test code]],[1]!Table1[[Test code]:[Test code]],[1]!Table1[3-E Tafel slope (mV/dec)],"",0)</f>
        <v>#REF!</v>
      </c>
      <c r="AA1410" s="69" t="e" cm="1">
        <f t="array" ref="AA1410">_xlfn.XLOOKUP(Table1[[#This Row],[5 cm2 cell test code]:[5 cm2 cell test code]],[1]!Table1[[Test code]:[Test code]],[1]!Table1[E @ 100 mA/cm2 DIW/V],"",0)</f>
        <v>#REF!</v>
      </c>
      <c r="AB1410" s="69" t="e" cm="1">
        <f t="array" ref="AB1410">_xlfn.XLOOKUP(Table1[[#This Row],[5 cm2 cell test code]:[5 cm2 cell test code]],[1]!Table1[[Test code]:[Test code]],[1]!Table1[E @ 100 mA/cm2 10 mM KOH/V],"",0)</f>
        <v>#REF!</v>
      </c>
      <c r="AC1410" s="69" t="e" cm="1">
        <f t="array" ref="AC1410">_xlfn.XLOOKUP(Table1[[#This Row],[5 cm2 cell test code]:[5 cm2 cell test code]],[1]!Table1[[Test code]:[Test code]],[1]!Table1[Anode ICR/mOhm],"",0)</f>
        <v>#REF!</v>
      </c>
      <c r="AD1410" s="69" t="e" cm="1">
        <f t="array" ref="AD1410">_xlfn.XLOOKUP(Table1[[#This Row],[5 cm2 cell test code]:[5 cm2 cell test code]],[1]!Table1[[Test code]:[Test code]],[1]!Table1[HFR DIW/ mOhm cm2],"",0)</f>
        <v>#REF!</v>
      </c>
      <c r="AE1410" s="69" t="e" cm="1">
        <f t="array" ref="AE1410">_xlfn.XLOOKUP(Table1[[#This Row],[5 cm2 cell test code]:[5 cm2 cell test code]],[1]!Table1[[Test code]:[Test code]],[1]!Table1[HFR 10 mM KOH/ mOhm cm2],"",0)</f>
        <v>#REF!</v>
      </c>
      <c r="AF1410" s="69" t="e" cm="1">
        <f t="array" ref="AF1410">_xlfn.XLOOKUP(Table1[[#This Row],[5 cm2 cell test code]:[5 cm2 cell test code]],[1]!Table1[[Test code]:[Test code]],[1]!Table1[Ionic resistance DIW/Ohm cm2],"",0)</f>
        <v>#REF!</v>
      </c>
      <c r="AG1410" s="69" t="e" cm="1">
        <f t="array" ref="AG1410">_xlfn.XLOOKUP(Table1[[#This Row],[5 cm2 cell test code]:[5 cm2 cell test code]],[1]!Table1[[Test code]:[Test code]],[1]!Table1[Q_int_frac DIW],"",0)</f>
        <v>#REF!</v>
      </c>
      <c r="AH1410" s="69" t="e" cm="1">
        <f t="array" ref="AH1410">_xlfn.XLOOKUP(Table1[[#This Row],[5 cm2 cell test code]:[5 cm2 cell test code]],[1]!Table1[[Test code]:[Test code]],[1]!Table1[Ionic resistance 10 mM KOH/Ohm cm2],"",0)</f>
        <v>#REF!</v>
      </c>
      <c r="AI1410" s="69" t="e" cm="1">
        <f t="array" ref="AI1410">_xlfn.XLOOKUP(Table1[[#This Row],[5 cm2 cell test code]:[5 cm2 cell test code]],[1]!Table1[[Test code]:[Test code]],[1]!Table1[Q_int_frac DIW 10 mM KOH],"",0)</f>
        <v>#REF!</v>
      </c>
      <c r="AJ1410" s="69" t="e" cm="1">
        <f t="array" ref="AJ1410">_xlfn.XLOOKUP(Table1[[#This Row],[5 cm2 cell test code]:[5 cm2 cell test code]],[1]!Table1[[Test code]:[Test code]],[1]!Table1[DIW conductivity (µS/cm)],"",0)</f>
        <v>#REF!</v>
      </c>
    </row>
    <row r="1411" spans="1:36">
      <c r="A1411" s="81"/>
      <c r="U1411" s="101"/>
      <c r="V1411" s="101"/>
      <c r="W1411" s="69" t="e" cm="1">
        <f t="array" ref="W1411">_xlfn.XLOOKUP(Table1[[#This Row],[5 cm2 cell test code]:[5 cm2 cell test code]],[1]!Table1[[Test code]:[Test code]],[1]!Table1[i @ 1.8 V DIW (A/cm2)],"",0)</f>
        <v>#REF!</v>
      </c>
      <c r="X1411" s="69" t="e" cm="1">
        <f t="array" ref="X1411">_xlfn.XLOOKUP(Table1[[#This Row],[5 cm2 cell test code]:[5 cm2 cell test code]],[1]!Table1[[Test code]:[Test code]],[1]!Table1[i @ 1.8 V 10 mM KOH (A/cm2)],"",0)</f>
        <v>#REF!</v>
      </c>
      <c r="Y1411" s="69" t="e" cm="1">
        <f t="array" ref="Y1411">_xlfn.XLOOKUP(Table1[[#This Row],[5 cm2 cell test code]:[5 cm2 cell test code]],[1]!Table1[[Test code]:[Test code]],[1]!Table1[3-E ƞ at 20mAcm-2 (mV)],"",0)</f>
        <v>#REF!</v>
      </c>
      <c r="Z1411" s="69" t="e" cm="1">
        <f t="array" ref="Z1411">_xlfn.XLOOKUP(Table1[[#This Row],[5 cm2 cell test code]:[5 cm2 cell test code]],[1]!Table1[[Test code]:[Test code]],[1]!Table1[3-E Tafel slope (mV/dec)],"",0)</f>
        <v>#REF!</v>
      </c>
      <c r="AA1411" s="69" t="e" cm="1">
        <f t="array" ref="AA1411">_xlfn.XLOOKUP(Table1[[#This Row],[5 cm2 cell test code]:[5 cm2 cell test code]],[1]!Table1[[Test code]:[Test code]],[1]!Table1[E @ 100 mA/cm2 DIW/V],"",0)</f>
        <v>#REF!</v>
      </c>
      <c r="AB1411" s="69" t="e" cm="1">
        <f t="array" ref="AB1411">_xlfn.XLOOKUP(Table1[[#This Row],[5 cm2 cell test code]:[5 cm2 cell test code]],[1]!Table1[[Test code]:[Test code]],[1]!Table1[E @ 100 mA/cm2 10 mM KOH/V],"",0)</f>
        <v>#REF!</v>
      </c>
      <c r="AC1411" s="69" t="e" cm="1">
        <f t="array" ref="AC1411">_xlfn.XLOOKUP(Table1[[#This Row],[5 cm2 cell test code]:[5 cm2 cell test code]],[1]!Table1[[Test code]:[Test code]],[1]!Table1[Anode ICR/mOhm],"",0)</f>
        <v>#REF!</v>
      </c>
      <c r="AD1411" s="69" t="e" cm="1">
        <f t="array" ref="AD1411">_xlfn.XLOOKUP(Table1[[#This Row],[5 cm2 cell test code]:[5 cm2 cell test code]],[1]!Table1[[Test code]:[Test code]],[1]!Table1[HFR DIW/ mOhm cm2],"",0)</f>
        <v>#REF!</v>
      </c>
      <c r="AE1411" s="69" t="e" cm="1">
        <f t="array" ref="AE1411">_xlfn.XLOOKUP(Table1[[#This Row],[5 cm2 cell test code]:[5 cm2 cell test code]],[1]!Table1[[Test code]:[Test code]],[1]!Table1[HFR 10 mM KOH/ mOhm cm2],"",0)</f>
        <v>#REF!</v>
      </c>
      <c r="AF1411" s="69" t="e" cm="1">
        <f t="array" ref="AF1411">_xlfn.XLOOKUP(Table1[[#This Row],[5 cm2 cell test code]:[5 cm2 cell test code]],[1]!Table1[[Test code]:[Test code]],[1]!Table1[Ionic resistance DIW/Ohm cm2],"",0)</f>
        <v>#REF!</v>
      </c>
      <c r="AG1411" s="69" t="e" cm="1">
        <f t="array" ref="AG1411">_xlfn.XLOOKUP(Table1[[#This Row],[5 cm2 cell test code]:[5 cm2 cell test code]],[1]!Table1[[Test code]:[Test code]],[1]!Table1[Q_int_frac DIW],"",0)</f>
        <v>#REF!</v>
      </c>
      <c r="AH1411" s="69" t="e" cm="1">
        <f t="array" ref="AH1411">_xlfn.XLOOKUP(Table1[[#This Row],[5 cm2 cell test code]:[5 cm2 cell test code]],[1]!Table1[[Test code]:[Test code]],[1]!Table1[Ionic resistance 10 mM KOH/Ohm cm2],"",0)</f>
        <v>#REF!</v>
      </c>
      <c r="AI1411" s="69" t="e" cm="1">
        <f t="array" ref="AI1411">_xlfn.XLOOKUP(Table1[[#This Row],[5 cm2 cell test code]:[5 cm2 cell test code]],[1]!Table1[[Test code]:[Test code]],[1]!Table1[Q_int_frac DIW 10 mM KOH],"",0)</f>
        <v>#REF!</v>
      </c>
      <c r="AJ1411" s="69" t="e" cm="1">
        <f t="array" ref="AJ1411">_xlfn.XLOOKUP(Table1[[#This Row],[5 cm2 cell test code]:[5 cm2 cell test code]],[1]!Table1[[Test code]:[Test code]],[1]!Table1[DIW conductivity (µS/cm)],"",0)</f>
        <v>#REF!</v>
      </c>
    </row>
    <row r="1412" spans="1:36">
      <c r="A1412" s="81"/>
      <c r="U1412" s="101"/>
      <c r="V1412" s="101"/>
      <c r="W1412" s="69" t="e" cm="1">
        <f t="array" ref="W1412">_xlfn.XLOOKUP(Table1[[#This Row],[5 cm2 cell test code]:[5 cm2 cell test code]],[1]!Table1[[Test code]:[Test code]],[1]!Table1[i @ 1.8 V DIW (A/cm2)],"",0)</f>
        <v>#REF!</v>
      </c>
      <c r="X1412" s="69" t="e" cm="1">
        <f t="array" ref="X1412">_xlfn.XLOOKUP(Table1[[#This Row],[5 cm2 cell test code]:[5 cm2 cell test code]],[1]!Table1[[Test code]:[Test code]],[1]!Table1[i @ 1.8 V 10 mM KOH (A/cm2)],"",0)</f>
        <v>#REF!</v>
      </c>
      <c r="Y1412" s="69" t="e" cm="1">
        <f t="array" ref="Y1412">_xlfn.XLOOKUP(Table1[[#This Row],[5 cm2 cell test code]:[5 cm2 cell test code]],[1]!Table1[[Test code]:[Test code]],[1]!Table1[3-E ƞ at 20mAcm-2 (mV)],"",0)</f>
        <v>#REF!</v>
      </c>
      <c r="Z1412" s="69" t="e" cm="1">
        <f t="array" ref="Z1412">_xlfn.XLOOKUP(Table1[[#This Row],[5 cm2 cell test code]:[5 cm2 cell test code]],[1]!Table1[[Test code]:[Test code]],[1]!Table1[3-E Tafel slope (mV/dec)],"",0)</f>
        <v>#REF!</v>
      </c>
      <c r="AA1412" s="69" t="e" cm="1">
        <f t="array" ref="AA1412">_xlfn.XLOOKUP(Table1[[#This Row],[5 cm2 cell test code]:[5 cm2 cell test code]],[1]!Table1[[Test code]:[Test code]],[1]!Table1[E @ 100 mA/cm2 DIW/V],"",0)</f>
        <v>#REF!</v>
      </c>
      <c r="AB1412" s="69" t="e" cm="1">
        <f t="array" ref="AB1412">_xlfn.XLOOKUP(Table1[[#This Row],[5 cm2 cell test code]:[5 cm2 cell test code]],[1]!Table1[[Test code]:[Test code]],[1]!Table1[E @ 100 mA/cm2 10 mM KOH/V],"",0)</f>
        <v>#REF!</v>
      </c>
      <c r="AC1412" s="69" t="e" cm="1">
        <f t="array" ref="AC1412">_xlfn.XLOOKUP(Table1[[#This Row],[5 cm2 cell test code]:[5 cm2 cell test code]],[1]!Table1[[Test code]:[Test code]],[1]!Table1[Anode ICR/mOhm],"",0)</f>
        <v>#REF!</v>
      </c>
      <c r="AD1412" s="69" t="e" cm="1">
        <f t="array" ref="AD1412">_xlfn.XLOOKUP(Table1[[#This Row],[5 cm2 cell test code]:[5 cm2 cell test code]],[1]!Table1[[Test code]:[Test code]],[1]!Table1[HFR DIW/ mOhm cm2],"",0)</f>
        <v>#REF!</v>
      </c>
      <c r="AE1412" s="69" t="e" cm="1">
        <f t="array" ref="AE1412">_xlfn.XLOOKUP(Table1[[#This Row],[5 cm2 cell test code]:[5 cm2 cell test code]],[1]!Table1[[Test code]:[Test code]],[1]!Table1[HFR 10 mM KOH/ mOhm cm2],"",0)</f>
        <v>#REF!</v>
      </c>
      <c r="AF1412" s="69" t="e" cm="1">
        <f t="array" ref="AF1412">_xlfn.XLOOKUP(Table1[[#This Row],[5 cm2 cell test code]:[5 cm2 cell test code]],[1]!Table1[[Test code]:[Test code]],[1]!Table1[Ionic resistance DIW/Ohm cm2],"",0)</f>
        <v>#REF!</v>
      </c>
      <c r="AG1412" s="69" t="e" cm="1">
        <f t="array" ref="AG1412">_xlfn.XLOOKUP(Table1[[#This Row],[5 cm2 cell test code]:[5 cm2 cell test code]],[1]!Table1[[Test code]:[Test code]],[1]!Table1[Q_int_frac DIW],"",0)</f>
        <v>#REF!</v>
      </c>
      <c r="AH1412" s="69" t="e" cm="1">
        <f t="array" ref="AH1412">_xlfn.XLOOKUP(Table1[[#This Row],[5 cm2 cell test code]:[5 cm2 cell test code]],[1]!Table1[[Test code]:[Test code]],[1]!Table1[Ionic resistance 10 mM KOH/Ohm cm2],"",0)</f>
        <v>#REF!</v>
      </c>
      <c r="AI1412" s="69" t="e" cm="1">
        <f t="array" ref="AI1412">_xlfn.XLOOKUP(Table1[[#This Row],[5 cm2 cell test code]:[5 cm2 cell test code]],[1]!Table1[[Test code]:[Test code]],[1]!Table1[Q_int_frac DIW 10 mM KOH],"",0)</f>
        <v>#REF!</v>
      </c>
      <c r="AJ1412" s="69" t="e" cm="1">
        <f t="array" ref="AJ1412">_xlfn.XLOOKUP(Table1[[#This Row],[5 cm2 cell test code]:[5 cm2 cell test code]],[1]!Table1[[Test code]:[Test code]],[1]!Table1[DIW conductivity (µS/cm)],"",0)</f>
        <v>#REF!</v>
      </c>
    </row>
    <row r="1413" spans="1:36">
      <c r="A1413" s="81"/>
      <c r="U1413" s="101"/>
      <c r="V1413" s="101"/>
      <c r="W1413" s="69" t="e" cm="1">
        <f t="array" ref="W1413">_xlfn.XLOOKUP(Table1[[#This Row],[5 cm2 cell test code]:[5 cm2 cell test code]],[1]!Table1[[Test code]:[Test code]],[1]!Table1[i @ 1.8 V DIW (A/cm2)],"",0)</f>
        <v>#REF!</v>
      </c>
      <c r="X1413" s="69" t="e" cm="1">
        <f t="array" ref="X1413">_xlfn.XLOOKUP(Table1[[#This Row],[5 cm2 cell test code]:[5 cm2 cell test code]],[1]!Table1[[Test code]:[Test code]],[1]!Table1[i @ 1.8 V 10 mM KOH (A/cm2)],"",0)</f>
        <v>#REF!</v>
      </c>
      <c r="Y1413" s="69" t="e" cm="1">
        <f t="array" ref="Y1413">_xlfn.XLOOKUP(Table1[[#This Row],[5 cm2 cell test code]:[5 cm2 cell test code]],[1]!Table1[[Test code]:[Test code]],[1]!Table1[3-E ƞ at 20mAcm-2 (mV)],"",0)</f>
        <v>#REF!</v>
      </c>
      <c r="Z1413" s="69" t="e" cm="1">
        <f t="array" ref="Z1413">_xlfn.XLOOKUP(Table1[[#This Row],[5 cm2 cell test code]:[5 cm2 cell test code]],[1]!Table1[[Test code]:[Test code]],[1]!Table1[3-E Tafel slope (mV/dec)],"",0)</f>
        <v>#REF!</v>
      </c>
      <c r="AA1413" s="69" t="e" cm="1">
        <f t="array" ref="AA1413">_xlfn.XLOOKUP(Table1[[#This Row],[5 cm2 cell test code]:[5 cm2 cell test code]],[1]!Table1[[Test code]:[Test code]],[1]!Table1[E @ 100 mA/cm2 DIW/V],"",0)</f>
        <v>#REF!</v>
      </c>
      <c r="AB1413" s="69" t="e" cm="1">
        <f t="array" ref="AB1413">_xlfn.XLOOKUP(Table1[[#This Row],[5 cm2 cell test code]:[5 cm2 cell test code]],[1]!Table1[[Test code]:[Test code]],[1]!Table1[E @ 100 mA/cm2 10 mM KOH/V],"",0)</f>
        <v>#REF!</v>
      </c>
      <c r="AC1413" s="69" t="e" cm="1">
        <f t="array" ref="AC1413">_xlfn.XLOOKUP(Table1[[#This Row],[5 cm2 cell test code]:[5 cm2 cell test code]],[1]!Table1[[Test code]:[Test code]],[1]!Table1[Anode ICR/mOhm],"",0)</f>
        <v>#REF!</v>
      </c>
      <c r="AD1413" s="69" t="e" cm="1">
        <f t="array" ref="AD1413">_xlfn.XLOOKUP(Table1[[#This Row],[5 cm2 cell test code]:[5 cm2 cell test code]],[1]!Table1[[Test code]:[Test code]],[1]!Table1[HFR DIW/ mOhm cm2],"",0)</f>
        <v>#REF!</v>
      </c>
      <c r="AE1413" s="69" t="e" cm="1">
        <f t="array" ref="AE1413">_xlfn.XLOOKUP(Table1[[#This Row],[5 cm2 cell test code]:[5 cm2 cell test code]],[1]!Table1[[Test code]:[Test code]],[1]!Table1[HFR 10 mM KOH/ mOhm cm2],"",0)</f>
        <v>#REF!</v>
      </c>
      <c r="AF1413" s="69" t="e" cm="1">
        <f t="array" ref="AF1413">_xlfn.XLOOKUP(Table1[[#This Row],[5 cm2 cell test code]:[5 cm2 cell test code]],[1]!Table1[[Test code]:[Test code]],[1]!Table1[Ionic resistance DIW/Ohm cm2],"",0)</f>
        <v>#REF!</v>
      </c>
      <c r="AG1413" s="69" t="e" cm="1">
        <f t="array" ref="AG1413">_xlfn.XLOOKUP(Table1[[#This Row],[5 cm2 cell test code]:[5 cm2 cell test code]],[1]!Table1[[Test code]:[Test code]],[1]!Table1[Q_int_frac DIW],"",0)</f>
        <v>#REF!</v>
      </c>
      <c r="AH1413" s="69" t="e" cm="1">
        <f t="array" ref="AH1413">_xlfn.XLOOKUP(Table1[[#This Row],[5 cm2 cell test code]:[5 cm2 cell test code]],[1]!Table1[[Test code]:[Test code]],[1]!Table1[Ionic resistance 10 mM KOH/Ohm cm2],"",0)</f>
        <v>#REF!</v>
      </c>
      <c r="AI1413" s="69" t="e" cm="1">
        <f t="array" ref="AI1413">_xlfn.XLOOKUP(Table1[[#This Row],[5 cm2 cell test code]:[5 cm2 cell test code]],[1]!Table1[[Test code]:[Test code]],[1]!Table1[Q_int_frac DIW 10 mM KOH],"",0)</f>
        <v>#REF!</v>
      </c>
      <c r="AJ1413" s="69" t="e" cm="1">
        <f t="array" ref="AJ1413">_xlfn.XLOOKUP(Table1[[#This Row],[5 cm2 cell test code]:[5 cm2 cell test code]],[1]!Table1[[Test code]:[Test code]],[1]!Table1[DIW conductivity (µS/cm)],"",0)</f>
        <v>#REF!</v>
      </c>
    </row>
    <row r="1414" spans="1:36">
      <c r="A1414" s="81"/>
      <c r="U1414" s="101"/>
      <c r="V1414" s="101"/>
      <c r="W1414" s="69" t="e" cm="1">
        <f t="array" ref="W1414">_xlfn.XLOOKUP(Table1[[#This Row],[5 cm2 cell test code]:[5 cm2 cell test code]],[1]!Table1[[Test code]:[Test code]],[1]!Table1[i @ 1.8 V DIW (A/cm2)],"",0)</f>
        <v>#REF!</v>
      </c>
      <c r="X1414" s="69" t="e" cm="1">
        <f t="array" ref="X1414">_xlfn.XLOOKUP(Table1[[#This Row],[5 cm2 cell test code]:[5 cm2 cell test code]],[1]!Table1[[Test code]:[Test code]],[1]!Table1[i @ 1.8 V 10 mM KOH (A/cm2)],"",0)</f>
        <v>#REF!</v>
      </c>
      <c r="Y1414" s="69" t="e" cm="1">
        <f t="array" ref="Y1414">_xlfn.XLOOKUP(Table1[[#This Row],[5 cm2 cell test code]:[5 cm2 cell test code]],[1]!Table1[[Test code]:[Test code]],[1]!Table1[3-E ƞ at 20mAcm-2 (mV)],"",0)</f>
        <v>#REF!</v>
      </c>
      <c r="Z1414" s="69" t="e" cm="1">
        <f t="array" ref="Z1414">_xlfn.XLOOKUP(Table1[[#This Row],[5 cm2 cell test code]:[5 cm2 cell test code]],[1]!Table1[[Test code]:[Test code]],[1]!Table1[3-E Tafel slope (mV/dec)],"",0)</f>
        <v>#REF!</v>
      </c>
      <c r="AA1414" s="69" t="e" cm="1">
        <f t="array" ref="AA1414">_xlfn.XLOOKUP(Table1[[#This Row],[5 cm2 cell test code]:[5 cm2 cell test code]],[1]!Table1[[Test code]:[Test code]],[1]!Table1[E @ 100 mA/cm2 DIW/V],"",0)</f>
        <v>#REF!</v>
      </c>
      <c r="AB1414" s="69" t="e" cm="1">
        <f t="array" ref="AB1414">_xlfn.XLOOKUP(Table1[[#This Row],[5 cm2 cell test code]:[5 cm2 cell test code]],[1]!Table1[[Test code]:[Test code]],[1]!Table1[E @ 100 mA/cm2 10 mM KOH/V],"",0)</f>
        <v>#REF!</v>
      </c>
      <c r="AC1414" s="69" t="e" cm="1">
        <f t="array" ref="AC1414">_xlfn.XLOOKUP(Table1[[#This Row],[5 cm2 cell test code]:[5 cm2 cell test code]],[1]!Table1[[Test code]:[Test code]],[1]!Table1[Anode ICR/mOhm],"",0)</f>
        <v>#REF!</v>
      </c>
      <c r="AD1414" s="69" t="e" cm="1">
        <f t="array" ref="AD1414">_xlfn.XLOOKUP(Table1[[#This Row],[5 cm2 cell test code]:[5 cm2 cell test code]],[1]!Table1[[Test code]:[Test code]],[1]!Table1[HFR DIW/ mOhm cm2],"",0)</f>
        <v>#REF!</v>
      </c>
      <c r="AE1414" s="69" t="e" cm="1">
        <f t="array" ref="AE1414">_xlfn.XLOOKUP(Table1[[#This Row],[5 cm2 cell test code]:[5 cm2 cell test code]],[1]!Table1[[Test code]:[Test code]],[1]!Table1[HFR 10 mM KOH/ mOhm cm2],"",0)</f>
        <v>#REF!</v>
      </c>
      <c r="AF1414" s="69" t="e" cm="1">
        <f t="array" ref="AF1414">_xlfn.XLOOKUP(Table1[[#This Row],[5 cm2 cell test code]:[5 cm2 cell test code]],[1]!Table1[[Test code]:[Test code]],[1]!Table1[Ionic resistance DIW/Ohm cm2],"",0)</f>
        <v>#REF!</v>
      </c>
      <c r="AG1414" s="69" t="e" cm="1">
        <f t="array" ref="AG1414">_xlfn.XLOOKUP(Table1[[#This Row],[5 cm2 cell test code]:[5 cm2 cell test code]],[1]!Table1[[Test code]:[Test code]],[1]!Table1[Q_int_frac DIW],"",0)</f>
        <v>#REF!</v>
      </c>
      <c r="AH1414" s="69" t="e" cm="1">
        <f t="array" ref="AH1414">_xlfn.XLOOKUP(Table1[[#This Row],[5 cm2 cell test code]:[5 cm2 cell test code]],[1]!Table1[[Test code]:[Test code]],[1]!Table1[Ionic resistance 10 mM KOH/Ohm cm2],"",0)</f>
        <v>#REF!</v>
      </c>
      <c r="AI1414" s="69" t="e" cm="1">
        <f t="array" ref="AI1414">_xlfn.XLOOKUP(Table1[[#This Row],[5 cm2 cell test code]:[5 cm2 cell test code]],[1]!Table1[[Test code]:[Test code]],[1]!Table1[Q_int_frac DIW 10 mM KOH],"",0)</f>
        <v>#REF!</v>
      </c>
      <c r="AJ1414" s="69" t="e" cm="1">
        <f t="array" ref="AJ1414">_xlfn.XLOOKUP(Table1[[#This Row],[5 cm2 cell test code]:[5 cm2 cell test code]],[1]!Table1[[Test code]:[Test code]],[1]!Table1[DIW conductivity (µS/cm)],"",0)</f>
        <v>#REF!</v>
      </c>
    </row>
    <row r="1415" spans="1:36">
      <c r="A1415" s="81"/>
      <c r="U1415" s="101"/>
      <c r="V1415" s="101"/>
      <c r="W1415" s="69" t="e" cm="1">
        <f t="array" ref="W1415">_xlfn.XLOOKUP(Table1[[#This Row],[5 cm2 cell test code]:[5 cm2 cell test code]],[1]!Table1[[Test code]:[Test code]],[1]!Table1[i @ 1.8 V DIW (A/cm2)],"",0)</f>
        <v>#REF!</v>
      </c>
      <c r="X1415" s="69" t="e" cm="1">
        <f t="array" ref="X1415">_xlfn.XLOOKUP(Table1[[#This Row],[5 cm2 cell test code]:[5 cm2 cell test code]],[1]!Table1[[Test code]:[Test code]],[1]!Table1[i @ 1.8 V 10 mM KOH (A/cm2)],"",0)</f>
        <v>#REF!</v>
      </c>
      <c r="Y1415" s="69" t="e" cm="1">
        <f t="array" ref="Y1415">_xlfn.XLOOKUP(Table1[[#This Row],[5 cm2 cell test code]:[5 cm2 cell test code]],[1]!Table1[[Test code]:[Test code]],[1]!Table1[3-E ƞ at 20mAcm-2 (mV)],"",0)</f>
        <v>#REF!</v>
      </c>
      <c r="Z1415" s="69" t="e" cm="1">
        <f t="array" ref="Z1415">_xlfn.XLOOKUP(Table1[[#This Row],[5 cm2 cell test code]:[5 cm2 cell test code]],[1]!Table1[[Test code]:[Test code]],[1]!Table1[3-E Tafel slope (mV/dec)],"",0)</f>
        <v>#REF!</v>
      </c>
      <c r="AA1415" s="69" t="e" cm="1">
        <f t="array" ref="AA1415">_xlfn.XLOOKUP(Table1[[#This Row],[5 cm2 cell test code]:[5 cm2 cell test code]],[1]!Table1[[Test code]:[Test code]],[1]!Table1[E @ 100 mA/cm2 DIW/V],"",0)</f>
        <v>#REF!</v>
      </c>
      <c r="AB1415" s="69" t="e" cm="1">
        <f t="array" ref="AB1415">_xlfn.XLOOKUP(Table1[[#This Row],[5 cm2 cell test code]:[5 cm2 cell test code]],[1]!Table1[[Test code]:[Test code]],[1]!Table1[E @ 100 mA/cm2 10 mM KOH/V],"",0)</f>
        <v>#REF!</v>
      </c>
      <c r="AC1415" s="69" t="e" cm="1">
        <f t="array" ref="AC1415">_xlfn.XLOOKUP(Table1[[#This Row],[5 cm2 cell test code]:[5 cm2 cell test code]],[1]!Table1[[Test code]:[Test code]],[1]!Table1[Anode ICR/mOhm],"",0)</f>
        <v>#REF!</v>
      </c>
      <c r="AD1415" s="69" t="e" cm="1">
        <f t="array" ref="AD1415">_xlfn.XLOOKUP(Table1[[#This Row],[5 cm2 cell test code]:[5 cm2 cell test code]],[1]!Table1[[Test code]:[Test code]],[1]!Table1[HFR DIW/ mOhm cm2],"",0)</f>
        <v>#REF!</v>
      </c>
      <c r="AE1415" s="69" t="e" cm="1">
        <f t="array" ref="AE1415">_xlfn.XLOOKUP(Table1[[#This Row],[5 cm2 cell test code]:[5 cm2 cell test code]],[1]!Table1[[Test code]:[Test code]],[1]!Table1[HFR 10 mM KOH/ mOhm cm2],"",0)</f>
        <v>#REF!</v>
      </c>
      <c r="AF1415" s="69" t="e" cm="1">
        <f t="array" ref="AF1415">_xlfn.XLOOKUP(Table1[[#This Row],[5 cm2 cell test code]:[5 cm2 cell test code]],[1]!Table1[[Test code]:[Test code]],[1]!Table1[Ionic resistance DIW/Ohm cm2],"",0)</f>
        <v>#REF!</v>
      </c>
      <c r="AG1415" s="69" t="e" cm="1">
        <f t="array" ref="AG1415">_xlfn.XLOOKUP(Table1[[#This Row],[5 cm2 cell test code]:[5 cm2 cell test code]],[1]!Table1[[Test code]:[Test code]],[1]!Table1[Q_int_frac DIW],"",0)</f>
        <v>#REF!</v>
      </c>
      <c r="AH1415" s="69" t="e" cm="1">
        <f t="array" ref="AH1415">_xlfn.XLOOKUP(Table1[[#This Row],[5 cm2 cell test code]:[5 cm2 cell test code]],[1]!Table1[[Test code]:[Test code]],[1]!Table1[Ionic resistance 10 mM KOH/Ohm cm2],"",0)</f>
        <v>#REF!</v>
      </c>
      <c r="AI1415" s="69" t="e" cm="1">
        <f t="array" ref="AI1415">_xlfn.XLOOKUP(Table1[[#This Row],[5 cm2 cell test code]:[5 cm2 cell test code]],[1]!Table1[[Test code]:[Test code]],[1]!Table1[Q_int_frac DIW 10 mM KOH],"",0)</f>
        <v>#REF!</v>
      </c>
      <c r="AJ1415" s="69" t="e" cm="1">
        <f t="array" ref="AJ1415">_xlfn.XLOOKUP(Table1[[#This Row],[5 cm2 cell test code]:[5 cm2 cell test code]],[1]!Table1[[Test code]:[Test code]],[1]!Table1[DIW conductivity (µS/cm)],"",0)</f>
        <v>#REF!</v>
      </c>
    </row>
    <row r="1416" spans="1:36">
      <c r="A1416" s="81"/>
      <c r="U1416" s="101"/>
      <c r="V1416" s="101"/>
      <c r="W1416" s="69" t="e" cm="1">
        <f t="array" ref="W1416">_xlfn.XLOOKUP(Table1[[#This Row],[5 cm2 cell test code]:[5 cm2 cell test code]],[1]!Table1[[Test code]:[Test code]],[1]!Table1[i @ 1.8 V DIW (A/cm2)],"",0)</f>
        <v>#REF!</v>
      </c>
      <c r="X1416" s="69" t="e" cm="1">
        <f t="array" ref="X1416">_xlfn.XLOOKUP(Table1[[#This Row],[5 cm2 cell test code]:[5 cm2 cell test code]],[1]!Table1[[Test code]:[Test code]],[1]!Table1[i @ 1.8 V 10 mM KOH (A/cm2)],"",0)</f>
        <v>#REF!</v>
      </c>
      <c r="Y1416" s="69" t="e" cm="1">
        <f t="array" ref="Y1416">_xlfn.XLOOKUP(Table1[[#This Row],[5 cm2 cell test code]:[5 cm2 cell test code]],[1]!Table1[[Test code]:[Test code]],[1]!Table1[3-E ƞ at 20mAcm-2 (mV)],"",0)</f>
        <v>#REF!</v>
      </c>
      <c r="Z1416" s="69" t="e" cm="1">
        <f t="array" ref="Z1416">_xlfn.XLOOKUP(Table1[[#This Row],[5 cm2 cell test code]:[5 cm2 cell test code]],[1]!Table1[[Test code]:[Test code]],[1]!Table1[3-E Tafel slope (mV/dec)],"",0)</f>
        <v>#REF!</v>
      </c>
      <c r="AA1416" s="69" t="e" cm="1">
        <f t="array" ref="AA1416">_xlfn.XLOOKUP(Table1[[#This Row],[5 cm2 cell test code]:[5 cm2 cell test code]],[1]!Table1[[Test code]:[Test code]],[1]!Table1[E @ 100 mA/cm2 DIW/V],"",0)</f>
        <v>#REF!</v>
      </c>
      <c r="AB1416" s="69" t="e" cm="1">
        <f t="array" ref="AB1416">_xlfn.XLOOKUP(Table1[[#This Row],[5 cm2 cell test code]:[5 cm2 cell test code]],[1]!Table1[[Test code]:[Test code]],[1]!Table1[E @ 100 mA/cm2 10 mM KOH/V],"",0)</f>
        <v>#REF!</v>
      </c>
      <c r="AC1416" s="69" t="e" cm="1">
        <f t="array" ref="AC1416">_xlfn.XLOOKUP(Table1[[#This Row],[5 cm2 cell test code]:[5 cm2 cell test code]],[1]!Table1[[Test code]:[Test code]],[1]!Table1[Anode ICR/mOhm],"",0)</f>
        <v>#REF!</v>
      </c>
      <c r="AD1416" s="69" t="e" cm="1">
        <f t="array" ref="AD1416">_xlfn.XLOOKUP(Table1[[#This Row],[5 cm2 cell test code]:[5 cm2 cell test code]],[1]!Table1[[Test code]:[Test code]],[1]!Table1[HFR DIW/ mOhm cm2],"",0)</f>
        <v>#REF!</v>
      </c>
      <c r="AE1416" s="69" t="e" cm="1">
        <f t="array" ref="AE1416">_xlfn.XLOOKUP(Table1[[#This Row],[5 cm2 cell test code]:[5 cm2 cell test code]],[1]!Table1[[Test code]:[Test code]],[1]!Table1[HFR 10 mM KOH/ mOhm cm2],"",0)</f>
        <v>#REF!</v>
      </c>
      <c r="AF1416" s="69" t="e" cm="1">
        <f t="array" ref="AF1416">_xlfn.XLOOKUP(Table1[[#This Row],[5 cm2 cell test code]:[5 cm2 cell test code]],[1]!Table1[[Test code]:[Test code]],[1]!Table1[Ionic resistance DIW/Ohm cm2],"",0)</f>
        <v>#REF!</v>
      </c>
      <c r="AG1416" s="69" t="e" cm="1">
        <f t="array" ref="AG1416">_xlfn.XLOOKUP(Table1[[#This Row],[5 cm2 cell test code]:[5 cm2 cell test code]],[1]!Table1[[Test code]:[Test code]],[1]!Table1[Q_int_frac DIW],"",0)</f>
        <v>#REF!</v>
      </c>
      <c r="AH1416" s="69" t="e" cm="1">
        <f t="array" ref="AH1416">_xlfn.XLOOKUP(Table1[[#This Row],[5 cm2 cell test code]:[5 cm2 cell test code]],[1]!Table1[[Test code]:[Test code]],[1]!Table1[Ionic resistance 10 mM KOH/Ohm cm2],"",0)</f>
        <v>#REF!</v>
      </c>
      <c r="AI1416" s="69" t="e" cm="1">
        <f t="array" ref="AI1416">_xlfn.XLOOKUP(Table1[[#This Row],[5 cm2 cell test code]:[5 cm2 cell test code]],[1]!Table1[[Test code]:[Test code]],[1]!Table1[Q_int_frac DIW 10 mM KOH],"",0)</f>
        <v>#REF!</v>
      </c>
      <c r="AJ1416" s="69" t="e" cm="1">
        <f t="array" ref="AJ1416">_xlfn.XLOOKUP(Table1[[#This Row],[5 cm2 cell test code]:[5 cm2 cell test code]],[1]!Table1[[Test code]:[Test code]],[1]!Table1[DIW conductivity (µS/cm)],"",0)</f>
        <v>#REF!</v>
      </c>
    </row>
    <row r="1417" spans="1:36">
      <c r="A1417" s="81"/>
      <c r="U1417" s="101"/>
      <c r="V1417" s="101"/>
      <c r="W1417" s="69" t="e" cm="1">
        <f t="array" ref="W1417">_xlfn.XLOOKUP(Table1[[#This Row],[5 cm2 cell test code]:[5 cm2 cell test code]],[1]!Table1[[Test code]:[Test code]],[1]!Table1[i @ 1.8 V DIW (A/cm2)],"",0)</f>
        <v>#REF!</v>
      </c>
      <c r="X1417" s="69" t="e" cm="1">
        <f t="array" ref="X1417">_xlfn.XLOOKUP(Table1[[#This Row],[5 cm2 cell test code]:[5 cm2 cell test code]],[1]!Table1[[Test code]:[Test code]],[1]!Table1[i @ 1.8 V 10 mM KOH (A/cm2)],"",0)</f>
        <v>#REF!</v>
      </c>
      <c r="Y1417" s="69" t="e" cm="1">
        <f t="array" ref="Y1417">_xlfn.XLOOKUP(Table1[[#This Row],[5 cm2 cell test code]:[5 cm2 cell test code]],[1]!Table1[[Test code]:[Test code]],[1]!Table1[3-E ƞ at 20mAcm-2 (mV)],"",0)</f>
        <v>#REF!</v>
      </c>
      <c r="Z1417" s="69" t="e" cm="1">
        <f t="array" ref="Z1417">_xlfn.XLOOKUP(Table1[[#This Row],[5 cm2 cell test code]:[5 cm2 cell test code]],[1]!Table1[[Test code]:[Test code]],[1]!Table1[3-E Tafel slope (mV/dec)],"",0)</f>
        <v>#REF!</v>
      </c>
      <c r="AA1417" s="69" t="e" cm="1">
        <f t="array" ref="AA1417">_xlfn.XLOOKUP(Table1[[#This Row],[5 cm2 cell test code]:[5 cm2 cell test code]],[1]!Table1[[Test code]:[Test code]],[1]!Table1[E @ 100 mA/cm2 DIW/V],"",0)</f>
        <v>#REF!</v>
      </c>
      <c r="AB1417" s="69" t="e" cm="1">
        <f t="array" ref="AB1417">_xlfn.XLOOKUP(Table1[[#This Row],[5 cm2 cell test code]:[5 cm2 cell test code]],[1]!Table1[[Test code]:[Test code]],[1]!Table1[E @ 100 mA/cm2 10 mM KOH/V],"",0)</f>
        <v>#REF!</v>
      </c>
      <c r="AC1417" s="69" t="e" cm="1">
        <f t="array" ref="AC1417">_xlfn.XLOOKUP(Table1[[#This Row],[5 cm2 cell test code]:[5 cm2 cell test code]],[1]!Table1[[Test code]:[Test code]],[1]!Table1[Anode ICR/mOhm],"",0)</f>
        <v>#REF!</v>
      </c>
      <c r="AD1417" s="69" t="e" cm="1">
        <f t="array" ref="AD1417">_xlfn.XLOOKUP(Table1[[#This Row],[5 cm2 cell test code]:[5 cm2 cell test code]],[1]!Table1[[Test code]:[Test code]],[1]!Table1[HFR DIW/ mOhm cm2],"",0)</f>
        <v>#REF!</v>
      </c>
      <c r="AE1417" s="69" t="e" cm="1">
        <f t="array" ref="AE1417">_xlfn.XLOOKUP(Table1[[#This Row],[5 cm2 cell test code]:[5 cm2 cell test code]],[1]!Table1[[Test code]:[Test code]],[1]!Table1[HFR 10 mM KOH/ mOhm cm2],"",0)</f>
        <v>#REF!</v>
      </c>
      <c r="AF1417" s="69" t="e" cm="1">
        <f t="array" ref="AF1417">_xlfn.XLOOKUP(Table1[[#This Row],[5 cm2 cell test code]:[5 cm2 cell test code]],[1]!Table1[[Test code]:[Test code]],[1]!Table1[Ionic resistance DIW/Ohm cm2],"",0)</f>
        <v>#REF!</v>
      </c>
      <c r="AG1417" s="69" t="e" cm="1">
        <f t="array" ref="AG1417">_xlfn.XLOOKUP(Table1[[#This Row],[5 cm2 cell test code]:[5 cm2 cell test code]],[1]!Table1[[Test code]:[Test code]],[1]!Table1[Q_int_frac DIW],"",0)</f>
        <v>#REF!</v>
      </c>
      <c r="AH1417" s="69" t="e" cm="1">
        <f t="array" ref="AH1417">_xlfn.XLOOKUP(Table1[[#This Row],[5 cm2 cell test code]:[5 cm2 cell test code]],[1]!Table1[[Test code]:[Test code]],[1]!Table1[Ionic resistance 10 mM KOH/Ohm cm2],"",0)</f>
        <v>#REF!</v>
      </c>
      <c r="AI1417" s="69" t="e" cm="1">
        <f t="array" ref="AI1417">_xlfn.XLOOKUP(Table1[[#This Row],[5 cm2 cell test code]:[5 cm2 cell test code]],[1]!Table1[[Test code]:[Test code]],[1]!Table1[Q_int_frac DIW 10 mM KOH],"",0)</f>
        <v>#REF!</v>
      </c>
      <c r="AJ1417" s="69" t="e" cm="1">
        <f t="array" ref="AJ1417">_xlfn.XLOOKUP(Table1[[#This Row],[5 cm2 cell test code]:[5 cm2 cell test code]],[1]!Table1[[Test code]:[Test code]],[1]!Table1[DIW conductivity (µS/cm)],"",0)</f>
        <v>#REF!</v>
      </c>
    </row>
    <row r="1418" spans="1:36">
      <c r="A1418" s="81"/>
      <c r="U1418" s="101"/>
      <c r="V1418" s="101"/>
      <c r="W1418" s="69" t="e" cm="1">
        <f t="array" ref="W1418">_xlfn.XLOOKUP(Table1[[#This Row],[5 cm2 cell test code]:[5 cm2 cell test code]],[1]!Table1[[Test code]:[Test code]],[1]!Table1[i @ 1.8 V DIW (A/cm2)],"",0)</f>
        <v>#REF!</v>
      </c>
      <c r="X1418" s="69" t="e" cm="1">
        <f t="array" ref="X1418">_xlfn.XLOOKUP(Table1[[#This Row],[5 cm2 cell test code]:[5 cm2 cell test code]],[1]!Table1[[Test code]:[Test code]],[1]!Table1[i @ 1.8 V 10 mM KOH (A/cm2)],"",0)</f>
        <v>#REF!</v>
      </c>
      <c r="Y1418" s="69" t="e" cm="1">
        <f t="array" ref="Y1418">_xlfn.XLOOKUP(Table1[[#This Row],[5 cm2 cell test code]:[5 cm2 cell test code]],[1]!Table1[[Test code]:[Test code]],[1]!Table1[3-E ƞ at 20mAcm-2 (mV)],"",0)</f>
        <v>#REF!</v>
      </c>
      <c r="Z1418" s="69" t="e" cm="1">
        <f t="array" ref="Z1418">_xlfn.XLOOKUP(Table1[[#This Row],[5 cm2 cell test code]:[5 cm2 cell test code]],[1]!Table1[[Test code]:[Test code]],[1]!Table1[3-E Tafel slope (mV/dec)],"",0)</f>
        <v>#REF!</v>
      </c>
      <c r="AA1418" s="69" t="e" cm="1">
        <f t="array" ref="AA1418">_xlfn.XLOOKUP(Table1[[#This Row],[5 cm2 cell test code]:[5 cm2 cell test code]],[1]!Table1[[Test code]:[Test code]],[1]!Table1[E @ 100 mA/cm2 DIW/V],"",0)</f>
        <v>#REF!</v>
      </c>
      <c r="AB1418" s="69" t="e" cm="1">
        <f t="array" ref="AB1418">_xlfn.XLOOKUP(Table1[[#This Row],[5 cm2 cell test code]:[5 cm2 cell test code]],[1]!Table1[[Test code]:[Test code]],[1]!Table1[E @ 100 mA/cm2 10 mM KOH/V],"",0)</f>
        <v>#REF!</v>
      </c>
      <c r="AC1418" s="69" t="e" cm="1">
        <f t="array" ref="AC1418">_xlfn.XLOOKUP(Table1[[#This Row],[5 cm2 cell test code]:[5 cm2 cell test code]],[1]!Table1[[Test code]:[Test code]],[1]!Table1[Anode ICR/mOhm],"",0)</f>
        <v>#REF!</v>
      </c>
      <c r="AD1418" s="69" t="e" cm="1">
        <f t="array" ref="AD1418">_xlfn.XLOOKUP(Table1[[#This Row],[5 cm2 cell test code]:[5 cm2 cell test code]],[1]!Table1[[Test code]:[Test code]],[1]!Table1[HFR DIW/ mOhm cm2],"",0)</f>
        <v>#REF!</v>
      </c>
      <c r="AE1418" s="69" t="e" cm="1">
        <f t="array" ref="AE1418">_xlfn.XLOOKUP(Table1[[#This Row],[5 cm2 cell test code]:[5 cm2 cell test code]],[1]!Table1[[Test code]:[Test code]],[1]!Table1[HFR 10 mM KOH/ mOhm cm2],"",0)</f>
        <v>#REF!</v>
      </c>
      <c r="AF1418" s="69" t="e" cm="1">
        <f t="array" ref="AF1418">_xlfn.XLOOKUP(Table1[[#This Row],[5 cm2 cell test code]:[5 cm2 cell test code]],[1]!Table1[[Test code]:[Test code]],[1]!Table1[Ionic resistance DIW/Ohm cm2],"",0)</f>
        <v>#REF!</v>
      </c>
      <c r="AG1418" s="69" t="e" cm="1">
        <f t="array" ref="AG1418">_xlfn.XLOOKUP(Table1[[#This Row],[5 cm2 cell test code]:[5 cm2 cell test code]],[1]!Table1[[Test code]:[Test code]],[1]!Table1[Q_int_frac DIW],"",0)</f>
        <v>#REF!</v>
      </c>
      <c r="AH1418" s="69" t="e" cm="1">
        <f t="array" ref="AH1418">_xlfn.XLOOKUP(Table1[[#This Row],[5 cm2 cell test code]:[5 cm2 cell test code]],[1]!Table1[[Test code]:[Test code]],[1]!Table1[Ionic resistance 10 mM KOH/Ohm cm2],"",0)</f>
        <v>#REF!</v>
      </c>
      <c r="AI1418" s="69" t="e" cm="1">
        <f t="array" ref="AI1418">_xlfn.XLOOKUP(Table1[[#This Row],[5 cm2 cell test code]:[5 cm2 cell test code]],[1]!Table1[[Test code]:[Test code]],[1]!Table1[Q_int_frac DIW 10 mM KOH],"",0)</f>
        <v>#REF!</v>
      </c>
      <c r="AJ1418" s="69" t="e" cm="1">
        <f t="array" ref="AJ1418">_xlfn.XLOOKUP(Table1[[#This Row],[5 cm2 cell test code]:[5 cm2 cell test code]],[1]!Table1[[Test code]:[Test code]],[1]!Table1[DIW conductivity (µS/cm)],"",0)</f>
        <v>#REF!</v>
      </c>
    </row>
    <row r="1419" spans="1:36">
      <c r="A1419" s="81"/>
      <c r="U1419" s="101"/>
      <c r="V1419" s="101"/>
      <c r="W1419" s="69" t="e" cm="1">
        <f t="array" ref="W1419">_xlfn.XLOOKUP(Table1[[#This Row],[5 cm2 cell test code]:[5 cm2 cell test code]],[1]!Table1[[Test code]:[Test code]],[1]!Table1[i @ 1.8 V DIW (A/cm2)],"",0)</f>
        <v>#REF!</v>
      </c>
      <c r="X1419" s="69" t="e" cm="1">
        <f t="array" ref="X1419">_xlfn.XLOOKUP(Table1[[#This Row],[5 cm2 cell test code]:[5 cm2 cell test code]],[1]!Table1[[Test code]:[Test code]],[1]!Table1[i @ 1.8 V 10 mM KOH (A/cm2)],"",0)</f>
        <v>#REF!</v>
      </c>
      <c r="Y1419" s="69" t="e" cm="1">
        <f t="array" ref="Y1419">_xlfn.XLOOKUP(Table1[[#This Row],[5 cm2 cell test code]:[5 cm2 cell test code]],[1]!Table1[[Test code]:[Test code]],[1]!Table1[3-E ƞ at 20mAcm-2 (mV)],"",0)</f>
        <v>#REF!</v>
      </c>
      <c r="Z1419" s="69" t="e" cm="1">
        <f t="array" ref="Z1419">_xlfn.XLOOKUP(Table1[[#This Row],[5 cm2 cell test code]:[5 cm2 cell test code]],[1]!Table1[[Test code]:[Test code]],[1]!Table1[3-E Tafel slope (mV/dec)],"",0)</f>
        <v>#REF!</v>
      </c>
      <c r="AA1419" s="69" t="e" cm="1">
        <f t="array" ref="AA1419">_xlfn.XLOOKUP(Table1[[#This Row],[5 cm2 cell test code]:[5 cm2 cell test code]],[1]!Table1[[Test code]:[Test code]],[1]!Table1[E @ 100 mA/cm2 DIW/V],"",0)</f>
        <v>#REF!</v>
      </c>
      <c r="AB1419" s="69" t="e" cm="1">
        <f t="array" ref="AB1419">_xlfn.XLOOKUP(Table1[[#This Row],[5 cm2 cell test code]:[5 cm2 cell test code]],[1]!Table1[[Test code]:[Test code]],[1]!Table1[E @ 100 mA/cm2 10 mM KOH/V],"",0)</f>
        <v>#REF!</v>
      </c>
      <c r="AC1419" s="69" t="e" cm="1">
        <f t="array" ref="AC1419">_xlfn.XLOOKUP(Table1[[#This Row],[5 cm2 cell test code]:[5 cm2 cell test code]],[1]!Table1[[Test code]:[Test code]],[1]!Table1[Anode ICR/mOhm],"",0)</f>
        <v>#REF!</v>
      </c>
      <c r="AD1419" s="69" t="e" cm="1">
        <f t="array" ref="AD1419">_xlfn.XLOOKUP(Table1[[#This Row],[5 cm2 cell test code]:[5 cm2 cell test code]],[1]!Table1[[Test code]:[Test code]],[1]!Table1[HFR DIW/ mOhm cm2],"",0)</f>
        <v>#REF!</v>
      </c>
      <c r="AE1419" s="69" t="e" cm="1">
        <f t="array" ref="AE1419">_xlfn.XLOOKUP(Table1[[#This Row],[5 cm2 cell test code]:[5 cm2 cell test code]],[1]!Table1[[Test code]:[Test code]],[1]!Table1[HFR 10 mM KOH/ mOhm cm2],"",0)</f>
        <v>#REF!</v>
      </c>
      <c r="AF1419" s="69" t="e" cm="1">
        <f t="array" ref="AF1419">_xlfn.XLOOKUP(Table1[[#This Row],[5 cm2 cell test code]:[5 cm2 cell test code]],[1]!Table1[[Test code]:[Test code]],[1]!Table1[Ionic resistance DIW/Ohm cm2],"",0)</f>
        <v>#REF!</v>
      </c>
      <c r="AG1419" s="69" t="e" cm="1">
        <f t="array" ref="AG1419">_xlfn.XLOOKUP(Table1[[#This Row],[5 cm2 cell test code]:[5 cm2 cell test code]],[1]!Table1[[Test code]:[Test code]],[1]!Table1[Q_int_frac DIW],"",0)</f>
        <v>#REF!</v>
      </c>
      <c r="AH1419" s="69" t="e" cm="1">
        <f t="array" ref="AH1419">_xlfn.XLOOKUP(Table1[[#This Row],[5 cm2 cell test code]:[5 cm2 cell test code]],[1]!Table1[[Test code]:[Test code]],[1]!Table1[Ionic resistance 10 mM KOH/Ohm cm2],"",0)</f>
        <v>#REF!</v>
      </c>
      <c r="AI1419" s="69" t="e" cm="1">
        <f t="array" ref="AI1419">_xlfn.XLOOKUP(Table1[[#This Row],[5 cm2 cell test code]:[5 cm2 cell test code]],[1]!Table1[[Test code]:[Test code]],[1]!Table1[Q_int_frac DIW 10 mM KOH],"",0)</f>
        <v>#REF!</v>
      </c>
      <c r="AJ1419" s="69" t="e" cm="1">
        <f t="array" ref="AJ1419">_xlfn.XLOOKUP(Table1[[#This Row],[5 cm2 cell test code]:[5 cm2 cell test code]],[1]!Table1[[Test code]:[Test code]],[1]!Table1[DIW conductivity (µS/cm)],"",0)</f>
        <v>#REF!</v>
      </c>
    </row>
    <row r="1420" spans="1:36">
      <c r="A1420" s="81"/>
      <c r="U1420" s="101"/>
      <c r="V1420" s="101"/>
      <c r="W1420" s="69" t="e" cm="1">
        <f t="array" ref="W1420">_xlfn.XLOOKUP(Table1[[#This Row],[5 cm2 cell test code]:[5 cm2 cell test code]],[1]!Table1[[Test code]:[Test code]],[1]!Table1[i @ 1.8 V DIW (A/cm2)],"",0)</f>
        <v>#REF!</v>
      </c>
      <c r="X1420" s="69" t="e" cm="1">
        <f t="array" ref="X1420">_xlfn.XLOOKUP(Table1[[#This Row],[5 cm2 cell test code]:[5 cm2 cell test code]],[1]!Table1[[Test code]:[Test code]],[1]!Table1[i @ 1.8 V 10 mM KOH (A/cm2)],"",0)</f>
        <v>#REF!</v>
      </c>
      <c r="Y1420" s="69" t="e" cm="1">
        <f t="array" ref="Y1420">_xlfn.XLOOKUP(Table1[[#This Row],[5 cm2 cell test code]:[5 cm2 cell test code]],[1]!Table1[[Test code]:[Test code]],[1]!Table1[3-E ƞ at 20mAcm-2 (mV)],"",0)</f>
        <v>#REF!</v>
      </c>
      <c r="Z1420" s="69" t="e" cm="1">
        <f t="array" ref="Z1420">_xlfn.XLOOKUP(Table1[[#This Row],[5 cm2 cell test code]:[5 cm2 cell test code]],[1]!Table1[[Test code]:[Test code]],[1]!Table1[3-E Tafel slope (mV/dec)],"",0)</f>
        <v>#REF!</v>
      </c>
      <c r="AA1420" s="69" t="e" cm="1">
        <f t="array" ref="AA1420">_xlfn.XLOOKUP(Table1[[#This Row],[5 cm2 cell test code]:[5 cm2 cell test code]],[1]!Table1[[Test code]:[Test code]],[1]!Table1[E @ 100 mA/cm2 DIW/V],"",0)</f>
        <v>#REF!</v>
      </c>
      <c r="AB1420" s="69" t="e" cm="1">
        <f t="array" ref="AB1420">_xlfn.XLOOKUP(Table1[[#This Row],[5 cm2 cell test code]:[5 cm2 cell test code]],[1]!Table1[[Test code]:[Test code]],[1]!Table1[E @ 100 mA/cm2 10 mM KOH/V],"",0)</f>
        <v>#REF!</v>
      </c>
      <c r="AC1420" s="69" t="e" cm="1">
        <f t="array" ref="AC1420">_xlfn.XLOOKUP(Table1[[#This Row],[5 cm2 cell test code]:[5 cm2 cell test code]],[1]!Table1[[Test code]:[Test code]],[1]!Table1[Anode ICR/mOhm],"",0)</f>
        <v>#REF!</v>
      </c>
      <c r="AD1420" s="69" t="e" cm="1">
        <f t="array" ref="AD1420">_xlfn.XLOOKUP(Table1[[#This Row],[5 cm2 cell test code]:[5 cm2 cell test code]],[1]!Table1[[Test code]:[Test code]],[1]!Table1[HFR DIW/ mOhm cm2],"",0)</f>
        <v>#REF!</v>
      </c>
      <c r="AE1420" s="69" t="e" cm="1">
        <f t="array" ref="AE1420">_xlfn.XLOOKUP(Table1[[#This Row],[5 cm2 cell test code]:[5 cm2 cell test code]],[1]!Table1[[Test code]:[Test code]],[1]!Table1[HFR 10 mM KOH/ mOhm cm2],"",0)</f>
        <v>#REF!</v>
      </c>
      <c r="AF1420" s="69" t="e" cm="1">
        <f t="array" ref="AF1420">_xlfn.XLOOKUP(Table1[[#This Row],[5 cm2 cell test code]:[5 cm2 cell test code]],[1]!Table1[[Test code]:[Test code]],[1]!Table1[Ionic resistance DIW/Ohm cm2],"",0)</f>
        <v>#REF!</v>
      </c>
      <c r="AG1420" s="69" t="e" cm="1">
        <f t="array" ref="AG1420">_xlfn.XLOOKUP(Table1[[#This Row],[5 cm2 cell test code]:[5 cm2 cell test code]],[1]!Table1[[Test code]:[Test code]],[1]!Table1[Q_int_frac DIW],"",0)</f>
        <v>#REF!</v>
      </c>
      <c r="AH1420" s="69" t="e" cm="1">
        <f t="array" ref="AH1420">_xlfn.XLOOKUP(Table1[[#This Row],[5 cm2 cell test code]:[5 cm2 cell test code]],[1]!Table1[[Test code]:[Test code]],[1]!Table1[Ionic resistance 10 mM KOH/Ohm cm2],"",0)</f>
        <v>#REF!</v>
      </c>
      <c r="AI1420" s="69" t="e" cm="1">
        <f t="array" ref="AI1420">_xlfn.XLOOKUP(Table1[[#This Row],[5 cm2 cell test code]:[5 cm2 cell test code]],[1]!Table1[[Test code]:[Test code]],[1]!Table1[Q_int_frac DIW 10 mM KOH],"",0)</f>
        <v>#REF!</v>
      </c>
      <c r="AJ1420" s="69" t="e" cm="1">
        <f t="array" ref="AJ1420">_xlfn.XLOOKUP(Table1[[#This Row],[5 cm2 cell test code]:[5 cm2 cell test code]],[1]!Table1[[Test code]:[Test code]],[1]!Table1[DIW conductivity (µS/cm)],"",0)</f>
        <v>#REF!</v>
      </c>
    </row>
    <row r="1421" spans="1:36">
      <c r="A1421" s="81"/>
      <c r="U1421" s="101"/>
      <c r="V1421" s="101"/>
      <c r="W1421" s="69" t="e" cm="1">
        <f t="array" ref="W1421">_xlfn.XLOOKUP(Table1[[#This Row],[5 cm2 cell test code]:[5 cm2 cell test code]],[1]!Table1[[Test code]:[Test code]],[1]!Table1[i @ 1.8 V DIW (A/cm2)],"",0)</f>
        <v>#REF!</v>
      </c>
      <c r="X1421" s="69" t="e" cm="1">
        <f t="array" ref="X1421">_xlfn.XLOOKUP(Table1[[#This Row],[5 cm2 cell test code]:[5 cm2 cell test code]],[1]!Table1[[Test code]:[Test code]],[1]!Table1[i @ 1.8 V 10 mM KOH (A/cm2)],"",0)</f>
        <v>#REF!</v>
      </c>
      <c r="Y1421" s="69" t="e" cm="1">
        <f t="array" ref="Y1421">_xlfn.XLOOKUP(Table1[[#This Row],[5 cm2 cell test code]:[5 cm2 cell test code]],[1]!Table1[[Test code]:[Test code]],[1]!Table1[3-E ƞ at 20mAcm-2 (mV)],"",0)</f>
        <v>#REF!</v>
      </c>
      <c r="Z1421" s="69" t="e" cm="1">
        <f t="array" ref="Z1421">_xlfn.XLOOKUP(Table1[[#This Row],[5 cm2 cell test code]:[5 cm2 cell test code]],[1]!Table1[[Test code]:[Test code]],[1]!Table1[3-E Tafel slope (mV/dec)],"",0)</f>
        <v>#REF!</v>
      </c>
      <c r="AA1421" s="69" t="e" cm="1">
        <f t="array" ref="AA1421">_xlfn.XLOOKUP(Table1[[#This Row],[5 cm2 cell test code]:[5 cm2 cell test code]],[1]!Table1[[Test code]:[Test code]],[1]!Table1[E @ 100 mA/cm2 DIW/V],"",0)</f>
        <v>#REF!</v>
      </c>
      <c r="AB1421" s="69" t="e" cm="1">
        <f t="array" ref="AB1421">_xlfn.XLOOKUP(Table1[[#This Row],[5 cm2 cell test code]:[5 cm2 cell test code]],[1]!Table1[[Test code]:[Test code]],[1]!Table1[E @ 100 mA/cm2 10 mM KOH/V],"",0)</f>
        <v>#REF!</v>
      </c>
      <c r="AC1421" s="69" t="e" cm="1">
        <f t="array" ref="AC1421">_xlfn.XLOOKUP(Table1[[#This Row],[5 cm2 cell test code]:[5 cm2 cell test code]],[1]!Table1[[Test code]:[Test code]],[1]!Table1[Anode ICR/mOhm],"",0)</f>
        <v>#REF!</v>
      </c>
      <c r="AD1421" s="69" t="e" cm="1">
        <f t="array" ref="AD1421">_xlfn.XLOOKUP(Table1[[#This Row],[5 cm2 cell test code]:[5 cm2 cell test code]],[1]!Table1[[Test code]:[Test code]],[1]!Table1[HFR DIW/ mOhm cm2],"",0)</f>
        <v>#REF!</v>
      </c>
      <c r="AE1421" s="69" t="e" cm="1">
        <f t="array" ref="AE1421">_xlfn.XLOOKUP(Table1[[#This Row],[5 cm2 cell test code]:[5 cm2 cell test code]],[1]!Table1[[Test code]:[Test code]],[1]!Table1[HFR 10 mM KOH/ mOhm cm2],"",0)</f>
        <v>#REF!</v>
      </c>
      <c r="AF1421" s="69" t="e" cm="1">
        <f t="array" ref="AF1421">_xlfn.XLOOKUP(Table1[[#This Row],[5 cm2 cell test code]:[5 cm2 cell test code]],[1]!Table1[[Test code]:[Test code]],[1]!Table1[Ionic resistance DIW/Ohm cm2],"",0)</f>
        <v>#REF!</v>
      </c>
      <c r="AG1421" s="69" t="e" cm="1">
        <f t="array" ref="AG1421">_xlfn.XLOOKUP(Table1[[#This Row],[5 cm2 cell test code]:[5 cm2 cell test code]],[1]!Table1[[Test code]:[Test code]],[1]!Table1[Q_int_frac DIW],"",0)</f>
        <v>#REF!</v>
      </c>
      <c r="AH1421" s="69" t="e" cm="1">
        <f t="array" ref="AH1421">_xlfn.XLOOKUP(Table1[[#This Row],[5 cm2 cell test code]:[5 cm2 cell test code]],[1]!Table1[[Test code]:[Test code]],[1]!Table1[Ionic resistance 10 mM KOH/Ohm cm2],"",0)</f>
        <v>#REF!</v>
      </c>
      <c r="AI1421" s="69" t="e" cm="1">
        <f t="array" ref="AI1421">_xlfn.XLOOKUP(Table1[[#This Row],[5 cm2 cell test code]:[5 cm2 cell test code]],[1]!Table1[[Test code]:[Test code]],[1]!Table1[Q_int_frac DIW 10 mM KOH],"",0)</f>
        <v>#REF!</v>
      </c>
      <c r="AJ1421" s="69" t="e" cm="1">
        <f t="array" ref="AJ1421">_xlfn.XLOOKUP(Table1[[#This Row],[5 cm2 cell test code]:[5 cm2 cell test code]],[1]!Table1[[Test code]:[Test code]],[1]!Table1[DIW conductivity (µS/cm)],"",0)</f>
        <v>#REF!</v>
      </c>
    </row>
    <row r="1422" spans="1:36">
      <c r="A1422" s="81"/>
      <c r="U1422" s="101"/>
      <c r="V1422" s="101"/>
      <c r="W1422" s="69" t="e" cm="1">
        <f t="array" ref="W1422">_xlfn.XLOOKUP(Table1[[#This Row],[5 cm2 cell test code]:[5 cm2 cell test code]],[1]!Table1[[Test code]:[Test code]],[1]!Table1[i @ 1.8 V DIW (A/cm2)],"",0)</f>
        <v>#REF!</v>
      </c>
      <c r="X1422" s="69" t="e" cm="1">
        <f t="array" ref="X1422">_xlfn.XLOOKUP(Table1[[#This Row],[5 cm2 cell test code]:[5 cm2 cell test code]],[1]!Table1[[Test code]:[Test code]],[1]!Table1[i @ 1.8 V 10 mM KOH (A/cm2)],"",0)</f>
        <v>#REF!</v>
      </c>
      <c r="Y1422" s="69" t="e" cm="1">
        <f t="array" ref="Y1422">_xlfn.XLOOKUP(Table1[[#This Row],[5 cm2 cell test code]:[5 cm2 cell test code]],[1]!Table1[[Test code]:[Test code]],[1]!Table1[3-E ƞ at 20mAcm-2 (mV)],"",0)</f>
        <v>#REF!</v>
      </c>
      <c r="Z1422" s="69" t="e" cm="1">
        <f t="array" ref="Z1422">_xlfn.XLOOKUP(Table1[[#This Row],[5 cm2 cell test code]:[5 cm2 cell test code]],[1]!Table1[[Test code]:[Test code]],[1]!Table1[3-E Tafel slope (mV/dec)],"",0)</f>
        <v>#REF!</v>
      </c>
      <c r="AA1422" s="69" t="e" cm="1">
        <f t="array" ref="AA1422">_xlfn.XLOOKUP(Table1[[#This Row],[5 cm2 cell test code]:[5 cm2 cell test code]],[1]!Table1[[Test code]:[Test code]],[1]!Table1[E @ 100 mA/cm2 DIW/V],"",0)</f>
        <v>#REF!</v>
      </c>
      <c r="AB1422" s="69" t="e" cm="1">
        <f t="array" ref="AB1422">_xlfn.XLOOKUP(Table1[[#This Row],[5 cm2 cell test code]:[5 cm2 cell test code]],[1]!Table1[[Test code]:[Test code]],[1]!Table1[E @ 100 mA/cm2 10 mM KOH/V],"",0)</f>
        <v>#REF!</v>
      </c>
      <c r="AC1422" s="69" t="e" cm="1">
        <f t="array" ref="AC1422">_xlfn.XLOOKUP(Table1[[#This Row],[5 cm2 cell test code]:[5 cm2 cell test code]],[1]!Table1[[Test code]:[Test code]],[1]!Table1[Anode ICR/mOhm],"",0)</f>
        <v>#REF!</v>
      </c>
      <c r="AD1422" s="69" t="e" cm="1">
        <f t="array" ref="AD1422">_xlfn.XLOOKUP(Table1[[#This Row],[5 cm2 cell test code]:[5 cm2 cell test code]],[1]!Table1[[Test code]:[Test code]],[1]!Table1[HFR DIW/ mOhm cm2],"",0)</f>
        <v>#REF!</v>
      </c>
      <c r="AE1422" s="69" t="e" cm="1">
        <f t="array" ref="AE1422">_xlfn.XLOOKUP(Table1[[#This Row],[5 cm2 cell test code]:[5 cm2 cell test code]],[1]!Table1[[Test code]:[Test code]],[1]!Table1[HFR 10 mM KOH/ mOhm cm2],"",0)</f>
        <v>#REF!</v>
      </c>
      <c r="AF1422" s="69" t="e" cm="1">
        <f t="array" ref="AF1422">_xlfn.XLOOKUP(Table1[[#This Row],[5 cm2 cell test code]:[5 cm2 cell test code]],[1]!Table1[[Test code]:[Test code]],[1]!Table1[Ionic resistance DIW/Ohm cm2],"",0)</f>
        <v>#REF!</v>
      </c>
      <c r="AG1422" s="69" t="e" cm="1">
        <f t="array" ref="AG1422">_xlfn.XLOOKUP(Table1[[#This Row],[5 cm2 cell test code]:[5 cm2 cell test code]],[1]!Table1[[Test code]:[Test code]],[1]!Table1[Q_int_frac DIW],"",0)</f>
        <v>#REF!</v>
      </c>
      <c r="AH1422" s="69" t="e" cm="1">
        <f t="array" ref="AH1422">_xlfn.XLOOKUP(Table1[[#This Row],[5 cm2 cell test code]:[5 cm2 cell test code]],[1]!Table1[[Test code]:[Test code]],[1]!Table1[Ionic resistance 10 mM KOH/Ohm cm2],"",0)</f>
        <v>#REF!</v>
      </c>
      <c r="AI1422" s="69" t="e" cm="1">
        <f t="array" ref="AI1422">_xlfn.XLOOKUP(Table1[[#This Row],[5 cm2 cell test code]:[5 cm2 cell test code]],[1]!Table1[[Test code]:[Test code]],[1]!Table1[Q_int_frac DIW 10 mM KOH],"",0)</f>
        <v>#REF!</v>
      </c>
      <c r="AJ1422" s="69" t="e" cm="1">
        <f t="array" ref="AJ1422">_xlfn.XLOOKUP(Table1[[#This Row],[5 cm2 cell test code]:[5 cm2 cell test code]],[1]!Table1[[Test code]:[Test code]],[1]!Table1[DIW conductivity (µS/cm)],"",0)</f>
        <v>#REF!</v>
      </c>
    </row>
    <row r="1423" spans="1:36">
      <c r="A1423" s="81"/>
      <c r="U1423" s="101"/>
      <c r="V1423" s="101"/>
      <c r="W1423" s="69" t="e" cm="1">
        <f t="array" ref="W1423">_xlfn.XLOOKUP(Table1[[#This Row],[5 cm2 cell test code]:[5 cm2 cell test code]],[1]!Table1[[Test code]:[Test code]],[1]!Table1[i @ 1.8 V DIW (A/cm2)],"",0)</f>
        <v>#REF!</v>
      </c>
      <c r="X1423" s="69" t="e" cm="1">
        <f t="array" ref="X1423">_xlfn.XLOOKUP(Table1[[#This Row],[5 cm2 cell test code]:[5 cm2 cell test code]],[1]!Table1[[Test code]:[Test code]],[1]!Table1[i @ 1.8 V 10 mM KOH (A/cm2)],"",0)</f>
        <v>#REF!</v>
      </c>
      <c r="Y1423" s="69" t="e" cm="1">
        <f t="array" ref="Y1423">_xlfn.XLOOKUP(Table1[[#This Row],[5 cm2 cell test code]:[5 cm2 cell test code]],[1]!Table1[[Test code]:[Test code]],[1]!Table1[3-E ƞ at 20mAcm-2 (mV)],"",0)</f>
        <v>#REF!</v>
      </c>
      <c r="Z1423" s="69" t="e" cm="1">
        <f t="array" ref="Z1423">_xlfn.XLOOKUP(Table1[[#This Row],[5 cm2 cell test code]:[5 cm2 cell test code]],[1]!Table1[[Test code]:[Test code]],[1]!Table1[3-E Tafel slope (mV/dec)],"",0)</f>
        <v>#REF!</v>
      </c>
      <c r="AA1423" s="69" t="e" cm="1">
        <f t="array" ref="AA1423">_xlfn.XLOOKUP(Table1[[#This Row],[5 cm2 cell test code]:[5 cm2 cell test code]],[1]!Table1[[Test code]:[Test code]],[1]!Table1[E @ 100 mA/cm2 DIW/V],"",0)</f>
        <v>#REF!</v>
      </c>
      <c r="AB1423" s="69" t="e" cm="1">
        <f t="array" ref="AB1423">_xlfn.XLOOKUP(Table1[[#This Row],[5 cm2 cell test code]:[5 cm2 cell test code]],[1]!Table1[[Test code]:[Test code]],[1]!Table1[E @ 100 mA/cm2 10 mM KOH/V],"",0)</f>
        <v>#REF!</v>
      </c>
      <c r="AC1423" s="69" t="e" cm="1">
        <f t="array" ref="AC1423">_xlfn.XLOOKUP(Table1[[#This Row],[5 cm2 cell test code]:[5 cm2 cell test code]],[1]!Table1[[Test code]:[Test code]],[1]!Table1[Anode ICR/mOhm],"",0)</f>
        <v>#REF!</v>
      </c>
      <c r="AD1423" s="69" t="e" cm="1">
        <f t="array" ref="AD1423">_xlfn.XLOOKUP(Table1[[#This Row],[5 cm2 cell test code]:[5 cm2 cell test code]],[1]!Table1[[Test code]:[Test code]],[1]!Table1[HFR DIW/ mOhm cm2],"",0)</f>
        <v>#REF!</v>
      </c>
      <c r="AE1423" s="69" t="e" cm="1">
        <f t="array" ref="AE1423">_xlfn.XLOOKUP(Table1[[#This Row],[5 cm2 cell test code]:[5 cm2 cell test code]],[1]!Table1[[Test code]:[Test code]],[1]!Table1[HFR 10 mM KOH/ mOhm cm2],"",0)</f>
        <v>#REF!</v>
      </c>
      <c r="AF1423" s="69" t="e" cm="1">
        <f t="array" ref="AF1423">_xlfn.XLOOKUP(Table1[[#This Row],[5 cm2 cell test code]:[5 cm2 cell test code]],[1]!Table1[[Test code]:[Test code]],[1]!Table1[Ionic resistance DIW/Ohm cm2],"",0)</f>
        <v>#REF!</v>
      </c>
      <c r="AG1423" s="69" t="e" cm="1">
        <f t="array" ref="AG1423">_xlfn.XLOOKUP(Table1[[#This Row],[5 cm2 cell test code]:[5 cm2 cell test code]],[1]!Table1[[Test code]:[Test code]],[1]!Table1[Q_int_frac DIW],"",0)</f>
        <v>#REF!</v>
      </c>
      <c r="AH1423" s="69" t="e" cm="1">
        <f t="array" ref="AH1423">_xlfn.XLOOKUP(Table1[[#This Row],[5 cm2 cell test code]:[5 cm2 cell test code]],[1]!Table1[[Test code]:[Test code]],[1]!Table1[Ionic resistance 10 mM KOH/Ohm cm2],"",0)</f>
        <v>#REF!</v>
      </c>
      <c r="AI1423" s="69" t="e" cm="1">
        <f t="array" ref="AI1423">_xlfn.XLOOKUP(Table1[[#This Row],[5 cm2 cell test code]:[5 cm2 cell test code]],[1]!Table1[[Test code]:[Test code]],[1]!Table1[Q_int_frac DIW 10 mM KOH],"",0)</f>
        <v>#REF!</v>
      </c>
      <c r="AJ1423" s="69" t="e" cm="1">
        <f t="array" ref="AJ1423">_xlfn.XLOOKUP(Table1[[#This Row],[5 cm2 cell test code]:[5 cm2 cell test code]],[1]!Table1[[Test code]:[Test code]],[1]!Table1[DIW conductivity (µS/cm)],"",0)</f>
        <v>#REF!</v>
      </c>
    </row>
    <row r="1424" spans="1:36">
      <c r="A1424" s="81"/>
      <c r="U1424" s="101"/>
      <c r="V1424" s="101"/>
      <c r="W1424" s="69" t="e" cm="1">
        <f t="array" ref="W1424">_xlfn.XLOOKUP(Table1[[#This Row],[5 cm2 cell test code]:[5 cm2 cell test code]],[1]!Table1[[Test code]:[Test code]],[1]!Table1[i @ 1.8 V DIW (A/cm2)],"",0)</f>
        <v>#REF!</v>
      </c>
      <c r="X1424" s="69" t="e" cm="1">
        <f t="array" ref="X1424">_xlfn.XLOOKUP(Table1[[#This Row],[5 cm2 cell test code]:[5 cm2 cell test code]],[1]!Table1[[Test code]:[Test code]],[1]!Table1[i @ 1.8 V 10 mM KOH (A/cm2)],"",0)</f>
        <v>#REF!</v>
      </c>
      <c r="Y1424" s="69" t="e" cm="1">
        <f t="array" ref="Y1424">_xlfn.XLOOKUP(Table1[[#This Row],[5 cm2 cell test code]:[5 cm2 cell test code]],[1]!Table1[[Test code]:[Test code]],[1]!Table1[3-E ƞ at 20mAcm-2 (mV)],"",0)</f>
        <v>#REF!</v>
      </c>
      <c r="Z1424" s="69" t="e" cm="1">
        <f t="array" ref="Z1424">_xlfn.XLOOKUP(Table1[[#This Row],[5 cm2 cell test code]:[5 cm2 cell test code]],[1]!Table1[[Test code]:[Test code]],[1]!Table1[3-E Tafel slope (mV/dec)],"",0)</f>
        <v>#REF!</v>
      </c>
      <c r="AA1424" s="69" t="e" cm="1">
        <f t="array" ref="AA1424">_xlfn.XLOOKUP(Table1[[#This Row],[5 cm2 cell test code]:[5 cm2 cell test code]],[1]!Table1[[Test code]:[Test code]],[1]!Table1[E @ 100 mA/cm2 DIW/V],"",0)</f>
        <v>#REF!</v>
      </c>
      <c r="AB1424" s="69" t="e" cm="1">
        <f t="array" ref="AB1424">_xlfn.XLOOKUP(Table1[[#This Row],[5 cm2 cell test code]:[5 cm2 cell test code]],[1]!Table1[[Test code]:[Test code]],[1]!Table1[E @ 100 mA/cm2 10 mM KOH/V],"",0)</f>
        <v>#REF!</v>
      </c>
      <c r="AC1424" s="69" t="e" cm="1">
        <f t="array" ref="AC1424">_xlfn.XLOOKUP(Table1[[#This Row],[5 cm2 cell test code]:[5 cm2 cell test code]],[1]!Table1[[Test code]:[Test code]],[1]!Table1[Anode ICR/mOhm],"",0)</f>
        <v>#REF!</v>
      </c>
      <c r="AD1424" s="69" t="e" cm="1">
        <f t="array" ref="AD1424">_xlfn.XLOOKUP(Table1[[#This Row],[5 cm2 cell test code]:[5 cm2 cell test code]],[1]!Table1[[Test code]:[Test code]],[1]!Table1[HFR DIW/ mOhm cm2],"",0)</f>
        <v>#REF!</v>
      </c>
      <c r="AE1424" s="69" t="e" cm="1">
        <f t="array" ref="AE1424">_xlfn.XLOOKUP(Table1[[#This Row],[5 cm2 cell test code]:[5 cm2 cell test code]],[1]!Table1[[Test code]:[Test code]],[1]!Table1[HFR 10 mM KOH/ mOhm cm2],"",0)</f>
        <v>#REF!</v>
      </c>
      <c r="AF1424" s="69" t="e" cm="1">
        <f t="array" ref="AF1424">_xlfn.XLOOKUP(Table1[[#This Row],[5 cm2 cell test code]:[5 cm2 cell test code]],[1]!Table1[[Test code]:[Test code]],[1]!Table1[Ionic resistance DIW/Ohm cm2],"",0)</f>
        <v>#REF!</v>
      </c>
      <c r="AG1424" s="69" t="e" cm="1">
        <f t="array" ref="AG1424">_xlfn.XLOOKUP(Table1[[#This Row],[5 cm2 cell test code]:[5 cm2 cell test code]],[1]!Table1[[Test code]:[Test code]],[1]!Table1[Q_int_frac DIW],"",0)</f>
        <v>#REF!</v>
      </c>
      <c r="AH1424" s="69" t="e" cm="1">
        <f t="array" ref="AH1424">_xlfn.XLOOKUP(Table1[[#This Row],[5 cm2 cell test code]:[5 cm2 cell test code]],[1]!Table1[[Test code]:[Test code]],[1]!Table1[Ionic resistance 10 mM KOH/Ohm cm2],"",0)</f>
        <v>#REF!</v>
      </c>
      <c r="AI1424" s="69" t="e" cm="1">
        <f t="array" ref="AI1424">_xlfn.XLOOKUP(Table1[[#This Row],[5 cm2 cell test code]:[5 cm2 cell test code]],[1]!Table1[[Test code]:[Test code]],[1]!Table1[Q_int_frac DIW 10 mM KOH],"",0)</f>
        <v>#REF!</v>
      </c>
      <c r="AJ1424" s="69" t="e" cm="1">
        <f t="array" ref="AJ1424">_xlfn.XLOOKUP(Table1[[#This Row],[5 cm2 cell test code]:[5 cm2 cell test code]],[1]!Table1[[Test code]:[Test code]],[1]!Table1[DIW conductivity (µS/cm)],"",0)</f>
        <v>#REF!</v>
      </c>
    </row>
    <row r="1425" spans="1:36">
      <c r="A1425" s="81"/>
      <c r="U1425" s="101"/>
      <c r="V1425" s="101"/>
      <c r="W1425" s="69" t="e" cm="1">
        <f t="array" ref="W1425">_xlfn.XLOOKUP(Table1[[#This Row],[5 cm2 cell test code]:[5 cm2 cell test code]],[1]!Table1[[Test code]:[Test code]],[1]!Table1[i @ 1.8 V DIW (A/cm2)],"",0)</f>
        <v>#REF!</v>
      </c>
      <c r="X1425" s="69" t="e" cm="1">
        <f t="array" ref="X1425">_xlfn.XLOOKUP(Table1[[#This Row],[5 cm2 cell test code]:[5 cm2 cell test code]],[1]!Table1[[Test code]:[Test code]],[1]!Table1[i @ 1.8 V 10 mM KOH (A/cm2)],"",0)</f>
        <v>#REF!</v>
      </c>
      <c r="Y1425" s="69" t="e" cm="1">
        <f t="array" ref="Y1425">_xlfn.XLOOKUP(Table1[[#This Row],[5 cm2 cell test code]:[5 cm2 cell test code]],[1]!Table1[[Test code]:[Test code]],[1]!Table1[3-E ƞ at 20mAcm-2 (mV)],"",0)</f>
        <v>#REF!</v>
      </c>
      <c r="Z1425" s="69" t="e" cm="1">
        <f t="array" ref="Z1425">_xlfn.XLOOKUP(Table1[[#This Row],[5 cm2 cell test code]:[5 cm2 cell test code]],[1]!Table1[[Test code]:[Test code]],[1]!Table1[3-E Tafel slope (mV/dec)],"",0)</f>
        <v>#REF!</v>
      </c>
      <c r="AA1425" s="69" t="e" cm="1">
        <f t="array" ref="AA1425">_xlfn.XLOOKUP(Table1[[#This Row],[5 cm2 cell test code]:[5 cm2 cell test code]],[1]!Table1[[Test code]:[Test code]],[1]!Table1[E @ 100 mA/cm2 DIW/V],"",0)</f>
        <v>#REF!</v>
      </c>
      <c r="AB1425" s="69" t="e" cm="1">
        <f t="array" ref="AB1425">_xlfn.XLOOKUP(Table1[[#This Row],[5 cm2 cell test code]:[5 cm2 cell test code]],[1]!Table1[[Test code]:[Test code]],[1]!Table1[E @ 100 mA/cm2 10 mM KOH/V],"",0)</f>
        <v>#REF!</v>
      </c>
      <c r="AC1425" s="69" t="e" cm="1">
        <f t="array" ref="AC1425">_xlfn.XLOOKUP(Table1[[#This Row],[5 cm2 cell test code]:[5 cm2 cell test code]],[1]!Table1[[Test code]:[Test code]],[1]!Table1[Anode ICR/mOhm],"",0)</f>
        <v>#REF!</v>
      </c>
      <c r="AD1425" s="69" t="e" cm="1">
        <f t="array" ref="AD1425">_xlfn.XLOOKUP(Table1[[#This Row],[5 cm2 cell test code]:[5 cm2 cell test code]],[1]!Table1[[Test code]:[Test code]],[1]!Table1[HFR DIW/ mOhm cm2],"",0)</f>
        <v>#REF!</v>
      </c>
      <c r="AE1425" s="69" t="e" cm="1">
        <f t="array" ref="AE1425">_xlfn.XLOOKUP(Table1[[#This Row],[5 cm2 cell test code]:[5 cm2 cell test code]],[1]!Table1[[Test code]:[Test code]],[1]!Table1[HFR 10 mM KOH/ mOhm cm2],"",0)</f>
        <v>#REF!</v>
      </c>
      <c r="AF1425" s="69" t="e" cm="1">
        <f t="array" ref="AF1425">_xlfn.XLOOKUP(Table1[[#This Row],[5 cm2 cell test code]:[5 cm2 cell test code]],[1]!Table1[[Test code]:[Test code]],[1]!Table1[Ionic resistance DIW/Ohm cm2],"",0)</f>
        <v>#REF!</v>
      </c>
      <c r="AG1425" s="69" t="e" cm="1">
        <f t="array" ref="AG1425">_xlfn.XLOOKUP(Table1[[#This Row],[5 cm2 cell test code]:[5 cm2 cell test code]],[1]!Table1[[Test code]:[Test code]],[1]!Table1[Q_int_frac DIW],"",0)</f>
        <v>#REF!</v>
      </c>
      <c r="AH1425" s="69" t="e" cm="1">
        <f t="array" ref="AH1425">_xlfn.XLOOKUP(Table1[[#This Row],[5 cm2 cell test code]:[5 cm2 cell test code]],[1]!Table1[[Test code]:[Test code]],[1]!Table1[Ionic resistance 10 mM KOH/Ohm cm2],"",0)</f>
        <v>#REF!</v>
      </c>
      <c r="AI1425" s="69" t="e" cm="1">
        <f t="array" ref="AI1425">_xlfn.XLOOKUP(Table1[[#This Row],[5 cm2 cell test code]:[5 cm2 cell test code]],[1]!Table1[[Test code]:[Test code]],[1]!Table1[Q_int_frac DIW 10 mM KOH],"",0)</f>
        <v>#REF!</v>
      </c>
      <c r="AJ1425" s="69" t="e" cm="1">
        <f t="array" ref="AJ1425">_xlfn.XLOOKUP(Table1[[#This Row],[5 cm2 cell test code]:[5 cm2 cell test code]],[1]!Table1[[Test code]:[Test code]],[1]!Table1[DIW conductivity (µS/cm)],"",0)</f>
        <v>#REF!</v>
      </c>
    </row>
    <row r="1426" spans="1:36">
      <c r="A1426" s="81"/>
      <c r="U1426" s="101"/>
      <c r="V1426" s="101"/>
      <c r="W1426" s="69" t="e" cm="1">
        <f t="array" ref="W1426">_xlfn.XLOOKUP(Table1[[#This Row],[5 cm2 cell test code]:[5 cm2 cell test code]],[1]!Table1[[Test code]:[Test code]],[1]!Table1[i @ 1.8 V DIW (A/cm2)],"",0)</f>
        <v>#REF!</v>
      </c>
      <c r="X1426" s="69" t="e" cm="1">
        <f t="array" ref="X1426">_xlfn.XLOOKUP(Table1[[#This Row],[5 cm2 cell test code]:[5 cm2 cell test code]],[1]!Table1[[Test code]:[Test code]],[1]!Table1[i @ 1.8 V 10 mM KOH (A/cm2)],"",0)</f>
        <v>#REF!</v>
      </c>
      <c r="Y1426" s="69" t="e" cm="1">
        <f t="array" ref="Y1426">_xlfn.XLOOKUP(Table1[[#This Row],[5 cm2 cell test code]:[5 cm2 cell test code]],[1]!Table1[[Test code]:[Test code]],[1]!Table1[3-E ƞ at 20mAcm-2 (mV)],"",0)</f>
        <v>#REF!</v>
      </c>
      <c r="Z1426" s="69" t="e" cm="1">
        <f t="array" ref="Z1426">_xlfn.XLOOKUP(Table1[[#This Row],[5 cm2 cell test code]:[5 cm2 cell test code]],[1]!Table1[[Test code]:[Test code]],[1]!Table1[3-E Tafel slope (mV/dec)],"",0)</f>
        <v>#REF!</v>
      </c>
      <c r="AA1426" s="69" t="e" cm="1">
        <f t="array" ref="AA1426">_xlfn.XLOOKUP(Table1[[#This Row],[5 cm2 cell test code]:[5 cm2 cell test code]],[1]!Table1[[Test code]:[Test code]],[1]!Table1[E @ 100 mA/cm2 DIW/V],"",0)</f>
        <v>#REF!</v>
      </c>
      <c r="AB1426" s="69" t="e" cm="1">
        <f t="array" ref="AB1426">_xlfn.XLOOKUP(Table1[[#This Row],[5 cm2 cell test code]:[5 cm2 cell test code]],[1]!Table1[[Test code]:[Test code]],[1]!Table1[E @ 100 mA/cm2 10 mM KOH/V],"",0)</f>
        <v>#REF!</v>
      </c>
      <c r="AC1426" s="69" t="e" cm="1">
        <f t="array" ref="AC1426">_xlfn.XLOOKUP(Table1[[#This Row],[5 cm2 cell test code]:[5 cm2 cell test code]],[1]!Table1[[Test code]:[Test code]],[1]!Table1[Anode ICR/mOhm],"",0)</f>
        <v>#REF!</v>
      </c>
      <c r="AD1426" s="69" t="e" cm="1">
        <f t="array" ref="AD1426">_xlfn.XLOOKUP(Table1[[#This Row],[5 cm2 cell test code]:[5 cm2 cell test code]],[1]!Table1[[Test code]:[Test code]],[1]!Table1[HFR DIW/ mOhm cm2],"",0)</f>
        <v>#REF!</v>
      </c>
      <c r="AE1426" s="69" t="e" cm="1">
        <f t="array" ref="AE1426">_xlfn.XLOOKUP(Table1[[#This Row],[5 cm2 cell test code]:[5 cm2 cell test code]],[1]!Table1[[Test code]:[Test code]],[1]!Table1[HFR 10 mM KOH/ mOhm cm2],"",0)</f>
        <v>#REF!</v>
      </c>
      <c r="AF1426" s="69" t="e" cm="1">
        <f t="array" ref="AF1426">_xlfn.XLOOKUP(Table1[[#This Row],[5 cm2 cell test code]:[5 cm2 cell test code]],[1]!Table1[[Test code]:[Test code]],[1]!Table1[Ionic resistance DIW/Ohm cm2],"",0)</f>
        <v>#REF!</v>
      </c>
      <c r="AG1426" s="69" t="e" cm="1">
        <f t="array" ref="AG1426">_xlfn.XLOOKUP(Table1[[#This Row],[5 cm2 cell test code]:[5 cm2 cell test code]],[1]!Table1[[Test code]:[Test code]],[1]!Table1[Q_int_frac DIW],"",0)</f>
        <v>#REF!</v>
      </c>
      <c r="AH1426" s="69" t="e" cm="1">
        <f t="array" ref="AH1426">_xlfn.XLOOKUP(Table1[[#This Row],[5 cm2 cell test code]:[5 cm2 cell test code]],[1]!Table1[[Test code]:[Test code]],[1]!Table1[Ionic resistance 10 mM KOH/Ohm cm2],"",0)</f>
        <v>#REF!</v>
      </c>
      <c r="AI1426" s="69" t="e" cm="1">
        <f t="array" ref="AI1426">_xlfn.XLOOKUP(Table1[[#This Row],[5 cm2 cell test code]:[5 cm2 cell test code]],[1]!Table1[[Test code]:[Test code]],[1]!Table1[Q_int_frac DIW 10 mM KOH],"",0)</f>
        <v>#REF!</v>
      </c>
      <c r="AJ1426" s="69" t="e" cm="1">
        <f t="array" ref="AJ1426">_xlfn.XLOOKUP(Table1[[#This Row],[5 cm2 cell test code]:[5 cm2 cell test code]],[1]!Table1[[Test code]:[Test code]],[1]!Table1[DIW conductivity (µS/cm)],"",0)</f>
        <v>#REF!</v>
      </c>
    </row>
    <row r="1427" spans="1:36">
      <c r="A1427" s="81"/>
      <c r="U1427" s="101"/>
      <c r="V1427" s="101"/>
      <c r="W1427" s="69" t="e" cm="1">
        <f t="array" ref="W1427">_xlfn.XLOOKUP(Table1[[#This Row],[5 cm2 cell test code]:[5 cm2 cell test code]],[1]!Table1[[Test code]:[Test code]],[1]!Table1[i @ 1.8 V DIW (A/cm2)],"",0)</f>
        <v>#REF!</v>
      </c>
      <c r="X1427" s="69" t="e" cm="1">
        <f t="array" ref="X1427">_xlfn.XLOOKUP(Table1[[#This Row],[5 cm2 cell test code]:[5 cm2 cell test code]],[1]!Table1[[Test code]:[Test code]],[1]!Table1[i @ 1.8 V 10 mM KOH (A/cm2)],"",0)</f>
        <v>#REF!</v>
      </c>
      <c r="Y1427" s="69" t="e" cm="1">
        <f t="array" ref="Y1427">_xlfn.XLOOKUP(Table1[[#This Row],[5 cm2 cell test code]:[5 cm2 cell test code]],[1]!Table1[[Test code]:[Test code]],[1]!Table1[3-E ƞ at 20mAcm-2 (mV)],"",0)</f>
        <v>#REF!</v>
      </c>
      <c r="Z1427" s="69" t="e" cm="1">
        <f t="array" ref="Z1427">_xlfn.XLOOKUP(Table1[[#This Row],[5 cm2 cell test code]:[5 cm2 cell test code]],[1]!Table1[[Test code]:[Test code]],[1]!Table1[3-E Tafel slope (mV/dec)],"",0)</f>
        <v>#REF!</v>
      </c>
      <c r="AA1427" s="69" t="e" cm="1">
        <f t="array" ref="AA1427">_xlfn.XLOOKUP(Table1[[#This Row],[5 cm2 cell test code]:[5 cm2 cell test code]],[1]!Table1[[Test code]:[Test code]],[1]!Table1[E @ 100 mA/cm2 DIW/V],"",0)</f>
        <v>#REF!</v>
      </c>
      <c r="AB1427" s="69" t="e" cm="1">
        <f t="array" ref="AB1427">_xlfn.XLOOKUP(Table1[[#This Row],[5 cm2 cell test code]:[5 cm2 cell test code]],[1]!Table1[[Test code]:[Test code]],[1]!Table1[E @ 100 mA/cm2 10 mM KOH/V],"",0)</f>
        <v>#REF!</v>
      </c>
      <c r="AC1427" s="69" t="e" cm="1">
        <f t="array" ref="AC1427">_xlfn.XLOOKUP(Table1[[#This Row],[5 cm2 cell test code]:[5 cm2 cell test code]],[1]!Table1[[Test code]:[Test code]],[1]!Table1[Anode ICR/mOhm],"",0)</f>
        <v>#REF!</v>
      </c>
      <c r="AD1427" s="69" t="e" cm="1">
        <f t="array" ref="AD1427">_xlfn.XLOOKUP(Table1[[#This Row],[5 cm2 cell test code]:[5 cm2 cell test code]],[1]!Table1[[Test code]:[Test code]],[1]!Table1[HFR DIW/ mOhm cm2],"",0)</f>
        <v>#REF!</v>
      </c>
      <c r="AE1427" s="69" t="e" cm="1">
        <f t="array" ref="AE1427">_xlfn.XLOOKUP(Table1[[#This Row],[5 cm2 cell test code]:[5 cm2 cell test code]],[1]!Table1[[Test code]:[Test code]],[1]!Table1[HFR 10 mM KOH/ mOhm cm2],"",0)</f>
        <v>#REF!</v>
      </c>
      <c r="AF1427" s="69" t="e" cm="1">
        <f t="array" ref="AF1427">_xlfn.XLOOKUP(Table1[[#This Row],[5 cm2 cell test code]:[5 cm2 cell test code]],[1]!Table1[[Test code]:[Test code]],[1]!Table1[Ionic resistance DIW/Ohm cm2],"",0)</f>
        <v>#REF!</v>
      </c>
      <c r="AG1427" s="69" t="e" cm="1">
        <f t="array" ref="AG1427">_xlfn.XLOOKUP(Table1[[#This Row],[5 cm2 cell test code]:[5 cm2 cell test code]],[1]!Table1[[Test code]:[Test code]],[1]!Table1[Q_int_frac DIW],"",0)</f>
        <v>#REF!</v>
      </c>
      <c r="AH1427" s="69" t="e" cm="1">
        <f t="array" ref="AH1427">_xlfn.XLOOKUP(Table1[[#This Row],[5 cm2 cell test code]:[5 cm2 cell test code]],[1]!Table1[[Test code]:[Test code]],[1]!Table1[Ionic resistance 10 mM KOH/Ohm cm2],"",0)</f>
        <v>#REF!</v>
      </c>
      <c r="AI1427" s="69" t="e" cm="1">
        <f t="array" ref="AI1427">_xlfn.XLOOKUP(Table1[[#This Row],[5 cm2 cell test code]:[5 cm2 cell test code]],[1]!Table1[[Test code]:[Test code]],[1]!Table1[Q_int_frac DIW 10 mM KOH],"",0)</f>
        <v>#REF!</v>
      </c>
      <c r="AJ1427" s="69" t="e" cm="1">
        <f t="array" ref="AJ1427">_xlfn.XLOOKUP(Table1[[#This Row],[5 cm2 cell test code]:[5 cm2 cell test code]],[1]!Table1[[Test code]:[Test code]],[1]!Table1[DIW conductivity (µS/cm)],"",0)</f>
        <v>#REF!</v>
      </c>
    </row>
    <row r="1428" spans="1:36">
      <c r="A1428" s="81"/>
      <c r="U1428" s="101"/>
      <c r="V1428" s="101"/>
      <c r="W1428" s="69" t="e" cm="1">
        <f t="array" ref="W1428">_xlfn.XLOOKUP(Table1[[#This Row],[5 cm2 cell test code]:[5 cm2 cell test code]],[1]!Table1[[Test code]:[Test code]],[1]!Table1[i @ 1.8 V DIW (A/cm2)],"",0)</f>
        <v>#REF!</v>
      </c>
      <c r="X1428" s="69" t="e" cm="1">
        <f t="array" ref="X1428">_xlfn.XLOOKUP(Table1[[#This Row],[5 cm2 cell test code]:[5 cm2 cell test code]],[1]!Table1[[Test code]:[Test code]],[1]!Table1[i @ 1.8 V 10 mM KOH (A/cm2)],"",0)</f>
        <v>#REF!</v>
      </c>
      <c r="Y1428" s="69" t="e" cm="1">
        <f t="array" ref="Y1428">_xlfn.XLOOKUP(Table1[[#This Row],[5 cm2 cell test code]:[5 cm2 cell test code]],[1]!Table1[[Test code]:[Test code]],[1]!Table1[3-E ƞ at 20mAcm-2 (mV)],"",0)</f>
        <v>#REF!</v>
      </c>
      <c r="Z1428" s="69" t="e" cm="1">
        <f t="array" ref="Z1428">_xlfn.XLOOKUP(Table1[[#This Row],[5 cm2 cell test code]:[5 cm2 cell test code]],[1]!Table1[[Test code]:[Test code]],[1]!Table1[3-E Tafel slope (mV/dec)],"",0)</f>
        <v>#REF!</v>
      </c>
      <c r="AA1428" s="69" t="e" cm="1">
        <f t="array" ref="AA1428">_xlfn.XLOOKUP(Table1[[#This Row],[5 cm2 cell test code]:[5 cm2 cell test code]],[1]!Table1[[Test code]:[Test code]],[1]!Table1[E @ 100 mA/cm2 DIW/V],"",0)</f>
        <v>#REF!</v>
      </c>
      <c r="AB1428" s="69" t="e" cm="1">
        <f t="array" ref="AB1428">_xlfn.XLOOKUP(Table1[[#This Row],[5 cm2 cell test code]:[5 cm2 cell test code]],[1]!Table1[[Test code]:[Test code]],[1]!Table1[E @ 100 mA/cm2 10 mM KOH/V],"",0)</f>
        <v>#REF!</v>
      </c>
      <c r="AC1428" s="69" t="e" cm="1">
        <f t="array" ref="AC1428">_xlfn.XLOOKUP(Table1[[#This Row],[5 cm2 cell test code]:[5 cm2 cell test code]],[1]!Table1[[Test code]:[Test code]],[1]!Table1[Anode ICR/mOhm],"",0)</f>
        <v>#REF!</v>
      </c>
      <c r="AD1428" s="69" t="e" cm="1">
        <f t="array" ref="AD1428">_xlfn.XLOOKUP(Table1[[#This Row],[5 cm2 cell test code]:[5 cm2 cell test code]],[1]!Table1[[Test code]:[Test code]],[1]!Table1[HFR DIW/ mOhm cm2],"",0)</f>
        <v>#REF!</v>
      </c>
      <c r="AE1428" s="69" t="e" cm="1">
        <f t="array" ref="AE1428">_xlfn.XLOOKUP(Table1[[#This Row],[5 cm2 cell test code]:[5 cm2 cell test code]],[1]!Table1[[Test code]:[Test code]],[1]!Table1[HFR 10 mM KOH/ mOhm cm2],"",0)</f>
        <v>#REF!</v>
      </c>
      <c r="AF1428" s="69" t="e" cm="1">
        <f t="array" ref="AF1428">_xlfn.XLOOKUP(Table1[[#This Row],[5 cm2 cell test code]:[5 cm2 cell test code]],[1]!Table1[[Test code]:[Test code]],[1]!Table1[Ionic resistance DIW/Ohm cm2],"",0)</f>
        <v>#REF!</v>
      </c>
      <c r="AG1428" s="69" t="e" cm="1">
        <f t="array" ref="AG1428">_xlfn.XLOOKUP(Table1[[#This Row],[5 cm2 cell test code]:[5 cm2 cell test code]],[1]!Table1[[Test code]:[Test code]],[1]!Table1[Q_int_frac DIW],"",0)</f>
        <v>#REF!</v>
      </c>
      <c r="AH1428" s="69" t="e" cm="1">
        <f t="array" ref="AH1428">_xlfn.XLOOKUP(Table1[[#This Row],[5 cm2 cell test code]:[5 cm2 cell test code]],[1]!Table1[[Test code]:[Test code]],[1]!Table1[Ionic resistance 10 mM KOH/Ohm cm2],"",0)</f>
        <v>#REF!</v>
      </c>
      <c r="AI1428" s="69" t="e" cm="1">
        <f t="array" ref="AI1428">_xlfn.XLOOKUP(Table1[[#This Row],[5 cm2 cell test code]:[5 cm2 cell test code]],[1]!Table1[[Test code]:[Test code]],[1]!Table1[Q_int_frac DIW 10 mM KOH],"",0)</f>
        <v>#REF!</v>
      </c>
      <c r="AJ1428" s="69" t="e" cm="1">
        <f t="array" ref="AJ1428">_xlfn.XLOOKUP(Table1[[#This Row],[5 cm2 cell test code]:[5 cm2 cell test code]],[1]!Table1[[Test code]:[Test code]],[1]!Table1[DIW conductivity (µS/cm)],"",0)</f>
        <v>#REF!</v>
      </c>
    </row>
    <row r="1429" spans="1:36">
      <c r="A1429" s="81"/>
      <c r="U1429" s="101"/>
      <c r="V1429" s="101"/>
      <c r="W1429" s="69" t="e" cm="1">
        <f t="array" ref="W1429">_xlfn.XLOOKUP(Table1[[#This Row],[5 cm2 cell test code]:[5 cm2 cell test code]],[1]!Table1[[Test code]:[Test code]],[1]!Table1[i @ 1.8 V DIW (A/cm2)],"",0)</f>
        <v>#REF!</v>
      </c>
      <c r="X1429" s="69" t="e" cm="1">
        <f t="array" ref="X1429">_xlfn.XLOOKUP(Table1[[#This Row],[5 cm2 cell test code]:[5 cm2 cell test code]],[1]!Table1[[Test code]:[Test code]],[1]!Table1[i @ 1.8 V 10 mM KOH (A/cm2)],"",0)</f>
        <v>#REF!</v>
      </c>
      <c r="Y1429" s="69" t="e" cm="1">
        <f t="array" ref="Y1429">_xlfn.XLOOKUP(Table1[[#This Row],[5 cm2 cell test code]:[5 cm2 cell test code]],[1]!Table1[[Test code]:[Test code]],[1]!Table1[3-E ƞ at 20mAcm-2 (mV)],"",0)</f>
        <v>#REF!</v>
      </c>
      <c r="Z1429" s="69" t="e" cm="1">
        <f t="array" ref="Z1429">_xlfn.XLOOKUP(Table1[[#This Row],[5 cm2 cell test code]:[5 cm2 cell test code]],[1]!Table1[[Test code]:[Test code]],[1]!Table1[3-E Tafel slope (mV/dec)],"",0)</f>
        <v>#REF!</v>
      </c>
      <c r="AA1429" s="69" t="e" cm="1">
        <f t="array" ref="AA1429">_xlfn.XLOOKUP(Table1[[#This Row],[5 cm2 cell test code]:[5 cm2 cell test code]],[1]!Table1[[Test code]:[Test code]],[1]!Table1[E @ 100 mA/cm2 DIW/V],"",0)</f>
        <v>#REF!</v>
      </c>
      <c r="AB1429" s="69" t="e" cm="1">
        <f t="array" ref="AB1429">_xlfn.XLOOKUP(Table1[[#This Row],[5 cm2 cell test code]:[5 cm2 cell test code]],[1]!Table1[[Test code]:[Test code]],[1]!Table1[E @ 100 mA/cm2 10 mM KOH/V],"",0)</f>
        <v>#REF!</v>
      </c>
      <c r="AC1429" s="69" t="e" cm="1">
        <f t="array" ref="AC1429">_xlfn.XLOOKUP(Table1[[#This Row],[5 cm2 cell test code]:[5 cm2 cell test code]],[1]!Table1[[Test code]:[Test code]],[1]!Table1[Anode ICR/mOhm],"",0)</f>
        <v>#REF!</v>
      </c>
      <c r="AD1429" s="69" t="e" cm="1">
        <f t="array" ref="AD1429">_xlfn.XLOOKUP(Table1[[#This Row],[5 cm2 cell test code]:[5 cm2 cell test code]],[1]!Table1[[Test code]:[Test code]],[1]!Table1[HFR DIW/ mOhm cm2],"",0)</f>
        <v>#REF!</v>
      </c>
      <c r="AE1429" s="69" t="e" cm="1">
        <f t="array" ref="AE1429">_xlfn.XLOOKUP(Table1[[#This Row],[5 cm2 cell test code]:[5 cm2 cell test code]],[1]!Table1[[Test code]:[Test code]],[1]!Table1[HFR 10 mM KOH/ mOhm cm2],"",0)</f>
        <v>#REF!</v>
      </c>
      <c r="AF1429" s="69" t="e" cm="1">
        <f t="array" ref="AF1429">_xlfn.XLOOKUP(Table1[[#This Row],[5 cm2 cell test code]:[5 cm2 cell test code]],[1]!Table1[[Test code]:[Test code]],[1]!Table1[Ionic resistance DIW/Ohm cm2],"",0)</f>
        <v>#REF!</v>
      </c>
      <c r="AG1429" s="69" t="e" cm="1">
        <f t="array" ref="AG1429">_xlfn.XLOOKUP(Table1[[#This Row],[5 cm2 cell test code]:[5 cm2 cell test code]],[1]!Table1[[Test code]:[Test code]],[1]!Table1[Q_int_frac DIW],"",0)</f>
        <v>#REF!</v>
      </c>
      <c r="AH1429" s="69" t="e" cm="1">
        <f t="array" ref="AH1429">_xlfn.XLOOKUP(Table1[[#This Row],[5 cm2 cell test code]:[5 cm2 cell test code]],[1]!Table1[[Test code]:[Test code]],[1]!Table1[Ionic resistance 10 mM KOH/Ohm cm2],"",0)</f>
        <v>#REF!</v>
      </c>
      <c r="AI1429" s="69" t="e" cm="1">
        <f t="array" ref="AI1429">_xlfn.XLOOKUP(Table1[[#This Row],[5 cm2 cell test code]:[5 cm2 cell test code]],[1]!Table1[[Test code]:[Test code]],[1]!Table1[Q_int_frac DIW 10 mM KOH],"",0)</f>
        <v>#REF!</v>
      </c>
      <c r="AJ1429" s="69" t="e" cm="1">
        <f t="array" ref="AJ1429">_xlfn.XLOOKUP(Table1[[#This Row],[5 cm2 cell test code]:[5 cm2 cell test code]],[1]!Table1[[Test code]:[Test code]],[1]!Table1[DIW conductivity (µS/cm)],"",0)</f>
        <v>#REF!</v>
      </c>
    </row>
    <row r="1430" spans="1:36">
      <c r="A1430" s="81"/>
      <c r="U1430" s="101"/>
      <c r="V1430" s="101"/>
      <c r="W1430" s="69" t="e" cm="1">
        <f t="array" ref="W1430">_xlfn.XLOOKUP(Table1[[#This Row],[5 cm2 cell test code]:[5 cm2 cell test code]],[1]!Table1[[Test code]:[Test code]],[1]!Table1[i @ 1.8 V DIW (A/cm2)],"",0)</f>
        <v>#REF!</v>
      </c>
      <c r="X1430" s="69" t="e" cm="1">
        <f t="array" ref="X1430">_xlfn.XLOOKUP(Table1[[#This Row],[5 cm2 cell test code]:[5 cm2 cell test code]],[1]!Table1[[Test code]:[Test code]],[1]!Table1[i @ 1.8 V 10 mM KOH (A/cm2)],"",0)</f>
        <v>#REF!</v>
      </c>
      <c r="Y1430" s="69" t="e" cm="1">
        <f t="array" ref="Y1430">_xlfn.XLOOKUP(Table1[[#This Row],[5 cm2 cell test code]:[5 cm2 cell test code]],[1]!Table1[[Test code]:[Test code]],[1]!Table1[3-E ƞ at 20mAcm-2 (mV)],"",0)</f>
        <v>#REF!</v>
      </c>
      <c r="Z1430" s="69" t="e" cm="1">
        <f t="array" ref="Z1430">_xlfn.XLOOKUP(Table1[[#This Row],[5 cm2 cell test code]:[5 cm2 cell test code]],[1]!Table1[[Test code]:[Test code]],[1]!Table1[3-E Tafel slope (mV/dec)],"",0)</f>
        <v>#REF!</v>
      </c>
      <c r="AA1430" s="69" t="e" cm="1">
        <f t="array" ref="AA1430">_xlfn.XLOOKUP(Table1[[#This Row],[5 cm2 cell test code]:[5 cm2 cell test code]],[1]!Table1[[Test code]:[Test code]],[1]!Table1[E @ 100 mA/cm2 DIW/V],"",0)</f>
        <v>#REF!</v>
      </c>
      <c r="AB1430" s="69" t="e" cm="1">
        <f t="array" ref="AB1430">_xlfn.XLOOKUP(Table1[[#This Row],[5 cm2 cell test code]:[5 cm2 cell test code]],[1]!Table1[[Test code]:[Test code]],[1]!Table1[E @ 100 mA/cm2 10 mM KOH/V],"",0)</f>
        <v>#REF!</v>
      </c>
      <c r="AC1430" s="69" t="e" cm="1">
        <f t="array" ref="AC1430">_xlfn.XLOOKUP(Table1[[#This Row],[5 cm2 cell test code]:[5 cm2 cell test code]],[1]!Table1[[Test code]:[Test code]],[1]!Table1[Anode ICR/mOhm],"",0)</f>
        <v>#REF!</v>
      </c>
      <c r="AD1430" s="69" t="e" cm="1">
        <f t="array" ref="AD1430">_xlfn.XLOOKUP(Table1[[#This Row],[5 cm2 cell test code]:[5 cm2 cell test code]],[1]!Table1[[Test code]:[Test code]],[1]!Table1[HFR DIW/ mOhm cm2],"",0)</f>
        <v>#REF!</v>
      </c>
      <c r="AE1430" s="69" t="e" cm="1">
        <f t="array" ref="AE1430">_xlfn.XLOOKUP(Table1[[#This Row],[5 cm2 cell test code]:[5 cm2 cell test code]],[1]!Table1[[Test code]:[Test code]],[1]!Table1[HFR 10 mM KOH/ mOhm cm2],"",0)</f>
        <v>#REF!</v>
      </c>
      <c r="AF1430" s="69" t="e" cm="1">
        <f t="array" ref="AF1430">_xlfn.XLOOKUP(Table1[[#This Row],[5 cm2 cell test code]:[5 cm2 cell test code]],[1]!Table1[[Test code]:[Test code]],[1]!Table1[Ionic resistance DIW/Ohm cm2],"",0)</f>
        <v>#REF!</v>
      </c>
      <c r="AG1430" s="69" t="e" cm="1">
        <f t="array" ref="AG1430">_xlfn.XLOOKUP(Table1[[#This Row],[5 cm2 cell test code]:[5 cm2 cell test code]],[1]!Table1[[Test code]:[Test code]],[1]!Table1[Q_int_frac DIW],"",0)</f>
        <v>#REF!</v>
      </c>
      <c r="AH1430" s="69" t="e" cm="1">
        <f t="array" ref="AH1430">_xlfn.XLOOKUP(Table1[[#This Row],[5 cm2 cell test code]:[5 cm2 cell test code]],[1]!Table1[[Test code]:[Test code]],[1]!Table1[Ionic resistance 10 mM KOH/Ohm cm2],"",0)</f>
        <v>#REF!</v>
      </c>
      <c r="AI1430" s="69" t="e" cm="1">
        <f t="array" ref="AI1430">_xlfn.XLOOKUP(Table1[[#This Row],[5 cm2 cell test code]:[5 cm2 cell test code]],[1]!Table1[[Test code]:[Test code]],[1]!Table1[Q_int_frac DIW 10 mM KOH],"",0)</f>
        <v>#REF!</v>
      </c>
      <c r="AJ1430" s="69" t="e" cm="1">
        <f t="array" ref="AJ1430">_xlfn.XLOOKUP(Table1[[#This Row],[5 cm2 cell test code]:[5 cm2 cell test code]],[1]!Table1[[Test code]:[Test code]],[1]!Table1[DIW conductivity (µS/cm)],"",0)</f>
        <v>#REF!</v>
      </c>
    </row>
    <row r="1431" spans="1:36">
      <c r="A1431" s="81"/>
      <c r="U1431" s="101"/>
      <c r="V1431" s="101"/>
      <c r="W1431" s="69" t="e" cm="1">
        <f t="array" ref="W1431">_xlfn.XLOOKUP(Table1[[#This Row],[5 cm2 cell test code]:[5 cm2 cell test code]],[1]!Table1[[Test code]:[Test code]],[1]!Table1[i @ 1.8 V DIW (A/cm2)],"",0)</f>
        <v>#REF!</v>
      </c>
      <c r="X1431" s="69" t="e" cm="1">
        <f t="array" ref="X1431">_xlfn.XLOOKUP(Table1[[#This Row],[5 cm2 cell test code]:[5 cm2 cell test code]],[1]!Table1[[Test code]:[Test code]],[1]!Table1[i @ 1.8 V 10 mM KOH (A/cm2)],"",0)</f>
        <v>#REF!</v>
      </c>
      <c r="Y1431" s="69" t="e" cm="1">
        <f t="array" ref="Y1431">_xlfn.XLOOKUP(Table1[[#This Row],[5 cm2 cell test code]:[5 cm2 cell test code]],[1]!Table1[[Test code]:[Test code]],[1]!Table1[3-E ƞ at 20mAcm-2 (mV)],"",0)</f>
        <v>#REF!</v>
      </c>
      <c r="Z1431" s="69" t="e" cm="1">
        <f t="array" ref="Z1431">_xlfn.XLOOKUP(Table1[[#This Row],[5 cm2 cell test code]:[5 cm2 cell test code]],[1]!Table1[[Test code]:[Test code]],[1]!Table1[3-E Tafel slope (mV/dec)],"",0)</f>
        <v>#REF!</v>
      </c>
      <c r="AA1431" s="69" t="e" cm="1">
        <f t="array" ref="AA1431">_xlfn.XLOOKUP(Table1[[#This Row],[5 cm2 cell test code]:[5 cm2 cell test code]],[1]!Table1[[Test code]:[Test code]],[1]!Table1[E @ 100 mA/cm2 DIW/V],"",0)</f>
        <v>#REF!</v>
      </c>
      <c r="AB1431" s="69" t="e" cm="1">
        <f t="array" ref="AB1431">_xlfn.XLOOKUP(Table1[[#This Row],[5 cm2 cell test code]:[5 cm2 cell test code]],[1]!Table1[[Test code]:[Test code]],[1]!Table1[E @ 100 mA/cm2 10 mM KOH/V],"",0)</f>
        <v>#REF!</v>
      </c>
      <c r="AC1431" s="69" t="e" cm="1">
        <f t="array" ref="AC1431">_xlfn.XLOOKUP(Table1[[#This Row],[5 cm2 cell test code]:[5 cm2 cell test code]],[1]!Table1[[Test code]:[Test code]],[1]!Table1[Anode ICR/mOhm],"",0)</f>
        <v>#REF!</v>
      </c>
      <c r="AD1431" s="69" t="e" cm="1">
        <f t="array" ref="AD1431">_xlfn.XLOOKUP(Table1[[#This Row],[5 cm2 cell test code]:[5 cm2 cell test code]],[1]!Table1[[Test code]:[Test code]],[1]!Table1[HFR DIW/ mOhm cm2],"",0)</f>
        <v>#REF!</v>
      </c>
      <c r="AE1431" s="69" t="e" cm="1">
        <f t="array" ref="AE1431">_xlfn.XLOOKUP(Table1[[#This Row],[5 cm2 cell test code]:[5 cm2 cell test code]],[1]!Table1[[Test code]:[Test code]],[1]!Table1[HFR 10 mM KOH/ mOhm cm2],"",0)</f>
        <v>#REF!</v>
      </c>
      <c r="AF1431" s="69" t="e" cm="1">
        <f t="array" ref="AF1431">_xlfn.XLOOKUP(Table1[[#This Row],[5 cm2 cell test code]:[5 cm2 cell test code]],[1]!Table1[[Test code]:[Test code]],[1]!Table1[Ionic resistance DIW/Ohm cm2],"",0)</f>
        <v>#REF!</v>
      </c>
      <c r="AG1431" s="69" t="e" cm="1">
        <f t="array" ref="AG1431">_xlfn.XLOOKUP(Table1[[#This Row],[5 cm2 cell test code]:[5 cm2 cell test code]],[1]!Table1[[Test code]:[Test code]],[1]!Table1[Q_int_frac DIW],"",0)</f>
        <v>#REF!</v>
      </c>
      <c r="AH1431" s="69" t="e" cm="1">
        <f t="array" ref="AH1431">_xlfn.XLOOKUP(Table1[[#This Row],[5 cm2 cell test code]:[5 cm2 cell test code]],[1]!Table1[[Test code]:[Test code]],[1]!Table1[Ionic resistance 10 mM KOH/Ohm cm2],"",0)</f>
        <v>#REF!</v>
      </c>
      <c r="AI1431" s="69" t="e" cm="1">
        <f t="array" ref="AI1431">_xlfn.XLOOKUP(Table1[[#This Row],[5 cm2 cell test code]:[5 cm2 cell test code]],[1]!Table1[[Test code]:[Test code]],[1]!Table1[Q_int_frac DIW 10 mM KOH],"",0)</f>
        <v>#REF!</v>
      </c>
      <c r="AJ1431" s="69" t="e" cm="1">
        <f t="array" ref="AJ1431">_xlfn.XLOOKUP(Table1[[#This Row],[5 cm2 cell test code]:[5 cm2 cell test code]],[1]!Table1[[Test code]:[Test code]],[1]!Table1[DIW conductivity (µS/cm)],"",0)</f>
        <v>#REF!</v>
      </c>
    </row>
    <row r="1432" spans="1:36">
      <c r="A1432" s="81"/>
      <c r="U1432" s="101"/>
      <c r="V1432" s="101"/>
      <c r="W1432" s="69" t="e" cm="1">
        <f t="array" ref="W1432">_xlfn.XLOOKUP(Table1[[#This Row],[5 cm2 cell test code]:[5 cm2 cell test code]],[1]!Table1[[Test code]:[Test code]],[1]!Table1[i @ 1.8 V DIW (A/cm2)],"",0)</f>
        <v>#REF!</v>
      </c>
      <c r="X1432" s="69" t="e" cm="1">
        <f t="array" ref="X1432">_xlfn.XLOOKUP(Table1[[#This Row],[5 cm2 cell test code]:[5 cm2 cell test code]],[1]!Table1[[Test code]:[Test code]],[1]!Table1[i @ 1.8 V 10 mM KOH (A/cm2)],"",0)</f>
        <v>#REF!</v>
      </c>
      <c r="Y1432" s="69" t="e" cm="1">
        <f t="array" ref="Y1432">_xlfn.XLOOKUP(Table1[[#This Row],[5 cm2 cell test code]:[5 cm2 cell test code]],[1]!Table1[[Test code]:[Test code]],[1]!Table1[3-E ƞ at 20mAcm-2 (mV)],"",0)</f>
        <v>#REF!</v>
      </c>
      <c r="Z1432" s="69" t="e" cm="1">
        <f t="array" ref="Z1432">_xlfn.XLOOKUP(Table1[[#This Row],[5 cm2 cell test code]:[5 cm2 cell test code]],[1]!Table1[[Test code]:[Test code]],[1]!Table1[3-E Tafel slope (mV/dec)],"",0)</f>
        <v>#REF!</v>
      </c>
      <c r="AA1432" s="69" t="e" cm="1">
        <f t="array" ref="AA1432">_xlfn.XLOOKUP(Table1[[#This Row],[5 cm2 cell test code]:[5 cm2 cell test code]],[1]!Table1[[Test code]:[Test code]],[1]!Table1[E @ 100 mA/cm2 DIW/V],"",0)</f>
        <v>#REF!</v>
      </c>
      <c r="AB1432" s="69" t="e" cm="1">
        <f t="array" ref="AB1432">_xlfn.XLOOKUP(Table1[[#This Row],[5 cm2 cell test code]:[5 cm2 cell test code]],[1]!Table1[[Test code]:[Test code]],[1]!Table1[E @ 100 mA/cm2 10 mM KOH/V],"",0)</f>
        <v>#REF!</v>
      </c>
      <c r="AC1432" s="69" t="e" cm="1">
        <f t="array" ref="AC1432">_xlfn.XLOOKUP(Table1[[#This Row],[5 cm2 cell test code]:[5 cm2 cell test code]],[1]!Table1[[Test code]:[Test code]],[1]!Table1[Anode ICR/mOhm],"",0)</f>
        <v>#REF!</v>
      </c>
      <c r="AD1432" s="69" t="e" cm="1">
        <f t="array" ref="AD1432">_xlfn.XLOOKUP(Table1[[#This Row],[5 cm2 cell test code]:[5 cm2 cell test code]],[1]!Table1[[Test code]:[Test code]],[1]!Table1[HFR DIW/ mOhm cm2],"",0)</f>
        <v>#REF!</v>
      </c>
      <c r="AE1432" s="69" t="e" cm="1">
        <f t="array" ref="AE1432">_xlfn.XLOOKUP(Table1[[#This Row],[5 cm2 cell test code]:[5 cm2 cell test code]],[1]!Table1[[Test code]:[Test code]],[1]!Table1[HFR 10 mM KOH/ mOhm cm2],"",0)</f>
        <v>#REF!</v>
      </c>
      <c r="AF1432" s="69" t="e" cm="1">
        <f t="array" ref="AF1432">_xlfn.XLOOKUP(Table1[[#This Row],[5 cm2 cell test code]:[5 cm2 cell test code]],[1]!Table1[[Test code]:[Test code]],[1]!Table1[Ionic resistance DIW/Ohm cm2],"",0)</f>
        <v>#REF!</v>
      </c>
      <c r="AG1432" s="69" t="e" cm="1">
        <f t="array" ref="AG1432">_xlfn.XLOOKUP(Table1[[#This Row],[5 cm2 cell test code]:[5 cm2 cell test code]],[1]!Table1[[Test code]:[Test code]],[1]!Table1[Q_int_frac DIW],"",0)</f>
        <v>#REF!</v>
      </c>
      <c r="AH1432" s="69" t="e" cm="1">
        <f t="array" ref="AH1432">_xlfn.XLOOKUP(Table1[[#This Row],[5 cm2 cell test code]:[5 cm2 cell test code]],[1]!Table1[[Test code]:[Test code]],[1]!Table1[Ionic resistance 10 mM KOH/Ohm cm2],"",0)</f>
        <v>#REF!</v>
      </c>
      <c r="AI1432" s="69" t="e" cm="1">
        <f t="array" ref="AI1432">_xlfn.XLOOKUP(Table1[[#This Row],[5 cm2 cell test code]:[5 cm2 cell test code]],[1]!Table1[[Test code]:[Test code]],[1]!Table1[Q_int_frac DIW 10 mM KOH],"",0)</f>
        <v>#REF!</v>
      </c>
      <c r="AJ1432" s="69" t="e" cm="1">
        <f t="array" ref="AJ1432">_xlfn.XLOOKUP(Table1[[#This Row],[5 cm2 cell test code]:[5 cm2 cell test code]],[1]!Table1[[Test code]:[Test code]],[1]!Table1[DIW conductivity (µS/cm)],"",0)</f>
        <v>#REF!</v>
      </c>
    </row>
    <row r="1433" spans="1:36">
      <c r="A1433" s="81"/>
      <c r="U1433" s="101"/>
      <c r="V1433" s="101"/>
      <c r="W1433" s="69" t="e" cm="1">
        <f t="array" ref="W1433">_xlfn.XLOOKUP(Table1[[#This Row],[5 cm2 cell test code]:[5 cm2 cell test code]],[1]!Table1[[Test code]:[Test code]],[1]!Table1[i @ 1.8 V DIW (A/cm2)],"",0)</f>
        <v>#REF!</v>
      </c>
      <c r="X1433" s="69" t="e" cm="1">
        <f t="array" ref="X1433">_xlfn.XLOOKUP(Table1[[#This Row],[5 cm2 cell test code]:[5 cm2 cell test code]],[1]!Table1[[Test code]:[Test code]],[1]!Table1[i @ 1.8 V 10 mM KOH (A/cm2)],"",0)</f>
        <v>#REF!</v>
      </c>
      <c r="Y1433" s="69" t="e" cm="1">
        <f t="array" ref="Y1433">_xlfn.XLOOKUP(Table1[[#This Row],[5 cm2 cell test code]:[5 cm2 cell test code]],[1]!Table1[[Test code]:[Test code]],[1]!Table1[3-E ƞ at 20mAcm-2 (mV)],"",0)</f>
        <v>#REF!</v>
      </c>
      <c r="Z1433" s="69" t="e" cm="1">
        <f t="array" ref="Z1433">_xlfn.XLOOKUP(Table1[[#This Row],[5 cm2 cell test code]:[5 cm2 cell test code]],[1]!Table1[[Test code]:[Test code]],[1]!Table1[3-E Tafel slope (mV/dec)],"",0)</f>
        <v>#REF!</v>
      </c>
      <c r="AA1433" s="69" t="e" cm="1">
        <f t="array" ref="AA1433">_xlfn.XLOOKUP(Table1[[#This Row],[5 cm2 cell test code]:[5 cm2 cell test code]],[1]!Table1[[Test code]:[Test code]],[1]!Table1[E @ 100 mA/cm2 DIW/V],"",0)</f>
        <v>#REF!</v>
      </c>
      <c r="AB1433" s="69" t="e" cm="1">
        <f t="array" ref="AB1433">_xlfn.XLOOKUP(Table1[[#This Row],[5 cm2 cell test code]:[5 cm2 cell test code]],[1]!Table1[[Test code]:[Test code]],[1]!Table1[E @ 100 mA/cm2 10 mM KOH/V],"",0)</f>
        <v>#REF!</v>
      </c>
      <c r="AC1433" s="69" t="e" cm="1">
        <f t="array" ref="AC1433">_xlfn.XLOOKUP(Table1[[#This Row],[5 cm2 cell test code]:[5 cm2 cell test code]],[1]!Table1[[Test code]:[Test code]],[1]!Table1[Anode ICR/mOhm],"",0)</f>
        <v>#REF!</v>
      </c>
      <c r="AD1433" s="69" t="e" cm="1">
        <f t="array" ref="AD1433">_xlfn.XLOOKUP(Table1[[#This Row],[5 cm2 cell test code]:[5 cm2 cell test code]],[1]!Table1[[Test code]:[Test code]],[1]!Table1[HFR DIW/ mOhm cm2],"",0)</f>
        <v>#REF!</v>
      </c>
      <c r="AE1433" s="69" t="e" cm="1">
        <f t="array" ref="AE1433">_xlfn.XLOOKUP(Table1[[#This Row],[5 cm2 cell test code]:[5 cm2 cell test code]],[1]!Table1[[Test code]:[Test code]],[1]!Table1[HFR 10 mM KOH/ mOhm cm2],"",0)</f>
        <v>#REF!</v>
      </c>
      <c r="AF1433" s="69" t="e" cm="1">
        <f t="array" ref="AF1433">_xlfn.XLOOKUP(Table1[[#This Row],[5 cm2 cell test code]:[5 cm2 cell test code]],[1]!Table1[[Test code]:[Test code]],[1]!Table1[Ionic resistance DIW/Ohm cm2],"",0)</f>
        <v>#REF!</v>
      </c>
      <c r="AG1433" s="69" t="e" cm="1">
        <f t="array" ref="AG1433">_xlfn.XLOOKUP(Table1[[#This Row],[5 cm2 cell test code]:[5 cm2 cell test code]],[1]!Table1[[Test code]:[Test code]],[1]!Table1[Q_int_frac DIW],"",0)</f>
        <v>#REF!</v>
      </c>
      <c r="AH1433" s="69" t="e" cm="1">
        <f t="array" ref="AH1433">_xlfn.XLOOKUP(Table1[[#This Row],[5 cm2 cell test code]:[5 cm2 cell test code]],[1]!Table1[[Test code]:[Test code]],[1]!Table1[Ionic resistance 10 mM KOH/Ohm cm2],"",0)</f>
        <v>#REF!</v>
      </c>
      <c r="AI1433" s="69" t="e" cm="1">
        <f t="array" ref="AI1433">_xlfn.XLOOKUP(Table1[[#This Row],[5 cm2 cell test code]:[5 cm2 cell test code]],[1]!Table1[[Test code]:[Test code]],[1]!Table1[Q_int_frac DIW 10 mM KOH],"",0)</f>
        <v>#REF!</v>
      </c>
      <c r="AJ1433" s="69" t="e" cm="1">
        <f t="array" ref="AJ1433">_xlfn.XLOOKUP(Table1[[#This Row],[5 cm2 cell test code]:[5 cm2 cell test code]],[1]!Table1[[Test code]:[Test code]],[1]!Table1[DIW conductivity (µS/cm)],"",0)</f>
        <v>#REF!</v>
      </c>
    </row>
    <row r="1434" spans="1:36">
      <c r="A1434" s="81"/>
      <c r="U1434" s="101"/>
      <c r="V1434" s="101"/>
      <c r="W1434" s="69" t="e" cm="1">
        <f t="array" ref="W1434">_xlfn.XLOOKUP(Table1[[#This Row],[5 cm2 cell test code]:[5 cm2 cell test code]],[1]!Table1[[Test code]:[Test code]],[1]!Table1[i @ 1.8 V DIW (A/cm2)],"",0)</f>
        <v>#REF!</v>
      </c>
      <c r="X1434" s="69" t="e" cm="1">
        <f t="array" ref="X1434">_xlfn.XLOOKUP(Table1[[#This Row],[5 cm2 cell test code]:[5 cm2 cell test code]],[1]!Table1[[Test code]:[Test code]],[1]!Table1[i @ 1.8 V 10 mM KOH (A/cm2)],"",0)</f>
        <v>#REF!</v>
      </c>
      <c r="Y1434" s="69" t="e" cm="1">
        <f t="array" ref="Y1434">_xlfn.XLOOKUP(Table1[[#This Row],[5 cm2 cell test code]:[5 cm2 cell test code]],[1]!Table1[[Test code]:[Test code]],[1]!Table1[3-E ƞ at 20mAcm-2 (mV)],"",0)</f>
        <v>#REF!</v>
      </c>
      <c r="Z1434" s="69" t="e" cm="1">
        <f t="array" ref="Z1434">_xlfn.XLOOKUP(Table1[[#This Row],[5 cm2 cell test code]:[5 cm2 cell test code]],[1]!Table1[[Test code]:[Test code]],[1]!Table1[3-E Tafel slope (mV/dec)],"",0)</f>
        <v>#REF!</v>
      </c>
      <c r="AA1434" s="69" t="e" cm="1">
        <f t="array" ref="AA1434">_xlfn.XLOOKUP(Table1[[#This Row],[5 cm2 cell test code]:[5 cm2 cell test code]],[1]!Table1[[Test code]:[Test code]],[1]!Table1[E @ 100 mA/cm2 DIW/V],"",0)</f>
        <v>#REF!</v>
      </c>
      <c r="AB1434" s="69" t="e" cm="1">
        <f t="array" ref="AB1434">_xlfn.XLOOKUP(Table1[[#This Row],[5 cm2 cell test code]:[5 cm2 cell test code]],[1]!Table1[[Test code]:[Test code]],[1]!Table1[E @ 100 mA/cm2 10 mM KOH/V],"",0)</f>
        <v>#REF!</v>
      </c>
      <c r="AC1434" s="69" t="e" cm="1">
        <f t="array" ref="AC1434">_xlfn.XLOOKUP(Table1[[#This Row],[5 cm2 cell test code]:[5 cm2 cell test code]],[1]!Table1[[Test code]:[Test code]],[1]!Table1[Anode ICR/mOhm],"",0)</f>
        <v>#REF!</v>
      </c>
      <c r="AD1434" s="69" t="e" cm="1">
        <f t="array" ref="AD1434">_xlfn.XLOOKUP(Table1[[#This Row],[5 cm2 cell test code]:[5 cm2 cell test code]],[1]!Table1[[Test code]:[Test code]],[1]!Table1[HFR DIW/ mOhm cm2],"",0)</f>
        <v>#REF!</v>
      </c>
      <c r="AE1434" s="69" t="e" cm="1">
        <f t="array" ref="AE1434">_xlfn.XLOOKUP(Table1[[#This Row],[5 cm2 cell test code]:[5 cm2 cell test code]],[1]!Table1[[Test code]:[Test code]],[1]!Table1[HFR 10 mM KOH/ mOhm cm2],"",0)</f>
        <v>#REF!</v>
      </c>
      <c r="AF1434" s="69" t="e" cm="1">
        <f t="array" ref="AF1434">_xlfn.XLOOKUP(Table1[[#This Row],[5 cm2 cell test code]:[5 cm2 cell test code]],[1]!Table1[[Test code]:[Test code]],[1]!Table1[Ionic resistance DIW/Ohm cm2],"",0)</f>
        <v>#REF!</v>
      </c>
      <c r="AG1434" s="69" t="e" cm="1">
        <f t="array" ref="AG1434">_xlfn.XLOOKUP(Table1[[#This Row],[5 cm2 cell test code]:[5 cm2 cell test code]],[1]!Table1[[Test code]:[Test code]],[1]!Table1[Q_int_frac DIW],"",0)</f>
        <v>#REF!</v>
      </c>
      <c r="AH1434" s="69" t="e" cm="1">
        <f t="array" ref="AH1434">_xlfn.XLOOKUP(Table1[[#This Row],[5 cm2 cell test code]:[5 cm2 cell test code]],[1]!Table1[[Test code]:[Test code]],[1]!Table1[Ionic resistance 10 mM KOH/Ohm cm2],"",0)</f>
        <v>#REF!</v>
      </c>
      <c r="AI1434" s="69" t="e" cm="1">
        <f t="array" ref="AI1434">_xlfn.XLOOKUP(Table1[[#This Row],[5 cm2 cell test code]:[5 cm2 cell test code]],[1]!Table1[[Test code]:[Test code]],[1]!Table1[Q_int_frac DIW 10 mM KOH],"",0)</f>
        <v>#REF!</v>
      </c>
      <c r="AJ1434" s="69" t="e" cm="1">
        <f t="array" ref="AJ1434">_xlfn.XLOOKUP(Table1[[#This Row],[5 cm2 cell test code]:[5 cm2 cell test code]],[1]!Table1[[Test code]:[Test code]],[1]!Table1[DIW conductivity (µS/cm)],"",0)</f>
        <v>#REF!</v>
      </c>
    </row>
    <row r="1435" spans="1:36">
      <c r="A1435" s="81"/>
      <c r="U1435" s="101"/>
      <c r="V1435" s="101"/>
      <c r="W1435" s="69" t="e" cm="1">
        <f t="array" ref="W1435">_xlfn.XLOOKUP(Table1[[#This Row],[5 cm2 cell test code]:[5 cm2 cell test code]],[1]!Table1[[Test code]:[Test code]],[1]!Table1[i @ 1.8 V DIW (A/cm2)],"",0)</f>
        <v>#REF!</v>
      </c>
      <c r="X1435" s="69" t="e" cm="1">
        <f t="array" ref="X1435">_xlfn.XLOOKUP(Table1[[#This Row],[5 cm2 cell test code]:[5 cm2 cell test code]],[1]!Table1[[Test code]:[Test code]],[1]!Table1[i @ 1.8 V 10 mM KOH (A/cm2)],"",0)</f>
        <v>#REF!</v>
      </c>
      <c r="Y1435" s="69" t="e" cm="1">
        <f t="array" ref="Y1435">_xlfn.XLOOKUP(Table1[[#This Row],[5 cm2 cell test code]:[5 cm2 cell test code]],[1]!Table1[[Test code]:[Test code]],[1]!Table1[3-E ƞ at 20mAcm-2 (mV)],"",0)</f>
        <v>#REF!</v>
      </c>
      <c r="Z1435" s="69" t="e" cm="1">
        <f t="array" ref="Z1435">_xlfn.XLOOKUP(Table1[[#This Row],[5 cm2 cell test code]:[5 cm2 cell test code]],[1]!Table1[[Test code]:[Test code]],[1]!Table1[3-E Tafel slope (mV/dec)],"",0)</f>
        <v>#REF!</v>
      </c>
      <c r="AA1435" s="69" t="e" cm="1">
        <f t="array" ref="AA1435">_xlfn.XLOOKUP(Table1[[#This Row],[5 cm2 cell test code]:[5 cm2 cell test code]],[1]!Table1[[Test code]:[Test code]],[1]!Table1[E @ 100 mA/cm2 DIW/V],"",0)</f>
        <v>#REF!</v>
      </c>
      <c r="AB1435" s="69" t="e" cm="1">
        <f t="array" ref="AB1435">_xlfn.XLOOKUP(Table1[[#This Row],[5 cm2 cell test code]:[5 cm2 cell test code]],[1]!Table1[[Test code]:[Test code]],[1]!Table1[E @ 100 mA/cm2 10 mM KOH/V],"",0)</f>
        <v>#REF!</v>
      </c>
      <c r="AC1435" s="69" t="e" cm="1">
        <f t="array" ref="AC1435">_xlfn.XLOOKUP(Table1[[#This Row],[5 cm2 cell test code]:[5 cm2 cell test code]],[1]!Table1[[Test code]:[Test code]],[1]!Table1[Anode ICR/mOhm],"",0)</f>
        <v>#REF!</v>
      </c>
      <c r="AD1435" s="69" t="e" cm="1">
        <f t="array" ref="AD1435">_xlfn.XLOOKUP(Table1[[#This Row],[5 cm2 cell test code]:[5 cm2 cell test code]],[1]!Table1[[Test code]:[Test code]],[1]!Table1[HFR DIW/ mOhm cm2],"",0)</f>
        <v>#REF!</v>
      </c>
      <c r="AE1435" s="69" t="e" cm="1">
        <f t="array" ref="AE1435">_xlfn.XLOOKUP(Table1[[#This Row],[5 cm2 cell test code]:[5 cm2 cell test code]],[1]!Table1[[Test code]:[Test code]],[1]!Table1[HFR 10 mM KOH/ mOhm cm2],"",0)</f>
        <v>#REF!</v>
      </c>
      <c r="AF1435" s="69" t="e" cm="1">
        <f t="array" ref="AF1435">_xlfn.XLOOKUP(Table1[[#This Row],[5 cm2 cell test code]:[5 cm2 cell test code]],[1]!Table1[[Test code]:[Test code]],[1]!Table1[Ionic resistance DIW/Ohm cm2],"",0)</f>
        <v>#REF!</v>
      </c>
      <c r="AG1435" s="69" t="e" cm="1">
        <f t="array" ref="AG1435">_xlfn.XLOOKUP(Table1[[#This Row],[5 cm2 cell test code]:[5 cm2 cell test code]],[1]!Table1[[Test code]:[Test code]],[1]!Table1[Q_int_frac DIW],"",0)</f>
        <v>#REF!</v>
      </c>
      <c r="AH1435" s="69" t="e" cm="1">
        <f t="array" ref="AH1435">_xlfn.XLOOKUP(Table1[[#This Row],[5 cm2 cell test code]:[5 cm2 cell test code]],[1]!Table1[[Test code]:[Test code]],[1]!Table1[Ionic resistance 10 mM KOH/Ohm cm2],"",0)</f>
        <v>#REF!</v>
      </c>
      <c r="AI1435" s="69" t="e" cm="1">
        <f t="array" ref="AI1435">_xlfn.XLOOKUP(Table1[[#This Row],[5 cm2 cell test code]:[5 cm2 cell test code]],[1]!Table1[[Test code]:[Test code]],[1]!Table1[Q_int_frac DIW 10 mM KOH],"",0)</f>
        <v>#REF!</v>
      </c>
      <c r="AJ1435" s="69" t="e" cm="1">
        <f t="array" ref="AJ1435">_xlfn.XLOOKUP(Table1[[#This Row],[5 cm2 cell test code]:[5 cm2 cell test code]],[1]!Table1[[Test code]:[Test code]],[1]!Table1[DIW conductivity (µS/cm)],"",0)</f>
        <v>#REF!</v>
      </c>
    </row>
    <row r="1436" spans="1:36">
      <c r="A1436" s="81"/>
      <c r="U1436" s="101"/>
      <c r="V1436" s="101"/>
      <c r="W1436" s="69" t="e" cm="1">
        <f t="array" ref="W1436">_xlfn.XLOOKUP(Table1[[#This Row],[5 cm2 cell test code]:[5 cm2 cell test code]],[1]!Table1[[Test code]:[Test code]],[1]!Table1[i @ 1.8 V DIW (A/cm2)],"",0)</f>
        <v>#REF!</v>
      </c>
      <c r="X1436" s="69" t="e" cm="1">
        <f t="array" ref="X1436">_xlfn.XLOOKUP(Table1[[#This Row],[5 cm2 cell test code]:[5 cm2 cell test code]],[1]!Table1[[Test code]:[Test code]],[1]!Table1[i @ 1.8 V 10 mM KOH (A/cm2)],"",0)</f>
        <v>#REF!</v>
      </c>
      <c r="Y1436" s="69" t="e" cm="1">
        <f t="array" ref="Y1436">_xlfn.XLOOKUP(Table1[[#This Row],[5 cm2 cell test code]:[5 cm2 cell test code]],[1]!Table1[[Test code]:[Test code]],[1]!Table1[3-E ƞ at 20mAcm-2 (mV)],"",0)</f>
        <v>#REF!</v>
      </c>
      <c r="Z1436" s="69" t="e" cm="1">
        <f t="array" ref="Z1436">_xlfn.XLOOKUP(Table1[[#This Row],[5 cm2 cell test code]:[5 cm2 cell test code]],[1]!Table1[[Test code]:[Test code]],[1]!Table1[3-E Tafel slope (mV/dec)],"",0)</f>
        <v>#REF!</v>
      </c>
      <c r="AA1436" s="69" t="e" cm="1">
        <f t="array" ref="AA1436">_xlfn.XLOOKUP(Table1[[#This Row],[5 cm2 cell test code]:[5 cm2 cell test code]],[1]!Table1[[Test code]:[Test code]],[1]!Table1[E @ 100 mA/cm2 DIW/V],"",0)</f>
        <v>#REF!</v>
      </c>
      <c r="AB1436" s="69" t="e" cm="1">
        <f t="array" ref="AB1436">_xlfn.XLOOKUP(Table1[[#This Row],[5 cm2 cell test code]:[5 cm2 cell test code]],[1]!Table1[[Test code]:[Test code]],[1]!Table1[E @ 100 mA/cm2 10 mM KOH/V],"",0)</f>
        <v>#REF!</v>
      </c>
      <c r="AC1436" s="69" t="e" cm="1">
        <f t="array" ref="AC1436">_xlfn.XLOOKUP(Table1[[#This Row],[5 cm2 cell test code]:[5 cm2 cell test code]],[1]!Table1[[Test code]:[Test code]],[1]!Table1[Anode ICR/mOhm],"",0)</f>
        <v>#REF!</v>
      </c>
      <c r="AD1436" s="69" t="e" cm="1">
        <f t="array" ref="AD1436">_xlfn.XLOOKUP(Table1[[#This Row],[5 cm2 cell test code]:[5 cm2 cell test code]],[1]!Table1[[Test code]:[Test code]],[1]!Table1[HFR DIW/ mOhm cm2],"",0)</f>
        <v>#REF!</v>
      </c>
      <c r="AE1436" s="69" t="e" cm="1">
        <f t="array" ref="AE1436">_xlfn.XLOOKUP(Table1[[#This Row],[5 cm2 cell test code]:[5 cm2 cell test code]],[1]!Table1[[Test code]:[Test code]],[1]!Table1[HFR 10 mM KOH/ mOhm cm2],"",0)</f>
        <v>#REF!</v>
      </c>
      <c r="AF1436" s="69" t="e" cm="1">
        <f t="array" ref="AF1436">_xlfn.XLOOKUP(Table1[[#This Row],[5 cm2 cell test code]:[5 cm2 cell test code]],[1]!Table1[[Test code]:[Test code]],[1]!Table1[Ionic resistance DIW/Ohm cm2],"",0)</f>
        <v>#REF!</v>
      </c>
      <c r="AG1436" s="69" t="e" cm="1">
        <f t="array" ref="AG1436">_xlfn.XLOOKUP(Table1[[#This Row],[5 cm2 cell test code]:[5 cm2 cell test code]],[1]!Table1[[Test code]:[Test code]],[1]!Table1[Q_int_frac DIW],"",0)</f>
        <v>#REF!</v>
      </c>
      <c r="AH1436" s="69" t="e" cm="1">
        <f t="array" ref="AH1436">_xlfn.XLOOKUP(Table1[[#This Row],[5 cm2 cell test code]:[5 cm2 cell test code]],[1]!Table1[[Test code]:[Test code]],[1]!Table1[Ionic resistance 10 mM KOH/Ohm cm2],"",0)</f>
        <v>#REF!</v>
      </c>
      <c r="AI1436" s="69" t="e" cm="1">
        <f t="array" ref="AI1436">_xlfn.XLOOKUP(Table1[[#This Row],[5 cm2 cell test code]:[5 cm2 cell test code]],[1]!Table1[[Test code]:[Test code]],[1]!Table1[Q_int_frac DIW 10 mM KOH],"",0)</f>
        <v>#REF!</v>
      </c>
      <c r="AJ1436" s="69" t="e" cm="1">
        <f t="array" ref="AJ1436">_xlfn.XLOOKUP(Table1[[#This Row],[5 cm2 cell test code]:[5 cm2 cell test code]],[1]!Table1[[Test code]:[Test code]],[1]!Table1[DIW conductivity (µS/cm)],"",0)</f>
        <v>#REF!</v>
      </c>
    </row>
    <row r="1437" spans="1:36">
      <c r="A1437" s="81"/>
      <c r="U1437" s="101"/>
      <c r="V1437" s="101"/>
      <c r="W1437" s="69" t="e" cm="1">
        <f t="array" ref="W1437">_xlfn.XLOOKUP(Table1[[#This Row],[5 cm2 cell test code]:[5 cm2 cell test code]],[1]!Table1[[Test code]:[Test code]],[1]!Table1[i @ 1.8 V DIW (A/cm2)],"",0)</f>
        <v>#REF!</v>
      </c>
      <c r="X1437" s="69" t="e" cm="1">
        <f t="array" ref="X1437">_xlfn.XLOOKUP(Table1[[#This Row],[5 cm2 cell test code]:[5 cm2 cell test code]],[1]!Table1[[Test code]:[Test code]],[1]!Table1[i @ 1.8 V 10 mM KOH (A/cm2)],"",0)</f>
        <v>#REF!</v>
      </c>
      <c r="Y1437" s="69" t="e" cm="1">
        <f t="array" ref="Y1437">_xlfn.XLOOKUP(Table1[[#This Row],[5 cm2 cell test code]:[5 cm2 cell test code]],[1]!Table1[[Test code]:[Test code]],[1]!Table1[3-E ƞ at 20mAcm-2 (mV)],"",0)</f>
        <v>#REF!</v>
      </c>
      <c r="Z1437" s="69" t="e" cm="1">
        <f t="array" ref="Z1437">_xlfn.XLOOKUP(Table1[[#This Row],[5 cm2 cell test code]:[5 cm2 cell test code]],[1]!Table1[[Test code]:[Test code]],[1]!Table1[3-E Tafel slope (mV/dec)],"",0)</f>
        <v>#REF!</v>
      </c>
      <c r="AA1437" s="69" t="e" cm="1">
        <f t="array" ref="AA1437">_xlfn.XLOOKUP(Table1[[#This Row],[5 cm2 cell test code]:[5 cm2 cell test code]],[1]!Table1[[Test code]:[Test code]],[1]!Table1[E @ 100 mA/cm2 DIW/V],"",0)</f>
        <v>#REF!</v>
      </c>
      <c r="AB1437" s="69" t="e" cm="1">
        <f t="array" ref="AB1437">_xlfn.XLOOKUP(Table1[[#This Row],[5 cm2 cell test code]:[5 cm2 cell test code]],[1]!Table1[[Test code]:[Test code]],[1]!Table1[E @ 100 mA/cm2 10 mM KOH/V],"",0)</f>
        <v>#REF!</v>
      </c>
      <c r="AC1437" s="69" t="e" cm="1">
        <f t="array" ref="AC1437">_xlfn.XLOOKUP(Table1[[#This Row],[5 cm2 cell test code]:[5 cm2 cell test code]],[1]!Table1[[Test code]:[Test code]],[1]!Table1[Anode ICR/mOhm],"",0)</f>
        <v>#REF!</v>
      </c>
      <c r="AD1437" s="69" t="e" cm="1">
        <f t="array" ref="AD1437">_xlfn.XLOOKUP(Table1[[#This Row],[5 cm2 cell test code]:[5 cm2 cell test code]],[1]!Table1[[Test code]:[Test code]],[1]!Table1[HFR DIW/ mOhm cm2],"",0)</f>
        <v>#REF!</v>
      </c>
      <c r="AE1437" s="69" t="e" cm="1">
        <f t="array" ref="AE1437">_xlfn.XLOOKUP(Table1[[#This Row],[5 cm2 cell test code]:[5 cm2 cell test code]],[1]!Table1[[Test code]:[Test code]],[1]!Table1[HFR 10 mM KOH/ mOhm cm2],"",0)</f>
        <v>#REF!</v>
      </c>
      <c r="AF1437" s="69" t="e" cm="1">
        <f t="array" ref="AF1437">_xlfn.XLOOKUP(Table1[[#This Row],[5 cm2 cell test code]:[5 cm2 cell test code]],[1]!Table1[[Test code]:[Test code]],[1]!Table1[Ionic resistance DIW/Ohm cm2],"",0)</f>
        <v>#REF!</v>
      </c>
      <c r="AG1437" s="69" t="e" cm="1">
        <f t="array" ref="AG1437">_xlfn.XLOOKUP(Table1[[#This Row],[5 cm2 cell test code]:[5 cm2 cell test code]],[1]!Table1[[Test code]:[Test code]],[1]!Table1[Q_int_frac DIW],"",0)</f>
        <v>#REF!</v>
      </c>
      <c r="AH1437" s="69" t="e" cm="1">
        <f t="array" ref="AH1437">_xlfn.XLOOKUP(Table1[[#This Row],[5 cm2 cell test code]:[5 cm2 cell test code]],[1]!Table1[[Test code]:[Test code]],[1]!Table1[Ionic resistance 10 mM KOH/Ohm cm2],"",0)</f>
        <v>#REF!</v>
      </c>
      <c r="AI1437" s="69" t="e" cm="1">
        <f t="array" ref="AI1437">_xlfn.XLOOKUP(Table1[[#This Row],[5 cm2 cell test code]:[5 cm2 cell test code]],[1]!Table1[[Test code]:[Test code]],[1]!Table1[Q_int_frac DIW 10 mM KOH],"",0)</f>
        <v>#REF!</v>
      </c>
      <c r="AJ1437" s="69" t="e" cm="1">
        <f t="array" ref="AJ1437">_xlfn.XLOOKUP(Table1[[#This Row],[5 cm2 cell test code]:[5 cm2 cell test code]],[1]!Table1[[Test code]:[Test code]],[1]!Table1[DIW conductivity (µS/cm)],"",0)</f>
        <v>#REF!</v>
      </c>
    </row>
    <row r="1438" spans="1:36">
      <c r="A1438" s="81"/>
      <c r="U1438" s="101"/>
      <c r="V1438" s="101"/>
      <c r="W1438" s="69" t="e" cm="1">
        <f t="array" ref="W1438">_xlfn.XLOOKUP(Table1[[#This Row],[5 cm2 cell test code]:[5 cm2 cell test code]],[1]!Table1[[Test code]:[Test code]],[1]!Table1[i @ 1.8 V DIW (A/cm2)],"",0)</f>
        <v>#REF!</v>
      </c>
      <c r="X1438" s="69" t="e" cm="1">
        <f t="array" ref="X1438">_xlfn.XLOOKUP(Table1[[#This Row],[5 cm2 cell test code]:[5 cm2 cell test code]],[1]!Table1[[Test code]:[Test code]],[1]!Table1[i @ 1.8 V 10 mM KOH (A/cm2)],"",0)</f>
        <v>#REF!</v>
      </c>
      <c r="Y1438" s="69" t="e" cm="1">
        <f t="array" ref="Y1438">_xlfn.XLOOKUP(Table1[[#This Row],[5 cm2 cell test code]:[5 cm2 cell test code]],[1]!Table1[[Test code]:[Test code]],[1]!Table1[3-E ƞ at 20mAcm-2 (mV)],"",0)</f>
        <v>#REF!</v>
      </c>
      <c r="Z1438" s="69" t="e" cm="1">
        <f t="array" ref="Z1438">_xlfn.XLOOKUP(Table1[[#This Row],[5 cm2 cell test code]:[5 cm2 cell test code]],[1]!Table1[[Test code]:[Test code]],[1]!Table1[3-E Tafel slope (mV/dec)],"",0)</f>
        <v>#REF!</v>
      </c>
      <c r="AA1438" s="69" t="e" cm="1">
        <f t="array" ref="AA1438">_xlfn.XLOOKUP(Table1[[#This Row],[5 cm2 cell test code]:[5 cm2 cell test code]],[1]!Table1[[Test code]:[Test code]],[1]!Table1[E @ 100 mA/cm2 DIW/V],"",0)</f>
        <v>#REF!</v>
      </c>
      <c r="AB1438" s="69" t="e" cm="1">
        <f t="array" ref="AB1438">_xlfn.XLOOKUP(Table1[[#This Row],[5 cm2 cell test code]:[5 cm2 cell test code]],[1]!Table1[[Test code]:[Test code]],[1]!Table1[E @ 100 mA/cm2 10 mM KOH/V],"",0)</f>
        <v>#REF!</v>
      </c>
      <c r="AC1438" s="69" t="e" cm="1">
        <f t="array" ref="AC1438">_xlfn.XLOOKUP(Table1[[#This Row],[5 cm2 cell test code]:[5 cm2 cell test code]],[1]!Table1[[Test code]:[Test code]],[1]!Table1[Anode ICR/mOhm],"",0)</f>
        <v>#REF!</v>
      </c>
      <c r="AD1438" s="69" t="e" cm="1">
        <f t="array" ref="AD1438">_xlfn.XLOOKUP(Table1[[#This Row],[5 cm2 cell test code]:[5 cm2 cell test code]],[1]!Table1[[Test code]:[Test code]],[1]!Table1[HFR DIW/ mOhm cm2],"",0)</f>
        <v>#REF!</v>
      </c>
      <c r="AE1438" s="69" t="e" cm="1">
        <f t="array" ref="AE1438">_xlfn.XLOOKUP(Table1[[#This Row],[5 cm2 cell test code]:[5 cm2 cell test code]],[1]!Table1[[Test code]:[Test code]],[1]!Table1[HFR 10 mM KOH/ mOhm cm2],"",0)</f>
        <v>#REF!</v>
      </c>
      <c r="AF1438" s="69" t="e" cm="1">
        <f t="array" ref="AF1438">_xlfn.XLOOKUP(Table1[[#This Row],[5 cm2 cell test code]:[5 cm2 cell test code]],[1]!Table1[[Test code]:[Test code]],[1]!Table1[Ionic resistance DIW/Ohm cm2],"",0)</f>
        <v>#REF!</v>
      </c>
      <c r="AG1438" s="69" t="e" cm="1">
        <f t="array" ref="AG1438">_xlfn.XLOOKUP(Table1[[#This Row],[5 cm2 cell test code]:[5 cm2 cell test code]],[1]!Table1[[Test code]:[Test code]],[1]!Table1[Q_int_frac DIW],"",0)</f>
        <v>#REF!</v>
      </c>
      <c r="AH1438" s="69" t="e" cm="1">
        <f t="array" ref="AH1438">_xlfn.XLOOKUP(Table1[[#This Row],[5 cm2 cell test code]:[5 cm2 cell test code]],[1]!Table1[[Test code]:[Test code]],[1]!Table1[Ionic resistance 10 mM KOH/Ohm cm2],"",0)</f>
        <v>#REF!</v>
      </c>
      <c r="AI1438" s="69" t="e" cm="1">
        <f t="array" ref="AI1438">_xlfn.XLOOKUP(Table1[[#This Row],[5 cm2 cell test code]:[5 cm2 cell test code]],[1]!Table1[[Test code]:[Test code]],[1]!Table1[Q_int_frac DIW 10 mM KOH],"",0)</f>
        <v>#REF!</v>
      </c>
      <c r="AJ1438" s="69" t="e" cm="1">
        <f t="array" ref="AJ1438">_xlfn.XLOOKUP(Table1[[#This Row],[5 cm2 cell test code]:[5 cm2 cell test code]],[1]!Table1[[Test code]:[Test code]],[1]!Table1[DIW conductivity (µS/cm)],"",0)</f>
        <v>#REF!</v>
      </c>
    </row>
    <row r="1439" spans="1:36">
      <c r="A1439" s="81"/>
      <c r="U1439" s="101"/>
      <c r="V1439" s="101"/>
      <c r="W1439" s="69" t="e" cm="1">
        <f t="array" ref="W1439">_xlfn.XLOOKUP(Table1[[#This Row],[5 cm2 cell test code]:[5 cm2 cell test code]],[1]!Table1[[Test code]:[Test code]],[1]!Table1[i @ 1.8 V DIW (A/cm2)],"",0)</f>
        <v>#REF!</v>
      </c>
      <c r="X1439" s="69" t="e" cm="1">
        <f t="array" ref="X1439">_xlfn.XLOOKUP(Table1[[#This Row],[5 cm2 cell test code]:[5 cm2 cell test code]],[1]!Table1[[Test code]:[Test code]],[1]!Table1[i @ 1.8 V 10 mM KOH (A/cm2)],"",0)</f>
        <v>#REF!</v>
      </c>
      <c r="Y1439" s="69" t="e" cm="1">
        <f t="array" ref="Y1439">_xlfn.XLOOKUP(Table1[[#This Row],[5 cm2 cell test code]:[5 cm2 cell test code]],[1]!Table1[[Test code]:[Test code]],[1]!Table1[3-E ƞ at 20mAcm-2 (mV)],"",0)</f>
        <v>#REF!</v>
      </c>
      <c r="Z1439" s="69" t="e" cm="1">
        <f t="array" ref="Z1439">_xlfn.XLOOKUP(Table1[[#This Row],[5 cm2 cell test code]:[5 cm2 cell test code]],[1]!Table1[[Test code]:[Test code]],[1]!Table1[3-E Tafel slope (mV/dec)],"",0)</f>
        <v>#REF!</v>
      </c>
      <c r="AA1439" s="69" t="e" cm="1">
        <f t="array" ref="AA1439">_xlfn.XLOOKUP(Table1[[#This Row],[5 cm2 cell test code]:[5 cm2 cell test code]],[1]!Table1[[Test code]:[Test code]],[1]!Table1[E @ 100 mA/cm2 DIW/V],"",0)</f>
        <v>#REF!</v>
      </c>
      <c r="AB1439" s="69" t="e" cm="1">
        <f t="array" ref="AB1439">_xlfn.XLOOKUP(Table1[[#This Row],[5 cm2 cell test code]:[5 cm2 cell test code]],[1]!Table1[[Test code]:[Test code]],[1]!Table1[E @ 100 mA/cm2 10 mM KOH/V],"",0)</f>
        <v>#REF!</v>
      </c>
      <c r="AC1439" s="69" t="e" cm="1">
        <f t="array" ref="AC1439">_xlfn.XLOOKUP(Table1[[#This Row],[5 cm2 cell test code]:[5 cm2 cell test code]],[1]!Table1[[Test code]:[Test code]],[1]!Table1[Anode ICR/mOhm],"",0)</f>
        <v>#REF!</v>
      </c>
      <c r="AD1439" s="69" t="e" cm="1">
        <f t="array" ref="AD1439">_xlfn.XLOOKUP(Table1[[#This Row],[5 cm2 cell test code]:[5 cm2 cell test code]],[1]!Table1[[Test code]:[Test code]],[1]!Table1[HFR DIW/ mOhm cm2],"",0)</f>
        <v>#REF!</v>
      </c>
      <c r="AE1439" s="69" t="e" cm="1">
        <f t="array" ref="AE1439">_xlfn.XLOOKUP(Table1[[#This Row],[5 cm2 cell test code]:[5 cm2 cell test code]],[1]!Table1[[Test code]:[Test code]],[1]!Table1[HFR 10 mM KOH/ mOhm cm2],"",0)</f>
        <v>#REF!</v>
      </c>
      <c r="AF1439" s="69" t="e" cm="1">
        <f t="array" ref="AF1439">_xlfn.XLOOKUP(Table1[[#This Row],[5 cm2 cell test code]:[5 cm2 cell test code]],[1]!Table1[[Test code]:[Test code]],[1]!Table1[Ionic resistance DIW/Ohm cm2],"",0)</f>
        <v>#REF!</v>
      </c>
      <c r="AG1439" s="69" t="e" cm="1">
        <f t="array" ref="AG1439">_xlfn.XLOOKUP(Table1[[#This Row],[5 cm2 cell test code]:[5 cm2 cell test code]],[1]!Table1[[Test code]:[Test code]],[1]!Table1[Q_int_frac DIW],"",0)</f>
        <v>#REF!</v>
      </c>
      <c r="AH1439" s="69" t="e" cm="1">
        <f t="array" ref="AH1439">_xlfn.XLOOKUP(Table1[[#This Row],[5 cm2 cell test code]:[5 cm2 cell test code]],[1]!Table1[[Test code]:[Test code]],[1]!Table1[Ionic resistance 10 mM KOH/Ohm cm2],"",0)</f>
        <v>#REF!</v>
      </c>
      <c r="AI1439" s="69" t="e" cm="1">
        <f t="array" ref="AI1439">_xlfn.XLOOKUP(Table1[[#This Row],[5 cm2 cell test code]:[5 cm2 cell test code]],[1]!Table1[[Test code]:[Test code]],[1]!Table1[Q_int_frac DIW 10 mM KOH],"",0)</f>
        <v>#REF!</v>
      </c>
      <c r="AJ1439" s="69" t="e" cm="1">
        <f t="array" ref="AJ1439">_xlfn.XLOOKUP(Table1[[#This Row],[5 cm2 cell test code]:[5 cm2 cell test code]],[1]!Table1[[Test code]:[Test code]],[1]!Table1[DIW conductivity (µS/cm)],"",0)</f>
        <v>#REF!</v>
      </c>
    </row>
    <row r="1440" spans="1:36">
      <c r="A1440" s="81"/>
      <c r="U1440" s="101"/>
      <c r="V1440" s="101"/>
      <c r="W1440" s="69" t="e" cm="1">
        <f t="array" ref="W1440">_xlfn.XLOOKUP(Table1[[#This Row],[5 cm2 cell test code]:[5 cm2 cell test code]],[1]!Table1[[Test code]:[Test code]],[1]!Table1[i @ 1.8 V DIW (A/cm2)],"",0)</f>
        <v>#REF!</v>
      </c>
      <c r="X1440" s="69" t="e" cm="1">
        <f t="array" ref="X1440">_xlfn.XLOOKUP(Table1[[#This Row],[5 cm2 cell test code]:[5 cm2 cell test code]],[1]!Table1[[Test code]:[Test code]],[1]!Table1[i @ 1.8 V 10 mM KOH (A/cm2)],"",0)</f>
        <v>#REF!</v>
      </c>
      <c r="Y1440" s="69" t="e" cm="1">
        <f t="array" ref="Y1440">_xlfn.XLOOKUP(Table1[[#This Row],[5 cm2 cell test code]:[5 cm2 cell test code]],[1]!Table1[[Test code]:[Test code]],[1]!Table1[3-E ƞ at 20mAcm-2 (mV)],"",0)</f>
        <v>#REF!</v>
      </c>
      <c r="Z1440" s="69" t="e" cm="1">
        <f t="array" ref="Z1440">_xlfn.XLOOKUP(Table1[[#This Row],[5 cm2 cell test code]:[5 cm2 cell test code]],[1]!Table1[[Test code]:[Test code]],[1]!Table1[3-E Tafel slope (mV/dec)],"",0)</f>
        <v>#REF!</v>
      </c>
      <c r="AA1440" s="69" t="e" cm="1">
        <f t="array" ref="AA1440">_xlfn.XLOOKUP(Table1[[#This Row],[5 cm2 cell test code]:[5 cm2 cell test code]],[1]!Table1[[Test code]:[Test code]],[1]!Table1[E @ 100 mA/cm2 DIW/V],"",0)</f>
        <v>#REF!</v>
      </c>
      <c r="AB1440" s="69" t="e" cm="1">
        <f t="array" ref="AB1440">_xlfn.XLOOKUP(Table1[[#This Row],[5 cm2 cell test code]:[5 cm2 cell test code]],[1]!Table1[[Test code]:[Test code]],[1]!Table1[E @ 100 mA/cm2 10 mM KOH/V],"",0)</f>
        <v>#REF!</v>
      </c>
      <c r="AC1440" s="69" t="e" cm="1">
        <f t="array" ref="AC1440">_xlfn.XLOOKUP(Table1[[#This Row],[5 cm2 cell test code]:[5 cm2 cell test code]],[1]!Table1[[Test code]:[Test code]],[1]!Table1[Anode ICR/mOhm],"",0)</f>
        <v>#REF!</v>
      </c>
      <c r="AD1440" s="69" t="e" cm="1">
        <f t="array" ref="AD1440">_xlfn.XLOOKUP(Table1[[#This Row],[5 cm2 cell test code]:[5 cm2 cell test code]],[1]!Table1[[Test code]:[Test code]],[1]!Table1[HFR DIW/ mOhm cm2],"",0)</f>
        <v>#REF!</v>
      </c>
      <c r="AE1440" s="69" t="e" cm="1">
        <f t="array" ref="AE1440">_xlfn.XLOOKUP(Table1[[#This Row],[5 cm2 cell test code]:[5 cm2 cell test code]],[1]!Table1[[Test code]:[Test code]],[1]!Table1[HFR 10 mM KOH/ mOhm cm2],"",0)</f>
        <v>#REF!</v>
      </c>
      <c r="AF1440" s="69" t="e" cm="1">
        <f t="array" ref="AF1440">_xlfn.XLOOKUP(Table1[[#This Row],[5 cm2 cell test code]:[5 cm2 cell test code]],[1]!Table1[[Test code]:[Test code]],[1]!Table1[Ionic resistance DIW/Ohm cm2],"",0)</f>
        <v>#REF!</v>
      </c>
      <c r="AG1440" s="69" t="e" cm="1">
        <f t="array" ref="AG1440">_xlfn.XLOOKUP(Table1[[#This Row],[5 cm2 cell test code]:[5 cm2 cell test code]],[1]!Table1[[Test code]:[Test code]],[1]!Table1[Q_int_frac DIW],"",0)</f>
        <v>#REF!</v>
      </c>
      <c r="AH1440" s="69" t="e" cm="1">
        <f t="array" ref="AH1440">_xlfn.XLOOKUP(Table1[[#This Row],[5 cm2 cell test code]:[5 cm2 cell test code]],[1]!Table1[[Test code]:[Test code]],[1]!Table1[Ionic resistance 10 mM KOH/Ohm cm2],"",0)</f>
        <v>#REF!</v>
      </c>
      <c r="AI1440" s="69" t="e" cm="1">
        <f t="array" ref="AI1440">_xlfn.XLOOKUP(Table1[[#This Row],[5 cm2 cell test code]:[5 cm2 cell test code]],[1]!Table1[[Test code]:[Test code]],[1]!Table1[Q_int_frac DIW 10 mM KOH],"",0)</f>
        <v>#REF!</v>
      </c>
      <c r="AJ1440" s="69" t="e" cm="1">
        <f t="array" ref="AJ1440">_xlfn.XLOOKUP(Table1[[#This Row],[5 cm2 cell test code]:[5 cm2 cell test code]],[1]!Table1[[Test code]:[Test code]],[1]!Table1[DIW conductivity (µS/cm)],"",0)</f>
        <v>#REF!</v>
      </c>
    </row>
    <row r="1441" spans="1:36">
      <c r="A1441" s="81"/>
      <c r="U1441" s="101"/>
      <c r="V1441" s="101"/>
      <c r="W1441" s="69" t="e" cm="1">
        <f t="array" ref="W1441">_xlfn.XLOOKUP(Table1[[#This Row],[5 cm2 cell test code]:[5 cm2 cell test code]],[1]!Table1[[Test code]:[Test code]],[1]!Table1[i @ 1.8 V DIW (A/cm2)],"",0)</f>
        <v>#REF!</v>
      </c>
      <c r="X1441" s="69" t="e" cm="1">
        <f t="array" ref="X1441">_xlfn.XLOOKUP(Table1[[#This Row],[5 cm2 cell test code]:[5 cm2 cell test code]],[1]!Table1[[Test code]:[Test code]],[1]!Table1[i @ 1.8 V 10 mM KOH (A/cm2)],"",0)</f>
        <v>#REF!</v>
      </c>
      <c r="Y1441" s="69" t="e" cm="1">
        <f t="array" ref="Y1441">_xlfn.XLOOKUP(Table1[[#This Row],[5 cm2 cell test code]:[5 cm2 cell test code]],[1]!Table1[[Test code]:[Test code]],[1]!Table1[3-E ƞ at 20mAcm-2 (mV)],"",0)</f>
        <v>#REF!</v>
      </c>
      <c r="Z1441" s="69" t="e" cm="1">
        <f t="array" ref="Z1441">_xlfn.XLOOKUP(Table1[[#This Row],[5 cm2 cell test code]:[5 cm2 cell test code]],[1]!Table1[[Test code]:[Test code]],[1]!Table1[3-E Tafel slope (mV/dec)],"",0)</f>
        <v>#REF!</v>
      </c>
      <c r="AA1441" s="69" t="e" cm="1">
        <f t="array" ref="AA1441">_xlfn.XLOOKUP(Table1[[#This Row],[5 cm2 cell test code]:[5 cm2 cell test code]],[1]!Table1[[Test code]:[Test code]],[1]!Table1[E @ 100 mA/cm2 DIW/V],"",0)</f>
        <v>#REF!</v>
      </c>
      <c r="AB1441" s="69" t="e" cm="1">
        <f t="array" ref="AB1441">_xlfn.XLOOKUP(Table1[[#This Row],[5 cm2 cell test code]:[5 cm2 cell test code]],[1]!Table1[[Test code]:[Test code]],[1]!Table1[E @ 100 mA/cm2 10 mM KOH/V],"",0)</f>
        <v>#REF!</v>
      </c>
      <c r="AC1441" s="69" t="e" cm="1">
        <f t="array" ref="AC1441">_xlfn.XLOOKUP(Table1[[#This Row],[5 cm2 cell test code]:[5 cm2 cell test code]],[1]!Table1[[Test code]:[Test code]],[1]!Table1[Anode ICR/mOhm],"",0)</f>
        <v>#REF!</v>
      </c>
      <c r="AD1441" s="69" t="e" cm="1">
        <f t="array" ref="AD1441">_xlfn.XLOOKUP(Table1[[#This Row],[5 cm2 cell test code]:[5 cm2 cell test code]],[1]!Table1[[Test code]:[Test code]],[1]!Table1[HFR DIW/ mOhm cm2],"",0)</f>
        <v>#REF!</v>
      </c>
      <c r="AE1441" s="69" t="e" cm="1">
        <f t="array" ref="AE1441">_xlfn.XLOOKUP(Table1[[#This Row],[5 cm2 cell test code]:[5 cm2 cell test code]],[1]!Table1[[Test code]:[Test code]],[1]!Table1[HFR 10 mM KOH/ mOhm cm2],"",0)</f>
        <v>#REF!</v>
      </c>
      <c r="AF1441" s="69" t="e" cm="1">
        <f t="array" ref="AF1441">_xlfn.XLOOKUP(Table1[[#This Row],[5 cm2 cell test code]:[5 cm2 cell test code]],[1]!Table1[[Test code]:[Test code]],[1]!Table1[Ionic resistance DIW/Ohm cm2],"",0)</f>
        <v>#REF!</v>
      </c>
      <c r="AG1441" s="69" t="e" cm="1">
        <f t="array" ref="AG1441">_xlfn.XLOOKUP(Table1[[#This Row],[5 cm2 cell test code]:[5 cm2 cell test code]],[1]!Table1[[Test code]:[Test code]],[1]!Table1[Q_int_frac DIW],"",0)</f>
        <v>#REF!</v>
      </c>
      <c r="AH1441" s="69" t="e" cm="1">
        <f t="array" ref="AH1441">_xlfn.XLOOKUP(Table1[[#This Row],[5 cm2 cell test code]:[5 cm2 cell test code]],[1]!Table1[[Test code]:[Test code]],[1]!Table1[Ionic resistance 10 mM KOH/Ohm cm2],"",0)</f>
        <v>#REF!</v>
      </c>
      <c r="AI1441" s="69" t="e" cm="1">
        <f t="array" ref="AI1441">_xlfn.XLOOKUP(Table1[[#This Row],[5 cm2 cell test code]:[5 cm2 cell test code]],[1]!Table1[[Test code]:[Test code]],[1]!Table1[Q_int_frac DIW 10 mM KOH],"",0)</f>
        <v>#REF!</v>
      </c>
      <c r="AJ1441" s="69" t="e" cm="1">
        <f t="array" ref="AJ1441">_xlfn.XLOOKUP(Table1[[#This Row],[5 cm2 cell test code]:[5 cm2 cell test code]],[1]!Table1[[Test code]:[Test code]],[1]!Table1[DIW conductivity (µS/cm)],"",0)</f>
        <v>#REF!</v>
      </c>
    </row>
    <row r="1442" spans="1:36">
      <c r="A1442" s="81"/>
      <c r="U1442" s="101"/>
      <c r="V1442" s="101"/>
      <c r="W1442" s="69" t="e" cm="1">
        <f t="array" ref="W1442">_xlfn.XLOOKUP(Table1[[#This Row],[5 cm2 cell test code]:[5 cm2 cell test code]],[1]!Table1[[Test code]:[Test code]],[1]!Table1[i @ 1.8 V DIW (A/cm2)],"",0)</f>
        <v>#REF!</v>
      </c>
      <c r="X1442" s="69" t="e" cm="1">
        <f t="array" ref="X1442">_xlfn.XLOOKUP(Table1[[#This Row],[5 cm2 cell test code]:[5 cm2 cell test code]],[1]!Table1[[Test code]:[Test code]],[1]!Table1[i @ 1.8 V 10 mM KOH (A/cm2)],"",0)</f>
        <v>#REF!</v>
      </c>
      <c r="Y1442" s="69" t="e" cm="1">
        <f t="array" ref="Y1442">_xlfn.XLOOKUP(Table1[[#This Row],[5 cm2 cell test code]:[5 cm2 cell test code]],[1]!Table1[[Test code]:[Test code]],[1]!Table1[3-E ƞ at 20mAcm-2 (mV)],"",0)</f>
        <v>#REF!</v>
      </c>
      <c r="Z1442" s="69" t="e" cm="1">
        <f t="array" ref="Z1442">_xlfn.XLOOKUP(Table1[[#This Row],[5 cm2 cell test code]:[5 cm2 cell test code]],[1]!Table1[[Test code]:[Test code]],[1]!Table1[3-E Tafel slope (mV/dec)],"",0)</f>
        <v>#REF!</v>
      </c>
      <c r="AA1442" s="69" t="e" cm="1">
        <f t="array" ref="AA1442">_xlfn.XLOOKUP(Table1[[#This Row],[5 cm2 cell test code]:[5 cm2 cell test code]],[1]!Table1[[Test code]:[Test code]],[1]!Table1[E @ 100 mA/cm2 DIW/V],"",0)</f>
        <v>#REF!</v>
      </c>
      <c r="AB1442" s="69" t="e" cm="1">
        <f t="array" ref="AB1442">_xlfn.XLOOKUP(Table1[[#This Row],[5 cm2 cell test code]:[5 cm2 cell test code]],[1]!Table1[[Test code]:[Test code]],[1]!Table1[E @ 100 mA/cm2 10 mM KOH/V],"",0)</f>
        <v>#REF!</v>
      </c>
      <c r="AC1442" s="69" t="e" cm="1">
        <f t="array" ref="AC1442">_xlfn.XLOOKUP(Table1[[#This Row],[5 cm2 cell test code]:[5 cm2 cell test code]],[1]!Table1[[Test code]:[Test code]],[1]!Table1[Anode ICR/mOhm],"",0)</f>
        <v>#REF!</v>
      </c>
      <c r="AD1442" s="69" t="e" cm="1">
        <f t="array" ref="AD1442">_xlfn.XLOOKUP(Table1[[#This Row],[5 cm2 cell test code]:[5 cm2 cell test code]],[1]!Table1[[Test code]:[Test code]],[1]!Table1[HFR DIW/ mOhm cm2],"",0)</f>
        <v>#REF!</v>
      </c>
      <c r="AE1442" s="69" t="e" cm="1">
        <f t="array" ref="AE1442">_xlfn.XLOOKUP(Table1[[#This Row],[5 cm2 cell test code]:[5 cm2 cell test code]],[1]!Table1[[Test code]:[Test code]],[1]!Table1[HFR 10 mM KOH/ mOhm cm2],"",0)</f>
        <v>#REF!</v>
      </c>
      <c r="AF1442" s="69" t="e" cm="1">
        <f t="array" ref="AF1442">_xlfn.XLOOKUP(Table1[[#This Row],[5 cm2 cell test code]:[5 cm2 cell test code]],[1]!Table1[[Test code]:[Test code]],[1]!Table1[Ionic resistance DIW/Ohm cm2],"",0)</f>
        <v>#REF!</v>
      </c>
      <c r="AG1442" s="69" t="e" cm="1">
        <f t="array" ref="AG1442">_xlfn.XLOOKUP(Table1[[#This Row],[5 cm2 cell test code]:[5 cm2 cell test code]],[1]!Table1[[Test code]:[Test code]],[1]!Table1[Q_int_frac DIW],"",0)</f>
        <v>#REF!</v>
      </c>
      <c r="AH1442" s="69" t="e" cm="1">
        <f t="array" ref="AH1442">_xlfn.XLOOKUP(Table1[[#This Row],[5 cm2 cell test code]:[5 cm2 cell test code]],[1]!Table1[[Test code]:[Test code]],[1]!Table1[Ionic resistance 10 mM KOH/Ohm cm2],"",0)</f>
        <v>#REF!</v>
      </c>
      <c r="AI1442" s="69" t="e" cm="1">
        <f t="array" ref="AI1442">_xlfn.XLOOKUP(Table1[[#This Row],[5 cm2 cell test code]:[5 cm2 cell test code]],[1]!Table1[[Test code]:[Test code]],[1]!Table1[Q_int_frac DIW 10 mM KOH],"",0)</f>
        <v>#REF!</v>
      </c>
      <c r="AJ1442" s="69" t="e" cm="1">
        <f t="array" ref="AJ1442">_xlfn.XLOOKUP(Table1[[#This Row],[5 cm2 cell test code]:[5 cm2 cell test code]],[1]!Table1[[Test code]:[Test code]],[1]!Table1[DIW conductivity (µS/cm)],"",0)</f>
        <v>#REF!</v>
      </c>
    </row>
    <row r="1443" spans="1:36">
      <c r="A1443" s="81"/>
      <c r="U1443" s="101"/>
      <c r="V1443" s="101"/>
      <c r="W1443" s="69" t="e" cm="1">
        <f t="array" ref="W1443">_xlfn.XLOOKUP(Table1[[#This Row],[5 cm2 cell test code]:[5 cm2 cell test code]],[1]!Table1[[Test code]:[Test code]],[1]!Table1[i @ 1.8 V DIW (A/cm2)],"",0)</f>
        <v>#REF!</v>
      </c>
      <c r="X1443" s="69" t="e" cm="1">
        <f t="array" ref="X1443">_xlfn.XLOOKUP(Table1[[#This Row],[5 cm2 cell test code]:[5 cm2 cell test code]],[1]!Table1[[Test code]:[Test code]],[1]!Table1[i @ 1.8 V 10 mM KOH (A/cm2)],"",0)</f>
        <v>#REF!</v>
      </c>
      <c r="Y1443" s="69" t="e" cm="1">
        <f t="array" ref="Y1443">_xlfn.XLOOKUP(Table1[[#This Row],[5 cm2 cell test code]:[5 cm2 cell test code]],[1]!Table1[[Test code]:[Test code]],[1]!Table1[3-E ƞ at 20mAcm-2 (mV)],"",0)</f>
        <v>#REF!</v>
      </c>
      <c r="Z1443" s="69" t="e" cm="1">
        <f t="array" ref="Z1443">_xlfn.XLOOKUP(Table1[[#This Row],[5 cm2 cell test code]:[5 cm2 cell test code]],[1]!Table1[[Test code]:[Test code]],[1]!Table1[3-E Tafel slope (mV/dec)],"",0)</f>
        <v>#REF!</v>
      </c>
      <c r="AA1443" s="69" t="e" cm="1">
        <f t="array" ref="AA1443">_xlfn.XLOOKUP(Table1[[#This Row],[5 cm2 cell test code]:[5 cm2 cell test code]],[1]!Table1[[Test code]:[Test code]],[1]!Table1[E @ 100 mA/cm2 DIW/V],"",0)</f>
        <v>#REF!</v>
      </c>
      <c r="AB1443" s="69" t="e" cm="1">
        <f t="array" ref="AB1443">_xlfn.XLOOKUP(Table1[[#This Row],[5 cm2 cell test code]:[5 cm2 cell test code]],[1]!Table1[[Test code]:[Test code]],[1]!Table1[E @ 100 mA/cm2 10 mM KOH/V],"",0)</f>
        <v>#REF!</v>
      </c>
      <c r="AC1443" s="69" t="e" cm="1">
        <f t="array" ref="AC1443">_xlfn.XLOOKUP(Table1[[#This Row],[5 cm2 cell test code]:[5 cm2 cell test code]],[1]!Table1[[Test code]:[Test code]],[1]!Table1[Anode ICR/mOhm],"",0)</f>
        <v>#REF!</v>
      </c>
      <c r="AD1443" s="69" t="e" cm="1">
        <f t="array" ref="AD1443">_xlfn.XLOOKUP(Table1[[#This Row],[5 cm2 cell test code]:[5 cm2 cell test code]],[1]!Table1[[Test code]:[Test code]],[1]!Table1[HFR DIW/ mOhm cm2],"",0)</f>
        <v>#REF!</v>
      </c>
      <c r="AE1443" s="69" t="e" cm="1">
        <f t="array" ref="AE1443">_xlfn.XLOOKUP(Table1[[#This Row],[5 cm2 cell test code]:[5 cm2 cell test code]],[1]!Table1[[Test code]:[Test code]],[1]!Table1[HFR 10 mM KOH/ mOhm cm2],"",0)</f>
        <v>#REF!</v>
      </c>
      <c r="AF1443" s="69" t="e" cm="1">
        <f t="array" ref="AF1443">_xlfn.XLOOKUP(Table1[[#This Row],[5 cm2 cell test code]:[5 cm2 cell test code]],[1]!Table1[[Test code]:[Test code]],[1]!Table1[Ionic resistance DIW/Ohm cm2],"",0)</f>
        <v>#REF!</v>
      </c>
      <c r="AG1443" s="69" t="e" cm="1">
        <f t="array" ref="AG1443">_xlfn.XLOOKUP(Table1[[#This Row],[5 cm2 cell test code]:[5 cm2 cell test code]],[1]!Table1[[Test code]:[Test code]],[1]!Table1[Q_int_frac DIW],"",0)</f>
        <v>#REF!</v>
      </c>
      <c r="AH1443" s="69" t="e" cm="1">
        <f t="array" ref="AH1443">_xlfn.XLOOKUP(Table1[[#This Row],[5 cm2 cell test code]:[5 cm2 cell test code]],[1]!Table1[[Test code]:[Test code]],[1]!Table1[Ionic resistance 10 mM KOH/Ohm cm2],"",0)</f>
        <v>#REF!</v>
      </c>
      <c r="AI1443" s="69" t="e" cm="1">
        <f t="array" ref="AI1443">_xlfn.XLOOKUP(Table1[[#This Row],[5 cm2 cell test code]:[5 cm2 cell test code]],[1]!Table1[[Test code]:[Test code]],[1]!Table1[Q_int_frac DIW 10 mM KOH],"",0)</f>
        <v>#REF!</v>
      </c>
      <c r="AJ1443" s="69" t="e" cm="1">
        <f t="array" ref="AJ1443">_xlfn.XLOOKUP(Table1[[#This Row],[5 cm2 cell test code]:[5 cm2 cell test code]],[1]!Table1[[Test code]:[Test code]],[1]!Table1[DIW conductivity (µS/cm)],"",0)</f>
        <v>#REF!</v>
      </c>
    </row>
    <row r="1444" spans="1:36">
      <c r="A1444" s="81"/>
      <c r="U1444" s="101"/>
      <c r="V1444" s="101"/>
      <c r="W1444" s="69" t="e" cm="1">
        <f t="array" ref="W1444">_xlfn.XLOOKUP(Table1[[#This Row],[5 cm2 cell test code]:[5 cm2 cell test code]],[1]!Table1[[Test code]:[Test code]],[1]!Table1[i @ 1.8 V DIW (A/cm2)],"",0)</f>
        <v>#REF!</v>
      </c>
      <c r="X1444" s="69" t="e" cm="1">
        <f t="array" ref="X1444">_xlfn.XLOOKUP(Table1[[#This Row],[5 cm2 cell test code]:[5 cm2 cell test code]],[1]!Table1[[Test code]:[Test code]],[1]!Table1[i @ 1.8 V 10 mM KOH (A/cm2)],"",0)</f>
        <v>#REF!</v>
      </c>
      <c r="Y1444" s="69" t="e" cm="1">
        <f t="array" ref="Y1444">_xlfn.XLOOKUP(Table1[[#This Row],[5 cm2 cell test code]:[5 cm2 cell test code]],[1]!Table1[[Test code]:[Test code]],[1]!Table1[3-E ƞ at 20mAcm-2 (mV)],"",0)</f>
        <v>#REF!</v>
      </c>
      <c r="Z1444" s="69" t="e" cm="1">
        <f t="array" ref="Z1444">_xlfn.XLOOKUP(Table1[[#This Row],[5 cm2 cell test code]:[5 cm2 cell test code]],[1]!Table1[[Test code]:[Test code]],[1]!Table1[3-E Tafel slope (mV/dec)],"",0)</f>
        <v>#REF!</v>
      </c>
      <c r="AA1444" s="69" t="e" cm="1">
        <f t="array" ref="AA1444">_xlfn.XLOOKUP(Table1[[#This Row],[5 cm2 cell test code]:[5 cm2 cell test code]],[1]!Table1[[Test code]:[Test code]],[1]!Table1[E @ 100 mA/cm2 DIW/V],"",0)</f>
        <v>#REF!</v>
      </c>
      <c r="AB1444" s="69" t="e" cm="1">
        <f t="array" ref="AB1444">_xlfn.XLOOKUP(Table1[[#This Row],[5 cm2 cell test code]:[5 cm2 cell test code]],[1]!Table1[[Test code]:[Test code]],[1]!Table1[E @ 100 mA/cm2 10 mM KOH/V],"",0)</f>
        <v>#REF!</v>
      </c>
      <c r="AC1444" s="69" t="e" cm="1">
        <f t="array" ref="AC1444">_xlfn.XLOOKUP(Table1[[#This Row],[5 cm2 cell test code]:[5 cm2 cell test code]],[1]!Table1[[Test code]:[Test code]],[1]!Table1[Anode ICR/mOhm],"",0)</f>
        <v>#REF!</v>
      </c>
      <c r="AD1444" s="69" t="e" cm="1">
        <f t="array" ref="AD1444">_xlfn.XLOOKUP(Table1[[#This Row],[5 cm2 cell test code]:[5 cm2 cell test code]],[1]!Table1[[Test code]:[Test code]],[1]!Table1[HFR DIW/ mOhm cm2],"",0)</f>
        <v>#REF!</v>
      </c>
      <c r="AE1444" s="69" t="e" cm="1">
        <f t="array" ref="AE1444">_xlfn.XLOOKUP(Table1[[#This Row],[5 cm2 cell test code]:[5 cm2 cell test code]],[1]!Table1[[Test code]:[Test code]],[1]!Table1[HFR 10 mM KOH/ mOhm cm2],"",0)</f>
        <v>#REF!</v>
      </c>
      <c r="AF1444" s="69" t="e" cm="1">
        <f t="array" ref="AF1444">_xlfn.XLOOKUP(Table1[[#This Row],[5 cm2 cell test code]:[5 cm2 cell test code]],[1]!Table1[[Test code]:[Test code]],[1]!Table1[Ionic resistance DIW/Ohm cm2],"",0)</f>
        <v>#REF!</v>
      </c>
      <c r="AG1444" s="69" t="e" cm="1">
        <f t="array" ref="AG1444">_xlfn.XLOOKUP(Table1[[#This Row],[5 cm2 cell test code]:[5 cm2 cell test code]],[1]!Table1[[Test code]:[Test code]],[1]!Table1[Q_int_frac DIW],"",0)</f>
        <v>#REF!</v>
      </c>
      <c r="AH1444" s="69" t="e" cm="1">
        <f t="array" ref="AH1444">_xlfn.XLOOKUP(Table1[[#This Row],[5 cm2 cell test code]:[5 cm2 cell test code]],[1]!Table1[[Test code]:[Test code]],[1]!Table1[Ionic resistance 10 mM KOH/Ohm cm2],"",0)</f>
        <v>#REF!</v>
      </c>
      <c r="AI1444" s="69" t="e" cm="1">
        <f t="array" ref="AI1444">_xlfn.XLOOKUP(Table1[[#This Row],[5 cm2 cell test code]:[5 cm2 cell test code]],[1]!Table1[[Test code]:[Test code]],[1]!Table1[Q_int_frac DIW 10 mM KOH],"",0)</f>
        <v>#REF!</v>
      </c>
      <c r="AJ1444" s="69" t="e" cm="1">
        <f t="array" ref="AJ1444">_xlfn.XLOOKUP(Table1[[#This Row],[5 cm2 cell test code]:[5 cm2 cell test code]],[1]!Table1[[Test code]:[Test code]],[1]!Table1[DIW conductivity (µS/cm)],"",0)</f>
        <v>#REF!</v>
      </c>
    </row>
    <row r="1445" spans="1:36">
      <c r="A1445" s="81"/>
      <c r="U1445" s="101"/>
      <c r="V1445" s="101"/>
      <c r="W1445" s="69" t="e" cm="1">
        <f t="array" ref="W1445">_xlfn.XLOOKUP(Table1[[#This Row],[5 cm2 cell test code]:[5 cm2 cell test code]],[1]!Table1[[Test code]:[Test code]],[1]!Table1[i @ 1.8 V DIW (A/cm2)],"",0)</f>
        <v>#REF!</v>
      </c>
      <c r="X1445" s="69" t="e" cm="1">
        <f t="array" ref="X1445">_xlfn.XLOOKUP(Table1[[#This Row],[5 cm2 cell test code]:[5 cm2 cell test code]],[1]!Table1[[Test code]:[Test code]],[1]!Table1[i @ 1.8 V 10 mM KOH (A/cm2)],"",0)</f>
        <v>#REF!</v>
      </c>
      <c r="Y1445" s="69" t="e" cm="1">
        <f t="array" ref="Y1445">_xlfn.XLOOKUP(Table1[[#This Row],[5 cm2 cell test code]:[5 cm2 cell test code]],[1]!Table1[[Test code]:[Test code]],[1]!Table1[3-E ƞ at 20mAcm-2 (mV)],"",0)</f>
        <v>#REF!</v>
      </c>
      <c r="Z1445" s="69" t="e" cm="1">
        <f t="array" ref="Z1445">_xlfn.XLOOKUP(Table1[[#This Row],[5 cm2 cell test code]:[5 cm2 cell test code]],[1]!Table1[[Test code]:[Test code]],[1]!Table1[3-E Tafel slope (mV/dec)],"",0)</f>
        <v>#REF!</v>
      </c>
      <c r="AA1445" s="69" t="e" cm="1">
        <f t="array" ref="AA1445">_xlfn.XLOOKUP(Table1[[#This Row],[5 cm2 cell test code]:[5 cm2 cell test code]],[1]!Table1[[Test code]:[Test code]],[1]!Table1[E @ 100 mA/cm2 DIW/V],"",0)</f>
        <v>#REF!</v>
      </c>
      <c r="AB1445" s="69" t="e" cm="1">
        <f t="array" ref="AB1445">_xlfn.XLOOKUP(Table1[[#This Row],[5 cm2 cell test code]:[5 cm2 cell test code]],[1]!Table1[[Test code]:[Test code]],[1]!Table1[E @ 100 mA/cm2 10 mM KOH/V],"",0)</f>
        <v>#REF!</v>
      </c>
      <c r="AC1445" s="69" t="e" cm="1">
        <f t="array" ref="AC1445">_xlfn.XLOOKUP(Table1[[#This Row],[5 cm2 cell test code]:[5 cm2 cell test code]],[1]!Table1[[Test code]:[Test code]],[1]!Table1[Anode ICR/mOhm],"",0)</f>
        <v>#REF!</v>
      </c>
      <c r="AD1445" s="69" t="e" cm="1">
        <f t="array" ref="AD1445">_xlfn.XLOOKUP(Table1[[#This Row],[5 cm2 cell test code]:[5 cm2 cell test code]],[1]!Table1[[Test code]:[Test code]],[1]!Table1[HFR DIW/ mOhm cm2],"",0)</f>
        <v>#REF!</v>
      </c>
      <c r="AE1445" s="69" t="e" cm="1">
        <f t="array" ref="AE1445">_xlfn.XLOOKUP(Table1[[#This Row],[5 cm2 cell test code]:[5 cm2 cell test code]],[1]!Table1[[Test code]:[Test code]],[1]!Table1[HFR 10 mM KOH/ mOhm cm2],"",0)</f>
        <v>#REF!</v>
      </c>
      <c r="AF1445" s="69" t="e" cm="1">
        <f t="array" ref="AF1445">_xlfn.XLOOKUP(Table1[[#This Row],[5 cm2 cell test code]:[5 cm2 cell test code]],[1]!Table1[[Test code]:[Test code]],[1]!Table1[Ionic resistance DIW/Ohm cm2],"",0)</f>
        <v>#REF!</v>
      </c>
      <c r="AG1445" s="69" t="e" cm="1">
        <f t="array" ref="AG1445">_xlfn.XLOOKUP(Table1[[#This Row],[5 cm2 cell test code]:[5 cm2 cell test code]],[1]!Table1[[Test code]:[Test code]],[1]!Table1[Q_int_frac DIW],"",0)</f>
        <v>#REF!</v>
      </c>
      <c r="AH1445" s="69" t="e" cm="1">
        <f t="array" ref="AH1445">_xlfn.XLOOKUP(Table1[[#This Row],[5 cm2 cell test code]:[5 cm2 cell test code]],[1]!Table1[[Test code]:[Test code]],[1]!Table1[Ionic resistance 10 mM KOH/Ohm cm2],"",0)</f>
        <v>#REF!</v>
      </c>
      <c r="AI1445" s="69" t="e" cm="1">
        <f t="array" ref="AI1445">_xlfn.XLOOKUP(Table1[[#This Row],[5 cm2 cell test code]:[5 cm2 cell test code]],[1]!Table1[[Test code]:[Test code]],[1]!Table1[Q_int_frac DIW 10 mM KOH],"",0)</f>
        <v>#REF!</v>
      </c>
      <c r="AJ1445" s="69" t="e" cm="1">
        <f t="array" ref="AJ1445">_xlfn.XLOOKUP(Table1[[#This Row],[5 cm2 cell test code]:[5 cm2 cell test code]],[1]!Table1[[Test code]:[Test code]],[1]!Table1[DIW conductivity (µS/cm)],"",0)</f>
        <v>#REF!</v>
      </c>
    </row>
    <row r="1446" spans="1:36">
      <c r="A1446" s="81"/>
      <c r="U1446" s="101"/>
      <c r="V1446" s="101"/>
      <c r="W1446" s="69" t="e" cm="1">
        <f t="array" ref="W1446">_xlfn.XLOOKUP(Table1[[#This Row],[5 cm2 cell test code]:[5 cm2 cell test code]],[1]!Table1[[Test code]:[Test code]],[1]!Table1[i @ 1.8 V DIW (A/cm2)],"",0)</f>
        <v>#REF!</v>
      </c>
      <c r="X1446" s="69" t="e" cm="1">
        <f t="array" ref="X1446">_xlfn.XLOOKUP(Table1[[#This Row],[5 cm2 cell test code]:[5 cm2 cell test code]],[1]!Table1[[Test code]:[Test code]],[1]!Table1[i @ 1.8 V 10 mM KOH (A/cm2)],"",0)</f>
        <v>#REF!</v>
      </c>
      <c r="Y1446" s="69" t="e" cm="1">
        <f t="array" ref="Y1446">_xlfn.XLOOKUP(Table1[[#This Row],[5 cm2 cell test code]:[5 cm2 cell test code]],[1]!Table1[[Test code]:[Test code]],[1]!Table1[3-E ƞ at 20mAcm-2 (mV)],"",0)</f>
        <v>#REF!</v>
      </c>
      <c r="Z1446" s="69" t="e" cm="1">
        <f t="array" ref="Z1446">_xlfn.XLOOKUP(Table1[[#This Row],[5 cm2 cell test code]:[5 cm2 cell test code]],[1]!Table1[[Test code]:[Test code]],[1]!Table1[3-E Tafel slope (mV/dec)],"",0)</f>
        <v>#REF!</v>
      </c>
      <c r="AA1446" s="69" t="e" cm="1">
        <f t="array" ref="AA1446">_xlfn.XLOOKUP(Table1[[#This Row],[5 cm2 cell test code]:[5 cm2 cell test code]],[1]!Table1[[Test code]:[Test code]],[1]!Table1[E @ 100 mA/cm2 DIW/V],"",0)</f>
        <v>#REF!</v>
      </c>
      <c r="AB1446" s="69" t="e" cm="1">
        <f t="array" ref="AB1446">_xlfn.XLOOKUP(Table1[[#This Row],[5 cm2 cell test code]:[5 cm2 cell test code]],[1]!Table1[[Test code]:[Test code]],[1]!Table1[E @ 100 mA/cm2 10 mM KOH/V],"",0)</f>
        <v>#REF!</v>
      </c>
      <c r="AC1446" s="69" t="e" cm="1">
        <f t="array" ref="AC1446">_xlfn.XLOOKUP(Table1[[#This Row],[5 cm2 cell test code]:[5 cm2 cell test code]],[1]!Table1[[Test code]:[Test code]],[1]!Table1[Anode ICR/mOhm],"",0)</f>
        <v>#REF!</v>
      </c>
      <c r="AD1446" s="69" t="e" cm="1">
        <f t="array" ref="AD1446">_xlfn.XLOOKUP(Table1[[#This Row],[5 cm2 cell test code]:[5 cm2 cell test code]],[1]!Table1[[Test code]:[Test code]],[1]!Table1[HFR DIW/ mOhm cm2],"",0)</f>
        <v>#REF!</v>
      </c>
      <c r="AE1446" s="69" t="e" cm="1">
        <f t="array" ref="AE1446">_xlfn.XLOOKUP(Table1[[#This Row],[5 cm2 cell test code]:[5 cm2 cell test code]],[1]!Table1[[Test code]:[Test code]],[1]!Table1[HFR 10 mM KOH/ mOhm cm2],"",0)</f>
        <v>#REF!</v>
      </c>
      <c r="AF1446" s="69" t="e" cm="1">
        <f t="array" ref="AF1446">_xlfn.XLOOKUP(Table1[[#This Row],[5 cm2 cell test code]:[5 cm2 cell test code]],[1]!Table1[[Test code]:[Test code]],[1]!Table1[Ionic resistance DIW/Ohm cm2],"",0)</f>
        <v>#REF!</v>
      </c>
      <c r="AG1446" s="69" t="e" cm="1">
        <f t="array" ref="AG1446">_xlfn.XLOOKUP(Table1[[#This Row],[5 cm2 cell test code]:[5 cm2 cell test code]],[1]!Table1[[Test code]:[Test code]],[1]!Table1[Q_int_frac DIW],"",0)</f>
        <v>#REF!</v>
      </c>
      <c r="AH1446" s="69" t="e" cm="1">
        <f t="array" ref="AH1446">_xlfn.XLOOKUP(Table1[[#This Row],[5 cm2 cell test code]:[5 cm2 cell test code]],[1]!Table1[[Test code]:[Test code]],[1]!Table1[Ionic resistance 10 mM KOH/Ohm cm2],"",0)</f>
        <v>#REF!</v>
      </c>
      <c r="AI1446" s="69" t="e" cm="1">
        <f t="array" ref="AI1446">_xlfn.XLOOKUP(Table1[[#This Row],[5 cm2 cell test code]:[5 cm2 cell test code]],[1]!Table1[[Test code]:[Test code]],[1]!Table1[Q_int_frac DIW 10 mM KOH],"",0)</f>
        <v>#REF!</v>
      </c>
      <c r="AJ1446" s="69" t="e" cm="1">
        <f t="array" ref="AJ1446">_xlfn.XLOOKUP(Table1[[#This Row],[5 cm2 cell test code]:[5 cm2 cell test code]],[1]!Table1[[Test code]:[Test code]],[1]!Table1[DIW conductivity (µS/cm)],"",0)</f>
        <v>#REF!</v>
      </c>
    </row>
    <row r="1447" spans="1:36">
      <c r="A1447" s="81"/>
      <c r="U1447" s="101"/>
      <c r="V1447" s="101"/>
      <c r="W1447" s="69" t="e" cm="1">
        <f t="array" ref="W1447">_xlfn.XLOOKUP(Table1[[#This Row],[5 cm2 cell test code]:[5 cm2 cell test code]],[1]!Table1[[Test code]:[Test code]],[1]!Table1[i @ 1.8 V DIW (A/cm2)],"",0)</f>
        <v>#REF!</v>
      </c>
      <c r="X1447" s="69" t="e" cm="1">
        <f t="array" ref="X1447">_xlfn.XLOOKUP(Table1[[#This Row],[5 cm2 cell test code]:[5 cm2 cell test code]],[1]!Table1[[Test code]:[Test code]],[1]!Table1[i @ 1.8 V 10 mM KOH (A/cm2)],"",0)</f>
        <v>#REF!</v>
      </c>
      <c r="Y1447" s="69" t="e" cm="1">
        <f t="array" ref="Y1447">_xlfn.XLOOKUP(Table1[[#This Row],[5 cm2 cell test code]:[5 cm2 cell test code]],[1]!Table1[[Test code]:[Test code]],[1]!Table1[3-E ƞ at 20mAcm-2 (mV)],"",0)</f>
        <v>#REF!</v>
      </c>
      <c r="Z1447" s="69" t="e" cm="1">
        <f t="array" ref="Z1447">_xlfn.XLOOKUP(Table1[[#This Row],[5 cm2 cell test code]:[5 cm2 cell test code]],[1]!Table1[[Test code]:[Test code]],[1]!Table1[3-E Tafel slope (mV/dec)],"",0)</f>
        <v>#REF!</v>
      </c>
      <c r="AA1447" s="69" t="e" cm="1">
        <f t="array" ref="AA1447">_xlfn.XLOOKUP(Table1[[#This Row],[5 cm2 cell test code]:[5 cm2 cell test code]],[1]!Table1[[Test code]:[Test code]],[1]!Table1[E @ 100 mA/cm2 DIW/V],"",0)</f>
        <v>#REF!</v>
      </c>
      <c r="AB1447" s="69" t="e" cm="1">
        <f t="array" ref="AB1447">_xlfn.XLOOKUP(Table1[[#This Row],[5 cm2 cell test code]:[5 cm2 cell test code]],[1]!Table1[[Test code]:[Test code]],[1]!Table1[E @ 100 mA/cm2 10 mM KOH/V],"",0)</f>
        <v>#REF!</v>
      </c>
      <c r="AC1447" s="69" t="e" cm="1">
        <f t="array" ref="AC1447">_xlfn.XLOOKUP(Table1[[#This Row],[5 cm2 cell test code]:[5 cm2 cell test code]],[1]!Table1[[Test code]:[Test code]],[1]!Table1[Anode ICR/mOhm],"",0)</f>
        <v>#REF!</v>
      </c>
      <c r="AD1447" s="69" t="e" cm="1">
        <f t="array" ref="AD1447">_xlfn.XLOOKUP(Table1[[#This Row],[5 cm2 cell test code]:[5 cm2 cell test code]],[1]!Table1[[Test code]:[Test code]],[1]!Table1[HFR DIW/ mOhm cm2],"",0)</f>
        <v>#REF!</v>
      </c>
      <c r="AE1447" s="69" t="e" cm="1">
        <f t="array" ref="AE1447">_xlfn.XLOOKUP(Table1[[#This Row],[5 cm2 cell test code]:[5 cm2 cell test code]],[1]!Table1[[Test code]:[Test code]],[1]!Table1[HFR 10 mM KOH/ mOhm cm2],"",0)</f>
        <v>#REF!</v>
      </c>
      <c r="AF1447" s="69" t="e" cm="1">
        <f t="array" ref="AF1447">_xlfn.XLOOKUP(Table1[[#This Row],[5 cm2 cell test code]:[5 cm2 cell test code]],[1]!Table1[[Test code]:[Test code]],[1]!Table1[Ionic resistance DIW/Ohm cm2],"",0)</f>
        <v>#REF!</v>
      </c>
      <c r="AG1447" s="69" t="e" cm="1">
        <f t="array" ref="AG1447">_xlfn.XLOOKUP(Table1[[#This Row],[5 cm2 cell test code]:[5 cm2 cell test code]],[1]!Table1[[Test code]:[Test code]],[1]!Table1[Q_int_frac DIW],"",0)</f>
        <v>#REF!</v>
      </c>
      <c r="AH1447" s="69" t="e" cm="1">
        <f t="array" ref="AH1447">_xlfn.XLOOKUP(Table1[[#This Row],[5 cm2 cell test code]:[5 cm2 cell test code]],[1]!Table1[[Test code]:[Test code]],[1]!Table1[Ionic resistance 10 mM KOH/Ohm cm2],"",0)</f>
        <v>#REF!</v>
      </c>
      <c r="AI1447" s="69" t="e" cm="1">
        <f t="array" ref="AI1447">_xlfn.XLOOKUP(Table1[[#This Row],[5 cm2 cell test code]:[5 cm2 cell test code]],[1]!Table1[[Test code]:[Test code]],[1]!Table1[Q_int_frac DIW 10 mM KOH],"",0)</f>
        <v>#REF!</v>
      </c>
      <c r="AJ1447" s="69" t="e" cm="1">
        <f t="array" ref="AJ1447">_xlfn.XLOOKUP(Table1[[#This Row],[5 cm2 cell test code]:[5 cm2 cell test code]],[1]!Table1[[Test code]:[Test code]],[1]!Table1[DIW conductivity (µS/cm)],"",0)</f>
        <v>#REF!</v>
      </c>
    </row>
    <row r="1448" spans="1:36">
      <c r="A1448" s="81"/>
      <c r="U1448" s="101"/>
      <c r="V1448" s="101"/>
      <c r="W1448" s="69" t="e" cm="1">
        <f t="array" ref="W1448">_xlfn.XLOOKUP(Table1[[#This Row],[5 cm2 cell test code]:[5 cm2 cell test code]],[1]!Table1[[Test code]:[Test code]],[1]!Table1[i @ 1.8 V DIW (A/cm2)],"",0)</f>
        <v>#REF!</v>
      </c>
      <c r="X1448" s="69" t="e" cm="1">
        <f t="array" ref="X1448">_xlfn.XLOOKUP(Table1[[#This Row],[5 cm2 cell test code]:[5 cm2 cell test code]],[1]!Table1[[Test code]:[Test code]],[1]!Table1[i @ 1.8 V 10 mM KOH (A/cm2)],"",0)</f>
        <v>#REF!</v>
      </c>
      <c r="Y1448" s="69" t="e" cm="1">
        <f t="array" ref="Y1448">_xlfn.XLOOKUP(Table1[[#This Row],[5 cm2 cell test code]:[5 cm2 cell test code]],[1]!Table1[[Test code]:[Test code]],[1]!Table1[3-E ƞ at 20mAcm-2 (mV)],"",0)</f>
        <v>#REF!</v>
      </c>
      <c r="Z1448" s="69" t="e" cm="1">
        <f t="array" ref="Z1448">_xlfn.XLOOKUP(Table1[[#This Row],[5 cm2 cell test code]:[5 cm2 cell test code]],[1]!Table1[[Test code]:[Test code]],[1]!Table1[3-E Tafel slope (mV/dec)],"",0)</f>
        <v>#REF!</v>
      </c>
      <c r="AA1448" s="69" t="e" cm="1">
        <f t="array" ref="AA1448">_xlfn.XLOOKUP(Table1[[#This Row],[5 cm2 cell test code]:[5 cm2 cell test code]],[1]!Table1[[Test code]:[Test code]],[1]!Table1[E @ 100 mA/cm2 DIW/V],"",0)</f>
        <v>#REF!</v>
      </c>
      <c r="AB1448" s="69" t="e" cm="1">
        <f t="array" ref="AB1448">_xlfn.XLOOKUP(Table1[[#This Row],[5 cm2 cell test code]:[5 cm2 cell test code]],[1]!Table1[[Test code]:[Test code]],[1]!Table1[E @ 100 mA/cm2 10 mM KOH/V],"",0)</f>
        <v>#REF!</v>
      </c>
      <c r="AC1448" s="69" t="e" cm="1">
        <f t="array" ref="AC1448">_xlfn.XLOOKUP(Table1[[#This Row],[5 cm2 cell test code]:[5 cm2 cell test code]],[1]!Table1[[Test code]:[Test code]],[1]!Table1[Anode ICR/mOhm],"",0)</f>
        <v>#REF!</v>
      </c>
      <c r="AD1448" s="69" t="e" cm="1">
        <f t="array" ref="AD1448">_xlfn.XLOOKUP(Table1[[#This Row],[5 cm2 cell test code]:[5 cm2 cell test code]],[1]!Table1[[Test code]:[Test code]],[1]!Table1[HFR DIW/ mOhm cm2],"",0)</f>
        <v>#REF!</v>
      </c>
      <c r="AE1448" s="69" t="e" cm="1">
        <f t="array" ref="AE1448">_xlfn.XLOOKUP(Table1[[#This Row],[5 cm2 cell test code]:[5 cm2 cell test code]],[1]!Table1[[Test code]:[Test code]],[1]!Table1[HFR 10 mM KOH/ mOhm cm2],"",0)</f>
        <v>#REF!</v>
      </c>
      <c r="AF1448" s="69" t="e" cm="1">
        <f t="array" ref="AF1448">_xlfn.XLOOKUP(Table1[[#This Row],[5 cm2 cell test code]:[5 cm2 cell test code]],[1]!Table1[[Test code]:[Test code]],[1]!Table1[Ionic resistance DIW/Ohm cm2],"",0)</f>
        <v>#REF!</v>
      </c>
      <c r="AG1448" s="69" t="e" cm="1">
        <f t="array" ref="AG1448">_xlfn.XLOOKUP(Table1[[#This Row],[5 cm2 cell test code]:[5 cm2 cell test code]],[1]!Table1[[Test code]:[Test code]],[1]!Table1[Q_int_frac DIW],"",0)</f>
        <v>#REF!</v>
      </c>
      <c r="AH1448" s="69" t="e" cm="1">
        <f t="array" ref="AH1448">_xlfn.XLOOKUP(Table1[[#This Row],[5 cm2 cell test code]:[5 cm2 cell test code]],[1]!Table1[[Test code]:[Test code]],[1]!Table1[Ionic resistance 10 mM KOH/Ohm cm2],"",0)</f>
        <v>#REF!</v>
      </c>
      <c r="AI1448" s="69" t="e" cm="1">
        <f t="array" ref="AI1448">_xlfn.XLOOKUP(Table1[[#This Row],[5 cm2 cell test code]:[5 cm2 cell test code]],[1]!Table1[[Test code]:[Test code]],[1]!Table1[Q_int_frac DIW 10 mM KOH],"",0)</f>
        <v>#REF!</v>
      </c>
      <c r="AJ1448" s="69" t="e" cm="1">
        <f t="array" ref="AJ1448">_xlfn.XLOOKUP(Table1[[#This Row],[5 cm2 cell test code]:[5 cm2 cell test code]],[1]!Table1[[Test code]:[Test code]],[1]!Table1[DIW conductivity (µS/cm)],"",0)</f>
        <v>#REF!</v>
      </c>
    </row>
    <row r="1449" spans="1:36">
      <c r="A1449" s="81"/>
      <c r="U1449" s="101"/>
      <c r="V1449" s="101"/>
      <c r="W1449" s="69" t="e" cm="1">
        <f t="array" ref="W1449">_xlfn.XLOOKUP(Table1[[#This Row],[5 cm2 cell test code]:[5 cm2 cell test code]],[1]!Table1[[Test code]:[Test code]],[1]!Table1[i @ 1.8 V DIW (A/cm2)],"",0)</f>
        <v>#REF!</v>
      </c>
      <c r="X1449" s="69" t="e" cm="1">
        <f t="array" ref="X1449">_xlfn.XLOOKUP(Table1[[#This Row],[5 cm2 cell test code]:[5 cm2 cell test code]],[1]!Table1[[Test code]:[Test code]],[1]!Table1[i @ 1.8 V 10 mM KOH (A/cm2)],"",0)</f>
        <v>#REF!</v>
      </c>
      <c r="Y1449" s="69" t="e" cm="1">
        <f t="array" ref="Y1449">_xlfn.XLOOKUP(Table1[[#This Row],[5 cm2 cell test code]:[5 cm2 cell test code]],[1]!Table1[[Test code]:[Test code]],[1]!Table1[3-E ƞ at 20mAcm-2 (mV)],"",0)</f>
        <v>#REF!</v>
      </c>
      <c r="Z1449" s="69" t="e" cm="1">
        <f t="array" ref="Z1449">_xlfn.XLOOKUP(Table1[[#This Row],[5 cm2 cell test code]:[5 cm2 cell test code]],[1]!Table1[[Test code]:[Test code]],[1]!Table1[3-E Tafel slope (mV/dec)],"",0)</f>
        <v>#REF!</v>
      </c>
      <c r="AA1449" s="69" t="e" cm="1">
        <f t="array" ref="AA1449">_xlfn.XLOOKUP(Table1[[#This Row],[5 cm2 cell test code]:[5 cm2 cell test code]],[1]!Table1[[Test code]:[Test code]],[1]!Table1[E @ 100 mA/cm2 DIW/V],"",0)</f>
        <v>#REF!</v>
      </c>
      <c r="AB1449" s="69" t="e" cm="1">
        <f t="array" ref="AB1449">_xlfn.XLOOKUP(Table1[[#This Row],[5 cm2 cell test code]:[5 cm2 cell test code]],[1]!Table1[[Test code]:[Test code]],[1]!Table1[E @ 100 mA/cm2 10 mM KOH/V],"",0)</f>
        <v>#REF!</v>
      </c>
      <c r="AC1449" s="69" t="e" cm="1">
        <f t="array" ref="AC1449">_xlfn.XLOOKUP(Table1[[#This Row],[5 cm2 cell test code]:[5 cm2 cell test code]],[1]!Table1[[Test code]:[Test code]],[1]!Table1[Anode ICR/mOhm],"",0)</f>
        <v>#REF!</v>
      </c>
      <c r="AD1449" s="69" t="e" cm="1">
        <f t="array" ref="AD1449">_xlfn.XLOOKUP(Table1[[#This Row],[5 cm2 cell test code]:[5 cm2 cell test code]],[1]!Table1[[Test code]:[Test code]],[1]!Table1[HFR DIW/ mOhm cm2],"",0)</f>
        <v>#REF!</v>
      </c>
      <c r="AE1449" s="69" t="e" cm="1">
        <f t="array" ref="AE1449">_xlfn.XLOOKUP(Table1[[#This Row],[5 cm2 cell test code]:[5 cm2 cell test code]],[1]!Table1[[Test code]:[Test code]],[1]!Table1[HFR 10 mM KOH/ mOhm cm2],"",0)</f>
        <v>#REF!</v>
      </c>
      <c r="AF1449" s="69" t="e" cm="1">
        <f t="array" ref="AF1449">_xlfn.XLOOKUP(Table1[[#This Row],[5 cm2 cell test code]:[5 cm2 cell test code]],[1]!Table1[[Test code]:[Test code]],[1]!Table1[Ionic resistance DIW/Ohm cm2],"",0)</f>
        <v>#REF!</v>
      </c>
      <c r="AG1449" s="69" t="e" cm="1">
        <f t="array" ref="AG1449">_xlfn.XLOOKUP(Table1[[#This Row],[5 cm2 cell test code]:[5 cm2 cell test code]],[1]!Table1[[Test code]:[Test code]],[1]!Table1[Q_int_frac DIW],"",0)</f>
        <v>#REF!</v>
      </c>
      <c r="AH1449" s="69" t="e" cm="1">
        <f t="array" ref="AH1449">_xlfn.XLOOKUP(Table1[[#This Row],[5 cm2 cell test code]:[5 cm2 cell test code]],[1]!Table1[[Test code]:[Test code]],[1]!Table1[Ionic resistance 10 mM KOH/Ohm cm2],"",0)</f>
        <v>#REF!</v>
      </c>
      <c r="AI1449" s="69" t="e" cm="1">
        <f t="array" ref="AI1449">_xlfn.XLOOKUP(Table1[[#This Row],[5 cm2 cell test code]:[5 cm2 cell test code]],[1]!Table1[[Test code]:[Test code]],[1]!Table1[Q_int_frac DIW 10 mM KOH],"",0)</f>
        <v>#REF!</v>
      </c>
      <c r="AJ1449" s="69" t="e" cm="1">
        <f t="array" ref="AJ1449">_xlfn.XLOOKUP(Table1[[#This Row],[5 cm2 cell test code]:[5 cm2 cell test code]],[1]!Table1[[Test code]:[Test code]],[1]!Table1[DIW conductivity (µS/cm)],"",0)</f>
        <v>#REF!</v>
      </c>
    </row>
    <row r="1450" spans="1:36">
      <c r="A1450" s="81"/>
      <c r="U1450" s="101"/>
      <c r="V1450" s="101"/>
      <c r="W1450" s="69" t="e" cm="1">
        <f t="array" ref="W1450">_xlfn.XLOOKUP(Table1[[#This Row],[5 cm2 cell test code]:[5 cm2 cell test code]],[1]!Table1[[Test code]:[Test code]],[1]!Table1[i @ 1.8 V DIW (A/cm2)],"",0)</f>
        <v>#REF!</v>
      </c>
      <c r="X1450" s="69" t="e" cm="1">
        <f t="array" ref="X1450">_xlfn.XLOOKUP(Table1[[#This Row],[5 cm2 cell test code]:[5 cm2 cell test code]],[1]!Table1[[Test code]:[Test code]],[1]!Table1[i @ 1.8 V 10 mM KOH (A/cm2)],"",0)</f>
        <v>#REF!</v>
      </c>
      <c r="Y1450" s="69" t="e" cm="1">
        <f t="array" ref="Y1450">_xlfn.XLOOKUP(Table1[[#This Row],[5 cm2 cell test code]:[5 cm2 cell test code]],[1]!Table1[[Test code]:[Test code]],[1]!Table1[3-E ƞ at 20mAcm-2 (mV)],"",0)</f>
        <v>#REF!</v>
      </c>
      <c r="Z1450" s="69" t="e" cm="1">
        <f t="array" ref="Z1450">_xlfn.XLOOKUP(Table1[[#This Row],[5 cm2 cell test code]:[5 cm2 cell test code]],[1]!Table1[[Test code]:[Test code]],[1]!Table1[3-E Tafel slope (mV/dec)],"",0)</f>
        <v>#REF!</v>
      </c>
      <c r="AA1450" s="69" t="e" cm="1">
        <f t="array" ref="AA1450">_xlfn.XLOOKUP(Table1[[#This Row],[5 cm2 cell test code]:[5 cm2 cell test code]],[1]!Table1[[Test code]:[Test code]],[1]!Table1[E @ 100 mA/cm2 DIW/V],"",0)</f>
        <v>#REF!</v>
      </c>
      <c r="AB1450" s="69" t="e" cm="1">
        <f t="array" ref="AB1450">_xlfn.XLOOKUP(Table1[[#This Row],[5 cm2 cell test code]:[5 cm2 cell test code]],[1]!Table1[[Test code]:[Test code]],[1]!Table1[E @ 100 mA/cm2 10 mM KOH/V],"",0)</f>
        <v>#REF!</v>
      </c>
      <c r="AC1450" s="69" t="e" cm="1">
        <f t="array" ref="AC1450">_xlfn.XLOOKUP(Table1[[#This Row],[5 cm2 cell test code]:[5 cm2 cell test code]],[1]!Table1[[Test code]:[Test code]],[1]!Table1[Anode ICR/mOhm],"",0)</f>
        <v>#REF!</v>
      </c>
      <c r="AD1450" s="69" t="e" cm="1">
        <f t="array" ref="AD1450">_xlfn.XLOOKUP(Table1[[#This Row],[5 cm2 cell test code]:[5 cm2 cell test code]],[1]!Table1[[Test code]:[Test code]],[1]!Table1[HFR DIW/ mOhm cm2],"",0)</f>
        <v>#REF!</v>
      </c>
      <c r="AE1450" s="69" t="e" cm="1">
        <f t="array" ref="AE1450">_xlfn.XLOOKUP(Table1[[#This Row],[5 cm2 cell test code]:[5 cm2 cell test code]],[1]!Table1[[Test code]:[Test code]],[1]!Table1[HFR 10 mM KOH/ mOhm cm2],"",0)</f>
        <v>#REF!</v>
      </c>
      <c r="AF1450" s="69" t="e" cm="1">
        <f t="array" ref="AF1450">_xlfn.XLOOKUP(Table1[[#This Row],[5 cm2 cell test code]:[5 cm2 cell test code]],[1]!Table1[[Test code]:[Test code]],[1]!Table1[Ionic resistance DIW/Ohm cm2],"",0)</f>
        <v>#REF!</v>
      </c>
      <c r="AG1450" s="69" t="e" cm="1">
        <f t="array" ref="AG1450">_xlfn.XLOOKUP(Table1[[#This Row],[5 cm2 cell test code]:[5 cm2 cell test code]],[1]!Table1[[Test code]:[Test code]],[1]!Table1[Q_int_frac DIW],"",0)</f>
        <v>#REF!</v>
      </c>
      <c r="AH1450" s="69" t="e" cm="1">
        <f t="array" ref="AH1450">_xlfn.XLOOKUP(Table1[[#This Row],[5 cm2 cell test code]:[5 cm2 cell test code]],[1]!Table1[[Test code]:[Test code]],[1]!Table1[Ionic resistance 10 mM KOH/Ohm cm2],"",0)</f>
        <v>#REF!</v>
      </c>
      <c r="AI1450" s="69" t="e" cm="1">
        <f t="array" ref="AI1450">_xlfn.XLOOKUP(Table1[[#This Row],[5 cm2 cell test code]:[5 cm2 cell test code]],[1]!Table1[[Test code]:[Test code]],[1]!Table1[Q_int_frac DIW 10 mM KOH],"",0)</f>
        <v>#REF!</v>
      </c>
      <c r="AJ1450" s="69" t="e" cm="1">
        <f t="array" ref="AJ1450">_xlfn.XLOOKUP(Table1[[#This Row],[5 cm2 cell test code]:[5 cm2 cell test code]],[1]!Table1[[Test code]:[Test code]],[1]!Table1[DIW conductivity (µS/cm)],"",0)</f>
        <v>#REF!</v>
      </c>
    </row>
    <row r="1451" spans="1:36">
      <c r="A1451" s="81"/>
      <c r="U1451" s="101"/>
      <c r="V1451" s="101"/>
      <c r="W1451" s="69" t="e" cm="1">
        <f t="array" ref="W1451">_xlfn.XLOOKUP(Table1[[#This Row],[5 cm2 cell test code]:[5 cm2 cell test code]],[1]!Table1[[Test code]:[Test code]],[1]!Table1[i @ 1.8 V DIW (A/cm2)],"",0)</f>
        <v>#REF!</v>
      </c>
      <c r="X1451" s="69" t="e" cm="1">
        <f t="array" ref="X1451">_xlfn.XLOOKUP(Table1[[#This Row],[5 cm2 cell test code]:[5 cm2 cell test code]],[1]!Table1[[Test code]:[Test code]],[1]!Table1[i @ 1.8 V 10 mM KOH (A/cm2)],"",0)</f>
        <v>#REF!</v>
      </c>
      <c r="Y1451" s="69" t="e" cm="1">
        <f t="array" ref="Y1451">_xlfn.XLOOKUP(Table1[[#This Row],[5 cm2 cell test code]:[5 cm2 cell test code]],[1]!Table1[[Test code]:[Test code]],[1]!Table1[3-E ƞ at 20mAcm-2 (mV)],"",0)</f>
        <v>#REF!</v>
      </c>
      <c r="Z1451" s="69" t="e" cm="1">
        <f t="array" ref="Z1451">_xlfn.XLOOKUP(Table1[[#This Row],[5 cm2 cell test code]:[5 cm2 cell test code]],[1]!Table1[[Test code]:[Test code]],[1]!Table1[3-E Tafel slope (mV/dec)],"",0)</f>
        <v>#REF!</v>
      </c>
      <c r="AA1451" s="69" t="e" cm="1">
        <f t="array" ref="AA1451">_xlfn.XLOOKUP(Table1[[#This Row],[5 cm2 cell test code]:[5 cm2 cell test code]],[1]!Table1[[Test code]:[Test code]],[1]!Table1[E @ 100 mA/cm2 DIW/V],"",0)</f>
        <v>#REF!</v>
      </c>
      <c r="AB1451" s="69" t="e" cm="1">
        <f t="array" ref="AB1451">_xlfn.XLOOKUP(Table1[[#This Row],[5 cm2 cell test code]:[5 cm2 cell test code]],[1]!Table1[[Test code]:[Test code]],[1]!Table1[E @ 100 mA/cm2 10 mM KOH/V],"",0)</f>
        <v>#REF!</v>
      </c>
      <c r="AC1451" s="69" t="e" cm="1">
        <f t="array" ref="AC1451">_xlfn.XLOOKUP(Table1[[#This Row],[5 cm2 cell test code]:[5 cm2 cell test code]],[1]!Table1[[Test code]:[Test code]],[1]!Table1[Anode ICR/mOhm],"",0)</f>
        <v>#REF!</v>
      </c>
      <c r="AD1451" s="69" t="e" cm="1">
        <f t="array" ref="AD1451">_xlfn.XLOOKUP(Table1[[#This Row],[5 cm2 cell test code]:[5 cm2 cell test code]],[1]!Table1[[Test code]:[Test code]],[1]!Table1[HFR DIW/ mOhm cm2],"",0)</f>
        <v>#REF!</v>
      </c>
      <c r="AE1451" s="69" t="e" cm="1">
        <f t="array" ref="AE1451">_xlfn.XLOOKUP(Table1[[#This Row],[5 cm2 cell test code]:[5 cm2 cell test code]],[1]!Table1[[Test code]:[Test code]],[1]!Table1[HFR 10 mM KOH/ mOhm cm2],"",0)</f>
        <v>#REF!</v>
      </c>
      <c r="AF1451" s="69" t="e" cm="1">
        <f t="array" ref="AF1451">_xlfn.XLOOKUP(Table1[[#This Row],[5 cm2 cell test code]:[5 cm2 cell test code]],[1]!Table1[[Test code]:[Test code]],[1]!Table1[Ionic resistance DIW/Ohm cm2],"",0)</f>
        <v>#REF!</v>
      </c>
      <c r="AG1451" s="69" t="e" cm="1">
        <f t="array" ref="AG1451">_xlfn.XLOOKUP(Table1[[#This Row],[5 cm2 cell test code]:[5 cm2 cell test code]],[1]!Table1[[Test code]:[Test code]],[1]!Table1[Q_int_frac DIW],"",0)</f>
        <v>#REF!</v>
      </c>
      <c r="AH1451" s="69" t="e" cm="1">
        <f t="array" ref="AH1451">_xlfn.XLOOKUP(Table1[[#This Row],[5 cm2 cell test code]:[5 cm2 cell test code]],[1]!Table1[[Test code]:[Test code]],[1]!Table1[Ionic resistance 10 mM KOH/Ohm cm2],"",0)</f>
        <v>#REF!</v>
      </c>
      <c r="AI1451" s="69" t="e" cm="1">
        <f t="array" ref="AI1451">_xlfn.XLOOKUP(Table1[[#This Row],[5 cm2 cell test code]:[5 cm2 cell test code]],[1]!Table1[[Test code]:[Test code]],[1]!Table1[Q_int_frac DIW 10 mM KOH],"",0)</f>
        <v>#REF!</v>
      </c>
      <c r="AJ1451" s="69" t="e" cm="1">
        <f t="array" ref="AJ1451">_xlfn.XLOOKUP(Table1[[#This Row],[5 cm2 cell test code]:[5 cm2 cell test code]],[1]!Table1[[Test code]:[Test code]],[1]!Table1[DIW conductivity (µS/cm)],"",0)</f>
        <v>#REF!</v>
      </c>
    </row>
    <row r="1452" spans="1:36">
      <c r="A1452" s="81"/>
      <c r="U1452" s="101"/>
      <c r="V1452" s="101"/>
      <c r="W1452" s="69" t="e" cm="1">
        <f t="array" ref="W1452">_xlfn.XLOOKUP(Table1[[#This Row],[5 cm2 cell test code]:[5 cm2 cell test code]],[1]!Table1[[Test code]:[Test code]],[1]!Table1[i @ 1.8 V DIW (A/cm2)],"",0)</f>
        <v>#REF!</v>
      </c>
      <c r="X1452" s="69" t="e" cm="1">
        <f t="array" ref="X1452">_xlfn.XLOOKUP(Table1[[#This Row],[5 cm2 cell test code]:[5 cm2 cell test code]],[1]!Table1[[Test code]:[Test code]],[1]!Table1[i @ 1.8 V 10 mM KOH (A/cm2)],"",0)</f>
        <v>#REF!</v>
      </c>
      <c r="Y1452" s="69" t="e" cm="1">
        <f t="array" ref="Y1452">_xlfn.XLOOKUP(Table1[[#This Row],[5 cm2 cell test code]:[5 cm2 cell test code]],[1]!Table1[[Test code]:[Test code]],[1]!Table1[3-E ƞ at 20mAcm-2 (mV)],"",0)</f>
        <v>#REF!</v>
      </c>
      <c r="Z1452" s="69" t="e" cm="1">
        <f t="array" ref="Z1452">_xlfn.XLOOKUP(Table1[[#This Row],[5 cm2 cell test code]:[5 cm2 cell test code]],[1]!Table1[[Test code]:[Test code]],[1]!Table1[3-E Tafel slope (mV/dec)],"",0)</f>
        <v>#REF!</v>
      </c>
      <c r="AA1452" s="69" t="e" cm="1">
        <f t="array" ref="AA1452">_xlfn.XLOOKUP(Table1[[#This Row],[5 cm2 cell test code]:[5 cm2 cell test code]],[1]!Table1[[Test code]:[Test code]],[1]!Table1[E @ 100 mA/cm2 DIW/V],"",0)</f>
        <v>#REF!</v>
      </c>
      <c r="AB1452" s="69" t="e" cm="1">
        <f t="array" ref="AB1452">_xlfn.XLOOKUP(Table1[[#This Row],[5 cm2 cell test code]:[5 cm2 cell test code]],[1]!Table1[[Test code]:[Test code]],[1]!Table1[E @ 100 mA/cm2 10 mM KOH/V],"",0)</f>
        <v>#REF!</v>
      </c>
      <c r="AC1452" s="69" t="e" cm="1">
        <f t="array" ref="AC1452">_xlfn.XLOOKUP(Table1[[#This Row],[5 cm2 cell test code]:[5 cm2 cell test code]],[1]!Table1[[Test code]:[Test code]],[1]!Table1[Anode ICR/mOhm],"",0)</f>
        <v>#REF!</v>
      </c>
      <c r="AD1452" s="69" t="e" cm="1">
        <f t="array" ref="AD1452">_xlfn.XLOOKUP(Table1[[#This Row],[5 cm2 cell test code]:[5 cm2 cell test code]],[1]!Table1[[Test code]:[Test code]],[1]!Table1[HFR DIW/ mOhm cm2],"",0)</f>
        <v>#REF!</v>
      </c>
      <c r="AE1452" s="69" t="e" cm="1">
        <f t="array" ref="AE1452">_xlfn.XLOOKUP(Table1[[#This Row],[5 cm2 cell test code]:[5 cm2 cell test code]],[1]!Table1[[Test code]:[Test code]],[1]!Table1[HFR 10 mM KOH/ mOhm cm2],"",0)</f>
        <v>#REF!</v>
      </c>
      <c r="AF1452" s="69" t="e" cm="1">
        <f t="array" ref="AF1452">_xlfn.XLOOKUP(Table1[[#This Row],[5 cm2 cell test code]:[5 cm2 cell test code]],[1]!Table1[[Test code]:[Test code]],[1]!Table1[Ionic resistance DIW/Ohm cm2],"",0)</f>
        <v>#REF!</v>
      </c>
      <c r="AG1452" s="69" t="e" cm="1">
        <f t="array" ref="AG1452">_xlfn.XLOOKUP(Table1[[#This Row],[5 cm2 cell test code]:[5 cm2 cell test code]],[1]!Table1[[Test code]:[Test code]],[1]!Table1[Q_int_frac DIW],"",0)</f>
        <v>#REF!</v>
      </c>
      <c r="AH1452" s="69" t="e" cm="1">
        <f t="array" ref="AH1452">_xlfn.XLOOKUP(Table1[[#This Row],[5 cm2 cell test code]:[5 cm2 cell test code]],[1]!Table1[[Test code]:[Test code]],[1]!Table1[Ionic resistance 10 mM KOH/Ohm cm2],"",0)</f>
        <v>#REF!</v>
      </c>
      <c r="AI1452" s="69" t="e" cm="1">
        <f t="array" ref="AI1452">_xlfn.XLOOKUP(Table1[[#This Row],[5 cm2 cell test code]:[5 cm2 cell test code]],[1]!Table1[[Test code]:[Test code]],[1]!Table1[Q_int_frac DIW 10 mM KOH],"",0)</f>
        <v>#REF!</v>
      </c>
      <c r="AJ1452" s="69" t="e" cm="1">
        <f t="array" ref="AJ1452">_xlfn.XLOOKUP(Table1[[#This Row],[5 cm2 cell test code]:[5 cm2 cell test code]],[1]!Table1[[Test code]:[Test code]],[1]!Table1[DIW conductivity (µS/cm)],"",0)</f>
        <v>#REF!</v>
      </c>
    </row>
    <row r="1453" spans="1:36">
      <c r="A1453" s="81"/>
      <c r="U1453" s="101"/>
      <c r="V1453" s="101"/>
      <c r="W1453" s="69" t="e" cm="1">
        <f t="array" ref="W1453">_xlfn.XLOOKUP(Table1[[#This Row],[5 cm2 cell test code]:[5 cm2 cell test code]],[1]!Table1[[Test code]:[Test code]],[1]!Table1[i @ 1.8 V DIW (A/cm2)],"",0)</f>
        <v>#REF!</v>
      </c>
      <c r="X1453" s="69" t="e" cm="1">
        <f t="array" ref="X1453">_xlfn.XLOOKUP(Table1[[#This Row],[5 cm2 cell test code]:[5 cm2 cell test code]],[1]!Table1[[Test code]:[Test code]],[1]!Table1[i @ 1.8 V 10 mM KOH (A/cm2)],"",0)</f>
        <v>#REF!</v>
      </c>
      <c r="Y1453" s="69" t="e" cm="1">
        <f t="array" ref="Y1453">_xlfn.XLOOKUP(Table1[[#This Row],[5 cm2 cell test code]:[5 cm2 cell test code]],[1]!Table1[[Test code]:[Test code]],[1]!Table1[3-E ƞ at 20mAcm-2 (mV)],"",0)</f>
        <v>#REF!</v>
      </c>
      <c r="Z1453" s="69" t="e" cm="1">
        <f t="array" ref="Z1453">_xlfn.XLOOKUP(Table1[[#This Row],[5 cm2 cell test code]:[5 cm2 cell test code]],[1]!Table1[[Test code]:[Test code]],[1]!Table1[3-E Tafel slope (mV/dec)],"",0)</f>
        <v>#REF!</v>
      </c>
      <c r="AA1453" s="69" t="e" cm="1">
        <f t="array" ref="AA1453">_xlfn.XLOOKUP(Table1[[#This Row],[5 cm2 cell test code]:[5 cm2 cell test code]],[1]!Table1[[Test code]:[Test code]],[1]!Table1[E @ 100 mA/cm2 DIW/V],"",0)</f>
        <v>#REF!</v>
      </c>
      <c r="AB1453" s="69" t="e" cm="1">
        <f t="array" ref="AB1453">_xlfn.XLOOKUP(Table1[[#This Row],[5 cm2 cell test code]:[5 cm2 cell test code]],[1]!Table1[[Test code]:[Test code]],[1]!Table1[E @ 100 mA/cm2 10 mM KOH/V],"",0)</f>
        <v>#REF!</v>
      </c>
      <c r="AC1453" s="69" t="e" cm="1">
        <f t="array" ref="AC1453">_xlfn.XLOOKUP(Table1[[#This Row],[5 cm2 cell test code]:[5 cm2 cell test code]],[1]!Table1[[Test code]:[Test code]],[1]!Table1[Anode ICR/mOhm],"",0)</f>
        <v>#REF!</v>
      </c>
      <c r="AD1453" s="69" t="e" cm="1">
        <f t="array" ref="AD1453">_xlfn.XLOOKUP(Table1[[#This Row],[5 cm2 cell test code]:[5 cm2 cell test code]],[1]!Table1[[Test code]:[Test code]],[1]!Table1[HFR DIW/ mOhm cm2],"",0)</f>
        <v>#REF!</v>
      </c>
      <c r="AE1453" s="69" t="e" cm="1">
        <f t="array" ref="AE1453">_xlfn.XLOOKUP(Table1[[#This Row],[5 cm2 cell test code]:[5 cm2 cell test code]],[1]!Table1[[Test code]:[Test code]],[1]!Table1[HFR 10 mM KOH/ mOhm cm2],"",0)</f>
        <v>#REF!</v>
      </c>
      <c r="AF1453" s="69" t="e" cm="1">
        <f t="array" ref="AF1453">_xlfn.XLOOKUP(Table1[[#This Row],[5 cm2 cell test code]:[5 cm2 cell test code]],[1]!Table1[[Test code]:[Test code]],[1]!Table1[Ionic resistance DIW/Ohm cm2],"",0)</f>
        <v>#REF!</v>
      </c>
      <c r="AG1453" s="69" t="e" cm="1">
        <f t="array" ref="AG1453">_xlfn.XLOOKUP(Table1[[#This Row],[5 cm2 cell test code]:[5 cm2 cell test code]],[1]!Table1[[Test code]:[Test code]],[1]!Table1[Q_int_frac DIW],"",0)</f>
        <v>#REF!</v>
      </c>
      <c r="AH1453" s="69" t="e" cm="1">
        <f t="array" ref="AH1453">_xlfn.XLOOKUP(Table1[[#This Row],[5 cm2 cell test code]:[5 cm2 cell test code]],[1]!Table1[[Test code]:[Test code]],[1]!Table1[Ionic resistance 10 mM KOH/Ohm cm2],"",0)</f>
        <v>#REF!</v>
      </c>
      <c r="AI1453" s="69" t="e" cm="1">
        <f t="array" ref="AI1453">_xlfn.XLOOKUP(Table1[[#This Row],[5 cm2 cell test code]:[5 cm2 cell test code]],[1]!Table1[[Test code]:[Test code]],[1]!Table1[Q_int_frac DIW 10 mM KOH],"",0)</f>
        <v>#REF!</v>
      </c>
      <c r="AJ1453" s="69" t="e" cm="1">
        <f t="array" ref="AJ1453">_xlfn.XLOOKUP(Table1[[#This Row],[5 cm2 cell test code]:[5 cm2 cell test code]],[1]!Table1[[Test code]:[Test code]],[1]!Table1[DIW conductivity (µS/cm)],"",0)</f>
        <v>#REF!</v>
      </c>
    </row>
    <row r="1454" spans="1:36">
      <c r="A1454" s="81"/>
      <c r="U1454" s="101"/>
      <c r="V1454" s="101"/>
      <c r="W1454" s="69" t="e" cm="1">
        <f t="array" ref="W1454">_xlfn.XLOOKUP(Table1[[#This Row],[5 cm2 cell test code]:[5 cm2 cell test code]],[1]!Table1[[Test code]:[Test code]],[1]!Table1[i @ 1.8 V DIW (A/cm2)],"",0)</f>
        <v>#REF!</v>
      </c>
      <c r="X1454" s="69" t="e" cm="1">
        <f t="array" ref="X1454">_xlfn.XLOOKUP(Table1[[#This Row],[5 cm2 cell test code]:[5 cm2 cell test code]],[1]!Table1[[Test code]:[Test code]],[1]!Table1[i @ 1.8 V 10 mM KOH (A/cm2)],"",0)</f>
        <v>#REF!</v>
      </c>
      <c r="Y1454" s="69" t="e" cm="1">
        <f t="array" ref="Y1454">_xlfn.XLOOKUP(Table1[[#This Row],[5 cm2 cell test code]:[5 cm2 cell test code]],[1]!Table1[[Test code]:[Test code]],[1]!Table1[3-E ƞ at 20mAcm-2 (mV)],"",0)</f>
        <v>#REF!</v>
      </c>
      <c r="Z1454" s="69" t="e" cm="1">
        <f t="array" ref="Z1454">_xlfn.XLOOKUP(Table1[[#This Row],[5 cm2 cell test code]:[5 cm2 cell test code]],[1]!Table1[[Test code]:[Test code]],[1]!Table1[3-E Tafel slope (mV/dec)],"",0)</f>
        <v>#REF!</v>
      </c>
      <c r="AA1454" s="69" t="e" cm="1">
        <f t="array" ref="AA1454">_xlfn.XLOOKUP(Table1[[#This Row],[5 cm2 cell test code]:[5 cm2 cell test code]],[1]!Table1[[Test code]:[Test code]],[1]!Table1[E @ 100 mA/cm2 DIW/V],"",0)</f>
        <v>#REF!</v>
      </c>
      <c r="AB1454" s="69" t="e" cm="1">
        <f t="array" ref="AB1454">_xlfn.XLOOKUP(Table1[[#This Row],[5 cm2 cell test code]:[5 cm2 cell test code]],[1]!Table1[[Test code]:[Test code]],[1]!Table1[E @ 100 mA/cm2 10 mM KOH/V],"",0)</f>
        <v>#REF!</v>
      </c>
      <c r="AC1454" s="69" t="e" cm="1">
        <f t="array" ref="AC1454">_xlfn.XLOOKUP(Table1[[#This Row],[5 cm2 cell test code]:[5 cm2 cell test code]],[1]!Table1[[Test code]:[Test code]],[1]!Table1[Anode ICR/mOhm],"",0)</f>
        <v>#REF!</v>
      </c>
      <c r="AD1454" s="69" t="e" cm="1">
        <f t="array" ref="AD1454">_xlfn.XLOOKUP(Table1[[#This Row],[5 cm2 cell test code]:[5 cm2 cell test code]],[1]!Table1[[Test code]:[Test code]],[1]!Table1[HFR DIW/ mOhm cm2],"",0)</f>
        <v>#REF!</v>
      </c>
      <c r="AE1454" s="69" t="e" cm="1">
        <f t="array" ref="AE1454">_xlfn.XLOOKUP(Table1[[#This Row],[5 cm2 cell test code]:[5 cm2 cell test code]],[1]!Table1[[Test code]:[Test code]],[1]!Table1[HFR 10 mM KOH/ mOhm cm2],"",0)</f>
        <v>#REF!</v>
      </c>
      <c r="AF1454" s="69" t="e" cm="1">
        <f t="array" ref="AF1454">_xlfn.XLOOKUP(Table1[[#This Row],[5 cm2 cell test code]:[5 cm2 cell test code]],[1]!Table1[[Test code]:[Test code]],[1]!Table1[Ionic resistance DIW/Ohm cm2],"",0)</f>
        <v>#REF!</v>
      </c>
      <c r="AG1454" s="69" t="e" cm="1">
        <f t="array" ref="AG1454">_xlfn.XLOOKUP(Table1[[#This Row],[5 cm2 cell test code]:[5 cm2 cell test code]],[1]!Table1[[Test code]:[Test code]],[1]!Table1[Q_int_frac DIW],"",0)</f>
        <v>#REF!</v>
      </c>
      <c r="AH1454" s="69" t="e" cm="1">
        <f t="array" ref="AH1454">_xlfn.XLOOKUP(Table1[[#This Row],[5 cm2 cell test code]:[5 cm2 cell test code]],[1]!Table1[[Test code]:[Test code]],[1]!Table1[Ionic resistance 10 mM KOH/Ohm cm2],"",0)</f>
        <v>#REF!</v>
      </c>
      <c r="AI1454" s="69" t="e" cm="1">
        <f t="array" ref="AI1454">_xlfn.XLOOKUP(Table1[[#This Row],[5 cm2 cell test code]:[5 cm2 cell test code]],[1]!Table1[[Test code]:[Test code]],[1]!Table1[Q_int_frac DIW 10 mM KOH],"",0)</f>
        <v>#REF!</v>
      </c>
      <c r="AJ1454" s="69" t="e" cm="1">
        <f t="array" ref="AJ1454">_xlfn.XLOOKUP(Table1[[#This Row],[5 cm2 cell test code]:[5 cm2 cell test code]],[1]!Table1[[Test code]:[Test code]],[1]!Table1[DIW conductivity (µS/cm)],"",0)</f>
        <v>#REF!</v>
      </c>
    </row>
    <row r="1455" spans="1:36">
      <c r="A1455" s="81"/>
      <c r="U1455" s="101"/>
      <c r="V1455" s="101"/>
      <c r="W1455" s="69" t="e" cm="1">
        <f t="array" ref="W1455">_xlfn.XLOOKUP(Table1[[#This Row],[5 cm2 cell test code]:[5 cm2 cell test code]],[1]!Table1[[Test code]:[Test code]],[1]!Table1[i @ 1.8 V DIW (A/cm2)],"",0)</f>
        <v>#REF!</v>
      </c>
      <c r="X1455" s="69" t="e" cm="1">
        <f t="array" ref="X1455">_xlfn.XLOOKUP(Table1[[#This Row],[5 cm2 cell test code]:[5 cm2 cell test code]],[1]!Table1[[Test code]:[Test code]],[1]!Table1[i @ 1.8 V 10 mM KOH (A/cm2)],"",0)</f>
        <v>#REF!</v>
      </c>
      <c r="Y1455" s="69" t="e" cm="1">
        <f t="array" ref="Y1455">_xlfn.XLOOKUP(Table1[[#This Row],[5 cm2 cell test code]:[5 cm2 cell test code]],[1]!Table1[[Test code]:[Test code]],[1]!Table1[3-E ƞ at 20mAcm-2 (mV)],"",0)</f>
        <v>#REF!</v>
      </c>
      <c r="Z1455" s="69" t="e" cm="1">
        <f t="array" ref="Z1455">_xlfn.XLOOKUP(Table1[[#This Row],[5 cm2 cell test code]:[5 cm2 cell test code]],[1]!Table1[[Test code]:[Test code]],[1]!Table1[3-E Tafel slope (mV/dec)],"",0)</f>
        <v>#REF!</v>
      </c>
      <c r="AA1455" s="69" t="e" cm="1">
        <f t="array" ref="AA1455">_xlfn.XLOOKUP(Table1[[#This Row],[5 cm2 cell test code]:[5 cm2 cell test code]],[1]!Table1[[Test code]:[Test code]],[1]!Table1[E @ 100 mA/cm2 DIW/V],"",0)</f>
        <v>#REF!</v>
      </c>
      <c r="AB1455" s="69" t="e" cm="1">
        <f t="array" ref="AB1455">_xlfn.XLOOKUP(Table1[[#This Row],[5 cm2 cell test code]:[5 cm2 cell test code]],[1]!Table1[[Test code]:[Test code]],[1]!Table1[E @ 100 mA/cm2 10 mM KOH/V],"",0)</f>
        <v>#REF!</v>
      </c>
      <c r="AC1455" s="69" t="e" cm="1">
        <f t="array" ref="AC1455">_xlfn.XLOOKUP(Table1[[#This Row],[5 cm2 cell test code]:[5 cm2 cell test code]],[1]!Table1[[Test code]:[Test code]],[1]!Table1[Anode ICR/mOhm],"",0)</f>
        <v>#REF!</v>
      </c>
      <c r="AD1455" s="69" t="e" cm="1">
        <f t="array" ref="AD1455">_xlfn.XLOOKUP(Table1[[#This Row],[5 cm2 cell test code]:[5 cm2 cell test code]],[1]!Table1[[Test code]:[Test code]],[1]!Table1[HFR DIW/ mOhm cm2],"",0)</f>
        <v>#REF!</v>
      </c>
      <c r="AE1455" s="69" t="e" cm="1">
        <f t="array" ref="AE1455">_xlfn.XLOOKUP(Table1[[#This Row],[5 cm2 cell test code]:[5 cm2 cell test code]],[1]!Table1[[Test code]:[Test code]],[1]!Table1[HFR 10 mM KOH/ mOhm cm2],"",0)</f>
        <v>#REF!</v>
      </c>
      <c r="AF1455" s="69" t="e" cm="1">
        <f t="array" ref="AF1455">_xlfn.XLOOKUP(Table1[[#This Row],[5 cm2 cell test code]:[5 cm2 cell test code]],[1]!Table1[[Test code]:[Test code]],[1]!Table1[Ionic resistance DIW/Ohm cm2],"",0)</f>
        <v>#REF!</v>
      </c>
      <c r="AG1455" s="69" t="e" cm="1">
        <f t="array" ref="AG1455">_xlfn.XLOOKUP(Table1[[#This Row],[5 cm2 cell test code]:[5 cm2 cell test code]],[1]!Table1[[Test code]:[Test code]],[1]!Table1[Q_int_frac DIW],"",0)</f>
        <v>#REF!</v>
      </c>
      <c r="AH1455" s="69" t="e" cm="1">
        <f t="array" ref="AH1455">_xlfn.XLOOKUP(Table1[[#This Row],[5 cm2 cell test code]:[5 cm2 cell test code]],[1]!Table1[[Test code]:[Test code]],[1]!Table1[Ionic resistance 10 mM KOH/Ohm cm2],"",0)</f>
        <v>#REF!</v>
      </c>
      <c r="AI1455" s="69" t="e" cm="1">
        <f t="array" ref="AI1455">_xlfn.XLOOKUP(Table1[[#This Row],[5 cm2 cell test code]:[5 cm2 cell test code]],[1]!Table1[[Test code]:[Test code]],[1]!Table1[Q_int_frac DIW 10 mM KOH],"",0)</f>
        <v>#REF!</v>
      </c>
      <c r="AJ1455" s="69" t="e" cm="1">
        <f t="array" ref="AJ1455">_xlfn.XLOOKUP(Table1[[#This Row],[5 cm2 cell test code]:[5 cm2 cell test code]],[1]!Table1[[Test code]:[Test code]],[1]!Table1[DIW conductivity (µS/cm)],"",0)</f>
        <v>#REF!</v>
      </c>
    </row>
    <row r="1456" spans="1:36">
      <c r="A1456" s="81"/>
      <c r="U1456" s="101"/>
      <c r="V1456" s="101"/>
      <c r="W1456" s="69" t="e" cm="1">
        <f t="array" ref="W1456">_xlfn.XLOOKUP(Table1[[#This Row],[5 cm2 cell test code]:[5 cm2 cell test code]],[1]!Table1[[Test code]:[Test code]],[1]!Table1[i @ 1.8 V DIW (A/cm2)],"",0)</f>
        <v>#REF!</v>
      </c>
      <c r="X1456" s="69" t="e" cm="1">
        <f t="array" ref="X1456">_xlfn.XLOOKUP(Table1[[#This Row],[5 cm2 cell test code]:[5 cm2 cell test code]],[1]!Table1[[Test code]:[Test code]],[1]!Table1[i @ 1.8 V 10 mM KOH (A/cm2)],"",0)</f>
        <v>#REF!</v>
      </c>
      <c r="Y1456" s="69" t="e" cm="1">
        <f t="array" ref="Y1456">_xlfn.XLOOKUP(Table1[[#This Row],[5 cm2 cell test code]:[5 cm2 cell test code]],[1]!Table1[[Test code]:[Test code]],[1]!Table1[3-E ƞ at 20mAcm-2 (mV)],"",0)</f>
        <v>#REF!</v>
      </c>
      <c r="Z1456" s="69" t="e" cm="1">
        <f t="array" ref="Z1456">_xlfn.XLOOKUP(Table1[[#This Row],[5 cm2 cell test code]:[5 cm2 cell test code]],[1]!Table1[[Test code]:[Test code]],[1]!Table1[3-E Tafel slope (mV/dec)],"",0)</f>
        <v>#REF!</v>
      </c>
      <c r="AA1456" s="69" t="e" cm="1">
        <f t="array" ref="AA1456">_xlfn.XLOOKUP(Table1[[#This Row],[5 cm2 cell test code]:[5 cm2 cell test code]],[1]!Table1[[Test code]:[Test code]],[1]!Table1[E @ 100 mA/cm2 DIW/V],"",0)</f>
        <v>#REF!</v>
      </c>
      <c r="AB1456" s="69" t="e" cm="1">
        <f t="array" ref="AB1456">_xlfn.XLOOKUP(Table1[[#This Row],[5 cm2 cell test code]:[5 cm2 cell test code]],[1]!Table1[[Test code]:[Test code]],[1]!Table1[E @ 100 mA/cm2 10 mM KOH/V],"",0)</f>
        <v>#REF!</v>
      </c>
      <c r="AC1456" s="69" t="e" cm="1">
        <f t="array" ref="AC1456">_xlfn.XLOOKUP(Table1[[#This Row],[5 cm2 cell test code]:[5 cm2 cell test code]],[1]!Table1[[Test code]:[Test code]],[1]!Table1[Anode ICR/mOhm],"",0)</f>
        <v>#REF!</v>
      </c>
      <c r="AD1456" s="69" t="e" cm="1">
        <f t="array" ref="AD1456">_xlfn.XLOOKUP(Table1[[#This Row],[5 cm2 cell test code]:[5 cm2 cell test code]],[1]!Table1[[Test code]:[Test code]],[1]!Table1[HFR DIW/ mOhm cm2],"",0)</f>
        <v>#REF!</v>
      </c>
      <c r="AE1456" s="69" t="e" cm="1">
        <f t="array" ref="AE1456">_xlfn.XLOOKUP(Table1[[#This Row],[5 cm2 cell test code]:[5 cm2 cell test code]],[1]!Table1[[Test code]:[Test code]],[1]!Table1[HFR 10 mM KOH/ mOhm cm2],"",0)</f>
        <v>#REF!</v>
      </c>
      <c r="AF1456" s="69" t="e" cm="1">
        <f t="array" ref="AF1456">_xlfn.XLOOKUP(Table1[[#This Row],[5 cm2 cell test code]:[5 cm2 cell test code]],[1]!Table1[[Test code]:[Test code]],[1]!Table1[Ionic resistance DIW/Ohm cm2],"",0)</f>
        <v>#REF!</v>
      </c>
      <c r="AG1456" s="69" t="e" cm="1">
        <f t="array" ref="AG1456">_xlfn.XLOOKUP(Table1[[#This Row],[5 cm2 cell test code]:[5 cm2 cell test code]],[1]!Table1[[Test code]:[Test code]],[1]!Table1[Q_int_frac DIW],"",0)</f>
        <v>#REF!</v>
      </c>
      <c r="AH1456" s="69" t="e" cm="1">
        <f t="array" ref="AH1456">_xlfn.XLOOKUP(Table1[[#This Row],[5 cm2 cell test code]:[5 cm2 cell test code]],[1]!Table1[[Test code]:[Test code]],[1]!Table1[Ionic resistance 10 mM KOH/Ohm cm2],"",0)</f>
        <v>#REF!</v>
      </c>
      <c r="AI1456" s="69" t="e" cm="1">
        <f t="array" ref="AI1456">_xlfn.XLOOKUP(Table1[[#This Row],[5 cm2 cell test code]:[5 cm2 cell test code]],[1]!Table1[[Test code]:[Test code]],[1]!Table1[Q_int_frac DIW 10 mM KOH],"",0)</f>
        <v>#REF!</v>
      </c>
      <c r="AJ1456" s="69" t="e" cm="1">
        <f t="array" ref="AJ1456">_xlfn.XLOOKUP(Table1[[#This Row],[5 cm2 cell test code]:[5 cm2 cell test code]],[1]!Table1[[Test code]:[Test code]],[1]!Table1[DIW conductivity (µS/cm)],"",0)</f>
        <v>#REF!</v>
      </c>
    </row>
    <row r="1457" spans="1:36">
      <c r="A1457" s="81"/>
      <c r="U1457" s="101"/>
      <c r="V1457" s="101"/>
      <c r="W1457" s="69" t="e" cm="1">
        <f t="array" ref="W1457">_xlfn.XLOOKUP(Table1[[#This Row],[5 cm2 cell test code]:[5 cm2 cell test code]],[1]!Table1[[Test code]:[Test code]],[1]!Table1[i @ 1.8 V DIW (A/cm2)],"",0)</f>
        <v>#REF!</v>
      </c>
      <c r="X1457" s="69" t="e" cm="1">
        <f t="array" ref="X1457">_xlfn.XLOOKUP(Table1[[#This Row],[5 cm2 cell test code]:[5 cm2 cell test code]],[1]!Table1[[Test code]:[Test code]],[1]!Table1[i @ 1.8 V 10 mM KOH (A/cm2)],"",0)</f>
        <v>#REF!</v>
      </c>
      <c r="Y1457" s="69" t="e" cm="1">
        <f t="array" ref="Y1457">_xlfn.XLOOKUP(Table1[[#This Row],[5 cm2 cell test code]:[5 cm2 cell test code]],[1]!Table1[[Test code]:[Test code]],[1]!Table1[3-E ƞ at 20mAcm-2 (mV)],"",0)</f>
        <v>#REF!</v>
      </c>
      <c r="Z1457" s="69" t="e" cm="1">
        <f t="array" ref="Z1457">_xlfn.XLOOKUP(Table1[[#This Row],[5 cm2 cell test code]:[5 cm2 cell test code]],[1]!Table1[[Test code]:[Test code]],[1]!Table1[3-E Tafel slope (mV/dec)],"",0)</f>
        <v>#REF!</v>
      </c>
      <c r="AA1457" s="69" t="e" cm="1">
        <f t="array" ref="AA1457">_xlfn.XLOOKUP(Table1[[#This Row],[5 cm2 cell test code]:[5 cm2 cell test code]],[1]!Table1[[Test code]:[Test code]],[1]!Table1[E @ 100 mA/cm2 DIW/V],"",0)</f>
        <v>#REF!</v>
      </c>
      <c r="AB1457" s="69" t="e" cm="1">
        <f t="array" ref="AB1457">_xlfn.XLOOKUP(Table1[[#This Row],[5 cm2 cell test code]:[5 cm2 cell test code]],[1]!Table1[[Test code]:[Test code]],[1]!Table1[E @ 100 mA/cm2 10 mM KOH/V],"",0)</f>
        <v>#REF!</v>
      </c>
      <c r="AC1457" s="69" t="e" cm="1">
        <f t="array" ref="AC1457">_xlfn.XLOOKUP(Table1[[#This Row],[5 cm2 cell test code]:[5 cm2 cell test code]],[1]!Table1[[Test code]:[Test code]],[1]!Table1[Anode ICR/mOhm],"",0)</f>
        <v>#REF!</v>
      </c>
      <c r="AD1457" s="69" t="e" cm="1">
        <f t="array" ref="AD1457">_xlfn.XLOOKUP(Table1[[#This Row],[5 cm2 cell test code]:[5 cm2 cell test code]],[1]!Table1[[Test code]:[Test code]],[1]!Table1[HFR DIW/ mOhm cm2],"",0)</f>
        <v>#REF!</v>
      </c>
      <c r="AE1457" s="69" t="e" cm="1">
        <f t="array" ref="AE1457">_xlfn.XLOOKUP(Table1[[#This Row],[5 cm2 cell test code]:[5 cm2 cell test code]],[1]!Table1[[Test code]:[Test code]],[1]!Table1[HFR 10 mM KOH/ mOhm cm2],"",0)</f>
        <v>#REF!</v>
      </c>
      <c r="AF1457" s="69" t="e" cm="1">
        <f t="array" ref="AF1457">_xlfn.XLOOKUP(Table1[[#This Row],[5 cm2 cell test code]:[5 cm2 cell test code]],[1]!Table1[[Test code]:[Test code]],[1]!Table1[Ionic resistance DIW/Ohm cm2],"",0)</f>
        <v>#REF!</v>
      </c>
      <c r="AG1457" s="69" t="e" cm="1">
        <f t="array" ref="AG1457">_xlfn.XLOOKUP(Table1[[#This Row],[5 cm2 cell test code]:[5 cm2 cell test code]],[1]!Table1[[Test code]:[Test code]],[1]!Table1[Q_int_frac DIW],"",0)</f>
        <v>#REF!</v>
      </c>
      <c r="AH1457" s="69" t="e" cm="1">
        <f t="array" ref="AH1457">_xlfn.XLOOKUP(Table1[[#This Row],[5 cm2 cell test code]:[5 cm2 cell test code]],[1]!Table1[[Test code]:[Test code]],[1]!Table1[Ionic resistance 10 mM KOH/Ohm cm2],"",0)</f>
        <v>#REF!</v>
      </c>
      <c r="AI1457" s="69" t="e" cm="1">
        <f t="array" ref="AI1457">_xlfn.XLOOKUP(Table1[[#This Row],[5 cm2 cell test code]:[5 cm2 cell test code]],[1]!Table1[[Test code]:[Test code]],[1]!Table1[Q_int_frac DIW 10 mM KOH],"",0)</f>
        <v>#REF!</v>
      </c>
      <c r="AJ1457" s="69" t="e" cm="1">
        <f t="array" ref="AJ1457">_xlfn.XLOOKUP(Table1[[#This Row],[5 cm2 cell test code]:[5 cm2 cell test code]],[1]!Table1[[Test code]:[Test code]],[1]!Table1[DIW conductivity (µS/cm)],"",0)</f>
        <v>#REF!</v>
      </c>
    </row>
    <row r="1458" spans="1:36">
      <c r="A1458" s="81"/>
      <c r="U1458" s="101"/>
      <c r="V1458" s="101"/>
      <c r="W1458" s="69" t="e" cm="1">
        <f t="array" ref="W1458">_xlfn.XLOOKUP(Table1[[#This Row],[5 cm2 cell test code]:[5 cm2 cell test code]],[1]!Table1[[Test code]:[Test code]],[1]!Table1[i @ 1.8 V DIW (A/cm2)],"",0)</f>
        <v>#REF!</v>
      </c>
      <c r="X1458" s="69" t="e" cm="1">
        <f t="array" ref="X1458">_xlfn.XLOOKUP(Table1[[#This Row],[5 cm2 cell test code]:[5 cm2 cell test code]],[1]!Table1[[Test code]:[Test code]],[1]!Table1[i @ 1.8 V 10 mM KOH (A/cm2)],"",0)</f>
        <v>#REF!</v>
      </c>
      <c r="Y1458" s="69" t="e" cm="1">
        <f t="array" ref="Y1458">_xlfn.XLOOKUP(Table1[[#This Row],[5 cm2 cell test code]:[5 cm2 cell test code]],[1]!Table1[[Test code]:[Test code]],[1]!Table1[3-E ƞ at 20mAcm-2 (mV)],"",0)</f>
        <v>#REF!</v>
      </c>
      <c r="Z1458" s="69" t="e" cm="1">
        <f t="array" ref="Z1458">_xlfn.XLOOKUP(Table1[[#This Row],[5 cm2 cell test code]:[5 cm2 cell test code]],[1]!Table1[[Test code]:[Test code]],[1]!Table1[3-E Tafel slope (mV/dec)],"",0)</f>
        <v>#REF!</v>
      </c>
      <c r="AA1458" s="69" t="e" cm="1">
        <f t="array" ref="AA1458">_xlfn.XLOOKUP(Table1[[#This Row],[5 cm2 cell test code]:[5 cm2 cell test code]],[1]!Table1[[Test code]:[Test code]],[1]!Table1[E @ 100 mA/cm2 DIW/V],"",0)</f>
        <v>#REF!</v>
      </c>
      <c r="AB1458" s="69" t="e" cm="1">
        <f t="array" ref="AB1458">_xlfn.XLOOKUP(Table1[[#This Row],[5 cm2 cell test code]:[5 cm2 cell test code]],[1]!Table1[[Test code]:[Test code]],[1]!Table1[E @ 100 mA/cm2 10 mM KOH/V],"",0)</f>
        <v>#REF!</v>
      </c>
      <c r="AC1458" s="69" t="e" cm="1">
        <f t="array" ref="AC1458">_xlfn.XLOOKUP(Table1[[#This Row],[5 cm2 cell test code]:[5 cm2 cell test code]],[1]!Table1[[Test code]:[Test code]],[1]!Table1[Anode ICR/mOhm],"",0)</f>
        <v>#REF!</v>
      </c>
      <c r="AD1458" s="69" t="e" cm="1">
        <f t="array" ref="AD1458">_xlfn.XLOOKUP(Table1[[#This Row],[5 cm2 cell test code]:[5 cm2 cell test code]],[1]!Table1[[Test code]:[Test code]],[1]!Table1[HFR DIW/ mOhm cm2],"",0)</f>
        <v>#REF!</v>
      </c>
      <c r="AE1458" s="69" t="e" cm="1">
        <f t="array" ref="AE1458">_xlfn.XLOOKUP(Table1[[#This Row],[5 cm2 cell test code]:[5 cm2 cell test code]],[1]!Table1[[Test code]:[Test code]],[1]!Table1[HFR 10 mM KOH/ mOhm cm2],"",0)</f>
        <v>#REF!</v>
      </c>
      <c r="AF1458" s="69" t="e" cm="1">
        <f t="array" ref="AF1458">_xlfn.XLOOKUP(Table1[[#This Row],[5 cm2 cell test code]:[5 cm2 cell test code]],[1]!Table1[[Test code]:[Test code]],[1]!Table1[Ionic resistance DIW/Ohm cm2],"",0)</f>
        <v>#REF!</v>
      </c>
      <c r="AG1458" s="69" t="e" cm="1">
        <f t="array" ref="AG1458">_xlfn.XLOOKUP(Table1[[#This Row],[5 cm2 cell test code]:[5 cm2 cell test code]],[1]!Table1[[Test code]:[Test code]],[1]!Table1[Q_int_frac DIW],"",0)</f>
        <v>#REF!</v>
      </c>
      <c r="AH1458" s="69" t="e" cm="1">
        <f t="array" ref="AH1458">_xlfn.XLOOKUP(Table1[[#This Row],[5 cm2 cell test code]:[5 cm2 cell test code]],[1]!Table1[[Test code]:[Test code]],[1]!Table1[Ionic resistance 10 mM KOH/Ohm cm2],"",0)</f>
        <v>#REF!</v>
      </c>
      <c r="AI1458" s="69" t="e" cm="1">
        <f t="array" ref="AI1458">_xlfn.XLOOKUP(Table1[[#This Row],[5 cm2 cell test code]:[5 cm2 cell test code]],[1]!Table1[[Test code]:[Test code]],[1]!Table1[Q_int_frac DIW 10 mM KOH],"",0)</f>
        <v>#REF!</v>
      </c>
      <c r="AJ1458" s="69" t="e" cm="1">
        <f t="array" ref="AJ1458">_xlfn.XLOOKUP(Table1[[#This Row],[5 cm2 cell test code]:[5 cm2 cell test code]],[1]!Table1[[Test code]:[Test code]],[1]!Table1[DIW conductivity (µS/cm)],"",0)</f>
        <v>#REF!</v>
      </c>
    </row>
    <row r="1459" spans="1:36">
      <c r="A1459" s="81"/>
      <c r="U1459" s="101"/>
      <c r="V1459" s="101"/>
      <c r="W1459" s="69" t="e" cm="1">
        <f t="array" ref="W1459">_xlfn.XLOOKUP(Table1[[#This Row],[5 cm2 cell test code]:[5 cm2 cell test code]],[1]!Table1[[Test code]:[Test code]],[1]!Table1[i @ 1.8 V DIW (A/cm2)],"",0)</f>
        <v>#REF!</v>
      </c>
      <c r="X1459" s="69" t="e" cm="1">
        <f t="array" ref="X1459">_xlfn.XLOOKUP(Table1[[#This Row],[5 cm2 cell test code]:[5 cm2 cell test code]],[1]!Table1[[Test code]:[Test code]],[1]!Table1[i @ 1.8 V 10 mM KOH (A/cm2)],"",0)</f>
        <v>#REF!</v>
      </c>
      <c r="Y1459" s="69" t="e" cm="1">
        <f t="array" ref="Y1459">_xlfn.XLOOKUP(Table1[[#This Row],[5 cm2 cell test code]:[5 cm2 cell test code]],[1]!Table1[[Test code]:[Test code]],[1]!Table1[3-E ƞ at 20mAcm-2 (mV)],"",0)</f>
        <v>#REF!</v>
      </c>
      <c r="Z1459" s="69" t="e" cm="1">
        <f t="array" ref="Z1459">_xlfn.XLOOKUP(Table1[[#This Row],[5 cm2 cell test code]:[5 cm2 cell test code]],[1]!Table1[[Test code]:[Test code]],[1]!Table1[3-E Tafel slope (mV/dec)],"",0)</f>
        <v>#REF!</v>
      </c>
      <c r="AA1459" s="69" t="e" cm="1">
        <f t="array" ref="AA1459">_xlfn.XLOOKUP(Table1[[#This Row],[5 cm2 cell test code]:[5 cm2 cell test code]],[1]!Table1[[Test code]:[Test code]],[1]!Table1[E @ 100 mA/cm2 DIW/V],"",0)</f>
        <v>#REF!</v>
      </c>
      <c r="AB1459" s="69" t="e" cm="1">
        <f t="array" ref="AB1459">_xlfn.XLOOKUP(Table1[[#This Row],[5 cm2 cell test code]:[5 cm2 cell test code]],[1]!Table1[[Test code]:[Test code]],[1]!Table1[E @ 100 mA/cm2 10 mM KOH/V],"",0)</f>
        <v>#REF!</v>
      </c>
      <c r="AC1459" s="69" t="e" cm="1">
        <f t="array" ref="AC1459">_xlfn.XLOOKUP(Table1[[#This Row],[5 cm2 cell test code]:[5 cm2 cell test code]],[1]!Table1[[Test code]:[Test code]],[1]!Table1[Anode ICR/mOhm],"",0)</f>
        <v>#REF!</v>
      </c>
      <c r="AD1459" s="69" t="e" cm="1">
        <f t="array" ref="AD1459">_xlfn.XLOOKUP(Table1[[#This Row],[5 cm2 cell test code]:[5 cm2 cell test code]],[1]!Table1[[Test code]:[Test code]],[1]!Table1[HFR DIW/ mOhm cm2],"",0)</f>
        <v>#REF!</v>
      </c>
      <c r="AE1459" s="69" t="e" cm="1">
        <f t="array" ref="AE1459">_xlfn.XLOOKUP(Table1[[#This Row],[5 cm2 cell test code]:[5 cm2 cell test code]],[1]!Table1[[Test code]:[Test code]],[1]!Table1[HFR 10 mM KOH/ mOhm cm2],"",0)</f>
        <v>#REF!</v>
      </c>
      <c r="AF1459" s="69" t="e" cm="1">
        <f t="array" ref="AF1459">_xlfn.XLOOKUP(Table1[[#This Row],[5 cm2 cell test code]:[5 cm2 cell test code]],[1]!Table1[[Test code]:[Test code]],[1]!Table1[Ionic resistance DIW/Ohm cm2],"",0)</f>
        <v>#REF!</v>
      </c>
      <c r="AG1459" s="69" t="e" cm="1">
        <f t="array" ref="AG1459">_xlfn.XLOOKUP(Table1[[#This Row],[5 cm2 cell test code]:[5 cm2 cell test code]],[1]!Table1[[Test code]:[Test code]],[1]!Table1[Q_int_frac DIW],"",0)</f>
        <v>#REF!</v>
      </c>
      <c r="AH1459" s="69" t="e" cm="1">
        <f t="array" ref="AH1459">_xlfn.XLOOKUP(Table1[[#This Row],[5 cm2 cell test code]:[5 cm2 cell test code]],[1]!Table1[[Test code]:[Test code]],[1]!Table1[Ionic resistance 10 mM KOH/Ohm cm2],"",0)</f>
        <v>#REF!</v>
      </c>
      <c r="AI1459" s="69" t="e" cm="1">
        <f t="array" ref="AI1459">_xlfn.XLOOKUP(Table1[[#This Row],[5 cm2 cell test code]:[5 cm2 cell test code]],[1]!Table1[[Test code]:[Test code]],[1]!Table1[Q_int_frac DIW 10 mM KOH],"",0)</f>
        <v>#REF!</v>
      </c>
      <c r="AJ1459" s="69" t="e" cm="1">
        <f t="array" ref="AJ1459">_xlfn.XLOOKUP(Table1[[#This Row],[5 cm2 cell test code]:[5 cm2 cell test code]],[1]!Table1[[Test code]:[Test code]],[1]!Table1[DIW conductivity (µS/cm)],"",0)</f>
        <v>#REF!</v>
      </c>
    </row>
    <row r="1460" spans="1:36">
      <c r="A1460" s="81"/>
      <c r="U1460" s="101"/>
      <c r="V1460" s="101"/>
      <c r="W1460" s="69" t="e" cm="1">
        <f t="array" ref="W1460">_xlfn.XLOOKUP(Table1[[#This Row],[5 cm2 cell test code]:[5 cm2 cell test code]],[1]!Table1[[Test code]:[Test code]],[1]!Table1[i @ 1.8 V DIW (A/cm2)],"",0)</f>
        <v>#REF!</v>
      </c>
      <c r="X1460" s="69" t="e" cm="1">
        <f t="array" ref="X1460">_xlfn.XLOOKUP(Table1[[#This Row],[5 cm2 cell test code]:[5 cm2 cell test code]],[1]!Table1[[Test code]:[Test code]],[1]!Table1[i @ 1.8 V 10 mM KOH (A/cm2)],"",0)</f>
        <v>#REF!</v>
      </c>
      <c r="Y1460" s="69" t="e" cm="1">
        <f t="array" ref="Y1460">_xlfn.XLOOKUP(Table1[[#This Row],[5 cm2 cell test code]:[5 cm2 cell test code]],[1]!Table1[[Test code]:[Test code]],[1]!Table1[3-E ƞ at 20mAcm-2 (mV)],"",0)</f>
        <v>#REF!</v>
      </c>
      <c r="Z1460" s="69" t="e" cm="1">
        <f t="array" ref="Z1460">_xlfn.XLOOKUP(Table1[[#This Row],[5 cm2 cell test code]:[5 cm2 cell test code]],[1]!Table1[[Test code]:[Test code]],[1]!Table1[3-E Tafel slope (mV/dec)],"",0)</f>
        <v>#REF!</v>
      </c>
      <c r="AA1460" s="69" t="e" cm="1">
        <f t="array" ref="AA1460">_xlfn.XLOOKUP(Table1[[#This Row],[5 cm2 cell test code]:[5 cm2 cell test code]],[1]!Table1[[Test code]:[Test code]],[1]!Table1[E @ 100 mA/cm2 DIW/V],"",0)</f>
        <v>#REF!</v>
      </c>
      <c r="AB1460" s="69" t="e" cm="1">
        <f t="array" ref="AB1460">_xlfn.XLOOKUP(Table1[[#This Row],[5 cm2 cell test code]:[5 cm2 cell test code]],[1]!Table1[[Test code]:[Test code]],[1]!Table1[E @ 100 mA/cm2 10 mM KOH/V],"",0)</f>
        <v>#REF!</v>
      </c>
      <c r="AC1460" s="69" t="e" cm="1">
        <f t="array" ref="AC1460">_xlfn.XLOOKUP(Table1[[#This Row],[5 cm2 cell test code]:[5 cm2 cell test code]],[1]!Table1[[Test code]:[Test code]],[1]!Table1[Anode ICR/mOhm],"",0)</f>
        <v>#REF!</v>
      </c>
      <c r="AD1460" s="69" t="e" cm="1">
        <f t="array" ref="AD1460">_xlfn.XLOOKUP(Table1[[#This Row],[5 cm2 cell test code]:[5 cm2 cell test code]],[1]!Table1[[Test code]:[Test code]],[1]!Table1[HFR DIW/ mOhm cm2],"",0)</f>
        <v>#REF!</v>
      </c>
      <c r="AE1460" s="69" t="e" cm="1">
        <f t="array" ref="AE1460">_xlfn.XLOOKUP(Table1[[#This Row],[5 cm2 cell test code]:[5 cm2 cell test code]],[1]!Table1[[Test code]:[Test code]],[1]!Table1[HFR 10 mM KOH/ mOhm cm2],"",0)</f>
        <v>#REF!</v>
      </c>
      <c r="AF1460" s="69" t="e" cm="1">
        <f t="array" ref="AF1460">_xlfn.XLOOKUP(Table1[[#This Row],[5 cm2 cell test code]:[5 cm2 cell test code]],[1]!Table1[[Test code]:[Test code]],[1]!Table1[Ionic resistance DIW/Ohm cm2],"",0)</f>
        <v>#REF!</v>
      </c>
      <c r="AG1460" s="69" t="e" cm="1">
        <f t="array" ref="AG1460">_xlfn.XLOOKUP(Table1[[#This Row],[5 cm2 cell test code]:[5 cm2 cell test code]],[1]!Table1[[Test code]:[Test code]],[1]!Table1[Q_int_frac DIW],"",0)</f>
        <v>#REF!</v>
      </c>
      <c r="AH1460" s="69" t="e" cm="1">
        <f t="array" ref="AH1460">_xlfn.XLOOKUP(Table1[[#This Row],[5 cm2 cell test code]:[5 cm2 cell test code]],[1]!Table1[[Test code]:[Test code]],[1]!Table1[Ionic resistance 10 mM KOH/Ohm cm2],"",0)</f>
        <v>#REF!</v>
      </c>
      <c r="AI1460" s="69" t="e" cm="1">
        <f t="array" ref="AI1460">_xlfn.XLOOKUP(Table1[[#This Row],[5 cm2 cell test code]:[5 cm2 cell test code]],[1]!Table1[[Test code]:[Test code]],[1]!Table1[Q_int_frac DIW 10 mM KOH],"",0)</f>
        <v>#REF!</v>
      </c>
      <c r="AJ1460" s="69" t="e" cm="1">
        <f t="array" ref="AJ1460">_xlfn.XLOOKUP(Table1[[#This Row],[5 cm2 cell test code]:[5 cm2 cell test code]],[1]!Table1[[Test code]:[Test code]],[1]!Table1[DIW conductivity (µS/cm)],"",0)</f>
        <v>#REF!</v>
      </c>
    </row>
    <row r="1461" spans="1:36">
      <c r="A1461" s="81"/>
      <c r="U1461" s="101"/>
      <c r="V1461" s="101"/>
      <c r="W1461" s="69" t="e" cm="1">
        <f t="array" ref="W1461">_xlfn.XLOOKUP(Table1[[#This Row],[5 cm2 cell test code]:[5 cm2 cell test code]],[1]!Table1[[Test code]:[Test code]],[1]!Table1[i @ 1.8 V DIW (A/cm2)],"",0)</f>
        <v>#REF!</v>
      </c>
      <c r="X1461" s="69" t="e" cm="1">
        <f t="array" ref="X1461">_xlfn.XLOOKUP(Table1[[#This Row],[5 cm2 cell test code]:[5 cm2 cell test code]],[1]!Table1[[Test code]:[Test code]],[1]!Table1[i @ 1.8 V 10 mM KOH (A/cm2)],"",0)</f>
        <v>#REF!</v>
      </c>
      <c r="Y1461" s="69" t="e" cm="1">
        <f t="array" ref="Y1461">_xlfn.XLOOKUP(Table1[[#This Row],[5 cm2 cell test code]:[5 cm2 cell test code]],[1]!Table1[[Test code]:[Test code]],[1]!Table1[3-E ƞ at 20mAcm-2 (mV)],"",0)</f>
        <v>#REF!</v>
      </c>
      <c r="Z1461" s="69" t="e" cm="1">
        <f t="array" ref="Z1461">_xlfn.XLOOKUP(Table1[[#This Row],[5 cm2 cell test code]:[5 cm2 cell test code]],[1]!Table1[[Test code]:[Test code]],[1]!Table1[3-E Tafel slope (mV/dec)],"",0)</f>
        <v>#REF!</v>
      </c>
      <c r="AA1461" s="69" t="e" cm="1">
        <f t="array" ref="AA1461">_xlfn.XLOOKUP(Table1[[#This Row],[5 cm2 cell test code]:[5 cm2 cell test code]],[1]!Table1[[Test code]:[Test code]],[1]!Table1[E @ 100 mA/cm2 DIW/V],"",0)</f>
        <v>#REF!</v>
      </c>
      <c r="AB1461" s="69" t="e" cm="1">
        <f t="array" ref="AB1461">_xlfn.XLOOKUP(Table1[[#This Row],[5 cm2 cell test code]:[5 cm2 cell test code]],[1]!Table1[[Test code]:[Test code]],[1]!Table1[E @ 100 mA/cm2 10 mM KOH/V],"",0)</f>
        <v>#REF!</v>
      </c>
      <c r="AC1461" s="69" t="e" cm="1">
        <f t="array" ref="AC1461">_xlfn.XLOOKUP(Table1[[#This Row],[5 cm2 cell test code]:[5 cm2 cell test code]],[1]!Table1[[Test code]:[Test code]],[1]!Table1[Anode ICR/mOhm],"",0)</f>
        <v>#REF!</v>
      </c>
      <c r="AD1461" s="69" t="e" cm="1">
        <f t="array" ref="AD1461">_xlfn.XLOOKUP(Table1[[#This Row],[5 cm2 cell test code]:[5 cm2 cell test code]],[1]!Table1[[Test code]:[Test code]],[1]!Table1[HFR DIW/ mOhm cm2],"",0)</f>
        <v>#REF!</v>
      </c>
      <c r="AE1461" s="69" t="e" cm="1">
        <f t="array" ref="AE1461">_xlfn.XLOOKUP(Table1[[#This Row],[5 cm2 cell test code]:[5 cm2 cell test code]],[1]!Table1[[Test code]:[Test code]],[1]!Table1[HFR 10 mM KOH/ mOhm cm2],"",0)</f>
        <v>#REF!</v>
      </c>
      <c r="AF1461" s="69" t="e" cm="1">
        <f t="array" ref="AF1461">_xlfn.XLOOKUP(Table1[[#This Row],[5 cm2 cell test code]:[5 cm2 cell test code]],[1]!Table1[[Test code]:[Test code]],[1]!Table1[Ionic resistance DIW/Ohm cm2],"",0)</f>
        <v>#REF!</v>
      </c>
      <c r="AG1461" s="69" t="e" cm="1">
        <f t="array" ref="AG1461">_xlfn.XLOOKUP(Table1[[#This Row],[5 cm2 cell test code]:[5 cm2 cell test code]],[1]!Table1[[Test code]:[Test code]],[1]!Table1[Q_int_frac DIW],"",0)</f>
        <v>#REF!</v>
      </c>
      <c r="AH1461" s="69" t="e" cm="1">
        <f t="array" ref="AH1461">_xlfn.XLOOKUP(Table1[[#This Row],[5 cm2 cell test code]:[5 cm2 cell test code]],[1]!Table1[[Test code]:[Test code]],[1]!Table1[Ionic resistance 10 mM KOH/Ohm cm2],"",0)</f>
        <v>#REF!</v>
      </c>
      <c r="AI1461" s="69" t="e" cm="1">
        <f t="array" ref="AI1461">_xlfn.XLOOKUP(Table1[[#This Row],[5 cm2 cell test code]:[5 cm2 cell test code]],[1]!Table1[[Test code]:[Test code]],[1]!Table1[Q_int_frac DIW 10 mM KOH],"",0)</f>
        <v>#REF!</v>
      </c>
      <c r="AJ1461" s="69" t="e" cm="1">
        <f t="array" ref="AJ1461">_xlfn.XLOOKUP(Table1[[#This Row],[5 cm2 cell test code]:[5 cm2 cell test code]],[1]!Table1[[Test code]:[Test code]],[1]!Table1[DIW conductivity (µS/cm)],"",0)</f>
        <v>#REF!</v>
      </c>
    </row>
    <row r="1462" spans="1:36">
      <c r="A1462" s="81"/>
      <c r="U1462" s="101"/>
      <c r="V1462" s="101"/>
      <c r="W1462" s="69" t="e" cm="1">
        <f t="array" ref="W1462">_xlfn.XLOOKUP(Table1[[#This Row],[5 cm2 cell test code]:[5 cm2 cell test code]],[1]!Table1[[Test code]:[Test code]],[1]!Table1[i @ 1.8 V DIW (A/cm2)],"",0)</f>
        <v>#REF!</v>
      </c>
      <c r="X1462" s="69" t="e" cm="1">
        <f t="array" ref="X1462">_xlfn.XLOOKUP(Table1[[#This Row],[5 cm2 cell test code]:[5 cm2 cell test code]],[1]!Table1[[Test code]:[Test code]],[1]!Table1[i @ 1.8 V 10 mM KOH (A/cm2)],"",0)</f>
        <v>#REF!</v>
      </c>
      <c r="Y1462" s="69" t="e" cm="1">
        <f t="array" ref="Y1462">_xlfn.XLOOKUP(Table1[[#This Row],[5 cm2 cell test code]:[5 cm2 cell test code]],[1]!Table1[[Test code]:[Test code]],[1]!Table1[3-E ƞ at 20mAcm-2 (mV)],"",0)</f>
        <v>#REF!</v>
      </c>
      <c r="Z1462" s="69" t="e" cm="1">
        <f t="array" ref="Z1462">_xlfn.XLOOKUP(Table1[[#This Row],[5 cm2 cell test code]:[5 cm2 cell test code]],[1]!Table1[[Test code]:[Test code]],[1]!Table1[3-E Tafel slope (mV/dec)],"",0)</f>
        <v>#REF!</v>
      </c>
      <c r="AA1462" s="69" t="e" cm="1">
        <f t="array" ref="AA1462">_xlfn.XLOOKUP(Table1[[#This Row],[5 cm2 cell test code]:[5 cm2 cell test code]],[1]!Table1[[Test code]:[Test code]],[1]!Table1[E @ 100 mA/cm2 DIW/V],"",0)</f>
        <v>#REF!</v>
      </c>
      <c r="AB1462" s="69" t="e" cm="1">
        <f t="array" ref="AB1462">_xlfn.XLOOKUP(Table1[[#This Row],[5 cm2 cell test code]:[5 cm2 cell test code]],[1]!Table1[[Test code]:[Test code]],[1]!Table1[E @ 100 mA/cm2 10 mM KOH/V],"",0)</f>
        <v>#REF!</v>
      </c>
      <c r="AC1462" s="69" t="e" cm="1">
        <f t="array" ref="AC1462">_xlfn.XLOOKUP(Table1[[#This Row],[5 cm2 cell test code]:[5 cm2 cell test code]],[1]!Table1[[Test code]:[Test code]],[1]!Table1[Anode ICR/mOhm],"",0)</f>
        <v>#REF!</v>
      </c>
      <c r="AD1462" s="69" t="e" cm="1">
        <f t="array" ref="AD1462">_xlfn.XLOOKUP(Table1[[#This Row],[5 cm2 cell test code]:[5 cm2 cell test code]],[1]!Table1[[Test code]:[Test code]],[1]!Table1[HFR DIW/ mOhm cm2],"",0)</f>
        <v>#REF!</v>
      </c>
      <c r="AE1462" s="69" t="e" cm="1">
        <f t="array" ref="AE1462">_xlfn.XLOOKUP(Table1[[#This Row],[5 cm2 cell test code]:[5 cm2 cell test code]],[1]!Table1[[Test code]:[Test code]],[1]!Table1[HFR 10 mM KOH/ mOhm cm2],"",0)</f>
        <v>#REF!</v>
      </c>
      <c r="AF1462" s="69" t="e" cm="1">
        <f t="array" ref="AF1462">_xlfn.XLOOKUP(Table1[[#This Row],[5 cm2 cell test code]:[5 cm2 cell test code]],[1]!Table1[[Test code]:[Test code]],[1]!Table1[Ionic resistance DIW/Ohm cm2],"",0)</f>
        <v>#REF!</v>
      </c>
      <c r="AG1462" s="69" t="e" cm="1">
        <f t="array" ref="AG1462">_xlfn.XLOOKUP(Table1[[#This Row],[5 cm2 cell test code]:[5 cm2 cell test code]],[1]!Table1[[Test code]:[Test code]],[1]!Table1[Q_int_frac DIW],"",0)</f>
        <v>#REF!</v>
      </c>
      <c r="AH1462" s="69" t="e" cm="1">
        <f t="array" ref="AH1462">_xlfn.XLOOKUP(Table1[[#This Row],[5 cm2 cell test code]:[5 cm2 cell test code]],[1]!Table1[[Test code]:[Test code]],[1]!Table1[Ionic resistance 10 mM KOH/Ohm cm2],"",0)</f>
        <v>#REF!</v>
      </c>
      <c r="AI1462" s="69" t="e" cm="1">
        <f t="array" ref="AI1462">_xlfn.XLOOKUP(Table1[[#This Row],[5 cm2 cell test code]:[5 cm2 cell test code]],[1]!Table1[[Test code]:[Test code]],[1]!Table1[Q_int_frac DIW 10 mM KOH],"",0)</f>
        <v>#REF!</v>
      </c>
      <c r="AJ1462" s="69" t="e" cm="1">
        <f t="array" ref="AJ1462">_xlfn.XLOOKUP(Table1[[#This Row],[5 cm2 cell test code]:[5 cm2 cell test code]],[1]!Table1[[Test code]:[Test code]],[1]!Table1[DIW conductivity (µS/cm)],"",0)</f>
        <v>#REF!</v>
      </c>
    </row>
    <row r="1463" spans="1:36">
      <c r="A1463" s="81"/>
      <c r="U1463" s="101"/>
      <c r="V1463" s="101"/>
      <c r="W1463" s="69" t="e" cm="1">
        <f t="array" ref="W1463">_xlfn.XLOOKUP(Table1[[#This Row],[5 cm2 cell test code]:[5 cm2 cell test code]],[1]!Table1[[Test code]:[Test code]],[1]!Table1[i @ 1.8 V DIW (A/cm2)],"",0)</f>
        <v>#REF!</v>
      </c>
      <c r="X1463" s="69" t="e" cm="1">
        <f t="array" ref="X1463">_xlfn.XLOOKUP(Table1[[#This Row],[5 cm2 cell test code]:[5 cm2 cell test code]],[1]!Table1[[Test code]:[Test code]],[1]!Table1[i @ 1.8 V 10 mM KOH (A/cm2)],"",0)</f>
        <v>#REF!</v>
      </c>
      <c r="Y1463" s="69" t="e" cm="1">
        <f t="array" ref="Y1463">_xlfn.XLOOKUP(Table1[[#This Row],[5 cm2 cell test code]:[5 cm2 cell test code]],[1]!Table1[[Test code]:[Test code]],[1]!Table1[3-E ƞ at 20mAcm-2 (mV)],"",0)</f>
        <v>#REF!</v>
      </c>
      <c r="Z1463" s="69" t="e" cm="1">
        <f t="array" ref="Z1463">_xlfn.XLOOKUP(Table1[[#This Row],[5 cm2 cell test code]:[5 cm2 cell test code]],[1]!Table1[[Test code]:[Test code]],[1]!Table1[3-E Tafel slope (mV/dec)],"",0)</f>
        <v>#REF!</v>
      </c>
      <c r="AA1463" s="69" t="e" cm="1">
        <f t="array" ref="AA1463">_xlfn.XLOOKUP(Table1[[#This Row],[5 cm2 cell test code]:[5 cm2 cell test code]],[1]!Table1[[Test code]:[Test code]],[1]!Table1[E @ 100 mA/cm2 DIW/V],"",0)</f>
        <v>#REF!</v>
      </c>
      <c r="AB1463" s="69" t="e" cm="1">
        <f t="array" ref="AB1463">_xlfn.XLOOKUP(Table1[[#This Row],[5 cm2 cell test code]:[5 cm2 cell test code]],[1]!Table1[[Test code]:[Test code]],[1]!Table1[E @ 100 mA/cm2 10 mM KOH/V],"",0)</f>
        <v>#REF!</v>
      </c>
      <c r="AC1463" s="69" t="e" cm="1">
        <f t="array" ref="AC1463">_xlfn.XLOOKUP(Table1[[#This Row],[5 cm2 cell test code]:[5 cm2 cell test code]],[1]!Table1[[Test code]:[Test code]],[1]!Table1[Anode ICR/mOhm],"",0)</f>
        <v>#REF!</v>
      </c>
      <c r="AD1463" s="69" t="e" cm="1">
        <f t="array" ref="AD1463">_xlfn.XLOOKUP(Table1[[#This Row],[5 cm2 cell test code]:[5 cm2 cell test code]],[1]!Table1[[Test code]:[Test code]],[1]!Table1[HFR DIW/ mOhm cm2],"",0)</f>
        <v>#REF!</v>
      </c>
      <c r="AE1463" s="69" t="e" cm="1">
        <f t="array" ref="AE1463">_xlfn.XLOOKUP(Table1[[#This Row],[5 cm2 cell test code]:[5 cm2 cell test code]],[1]!Table1[[Test code]:[Test code]],[1]!Table1[HFR 10 mM KOH/ mOhm cm2],"",0)</f>
        <v>#REF!</v>
      </c>
      <c r="AF1463" s="69" t="e" cm="1">
        <f t="array" ref="AF1463">_xlfn.XLOOKUP(Table1[[#This Row],[5 cm2 cell test code]:[5 cm2 cell test code]],[1]!Table1[[Test code]:[Test code]],[1]!Table1[Ionic resistance DIW/Ohm cm2],"",0)</f>
        <v>#REF!</v>
      </c>
      <c r="AG1463" s="69" t="e" cm="1">
        <f t="array" ref="AG1463">_xlfn.XLOOKUP(Table1[[#This Row],[5 cm2 cell test code]:[5 cm2 cell test code]],[1]!Table1[[Test code]:[Test code]],[1]!Table1[Q_int_frac DIW],"",0)</f>
        <v>#REF!</v>
      </c>
      <c r="AH1463" s="69" t="e" cm="1">
        <f t="array" ref="AH1463">_xlfn.XLOOKUP(Table1[[#This Row],[5 cm2 cell test code]:[5 cm2 cell test code]],[1]!Table1[[Test code]:[Test code]],[1]!Table1[Ionic resistance 10 mM KOH/Ohm cm2],"",0)</f>
        <v>#REF!</v>
      </c>
      <c r="AI1463" s="69" t="e" cm="1">
        <f t="array" ref="AI1463">_xlfn.XLOOKUP(Table1[[#This Row],[5 cm2 cell test code]:[5 cm2 cell test code]],[1]!Table1[[Test code]:[Test code]],[1]!Table1[Q_int_frac DIW 10 mM KOH],"",0)</f>
        <v>#REF!</v>
      </c>
      <c r="AJ1463" s="69" t="e" cm="1">
        <f t="array" ref="AJ1463">_xlfn.XLOOKUP(Table1[[#This Row],[5 cm2 cell test code]:[5 cm2 cell test code]],[1]!Table1[[Test code]:[Test code]],[1]!Table1[DIW conductivity (µS/cm)],"",0)</f>
        <v>#REF!</v>
      </c>
    </row>
    <row r="1464" spans="1:36">
      <c r="A1464" s="81"/>
      <c r="U1464" s="101"/>
      <c r="V1464" s="101"/>
      <c r="W1464" s="69" t="e" cm="1">
        <f t="array" ref="W1464">_xlfn.XLOOKUP(Table1[[#This Row],[5 cm2 cell test code]:[5 cm2 cell test code]],[1]!Table1[[Test code]:[Test code]],[1]!Table1[i @ 1.8 V DIW (A/cm2)],"",0)</f>
        <v>#REF!</v>
      </c>
      <c r="X1464" s="69" t="e" cm="1">
        <f t="array" ref="X1464">_xlfn.XLOOKUP(Table1[[#This Row],[5 cm2 cell test code]:[5 cm2 cell test code]],[1]!Table1[[Test code]:[Test code]],[1]!Table1[i @ 1.8 V 10 mM KOH (A/cm2)],"",0)</f>
        <v>#REF!</v>
      </c>
      <c r="Y1464" s="69" t="e" cm="1">
        <f t="array" ref="Y1464">_xlfn.XLOOKUP(Table1[[#This Row],[5 cm2 cell test code]:[5 cm2 cell test code]],[1]!Table1[[Test code]:[Test code]],[1]!Table1[3-E ƞ at 20mAcm-2 (mV)],"",0)</f>
        <v>#REF!</v>
      </c>
      <c r="Z1464" s="69" t="e" cm="1">
        <f t="array" ref="Z1464">_xlfn.XLOOKUP(Table1[[#This Row],[5 cm2 cell test code]:[5 cm2 cell test code]],[1]!Table1[[Test code]:[Test code]],[1]!Table1[3-E Tafel slope (mV/dec)],"",0)</f>
        <v>#REF!</v>
      </c>
      <c r="AA1464" s="69" t="e" cm="1">
        <f t="array" ref="AA1464">_xlfn.XLOOKUP(Table1[[#This Row],[5 cm2 cell test code]:[5 cm2 cell test code]],[1]!Table1[[Test code]:[Test code]],[1]!Table1[E @ 100 mA/cm2 DIW/V],"",0)</f>
        <v>#REF!</v>
      </c>
      <c r="AB1464" s="69" t="e" cm="1">
        <f t="array" ref="AB1464">_xlfn.XLOOKUP(Table1[[#This Row],[5 cm2 cell test code]:[5 cm2 cell test code]],[1]!Table1[[Test code]:[Test code]],[1]!Table1[E @ 100 mA/cm2 10 mM KOH/V],"",0)</f>
        <v>#REF!</v>
      </c>
      <c r="AC1464" s="69" t="e" cm="1">
        <f t="array" ref="AC1464">_xlfn.XLOOKUP(Table1[[#This Row],[5 cm2 cell test code]:[5 cm2 cell test code]],[1]!Table1[[Test code]:[Test code]],[1]!Table1[Anode ICR/mOhm],"",0)</f>
        <v>#REF!</v>
      </c>
      <c r="AD1464" s="69" t="e" cm="1">
        <f t="array" ref="AD1464">_xlfn.XLOOKUP(Table1[[#This Row],[5 cm2 cell test code]:[5 cm2 cell test code]],[1]!Table1[[Test code]:[Test code]],[1]!Table1[HFR DIW/ mOhm cm2],"",0)</f>
        <v>#REF!</v>
      </c>
      <c r="AE1464" s="69" t="e" cm="1">
        <f t="array" ref="AE1464">_xlfn.XLOOKUP(Table1[[#This Row],[5 cm2 cell test code]:[5 cm2 cell test code]],[1]!Table1[[Test code]:[Test code]],[1]!Table1[HFR 10 mM KOH/ mOhm cm2],"",0)</f>
        <v>#REF!</v>
      </c>
      <c r="AF1464" s="69" t="e" cm="1">
        <f t="array" ref="AF1464">_xlfn.XLOOKUP(Table1[[#This Row],[5 cm2 cell test code]:[5 cm2 cell test code]],[1]!Table1[[Test code]:[Test code]],[1]!Table1[Ionic resistance DIW/Ohm cm2],"",0)</f>
        <v>#REF!</v>
      </c>
      <c r="AG1464" s="69" t="e" cm="1">
        <f t="array" ref="AG1464">_xlfn.XLOOKUP(Table1[[#This Row],[5 cm2 cell test code]:[5 cm2 cell test code]],[1]!Table1[[Test code]:[Test code]],[1]!Table1[Q_int_frac DIW],"",0)</f>
        <v>#REF!</v>
      </c>
      <c r="AH1464" s="69" t="e" cm="1">
        <f t="array" ref="AH1464">_xlfn.XLOOKUP(Table1[[#This Row],[5 cm2 cell test code]:[5 cm2 cell test code]],[1]!Table1[[Test code]:[Test code]],[1]!Table1[Ionic resistance 10 mM KOH/Ohm cm2],"",0)</f>
        <v>#REF!</v>
      </c>
      <c r="AI1464" s="69" t="e" cm="1">
        <f t="array" ref="AI1464">_xlfn.XLOOKUP(Table1[[#This Row],[5 cm2 cell test code]:[5 cm2 cell test code]],[1]!Table1[[Test code]:[Test code]],[1]!Table1[Q_int_frac DIW 10 mM KOH],"",0)</f>
        <v>#REF!</v>
      </c>
      <c r="AJ1464" s="69" t="e" cm="1">
        <f t="array" ref="AJ1464">_xlfn.XLOOKUP(Table1[[#This Row],[5 cm2 cell test code]:[5 cm2 cell test code]],[1]!Table1[[Test code]:[Test code]],[1]!Table1[DIW conductivity (µS/cm)],"",0)</f>
        <v>#REF!</v>
      </c>
    </row>
    <row r="1465" spans="1:36">
      <c r="A1465" s="81"/>
      <c r="U1465" s="101"/>
      <c r="V1465" s="101"/>
      <c r="W1465" s="69" t="e" cm="1">
        <f t="array" ref="W1465">_xlfn.XLOOKUP(Table1[[#This Row],[5 cm2 cell test code]:[5 cm2 cell test code]],[1]!Table1[[Test code]:[Test code]],[1]!Table1[i @ 1.8 V DIW (A/cm2)],"",0)</f>
        <v>#REF!</v>
      </c>
      <c r="X1465" s="69" t="e" cm="1">
        <f t="array" ref="X1465">_xlfn.XLOOKUP(Table1[[#This Row],[5 cm2 cell test code]:[5 cm2 cell test code]],[1]!Table1[[Test code]:[Test code]],[1]!Table1[i @ 1.8 V 10 mM KOH (A/cm2)],"",0)</f>
        <v>#REF!</v>
      </c>
      <c r="Y1465" s="69" t="e" cm="1">
        <f t="array" ref="Y1465">_xlfn.XLOOKUP(Table1[[#This Row],[5 cm2 cell test code]:[5 cm2 cell test code]],[1]!Table1[[Test code]:[Test code]],[1]!Table1[3-E ƞ at 20mAcm-2 (mV)],"",0)</f>
        <v>#REF!</v>
      </c>
      <c r="Z1465" s="69" t="e" cm="1">
        <f t="array" ref="Z1465">_xlfn.XLOOKUP(Table1[[#This Row],[5 cm2 cell test code]:[5 cm2 cell test code]],[1]!Table1[[Test code]:[Test code]],[1]!Table1[3-E Tafel slope (mV/dec)],"",0)</f>
        <v>#REF!</v>
      </c>
      <c r="AA1465" s="69" t="e" cm="1">
        <f t="array" ref="AA1465">_xlfn.XLOOKUP(Table1[[#This Row],[5 cm2 cell test code]:[5 cm2 cell test code]],[1]!Table1[[Test code]:[Test code]],[1]!Table1[E @ 100 mA/cm2 DIW/V],"",0)</f>
        <v>#REF!</v>
      </c>
      <c r="AB1465" s="69" t="e" cm="1">
        <f t="array" ref="AB1465">_xlfn.XLOOKUP(Table1[[#This Row],[5 cm2 cell test code]:[5 cm2 cell test code]],[1]!Table1[[Test code]:[Test code]],[1]!Table1[E @ 100 mA/cm2 10 mM KOH/V],"",0)</f>
        <v>#REF!</v>
      </c>
      <c r="AC1465" s="69" t="e" cm="1">
        <f t="array" ref="AC1465">_xlfn.XLOOKUP(Table1[[#This Row],[5 cm2 cell test code]:[5 cm2 cell test code]],[1]!Table1[[Test code]:[Test code]],[1]!Table1[Anode ICR/mOhm],"",0)</f>
        <v>#REF!</v>
      </c>
      <c r="AD1465" s="69" t="e" cm="1">
        <f t="array" ref="AD1465">_xlfn.XLOOKUP(Table1[[#This Row],[5 cm2 cell test code]:[5 cm2 cell test code]],[1]!Table1[[Test code]:[Test code]],[1]!Table1[HFR DIW/ mOhm cm2],"",0)</f>
        <v>#REF!</v>
      </c>
      <c r="AE1465" s="69" t="e" cm="1">
        <f t="array" ref="AE1465">_xlfn.XLOOKUP(Table1[[#This Row],[5 cm2 cell test code]:[5 cm2 cell test code]],[1]!Table1[[Test code]:[Test code]],[1]!Table1[HFR 10 mM KOH/ mOhm cm2],"",0)</f>
        <v>#REF!</v>
      </c>
      <c r="AF1465" s="69" t="e" cm="1">
        <f t="array" ref="AF1465">_xlfn.XLOOKUP(Table1[[#This Row],[5 cm2 cell test code]:[5 cm2 cell test code]],[1]!Table1[[Test code]:[Test code]],[1]!Table1[Ionic resistance DIW/Ohm cm2],"",0)</f>
        <v>#REF!</v>
      </c>
      <c r="AG1465" s="69" t="e" cm="1">
        <f t="array" ref="AG1465">_xlfn.XLOOKUP(Table1[[#This Row],[5 cm2 cell test code]:[5 cm2 cell test code]],[1]!Table1[[Test code]:[Test code]],[1]!Table1[Q_int_frac DIW],"",0)</f>
        <v>#REF!</v>
      </c>
      <c r="AH1465" s="69" t="e" cm="1">
        <f t="array" ref="AH1465">_xlfn.XLOOKUP(Table1[[#This Row],[5 cm2 cell test code]:[5 cm2 cell test code]],[1]!Table1[[Test code]:[Test code]],[1]!Table1[Ionic resistance 10 mM KOH/Ohm cm2],"",0)</f>
        <v>#REF!</v>
      </c>
      <c r="AI1465" s="69" t="e" cm="1">
        <f t="array" ref="AI1465">_xlfn.XLOOKUP(Table1[[#This Row],[5 cm2 cell test code]:[5 cm2 cell test code]],[1]!Table1[[Test code]:[Test code]],[1]!Table1[Q_int_frac DIW 10 mM KOH],"",0)</f>
        <v>#REF!</v>
      </c>
      <c r="AJ1465" s="69" t="e" cm="1">
        <f t="array" ref="AJ1465">_xlfn.XLOOKUP(Table1[[#This Row],[5 cm2 cell test code]:[5 cm2 cell test code]],[1]!Table1[[Test code]:[Test code]],[1]!Table1[DIW conductivity (µS/cm)],"",0)</f>
        <v>#REF!</v>
      </c>
    </row>
    <row r="1466" spans="1:36">
      <c r="A1466" s="81"/>
      <c r="U1466" s="101"/>
      <c r="V1466" s="101"/>
      <c r="W1466" s="69" t="e" cm="1">
        <f t="array" ref="W1466">_xlfn.XLOOKUP(Table1[[#This Row],[5 cm2 cell test code]:[5 cm2 cell test code]],[1]!Table1[[Test code]:[Test code]],[1]!Table1[i @ 1.8 V DIW (A/cm2)],"",0)</f>
        <v>#REF!</v>
      </c>
      <c r="X1466" s="69" t="e" cm="1">
        <f t="array" ref="X1466">_xlfn.XLOOKUP(Table1[[#This Row],[5 cm2 cell test code]:[5 cm2 cell test code]],[1]!Table1[[Test code]:[Test code]],[1]!Table1[i @ 1.8 V 10 mM KOH (A/cm2)],"",0)</f>
        <v>#REF!</v>
      </c>
      <c r="Y1466" s="69" t="e" cm="1">
        <f t="array" ref="Y1466">_xlfn.XLOOKUP(Table1[[#This Row],[5 cm2 cell test code]:[5 cm2 cell test code]],[1]!Table1[[Test code]:[Test code]],[1]!Table1[3-E ƞ at 20mAcm-2 (mV)],"",0)</f>
        <v>#REF!</v>
      </c>
      <c r="Z1466" s="69" t="e" cm="1">
        <f t="array" ref="Z1466">_xlfn.XLOOKUP(Table1[[#This Row],[5 cm2 cell test code]:[5 cm2 cell test code]],[1]!Table1[[Test code]:[Test code]],[1]!Table1[3-E Tafel slope (mV/dec)],"",0)</f>
        <v>#REF!</v>
      </c>
      <c r="AA1466" s="69" t="e" cm="1">
        <f t="array" ref="AA1466">_xlfn.XLOOKUP(Table1[[#This Row],[5 cm2 cell test code]:[5 cm2 cell test code]],[1]!Table1[[Test code]:[Test code]],[1]!Table1[E @ 100 mA/cm2 DIW/V],"",0)</f>
        <v>#REF!</v>
      </c>
      <c r="AB1466" s="69" t="e" cm="1">
        <f t="array" ref="AB1466">_xlfn.XLOOKUP(Table1[[#This Row],[5 cm2 cell test code]:[5 cm2 cell test code]],[1]!Table1[[Test code]:[Test code]],[1]!Table1[E @ 100 mA/cm2 10 mM KOH/V],"",0)</f>
        <v>#REF!</v>
      </c>
      <c r="AC1466" s="69" t="e" cm="1">
        <f t="array" ref="AC1466">_xlfn.XLOOKUP(Table1[[#This Row],[5 cm2 cell test code]:[5 cm2 cell test code]],[1]!Table1[[Test code]:[Test code]],[1]!Table1[Anode ICR/mOhm],"",0)</f>
        <v>#REF!</v>
      </c>
      <c r="AD1466" s="69" t="e" cm="1">
        <f t="array" ref="AD1466">_xlfn.XLOOKUP(Table1[[#This Row],[5 cm2 cell test code]:[5 cm2 cell test code]],[1]!Table1[[Test code]:[Test code]],[1]!Table1[HFR DIW/ mOhm cm2],"",0)</f>
        <v>#REF!</v>
      </c>
      <c r="AE1466" s="69" t="e" cm="1">
        <f t="array" ref="AE1466">_xlfn.XLOOKUP(Table1[[#This Row],[5 cm2 cell test code]:[5 cm2 cell test code]],[1]!Table1[[Test code]:[Test code]],[1]!Table1[HFR 10 mM KOH/ mOhm cm2],"",0)</f>
        <v>#REF!</v>
      </c>
      <c r="AF1466" s="69" t="e" cm="1">
        <f t="array" ref="AF1466">_xlfn.XLOOKUP(Table1[[#This Row],[5 cm2 cell test code]:[5 cm2 cell test code]],[1]!Table1[[Test code]:[Test code]],[1]!Table1[Ionic resistance DIW/Ohm cm2],"",0)</f>
        <v>#REF!</v>
      </c>
      <c r="AG1466" s="69" t="e" cm="1">
        <f t="array" ref="AG1466">_xlfn.XLOOKUP(Table1[[#This Row],[5 cm2 cell test code]:[5 cm2 cell test code]],[1]!Table1[[Test code]:[Test code]],[1]!Table1[Q_int_frac DIW],"",0)</f>
        <v>#REF!</v>
      </c>
      <c r="AH1466" s="69" t="e" cm="1">
        <f t="array" ref="AH1466">_xlfn.XLOOKUP(Table1[[#This Row],[5 cm2 cell test code]:[5 cm2 cell test code]],[1]!Table1[[Test code]:[Test code]],[1]!Table1[Ionic resistance 10 mM KOH/Ohm cm2],"",0)</f>
        <v>#REF!</v>
      </c>
      <c r="AI1466" s="69" t="e" cm="1">
        <f t="array" ref="AI1466">_xlfn.XLOOKUP(Table1[[#This Row],[5 cm2 cell test code]:[5 cm2 cell test code]],[1]!Table1[[Test code]:[Test code]],[1]!Table1[Q_int_frac DIW 10 mM KOH],"",0)</f>
        <v>#REF!</v>
      </c>
      <c r="AJ1466" s="69" t="e" cm="1">
        <f t="array" ref="AJ1466">_xlfn.XLOOKUP(Table1[[#This Row],[5 cm2 cell test code]:[5 cm2 cell test code]],[1]!Table1[[Test code]:[Test code]],[1]!Table1[DIW conductivity (µS/cm)],"",0)</f>
        <v>#REF!</v>
      </c>
    </row>
    <row r="1467" spans="1:36">
      <c r="A1467" s="81"/>
      <c r="U1467" s="101"/>
      <c r="V1467" s="101"/>
      <c r="W1467" s="69" t="e" cm="1">
        <f t="array" ref="W1467">_xlfn.XLOOKUP(Table1[[#This Row],[5 cm2 cell test code]:[5 cm2 cell test code]],[1]!Table1[[Test code]:[Test code]],[1]!Table1[i @ 1.8 V DIW (A/cm2)],"",0)</f>
        <v>#REF!</v>
      </c>
      <c r="X1467" s="69" t="e" cm="1">
        <f t="array" ref="X1467">_xlfn.XLOOKUP(Table1[[#This Row],[5 cm2 cell test code]:[5 cm2 cell test code]],[1]!Table1[[Test code]:[Test code]],[1]!Table1[i @ 1.8 V 10 mM KOH (A/cm2)],"",0)</f>
        <v>#REF!</v>
      </c>
      <c r="Y1467" s="69" t="e" cm="1">
        <f t="array" ref="Y1467">_xlfn.XLOOKUP(Table1[[#This Row],[5 cm2 cell test code]:[5 cm2 cell test code]],[1]!Table1[[Test code]:[Test code]],[1]!Table1[3-E ƞ at 20mAcm-2 (mV)],"",0)</f>
        <v>#REF!</v>
      </c>
      <c r="Z1467" s="69" t="e" cm="1">
        <f t="array" ref="Z1467">_xlfn.XLOOKUP(Table1[[#This Row],[5 cm2 cell test code]:[5 cm2 cell test code]],[1]!Table1[[Test code]:[Test code]],[1]!Table1[3-E Tafel slope (mV/dec)],"",0)</f>
        <v>#REF!</v>
      </c>
      <c r="AA1467" s="69" t="e" cm="1">
        <f t="array" ref="AA1467">_xlfn.XLOOKUP(Table1[[#This Row],[5 cm2 cell test code]:[5 cm2 cell test code]],[1]!Table1[[Test code]:[Test code]],[1]!Table1[E @ 100 mA/cm2 DIW/V],"",0)</f>
        <v>#REF!</v>
      </c>
      <c r="AB1467" s="69" t="e" cm="1">
        <f t="array" ref="AB1467">_xlfn.XLOOKUP(Table1[[#This Row],[5 cm2 cell test code]:[5 cm2 cell test code]],[1]!Table1[[Test code]:[Test code]],[1]!Table1[E @ 100 mA/cm2 10 mM KOH/V],"",0)</f>
        <v>#REF!</v>
      </c>
      <c r="AC1467" s="69" t="e" cm="1">
        <f t="array" ref="AC1467">_xlfn.XLOOKUP(Table1[[#This Row],[5 cm2 cell test code]:[5 cm2 cell test code]],[1]!Table1[[Test code]:[Test code]],[1]!Table1[Anode ICR/mOhm],"",0)</f>
        <v>#REF!</v>
      </c>
      <c r="AD1467" s="69" t="e" cm="1">
        <f t="array" ref="AD1467">_xlfn.XLOOKUP(Table1[[#This Row],[5 cm2 cell test code]:[5 cm2 cell test code]],[1]!Table1[[Test code]:[Test code]],[1]!Table1[HFR DIW/ mOhm cm2],"",0)</f>
        <v>#REF!</v>
      </c>
      <c r="AE1467" s="69" t="e" cm="1">
        <f t="array" ref="AE1467">_xlfn.XLOOKUP(Table1[[#This Row],[5 cm2 cell test code]:[5 cm2 cell test code]],[1]!Table1[[Test code]:[Test code]],[1]!Table1[HFR 10 mM KOH/ mOhm cm2],"",0)</f>
        <v>#REF!</v>
      </c>
      <c r="AF1467" s="69" t="e" cm="1">
        <f t="array" ref="AF1467">_xlfn.XLOOKUP(Table1[[#This Row],[5 cm2 cell test code]:[5 cm2 cell test code]],[1]!Table1[[Test code]:[Test code]],[1]!Table1[Ionic resistance DIW/Ohm cm2],"",0)</f>
        <v>#REF!</v>
      </c>
      <c r="AG1467" s="69" t="e" cm="1">
        <f t="array" ref="AG1467">_xlfn.XLOOKUP(Table1[[#This Row],[5 cm2 cell test code]:[5 cm2 cell test code]],[1]!Table1[[Test code]:[Test code]],[1]!Table1[Q_int_frac DIW],"",0)</f>
        <v>#REF!</v>
      </c>
      <c r="AH1467" s="69" t="e" cm="1">
        <f t="array" ref="AH1467">_xlfn.XLOOKUP(Table1[[#This Row],[5 cm2 cell test code]:[5 cm2 cell test code]],[1]!Table1[[Test code]:[Test code]],[1]!Table1[Ionic resistance 10 mM KOH/Ohm cm2],"",0)</f>
        <v>#REF!</v>
      </c>
      <c r="AI1467" s="69" t="e" cm="1">
        <f t="array" ref="AI1467">_xlfn.XLOOKUP(Table1[[#This Row],[5 cm2 cell test code]:[5 cm2 cell test code]],[1]!Table1[[Test code]:[Test code]],[1]!Table1[Q_int_frac DIW 10 mM KOH],"",0)</f>
        <v>#REF!</v>
      </c>
      <c r="AJ1467" s="69" t="e" cm="1">
        <f t="array" ref="AJ1467">_xlfn.XLOOKUP(Table1[[#This Row],[5 cm2 cell test code]:[5 cm2 cell test code]],[1]!Table1[[Test code]:[Test code]],[1]!Table1[DIW conductivity (µS/cm)],"",0)</f>
        <v>#REF!</v>
      </c>
    </row>
    <row r="1468" spans="1:36">
      <c r="A1468" s="81"/>
      <c r="U1468" s="101"/>
      <c r="V1468" s="101"/>
      <c r="W1468" s="69" t="e" cm="1">
        <f t="array" ref="W1468">_xlfn.XLOOKUP(Table1[[#This Row],[5 cm2 cell test code]:[5 cm2 cell test code]],[1]!Table1[[Test code]:[Test code]],[1]!Table1[i @ 1.8 V DIW (A/cm2)],"",0)</f>
        <v>#REF!</v>
      </c>
      <c r="X1468" s="69" t="e" cm="1">
        <f t="array" ref="X1468">_xlfn.XLOOKUP(Table1[[#This Row],[5 cm2 cell test code]:[5 cm2 cell test code]],[1]!Table1[[Test code]:[Test code]],[1]!Table1[i @ 1.8 V 10 mM KOH (A/cm2)],"",0)</f>
        <v>#REF!</v>
      </c>
      <c r="Y1468" s="69" t="e" cm="1">
        <f t="array" ref="Y1468">_xlfn.XLOOKUP(Table1[[#This Row],[5 cm2 cell test code]:[5 cm2 cell test code]],[1]!Table1[[Test code]:[Test code]],[1]!Table1[3-E ƞ at 20mAcm-2 (mV)],"",0)</f>
        <v>#REF!</v>
      </c>
      <c r="Z1468" s="69" t="e" cm="1">
        <f t="array" ref="Z1468">_xlfn.XLOOKUP(Table1[[#This Row],[5 cm2 cell test code]:[5 cm2 cell test code]],[1]!Table1[[Test code]:[Test code]],[1]!Table1[3-E Tafel slope (mV/dec)],"",0)</f>
        <v>#REF!</v>
      </c>
      <c r="AA1468" s="69" t="e" cm="1">
        <f t="array" ref="AA1468">_xlfn.XLOOKUP(Table1[[#This Row],[5 cm2 cell test code]:[5 cm2 cell test code]],[1]!Table1[[Test code]:[Test code]],[1]!Table1[E @ 100 mA/cm2 DIW/V],"",0)</f>
        <v>#REF!</v>
      </c>
      <c r="AB1468" s="69" t="e" cm="1">
        <f t="array" ref="AB1468">_xlfn.XLOOKUP(Table1[[#This Row],[5 cm2 cell test code]:[5 cm2 cell test code]],[1]!Table1[[Test code]:[Test code]],[1]!Table1[E @ 100 mA/cm2 10 mM KOH/V],"",0)</f>
        <v>#REF!</v>
      </c>
      <c r="AC1468" s="69" t="e" cm="1">
        <f t="array" ref="AC1468">_xlfn.XLOOKUP(Table1[[#This Row],[5 cm2 cell test code]:[5 cm2 cell test code]],[1]!Table1[[Test code]:[Test code]],[1]!Table1[Anode ICR/mOhm],"",0)</f>
        <v>#REF!</v>
      </c>
      <c r="AD1468" s="69" t="e" cm="1">
        <f t="array" ref="AD1468">_xlfn.XLOOKUP(Table1[[#This Row],[5 cm2 cell test code]:[5 cm2 cell test code]],[1]!Table1[[Test code]:[Test code]],[1]!Table1[HFR DIW/ mOhm cm2],"",0)</f>
        <v>#REF!</v>
      </c>
      <c r="AE1468" s="69" t="e" cm="1">
        <f t="array" ref="AE1468">_xlfn.XLOOKUP(Table1[[#This Row],[5 cm2 cell test code]:[5 cm2 cell test code]],[1]!Table1[[Test code]:[Test code]],[1]!Table1[HFR 10 mM KOH/ mOhm cm2],"",0)</f>
        <v>#REF!</v>
      </c>
      <c r="AF1468" s="69" t="e" cm="1">
        <f t="array" ref="AF1468">_xlfn.XLOOKUP(Table1[[#This Row],[5 cm2 cell test code]:[5 cm2 cell test code]],[1]!Table1[[Test code]:[Test code]],[1]!Table1[Ionic resistance DIW/Ohm cm2],"",0)</f>
        <v>#REF!</v>
      </c>
      <c r="AG1468" s="69" t="e" cm="1">
        <f t="array" ref="AG1468">_xlfn.XLOOKUP(Table1[[#This Row],[5 cm2 cell test code]:[5 cm2 cell test code]],[1]!Table1[[Test code]:[Test code]],[1]!Table1[Q_int_frac DIW],"",0)</f>
        <v>#REF!</v>
      </c>
      <c r="AH1468" s="69" t="e" cm="1">
        <f t="array" ref="AH1468">_xlfn.XLOOKUP(Table1[[#This Row],[5 cm2 cell test code]:[5 cm2 cell test code]],[1]!Table1[[Test code]:[Test code]],[1]!Table1[Ionic resistance 10 mM KOH/Ohm cm2],"",0)</f>
        <v>#REF!</v>
      </c>
      <c r="AI1468" s="69" t="e" cm="1">
        <f t="array" ref="AI1468">_xlfn.XLOOKUP(Table1[[#This Row],[5 cm2 cell test code]:[5 cm2 cell test code]],[1]!Table1[[Test code]:[Test code]],[1]!Table1[Q_int_frac DIW 10 mM KOH],"",0)</f>
        <v>#REF!</v>
      </c>
      <c r="AJ1468" s="69" t="e" cm="1">
        <f t="array" ref="AJ1468">_xlfn.XLOOKUP(Table1[[#This Row],[5 cm2 cell test code]:[5 cm2 cell test code]],[1]!Table1[[Test code]:[Test code]],[1]!Table1[DIW conductivity (µS/cm)],"",0)</f>
        <v>#REF!</v>
      </c>
    </row>
    <row r="1469" spans="1:36">
      <c r="A1469" s="81"/>
      <c r="U1469" s="101"/>
      <c r="V1469" s="101"/>
      <c r="W1469" s="69" t="e" cm="1">
        <f t="array" ref="W1469">_xlfn.XLOOKUP(Table1[[#This Row],[5 cm2 cell test code]:[5 cm2 cell test code]],[1]!Table1[[Test code]:[Test code]],[1]!Table1[i @ 1.8 V DIW (A/cm2)],"",0)</f>
        <v>#REF!</v>
      </c>
      <c r="X1469" s="69" t="e" cm="1">
        <f t="array" ref="X1469">_xlfn.XLOOKUP(Table1[[#This Row],[5 cm2 cell test code]:[5 cm2 cell test code]],[1]!Table1[[Test code]:[Test code]],[1]!Table1[i @ 1.8 V 10 mM KOH (A/cm2)],"",0)</f>
        <v>#REF!</v>
      </c>
      <c r="Y1469" s="69" t="e" cm="1">
        <f t="array" ref="Y1469">_xlfn.XLOOKUP(Table1[[#This Row],[5 cm2 cell test code]:[5 cm2 cell test code]],[1]!Table1[[Test code]:[Test code]],[1]!Table1[3-E ƞ at 20mAcm-2 (mV)],"",0)</f>
        <v>#REF!</v>
      </c>
      <c r="Z1469" s="69" t="e" cm="1">
        <f t="array" ref="Z1469">_xlfn.XLOOKUP(Table1[[#This Row],[5 cm2 cell test code]:[5 cm2 cell test code]],[1]!Table1[[Test code]:[Test code]],[1]!Table1[3-E Tafel slope (mV/dec)],"",0)</f>
        <v>#REF!</v>
      </c>
      <c r="AA1469" s="69" t="e" cm="1">
        <f t="array" ref="AA1469">_xlfn.XLOOKUP(Table1[[#This Row],[5 cm2 cell test code]:[5 cm2 cell test code]],[1]!Table1[[Test code]:[Test code]],[1]!Table1[E @ 100 mA/cm2 DIW/V],"",0)</f>
        <v>#REF!</v>
      </c>
      <c r="AB1469" s="69" t="e" cm="1">
        <f t="array" ref="AB1469">_xlfn.XLOOKUP(Table1[[#This Row],[5 cm2 cell test code]:[5 cm2 cell test code]],[1]!Table1[[Test code]:[Test code]],[1]!Table1[E @ 100 mA/cm2 10 mM KOH/V],"",0)</f>
        <v>#REF!</v>
      </c>
      <c r="AC1469" s="69" t="e" cm="1">
        <f t="array" ref="AC1469">_xlfn.XLOOKUP(Table1[[#This Row],[5 cm2 cell test code]:[5 cm2 cell test code]],[1]!Table1[[Test code]:[Test code]],[1]!Table1[Anode ICR/mOhm],"",0)</f>
        <v>#REF!</v>
      </c>
      <c r="AD1469" s="69" t="e" cm="1">
        <f t="array" ref="AD1469">_xlfn.XLOOKUP(Table1[[#This Row],[5 cm2 cell test code]:[5 cm2 cell test code]],[1]!Table1[[Test code]:[Test code]],[1]!Table1[HFR DIW/ mOhm cm2],"",0)</f>
        <v>#REF!</v>
      </c>
      <c r="AE1469" s="69" t="e" cm="1">
        <f t="array" ref="AE1469">_xlfn.XLOOKUP(Table1[[#This Row],[5 cm2 cell test code]:[5 cm2 cell test code]],[1]!Table1[[Test code]:[Test code]],[1]!Table1[HFR 10 mM KOH/ mOhm cm2],"",0)</f>
        <v>#REF!</v>
      </c>
      <c r="AF1469" s="69" t="e" cm="1">
        <f t="array" ref="AF1469">_xlfn.XLOOKUP(Table1[[#This Row],[5 cm2 cell test code]:[5 cm2 cell test code]],[1]!Table1[[Test code]:[Test code]],[1]!Table1[Ionic resistance DIW/Ohm cm2],"",0)</f>
        <v>#REF!</v>
      </c>
      <c r="AG1469" s="69" t="e" cm="1">
        <f t="array" ref="AG1469">_xlfn.XLOOKUP(Table1[[#This Row],[5 cm2 cell test code]:[5 cm2 cell test code]],[1]!Table1[[Test code]:[Test code]],[1]!Table1[Q_int_frac DIW],"",0)</f>
        <v>#REF!</v>
      </c>
      <c r="AH1469" s="69" t="e" cm="1">
        <f t="array" ref="AH1469">_xlfn.XLOOKUP(Table1[[#This Row],[5 cm2 cell test code]:[5 cm2 cell test code]],[1]!Table1[[Test code]:[Test code]],[1]!Table1[Ionic resistance 10 mM KOH/Ohm cm2],"",0)</f>
        <v>#REF!</v>
      </c>
      <c r="AI1469" s="69" t="e" cm="1">
        <f t="array" ref="AI1469">_xlfn.XLOOKUP(Table1[[#This Row],[5 cm2 cell test code]:[5 cm2 cell test code]],[1]!Table1[[Test code]:[Test code]],[1]!Table1[Q_int_frac DIW 10 mM KOH],"",0)</f>
        <v>#REF!</v>
      </c>
      <c r="AJ1469" s="69" t="e" cm="1">
        <f t="array" ref="AJ1469">_xlfn.XLOOKUP(Table1[[#This Row],[5 cm2 cell test code]:[5 cm2 cell test code]],[1]!Table1[[Test code]:[Test code]],[1]!Table1[DIW conductivity (µS/cm)],"",0)</f>
        <v>#REF!</v>
      </c>
    </row>
    <row r="1470" spans="1:36">
      <c r="A1470" s="81"/>
      <c r="U1470" s="101"/>
      <c r="V1470" s="101"/>
      <c r="W1470" s="69" t="e" cm="1">
        <f t="array" ref="W1470">_xlfn.XLOOKUP(Table1[[#This Row],[5 cm2 cell test code]:[5 cm2 cell test code]],[1]!Table1[[Test code]:[Test code]],[1]!Table1[i @ 1.8 V DIW (A/cm2)],"",0)</f>
        <v>#REF!</v>
      </c>
      <c r="X1470" s="69" t="e" cm="1">
        <f t="array" ref="X1470">_xlfn.XLOOKUP(Table1[[#This Row],[5 cm2 cell test code]:[5 cm2 cell test code]],[1]!Table1[[Test code]:[Test code]],[1]!Table1[i @ 1.8 V 10 mM KOH (A/cm2)],"",0)</f>
        <v>#REF!</v>
      </c>
      <c r="Y1470" s="69" t="e" cm="1">
        <f t="array" ref="Y1470">_xlfn.XLOOKUP(Table1[[#This Row],[5 cm2 cell test code]:[5 cm2 cell test code]],[1]!Table1[[Test code]:[Test code]],[1]!Table1[3-E ƞ at 20mAcm-2 (mV)],"",0)</f>
        <v>#REF!</v>
      </c>
      <c r="Z1470" s="69" t="e" cm="1">
        <f t="array" ref="Z1470">_xlfn.XLOOKUP(Table1[[#This Row],[5 cm2 cell test code]:[5 cm2 cell test code]],[1]!Table1[[Test code]:[Test code]],[1]!Table1[3-E Tafel slope (mV/dec)],"",0)</f>
        <v>#REF!</v>
      </c>
      <c r="AA1470" s="69" t="e" cm="1">
        <f t="array" ref="AA1470">_xlfn.XLOOKUP(Table1[[#This Row],[5 cm2 cell test code]:[5 cm2 cell test code]],[1]!Table1[[Test code]:[Test code]],[1]!Table1[E @ 100 mA/cm2 DIW/V],"",0)</f>
        <v>#REF!</v>
      </c>
      <c r="AB1470" s="69" t="e" cm="1">
        <f t="array" ref="AB1470">_xlfn.XLOOKUP(Table1[[#This Row],[5 cm2 cell test code]:[5 cm2 cell test code]],[1]!Table1[[Test code]:[Test code]],[1]!Table1[E @ 100 mA/cm2 10 mM KOH/V],"",0)</f>
        <v>#REF!</v>
      </c>
      <c r="AC1470" s="69" t="e" cm="1">
        <f t="array" ref="AC1470">_xlfn.XLOOKUP(Table1[[#This Row],[5 cm2 cell test code]:[5 cm2 cell test code]],[1]!Table1[[Test code]:[Test code]],[1]!Table1[Anode ICR/mOhm],"",0)</f>
        <v>#REF!</v>
      </c>
      <c r="AD1470" s="69" t="e" cm="1">
        <f t="array" ref="AD1470">_xlfn.XLOOKUP(Table1[[#This Row],[5 cm2 cell test code]:[5 cm2 cell test code]],[1]!Table1[[Test code]:[Test code]],[1]!Table1[HFR DIW/ mOhm cm2],"",0)</f>
        <v>#REF!</v>
      </c>
      <c r="AE1470" s="69" t="e" cm="1">
        <f t="array" ref="AE1470">_xlfn.XLOOKUP(Table1[[#This Row],[5 cm2 cell test code]:[5 cm2 cell test code]],[1]!Table1[[Test code]:[Test code]],[1]!Table1[HFR 10 mM KOH/ mOhm cm2],"",0)</f>
        <v>#REF!</v>
      </c>
      <c r="AF1470" s="69" t="e" cm="1">
        <f t="array" ref="AF1470">_xlfn.XLOOKUP(Table1[[#This Row],[5 cm2 cell test code]:[5 cm2 cell test code]],[1]!Table1[[Test code]:[Test code]],[1]!Table1[Ionic resistance DIW/Ohm cm2],"",0)</f>
        <v>#REF!</v>
      </c>
      <c r="AG1470" s="69" t="e" cm="1">
        <f t="array" ref="AG1470">_xlfn.XLOOKUP(Table1[[#This Row],[5 cm2 cell test code]:[5 cm2 cell test code]],[1]!Table1[[Test code]:[Test code]],[1]!Table1[Q_int_frac DIW],"",0)</f>
        <v>#REF!</v>
      </c>
      <c r="AH1470" s="69" t="e" cm="1">
        <f t="array" ref="AH1470">_xlfn.XLOOKUP(Table1[[#This Row],[5 cm2 cell test code]:[5 cm2 cell test code]],[1]!Table1[[Test code]:[Test code]],[1]!Table1[Ionic resistance 10 mM KOH/Ohm cm2],"",0)</f>
        <v>#REF!</v>
      </c>
      <c r="AI1470" s="69" t="e" cm="1">
        <f t="array" ref="AI1470">_xlfn.XLOOKUP(Table1[[#This Row],[5 cm2 cell test code]:[5 cm2 cell test code]],[1]!Table1[[Test code]:[Test code]],[1]!Table1[Q_int_frac DIW 10 mM KOH],"",0)</f>
        <v>#REF!</v>
      </c>
      <c r="AJ1470" s="69" t="e" cm="1">
        <f t="array" ref="AJ1470">_xlfn.XLOOKUP(Table1[[#This Row],[5 cm2 cell test code]:[5 cm2 cell test code]],[1]!Table1[[Test code]:[Test code]],[1]!Table1[DIW conductivity (µS/cm)],"",0)</f>
        <v>#REF!</v>
      </c>
    </row>
    <row r="1471" spans="1:36">
      <c r="A1471" s="81"/>
      <c r="U1471" s="101"/>
      <c r="V1471" s="101"/>
      <c r="W1471" s="69" t="e" cm="1">
        <f t="array" ref="W1471">_xlfn.XLOOKUP(Table1[[#This Row],[5 cm2 cell test code]:[5 cm2 cell test code]],[1]!Table1[[Test code]:[Test code]],[1]!Table1[i @ 1.8 V DIW (A/cm2)],"",0)</f>
        <v>#REF!</v>
      </c>
      <c r="X1471" s="69" t="e" cm="1">
        <f t="array" ref="X1471">_xlfn.XLOOKUP(Table1[[#This Row],[5 cm2 cell test code]:[5 cm2 cell test code]],[1]!Table1[[Test code]:[Test code]],[1]!Table1[i @ 1.8 V 10 mM KOH (A/cm2)],"",0)</f>
        <v>#REF!</v>
      </c>
      <c r="Y1471" s="69" t="e" cm="1">
        <f t="array" ref="Y1471">_xlfn.XLOOKUP(Table1[[#This Row],[5 cm2 cell test code]:[5 cm2 cell test code]],[1]!Table1[[Test code]:[Test code]],[1]!Table1[3-E ƞ at 20mAcm-2 (mV)],"",0)</f>
        <v>#REF!</v>
      </c>
      <c r="Z1471" s="69" t="e" cm="1">
        <f t="array" ref="Z1471">_xlfn.XLOOKUP(Table1[[#This Row],[5 cm2 cell test code]:[5 cm2 cell test code]],[1]!Table1[[Test code]:[Test code]],[1]!Table1[3-E Tafel slope (mV/dec)],"",0)</f>
        <v>#REF!</v>
      </c>
      <c r="AA1471" s="69" t="e" cm="1">
        <f t="array" ref="AA1471">_xlfn.XLOOKUP(Table1[[#This Row],[5 cm2 cell test code]:[5 cm2 cell test code]],[1]!Table1[[Test code]:[Test code]],[1]!Table1[E @ 100 mA/cm2 DIW/V],"",0)</f>
        <v>#REF!</v>
      </c>
      <c r="AB1471" s="69" t="e" cm="1">
        <f t="array" ref="AB1471">_xlfn.XLOOKUP(Table1[[#This Row],[5 cm2 cell test code]:[5 cm2 cell test code]],[1]!Table1[[Test code]:[Test code]],[1]!Table1[E @ 100 mA/cm2 10 mM KOH/V],"",0)</f>
        <v>#REF!</v>
      </c>
      <c r="AC1471" s="69" t="e" cm="1">
        <f t="array" ref="AC1471">_xlfn.XLOOKUP(Table1[[#This Row],[5 cm2 cell test code]:[5 cm2 cell test code]],[1]!Table1[[Test code]:[Test code]],[1]!Table1[Anode ICR/mOhm],"",0)</f>
        <v>#REF!</v>
      </c>
      <c r="AD1471" s="69" t="e" cm="1">
        <f t="array" ref="AD1471">_xlfn.XLOOKUP(Table1[[#This Row],[5 cm2 cell test code]:[5 cm2 cell test code]],[1]!Table1[[Test code]:[Test code]],[1]!Table1[HFR DIW/ mOhm cm2],"",0)</f>
        <v>#REF!</v>
      </c>
      <c r="AE1471" s="69" t="e" cm="1">
        <f t="array" ref="AE1471">_xlfn.XLOOKUP(Table1[[#This Row],[5 cm2 cell test code]:[5 cm2 cell test code]],[1]!Table1[[Test code]:[Test code]],[1]!Table1[HFR 10 mM KOH/ mOhm cm2],"",0)</f>
        <v>#REF!</v>
      </c>
      <c r="AF1471" s="69" t="e" cm="1">
        <f t="array" ref="AF1471">_xlfn.XLOOKUP(Table1[[#This Row],[5 cm2 cell test code]:[5 cm2 cell test code]],[1]!Table1[[Test code]:[Test code]],[1]!Table1[Ionic resistance DIW/Ohm cm2],"",0)</f>
        <v>#REF!</v>
      </c>
      <c r="AG1471" s="69" t="e" cm="1">
        <f t="array" ref="AG1471">_xlfn.XLOOKUP(Table1[[#This Row],[5 cm2 cell test code]:[5 cm2 cell test code]],[1]!Table1[[Test code]:[Test code]],[1]!Table1[Q_int_frac DIW],"",0)</f>
        <v>#REF!</v>
      </c>
      <c r="AH1471" s="69" t="e" cm="1">
        <f t="array" ref="AH1471">_xlfn.XLOOKUP(Table1[[#This Row],[5 cm2 cell test code]:[5 cm2 cell test code]],[1]!Table1[[Test code]:[Test code]],[1]!Table1[Ionic resistance 10 mM KOH/Ohm cm2],"",0)</f>
        <v>#REF!</v>
      </c>
      <c r="AI1471" s="69" t="e" cm="1">
        <f t="array" ref="AI1471">_xlfn.XLOOKUP(Table1[[#This Row],[5 cm2 cell test code]:[5 cm2 cell test code]],[1]!Table1[[Test code]:[Test code]],[1]!Table1[Q_int_frac DIW 10 mM KOH],"",0)</f>
        <v>#REF!</v>
      </c>
      <c r="AJ1471" s="69" t="e" cm="1">
        <f t="array" ref="AJ1471">_xlfn.XLOOKUP(Table1[[#This Row],[5 cm2 cell test code]:[5 cm2 cell test code]],[1]!Table1[[Test code]:[Test code]],[1]!Table1[DIW conductivity (µS/cm)],"",0)</f>
        <v>#REF!</v>
      </c>
    </row>
    <row r="1472" spans="1:36">
      <c r="A1472" s="81"/>
      <c r="U1472" s="101"/>
      <c r="V1472" s="101"/>
      <c r="W1472" s="69" t="e" cm="1">
        <f t="array" ref="W1472">_xlfn.XLOOKUP(Table1[[#This Row],[5 cm2 cell test code]:[5 cm2 cell test code]],[1]!Table1[[Test code]:[Test code]],[1]!Table1[i @ 1.8 V DIW (A/cm2)],"",0)</f>
        <v>#REF!</v>
      </c>
      <c r="X1472" s="69" t="e" cm="1">
        <f t="array" ref="X1472">_xlfn.XLOOKUP(Table1[[#This Row],[5 cm2 cell test code]:[5 cm2 cell test code]],[1]!Table1[[Test code]:[Test code]],[1]!Table1[i @ 1.8 V 10 mM KOH (A/cm2)],"",0)</f>
        <v>#REF!</v>
      </c>
      <c r="Y1472" s="69" t="e" cm="1">
        <f t="array" ref="Y1472">_xlfn.XLOOKUP(Table1[[#This Row],[5 cm2 cell test code]:[5 cm2 cell test code]],[1]!Table1[[Test code]:[Test code]],[1]!Table1[3-E ƞ at 20mAcm-2 (mV)],"",0)</f>
        <v>#REF!</v>
      </c>
      <c r="Z1472" s="69" t="e" cm="1">
        <f t="array" ref="Z1472">_xlfn.XLOOKUP(Table1[[#This Row],[5 cm2 cell test code]:[5 cm2 cell test code]],[1]!Table1[[Test code]:[Test code]],[1]!Table1[3-E Tafel slope (mV/dec)],"",0)</f>
        <v>#REF!</v>
      </c>
      <c r="AA1472" s="69" t="e" cm="1">
        <f t="array" ref="AA1472">_xlfn.XLOOKUP(Table1[[#This Row],[5 cm2 cell test code]:[5 cm2 cell test code]],[1]!Table1[[Test code]:[Test code]],[1]!Table1[E @ 100 mA/cm2 DIW/V],"",0)</f>
        <v>#REF!</v>
      </c>
      <c r="AB1472" s="69" t="e" cm="1">
        <f t="array" ref="AB1472">_xlfn.XLOOKUP(Table1[[#This Row],[5 cm2 cell test code]:[5 cm2 cell test code]],[1]!Table1[[Test code]:[Test code]],[1]!Table1[E @ 100 mA/cm2 10 mM KOH/V],"",0)</f>
        <v>#REF!</v>
      </c>
      <c r="AC1472" s="69" t="e" cm="1">
        <f t="array" ref="AC1472">_xlfn.XLOOKUP(Table1[[#This Row],[5 cm2 cell test code]:[5 cm2 cell test code]],[1]!Table1[[Test code]:[Test code]],[1]!Table1[Anode ICR/mOhm],"",0)</f>
        <v>#REF!</v>
      </c>
      <c r="AD1472" s="69" t="e" cm="1">
        <f t="array" ref="AD1472">_xlfn.XLOOKUP(Table1[[#This Row],[5 cm2 cell test code]:[5 cm2 cell test code]],[1]!Table1[[Test code]:[Test code]],[1]!Table1[HFR DIW/ mOhm cm2],"",0)</f>
        <v>#REF!</v>
      </c>
      <c r="AE1472" s="69" t="e" cm="1">
        <f t="array" ref="AE1472">_xlfn.XLOOKUP(Table1[[#This Row],[5 cm2 cell test code]:[5 cm2 cell test code]],[1]!Table1[[Test code]:[Test code]],[1]!Table1[HFR 10 mM KOH/ mOhm cm2],"",0)</f>
        <v>#REF!</v>
      </c>
      <c r="AF1472" s="69" t="e" cm="1">
        <f t="array" ref="AF1472">_xlfn.XLOOKUP(Table1[[#This Row],[5 cm2 cell test code]:[5 cm2 cell test code]],[1]!Table1[[Test code]:[Test code]],[1]!Table1[Ionic resistance DIW/Ohm cm2],"",0)</f>
        <v>#REF!</v>
      </c>
      <c r="AG1472" s="69" t="e" cm="1">
        <f t="array" ref="AG1472">_xlfn.XLOOKUP(Table1[[#This Row],[5 cm2 cell test code]:[5 cm2 cell test code]],[1]!Table1[[Test code]:[Test code]],[1]!Table1[Q_int_frac DIW],"",0)</f>
        <v>#REF!</v>
      </c>
      <c r="AH1472" s="69" t="e" cm="1">
        <f t="array" ref="AH1472">_xlfn.XLOOKUP(Table1[[#This Row],[5 cm2 cell test code]:[5 cm2 cell test code]],[1]!Table1[[Test code]:[Test code]],[1]!Table1[Ionic resistance 10 mM KOH/Ohm cm2],"",0)</f>
        <v>#REF!</v>
      </c>
      <c r="AI1472" s="69" t="e" cm="1">
        <f t="array" ref="AI1472">_xlfn.XLOOKUP(Table1[[#This Row],[5 cm2 cell test code]:[5 cm2 cell test code]],[1]!Table1[[Test code]:[Test code]],[1]!Table1[Q_int_frac DIW 10 mM KOH],"",0)</f>
        <v>#REF!</v>
      </c>
      <c r="AJ1472" s="69" t="e" cm="1">
        <f t="array" ref="AJ1472">_xlfn.XLOOKUP(Table1[[#This Row],[5 cm2 cell test code]:[5 cm2 cell test code]],[1]!Table1[[Test code]:[Test code]],[1]!Table1[DIW conductivity (µS/cm)],"",0)</f>
        <v>#REF!</v>
      </c>
    </row>
    <row r="1473" spans="1:36">
      <c r="A1473" s="81"/>
      <c r="U1473" s="101"/>
      <c r="V1473" s="101"/>
      <c r="W1473" s="69" t="e" cm="1">
        <f t="array" ref="W1473">_xlfn.XLOOKUP(Table1[[#This Row],[5 cm2 cell test code]:[5 cm2 cell test code]],[1]!Table1[[Test code]:[Test code]],[1]!Table1[i @ 1.8 V DIW (A/cm2)],"",0)</f>
        <v>#REF!</v>
      </c>
      <c r="X1473" s="69" t="e" cm="1">
        <f t="array" ref="X1473">_xlfn.XLOOKUP(Table1[[#This Row],[5 cm2 cell test code]:[5 cm2 cell test code]],[1]!Table1[[Test code]:[Test code]],[1]!Table1[i @ 1.8 V 10 mM KOH (A/cm2)],"",0)</f>
        <v>#REF!</v>
      </c>
      <c r="Y1473" s="69" t="e" cm="1">
        <f t="array" ref="Y1473">_xlfn.XLOOKUP(Table1[[#This Row],[5 cm2 cell test code]:[5 cm2 cell test code]],[1]!Table1[[Test code]:[Test code]],[1]!Table1[3-E ƞ at 20mAcm-2 (mV)],"",0)</f>
        <v>#REF!</v>
      </c>
      <c r="Z1473" s="69" t="e" cm="1">
        <f t="array" ref="Z1473">_xlfn.XLOOKUP(Table1[[#This Row],[5 cm2 cell test code]:[5 cm2 cell test code]],[1]!Table1[[Test code]:[Test code]],[1]!Table1[3-E Tafel slope (mV/dec)],"",0)</f>
        <v>#REF!</v>
      </c>
      <c r="AA1473" s="69" t="e" cm="1">
        <f t="array" ref="AA1473">_xlfn.XLOOKUP(Table1[[#This Row],[5 cm2 cell test code]:[5 cm2 cell test code]],[1]!Table1[[Test code]:[Test code]],[1]!Table1[E @ 100 mA/cm2 DIW/V],"",0)</f>
        <v>#REF!</v>
      </c>
      <c r="AB1473" s="69" t="e" cm="1">
        <f t="array" ref="AB1473">_xlfn.XLOOKUP(Table1[[#This Row],[5 cm2 cell test code]:[5 cm2 cell test code]],[1]!Table1[[Test code]:[Test code]],[1]!Table1[E @ 100 mA/cm2 10 mM KOH/V],"",0)</f>
        <v>#REF!</v>
      </c>
      <c r="AC1473" s="69" t="e" cm="1">
        <f t="array" ref="AC1473">_xlfn.XLOOKUP(Table1[[#This Row],[5 cm2 cell test code]:[5 cm2 cell test code]],[1]!Table1[[Test code]:[Test code]],[1]!Table1[Anode ICR/mOhm],"",0)</f>
        <v>#REF!</v>
      </c>
      <c r="AD1473" s="69" t="e" cm="1">
        <f t="array" ref="AD1473">_xlfn.XLOOKUP(Table1[[#This Row],[5 cm2 cell test code]:[5 cm2 cell test code]],[1]!Table1[[Test code]:[Test code]],[1]!Table1[HFR DIW/ mOhm cm2],"",0)</f>
        <v>#REF!</v>
      </c>
      <c r="AE1473" s="69" t="e" cm="1">
        <f t="array" ref="AE1473">_xlfn.XLOOKUP(Table1[[#This Row],[5 cm2 cell test code]:[5 cm2 cell test code]],[1]!Table1[[Test code]:[Test code]],[1]!Table1[HFR 10 mM KOH/ mOhm cm2],"",0)</f>
        <v>#REF!</v>
      </c>
      <c r="AF1473" s="69" t="e" cm="1">
        <f t="array" ref="AF1473">_xlfn.XLOOKUP(Table1[[#This Row],[5 cm2 cell test code]:[5 cm2 cell test code]],[1]!Table1[[Test code]:[Test code]],[1]!Table1[Ionic resistance DIW/Ohm cm2],"",0)</f>
        <v>#REF!</v>
      </c>
      <c r="AG1473" s="69" t="e" cm="1">
        <f t="array" ref="AG1473">_xlfn.XLOOKUP(Table1[[#This Row],[5 cm2 cell test code]:[5 cm2 cell test code]],[1]!Table1[[Test code]:[Test code]],[1]!Table1[Q_int_frac DIW],"",0)</f>
        <v>#REF!</v>
      </c>
      <c r="AH1473" s="69" t="e" cm="1">
        <f t="array" ref="AH1473">_xlfn.XLOOKUP(Table1[[#This Row],[5 cm2 cell test code]:[5 cm2 cell test code]],[1]!Table1[[Test code]:[Test code]],[1]!Table1[Ionic resistance 10 mM KOH/Ohm cm2],"",0)</f>
        <v>#REF!</v>
      </c>
      <c r="AI1473" s="69" t="e" cm="1">
        <f t="array" ref="AI1473">_xlfn.XLOOKUP(Table1[[#This Row],[5 cm2 cell test code]:[5 cm2 cell test code]],[1]!Table1[[Test code]:[Test code]],[1]!Table1[Q_int_frac DIW 10 mM KOH],"",0)</f>
        <v>#REF!</v>
      </c>
      <c r="AJ1473" s="69" t="e" cm="1">
        <f t="array" ref="AJ1473">_xlfn.XLOOKUP(Table1[[#This Row],[5 cm2 cell test code]:[5 cm2 cell test code]],[1]!Table1[[Test code]:[Test code]],[1]!Table1[DIW conductivity (µS/cm)],"",0)</f>
        <v>#REF!</v>
      </c>
    </row>
    <row r="1474" spans="1:36">
      <c r="A1474" s="81"/>
      <c r="U1474" s="101"/>
      <c r="V1474" s="101"/>
      <c r="W1474" s="69" t="e" cm="1">
        <f t="array" ref="W1474">_xlfn.XLOOKUP(Table1[[#This Row],[5 cm2 cell test code]:[5 cm2 cell test code]],[1]!Table1[[Test code]:[Test code]],[1]!Table1[i @ 1.8 V DIW (A/cm2)],"",0)</f>
        <v>#REF!</v>
      </c>
      <c r="X1474" s="69" t="e" cm="1">
        <f t="array" ref="X1474">_xlfn.XLOOKUP(Table1[[#This Row],[5 cm2 cell test code]:[5 cm2 cell test code]],[1]!Table1[[Test code]:[Test code]],[1]!Table1[i @ 1.8 V 10 mM KOH (A/cm2)],"",0)</f>
        <v>#REF!</v>
      </c>
      <c r="Y1474" s="69" t="e" cm="1">
        <f t="array" ref="Y1474">_xlfn.XLOOKUP(Table1[[#This Row],[5 cm2 cell test code]:[5 cm2 cell test code]],[1]!Table1[[Test code]:[Test code]],[1]!Table1[3-E ƞ at 20mAcm-2 (mV)],"",0)</f>
        <v>#REF!</v>
      </c>
      <c r="Z1474" s="69" t="e" cm="1">
        <f t="array" ref="Z1474">_xlfn.XLOOKUP(Table1[[#This Row],[5 cm2 cell test code]:[5 cm2 cell test code]],[1]!Table1[[Test code]:[Test code]],[1]!Table1[3-E Tafel slope (mV/dec)],"",0)</f>
        <v>#REF!</v>
      </c>
      <c r="AA1474" s="69" t="e" cm="1">
        <f t="array" ref="AA1474">_xlfn.XLOOKUP(Table1[[#This Row],[5 cm2 cell test code]:[5 cm2 cell test code]],[1]!Table1[[Test code]:[Test code]],[1]!Table1[E @ 100 mA/cm2 DIW/V],"",0)</f>
        <v>#REF!</v>
      </c>
      <c r="AB1474" s="69" t="e" cm="1">
        <f t="array" ref="AB1474">_xlfn.XLOOKUP(Table1[[#This Row],[5 cm2 cell test code]:[5 cm2 cell test code]],[1]!Table1[[Test code]:[Test code]],[1]!Table1[E @ 100 mA/cm2 10 mM KOH/V],"",0)</f>
        <v>#REF!</v>
      </c>
      <c r="AC1474" s="69" t="e" cm="1">
        <f t="array" ref="AC1474">_xlfn.XLOOKUP(Table1[[#This Row],[5 cm2 cell test code]:[5 cm2 cell test code]],[1]!Table1[[Test code]:[Test code]],[1]!Table1[Anode ICR/mOhm],"",0)</f>
        <v>#REF!</v>
      </c>
      <c r="AD1474" s="69" t="e" cm="1">
        <f t="array" ref="AD1474">_xlfn.XLOOKUP(Table1[[#This Row],[5 cm2 cell test code]:[5 cm2 cell test code]],[1]!Table1[[Test code]:[Test code]],[1]!Table1[HFR DIW/ mOhm cm2],"",0)</f>
        <v>#REF!</v>
      </c>
      <c r="AE1474" s="69" t="e" cm="1">
        <f t="array" ref="AE1474">_xlfn.XLOOKUP(Table1[[#This Row],[5 cm2 cell test code]:[5 cm2 cell test code]],[1]!Table1[[Test code]:[Test code]],[1]!Table1[HFR 10 mM KOH/ mOhm cm2],"",0)</f>
        <v>#REF!</v>
      </c>
      <c r="AF1474" s="69" t="e" cm="1">
        <f t="array" ref="AF1474">_xlfn.XLOOKUP(Table1[[#This Row],[5 cm2 cell test code]:[5 cm2 cell test code]],[1]!Table1[[Test code]:[Test code]],[1]!Table1[Ionic resistance DIW/Ohm cm2],"",0)</f>
        <v>#REF!</v>
      </c>
      <c r="AG1474" s="69" t="e" cm="1">
        <f t="array" ref="AG1474">_xlfn.XLOOKUP(Table1[[#This Row],[5 cm2 cell test code]:[5 cm2 cell test code]],[1]!Table1[[Test code]:[Test code]],[1]!Table1[Q_int_frac DIW],"",0)</f>
        <v>#REF!</v>
      </c>
      <c r="AH1474" s="69" t="e" cm="1">
        <f t="array" ref="AH1474">_xlfn.XLOOKUP(Table1[[#This Row],[5 cm2 cell test code]:[5 cm2 cell test code]],[1]!Table1[[Test code]:[Test code]],[1]!Table1[Ionic resistance 10 mM KOH/Ohm cm2],"",0)</f>
        <v>#REF!</v>
      </c>
      <c r="AI1474" s="69" t="e" cm="1">
        <f t="array" ref="AI1474">_xlfn.XLOOKUP(Table1[[#This Row],[5 cm2 cell test code]:[5 cm2 cell test code]],[1]!Table1[[Test code]:[Test code]],[1]!Table1[Q_int_frac DIW 10 mM KOH],"",0)</f>
        <v>#REF!</v>
      </c>
      <c r="AJ1474" s="69" t="e" cm="1">
        <f t="array" ref="AJ1474">_xlfn.XLOOKUP(Table1[[#This Row],[5 cm2 cell test code]:[5 cm2 cell test code]],[1]!Table1[[Test code]:[Test code]],[1]!Table1[DIW conductivity (µS/cm)],"",0)</f>
        <v>#REF!</v>
      </c>
    </row>
    <row r="1475" spans="1:36">
      <c r="A1475" s="81"/>
      <c r="U1475" s="101"/>
      <c r="V1475" s="101"/>
      <c r="W1475" s="69" t="e" cm="1">
        <f t="array" ref="W1475">_xlfn.XLOOKUP(Table1[[#This Row],[5 cm2 cell test code]:[5 cm2 cell test code]],[1]!Table1[[Test code]:[Test code]],[1]!Table1[i @ 1.8 V DIW (A/cm2)],"",0)</f>
        <v>#REF!</v>
      </c>
      <c r="X1475" s="69" t="e" cm="1">
        <f t="array" ref="X1475">_xlfn.XLOOKUP(Table1[[#This Row],[5 cm2 cell test code]:[5 cm2 cell test code]],[1]!Table1[[Test code]:[Test code]],[1]!Table1[i @ 1.8 V 10 mM KOH (A/cm2)],"",0)</f>
        <v>#REF!</v>
      </c>
      <c r="Y1475" s="69" t="e" cm="1">
        <f t="array" ref="Y1475">_xlfn.XLOOKUP(Table1[[#This Row],[5 cm2 cell test code]:[5 cm2 cell test code]],[1]!Table1[[Test code]:[Test code]],[1]!Table1[3-E ƞ at 20mAcm-2 (mV)],"",0)</f>
        <v>#REF!</v>
      </c>
      <c r="Z1475" s="69" t="e" cm="1">
        <f t="array" ref="Z1475">_xlfn.XLOOKUP(Table1[[#This Row],[5 cm2 cell test code]:[5 cm2 cell test code]],[1]!Table1[[Test code]:[Test code]],[1]!Table1[3-E Tafel slope (mV/dec)],"",0)</f>
        <v>#REF!</v>
      </c>
      <c r="AA1475" s="69" t="e" cm="1">
        <f t="array" ref="AA1475">_xlfn.XLOOKUP(Table1[[#This Row],[5 cm2 cell test code]:[5 cm2 cell test code]],[1]!Table1[[Test code]:[Test code]],[1]!Table1[E @ 100 mA/cm2 DIW/V],"",0)</f>
        <v>#REF!</v>
      </c>
      <c r="AB1475" s="69" t="e" cm="1">
        <f t="array" ref="AB1475">_xlfn.XLOOKUP(Table1[[#This Row],[5 cm2 cell test code]:[5 cm2 cell test code]],[1]!Table1[[Test code]:[Test code]],[1]!Table1[E @ 100 mA/cm2 10 mM KOH/V],"",0)</f>
        <v>#REF!</v>
      </c>
      <c r="AC1475" s="69" t="e" cm="1">
        <f t="array" ref="AC1475">_xlfn.XLOOKUP(Table1[[#This Row],[5 cm2 cell test code]:[5 cm2 cell test code]],[1]!Table1[[Test code]:[Test code]],[1]!Table1[Anode ICR/mOhm],"",0)</f>
        <v>#REF!</v>
      </c>
      <c r="AD1475" s="69" t="e" cm="1">
        <f t="array" ref="AD1475">_xlfn.XLOOKUP(Table1[[#This Row],[5 cm2 cell test code]:[5 cm2 cell test code]],[1]!Table1[[Test code]:[Test code]],[1]!Table1[HFR DIW/ mOhm cm2],"",0)</f>
        <v>#REF!</v>
      </c>
      <c r="AE1475" s="69" t="e" cm="1">
        <f t="array" ref="AE1475">_xlfn.XLOOKUP(Table1[[#This Row],[5 cm2 cell test code]:[5 cm2 cell test code]],[1]!Table1[[Test code]:[Test code]],[1]!Table1[HFR 10 mM KOH/ mOhm cm2],"",0)</f>
        <v>#REF!</v>
      </c>
      <c r="AF1475" s="69" t="e" cm="1">
        <f t="array" ref="AF1475">_xlfn.XLOOKUP(Table1[[#This Row],[5 cm2 cell test code]:[5 cm2 cell test code]],[1]!Table1[[Test code]:[Test code]],[1]!Table1[Ionic resistance DIW/Ohm cm2],"",0)</f>
        <v>#REF!</v>
      </c>
      <c r="AG1475" s="69" t="e" cm="1">
        <f t="array" ref="AG1475">_xlfn.XLOOKUP(Table1[[#This Row],[5 cm2 cell test code]:[5 cm2 cell test code]],[1]!Table1[[Test code]:[Test code]],[1]!Table1[Q_int_frac DIW],"",0)</f>
        <v>#REF!</v>
      </c>
      <c r="AH1475" s="69" t="e" cm="1">
        <f t="array" ref="AH1475">_xlfn.XLOOKUP(Table1[[#This Row],[5 cm2 cell test code]:[5 cm2 cell test code]],[1]!Table1[[Test code]:[Test code]],[1]!Table1[Ionic resistance 10 mM KOH/Ohm cm2],"",0)</f>
        <v>#REF!</v>
      </c>
      <c r="AI1475" s="69" t="e" cm="1">
        <f t="array" ref="AI1475">_xlfn.XLOOKUP(Table1[[#This Row],[5 cm2 cell test code]:[5 cm2 cell test code]],[1]!Table1[[Test code]:[Test code]],[1]!Table1[Q_int_frac DIW 10 mM KOH],"",0)</f>
        <v>#REF!</v>
      </c>
      <c r="AJ1475" s="69" t="e" cm="1">
        <f t="array" ref="AJ1475">_xlfn.XLOOKUP(Table1[[#This Row],[5 cm2 cell test code]:[5 cm2 cell test code]],[1]!Table1[[Test code]:[Test code]],[1]!Table1[DIW conductivity (µS/cm)],"",0)</f>
        <v>#REF!</v>
      </c>
    </row>
    <row r="1476" spans="1:36">
      <c r="A1476" s="81"/>
      <c r="U1476" s="101"/>
      <c r="V1476" s="101"/>
      <c r="W1476" s="69" t="e" cm="1">
        <f t="array" ref="W1476">_xlfn.XLOOKUP(Table1[[#This Row],[5 cm2 cell test code]:[5 cm2 cell test code]],[1]!Table1[[Test code]:[Test code]],[1]!Table1[i @ 1.8 V DIW (A/cm2)],"",0)</f>
        <v>#REF!</v>
      </c>
      <c r="X1476" s="69" t="e" cm="1">
        <f t="array" ref="X1476">_xlfn.XLOOKUP(Table1[[#This Row],[5 cm2 cell test code]:[5 cm2 cell test code]],[1]!Table1[[Test code]:[Test code]],[1]!Table1[i @ 1.8 V 10 mM KOH (A/cm2)],"",0)</f>
        <v>#REF!</v>
      </c>
      <c r="Y1476" s="69" t="e" cm="1">
        <f t="array" ref="Y1476">_xlfn.XLOOKUP(Table1[[#This Row],[5 cm2 cell test code]:[5 cm2 cell test code]],[1]!Table1[[Test code]:[Test code]],[1]!Table1[3-E ƞ at 20mAcm-2 (mV)],"",0)</f>
        <v>#REF!</v>
      </c>
      <c r="Z1476" s="69" t="e" cm="1">
        <f t="array" ref="Z1476">_xlfn.XLOOKUP(Table1[[#This Row],[5 cm2 cell test code]:[5 cm2 cell test code]],[1]!Table1[[Test code]:[Test code]],[1]!Table1[3-E Tafel slope (mV/dec)],"",0)</f>
        <v>#REF!</v>
      </c>
      <c r="AA1476" s="69" t="e" cm="1">
        <f t="array" ref="AA1476">_xlfn.XLOOKUP(Table1[[#This Row],[5 cm2 cell test code]:[5 cm2 cell test code]],[1]!Table1[[Test code]:[Test code]],[1]!Table1[E @ 100 mA/cm2 DIW/V],"",0)</f>
        <v>#REF!</v>
      </c>
      <c r="AB1476" s="69" t="e" cm="1">
        <f t="array" ref="AB1476">_xlfn.XLOOKUP(Table1[[#This Row],[5 cm2 cell test code]:[5 cm2 cell test code]],[1]!Table1[[Test code]:[Test code]],[1]!Table1[E @ 100 mA/cm2 10 mM KOH/V],"",0)</f>
        <v>#REF!</v>
      </c>
      <c r="AC1476" s="69" t="e" cm="1">
        <f t="array" ref="AC1476">_xlfn.XLOOKUP(Table1[[#This Row],[5 cm2 cell test code]:[5 cm2 cell test code]],[1]!Table1[[Test code]:[Test code]],[1]!Table1[Anode ICR/mOhm],"",0)</f>
        <v>#REF!</v>
      </c>
      <c r="AD1476" s="69" t="e" cm="1">
        <f t="array" ref="AD1476">_xlfn.XLOOKUP(Table1[[#This Row],[5 cm2 cell test code]:[5 cm2 cell test code]],[1]!Table1[[Test code]:[Test code]],[1]!Table1[HFR DIW/ mOhm cm2],"",0)</f>
        <v>#REF!</v>
      </c>
      <c r="AE1476" s="69" t="e" cm="1">
        <f t="array" ref="AE1476">_xlfn.XLOOKUP(Table1[[#This Row],[5 cm2 cell test code]:[5 cm2 cell test code]],[1]!Table1[[Test code]:[Test code]],[1]!Table1[HFR 10 mM KOH/ mOhm cm2],"",0)</f>
        <v>#REF!</v>
      </c>
      <c r="AF1476" s="69" t="e" cm="1">
        <f t="array" ref="AF1476">_xlfn.XLOOKUP(Table1[[#This Row],[5 cm2 cell test code]:[5 cm2 cell test code]],[1]!Table1[[Test code]:[Test code]],[1]!Table1[Ionic resistance DIW/Ohm cm2],"",0)</f>
        <v>#REF!</v>
      </c>
      <c r="AG1476" s="69" t="e" cm="1">
        <f t="array" ref="AG1476">_xlfn.XLOOKUP(Table1[[#This Row],[5 cm2 cell test code]:[5 cm2 cell test code]],[1]!Table1[[Test code]:[Test code]],[1]!Table1[Q_int_frac DIW],"",0)</f>
        <v>#REF!</v>
      </c>
      <c r="AH1476" s="69" t="e" cm="1">
        <f t="array" ref="AH1476">_xlfn.XLOOKUP(Table1[[#This Row],[5 cm2 cell test code]:[5 cm2 cell test code]],[1]!Table1[[Test code]:[Test code]],[1]!Table1[Ionic resistance 10 mM KOH/Ohm cm2],"",0)</f>
        <v>#REF!</v>
      </c>
      <c r="AI1476" s="69" t="e" cm="1">
        <f t="array" ref="AI1476">_xlfn.XLOOKUP(Table1[[#This Row],[5 cm2 cell test code]:[5 cm2 cell test code]],[1]!Table1[[Test code]:[Test code]],[1]!Table1[Q_int_frac DIW 10 mM KOH],"",0)</f>
        <v>#REF!</v>
      </c>
      <c r="AJ1476" s="69" t="e" cm="1">
        <f t="array" ref="AJ1476">_xlfn.XLOOKUP(Table1[[#This Row],[5 cm2 cell test code]:[5 cm2 cell test code]],[1]!Table1[[Test code]:[Test code]],[1]!Table1[DIW conductivity (µS/cm)],"",0)</f>
        <v>#REF!</v>
      </c>
    </row>
    <row r="1477" spans="1:36">
      <c r="A1477" s="81"/>
      <c r="U1477" s="101"/>
      <c r="V1477" s="101"/>
      <c r="W1477" s="69" t="e" cm="1">
        <f t="array" ref="W1477">_xlfn.XLOOKUP(Table1[[#This Row],[5 cm2 cell test code]:[5 cm2 cell test code]],[1]!Table1[[Test code]:[Test code]],[1]!Table1[i @ 1.8 V DIW (A/cm2)],"",0)</f>
        <v>#REF!</v>
      </c>
      <c r="X1477" s="69" t="e" cm="1">
        <f t="array" ref="X1477">_xlfn.XLOOKUP(Table1[[#This Row],[5 cm2 cell test code]:[5 cm2 cell test code]],[1]!Table1[[Test code]:[Test code]],[1]!Table1[i @ 1.8 V 10 mM KOH (A/cm2)],"",0)</f>
        <v>#REF!</v>
      </c>
      <c r="Y1477" s="69" t="e" cm="1">
        <f t="array" ref="Y1477">_xlfn.XLOOKUP(Table1[[#This Row],[5 cm2 cell test code]:[5 cm2 cell test code]],[1]!Table1[[Test code]:[Test code]],[1]!Table1[3-E ƞ at 20mAcm-2 (mV)],"",0)</f>
        <v>#REF!</v>
      </c>
      <c r="Z1477" s="69" t="e" cm="1">
        <f t="array" ref="Z1477">_xlfn.XLOOKUP(Table1[[#This Row],[5 cm2 cell test code]:[5 cm2 cell test code]],[1]!Table1[[Test code]:[Test code]],[1]!Table1[3-E Tafel slope (mV/dec)],"",0)</f>
        <v>#REF!</v>
      </c>
      <c r="AA1477" s="69" t="e" cm="1">
        <f t="array" ref="AA1477">_xlfn.XLOOKUP(Table1[[#This Row],[5 cm2 cell test code]:[5 cm2 cell test code]],[1]!Table1[[Test code]:[Test code]],[1]!Table1[E @ 100 mA/cm2 DIW/V],"",0)</f>
        <v>#REF!</v>
      </c>
      <c r="AB1477" s="69" t="e" cm="1">
        <f t="array" ref="AB1477">_xlfn.XLOOKUP(Table1[[#This Row],[5 cm2 cell test code]:[5 cm2 cell test code]],[1]!Table1[[Test code]:[Test code]],[1]!Table1[E @ 100 mA/cm2 10 mM KOH/V],"",0)</f>
        <v>#REF!</v>
      </c>
      <c r="AC1477" s="69" t="e" cm="1">
        <f t="array" ref="AC1477">_xlfn.XLOOKUP(Table1[[#This Row],[5 cm2 cell test code]:[5 cm2 cell test code]],[1]!Table1[[Test code]:[Test code]],[1]!Table1[Anode ICR/mOhm],"",0)</f>
        <v>#REF!</v>
      </c>
      <c r="AD1477" s="69" t="e" cm="1">
        <f t="array" ref="AD1477">_xlfn.XLOOKUP(Table1[[#This Row],[5 cm2 cell test code]:[5 cm2 cell test code]],[1]!Table1[[Test code]:[Test code]],[1]!Table1[HFR DIW/ mOhm cm2],"",0)</f>
        <v>#REF!</v>
      </c>
      <c r="AE1477" s="69" t="e" cm="1">
        <f t="array" ref="AE1477">_xlfn.XLOOKUP(Table1[[#This Row],[5 cm2 cell test code]:[5 cm2 cell test code]],[1]!Table1[[Test code]:[Test code]],[1]!Table1[HFR 10 mM KOH/ mOhm cm2],"",0)</f>
        <v>#REF!</v>
      </c>
      <c r="AF1477" s="69" t="e" cm="1">
        <f t="array" ref="AF1477">_xlfn.XLOOKUP(Table1[[#This Row],[5 cm2 cell test code]:[5 cm2 cell test code]],[1]!Table1[[Test code]:[Test code]],[1]!Table1[Ionic resistance DIW/Ohm cm2],"",0)</f>
        <v>#REF!</v>
      </c>
      <c r="AG1477" s="69" t="e" cm="1">
        <f t="array" ref="AG1477">_xlfn.XLOOKUP(Table1[[#This Row],[5 cm2 cell test code]:[5 cm2 cell test code]],[1]!Table1[[Test code]:[Test code]],[1]!Table1[Q_int_frac DIW],"",0)</f>
        <v>#REF!</v>
      </c>
      <c r="AH1477" s="69" t="e" cm="1">
        <f t="array" ref="AH1477">_xlfn.XLOOKUP(Table1[[#This Row],[5 cm2 cell test code]:[5 cm2 cell test code]],[1]!Table1[[Test code]:[Test code]],[1]!Table1[Ionic resistance 10 mM KOH/Ohm cm2],"",0)</f>
        <v>#REF!</v>
      </c>
      <c r="AI1477" s="69" t="e" cm="1">
        <f t="array" ref="AI1477">_xlfn.XLOOKUP(Table1[[#This Row],[5 cm2 cell test code]:[5 cm2 cell test code]],[1]!Table1[[Test code]:[Test code]],[1]!Table1[Q_int_frac DIW 10 mM KOH],"",0)</f>
        <v>#REF!</v>
      </c>
      <c r="AJ1477" s="69" t="e" cm="1">
        <f t="array" ref="AJ1477">_xlfn.XLOOKUP(Table1[[#This Row],[5 cm2 cell test code]:[5 cm2 cell test code]],[1]!Table1[[Test code]:[Test code]],[1]!Table1[DIW conductivity (µS/cm)],"",0)</f>
        <v>#REF!</v>
      </c>
    </row>
    <row r="1478" spans="1:36">
      <c r="A1478" s="81"/>
      <c r="U1478" s="101"/>
      <c r="V1478" s="101"/>
      <c r="W1478" s="69" t="e" cm="1">
        <f t="array" ref="W1478">_xlfn.XLOOKUP(Table1[[#This Row],[5 cm2 cell test code]:[5 cm2 cell test code]],[1]!Table1[[Test code]:[Test code]],[1]!Table1[i @ 1.8 V DIW (A/cm2)],"",0)</f>
        <v>#REF!</v>
      </c>
      <c r="X1478" s="69" t="e" cm="1">
        <f t="array" ref="X1478">_xlfn.XLOOKUP(Table1[[#This Row],[5 cm2 cell test code]:[5 cm2 cell test code]],[1]!Table1[[Test code]:[Test code]],[1]!Table1[i @ 1.8 V 10 mM KOH (A/cm2)],"",0)</f>
        <v>#REF!</v>
      </c>
      <c r="Y1478" s="69" t="e" cm="1">
        <f t="array" ref="Y1478">_xlfn.XLOOKUP(Table1[[#This Row],[5 cm2 cell test code]:[5 cm2 cell test code]],[1]!Table1[[Test code]:[Test code]],[1]!Table1[3-E ƞ at 20mAcm-2 (mV)],"",0)</f>
        <v>#REF!</v>
      </c>
      <c r="Z1478" s="69" t="e" cm="1">
        <f t="array" ref="Z1478">_xlfn.XLOOKUP(Table1[[#This Row],[5 cm2 cell test code]:[5 cm2 cell test code]],[1]!Table1[[Test code]:[Test code]],[1]!Table1[3-E Tafel slope (mV/dec)],"",0)</f>
        <v>#REF!</v>
      </c>
      <c r="AA1478" s="69" t="e" cm="1">
        <f t="array" ref="AA1478">_xlfn.XLOOKUP(Table1[[#This Row],[5 cm2 cell test code]:[5 cm2 cell test code]],[1]!Table1[[Test code]:[Test code]],[1]!Table1[E @ 100 mA/cm2 DIW/V],"",0)</f>
        <v>#REF!</v>
      </c>
      <c r="AB1478" s="69" t="e" cm="1">
        <f t="array" ref="AB1478">_xlfn.XLOOKUP(Table1[[#This Row],[5 cm2 cell test code]:[5 cm2 cell test code]],[1]!Table1[[Test code]:[Test code]],[1]!Table1[E @ 100 mA/cm2 10 mM KOH/V],"",0)</f>
        <v>#REF!</v>
      </c>
      <c r="AC1478" s="69" t="e" cm="1">
        <f t="array" ref="AC1478">_xlfn.XLOOKUP(Table1[[#This Row],[5 cm2 cell test code]:[5 cm2 cell test code]],[1]!Table1[[Test code]:[Test code]],[1]!Table1[Anode ICR/mOhm],"",0)</f>
        <v>#REF!</v>
      </c>
      <c r="AD1478" s="69" t="e" cm="1">
        <f t="array" ref="AD1478">_xlfn.XLOOKUP(Table1[[#This Row],[5 cm2 cell test code]:[5 cm2 cell test code]],[1]!Table1[[Test code]:[Test code]],[1]!Table1[HFR DIW/ mOhm cm2],"",0)</f>
        <v>#REF!</v>
      </c>
      <c r="AE1478" s="69" t="e" cm="1">
        <f t="array" ref="AE1478">_xlfn.XLOOKUP(Table1[[#This Row],[5 cm2 cell test code]:[5 cm2 cell test code]],[1]!Table1[[Test code]:[Test code]],[1]!Table1[HFR 10 mM KOH/ mOhm cm2],"",0)</f>
        <v>#REF!</v>
      </c>
      <c r="AF1478" s="69" t="e" cm="1">
        <f t="array" ref="AF1478">_xlfn.XLOOKUP(Table1[[#This Row],[5 cm2 cell test code]:[5 cm2 cell test code]],[1]!Table1[[Test code]:[Test code]],[1]!Table1[Ionic resistance DIW/Ohm cm2],"",0)</f>
        <v>#REF!</v>
      </c>
      <c r="AG1478" s="69" t="e" cm="1">
        <f t="array" ref="AG1478">_xlfn.XLOOKUP(Table1[[#This Row],[5 cm2 cell test code]:[5 cm2 cell test code]],[1]!Table1[[Test code]:[Test code]],[1]!Table1[Q_int_frac DIW],"",0)</f>
        <v>#REF!</v>
      </c>
      <c r="AH1478" s="69" t="e" cm="1">
        <f t="array" ref="AH1478">_xlfn.XLOOKUP(Table1[[#This Row],[5 cm2 cell test code]:[5 cm2 cell test code]],[1]!Table1[[Test code]:[Test code]],[1]!Table1[Ionic resistance 10 mM KOH/Ohm cm2],"",0)</f>
        <v>#REF!</v>
      </c>
      <c r="AI1478" s="69" t="e" cm="1">
        <f t="array" ref="AI1478">_xlfn.XLOOKUP(Table1[[#This Row],[5 cm2 cell test code]:[5 cm2 cell test code]],[1]!Table1[[Test code]:[Test code]],[1]!Table1[Q_int_frac DIW 10 mM KOH],"",0)</f>
        <v>#REF!</v>
      </c>
      <c r="AJ1478" s="69" t="e" cm="1">
        <f t="array" ref="AJ1478">_xlfn.XLOOKUP(Table1[[#This Row],[5 cm2 cell test code]:[5 cm2 cell test code]],[1]!Table1[[Test code]:[Test code]],[1]!Table1[DIW conductivity (µS/cm)],"",0)</f>
        <v>#REF!</v>
      </c>
    </row>
    <row r="1479" spans="1:36">
      <c r="A1479" s="81"/>
      <c r="U1479" s="101"/>
      <c r="V1479" s="101"/>
      <c r="W1479" s="69" t="e" cm="1">
        <f t="array" ref="W1479">_xlfn.XLOOKUP(Table1[[#This Row],[5 cm2 cell test code]:[5 cm2 cell test code]],[1]!Table1[[Test code]:[Test code]],[1]!Table1[i @ 1.8 V DIW (A/cm2)],"",0)</f>
        <v>#REF!</v>
      </c>
      <c r="X1479" s="69" t="e" cm="1">
        <f t="array" ref="X1479">_xlfn.XLOOKUP(Table1[[#This Row],[5 cm2 cell test code]:[5 cm2 cell test code]],[1]!Table1[[Test code]:[Test code]],[1]!Table1[i @ 1.8 V 10 mM KOH (A/cm2)],"",0)</f>
        <v>#REF!</v>
      </c>
      <c r="Y1479" s="69" t="e" cm="1">
        <f t="array" ref="Y1479">_xlfn.XLOOKUP(Table1[[#This Row],[5 cm2 cell test code]:[5 cm2 cell test code]],[1]!Table1[[Test code]:[Test code]],[1]!Table1[3-E ƞ at 20mAcm-2 (mV)],"",0)</f>
        <v>#REF!</v>
      </c>
      <c r="Z1479" s="69" t="e" cm="1">
        <f t="array" ref="Z1479">_xlfn.XLOOKUP(Table1[[#This Row],[5 cm2 cell test code]:[5 cm2 cell test code]],[1]!Table1[[Test code]:[Test code]],[1]!Table1[3-E Tafel slope (mV/dec)],"",0)</f>
        <v>#REF!</v>
      </c>
      <c r="AA1479" s="69" t="e" cm="1">
        <f t="array" ref="AA1479">_xlfn.XLOOKUP(Table1[[#This Row],[5 cm2 cell test code]:[5 cm2 cell test code]],[1]!Table1[[Test code]:[Test code]],[1]!Table1[E @ 100 mA/cm2 DIW/V],"",0)</f>
        <v>#REF!</v>
      </c>
      <c r="AB1479" s="69" t="e" cm="1">
        <f t="array" ref="AB1479">_xlfn.XLOOKUP(Table1[[#This Row],[5 cm2 cell test code]:[5 cm2 cell test code]],[1]!Table1[[Test code]:[Test code]],[1]!Table1[E @ 100 mA/cm2 10 mM KOH/V],"",0)</f>
        <v>#REF!</v>
      </c>
      <c r="AC1479" s="69" t="e" cm="1">
        <f t="array" ref="AC1479">_xlfn.XLOOKUP(Table1[[#This Row],[5 cm2 cell test code]:[5 cm2 cell test code]],[1]!Table1[[Test code]:[Test code]],[1]!Table1[Anode ICR/mOhm],"",0)</f>
        <v>#REF!</v>
      </c>
      <c r="AD1479" s="69" t="e" cm="1">
        <f t="array" ref="AD1479">_xlfn.XLOOKUP(Table1[[#This Row],[5 cm2 cell test code]:[5 cm2 cell test code]],[1]!Table1[[Test code]:[Test code]],[1]!Table1[HFR DIW/ mOhm cm2],"",0)</f>
        <v>#REF!</v>
      </c>
      <c r="AE1479" s="69" t="e" cm="1">
        <f t="array" ref="AE1479">_xlfn.XLOOKUP(Table1[[#This Row],[5 cm2 cell test code]:[5 cm2 cell test code]],[1]!Table1[[Test code]:[Test code]],[1]!Table1[HFR 10 mM KOH/ mOhm cm2],"",0)</f>
        <v>#REF!</v>
      </c>
      <c r="AF1479" s="69" t="e" cm="1">
        <f t="array" ref="AF1479">_xlfn.XLOOKUP(Table1[[#This Row],[5 cm2 cell test code]:[5 cm2 cell test code]],[1]!Table1[[Test code]:[Test code]],[1]!Table1[Ionic resistance DIW/Ohm cm2],"",0)</f>
        <v>#REF!</v>
      </c>
      <c r="AG1479" s="69" t="e" cm="1">
        <f t="array" ref="AG1479">_xlfn.XLOOKUP(Table1[[#This Row],[5 cm2 cell test code]:[5 cm2 cell test code]],[1]!Table1[[Test code]:[Test code]],[1]!Table1[Q_int_frac DIW],"",0)</f>
        <v>#REF!</v>
      </c>
      <c r="AH1479" s="69" t="e" cm="1">
        <f t="array" ref="AH1479">_xlfn.XLOOKUP(Table1[[#This Row],[5 cm2 cell test code]:[5 cm2 cell test code]],[1]!Table1[[Test code]:[Test code]],[1]!Table1[Ionic resistance 10 mM KOH/Ohm cm2],"",0)</f>
        <v>#REF!</v>
      </c>
      <c r="AI1479" s="69" t="e" cm="1">
        <f t="array" ref="AI1479">_xlfn.XLOOKUP(Table1[[#This Row],[5 cm2 cell test code]:[5 cm2 cell test code]],[1]!Table1[[Test code]:[Test code]],[1]!Table1[Q_int_frac DIW 10 mM KOH],"",0)</f>
        <v>#REF!</v>
      </c>
      <c r="AJ1479" s="69" t="e" cm="1">
        <f t="array" ref="AJ1479">_xlfn.XLOOKUP(Table1[[#This Row],[5 cm2 cell test code]:[5 cm2 cell test code]],[1]!Table1[[Test code]:[Test code]],[1]!Table1[DIW conductivity (µS/cm)],"",0)</f>
        <v>#REF!</v>
      </c>
    </row>
    <row r="1480" spans="1:36">
      <c r="A1480" s="81"/>
      <c r="U1480" s="101"/>
      <c r="V1480" s="101"/>
      <c r="W1480" s="69" t="e" cm="1">
        <f t="array" ref="W1480">_xlfn.XLOOKUP(Table1[[#This Row],[5 cm2 cell test code]:[5 cm2 cell test code]],[1]!Table1[[Test code]:[Test code]],[1]!Table1[i @ 1.8 V DIW (A/cm2)],"",0)</f>
        <v>#REF!</v>
      </c>
      <c r="X1480" s="69" t="e" cm="1">
        <f t="array" ref="X1480">_xlfn.XLOOKUP(Table1[[#This Row],[5 cm2 cell test code]:[5 cm2 cell test code]],[1]!Table1[[Test code]:[Test code]],[1]!Table1[i @ 1.8 V 10 mM KOH (A/cm2)],"",0)</f>
        <v>#REF!</v>
      </c>
      <c r="Y1480" s="69" t="e" cm="1">
        <f t="array" ref="Y1480">_xlfn.XLOOKUP(Table1[[#This Row],[5 cm2 cell test code]:[5 cm2 cell test code]],[1]!Table1[[Test code]:[Test code]],[1]!Table1[3-E ƞ at 20mAcm-2 (mV)],"",0)</f>
        <v>#REF!</v>
      </c>
      <c r="Z1480" s="69" t="e" cm="1">
        <f t="array" ref="Z1480">_xlfn.XLOOKUP(Table1[[#This Row],[5 cm2 cell test code]:[5 cm2 cell test code]],[1]!Table1[[Test code]:[Test code]],[1]!Table1[3-E Tafel slope (mV/dec)],"",0)</f>
        <v>#REF!</v>
      </c>
      <c r="AA1480" s="69" t="e" cm="1">
        <f t="array" ref="AA1480">_xlfn.XLOOKUP(Table1[[#This Row],[5 cm2 cell test code]:[5 cm2 cell test code]],[1]!Table1[[Test code]:[Test code]],[1]!Table1[E @ 100 mA/cm2 DIW/V],"",0)</f>
        <v>#REF!</v>
      </c>
      <c r="AB1480" s="69" t="e" cm="1">
        <f t="array" ref="AB1480">_xlfn.XLOOKUP(Table1[[#This Row],[5 cm2 cell test code]:[5 cm2 cell test code]],[1]!Table1[[Test code]:[Test code]],[1]!Table1[E @ 100 mA/cm2 10 mM KOH/V],"",0)</f>
        <v>#REF!</v>
      </c>
      <c r="AC1480" s="69" t="e" cm="1">
        <f t="array" ref="AC1480">_xlfn.XLOOKUP(Table1[[#This Row],[5 cm2 cell test code]:[5 cm2 cell test code]],[1]!Table1[[Test code]:[Test code]],[1]!Table1[Anode ICR/mOhm],"",0)</f>
        <v>#REF!</v>
      </c>
      <c r="AD1480" s="69" t="e" cm="1">
        <f t="array" ref="AD1480">_xlfn.XLOOKUP(Table1[[#This Row],[5 cm2 cell test code]:[5 cm2 cell test code]],[1]!Table1[[Test code]:[Test code]],[1]!Table1[HFR DIW/ mOhm cm2],"",0)</f>
        <v>#REF!</v>
      </c>
      <c r="AE1480" s="69" t="e" cm="1">
        <f t="array" ref="AE1480">_xlfn.XLOOKUP(Table1[[#This Row],[5 cm2 cell test code]:[5 cm2 cell test code]],[1]!Table1[[Test code]:[Test code]],[1]!Table1[HFR 10 mM KOH/ mOhm cm2],"",0)</f>
        <v>#REF!</v>
      </c>
      <c r="AF1480" s="69" t="e" cm="1">
        <f t="array" ref="AF1480">_xlfn.XLOOKUP(Table1[[#This Row],[5 cm2 cell test code]:[5 cm2 cell test code]],[1]!Table1[[Test code]:[Test code]],[1]!Table1[Ionic resistance DIW/Ohm cm2],"",0)</f>
        <v>#REF!</v>
      </c>
      <c r="AG1480" s="69" t="e" cm="1">
        <f t="array" ref="AG1480">_xlfn.XLOOKUP(Table1[[#This Row],[5 cm2 cell test code]:[5 cm2 cell test code]],[1]!Table1[[Test code]:[Test code]],[1]!Table1[Q_int_frac DIW],"",0)</f>
        <v>#REF!</v>
      </c>
      <c r="AH1480" s="69" t="e" cm="1">
        <f t="array" ref="AH1480">_xlfn.XLOOKUP(Table1[[#This Row],[5 cm2 cell test code]:[5 cm2 cell test code]],[1]!Table1[[Test code]:[Test code]],[1]!Table1[Ionic resistance 10 mM KOH/Ohm cm2],"",0)</f>
        <v>#REF!</v>
      </c>
      <c r="AI1480" s="69" t="e" cm="1">
        <f t="array" ref="AI1480">_xlfn.XLOOKUP(Table1[[#This Row],[5 cm2 cell test code]:[5 cm2 cell test code]],[1]!Table1[[Test code]:[Test code]],[1]!Table1[Q_int_frac DIW 10 mM KOH],"",0)</f>
        <v>#REF!</v>
      </c>
      <c r="AJ1480" s="69" t="e" cm="1">
        <f t="array" ref="AJ1480">_xlfn.XLOOKUP(Table1[[#This Row],[5 cm2 cell test code]:[5 cm2 cell test code]],[1]!Table1[[Test code]:[Test code]],[1]!Table1[DIW conductivity (µS/cm)],"",0)</f>
        <v>#REF!</v>
      </c>
    </row>
    <row r="1481" spans="1:36">
      <c r="A1481" s="81"/>
      <c r="U1481" s="101"/>
      <c r="V1481" s="101"/>
      <c r="W1481" s="69" t="e" cm="1">
        <f t="array" ref="W1481">_xlfn.XLOOKUP(Table1[[#This Row],[5 cm2 cell test code]:[5 cm2 cell test code]],[1]!Table1[[Test code]:[Test code]],[1]!Table1[i @ 1.8 V DIW (A/cm2)],"",0)</f>
        <v>#REF!</v>
      </c>
      <c r="X1481" s="69" t="e" cm="1">
        <f t="array" ref="X1481">_xlfn.XLOOKUP(Table1[[#This Row],[5 cm2 cell test code]:[5 cm2 cell test code]],[1]!Table1[[Test code]:[Test code]],[1]!Table1[i @ 1.8 V 10 mM KOH (A/cm2)],"",0)</f>
        <v>#REF!</v>
      </c>
      <c r="Y1481" s="69" t="e" cm="1">
        <f t="array" ref="Y1481">_xlfn.XLOOKUP(Table1[[#This Row],[5 cm2 cell test code]:[5 cm2 cell test code]],[1]!Table1[[Test code]:[Test code]],[1]!Table1[3-E ƞ at 20mAcm-2 (mV)],"",0)</f>
        <v>#REF!</v>
      </c>
      <c r="Z1481" s="69" t="e" cm="1">
        <f t="array" ref="Z1481">_xlfn.XLOOKUP(Table1[[#This Row],[5 cm2 cell test code]:[5 cm2 cell test code]],[1]!Table1[[Test code]:[Test code]],[1]!Table1[3-E Tafel slope (mV/dec)],"",0)</f>
        <v>#REF!</v>
      </c>
      <c r="AA1481" s="69" t="e" cm="1">
        <f t="array" ref="AA1481">_xlfn.XLOOKUP(Table1[[#This Row],[5 cm2 cell test code]:[5 cm2 cell test code]],[1]!Table1[[Test code]:[Test code]],[1]!Table1[E @ 100 mA/cm2 DIW/V],"",0)</f>
        <v>#REF!</v>
      </c>
      <c r="AB1481" s="69" t="e" cm="1">
        <f t="array" ref="AB1481">_xlfn.XLOOKUP(Table1[[#This Row],[5 cm2 cell test code]:[5 cm2 cell test code]],[1]!Table1[[Test code]:[Test code]],[1]!Table1[E @ 100 mA/cm2 10 mM KOH/V],"",0)</f>
        <v>#REF!</v>
      </c>
      <c r="AC1481" s="69" t="e" cm="1">
        <f t="array" ref="AC1481">_xlfn.XLOOKUP(Table1[[#This Row],[5 cm2 cell test code]:[5 cm2 cell test code]],[1]!Table1[[Test code]:[Test code]],[1]!Table1[Anode ICR/mOhm],"",0)</f>
        <v>#REF!</v>
      </c>
      <c r="AD1481" s="69" t="e" cm="1">
        <f t="array" ref="AD1481">_xlfn.XLOOKUP(Table1[[#This Row],[5 cm2 cell test code]:[5 cm2 cell test code]],[1]!Table1[[Test code]:[Test code]],[1]!Table1[HFR DIW/ mOhm cm2],"",0)</f>
        <v>#REF!</v>
      </c>
      <c r="AE1481" s="69" t="e" cm="1">
        <f t="array" ref="AE1481">_xlfn.XLOOKUP(Table1[[#This Row],[5 cm2 cell test code]:[5 cm2 cell test code]],[1]!Table1[[Test code]:[Test code]],[1]!Table1[HFR 10 mM KOH/ mOhm cm2],"",0)</f>
        <v>#REF!</v>
      </c>
      <c r="AF1481" s="69" t="e" cm="1">
        <f t="array" ref="AF1481">_xlfn.XLOOKUP(Table1[[#This Row],[5 cm2 cell test code]:[5 cm2 cell test code]],[1]!Table1[[Test code]:[Test code]],[1]!Table1[Ionic resistance DIW/Ohm cm2],"",0)</f>
        <v>#REF!</v>
      </c>
      <c r="AG1481" s="69" t="e" cm="1">
        <f t="array" ref="AG1481">_xlfn.XLOOKUP(Table1[[#This Row],[5 cm2 cell test code]:[5 cm2 cell test code]],[1]!Table1[[Test code]:[Test code]],[1]!Table1[Q_int_frac DIW],"",0)</f>
        <v>#REF!</v>
      </c>
      <c r="AH1481" s="69" t="e" cm="1">
        <f t="array" ref="AH1481">_xlfn.XLOOKUP(Table1[[#This Row],[5 cm2 cell test code]:[5 cm2 cell test code]],[1]!Table1[[Test code]:[Test code]],[1]!Table1[Ionic resistance 10 mM KOH/Ohm cm2],"",0)</f>
        <v>#REF!</v>
      </c>
      <c r="AI1481" s="69" t="e" cm="1">
        <f t="array" ref="AI1481">_xlfn.XLOOKUP(Table1[[#This Row],[5 cm2 cell test code]:[5 cm2 cell test code]],[1]!Table1[[Test code]:[Test code]],[1]!Table1[Q_int_frac DIW 10 mM KOH],"",0)</f>
        <v>#REF!</v>
      </c>
      <c r="AJ1481" s="69" t="e" cm="1">
        <f t="array" ref="AJ1481">_xlfn.XLOOKUP(Table1[[#This Row],[5 cm2 cell test code]:[5 cm2 cell test code]],[1]!Table1[[Test code]:[Test code]],[1]!Table1[DIW conductivity (µS/cm)],"",0)</f>
        <v>#REF!</v>
      </c>
    </row>
    <row r="1482" spans="1:36">
      <c r="A1482" s="81"/>
      <c r="U1482" s="101"/>
      <c r="V1482" s="101"/>
      <c r="W1482" s="69" t="e" cm="1">
        <f t="array" ref="W1482">_xlfn.XLOOKUP(Table1[[#This Row],[5 cm2 cell test code]:[5 cm2 cell test code]],[1]!Table1[[Test code]:[Test code]],[1]!Table1[i @ 1.8 V DIW (A/cm2)],"",0)</f>
        <v>#REF!</v>
      </c>
      <c r="X1482" s="69" t="e" cm="1">
        <f t="array" ref="X1482">_xlfn.XLOOKUP(Table1[[#This Row],[5 cm2 cell test code]:[5 cm2 cell test code]],[1]!Table1[[Test code]:[Test code]],[1]!Table1[i @ 1.8 V 10 mM KOH (A/cm2)],"",0)</f>
        <v>#REF!</v>
      </c>
      <c r="Y1482" s="69" t="e" cm="1">
        <f t="array" ref="Y1482">_xlfn.XLOOKUP(Table1[[#This Row],[5 cm2 cell test code]:[5 cm2 cell test code]],[1]!Table1[[Test code]:[Test code]],[1]!Table1[3-E ƞ at 20mAcm-2 (mV)],"",0)</f>
        <v>#REF!</v>
      </c>
      <c r="Z1482" s="69" t="e" cm="1">
        <f t="array" ref="Z1482">_xlfn.XLOOKUP(Table1[[#This Row],[5 cm2 cell test code]:[5 cm2 cell test code]],[1]!Table1[[Test code]:[Test code]],[1]!Table1[3-E Tafel slope (mV/dec)],"",0)</f>
        <v>#REF!</v>
      </c>
      <c r="AA1482" s="69" t="e" cm="1">
        <f t="array" ref="AA1482">_xlfn.XLOOKUP(Table1[[#This Row],[5 cm2 cell test code]:[5 cm2 cell test code]],[1]!Table1[[Test code]:[Test code]],[1]!Table1[E @ 100 mA/cm2 DIW/V],"",0)</f>
        <v>#REF!</v>
      </c>
      <c r="AB1482" s="69" t="e" cm="1">
        <f t="array" ref="AB1482">_xlfn.XLOOKUP(Table1[[#This Row],[5 cm2 cell test code]:[5 cm2 cell test code]],[1]!Table1[[Test code]:[Test code]],[1]!Table1[E @ 100 mA/cm2 10 mM KOH/V],"",0)</f>
        <v>#REF!</v>
      </c>
      <c r="AC1482" s="69" t="e" cm="1">
        <f t="array" ref="AC1482">_xlfn.XLOOKUP(Table1[[#This Row],[5 cm2 cell test code]:[5 cm2 cell test code]],[1]!Table1[[Test code]:[Test code]],[1]!Table1[Anode ICR/mOhm],"",0)</f>
        <v>#REF!</v>
      </c>
      <c r="AD1482" s="69" t="e" cm="1">
        <f t="array" ref="AD1482">_xlfn.XLOOKUP(Table1[[#This Row],[5 cm2 cell test code]:[5 cm2 cell test code]],[1]!Table1[[Test code]:[Test code]],[1]!Table1[HFR DIW/ mOhm cm2],"",0)</f>
        <v>#REF!</v>
      </c>
      <c r="AE1482" s="69" t="e" cm="1">
        <f t="array" ref="AE1482">_xlfn.XLOOKUP(Table1[[#This Row],[5 cm2 cell test code]:[5 cm2 cell test code]],[1]!Table1[[Test code]:[Test code]],[1]!Table1[HFR 10 mM KOH/ mOhm cm2],"",0)</f>
        <v>#REF!</v>
      </c>
      <c r="AF1482" s="69" t="e" cm="1">
        <f t="array" ref="AF1482">_xlfn.XLOOKUP(Table1[[#This Row],[5 cm2 cell test code]:[5 cm2 cell test code]],[1]!Table1[[Test code]:[Test code]],[1]!Table1[Ionic resistance DIW/Ohm cm2],"",0)</f>
        <v>#REF!</v>
      </c>
      <c r="AG1482" s="69" t="e" cm="1">
        <f t="array" ref="AG1482">_xlfn.XLOOKUP(Table1[[#This Row],[5 cm2 cell test code]:[5 cm2 cell test code]],[1]!Table1[[Test code]:[Test code]],[1]!Table1[Q_int_frac DIW],"",0)</f>
        <v>#REF!</v>
      </c>
      <c r="AH1482" s="69" t="e" cm="1">
        <f t="array" ref="AH1482">_xlfn.XLOOKUP(Table1[[#This Row],[5 cm2 cell test code]:[5 cm2 cell test code]],[1]!Table1[[Test code]:[Test code]],[1]!Table1[Ionic resistance 10 mM KOH/Ohm cm2],"",0)</f>
        <v>#REF!</v>
      </c>
      <c r="AI1482" s="69" t="e" cm="1">
        <f t="array" ref="AI1482">_xlfn.XLOOKUP(Table1[[#This Row],[5 cm2 cell test code]:[5 cm2 cell test code]],[1]!Table1[[Test code]:[Test code]],[1]!Table1[Q_int_frac DIW 10 mM KOH],"",0)</f>
        <v>#REF!</v>
      </c>
      <c r="AJ1482" s="69" t="e" cm="1">
        <f t="array" ref="AJ1482">_xlfn.XLOOKUP(Table1[[#This Row],[5 cm2 cell test code]:[5 cm2 cell test code]],[1]!Table1[[Test code]:[Test code]],[1]!Table1[DIW conductivity (µS/cm)],"",0)</f>
        <v>#REF!</v>
      </c>
    </row>
    <row r="1483" spans="1:36">
      <c r="A1483" s="81"/>
      <c r="U1483" s="101"/>
      <c r="V1483" s="101"/>
      <c r="W1483" s="69" t="e" cm="1">
        <f t="array" ref="W1483">_xlfn.XLOOKUP(Table1[[#This Row],[5 cm2 cell test code]:[5 cm2 cell test code]],[1]!Table1[[Test code]:[Test code]],[1]!Table1[i @ 1.8 V DIW (A/cm2)],"",0)</f>
        <v>#REF!</v>
      </c>
      <c r="X1483" s="69" t="e" cm="1">
        <f t="array" ref="X1483">_xlfn.XLOOKUP(Table1[[#This Row],[5 cm2 cell test code]:[5 cm2 cell test code]],[1]!Table1[[Test code]:[Test code]],[1]!Table1[i @ 1.8 V 10 mM KOH (A/cm2)],"",0)</f>
        <v>#REF!</v>
      </c>
      <c r="Y1483" s="69" t="e" cm="1">
        <f t="array" ref="Y1483">_xlfn.XLOOKUP(Table1[[#This Row],[5 cm2 cell test code]:[5 cm2 cell test code]],[1]!Table1[[Test code]:[Test code]],[1]!Table1[3-E ƞ at 20mAcm-2 (mV)],"",0)</f>
        <v>#REF!</v>
      </c>
      <c r="Z1483" s="69" t="e" cm="1">
        <f t="array" ref="Z1483">_xlfn.XLOOKUP(Table1[[#This Row],[5 cm2 cell test code]:[5 cm2 cell test code]],[1]!Table1[[Test code]:[Test code]],[1]!Table1[3-E Tafel slope (mV/dec)],"",0)</f>
        <v>#REF!</v>
      </c>
      <c r="AA1483" s="69" t="e" cm="1">
        <f t="array" ref="AA1483">_xlfn.XLOOKUP(Table1[[#This Row],[5 cm2 cell test code]:[5 cm2 cell test code]],[1]!Table1[[Test code]:[Test code]],[1]!Table1[E @ 100 mA/cm2 DIW/V],"",0)</f>
        <v>#REF!</v>
      </c>
      <c r="AB1483" s="69" t="e" cm="1">
        <f t="array" ref="AB1483">_xlfn.XLOOKUP(Table1[[#This Row],[5 cm2 cell test code]:[5 cm2 cell test code]],[1]!Table1[[Test code]:[Test code]],[1]!Table1[E @ 100 mA/cm2 10 mM KOH/V],"",0)</f>
        <v>#REF!</v>
      </c>
      <c r="AC1483" s="69" t="e" cm="1">
        <f t="array" ref="AC1483">_xlfn.XLOOKUP(Table1[[#This Row],[5 cm2 cell test code]:[5 cm2 cell test code]],[1]!Table1[[Test code]:[Test code]],[1]!Table1[Anode ICR/mOhm],"",0)</f>
        <v>#REF!</v>
      </c>
      <c r="AD1483" s="69" t="e" cm="1">
        <f t="array" ref="AD1483">_xlfn.XLOOKUP(Table1[[#This Row],[5 cm2 cell test code]:[5 cm2 cell test code]],[1]!Table1[[Test code]:[Test code]],[1]!Table1[HFR DIW/ mOhm cm2],"",0)</f>
        <v>#REF!</v>
      </c>
      <c r="AE1483" s="69" t="e" cm="1">
        <f t="array" ref="AE1483">_xlfn.XLOOKUP(Table1[[#This Row],[5 cm2 cell test code]:[5 cm2 cell test code]],[1]!Table1[[Test code]:[Test code]],[1]!Table1[HFR 10 mM KOH/ mOhm cm2],"",0)</f>
        <v>#REF!</v>
      </c>
      <c r="AF1483" s="69" t="e" cm="1">
        <f t="array" ref="AF1483">_xlfn.XLOOKUP(Table1[[#This Row],[5 cm2 cell test code]:[5 cm2 cell test code]],[1]!Table1[[Test code]:[Test code]],[1]!Table1[Ionic resistance DIW/Ohm cm2],"",0)</f>
        <v>#REF!</v>
      </c>
      <c r="AG1483" s="69" t="e" cm="1">
        <f t="array" ref="AG1483">_xlfn.XLOOKUP(Table1[[#This Row],[5 cm2 cell test code]:[5 cm2 cell test code]],[1]!Table1[[Test code]:[Test code]],[1]!Table1[Q_int_frac DIW],"",0)</f>
        <v>#REF!</v>
      </c>
      <c r="AH1483" s="69" t="e" cm="1">
        <f t="array" ref="AH1483">_xlfn.XLOOKUP(Table1[[#This Row],[5 cm2 cell test code]:[5 cm2 cell test code]],[1]!Table1[[Test code]:[Test code]],[1]!Table1[Ionic resistance 10 mM KOH/Ohm cm2],"",0)</f>
        <v>#REF!</v>
      </c>
      <c r="AI1483" s="69" t="e" cm="1">
        <f t="array" ref="AI1483">_xlfn.XLOOKUP(Table1[[#This Row],[5 cm2 cell test code]:[5 cm2 cell test code]],[1]!Table1[[Test code]:[Test code]],[1]!Table1[Q_int_frac DIW 10 mM KOH],"",0)</f>
        <v>#REF!</v>
      </c>
      <c r="AJ1483" s="69" t="e" cm="1">
        <f t="array" ref="AJ1483">_xlfn.XLOOKUP(Table1[[#This Row],[5 cm2 cell test code]:[5 cm2 cell test code]],[1]!Table1[[Test code]:[Test code]],[1]!Table1[DIW conductivity (µS/cm)],"",0)</f>
        <v>#REF!</v>
      </c>
    </row>
    <row r="1484" spans="1:36">
      <c r="A1484" s="81"/>
      <c r="U1484" s="101"/>
      <c r="V1484" s="101"/>
      <c r="W1484" s="69" t="e" cm="1">
        <f t="array" ref="W1484">_xlfn.XLOOKUP(Table1[[#This Row],[5 cm2 cell test code]:[5 cm2 cell test code]],[1]!Table1[[Test code]:[Test code]],[1]!Table1[i @ 1.8 V DIW (A/cm2)],"",0)</f>
        <v>#REF!</v>
      </c>
      <c r="X1484" s="69" t="e" cm="1">
        <f t="array" ref="X1484">_xlfn.XLOOKUP(Table1[[#This Row],[5 cm2 cell test code]:[5 cm2 cell test code]],[1]!Table1[[Test code]:[Test code]],[1]!Table1[i @ 1.8 V 10 mM KOH (A/cm2)],"",0)</f>
        <v>#REF!</v>
      </c>
      <c r="Y1484" s="69" t="e" cm="1">
        <f t="array" ref="Y1484">_xlfn.XLOOKUP(Table1[[#This Row],[5 cm2 cell test code]:[5 cm2 cell test code]],[1]!Table1[[Test code]:[Test code]],[1]!Table1[3-E ƞ at 20mAcm-2 (mV)],"",0)</f>
        <v>#REF!</v>
      </c>
      <c r="Z1484" s="69" t="e" cm="1">
        <f t="array" ref="Z1484">_xlfn.XLOOKUP(Table1[[#This Row],[5 cm2 cell test code]:[5 cm2 cell test code]],[1]!Table1[[Test code]:[Test code]],[1]!Table1[3-E Tafel slope (mV/dec)],"",0)</f>
        <v>#REF!</v>
      </c>
      <c r="AA1484" s="69" t="e" cm="1">
        <f t="array" ref="AA1484">_xlfn.XLOOKUP(Table1[[#This Row],[5 cm2 cell test code]:[5 cm2 cell test code]],[1]!Table1[[Test code]:[Test code]],[1]!Table1[E @ 100 mA/cm2 DIW/V],"",0)</f>
        <v>#REF!</v>
      </c>
      <c r="AB1484" s="69" t="e" cm="1">
        <f t="array" ref="AB1484">_xlfn.XLOOKUP(Table1[[#This Row],[5 cm2 cell test code]:[5 cm2 cell test code]],[1]!Table1[[Test code]:[Test code]],[1]!Table1[E @ 100 mA/cm2 10 mM KOH/V],"",0)</f>
        <v>#REF!</v>
      </c>
      <c r="AC1484" s="69" t="e" cm="1">
        <f t="array" ref="AC1484">_xlfn.XLOOKUP(Table1[[#This Row],[5 cm2 cell test code]:[5 cm2 cell test code]],[1]!Table1[[Test code]:[Test code]],[1]!Table1[Anode ICR/mOhm],"",0)</f>
        <v>#REF!</v>
      </c>
      <c r="AD1484" s="69" t="e" cm="1">
        <f t="array" ref="AD1484">_xlfn.XLOOKUP(Table1[[#This Row],[5 cm2 cell test code]:[5 cm2 cell test code]],[1]!Table1[[Test code]:[Test code]],[1]!Table1[HFR DIW/ mOhm cm2],"",0)</f>
        <v>#REF!</v>
      </c>
      <c r="AE1484" s="69" t="e" cm="1">
        <f t="array" ref="AE1484">_xlfn.XLOOKUP(Table1[[#This Row],[5 cm2 cell test code]:[5 cm2 cell test code]],[1]!Table1[[Test code]:[Test code]],[1]!Table1[HFR 10 mM KOH/ mOhm cm2],"",0)</f>
        <v>#REF!</v>
      </c>
      <c r="AF1484" s="69" t="e" cm="1">
        <f t="array" ref="AF1484">_xlfn.XLOOKUP(Table1[[#This Row],[5 cm2 cell test code]:[5 cm2 cell test code]],[1]!Table1[[Test code]:[Test code]],[1]!Table1[Ionic resistance DIW/Ohm cm2],"",0)</f>
        <v>#REF!</v>
      </c>
      <c r="AG1484" s="69" t="e" cm="1">
        <f t="array" ref="AG1484">_xlfn.XLOOKUP(Table1[[#This Row],[5 cm2 cell test code]:[5 cm2 cell test code]],[1]!Table1[[Test code]:[Test code]],[1]!Table1[Q_int_frac DIW],"",0)</f>
        <v>#REF!</v>
      </c>
      <c r="AH1484" s="69" t="e" cm="1">
        <f t="array" ref="AH1484">_xlfn.XLOOKUP(Table1[[#This Row],[5 cm2 cell test code]:[5 cm2 cell test code]],[1]!Table1[[Test code]:[Test code]],[1]!Table1[Ionic resistance 10 mM KOH/Ohm cm2],"",0)</f>
        <v>#REF!</v>
      </c>
      <c r="AI1484" s="69" t="e" cm="1">
        <f t="array" ref="AI1484">_xlfn.XLOOKUP(Table1[[#This Row],[5 cm2 cell test code]:[5 cm2 cell test code]],[1]!Table1[[Test code]:[Test code]],[1]!Table1[Q_int_frac DIW 10 mM KOH],"",0)</f>
        <v>#REF!</v>
      </c>
      <c r="AJ1484" s="69" t="e" cm="1">
        <f t="array" ref="AJ1484">_xlfn.XLOOKUP(Table1[[#This Row],[5 cm2 cell test code]:[5 cm2 cell test code]],[1]!Table1[[Test code]:[Test code]],[1]!Table1[DIW conductivity (µS/cm)],"",0)</f>
        <v>#REF!</v>
      </c>
    </row>
    <row r="1485" spans="1:36">
      <c r="A1485" s="81"/>
      <c r="U1485" s="101"/>
      <c r="V1485" s="101"/>
      <c r="W1485" s="69" t="e" cm="1">
        <f t="array" ref="W1485">_xlfn.XLOOKUP(Table1[[#This Row],[5 cm2 cell test code]:[5 cm2 cell test code]],[1]!Table1[[Test code]:[Test code]],[1]!Table1[i @ 1.8 V DIW (A/cm2)],"",0)</f>
        <v>#REF!</v>
      </c>
      <c r="X1485" s="69" t="e" cm="1">
        <f t="array" ref="X1485">_xlfn.XLOOKUP(Table1[[#This Row],[5 cm2 cell test code]:[5 cm2 cell test code]],[1]!Table1[[Test code]:[Test code]],[1]!Table1[i @ 1.8 V 10 mM KOH (A/cm2)],"",0)</f>
        <v>#REF!</v>
      </c>
      <c r="Y1485" s="69" t="e" cm="1">
        <f t="array" ref="Y1485">_xlfn.XLOOKUP(Table1[[#This Row],[5 cm2 cell test code]:[5 cm2 cell test code]],[1]!Table1[[Test code]:[Test code]],[1]!Table1[3-E ƞ at 20mAcm-2 (mV)],"",0)</f>
        <v>#REF!</v>
      </c>
      <c r="Z1485" s="69" t="e" cm="1">
        <f t="array" ref="Z1485">_xlfn.XLOOKUP(Table1[[#This Row],[5 cm2 cell test code]:[5 cm2 cell test code]],[1]!Table1[[Test code]:[Test code]],[1]!Table1[3-E Tafel slope (mV/dec)],"",0)</f>
        <v>#REF!</v>
      </c>
      <c r="AA1485" s="69" t="e" cm="1">
        <f t="array" ref="AA1485">_xlfn.XLOOKUP(Table1[[#This Row],[5 cm2 cell test code]:[5 cm2 cell test code]],[1]!Table1[[Test code]:[Test code]],[1]!Table1[E @ 100 mA/cm2 DIW/V],"",0)</f>
        <v>#REF!</v>
      </c>
      <c r="AB1485" s="69" t="e" cm="1">
        <f t="array" ref="AB1485">_xlfn.XLOOKUP(Table1[[#This Row],[5 cm2 cell test code]:[5 cm2 cell test code]],[1]!Table1[[Test code]:[Test code]],[1]!Table1[E @ 100 mA/cm2 10 mM KOH/V],"",0)</f>
        <v>#REF!</v>
      </c>
      <c r="AC1485" s="69" t="e" cm="1">
        <f t="array" ref="AC1485">_xlfn.XLOOKUP(Table1[[#This Row],[5 cm2 cell test code]:[5 cm2 cell test code]],[1]!Table1[[Test code]:[Test code]],[1]!Table1[Anode ICR/mOhm],"",0)</f>
        <v>#REF!</v>
      </c>
      <c r="AD1485" s="69" t="e" cm="1">
        <f t="array" ref="AD1485">_xlfn.XLOOKUP(Table1[[#This Row],[5 cm2 cell test code]:[5 cm2 cell test code]],[1]!Table1[[Test code]:[Test code]],[1]!Table1[HFR DIW/ mOhm cm2],"",0)</f>
        <v>#REF!</v>
      </c>
      <c r="AE1485" s="69" t="e" cm="1">
        <f t="array" ref="AE1485">_xlfn.XLOOKUP(Table1[[#This Row],[5 cm2 cell test code]:[5 cm2 cell test code]],[1]!Table1[[Test code]:[Test code]],[1]!Table1[HFR 10 mM KOH/ mOhm cm2],"",0)</f>
        <v>#REF!</v>
      </c>
      <c r="AF1485" s="69" t="e" cm="1">
        <f t="array" ref="AF1485">_xlfn.XLOOKUP(Table1[[#This Row],[5 cm2 cell test code]:[5 cm2 cell test code]],[1]!Table1[[Test code]:[Test code]],[1]!Table1[Ionic resistance DIW/Ohm cm2],"",0)</f>
        <v>#REF!</v>
      </c>
      <c r="AG1485" s="69" t="e" cm="1">
        <f t="array" ref="AG1485">_xlfn.XLOOKUP(Table1[[#This Row],[5 cm2 cell test code]:[5 cm2 cell test code]],[1]!Table1[[Test code]:[Test code]],[1]!Table1[Q_int_frac DIW],"",0)</f>
        <v>#REF!</v>
      </c>
      <c r="AH1485" s="69" t="e" cm="1">
        <f t="array" ref="AH1485">_xlfn.XLOOKUP(Table1[[#This Row],[5 cm2 cell test code]:[5 cm2 cell test code]],[1]!Table1[[Test code]:[Test code]],[1]!Table1[Ionic resistance 10 mM KOH/Ohm cm2],"",0)</f>
        <v>#REF!</v>
      </c>
      <c r="AI1485" s="69" t="e" cm="1">
        <f t="array" ref="AI1485">_xlfn.XLOOKUP(Table1[[#This Row],[5 cm2 cell test code]:[5 cm2 cell test code]],[1]!Table1[[Test code]:[Test code]],[1]!Table1[Q_int_frac DIW 10 mM KOH],"",0)</f>
        <v>#REF!</v>
      </c>
      <c r="AJ1485" s="69" t="e" cm="1">
        <f t="array" ref="AJ1485">_xlfn.XLOOKUP(Table1[[#This Row],[5 cm2 cell test code]:[5 cm2 cell test code]],[1]!Table1[[Test code]:[Test code]],[1]!Table1[DIW conductivity (µS/cm)],"",0)</f>
        <v>#REF!</v>
      </c>
    </row>
    <row r="1486" spans="1:36">
      <c r="A1486" s="81"/>
      <c r="U1486" s="101"/>
      <c r="V1486" s="101"/>
      <c r="W1486" s="69" t="e" cm="1">
        <f t="array" ref="W1486">_xlfn.XLOOKUP(Table1[[#This Row],[5 cm2 cell test code]:[5 cm2 cell test code]],[1]!Table1[[Test code]:[Test code]],[1]!Table1[i @ 1.8 V DIW (A/cm2)],"",0)</f>
        <v>#REF!</v>
      </c>
      <c r="X1486" s="69" t="e" cm="1">
        <f t="array" ref="X1486">_xlfn.XLOOKUP(Table1[[#This Row],[5 cm2 cell test code]:[5 cm2 cell test code]],[1]!Table1[[Test code]:[Test code]],[1]!Table1[i @ 1.8 V 10 mM KOH (A/cm2)],"",0)</f>
        <v>#REF!</v>
      </c>
      <c r="Y1486" s="69" t="e" cm="1">
        <f t="array" ref="Y1486">_xlfn.XLOOKUP(Table1[[#This Row],[5 cm2 cell test code]:[5 cm2 cell test code]],[1]!Table1[[Test code]:[Test code]],[1]!Table1[3-E ƞ at 20mAcm-2 (mV)],"",0)</f>
        <v>#REF!</v>
      </c>
      <c r="Z1486" s="69" t="e" cm="1">
        <f t="array" ref="Z1486">_xlfn.XLOOKUP(Table1[[#This Row],[5 cm2 cell test code]:[5 cm2 cell test code]],[1]!Table1[[Test code]:[Test code]],[1]!Table1[3-E Tafel slope (mV/dec)],"",0)</f>
        <v>#REF!</v>
      </c>
      <c r="AA1486" s="69" t="e" cm="1">
        <f t="array" ref="AA1486">_xlfn.XLOOKUP(Table1[[#This Row],[5 cm2 cell test code]:[5 cm2 cell test code]],[1]!Table1[[Test code]:[Test code]],[1]!Table1[E @ 100 mA/cm2 DIW/V],"",0)</f>
        <v>#REF!</v>
      </c>
      <c r="AB1486" s="69" t="e" cm="1">
        <f t="array" ref="AB1486">_xlfn.XLOOKUP(Table1[[#This Row],[5 cm2 cell test code]:[5 cm2 cell test code]],[1]!Table1[[Test code]:[Test code]],[1]!Table1[E @ 100 mA/cm2 10 mM KOH/V],"",0)</f>
        <v>#REF!</v>
      </c>
      <c r="AC1486" s="69" t="e" cm="1">
        <f t="array" ref="AC1486">_xlfn.XLOOKUP(Table1[[#This Row],[5 cm2 cell test code]:[5 cm2 cell test code]],[1]!Table1[[Test code]:[Test code]],[1]!Table1[Anode ICR/mOhm],"",0)</f>
        <v>#REF!</v>
      </c>
      <c r="AD1486" s="69" t="e" cm="1">
        <f t="array" ref="AD1486">_xlfn.XLOOKUP(Table1[[#This Row],[5 cm2 cell test code]:[5 cm2 cell test code]],[1]!Table1[[Test code]:[Test code]],[1]!Table1[HFR DIW/ mOhm cm2],"",0)</f>
        <v>#REF!</v>
      </c>
      <c r="AE1486" s="69" t="e" cm="1">
        <f t="array" ref="AE1486">_xlfn.XLOOKUP(Table1[[#This Row],[5 cm2 cell test code]:[5 cm2 cell test code]],[1]!Table1[[Test code]:[Test code]],[1]!Table1[HFR 10 mM KOH/ mOhm cm2],"",0)</f>
        <v>#REF!</v>
      </c>
      <c r="AF1486" s="69" t="e" cm="1">
        <f t="array" ref="AF1486">_xlfn.XLOOKUP(Table1[[#This Row],[5 cm2 cell test code]:[5 cm2 cell test code]],[1]!Table1[[Test code]:[Test code]],[1]!Table1[Ionic resistance DIW/Ohm cm2],"",0)</f>
        <v>#REF!</v>
      </c>
      <c r="AG1486" s="69" t="e" cm="1">
        <f t="array" ref="AG1486">_xlfn.XLOOKUP(Table1[[#This Row],[5 cm2 cell test code]:[5 cm2 cell test code]],[1]!Table1[[Test code]:[Test code]],[1]!Table1[Q_int_frac DIW],"",0)</f>
        <v>#REF!</v>
      </c>
      <c r="AH1486" s="69" t="e" cm="1">
        <f t="array" ref="AH1486">_xlfn.XLOOKUP(Table1[[#This Row],[5 cm2 cell test code]:[5 cm2 cell test code]],[1]!Table1[[Test code]:[Test code]],[1]!Table1[Ionic resistance 10 mM KOH/Ohm cm2],"",0)</f>
        <v>#REF!</v>
      </c>
      <c r="AI1486" s="69" t="e" cm="1">
        <f t="array" ref="AI1486">_xlfn.XLOOKUP(Table1[[#This Row],[5 cm2 cell test code]:[5 cm2 cell test code]],[1]!Table1[[Test code]:[Test code]],[1]!Table1[Q_int_frac DIW 10 mM KOH],"",0)</f>
        <v>#REF!</v>
      </c>
      <c r="AJ1486" s="69" t="e" cm="1">
        <f t="array" ref="AJ1486">_xlfn.XLOOKUP(Table1[[#This Row],[5 cm2 cell test code]:[5 cm2 cell test code]],[1]!Table1[[Test code]:[Test code]],[1]!Table1[DIW conductivity (µS/cm)],"",0)</f>
        <v>#REF!</v>
      </c>
    </row>
    <row r="1487" spans="1:36">
      <c r="A1487" s="81"/>
      <c r="U1487" s="101"/>
      <c r="V1487" s="101"/>
      <c r="W1487" s="69" t="e" cm="1">
        <f t="array" ref="W1487">_xlfn.XLOOKUP(Table1[[#This Row],[5 cm2 cell test code]:[5 cm2 cell test code]],[1]!Table1[[Test code]:[Test code]],[1]!Table1[i @ 1.8 V DIW (A/cm2)],"",0)</f>
        <v>#REF!</v>
      </c>
      <c r="X1487" s="69" t="e" cm="1">
        <f t="array" ref="X1487">_xlfn.XLOOKUP(Table1[[#This Row],[5 cm2 cell test code]:[5 cm2 cell test code]],[1]!Table1[[Test code]:[Test code]],[1]!Table1[i @ 1.8 V 10 mM KOH (A/cm2)],"",0)</f>
        <v>#REF!</v>
      </c>
      <c r="Y1487" s="69" t="e" cm="1">
        <f t="array" ref="Y1487">_xlfn.XLOOKUP(Table1[[#This Row],[5 cm2 cell test code]:[5 cm2 cell test code]],[1]!Table1[[Test code]:[Test code]],[1]!Table1[3-E ƞ at 20mAcm-2 (mV)],"",0)</f>
        <v>#REF!</v>
      </c>
      <c r="Z1487" s="69" t="e" cm="1">
        <f t="array" ref="Z1487">_xlfn.XLOOKUP(Table1[[#This Row],[5 cm2 cell test code]:[5 cm2 cell test code]],[1]!Table1[[Test code]:[Test code]],[1]!Table1[3-E Tafel slope (mV/dec)],"",0)</f>
        <v>#REF!</v>
      </c>
      <c r="AA1487" s="69" t="e" cm="1">
        <f t="array" ref="AA1487">_xlfn.XLOOKUP(Table1[[#This Row],[5 cm2 cell test code]:[5 cm2 cell test code]],[1]!Table1[[Test code]:[Test code]],[1]!Table1[E @ 100 mA/cm2 DIW/V],"",0)</f>
        <v>#REF!</v>
      </c>
      <c r="AB1487" s="69" t="e" cm="1">
        <f t="array" ref="AB1487">_xlfn.XLOOKUP(Table1[[#This Row],[5 cm2 cell test code]:[5 cm2 cell test code]],[1]!Table1[[Test code]:[Test code]],[1]!Table1[E @ 100 mA/cm2 10 mM KOH/V],"",0)</f>
        <v>#REF!</v>
      </c>
      <c r="AC1487" s="69" t="e" cm="1">
        <f t="array" ref="AC1487">_xlfn.XLOOKUP(Table1[[#This Row],[5 cm2 cell test code]:[5 cm2 cell test code]],[1]!Table1[[Test code]:[Test code]],[1]!Table1[Anode ICR/mOhm],"",0)</f>
        <v>#REF!</v>
      </c>
      <c r="AD1487" s="69" t="e" cm="1">
        <f t="array" ref="AD1487">_xlfn.XLOOKUP(Table1[[#This Row],[5 cm2 cell test code]:[5 cm2 cell test code]],[1]!Table1[[Test code]:[Test code]],[1]!Table1[HFR DIW/ mOhm cm2],"",0)</f>
        <v>#REF!</v>
      </c>
      <c r="AE1487" s="69" t="e" cm="1">
        <f t="array" ref="AE1487">_xlfn.XLOOKUP(Table1[[#This Row],[5 cm2 cell test code]:[5 cm2 cell test code]],[1]!Table1[[Test code]:[Test code]],[1]!Table1[HFR 10 mM KOH/ mOhm cm2],"",0)</f>
        <v>#REF!</v>
      </c>
      <c r="AF1487" s="69" t="e" cm="1">
        <f t="array" ref="AF1487">_xlfn.XLOOKUP(Table1[[#This Row],[5 cm2 cell test code]:[5 cm2 cell test code]],[1]!Table1[[Test code]:[Test code]],[1]!Table1[Ionic resistance DIW/Ohm cm2],"",0)</f>
        <v>#REF!</v>
      </c>
      <c r="AG1487" s="69" t="e" cm="1">
        <f t="array" ref="AG1487">_xlfn.XLOOKUP(Table1[[#This Row],[5 cm2 cell test code]:[5 cm2 cell test code]],[1]!Table1[[Test code]:[Test code]],[1]!Table1[Q_int_frac DIW],"",0)</f>
        <v>#REF!</v>
      </c>
      <c r="AH1487" s="69" t="e" cm="1">
        <f t="array" ref="AH1487">_xlfn.XLOOKUP(Table1[[#This Row],[5 cm2 cell test code]:[5 cm2 cell test code]],[1]!Table1[[Test code]:[Test code]],[1]!Table1[Ionic resistance 10 mM KOH/Ohm cm2],"",0)</f>
        <v>#REF!</v>
      </c>
      <c r="AI1487" s="69" t="e" cm="1">
        <f t="array" ref="AI1487">_xlfn.XLOOKUP(Table1[[#This Row],[5 cm2 cell test code]:[5 cm2 cell test code]],[1]!Table1[[Test code]:[Test code]],[1]!Table1[Q_int_frac DIW 10 mM KOH],"",0)</f>
        <v>#REF!</v>
      </c>
      <c r="AJ1487" s="69" t="e" cm="1">
        <f t="array" ref="AJ1487">_xlfn.XLOOKUP(Table1[[#This Row],[5 cm2 cell test code]:[5 cm2 cell test code]],[1]!Table1[[Test code]:[Test code]],[1]!Table1[DIW conductivity (µS/cm)],"",0)</f>
        <v>#REF!</v>
      </c>
    </row>
    <row r="1488" spans="1:36">
      <c r="A1488" s="81"/>
      <c r="U1488" s="101"/>
      <c r="V1488" s="101"/>
      <c r="W1488" s="69" t="e" cm="1">
        <f t="array" ref="W1488">_xlfn.XLOOKUP(Table1[[#This Row],[5 cm2 cell test code]:[5 cm2 cell test code]],[1]!Table1[[Test code]:[Test code]],[1]!Table1[i @ 1.8 V DIW (A/cm2)],"",0)</f>
        <v>#REF!</v>
      </c>
      <c r="X1488" s="69" t="e" cm="1">
        <f t="array" ref="X1488">_xlfn.XLOOKUP(Table1[[#This Row],[5 cm2 cell test code]:[5 cm2 cell test code]],[1]!Table1[[Test code]:[Test code]],[1]!Table1[i @ 1.8 V 10 mM KOH (A/cm2)],"",0)</f>
        <v>#REF!</v>
      </c>
      <c r="Y1488" s="69" t="e" cm="1">
        <f t="array" ref="Y1488">_xlfn.XLOOKUP(Table1[[#This Row],[5 cm2 cell test code]:[5 cm2 cell test code]],[1]!Table1[[Test code]:[Test code]],[1]!Table1[3-E ƞ at 20mAcm-2 (mV)],"",0)</f>
        <v>#REF!</v>
      </c>
      <c r="Z1488" s="69" t="e" cm="1">
        <f t="array" ref="Z1488">_xlfn.XLOOKUP(Table1[[#This Row],[5 cm2 cell test code]:[5 cm2 cell test code]],[1]!Table1[[Test code]:[Test code]],[1]!Table1[3-E Tafel slope (mV/dec)],"",0)</f>
        <v>#REF!</v>
      </c>
      <c r="AA1488" s="69" t="e" cm="1">
        <f t="array" ref="AA1488">_xlfn.XLOOKUP(Table1[[#This Row],[5 cm2 cell test code]:[5 cm2 cell test code]],[1]!Table1[[Test code]:[Test code]],[1]!Table1[E @ 100 mA/cm2 DIW/V],"",0)</f>
        <v>#REF!</v>
      </c>
      <c r="AB1488" s="69" t="e" cm="1">
        <f t="array" ref="AB1488">_xlfn.XLOOKUP(Table1[[#This Row],[5 cm2 cell test code]:[5 cm2 cell test code]],[1]!Table1[[Test code]:[Test code]],[1]!Table1[E @ 100 mA/cm2 10 mM KOH/V],"",0)</f>
        <v>#REF!</v>
      </c>
      <c r="AC1488" s="69" t="e" cm="1">
        <f t="array" ref="AC1488">_xlfn.XLOOKUP(Table1[[#This Row],[5 cm2 cell test code]:[5 cm2 cell test code]],[1]!Table1[[Test code]:[Test code]],[1]!Table1[Anode ICR/mOhm],"",0)</f>
        <v>#REF!</v>
      </c>
      <c r="AD1488" s="69" t="e" cm="1">
        <f t="array" ref="AD1488">_xlfn.XLOOKUP(Table1[[#This Row],[5 cm2 cell test code]:[5 cm2 cell test code]],[1]!Table1[[Test code]:[Test code]],[1]!Table1[HFR DIW/ mOhm cm2],"",0)</f>
        <v>#REF!</v>
      </c>
      <c r="AE1488" s="69" t="e" cm="1">
        <f t="array" ref="AE1488">_xlfn.XLOOKUP(Table1[[#This Row],[5 cm2 cell test code]:[5 cm2 cell test code]],[1]!Table1[[Test code]:[Test code]],[1]!Table1[HFR 10 mM KOH/ mOhm cm2],"",0)</f>
        <v>#REF!</v>
      </c>
      <c r="AF1488" s="69" t="e" cm="1">
        <f t="array" ref="AF1488">_xlfn.XLOOKUP(Table1[[#This Row],[5 cm2 cell test code]:[5 cm2 cell test code]],[1]!Table1[[Test code]:[Test code]],[1]!Table1[Ionic resistance DIW/Ohm cm2],"",0)</f>
        <v>#REF!</v>
      </c>
      <c r="AG1488" s="69" t="e" cm="1">
        <f t="array" ref="AG1488">_xlfn.XLOOKUP(Table1[[#This Row],[5 cm2 cell test code]:[5 cm2 cell test code]],[1]!Table1[[Test code]:[Test code]],[1]!Table1[Q_int_frac DIW],"",0)</f>
        <v>#REF!</v>
      </c>
      <c r="AH1488" s="69" t="e" cm="1">
        <f t="array" ref="AH1488">_xlfn.XLOOKUP(Table1[[#This Row],[5 cm2 cell test code]:[5 cm2 cell test code]],[1]!Table1[[Test code]:[Test code]],[1]!Table1[Ionic resistance 10 mM KOH/Ohm cm2],"",0)</f>
        <v>#REF!</v>
      </c>
      <c r="AI1488" s="69" t="e" cm="1">
        <f t="array" ref="AI1488">_xlfn.XLOOKUP(Table1[[#This Row],[5 cm2 cell test code]:[5 cm2 cell test code]],[1]!Table1[[Test code]:[Test code]],[1]!Table1[Q_int_frac DIW 10 mM KOH],"",0)</f>
        <v>#REF!</v>
      </c>
      <c r="AJ1488" s="69" t="e" cm="1">
        <f t="array" ref="AJ1488">_xlfn.XLOOKUP(Table1[[#This Row],[5 cm2 cell test code]:[5 cm2 cell test code]],[1]!Table1[[Test code]:[Test code]],[1]!Table1[DIW conductivity (µS/cm)],"",0)</f>
        <v>#REF!</v>
      </c>
    </row>
    <row r="1489" spans="1:36">
      <c r="A1489" s="81"/>
      <c r="U1489" s="101"/>
      <c r="V1489" s="101"/>
      <c r="W1489" s="69" t="e" cm="1">
        <f t="array" ref="W1489">_xlfn.XLOOKUP(Table1[[#This Row],[5 cm2 cell test code]:[5 cm2 cell test code]],[1]!Table1[[Test code]:[Test code]],[1]!Table1[i @ 1.8 V DIW (A/cm2)],"",0)</f>
        <v>#REF!</v>
      </c>
      <c r="X1489" s="69" t="e" cm="1">
        <f t="array" ref="X1489">_xlfn.XLOOKUP(Table1[[#This Row],[5 cm2 cell test code]:[5 cm2 cell test code]],[1]!Table1[[Test code]:[Test code]],[1]!Table1[i @ 1.8 V 10 mM KOH (A/cm2)],"",0)</f>
        <v>#REF!</v>
      </c>
      <c r="Y1489" s="69" t="e" cm="1">
        <f t="array" ref="Y1489">_xlfn.XLOOKUP(Table1[[#This Row],[5 cm2 cell test code]:[5 cm2 cell test code]],[1]!Table1[[Test code]:[Test code]],[1]!Table1[3-E ƞ at 20mAcm-2 (mV)],"",0)</f>
        <v>#REF!</v>
      </c>
      <c r="Z1489" s="69" t="e" cm="1">
        <f t="array" ref="Z1489">_xlfn.XLOOKUP(Table1[[#This Row],[5 cm2 cell test code]:[5 cm2 cell test code]],[1]!Table1[[Test code]:[Test code]],[1]!Table1[3-E Tafel slope (mV/dec)],"",0)</f>
        <v>#REF!</v>
      </c>
      <c r="AA1489" s="69" t="e" cm="1">
        <f t="array" ref="AA1489">_xlfn.XLOOKUP(Table1[[#This Row],[5 cm2 cell test code]:[5 cm2 cell test code]],[1]!Table1[[Test code]:[Test code]],[1]!Table1[E @ 100 mA/cm2 DIW/V],"",0)</f>
        <v>#REF!</v>
      </c>
      <c r="AB1489" s="69" t="e" cm="1">
        <f t="array" ref="AB1489">_xlfn.XLOOKUP(Table1[[#This Row],[5 cm2 cell test code]:[5 cm2 cell test code]],[1]!Table1[[Test code]:[Test code]],[1]!Table1[E @ 100 mA/cm2 10 mM KOH/V],"",0)</f>
        <v>#REF!</v>
      </c>
      <c r="AC1489" s="69" t="e" cm="1">
        <f t="array" ref="AC1489">_xlfn.XLOOKUP(Table1[[#This Row],[5 cm2 cell test code]:[5 cm2 cell test code]],[1]!Table1[[Test code]:[Test code]],[1]!Table1[Anode ICR/mOhm],"",0)</f>
        <v>#REF!</v>
      </c>
      <c r="AD1489" s="69" t="e" cm="1">
        <f t="array" ref="AD1489">_xlfn.XLOOKUP(Table1[[#This Row],[5 cm2 cell test code]:[5 cm2 cell test code]],[1]!Table1[[Test code]:[Test code]],[1]!Table1[HFR DIW/ mOhm cm2],"",0)</f>
        <v>#REF!</v>
      </c>
      <c r="AE1489" s="69" t="e" cm="1">
        <f t="array" ref="AE1489">_xlfn.XLOOKUP(Table1[[#This Row],[5 cm2 cell test code]:[5 cm2 cell test code]],[1]!Table1[[Test code]:[Test code]],[1]!Table1[HFR 10 mM KOH/ mOhm cm2],"",0)</f>
        <v>#REF!</v>
      </c>
      <c r="AF1489" s="69" t="e" cm="1">
        <f t="array" ref="AF1489">_xlfn.XLOOKUP(Table1[[#This Row],[5 cm2 cell test code]:[5 cm2 cell test code]],[1]!Table1[[Test code]:[Test code]],[1]!Table1[Ionic resistance DIW/Ohm cm2],"",0)</f>
        <v>#REF!</v>
      </c>
      <c r="AG1489" s="69" t="e" cm="1">
        <f t="array" ref="AG1489">_xlfn.XLOOKUP(Table1[[#This Row],[5 cm2 cell test code]:[5 cm2 cell test code]],[1]!Table1[[Test code]:[Test code]],[1]!Table1[Q_int_frac DIW],"",0)</f>
        <v>#REF!</v>
      </c>
      <c r="AH1489" s="69" t="e" cm="1">
        <f t="array" ref="AH1489">_xlfn.XLOOKUP(Table1[[#This Row],[5 cm2 cell test code]:[5 cm2 cell test code]],[1]!Table1[[Test code]:[Test code]],[1]!Table1[Ionic resistance 10 mM KOH/Ohm cm2],"",0)</f>
        <v>#REF!</v>
      </c>
      <c r="AI1489" s="69" t="e" cm="1">
        <f t="array" ref="AI1489">_xlfn.XLOOKUP(Table1[[#This Row],[5 cm2 cell test code]:[5 cm2 cell test code]],[1]!Table1[[Test code]:[Test code]],[1]!Table1[Q_int_frac DIW 10 mM KOH],"",0)</f>
        <v>#REF!</v>
      </c>
      <c r="AJ1489" s="69" t="e" cm="1">
        <f t="array" ref="AJ1489">_xlfn.XLOOKUP(Table1[[#This Row],[5 cm2 cell test code]:[5 cm2 cell test code]],[1]!Table1[[Test code]:[Test code]],[1]!Table1[DIW conductivity (µS/cm)],"",0)</f>
        <v>#REF!</v>
      </c>
    </row>
    <row r="1490" spans="1:36">
      <c r="A1490" s="81"/>
      <c r="U1490" s="101"/>
      <c r="V1490" s="101"/>
      <c r="W1490" s="69" t="e" cm="1">
        <f t="array" ref="W1490">_xlfn.XLOOKUP(Table1[[#This Row],[5 cm2 cell test code]:[5 cm2 cell test code]],[1]!Table1[[Test code]:[Test code]],[1]!Table1[i @ 1.8 V DIW (A/cm2)],"",0)</f>
        <v>#REF!</v>
      </c>
      <c r="X1490" s="69" t="e" cm="1">
        <f t="array" ref="X1490">_xlfn.XLOOKUP(Table1[[#This Row],[5 cm2 cell test code]:[5 cm2 cell test code]],[1]!Table1[[Test code]:[Test code]],[1]!Table1[i @ 1.8 V 10 mM KOH (A/cm2)],"",0)</f>
        <v>#REF!</v>
      </c>
      <c r="Y1490" s="69" t="e" cm="1">
        <f t="array" ref="Y1490">_xlfn.XLOOKUP(Table1[[#This Row],[5 cm2 cell test code]:[5 cm2 cell test code]],[1]!Table1[[Test code]:[Test code]],[1]!Table1[3-E ƞ at 20mAcm-2 (mV)],"",0)</f>
        <v>#REF!</v>
      </c>
      <c r="Z1490" s="69" t="e" cm="1">
        <f t="array" ref="Z1490">_xlfn.XLOOKUP(Table1[[#This Row],[5 cm2 cell test code]:[5 cm2 cell test code]],[1]!Table1[[Test code]:[Test code]],[1]!Table1[3-E Tafel slope (mV/dec)],"",0)</f>
        <v>#REF!</v>
      </c>
      <c r="AA1490" s="69" t="e" cm="1">
        <f t="array" ref="AA1490">_xlfn.XLOOKUP(Table1[[#This Row],[5 cm2 cell test code]:[5 cm2 cell test code]],[1]!Table1[[Test code]:[Test code]],[1]!Table1[E @ 100 mA/cm2 DIW/V],"",0)</f>
        <v>#REF!</v>
      </c>
      <c r="AB1490" s="69" t="e" cm="1">
        <f t="array" ref="AB1490">_xlfn.XLOOKUP(Table1[[#This Row],[5 cm2 cell test code]:[5 cm2 cell test code]],[1]!Table1[[Test code]:[Test code]],[1]!Table1[E @ 100 mA/cm2 10 mM KOH/V],"",0)</f>
        <v>#REF!</v>
      </c>
      <c r="AC1490" s="69" t="e" cm="1">
        <f t="array" ref="AC1490">_xlfn.XLOOKUP(Table1[[#This Row],[5 cm2 cell test code]:[5 cm2 cell test code]],[1]!Table1[[Test code]:[Test code]],[1]!Table1[Anode ICR/mOhm],"",0)</f>
        <v>#REF!</v>
      </c>
      <c r="AD1490" s="69" t="e" cm="1">
        <f t="array" ref="AD1490">_xlfn.XLOOKUP(Table1[[#This Row],[5 cm2 cell test code]:[5 cm2 cell test code]],[1]!Table1[[Test code]:[Test code]],[1]!Table1[HFR DIW/ mOhm cm2],"",0)</f>
        <v>#REF!</v>
      </c>
      <c r="AE1490" s="69" t="e" cm="1">
        <f t="array" ref="AE1490">_xlfn.XLOOKUP(Table1[[#This Row],[5 cm2 cell test code]:[5 cm2 cell test code]],[1]!Table1[[Test code]:[Test code]],[1]!Table1[HFR 10 mM KOH/ mOhm cm2],"",0)</f>
        <v>#REF!</v>
      </c>
      <c r="AF1490" s="69" t="e" cm="1">
        <f t="array" ref="AF1490">_xlfn.XLOOKUP(Table1[[#This Row],[5 cm2 cell test code]:[5 cm2 cell test code]],[1]!Table1[[Test code]:[Test code]],[1]!Table1[Ionic resistance DIW/Ohm cm2],"",0)</f>
        <v>#REF!</v>
      </c>
      <c r="AG1490" s="69" t="e" cm="1">
        <f t="array" ref="AG1490">_xlfn.XLOOKUP(Table1[[#This Row],[5 cm2 cell test code]:[5 cm2 cell test code]],[1]!Table1[[Test code]:[Test code]],[1]!Table1[Q_int_frac DIW],"",0)</f>
        <v>#REF!</v>
      </c>
      <c r="AH1490" s="69" t="e" cm="1">
        <f t="array" ref="AH1490">_xlfn.XLOOKUP(Table1[[#This Row],[5 cm2 cell test code]:[5 cm2 cell test code]],[1]!Table1[[Test code]:[Test code]],[1]!Table1[Ionic resistance 10 mM KOH/Ohm cm2],"",0)</f>
        <v>#REF!</v>
      </c>
      <c r="AI1490" s="69" t="e" cm="1">
        <f t="array" ref="AI1490">_xlfn.XLOOKUP(Table1[[#This Row],[5 cm2 cell test code]:[5 cm2 cell test code]],[1]!Table1[[Test code]:[Test code]],[1]!Table1[Q_int_frac DIW 10 mM KOH],"",0)</f>
        <v>#REF!</v>
      </c>
      <c r="AJ1490" s="69" t="e" cm="1">
        <f t="array" ref="AJ1490">_xlfn.XLOOKUP(Table1[[#This Row],[5 cm2 cell test code]:[5 cm2 cell test code]],[1]!Table1[[Test code]:[Test code]],[1]!Table1[DIW conductivity (µS/cm)],"",0)</f>
        <v>#REF!</v>
      </c>
    </row>
    <row r="1491" spans="1:36">
      <c r="A1491" s="81"/>
      <c r="U1491" s="101"/>
      <c r="V1491" s="101"/>
      <c r="W1491" s="69" t="e" cm="1">
        <f t="array" ref="W1491">_xlfn.XLOOKUP(Table1[[#This Row],[5 cm2 cell test code]:[5 cm2 cell test code]],[1]!Table1[[Test code]:[Test code]],[1]!Table1[i @ 1.8 V DIW (A/cm2)],"",0)</f>
        <v>#REF!</v>
      </c>
      <c r="X1491" s="69" t="e" cm="1">
        <f t="array" ref="X1491">_xlfn.XLOOKUP(Table1[[#This Row],[5 cm2 cell test code]:[5 cm2 cell test code]],[1]!Table1[[Test code]:[Test code]],[1]!Table1[i @ 1.8 V 10 mM KOH (A/cm2)],"",0)</f>
        <v>#REF!</v>
      </c>
      <c r="Y1491" s="69" t="e" cm="1">
        <f t="array" ref="Y1491">_xlfn.XLOOKUP(Table1[[#This Row],[5 cm2 cell test code]:[5 cm2 cell test code]],[1]!Table1[[Test code]:[Test code]],[1]!Table1[3-E ƞ at 20mAcm-2 (mV)],"",0)</f>
        <v>#REF!</v>
      </c>
      <c r="Z1491" s="69" t="e" cm="1">
        <f t="array" ref="Z1491">_xlfn.XLOOKUP(Table1[[#This Row],[5 cm2 cell test code]:[5 cm2 cell test code]],[1]!Table1[[Test code]:[Test code]],[1]!Table1[3-E Tafel slope (mV/dec)],"",0)</f>
        <v>#REF!</v>
      </c>
      <c r="AA1491" s="69" t="e" cm="1">
        <f t="array" ref="AA1491">_xlfn.XLOOKUP(Table1[[#This Row],[5 cm2 cell test code]:[5 cm2 cell test code]],[1]!Table1[[Test code]:[Test code]],[1]!Table1[E @ 100 mA/cm2 DIW/V],"",0)</f>
        <v>#REF!</v>
      </c>
      <c r="AB1491" s="69" t="e" cm="1">
        <f t="array" ref="AB1491">_xlfn.XLOOKUP(Table1[[#This Row],[5 cm2 cell test code]:[5 cm2 cell test code]],[1]!Table1[[Test code]:[Test code]],[1]!Table1[E @ 100 mA/cm2 10 mM KOH/V],"",0)</f>
        <v>#REF!</v>
      </c>
      <c r="AC1491" s="69" t="e" cm="1">
        <f t="array" ref="AC1491">_xlfn.XLOOKUP(Table1[[#This Row],[5 cm2 cell test code]:[5 cm2 cell test code]],[1]!Table1[[Test code]:[Test code]],[1]!Table1[Anode ICR/mOhm],"",0)</f>
        <v>#REF!</v>
      </c>
      <c r="AD1491" s="69" t="e" cm="1">
        <f t="array" ref="AD1491">_xlfn.XLOOKUP(Table1[[#This Row],[5 cm2 cell test code]:[5 cm2 cell test code]],[1]!Table1[[Test code]:[Test code]],[1]!Table1[HFR DIW/ mOhm cm2],"",0)</f>
        <v>#REF!</v>
      </c>
      <c r="AE1491" s="69" t="e" cm="1">
        <f t="array" ref="AE1491">_xlfn.XLOOKUP(Table1[[#This Row],[5 cm2 cell test code]:[5 cm2 cell test code]],[1]!Table1[[Test code]:[Test code]],[1]!Table1[HFR 10 mM KOH/ mOhm cm2],"",0)</f>
        <v>#REF!</v>
      </c>
      <c r="AF1491" s="69" t="e" cm="1">
        <f t="array" ref="AF1491">_xlfn.XLOOKUP(Table1[[#This Row],[5 cm2 cell test code]:[5 cm2 cell test code]],[1]!Table1[[Test code]:[Test code]],[1]!Table1[Ionic resistance DIW/Ohm cm2],"",0)</f>
        <v>#REF!</v>
      </c>
      <c r="AG1491" s="69" t="e" cm="1">
        <f t="array" ref="AG1491">_xlfn.XLOOKUP(Table1[[#This Row],[5 cm2 cell test code]:[5 cm2 cell test code]],[1]!Table1[[Test code]:[Test code]],[1]!Table1[Q_int_frac DIW],"",0)</f>
        <v>#REF!</v>
      </c>
      <c r="AH1491" s="69" t="e" cm="1">
        <f t="array" ref="AH1491">_xlfn.XLOOKUP(Table1[[#This Row],[5 cm2 cell test code]:[5 cm2 cell test code]],[1]!Table1[[Test code]:[Test code]],[1]!Table1[Ionic resistance 10 mM KOH/Ohm cm2],"",0)</f>
        <v>#REF!</v>
      </c>
      <c r="AI1491" s="69" t="e" cm="1">
        <f t="array" ref="AI1491">_xlfn.XLOOKUP(Table1[[#This Row],[5 cm2 cell test code]:[5 cm2 cell test code]],[1]!Table1[[Test code]:[Test code]],[1]!Table1[Q_int_frac DIW 10 mM KOH],"",0)</f>
        <v>#REF!</v>
      </c>
      <c r="AJ1491" s="69" t="e" cm="1">
        <f t="array" ref="AJ1491">_xlfn.XLOOKUP(Table1[[#This Row],[5 cm2 cell test code]:[5 cm2 cell test code]],[1]!Table1[[Test code]:[Test code]],[1]!Table1[DIW conductivity (µS/cm)],"",0)</f>
        <v>#REF!</v>
      </c>
    </row>
    <row r="1492" spans="1:36">
      <c r="A1492" s="81"/>
      <c r="U1492" s="101"/>
      <c r="V1492" s="101"/>
      <c r="W1492" s="69" t="e" cm="1">
        <f t="array" ref="W1492">_xlfn.XLOOKUP(Table1[[#This Row],[5 cm2 cell test code]:[5 cm2 cell test code]],[1]!Table1[[Test code]:[Test code]],[1]!Table1[i @ 1.8 V DIW (A/cm2)],"",0)</f>
        <v>#REF!</v>
      </c>
      <c r="X1492" s="69" t="e" cm="1">
        <f t="array" ref="X1492">_xlfn.XLOOKUP(Table1[[#This Row],[5 cm2 cell test code]:[5 cm2 cell test code]],[1]!Table1[[Test code]:[Test code]],[1]!Table1[i @ 1.8 V 10 mM KOH (A/cm2)],"",0)</f>
        <v>#REF!</v>
      </c>
      <c r="Y1492" s="69" t="e" cm="1">
        <f t="array" ref="Y1492">_xlfn.XLOOKUP(Table1[[#This Row],[5 cm2 cell test code]:[5 cm2 cell test code]],[1]!Table1[[Test code]:[Test code]],[1]!Table1[3-E ƞ at 20mAcm-2 (mV)],"",0)</f>
        <v>#REF!</v>
      </c>
      <c r="Z1492" s="69" t="e" cm="1">
        <f t="array" ref="Z1492">_xlfn.XLOOKUP(Table1[[#This Row],[5 cm2 cell test code]:[5 cm2 cell test code]],[1]!Table1[[Test code]:[Test code]],[1]!Table1[3-E Tafel slope (mV/dec)],"",0)</f>
        <v>#REF!</v>
      </c>
      <c r="AA1492" s="69" t="e" cm="1">
        <f t="array" ref="AA1492">_xlfn.XLOOKUP(Table1[[#This Row],[5 cm2 cell test code]:[5 cm2 cell test code]],[1]!Table1[[Test code]:[Test code]],[1]!Table1[E @ 100 mA/cm2 DIW/V],"",0)</f>
        <v>#REF!</v>
      </c>
      <c r="AB1492" s="69" t="e" cm="1">
        <f t="array" ref="AB1492">_xlfn.XLOOKUP(Table1[[#This Row],[5 cm2 cell test code]:[5 cm2 cell test code]],[1]!Table1[[Test code]:[Test code]],[1]!Table1[E @ 100 mA/cm2 10 mM KOH/V],"",0)</f>
        <v>#REF!</v>
      </c>
      <c r="AC1492" s="69" t="e" cm="1">
        <f t="array" ref="AC1492">_xlfn.XLOOKUP(Table1[[#This Row],[5 cm2 cell test code]:[5 cm2 cell test code]],[1]!Table1[[Test code]:[Test code]],[1]!Table1[Anode ICR/mOhm],"",0)</f>
        <v>#REF!</v>
      </c>
      <c r="AD1492" s="69" t="e" cm="1">
        <f t="array" ref="AD1492">_xlfn.XLOOKUP(Table1[[#This Row],[5 cm2 cell test code]:[5 cm2 cell test code]],[1]!Table1[[Test code]:[Test code]],[1]!Table1[HFR DIW/ mOhm cm2],"",0)</f>
        <v>#REF!</v>
      </c>
      <c r="AE1492" s="69" t="e" cm="1">
        <f t="array" ref="AE1492">_xlfn.XLOOKUP(Table1[[#This Row],[5 cm2 cell test code]:[5 cm2 cell test code]],[1]!Table1[[Test code]:[Test code]],[1]!Table1[HFR 10 mM KOH/ mOhm cm2],"",0)</f>
        <v>#REF!</v>
      </c>
      <c r="AF1492" s="69" t="e" cm="1">
        <f t="array" ref="AF1492">_xlfn.XLOOKUP(Table1[[#This Row],[5 cm2 cell test code]:[5 cm2 cell test code]],[1]!Table1[[Test code]:[Test code]],[1]!Table1[Ionic resistance DIW/Ohm cm2],"",0)</f>
        <v>#REF!</v>
      </c>
      <c r="AG1492" s="69" t="e" cm="1">
        <f t="array" ref="AG1492">_xlfn.XLOOKUP(Table1[[#This Row],[5 cm2 cell test code]:[5 cm2 cell test code]],[1]!Table1[[Test code]:[Test code]],[1]!Table1[Q_int_frac DIW],"",0)</f>
        <v>#REF!</v>
      </c>
      <c r="AH1492" s="69" t="e" cm="1">
        <f t="array" ref="AH1492">_xlfn.XLOOKUP(Table1[[#This Row],[5 cm2 cell test code]:[5 cm2 cell test code]],[1]!Table1[[Test code]:[Test code]],[1]!Table1[Ionic resistance 10 mM KOH/Ohm cm2],"",0)</f>
        <v>#REF!</v>
      </c>
      <c r="AI1492" s="69" t="e" cm="1">
        <f t="array" ref="AI1492">_xlfn.XLOOKUP(Table1[[#This Row],[5 cm2 cell test code]:[5 cm2 cell test code]],[1]!Table1[[Test code]:[Test code]],[1]!Table1[Q_int_frac DIW 10 mM KOH],"",0)</f>
        <v>#REF!</v>
      </c>
      <c r="AJ1492" s="69" t="e" cm="1">
        <f t="array" ref="AJ1492">_xlfn.XLOOKUP(Table1[[#This Row],[5 cm2 cell test code]:[5 cm2 cell test code]],[1]!Table1[[Test code]:[Test code]],[1]!Table1[DIW conductivity (µS/cm)],"",0)</f>
        <v>#REF!</v>
      </c>
    </row>
    <row r="1493" spans="1:36">
      <c r="A1493" s="81"/>
      <c r="U1493" s="101"/>
      <c r="V1493" s="101"/>
      <c r="W1493" s="69" t="e" cm="1">
        <f t="array" ref="W1493">_xlfn.XLOOKUP(Table1[[#This Row],[5 cm2 cell test code]:[5 cm2 cell test code]],[1]!Table1[[Test code]:[Test code]],[1]!Table1[i @ 1.8 V DIW (A/cm2)],"",0)</f>
        <v>#REF!</v>
      </c>
      <c r="X1493" s="69" t="e" cm="1">
        <f t="array" ref="X1493">_xlfn.XLOOKUP(Table1[[#This Row],[5 cm2 cell test code]:[5 cm2 cell test code]],[1]!Table1[[Test code]:[Test code]],[1]!Table1[i @ 1.8 V 10 mM KOH (A/cm2)],"",0)</f>
        <v>#REF!</v>
      </c>
      <c r="Y1493" s="69" t="e" cm="1">
        <f t="array" ref="Y1493">_xlfn.XLOOKUP(Table1[[#This Row],[5 cm2 cell test code]:[5 cm2 cell test code]],[1]!Table1[[Test code]:[Test code]],[1]!Table1[3-E ƞ at 20mAcm-2 (mV)],"",0)</f>
        <v>#REF!</v>
      </c>
      <c r="Z1493" s="69" t="e" cm="1">
        <f t="array" ref="Z1493">_xlfn.XLOOKUP(Table1[[#This Row],[5 cm2 cell test code]:[5 cm2 cell test code]],[1]!Table1[[Test code]:[Test code]],[1]!Table1[3-E Tafel slope (mV/dec)],"",0)</f>
        <v>#REF!</v>
      </c>
      <c r="AA1493" s="69" t="e" cm="1">
        <f t="array" ref="AA1493">_xlfn.XLOOKUP(Table1[[#This Row],[5 cm2 cell test code]:[5 cm2 cell test code]],[1]!Table1[[Test code]:[Test code]],[1]!Table1[E @ 100 mA/cm2 DIW/V],"",0)</f>
        <v>#REF!</v>
      </c>
      <c r="AB1493" s="69" t="e" cm="1">
        <f t="array" ref="AB1493">_xlfn.XLOOKUP(Table1[[#This Row],[5 cm2 cell test code]:[5 cm2 cell test code]],[1]!Table1[[Test code]:[Test code]],[1]!Table1[E @ 100 mA/cm2 10 mM KOH/V],"",0)</f>
        <v>#REF!</v>
      </c>
      <c r="AC1493" s="69" t="e" cm="1">
        <f t="array" ref="AC1493">_xlfn.XLOOKUP(Table1[[#This Row],[5 cm2 cell test code]:[5 cm2 cell test code]],[1]!Table1[[Test code]:[Test code]],[1]!Table1[Anode ICR/mOhm],"",0)</f>
        <v>#REF!</v>
      </c>
      <c r="AD1493" s="69" t="e" cm="1">
        <f t="array" ref="AD1493">_xlfn.XLOOKUP(Table1[[#This Row],[5 cm2 cell test code]:[5 cm2 cell test code]],[1]!Table1[[Test code]:[Test code]],[1]!Table1[HFR DIW/ mOhm cm2],"",0)</f>
        <v>#REF!</v>
      </c>
      <c r="AE1493" s="69" t="e" cm="1">
        <f t="array" ref="AE1493">_xlfn.XLOOKUP(Table1[[#This Row],[5 cm2 cell test code]:[5 cm2 cell test code]],[1]!Table1[[Test code]:[Test code]],[1]!Table1[HFR 10 mM KOH/ mOhm cm2],"",0)</f>
        <v>#REF!</v>
      </c>
      <c r="AF1493" s="69" t="e" cm="1">
        <f t="array" ref="AF1493">_xlfn.XLOOKUP(Table1[[#This Row],[5 cm2 cell test code]:[5 cm2 cell test code]],[1]!Table1[[Test code]:[Test code]],[1]!Table1[Ionic resistance DIW/Ohm cm2],"",0)</f>
        <v>#REF!</v>
      </c>
      <c r="AG1493" s="69" t="e" cm="1">
        <f t="array" ref="AG1493">_xlfn.XLOOKUP(Table1[[#This Row],[5 cm2 cell test code]:[5 cm2 cell test code]],[1]!Table1[[Test code]:[Test code]],[1]!Table1[Q_int_frac DIW],"",0)</f>
        <v>#REF!</v>
      </c>
      <c r="AH1493" s="69" t="e" cm="1">
        <f t="array" ref="AH1493">_xlfn.XLOOKUP(Table1[[#This Row],[5 cm2 cell test code]:[5 cm2 cell test code]],[1]!Table1[[Test code]:[Test code]],[1]!Table1[Ionic resistance 10 mM KOH/Ohm cm2],"",0)</f>
        <v>#REF!</v>
      </c>
      <c r="AI1493" s="69" t="e" cm="1">
        <f t="array" ref="AI1493">_xlfn.XLOOKUP(Table1[[#This Row],[5 cm2 cell test code]:[5 cm2 cell test code]],[1]!Table1[[Test code]:[Test code]],[1]!Table1[Q_int_frac DIW 10 mM KOH],"",0)</f>
        <v>#REF!</v>
      </c>
      <c r="AJ1493" s="69" t="e" cm="1">
        <f t="array" ref="AJ1493">_xlfn.XLOOKUP(Table1[[#This Row],[5 cm2 cell test code]:[5 cm2 cell test code]],[1]!Table1[[Test code]:[Test code]],[1]!Table1[DIW conductivity (µS/cm)],"",0)</f>
        <v>#REF!</v>
      </c>
    </row>
    <row r="1494" spans="1:36">
      <c r="A1494" s="81"/>
      <c r="U1494" s="101"/>
      <c r="V1494" s="101"/>
      <c r="W1494" s="69" t="e" cm="1">
        <f t="array" ref="W1494">_xlfn.XLOOKUP(Table1[[#This Row],[5 cm2 cell test code]:[5 cm2 cell test code]],[1]!Table1[[Test code]:[Test code]],[1]!Table1[i @ 1.8 V DIW (A/cm2)],"",0)</f>
        <v>#REF!</v>
      </c>
      <c r="X1494" s="69" t="e" cm="1">
        <f t="array" ref="X1494">_xlfn.XLOOKUP(Table1[[#This Row],[5 cm2 cell test code]:[5 cm2 cell test code]],[1]!Table1[[Test code]:[Test code]],[1]!Table1[i @ 1.8 V 10 mM KOH (A/cm2)],"",0)</f>
        <v>#REF!</v>
      </c>
      <c r="Y1494" s="69" t="e" cm="1">
        <f t="array" ref="Y1494">_xlfn.XLOOKUP(Table1[[#This Row],[5 cm2 cell test code]:[5 cm2 cell test code]],[1]!Table1[[Test code]:[Test code]],[1]!Table1[3-E ƞ at 20mAcm-2 (mV)],"",0)</f>
        <v>#REF!</v>
      </c>
      <c r="Z1494" s="69" t="e" cm="1">
        <f t="array" ref="Z1494">_xlfn.XLOOKUP(Table1[[#This Row],[5 cm2 cell test code]:[5 cm2 cell test code]],[1]!Table1[[Test code]:[Test code]],[1]!Table1[3-E Tafel slope (mV/dec)],"",0)</f>
        <v>#REF!</v>
      </c>
      <c r="AA1494" s="69" t="e" cm="1">
        <f t="array" ref="AA1494">_xlfn.XLOOKUP(Table1[[#This Row],[5 cm2 cell test code]:[5 cm2 cell test code]],[1]!Table1[[Test code]:[Test code]],[1]!Table1[E @ 100 mA/cm2 DIW/V],"",0)</f>
        <v>#REF!</v>
      </c>
      <c r="AB1494" s="69" t="e" cm="1">
        <f t="array" ref="AB1494">_xlfn.XLOOKUP(Table1[[#This Row],[5 cm2 cell test code]:[5 cm2 cell test code]],[1]!Table1[[Test code]:[Test code]],[1]!Table1[E @ 100 mA/cm2 10 mM KOH/V],"",0)</f>
        <v>#REF!</v>
      </c>
      <c r="AC1494" s="69" t="e" cm="1">
        <f t="array" ref="AC1494">_xlfn.XLOOKUP(Table1[[#This Row],[5 cm2 cell test code]:[5 cm2 cell test code]],[1]!Table1[[Test code]:[Test code]],[1]!Table1[Anode ICR/mOhm],"",0)</f>
        <v>#REF!</v>
      </c>
      <c r="AD1494" s="69" t="e" cm="1">
        <f t="array" ref="AD1494">_xlfn.XLOOKUP(Table1[[#This Row],[5 cm2 cell test code]:[5 cm2 cell test code]],[1]!Table1[[Test code]:[Test code]],[1]!Table1[HFR DIW/ mOhm cm2],"",0)</f>
        <v>#REF!</v>
      </c>
      <c r="AE1494" s="69" t="e" cm="1">
        <f t="array" ref="AE1494">_xlfn.XLOOKUP(Table1[[#This Row],[5 cm2 cell test code]:[5 cm2 cell test code]],[1]!Table1[[Test code]:[Test code]],[1]!Table1[HFR 10 mM KOH/ mOhm cm2],"",0)</f>
        <v>#REF!</v>
      </c>
      <c r="AF1494" s="69" t="e" cm="1">
        <f t="array" ref="AF1494">_xlfn.XLOOKUP(Table1[[#This Row],[5 cm2 cell test code]:[5 cm2 cell test code]],[1]!Table1[[Test code]:[Test code]],[1]!Table1[Ionic resistance DIW/Ohm cm2],"",0)</f>
        <v>#REF!</v>
      </c>
      <c r="AG1494" s="69" t="e" cm="1">
        <f t="array" ref="AG1494">_xlfn.XLOOKUP(Table1[[#This Row],[5 cm2 cell test code]:[5 cm2 cell test code]],[1]!Table1[[Test code]:[Test code]],[1]!Table1[Q_int_frac DIW],"",0)</f>
        <v>#REF!</v>
      </c>
      <c r="AH1494" s="69" t="e" cm="1">
        <f t="array" ref="AH1494">_xlfn.XLOOKUP(Table1[[#This Row],[5 cm2 cell test code]:[5 cm2 cell test code]],[1]!Table1[[Test code]:[Test code]],[1]!Table1[Ionic resistance 10 mM KOH/Ohm cm2],"",0)</f>
        <v>#REF!</v>
      </c>
      <c r="AI1494" s="69" t="e" cm="1">
        <f t="array" ref="AI1494">_xlfn.XLOOKUP(Table1[[#This Row],[5 cm2 cell test code]:[5 cm2 cell test code]],[1]!Table1[[Test code]:[Test code]],[1]!Table1[Q_int_frac DIW 10 mM KOH],"",0)</f>
        <v>#REF!</v>
      </c>
      <c r="AJ1494" s="69" t="e" cm="1">
        <f t="array" ref="AJ1494">_xlfn.XLOOKUP(Table1[[#This Row],[5 cm2 cell test code]:[5 cm2 cell test code]],[1]!Table1[[Test code]:[Test code]],[1]!Table1[DIW conductivity (µS/cm)],"",0)</f>
        <v>#REF!</v>
      </c>
    </row>
    <row r="1495" spans="1:36">
      <c r="A1495" s="81"/>
      <c r="U1495" s="101"/>
      <c r="V1495" s="101"/>
      <c r="W1495" s="69" t="e" cm="1">
        <f t="array" ref="W1495">_xlfn.XLOOKUP(Table1[[#This Row],[5 cm2 cell test code]:[5 cm2 cell test code]],[1]!Table1[[Test code]:[Test code]],[1]!Table1[i @ 1.8 V DIW (A/cm2)],"",0)</f>
        <v>#REF!</v>
      </c>
      <c r="X1495" s="69" t="e" cm="1">
        <f t="array" ref="X1495">_xlfn.XLOOKUP(Table1[[#This Row],[5 cm2 cell test code]:[5 cm2 cell test code]],[1]!Table1[[Test code]:[Test code]],[1]!Table1[i @ 1.8 V 10 mM KOH (A/cm2)],"",0)</f>
        <v>#REF!</v>
      </c>
      <c r="Y1495" s="69" t="e" cm="1">
        <f t="array" ref="Y1495">_xlfn.XLOOKUP(Table1[[#This Row],[5 cm2 cell test code]:[5 cm2 cell test code]],[1]!Table1[[Test code]:[Test code]],[1]!Table1[3-E ƞ at 20mAcm-2 (mV)],"",0)</f>
        <v>#REF!</v>
      </c>
      <c r="Z1495" s="69" t="e" cm="1">
        <f t="array" ref="Z1495">_xlfn.XLOOKUP(Table1[[#This Row],[5 cm2 cell test code]:[5 cm2 cell test code]],[1]!Table1[[Test code]:[Test code]],[1]!Table1[3-E Tafel slope (mV/dec)],"",0)</f>
        <v>#REF!</v>
      </c>
      <c r="AA1495" s="69" t="e" cm="1">
        <f t="array" ref="AA1495">_xlfn.XLOOKUP(Table1[[#This Row],[5 cm2 cell test code]:[5 cm2 cell test code]],[1]!Table1[[Test code]:[Test code]],[1]!Table1[E @ 100 mA/cm2 DIW/V],"",0)</f>
        <v>#REF!</v>
      </c>
      <c r="AB1495" s="69" t="e" cm="1">
        <f t="array" ref="AB1495">_xlfn.XLOOKUP(Table1[[#This Row],[5 cm2 cell test code]:[5 cm2 cell test code]],[1]!Table1[[Test code]:[Test code]],[1]!Table1[E @ 100 mA/cm2 10 mM KOH/V],"",0)</f>
        <v>#REF!</v>
      </c>
      <c r="AC1495" s="69" t="e" cm="1">
        <f t="array" ref="AC1495">_xlfn.XLOOKUP(Table1[[#This Row],[5 cm2 cell test code]:[5 cm2 cell test code]],[1]!Table1[[Test code]:[Test code]],[1]!Table1[Anode ICR/mOhm],"",0)</f>
        <v>#REF!</v>
      </c>
      <c r="AD1495" s="69" t="e" cm="1">
        <f t="array" ref="AD1495">_xlfn.XLOOKUP(Table1[[#This Row],[5 cm2 cell test code]:[5 cm2 cell test code]],[1]!Table1[[Test code]:[Test code]],[1]!Table1[HFR DIW/ mOhm cm2],"",0)</f>
        <v>#REF!</v>
      </c>
      <c r="AE1495" s="69" t="e" cm="1">
        <f t="array" ref="AE1495">_xlfn.XLOOKUP(Table1[[#This Row],[5 cm2 cell test code]:[5 cm2 cell test code]],[1]!Table1[[Test code]:[Test code]],[1]!Table1[HFR 10 mM KOH/ mOhm cm2],"",0)</f>
        <v>#REF!</v>
      </c>
      <c r="AF1495" s="69" t="e" cm="1">
        <f t="array" ref="AF1495">_xlfn.XLOOKUP(Table1[[#This Row],[5 cm2 cell test code]:[5 cm2 cell test code]],[1]!Table1[[Test code]:[Test code]],[1]!Table1[Ionic resistance DIW/Ohm cm2],"",0)</f>
        <v>#REF!</v>
      </c>
      <c r="AG1495" s="69" t="e" cm="1">
        <f t="array" ref="AG1495">_xlfn.XLOOKUP(Table1[[#This Row],[5 cm2 cell test code]:[5 cm2 cell test code]],[1]!Table1[[Test code]:[Test code]],[1]!Table1[Q_int_frac DIW],"",0)</f>
        <v>#REF!</v>
      </c>
      <c r="AH1495" s="69" t="e" cm="1">
        <f t="array" ref="AH1495">_xlfn.XLOOKUP(Table1[[#This Row],[5 cm2 cell test code]:[5 cm2 cell test code]],[1]!Table1[[Test code]:[Test code]],[1]!Table1[Ionic resistance 10 mM KOH/Ohm cm2],"",0)</f>
        <v>#REF!</v>
      </c>
      <c r="AI1495" s="69" t="e" cm="1">
        <f t="array" ref="AI1495">_xlfn.XLOOKUP(Table1[[#This Row],[5 cm2 cell test code]:[5 cm2 cell test code]],[1]!Table1[[Test code]:[Test code]],[1]!Table1[Q_int_frac DIW 10 mM KOH],"",0)</f>
        <v>#REF!</v>
      </c>
      <c r="AJ1495" s="69" t="e" cm="1">
        <f t="array" ref="AJ1495">_xlfn.XLOOKUP(Table1[[#This Row],[5 cm2 cell test code]:[5 cm2 cell test code]],[1]!Table1[[Test code]:[Test code]],[1]!Table1[DIW conductivity (µS/cm)],"",0)</f>
        <v>#REF!</v>
      </c>
    </row>
    <row r="1496" spans="1:36">
      <c r="A1496" s="81"/>
      <c r="U1496" s="101"/>
      <c r="V1496" s="101"/>
      <c r="W1496" s="69" t="e" cm="1">
        <f t="array" ref="W1496">_xlfn.XLOOKUP(Table1[[#This Row],[5 cm2 cell test code]:[5 cm2 cell test code]],[1]!Table1[[Test code]:[Test code]],[1]!Table1[i @ 1.8 V DIW (A/cm2)],"",0)</f>
        <v>#REF!</v>
      </c>
      <c r="X1496" s="69" t="e" cm="1">
        <f t="array" ref="X1496">_xlfn.XLOOKUP(Table1[[#This Row],[5 cm2 cell test code]:[5 cm2 cell test code]],[1]!Table1[[Test code]:[Test code]],[1]!Table1[i @ 1.8 V 10 mM KOH (A/cm2)],"",0)</f>
        <v>#REF!</v>
      </c>
      <c r="Y1496" s="69" t="e" cm="1">
        <f t="array" ref="Y1496">_xlfn.XLOOKUP(Table1[[#This Row],[5 cm2 cell test code]:[5 cm2 cell test code]],[1]!Table1[[Test code]:[Test code]],[1]!Table1[3-E ƞ at 20mAcm-2 (mV)],"",0)</f>
        <v>#REF!</v>
      </c>
      <c r="Z1496" s="69" t="e" cm="1">
        <f t="array" ref="Z1496">_xlfn.XLOOKUP(Table1[[#This Row],[5 cm2 cell test code]:[5 cm2 cell test code]],[1]!Table1[[Test code]:[Test code]],[1]!Table1[3-E Tafel slope (mV/dec)],"",0)</f>
        <v>#REF!</v>
      </c>
      <c r="AA1496" s="69" t="e" cm="1">
        <f t="array" ref="AA1496">_xlfn.XLOOKUP(Table1[[#This Row],[5 cm2 cell test code]:[5 cm2 cell test code]],[1]!Table1[[Test code]:[Test code]],[1]!Table1[E @ 100 mA/cm2 DIW/V],"",0)</f>
        <v>#REF!</v>
      </c>
      <c r="AB1496" s="69" t="e" cm="1">
        <f t="array" ref="AB1496">_xlfn.XLOOKUP(Table1[[#This Row],[5 cm2 cell test code]:[5 cm2 cell test code]],[1]!Table1[[Test code]:[Test code]],[1]!Table1[E @ 100 mA/cm2 10 mM KOH/V],"",0)</f>
        <v>#REF!</v>
      </c>
      <c r="AC1496" s="69" t="e" cm="1">
        <f t="array" ref="AC1496">_xlfn.XLOOKUP(Table1[[#This Row],[5 cm2 cell test code]:[5 cm2 cell test code]],[1]!Table1[[Test code]:[Test code]],[1]!Table1[Anode ICR/mOhm],"",0)</f>
        <v>#REF!</v>
      </c>
      <c r="AD1496" s="69" t="e" cm="1">
        <f t="array" ref="AD1496">_xlfn.XLOOKUP(Table1[[#This Row],[5 cm2 cell test code]:[5 cm2 cell test code]],[1]!Table1[[Test code]:[Test code]],[1]!Table1[HFR DIW/ mOhm cm2],"",0)</f>
        <v>#REF!</v>
      </c>
      <c r="AE1496" s="69" t="e" cm="1">
        <f t="array" ref="AE1496">_xlfn.XLOOKUP(Table1[[#This Row],[5 cm2 cell test code]:[5 cm2 cell test code]],[1]!Table1[[Test code]:[Test code]],[1]!Table1[HFR 10 mM KOH/ mOhm cm2],"",0)</f>
        <v>#REF!</v>
      </c>
      <c r="AF1496" s="69" t="e" cm="1">
        <f t="array" ref="AF1496">_xlfn.XLOOKUP(Table1[[#This Row],[5 cm2 cell test code]:[5 cm2 cell test code]],[1]!Table1[[Test code]:[Test code]],[1]!Table1[Ionic resistance DIW/Ohm cm2],"",0)</f>
        <v>#REF!</v>
      </c>
      <c r="AG1496" s="69" t="e" cm="1">
        <f t="array" ref="AG1496">_xlfn.XLOOKUP(Table1[[#This Row],[5 cm2 cell test code]:[5 cm2 cell test code]],[1]!Table1[[Test code]:[Test code]],[1]!Table1[Q_int_frac DIW],"",0)</f>
        <v>#REF!</v>
      </c>
      <c r="AH1496" s="69" t="e" cm="1">
        <f t="array" ref="AH1496">_xlfn.XLOOKUP(Table1[[#This Row],[5 cm2 cell test code]:[5 cm2 cell test code]],[1]!Table1[[Test code]:[Test code]],[1]!Table1[Ionic resistance 10 mM KOH/Ohm cm2],"",0)</f>
        <v>#REF!</v>
      </c>
      <c r="AI1496" s="69" t="e" cm="1">
        <f t="array" ref="AI1496">_xlfn.XLOOKUP(Table1[[#This Row],[5 cm2 cell test code]:[5 cm2 cell test code]],[1]!Table1[[Test code]:[Test code]],[1]!Table1[Q_int_frac DIW 10 mM KOH],"",0)</f>
        <v>#REF!</v>
      </c>
      <c r="AJ1496" s="69" t="e" cm="1">
        <f t="array" ref="AJ1496">_xlfn.XLOOKUP(Table1[[#This Row],[5 cm2 cell test code]:[5 cm2 cell test code]],[1]!Table1[[Test code]:[Test code]],[1]!Table1[DIW conductivity (µS/cm)],"",0)</f>
        <v>#REF!</v>
      </c>
    </row>
    <row r="1497" spans="1:36">
      <c r="A1497" s="81"/>
      <c r="U1497" s="101"/>
      <c r="V1497" s="101"/>
      <c r="W1497" s="69" t="e" cm="1">
        <f t="array" ref="W1497">_xlfn.XLOOKUP(Table1[[#This Row],[5 cm2 cell test code]:[5 cm2 cell test code]],[1]!Table1[[Test code]:[Test code]],[1]!Table1[i @ 1.8 V DIW (A/cm2)],"",0)</f>
        <v>#REF!</v>
      </c>
      <c r="X1497" s="69" t="e" cm="1">
        <f t="array" ref="X1497">_xlfn.XLOOKUP(Table1[[#This Row],[5 cm2 cell test code]:[5 cm2 cell test code]],[1]!Table1[[Test code]:[Test code]],[1]!Table1[i @ 1.8 V 10 mM KOH (A/cm2)],"",0)</f>
        <v>#REF!</v>
      </c>
      <c r="Y1497" s="69" t="e" cm="1">
        <f t="array" ref="Y1497">_xlfn.XLOOKUP(Table1[[#This Row],[5 cm2 cell test code]:[5 cm2 cell test code]],[1]!Table1[[Test code]:[Test code]],[1]!Table1[3-E ƞ at 20mAcm-2 (mV)],"",0)</f>
        <v>#REF!</v>
      </c>
      <c r="Z1497" s="69" t="e" cm="1">
        <f t="array" ref="Z1497">_xlfn.XLOOKUP(Table1[[#This Row],[5 cm2 cell test code]:[5 cm2 cell test code]],[1]!Table1[[Test code]:[Test code]],[1]!Table1[3-E Tafel slope (mV/dec)],"",0)</f>
        <v>#REF!</v>
      </c>
      <c r="AA1497" s="69" t="e" cm="1">
        <f t="array" ref="AA1497">_xlfn.XLOOKUP(Table1[[#This Row],[5 cm2 cell test code]:[5 cm2 cell test code]],[1]!Table1[[Test code]:[Test code]],[1]!Table1[E @ 100 mA/cm2 DIW/V],"",0)</f>
        <v>#REF!</v>
      </c>
      <c r="AB1497" s="69" t="e" cm="1">
        <f t="array" ref="AB1497">_xlfn.XLOOKUP(Table1[[#This Row],[5 cm2 cell test code]:[5 cm2 cell test code]],[1]!Table1[[Test code]:[Test code]],[1]!Table1[E @ 100 mA/cm2 10 mM KOH/V],"",0)</f>
        <v>#REF!</v>
      </c>
      <c r="AC1497" s="69" t="e" cm="1">
        <f t="array" ref="AC1497">_xlfn.XLOOKUP(Table1[[#This Row],[5 cm2 cell test code]:[5 cm2 cell test code]],[1]!Table1[[Test code]:[Test code]],[1]!Table1[Anode ICR/mOhm],"",0)</f>
        <v>#REF!</v>
      </c>
      <c r="AD1497" s="69" t="e" cm="1">
        <f t="array" ref="AD1497">_xlfn.XLOOKUP(Table1[[#This Row],[5 cm2 cell test code]:[5 cm2 cell test code]],[1]!Table1[[Test code]:[Test code]],[1]!Table1[HFR DIW/ mOhm cm2],"",0)</f>
        <v>#REF!</v>
      </c>
      <c r="AE1497" s="69" t="e" cm="1">
        <f t="array" ref="AE1497">_xlfn.XLOOKUP(Table1[[#This Row],[5 cm2 cell test code]:[5 cm2 cell test code]],[1]!Table1[[Test code]:[Test code]],[1]!Table1[HFR 10 mM KOH/ mOhm cm2],"",0)</f>
        <v>#REF!</v>
      </c>
      <c r="AF1497" s="69" t="e" cm="1">
        <f t="array" ref="AF1497">_xlfn.XLOOKUP(Table1[[#This Row],[5 cm2 cell test code]:[5 cm2 cell test code]],[1]!Table1[[Test code]:[Test code]],[1]!Table1[Ionic resistance DIW/Ohm cm2],"",0)</f>
        <v>#REF!</v>
      </c>
      <c r="AG1497" s="69" t="e" cm="1">
        <f t="array" ref="AG1497">_xlfn.XLOOKUP(Table1[[#This Row],[5 cm2 cell test code]:[5 cm2 cell test code]],[1]!Table1[[Test code]:[Test code]],[1]!Table1[Q_int_frac DIW],"",0)</f>
        <v>#REF!</v>
      </c>
      <c r="AH1497" s="69" t="e" cm="1">
        <f t="array" ref="AH1497">_xlfn.XLOOKUP(Table1[[#This Row],[5 cm2 cell test code]:[5 cm2 cell test code]],[1]!Table1[[Test code]:[Test code]],[1]!Table1[Ionic resistance 10 mM KOH/Ohm cm2],"",0)</f>
        <v>#REF!</v>
      </c>
      <c r="AI1497" s="69" t="e" cm="1">
        <f t="array" ref="AI1497">_xlfn.XLOOKUP(Table1[[#This Row],[5 cm2 cell test code]:[5 cm2 cell test code]],[1]!Table1[[Test code]:[Test code]],[1]!Table1[Q_int_frac DIW 10 mM KOH],"",0)</f>
        <v>#REF!</v>
      </c>
      <c r="AJ1497" s="69" t="e" cm="1">
        <f t="array" ref="AJ1497">_xlfn.XLOOKUP(Table1[[#This Row],[5 cm2 cell test code]:[5 cm2 cell test code]],[1]!Table1[[Test code]:[Test code]],[1]!Table1[DIW conductivity (µS/cm)],"",0)</f>
        <v>#REF!</v>
      </c>
    </row>
    <row r="1498" spans="1:36">
      <c r="A1498" s="81"/>
      <c r="U1498" s="101"/>
      <c r="V1498" s="101"/>
      <c r="W1498" s="69" t="e" cm="1">
        <f t="array" ref="W1498">_xlfn.XLOOKUP(Table1[[#This Row],[5 cm2 cell test code]:[5 cm2 cell test code]],[1]!Table1[[Test code]:[Test code]],[1]!Table1[i @ 1.8 V DIW (A/cm2)],"",0)</f>
        <v>#REF!</v>
      </c>
      <c r="X1498" s="69" t="e" cm="1">
        <f t="array" ref="X1498">_xlfn.XLOOKUP(Table1[[#This Row],[5 cm2 cell test code]:[5 cm2 cell test code]],[1]!Table1[[Test code]:[Test code]],[1]!Table1[i @ 1.8 V 10 mM KOH (A/cm2)],"",0)</f>
        <v>#REF!</v>
      </c>
      <c r="Y1498" s="69" t="e" cm="1">
        <f t="array" ref="Y1498">_xlfn.XLOOKUP(Table1[[#This Row],[5 cm2 cell test code]:[5 cm2 cell test code]],[1]!Table1[[Test code]:[Test code]],[1]!Table1[3-E ƞ at 20mAcm-2 (mV)],"",0)</f>
        <v>#REF!</v>
      </c>
      <c r="Z1498" s="69" t="e" cm="1">
        <f t="array" ref="Z1498">_xlfn.XLOOKUP(Table1[[#This Row],[5 cm2 cell test code]:[5 cm2 cell test code]],[1]!Table1[[Test code]:[Test code]],[1]!Table1[3-E Tafel slope (mV/dec)],"",0)</f>
        <v>#REF!</v>
      </c>
      <c r="AA1498" s="69" t="e" cm="1">
        <f t="array" ref="AA1498">_xlfn.XLOOKUP(Table1[[#This Row],[5 cm2 cell test code]:[5 cm2 cell test code]],[1]!Table1[[Test code]:[Test code]],[1]!Table1[E @ 100 mA/cm2 DIW/V],"",0)</f>
        <v>#REF!</v>
      </c>
      <c r="AB1498" s="69" t="e" cm="1">
        <f t="array" ref="AB1498">_xlfn.XLOOKUP(Table1[[#This Row],[5 cm2 cell test code]:[5 cm2 cell test code]],[1]!Table1[[Test code]:[Test code]],[1]!Table1[E @ 100 mA/cm2 10 mM KOH/V],"",0)</f>
        <v>#REF!</v>
      </c>
      <c r="AC1498" s="69" t="e" cm="1">
        <f t="array" ref="AC1498">_xlfn.XLOOKUP(Table1[[#This Row],[5 cm2 cell test code]:[5 cm2 cell test code]],[1]!Table1[[Test code]:[Test code]],[1]!Table1[Anode ICR/mOhm],"",0)</f>
        <v>#REF!</v>
      </c>
      <c r="AD1498" s="69" t="e" cm="1">
        <f t="array" ref="AD1498">_xlfn.XLOOKUP(Table1[[#This Row],[5 cm2 cell test code]:[5 cm2 cell test code]],[1]!Table1[[Test code]:[Test code]],[1]!Table1[HFR DIW/ mOhm cm2],"",0)</f>
        <v>#REF!</v>
      </c>
      <c r="AE1498" s="69" t="e" cm="1">
        <f t="array" ref="AE1498">_xlfn.XLOOKUP(Table1[[#This Row],[5 cm2 cell test code]:[5 cm2 cell test code]],[1]!Table1[[Test code]:[Test code]],[1]!Table1[HFR 10 mM KOH/ mOhm cm2],"",0)</f>
        <v>#REF!</v>
      </c>
      <c r="AF1498" s="69" t="e" cm="1">
        <f t="array" ref="AF1498">_xlfn.XLOOKUP(Table1[[#This Row],[5 cm2 cell test code]:[5 cm2 cell test code]],[1]!Table1[[Test code]:[Test code]],[1]!Table1[Ionic resistance DIW/Ohm cm2],"",0)</f>
        <v>#REF!</v>
      </c>
      <c r="AG1498" s="69" t="e" cm="1">
        <f t="array" ref="AG1498">_xlfn.XLOOKUP(Table1[[#This Row],[5 cm2 cell test code]:[5 cm2 cell test code]],[1]!Table1[[Test code]:[Test code]],[1]!Table1[Q_int_frac DIW],"",0)</f>
        <v>#REF!</v>
      </c>
      <c r="AH1498" s="69" t="e" cm="1">
        <f t="array" ref="AH1498">_xlfn.XLOOKUP(Table1[[#This Row],[5 cm2 cell test code]:[5 cm2 cell test code]],[1]!Table1[[Test code]:[Test code]],[1]!Table1[Ionic resistance 10 mM KOH/Ohm cm2],"",0)</f>
        <v>#REF!</v>
      </c>
      <c r="AI1498" s="69" t="e" cm="1">
        <f t="array" ref="AI1498">_xlfn.XLOOKUP(Table1[[#This Row],[5 cm2 cell test code]:[5 cm2 cell test code]],[1]!Table1[[Test code]:[Test code]],[1]!Table1[Q_int_frac DIW 10 mM KOH],"",0)</f>
        <v>#REF!</v>
      </c>
      <c r="AJ1498" s="69" t="e" cm="1">
        <f t="array" ref="AJ1498">_xlfn.XLOOKUP(Table1[[#This Row],[5 cm2 cell test code]:[5 cm2 cell test code]],[1]!Table1[[Test code]:[Test code]],[1]!Table1[DIW conductivity (µS/cm)],"",0)</f>
        <v>#REF!</v>
      </c>
    </row>
    <row r="1499" spans="1:36">
      <c r="A1499" s="81"/>
      <c r="U1499" s="101"/>
      <c r="V1499" s="101"/>
      <c r="W1499" s="69" t="e" cm="1">
        <f t="array" ref="W1499">_xlfn.XLOOKUP(Table1[[#This Row],[5 cm2 cell test code]:[5 cm2 cell test code]],[1]!Table1[[Test code]:[Test code]],[1]!Table1[i @ 1.8 V DIW (A/cm2)],"",0)</f>
        <v>#REF!</v>
      </c>
      <c r="X1499" s="69" t="e" cm="1">
        <f t="array" ref="X1499">_xlfn.XLOOKUP(Table1[[#This Row],[5 cm2 cell test code]:[5 cm2 cell test code]],[1]!Table1[[Test code]:[Test code]],[1]!Table1[i @ 1.8 V 10 mM KOH (A/cm2)],"",0)</f>
        <v>#REF!</v>
      </c>
      <c r="Y1499" s="69" t="e" cm="1">
        <f t="array" ref="Y1499">_xlfn.XLOOKUP(Table1[[#This Row],[5 cm2 cell test code]:[5 cm2 cell test code]],[1]!Table1[[Test code]:[Test code]],[1]!Table1[3-E ƞ at 20mAcm-2 (mV)],"",0)</f>
        <v>#REF!</v>
      </c>
      <c r="Z1499" s="69" t="e" cm="1">
        <f t="array" ref="Z1499">_xlfn.XLOOKUP(Table1[[#This Row],[5 cm2 cell test code]:[5 cm2 cell test code]],[1]!Table1[[Test code]:[Test code]],[1]!Table1[3-E Tafel slope (mV/dec)],"",0)</f>
        <v>#REF!</v>
      </c>
      <c r="AA1499" s="69" t="e" cm="1">
        <f t="array" ref="AA1499">_xlfn.XLOOKUP(Table1[[#This Row],[5 cm2 cell test code]:[5 cm2 cell test code]],[1]!Table1[[Test code]:[Test code]],[1]!Table1[E @ 100 mA/cm2 DIW/V],"",0)</f>
        <v>#REF!</v>
      </c>
      <c r="AB1499" s="69" t="e" cm="1">
        <f t="array" ref="AB1499">_xlfn.XLOOKUP(Table1[[#This Row],[5 cm2 cell test code]:[5 cm2 cell test code]],[1]!Table1[[Test code]:[Test code]],[1]!Table1[E @ 100 mA/cm2 10 mM KOH/V],"",0)</f>
        <v>#REF!</v>
      </c>
      <c r="AC1499" s="69" t="e" cm="1">
        <f t="array" ref="AC1499">_xlfn.XLOOKUP(Table1[[#This Row],[5 cm2 cell test code]:[5 cm2 cell test code]],[1]!Table1[[Test code]:[Test code]],[1]!Table1[Anode ICR/mOhm],"",0)</f>
        <v>#REF!</v>
      </c>
      <c r="AD1499" s="69" t="e" cm="1">
        <f t="array" ref="AD1499">_xlfn.XLOOKUP(Table1[[#This Row],[5 cm2 cell test code]:[5 cm2 cell test code]],[1]!Table1[[Test code]:[Test code]],[1]!Table1[HFR DIW/ mOhm cm2],"",0)</f>
        <v>#REF!</v>
      </c>
      <c r="AE1499" s="69" t="e" cm="1">
        <f t="array" ref="AE1499">_xlfn.XLOOKUP(Table1[[#This Row],[5 cm2 cell test code]:[5 cm2 cell test code]],[1]!Table1[[Test code]:[Test code]],[1]!Table1[HFR 10 mM KOH/ mOhm cm2],"",0)</f>
        <v>#REF!</v>
      </c>
      <c r="AF1499" s="69" t="e" cm="1">
        <f t="array" ref="AF1499">_xlfn.XLOOKUP(Table1[[#This Row],[5 cm2 cell test code]:[5 cm2 cell test code]],[1]!Table1[[Test code]:[Test code]],[1]!Table1[Ionic resistance DIW/Ohm cm2],"",0)</f>
        <v>#REF!</v>
      </c>
      <c r="AG1499" s="69" t="e" cm="1">
        <f t="array" ref="AG1499">_xlfn.XLOOKUP(Table1[[#This Row],[5 cm2 cell test code]:[5 cm2 cell test code]],[1]!Table1[[Test code]:[Test code]],[1]!Table1[Q_int_frac DIW],"",0)</f>
        <v>#REF!</v>
      </c>
      <c r="AH1499" s="69" t="e" cm="1">
        <f t="array" ref="AH1499">_xlfn.XLOOKUP(Table1[[#This Row],[5 cm2 cell test code]:[5 cm2 cell test code]],[1]!Table1[[Test code]:[Test code]],[1]!Table1[Ionic resistance 10 mM KOH/Ohm cm2],"",0)</f>
        <v>#REF!</v>
      </c>
      <c r="AI1499" s="69" t="e" cm="1">
        <f t="array" ref="AI1499">_xlfn.XLOOKUP(Table1[[#This Row],[5 cm2 cell test code]:[5 cm2 cell test code]],[1]!Table1[[Test code]:[Test code]],[1]!Table1[Q_int_frac DIW 10 mM KOH],"",0)</f>
        <v>#REF!</v>
      </c>
      <c r="AJ1499" s="69" t="e" cm="1">
        <f t="array" ref="AJ1499">_xlfn.XLOOKUP(Table1[[#This Row],[5 cm2 cell test code]:[5 cm2 cell test code]],[1]!Table1[[Test code]:[Test code]],[1]!Table1[DIW conductivity (µS/cm)],"",0)</f>
        <v>#REF!</v>
      </c>
    </row>
    <row r="1500" spans="1:36">
      <c r="A1500" s="81"/>
      <c r="U1500" s="101"/>
      <c r="V1500" s="101"/>
      <c r="W1500" s="69" t="e" cm="1">
        <f t="array" ref="W1500">_xlfn.XLOOKUP(Table1[[#This Row],[5 cm2 cell test code]:[5 cm2 cell test code]],[1]!Table1[[Test code]:[Test code]],[1]!Table1[i @ 1.8 V DIW (A/cm2)],"",0)</f>
        <v>#REF!</v>
      </c>
      <c r="X1500" s="69" t="e" cm="1">
        <f t="array" ref="X1500">_xlfn.XLOOKUP(Table1[[#This Row],[5 cm2 cell test code]:[5 cm2 cell test code]],[1]!Table1[[Test code]:[Test code]],[1]!Table1[i @ 1.8 V 10 mM KOH (A/cm2)],"",0)</f>
        <v>#REF!</v>
      </c>
      <c r="Y1500" s="69" t="e" cm="1">
        <f t="array" ref="Y1500">_xlfn.XLOOKUP(Table1[[#This Row],[5 cm2 cell test code]:[5 cm2 cell test code]],[1]!Table1[[Test code]:[Test code]],[1]!Table1[3-E ƞ at 20mAcm-2 (mV)],"",0)</f>
        <v>#REF!</v>
      </c>
      <c r="Z1500" s="69" t="e" cm="1">
        <f t="array" ref="Z1500">_xlfn.XLOOKUP(Table1[[#This Row],[5 cm2 cell test code]:[5 cm2 cell test code]],[1]!Table1[[Test code]:[Test code]],[1]!Table1[3-E Tafel slope (mV/dec)],"",0)</f>
        <v>#REF!</v>
      </c>
      <c r="AA1500" s="69" t="e" cm="1">
        <f t="array" ref="AA1500">_xlfn.XLOOKUP(Table1[[#This Row],[5 cm2 cell test code]:[5 cm2 cell test code]],[1]!Table1[[Test code]:[Test code]],[1]!Table1[E @ 100 mA/cm2 DIW/V],"",0)</f>
        <v>#REF!</v>
      </c>
      <c r="AB1500" s="69" t="e" cm="1">
        <f t="array" ref="AB1500">_xlfn.XLOOKUP(Table1[[#This Row],[5 cm2 cell test code]:[5 cm2 cell test code]],[1]!Table1[[Test code]:[Test code]],[1]!Table1[E @ 100 mA/cm2 10 mM KOH/V],"",0)</f>
        <v>#REF!</v>
      </c>
      <c r="AC1500" s="69" t="e" cm="1">
        <f t="array" ref="AC1500">_xlfn.XLOOKUP(Table1[[#This Row],[5 cm2 cell test code]:[5 cm2 cell test code]],[1]!Table1[[Test code]:[Test code]],[1]!Table1[Anode ICR/mOhm],"",0)</f>
        <v>#REF!</v>
      </c>
      <c r="AD1500" s="69" t="e" cm="1">
        <f t="array" ref="AD1500">_xlfn.XLOOKUP(Table1[[#This Row],[5 cm2 cell test code]:[5 cm2 cell test code]],[1]!Table1[[Test code]:[Test code]],[1]!Table1[HFR DIW/ mOhm cm2],"",0)</f>
        <v>#REF!</v>
      </c>
      <c r="AE1500" s="69" t="e" cm="1">
        <f t="array" ref="AE1500">_xlfn.XLOOKUP(Table1[[#This Row],[5 cm2 cell test code]:[5 cm2 cell test code]],[1]!Table1[[Test code]:[Test code]],[1]!Table1[HFR 10 mM KOH/ mOhm cm2],"",0)</f>
        <v>#REF!</v>
      </c>
      <c r="AF1500" s="69" t="e" cm="1">
        <f t="array" ref="AF1500">_xlfn.XLOOKUP(Table1[[#This Row],[5 cm2 cell test code]:[5 cm2 cell test code]],[1]!Table1[[Test code]:[Test code]],[1]!Table1[Ionic resistance DIW/Ohm cm2],"",0)</f>
        <v>#REF!</v>
      </c>
      <c r="AG1500" s="69" t="e" cm="1">
        <f t="array" ref="AG1500">_xlfn.XLOOKUP(Table1[[#This Row],[5 cm2 cell test code]:[5 cm2 cell test code]],[1]!Table1[[Test code]:[Test code]],[1]!Table1[Q_int_frac DIW],"",0)</f>
        <v>#REF!</v>
      </c>
      <c r="AH1500" s="69" t="e" cm="1">
        <f t="array" ref="AH1500">_xlfn.XLOOKUP(Table1[[#This Row],[5 cm2 cell test code]:[5 cm2 cell test code]],[1]!Table1[[Test code]:[Test code]],[1]!Table1[Ionic resistance 10 mM KOH/Ohm cm2],"",0)</f>
        <v>#REF!</v>
      </c>
      <c r="AI1500" s="69" t="e" cm="1">
        <f t="array" ref="AI1500">_xlfn.XLOOKUP(Table1[[#This Row],[5 cm2 cell test code]:[5 cm2 cell test code]],[1]!Table1[[Test code]:[Test code]],[1]!Table1[Q_int_frac DIW 10 mM KOH],"",0)</f>
        <v>#REF!</v>
      </c>
      <c r="AJ1500" s="69" t="e" cm="1">
        <f t="array" ref="AJ1500">_xlfn.XLOOKUP(Table1[[#This Row],[5 cm2 cell test code]:[5 cm2 cell test code]],[1]!Table1[[Test code]:[Test code]],[1]!Table1[DIW conductivity (µS/cm)],"",0)</f>
        <v>#REF!</v>
      </c>
    </row>
    <row r="1501" spans="1:36">
      <c r="A1501" s="81"/>
      <c r="U1501" s="101"/>
      <c r="V1501" s="101"/>
      <c r="W1501" s="69" t="e" cm="1">
        <f t="array" ref="W1501">_xlfn.XLOOKUP(Table1[[#This Row],[5 cm2 cell test code]:[5 cm2 cell test code]],[1]!Table1[[Test code]:[Test code]],[1]!Table1[i @ 1.8 V DIW (A/cm2)],"",0)</f>
        <v>#REF!</v>
      </c>
      <c r="X1501" s="69" t="e" cm="1">
        <f t="array" ref="X1501">_xlfn.XLOOKUP(Table1[[#This Row],[5 cm2 cell test code]:[5 cm2 cell test code]],[1]!Table1[[Test code]:[Test code]],[1]!Table1[i @ 1.8 V 10 mM KOH (A/cm2)],"",0)</f>
        <v>#REF!</v>
      </c>
      <c r="Y1501" s="69" t="e" cm="1">
        <f t="array" ref="Y1501">_xlfn.XLOOKUP(Table1[[#This Row],[5 cm2 cell test code]:[5 cm2 cell test code]],[1]!Table1[[Test code]:[Test code]],[1]!Table1[3-E ƞ at 20mAcm-2 (mV)],"",0)</f>
        <v>#REF!</v>
      </c>
      <c r="Z1501" s="69" t="e" cm="1">
        <f t="array" ref="Z1501">_xlfn.XLOOKUP(Table1[[#This Row],[5 cm2 cell test code]:[5 cm2 cell test code]],[1]!Table1[[Test code]:[Test code]],[1]!Table1[3-E Tafel slope (mV/dec)],"",0)</f>
        <v>#REF!</v>
      </c>
      <c r="AA1501" s="69" t="e" cm="1">
        <f t="array" ref="AA1501">_xlfn.XLOOKUP(Table1[[#This Row],[5 cm2 cell test code]:[5 cm2 cell test code]],[1]!Table1[[Test code]:[Test code]],[1]!Table1[E @ 100 mA/cm2 DIW/V],"",0)</f>
        <v>#REF!</v>
      </c>
      <c r="AB1501" s="69" t="e" cm="1">
        <f t="array" ref="AB1501">_xlfn.XLOOKUP(Table1[[#This Row],[5 cm2 cell test code]:[5 cm2 cell test code]],[1]!Table1[[Test code]:[Test code]],[1]!Table1[E @ 100 mA/cm2 10 mM KOH/V],"",0)</f>
        <v>#REF!</v>
      </c>
      <c r="AC1501" s="69" t="e" cm="1">
        <f t="array" ref="AC1501">_xlfn.XLOOKUP(Table1[[#This Row],[5 cm2 cell test code]:[5 cm2 cell test code]],[1]!Table1[[Test code]:[Test code]],[1]!Table1[Anode ICR/mOhm],"",0)</f>
        <v>#REF!</v>
      </c>
      <c r="AD1501" s="69" t="e" cm="1">
        <f t="array" ref="AD1501">_xlfn.XLOOKUP(Table1[[#This Row],[5 cm2 cell test code]:[5 cm2 cell test code]],[1]!Table1[[Test code]:[Test code]],[1]!Table1[HFR DIW/ mOhm cm2],"",0)</f>
        <v>#REF!</v>
      </c>
      <c r="AE1501" s="69" t="e" cm="1">
        <f t="array" ref="AE1501">_xlfn.XLOOKUP(Table1[[#This Row],[5 cm2 cell test code]:[5 cm2 cell test code]],[1]!Table1[[Test code]:[Test code]],[1]!Table1[HFR 10 mM KOH/ mOhm cm2],"",0)</f>
        <v>#REF!</v>
      </c>
      <c r="AF1501" s="69" t="e" cm="1">
        <f t="array" ref="AF1501">_xlfn.XLOOKUP(Table1[[#This Row],[5 cm2 cell test code]:[5 cm2 cell test code]],[1]!Table1[[Test code]:[Test code]],[1]!Table1[Ionic resistance DIW/Ohm cm2],"",0)</f>
        <v>#REF!</v>
      </c>
      <c r="AG1501" s="69" t="e" cm="1">
        <f t="array" ref="AG1501">_xlfn.XLOOKUP(Table1[[#This Row],[5 cm2 cell test code]:[5 cm2 cell test code]],[1]!Table1[[Test code]:[Test code]],[1]!Table1[Q_int_frac DIW],"",0)</f>
        <v>#REF!</v>
      </c>
      <c r="AH1501" s="69" t="e" cm="1">
        <f t="array" ref="AH1501">_xlfn.XLOOKUP(Table1[[#This Row],[5 cm2 cell test code]:[5 cm2 cell test code]],[1]!Table1[[Test code]:[Test code]],[1]!Table1[Ionic resistance 10 mM KOH/Ohm cm2],"",0)</f>
        <v>#REF!</v>
      </c>
      <c r="AI1501" s="69" t="e" cm="1">
        <f t="array" ref="AI1501">_xlfn.XLOOKUP(Table1[[#This Row],[5 cm2 cell test code]:[5 cm2 cell test code]],[1]!Table1[[Test code]:[Test code]],[1]!Table1[Q_int_frac DIW 10 mM KOH],"",0)</f>
        <v>#REF!</v>
      </c>
      <c r="AJ1501" s="69" t="e" cm="1">
        <f t="array" ref="AJ1501">_xlfn.XLOOKUP(Table1[[#This Row],[5 cm2 cell test code]:[5 cm2 cell test code]],[1]!Table1[[Test code]:[Test code]],[1]!Table1[DIW conductivity (µS/cm)],"",0)</f>
        <v>#REF!</v>
      </c>
    </row>
    <row r="1502" spans="1:36">
      <c r="A1502" s="81"/>
      <c r="U1502" s="101"/>
      <c r="V1502" s="101"/>
      <c r="W1502" s="69" t="e" cm="1">
        <f t="array" ref="W1502">_xlfn.XLOOKUP(Table1[[#This Row],[5 cm2 cell test code]:[5 cm2 cell test code]],[1]!Table1[[Test code]:[Test code]],[1]!Table1[i @ 1.8 V DIW (A/cm2)],"",0)</f>
        <v>#REF!</v>
      </c>
      <c r="X1502" s="69" t="e" cm="1">
        <f t="array" ref="X1502">_xlfn.XLOOKUP(Table1[[#This Row],[5 cm2 cell test code]:[5 cm2 cell test code]],[1]!Table1[[Test code]:[Test code]],[1]!Table1[i @ 1.8 V 10 mM KOH (A/cm2)],"",0)</f>
        <v>#REF!</v>
      </c>
      <c r="Y1502" s="69" t="e" cm="1">
        <f t="array" ref="Y1502">_xlfn.XLOOKUP(Table1[[#This Row],[5 cm2 cell test code]:[5 cm2 cell test code]],[1]!Table1[[Test code]:[Test code]],[1]!Table1[3-E ƞ at 20mAcm-2 (mV)],"",0)</f>
        <v>#REF!</v>
      </c>
      <c r="Z1502" s="69" t="e" cm="1">
        <f t="array" ref="Z1502">_xlfn.XLOOKUP(Table1[[#This Row],[5 cm2 cell test code]:[5 cm2 cell test code]],[1]!Table1[[Test code]:[Test code]],[1]!Table1[3-E Tafel slope (mV/dec)],"",0)</f>
        <v>#REF!</v>
      </c>
      <c r="AA1502" s="69" t="e" cm="1">
        <f t="array" ref="AA1502">_xlfn.XLOOKUP(Table1[[#This Row],[5 cm2 cell test code]:[5 cm2 cell test code]],[1]!Table1[[Test code]:[Test code]],[1]!Table1[E @ 100 mA/cm2 DIW/V],"",0)</f>
        <v>#REF!</v>
      </c>
      <c r="AB1502" s="69" t="e" cm="1">
        <f t="array" ref="AB1502">_xlfn.XLOOKUP(Table1[[#This Row],[5 cm2 cell test code]:[5 cm2 cell test code]],[1]!Table1[[Test code]:[Test code]],[1]!Table1[E @ 100 mA/cm2 10 mM KOH/V],"",0)</f>
        <v>#REF!</v>
      </c>
      <c r="AC1502" s="69" t="e" cm="1">
        <f t="array" ref="AC1502">_xlfn.XLOOKUP(Table1[[#This Row],[5 cm2 cell test code]:[5 cm2 cell test code]],[1]!Table1[[Test code]:[Test code]],[1]!Table1[Anode ICR/mOhm],"",0)</f>
        <v>#REF!</v>
      </c>
      <c r="AD1502" s="69" t="e" cm="1">
        <f t="array" ref="AD1502">_xlfn.XLOOKUP(Table1[[#This Row],[5 cm2 cell test code]:[5 cm2 cell test code]],[1]!Table1[[Test code]:[Test code]],[1]!Table1[HFR DIW/ mOhm cm2],"",0)</f>
        <v>#REF!</v>
      </c>
      <c r="AE1502" s="69" t="e" cm="1">
        <f t="array" ref="AE1502">_xlfn.XLOOKUP(Table1[[#This Row],[5 cm2 cell test code]:[5 cm2 cell test code]],[1]!Table1[[Test code]:[Test code]],[1]!Table1[HFR 10 mM KOH/ mOhm cm2],"",0)</f>
        <v>#REF!</v>
      </c>
      <c r="AF1502" s="69" t="e" cm="1">
        <f t="array" ref="AF1502">_xlfn.XLOOKUP(Table1[[#This Row],[5 cm2 cell test code]:[5 cm2 cell test code]],[1]!Table1[[Test code]:[Test code]],[1]!Table1[Ionic resistance DIW/Ohm cm2],"",0)</f>
        <v>#REF!</v>
      </c>
      <c r="AG1502" s="69" t="e" cm="1">
        <f t="array" ref="AG1502">_xlfn.XLOOKUP(Table1[[#This Row],[5 cm2 cell test code]:[5 cm2 cell test code]],[1]!Table1[[Test code]:[Test code]],[1]!Table1[Q_int_frac DIW],"",0)</f>
        <v>#REF!</v>
      </c>
      <c r="AH1502" s="69" t="e" cm="1">
        <f t="array" ref="AH1502">_xlfn.XLOOKUP(Table1[[#This Row],[5 cm2 cell test code]:[5 cm2 cell test code]],[1]!Table1[[Test code]:[Test code]],[1]!Table1[Ionic resistance 10 mM KOH/Ohm cm2],"",0)</f>
        <v>#REF!</v>
      </c>
      <c r="AI1502" s="69" t="e" cm="1">
        <f t="array" ref="AI1502">_xlfn.XLOOKUP(Table1[[#This Row],[5 cm2 cell test code]:[5 cm2 cell test code]],[1]!Table1[[Test code]:[Test code]],[1]!Table1[Q_int_frac DIW 10 mM KOH],"",0)</f>
        <v>#REF!</v>
      </c>
      <c r="AJ1502" s="69" t="e" cm="1">
        <f t="array" ref="AJ1502">_xlfn.XLOOKUP(Table1[[#This Row],[5 cm2 cell test code]:[5 cm2 cell test code]],[1]!Table1[[Test code]:[Test code]],[1]!Table1[DIW conductivity (µS/cm)],"",0)</f>
        <v>#REF!</v>
      </c>
    </row>
    <row r="1503" spans="1:36">
      <c r="A1503" s="81"/>
      <c r="U1503" s="101"/>
      <c r="V1503" s="101"/>
      <c r="W1503" s="69" t="e" cm="1">
        <f t="array" ref="W1503">_xlfn.XLOOKUP(Table1[[#This Row],[5 cm2 cell test code]:[5 cm2 cell test code]],[1]!Table1[[Test code]:[Test code]],[1]!Table1[i @ 1.8 V DIW (A/cm2)],"",0)</f>
        <v>#REF!</v>
      </c>
      <c r="X1503" s="69" t="e" cm="1">
        <f t="array" ref="X1503">_xlfn.XLOOKUP(Table1[[#This Row],[5 cm2 cell test code]:[5 cm2 cell test code]],[1]!Table1[[Test code]:[Test code]],[1]!Table1[i @ 1.8 V 10 mM KOH (A/cm2)],"",0)</f>
        <v>#REF!</v>
      </c>
      <c r="Y1503" s="69" t="e" cm="1">
        <f t="array" ref="Y1503">_xlfn.XLOOKUP(Table1[[#This Row],[5 cm2 cell test code]:[5 cm2 cell test code]],[1]!Table1[[Test code]:[Test code]],[1]!Table1[3-E ƞ at 20mAcm-2 (mV)],"",0)</f>
        <v>#REF!</v>
      </c>
      <c r="Z1503" s="69" t="e" cm="1">
        <f t="array" ref="Z1503">_xlfn.XLOOKUP(Table1[[#This Row],[5 cm2 cell test code]:[5 cm2 cell test code]],[1]!Table1[[Test code]:[Test code]],[1]!Table1[3-E Tafel slope (mV/dec)],"",0)</f>
        <v>#REF!</v>
      </c>
      <c r="AA1503" s="69" t="e" cm="1">
        <f t="array" ref="AA1503">_xlfn.XLOOKUP(Table1[[#This Row],[5 cm2 cell test code]:[5 cm2 cell test code]],[1]!Table1[[Test code]:[Test code]],[1]!Table1[E @ 100 mA/cm2 DIW/V],"",0)</f>
        <v>#REF!</v>
      </c>
      <c r="AB1503" s="69" t="e" cm="1">
        <f t="array" ref="AB1503">_xlfn.XLOOKUP(Table1[[#This Row],[5 cm2 cell test code]:[5 cm2 cell test code]],[1]!Table1[[Test code]:[Test code]],[1]!Table1[E @ 100 mA/cm2 10 mM KOH/V],"",0)</f>
        <v>#REF!</v>
      </c>
      <c r="AC1503" s="69" t="e" cm="1">
        <f t="array" ref="AC1503">_xlfn.XLOOKUP(Table1[[#This Row],[5 cm2 cell test code]:[5 cm2 cell test code]],[1]!Table1[[Test code]:[Test code]],[1]!Table1[Anode ICR/mOhm],"",0)</f>
        <v>#REF!</v>
      </c>
      <c r="AD1503" s="69" t="e" cm="1">
        <f t="array" ref="AD1503">_xlfn.XLOOKUP(Table1[[#This Row],[5 cm2 cell test code]:[5 cm2 cell test code]],[1]!Table1[[Test code]:[Test code]],[1]!Table1[HFR DIW/ mOhm cm2],"",0)</f>
        <v>#REF!</v>
      </c>
      <c r="AE1503" s="69" t="e" cm="1">
        <f t="array" ref="AE1503">_xlfn.XLOOKUP(Table1[[#This Row],[5 cm2 cell test code]:[5 cm2 cell test code]],[1]!Table1[[Test code]:[Test code]],[1]!Table1[HFR 10 mM KOH/ mOhm cm2],"",0)</f>
        <v>#REF!</v>
      </c>
      <c r="AF1503" s="69" t="e" cm="1">
        <f t="array" ref="AF1503">_xlfn.XLOOKUP(Table1[[#This Row],[5 cm2 cell test code]:[5 cm2 cell test code]],[1]!Table1[[Test code]:[Test code]],[1]!Table1[Ionic resistance DIW/Ohm cm2],"",0)</f>
        <v>#REF!</v>
      </c>
      <c r="AG1503" s="69" t="e" cm="1">
        <f t="array" ref="AG1503">_xlfn.XLOOKUP(Table1[[#This Row],[5 cm2 cell test code]:[5 cm2 cell test code]],[1]!Table1[[Test code]:[Test code]],[1]!Table1[Q_int_frac DIW],"",0)</f>
        <v>#REF!</v>
      </c>
      <c r="AH1503" s="69" t="e" cm="1">
        <f t="array" ref="AH1503">_xlfn.XLOOKUP(Table1[[#This Row],[5 cm2 cell test code]:[5 cm2 cell test code]],[1]!Table1[[Test code]:[Test code]],[1]!Table1[Ionic resistance 10 mM KOH/Ohm cm2],"",0)</f>
        <v>#REF!</v>
      </c>
      <c r="AI1503" s="69" t="e" cm="1">
        <f t="array" ref="AI1503">_xlfn.XLOOKUP(Table1[[#This Row],[5 cm2 cell test code]:[5 cm2 cell test code]],[1]!Table1[[Test code]:[Test code]],[1]!Table1[Q_int_frac DIW 10 mM KOH],"",0)</f>
        <v>#REF!</v>
      </c>
      <c r="AJ1503" s="69" t="e" cm="1">
        <f t="array" ref="AJ1503">_xlfn.XLOOKUP(Table1[[#This Row],[5 cm2 cell test code]:[5 cm2 cell test code]],[1]!Table1[[Test code]:[Test code]],[1]!Table1[DIW conductivity (µS/cm)],"",0)</f>
        <v>#REF!</v>
      </c>
    </row>
    <row r="1504" spans="1:36">
      <c r="A1504" s="81"/>
      <c r="U1504" s="101"/>
      <c r="V1504" s="101"/>
      <c r="W1504" s="69" t="e" cm="1">
        <f t="array" ref="W1504">_xlfn.XLOOKUP(Table1[[#This Row],[5 cm2 cell test code]:[5 cm2 cell test code]],[1]!Table1[[Test code]:[Test code]],[1]!Table1[i @ 1.8 V DIW (A/cm2)],"",0)</f>
        <v>#REF!</v>
      </c>
      <c r="X1504" s="69" t="e" cm="1">
        <f t="array" ref="X1504">_xlfn.XLOOKUP(Table1[[#This Row],[5 cm2 cell test code]:[5 cm2 cell test code]],[1]!Table1[[Test code]:[Test code]],[1]!Table1[i @ 1.8 V 10 mM KOH (A/cm2)],"",0)</f>
        <v>#REF!</v>
      </c>
      <c r="Y1504" s="69" t="e" cm="1">
        <f t="array" ref="Y1504">_xlfn.XLOOKUP(Table1[[#This Row],[5 cm2 cell test code]:[5 cm2 cell test code]],[1]!Table1[[Test code]:[Test code]],[1]!Table1[3-E ƞ at 20mAcm-2 (mV)],"",0)</f>
        <v>#REF!</v>
      </c>
      <c r="Z1504" s="69" t="e" cm="1">
        <f t="array" ref="Z1504">_xlfn.XLOOKUP(Table1[[#This Row],[5 cm2 cell test code]:[5 cm2 cell test code]],[1]!Table1[[Test code]:[Test code]],[1]!Table1[3-E Tafel slope (mV/dec)],"",0)</f>
        <v>#REF!</v>
      </c>
      <c r="AA1504" s="69" t="e" cm="1">
        <f t="array" ref="AA1504">_xlfn.XLOOKUP(Table1[[#This Row],[5 cm2 cell test code]:[5 cm2 cell test code]],[1]!Table1[[Test code]:[Test code]],[1]!Table1[E @ 100 mA/cm2 DIW/V],"",0)</f>
        <v>#REF!</v>
      </c>
      <c r="AB1504" s="69" t="e" cm="1">
        <f t="array" ref="AB1504">_xlfn.XLOOKUP(Table1[[#This Row],[5 cm2 cell test code]:[5 cm2 cell test code]],[1]!Table1[[Test code]:[Test code]],[1]!Table1[E @ 100 mA/cm2 10 mM KOH/V],"",0)</f>
        <v>#REF!</v>
      </c>
      <c r="AC1504" s="69" t="e" cm="1">
        <f t="array" ref="AC1504">_xlfn.XLOOKUP(Table1[[#This Row],[5 cm2 cell test code]:[5 cm2 cell test code]],[1]!Table1[[Test code]:[Test code]],[1]!Table1[Anode ICR/mOhm],"",0)</f>
        <v>#REF!</v>
      </c>
      <c r="AD1504" s="69" t="e" cm="1">
        <f t="array" ref="AD1504">_xlfn.XLOOKUP(Table1[[#This Row],[5 cm2 cell test code]:[5 cm2 cell test code]],[1]!Table1[[Test code]:[Test code]],[1]!Table1[HFR DIW/ mOhm cm2],"",0)</f>
        <v>#REF!</v>
      </c>
      <c r="AE1504" s="69" t="e" cm="1">
        <f t="array" ref="AE1504">_xlfn.XLOOKUP(Table1[[#This Row],[5 cm2 cell test code]:[5 cm2 cell test code]],[1]!Table1[[Test code]:[Test code]],[1]!Table1[HFR 10 mM KOH/ mOhm cm2],"",0)</f>
        <v>#REF!</v>
      </c>
      <c r="AF1504" s="69" t="e" cm="1">
        <f t="array" ref="AF1504">_xlfn.XLOOKUP(Table1[[#This Row],[5 cm2 cell test code]:[5 cm2 cell test code]],[1]!Table1[[Test code]:[Test code]],[1]!Table1[Ionic resistance DIW/Ohm cm2],"",0)</f>
        <v>#REF!</v>
      </c>
      <c r="AG1504" s="69" t="e" cm="1">
        <f t="array" ref="AG1504">_xlfn.XLOOKUP(Table1[[#This Row],[5 cm2 cell test code]:[5 cm2 cell test code]],[1]!Table1[[Test code]:[Test code]],[1]!Table1[Q_int_frac DIW],"",0)</f>
        <v>#REF!</v>
      </c>
      <c r="AH1504" s="69" t="e" cm="1">
        <f t="array" ref="AH1504">_xlfn.XLOOKUP(Table1[[#This Row],[5 cm2 cell test code]:[5 cm2 cell test code]],[1]!Table1[[Test code]:[Test code]],[1]!Table1[Ionic resistance 10 mM KOH/Ohm cm2],"",0)</f>
        <v>#REF!</v>
      </c>
      <c r="AI1504" s="69" t="e" cm="1">
        <f t="array" ref="AI1504">_xlfn.XLOOKUP(Table1[[#This Row],[5 cm2 cell test code]:[5 cm2 cell test code]],[1]!Table1[[Test code]:[Test code]],[1]!Table1[Q_int_frac DIW 10 mM KOH],"",0)</f>
        <v>#REF!</v>
      </c>
      <c r="AJ1504" s="69" t="e" cm="1">
        <f t="array" ref="AJ1504">_xlfn.XLOOKUP(Table1[[#This Row],[5 cm2 cell test code]:[5 cm2 cell test code]],[1]!Table1[[Test code]:[Test code]],[1]!Table1[DIW conductivity (µS/cm)],"",0)</f>
        <v>#REF!</v>
      </c>
    </row>
    <row r="1505" spans="1:36">
      <c r="A1505" s="81"/>
      <c r="U1505" s="101"/>
      <c r="V1505" s="101"/>
      <c r="W1505" s="69" t="e" cm="1">
        <f t="array" ref="W1505">_xlfn.XLOOKUP(Table1[[#This Row],[5 cm2 cell test code]:[5 cm2 cell test code]],[1]!Table1[[Test code]:[Test code]],[1]!Table1[i @ 1.8 V DIW (A/cm2)],"",0)</f>
        <v>#REF!</v>
      </c>
      <c r="X1505" s="69" t="e" cm="1">
        <f t="array" ref="X1505">_xlfn.XLOOKUP(Table1[[#This Row],[5 cm2 cell test code]:[5 cm2 cell test code]],[1]!Table1[[Test code]:[Test code]],[1]!Table1[i @ 1.8 V 10 mM KOH (A/cm2)],"",0)</f>
        <v>#REF!</v>
      </c>
      <c r="Y1505" s="69" t="e" cm="1">
        <f t="array" ref="Y1505">_xlfn.XLOOKUP(Table1[[#This Row],[5 cm2 cell test code]:[5 cm2 cell test code]],[1]!Table1[[Test code]:[Test code]],[1]!Table1[3-E ƞ at 20mAcm-2 (mV)],"",0)</f>
        <v>#REF!</v>
      </c>
      <c r="Z1505" s="69" t="e" cm="1">
        <f t="array" ref="Z1505">_xlfn.XLOOKUP(Table1[[#This Row],[5 cm2 cell test code]:[5 cm2 cell test code]],[1]!Table1[[Test code]:[Test code]],[1]!Table1[3-E Tafel slope (mV/dec)],"",0)</f>
        <v>#REF!</v>
      </c>
      <c r="AA1505" s="69" t="e" cm="1">
        <f t="array" ref="AA1505">_xlfn.XLOOKUP(Table1[[#This Row],[5 cm2 cell test code]:[5 cm2 cell test code]],[1]!Table1[[Test code]:[Test code]],[1]!Table1[E @ 100 mA/cm2 DIW/V],"",0)</f>
        <v>#REF!</v>
      </c>
      <c r="AB1505" s="69" t="e" cm="1">
        <f t="array" ref="AB1505">_xlfn.XLOOKUP(Table1[[#This Row],[5 cm2 cell test code]:[5 cm2 cell test code]],[1]!Table1[[Test code]:[Test code]],[1]!Table1[E @ 100 mA/cm2 10 mM KOH/V],"",0)</f>
        <v>#REF!</v>
      </c>
      <c r="AC1505" s="69" t="e" cm="1">
        <f t="array" ref="AC1505">_xlfn.XLOOKUP(Table1[[#This Row],[5 cm2 cell test code]:[5 cm2 cell test code]],[1]!Table1[[Test code]:[Test code]],[1]!Table1[Anode ICR/mOhm],"",0)</f>
        <v>#REF!</v>
      </c>
      <c r="AD1505" s="69" t="e" cm="1">
        <f t="array" ref="AD1505">_xlfn.XLOOKUP(Table1[[#This Row],[5 cm2 cell test code]:[5 cm2 cell test code]],[1]!Table1[[Test code]:[Test code]],[1]!Table1[HFR DIW/ mOhm cm2],"",0)</f>
        <v>#REF!</v>
      </c>
      <c r="AE1505" s="69" t="e" cm="1">
        <f t="array" ref="AE1505">_xlfn.XLOOKUP(Table1[[#This Row],[5 cm2 cell test code]:[5 cm2 cell test code]],[1]!Table1[[Test code]:[Test code]],[1]!Table1[HFR 10 mM KOH/ mOhm cm2],"",0)</f>
        <v>#REF!</v>
      </c>
      <c r="AF1505" s="69" t="e" cm="1">
        <f t="array" ref="AF1505">_xlfn.XLOOKUP(Table1[[#This Row],[5 cm2 cell test code]:[5 cm2 cell test code]],[1]!Table1[[Test code]:[Test code]],[1]!Table1[Ionic resistance DIW/Ohm cm2],"",0)</f>
        <v>#REF!</v>
      </c>
      <c r="AG1505" s="69" t="e" cm="1">
        <f t="array" ref="AG1505">_xlfn.XLOOKUP(Table1[[#This Row],[5 cm2 cell test code]:[5 cm2 cell test code]],[1]!Table1[[Test code]:[Test code]],[1]!Table1[Q_int_frac DIW],"",0)</f>
        <v>#REF!</v>
      </c>
      <c r="AH1505" s="69" t="e" cm="1">
        <f t="array" ref="AH1505">_xlfn.XLOOKUP(Table1[[#This Row],[5 cm2 cell test code]:[5 cm2 cell test code]],[1]!Table1[[Test code]:[Test code]],[1]!Table1[Ionic resistance 10 mM KOH/Ohm cm2],"",0)</f>
        <v>#REF!</v>
      </c>
      <c r="AI1505" s="69" t="e" cm="1">
        <f t="array" ref="AI1505">_xlfn.XLOOKUP(Table1[[#This Row],[5 cm2 cell test code]:[5 cm2 cell test code]],[1]!Table1[[Test code]:[Test code]],[1]!Table1[Q_int_frac DIW 10 mM KOH],"",0)</f>
        <v>#REF!</v>
      </c>
      <c r="AJ1505" s="69" t="e" cm="1">
        <f t="array" ref="AJ1505">_xlfn.XLOOKUP(Table1[[#This Row],[5 cm2 cell test code]:[5 cm2 cell test code]],[1]!Table1[[Test code]:[Test code]],[1]!Table1[DIW conductivity (µS/cm)],"",0)</f>
        <v>#REF!</v>
      </c>
    </row>
    <row r="1506" spans="1:36">
      <c r="A1506" s="81"/>
      <c r="U1506" s="101"/>
      <c r="V1506" s="101"/>
      <c r="W1506" s="69" t="e" cm="1">
        <f t="array" ref="W1506">_xlfn.XLOOKUP(Table1[[#This Row],[5 cm2 cell test code]:[5 cm2 cell test code]],[1]!Table1[[Test code]:[Test code]],[1]!Table1[i @ 1.8 V DIW (A/cm2)],"",0)</f>
        <v>#REF!</v>
      </c>
      <c r="X1506" s="69" t="e" cm="1">
        <f t="array" ref="X1506">_xlfn.XLOOKUP(Table1[[#This Row],[5 cm2 cell test code]:[5 cm2 cell test code]],[1]!Table1[[Test code]:[Test code]],[1]!Table1[i @ 1.8 V 10 mM KOH (A/cm2)],"",0)</f>
        <v>#REF!</v>
      </c>
      <c r="Y1506" s="69" t="e" cm="1">
        <f t="array" ref="Y1506">_xlfn.XLOOKUP(Table1[[#This Row],[5 cm2 cell test code]:[5 cm2 cell test code]],[1]!Table1[[Test code]:[Test code]],[1]!Table1[3-E ƞ at 20mAcm-2 (mV)],"",0)</f>
        <v>#REF!</v>
      </c>
      <c r="Z1506" s="69" t="e" cm="1">
        <f t="array" ref="Z1506">_xlfn.XLOOKUP(Table1[[#This Row],[5 cm2 cell test code]:[5 cm2 cell test code]],[1]!Table1[[Test code]:[Test code]],[1]!Table1[3-E Tafel slope (mV/dec)],"",0)</f>
        <v>#REF!</v>
      </c>
      <c r="AA1506" s="69" t="e" cm="1">
        <f t="array" ref="AA1506">_xlfn.XLOOKUP(Table1[[#This Row],[5 cm2 cell test code]:[5 cm2 cell test code]],[1]!Table1[[Test code]:[Test code]],[1]!Table1[E @ 100 mA/cm2 DIW/V],"",0)</f>
        <v>#REF!</v>
      </c>
      <c r="AB1506" s="69" t="e" cm="1">
        <f t="array" ref="AB1506">_xlfn.XLOOKUP(Table1[[#This Row],[5 cm2 cell test code]:[5 cm2 cell test code]],[1]!Table1[[Test code]:[Test code]],[1]!Table1[E @ 100 mA/cm2 10 mM KOH/V],"",0)</f>
        <v>#REF!</v>
      </c>
      <c r="AC1506" s="69" t="e" cm="1">
        <f t="array" ref="AC1506">_xlfn.XLOOKUP(Table1[[#This Row],[5 cm2 cell test code]:[5 cm2 cell test code]],[1]!Table1[[Test code]:[Test code]],[1]!Table1[Anode ICR/mOhm],"",0)</f>
        <v>#REF!</v>
      </c>
      <c r="AD1506" s="69" t="e" cm="1">
        <f t="array" ref="AD1506">_xlfn.XLOOKUP(Table1[[#This Row],[5 cm2 cell test code]:[5 cm2 cell test code]],[1]!Table1[[Test code]:[Test code]],[1]!Table1[HFR DIW/ mOhm cm2],"",0)</f>
        <v>#REF!</v>
      </c>
      <c r="AE1506" s="69" t="e" cm="1">
        <f t="array" ref="AE1506">_xlfn.XLOOKUP(Table1[[#This Row],[5 cm2 cell test code]:[5 cm2 cell test code]],[1]!Table1[[Test code]:[Test code]],[1]!Table1[HFR 10 mM KOH/ mOhm cm2],"",0)</f>
        <v>#REF!</v>
      </c>
      <c r="AF1506" s="69" t="e" cm="1">
        <f t="array" ref="AF1506">_xlfn.XLOOKUP(Table1[[#This Row],[5 cm2 cell test code]:[5 cm2 cell test code]],[1]!Table1[[Test code]:[Test code]],[1]!Table1[Ionic resistance DIW/Ohm cm2],"",0)</f>
        <v>#REF!</v>
      </c>
      <c r="AG1506" s="69" t="e" cm="1">
        <f t="array" ref="AG1506">_xlfn.XLOOKUP(Table1[[#This Row],[5 cm2 cell test code]:[5 cm2 cell test code]],[1]!Table1[[Test code]:[Test code]],[1]!Table1[Q_int_frac DIW],"",0)</f>
        <v>#REF!</v>
      </c>
      <c r="AH1506" s="69" t="e" cm="1">
        <f t="array" ref="AH1506">_xlfn.XLOOKUP(Table1[[#This Row],[5 cm2 cell test code]:[5 cm2 cell test code]],[1]!Table1[[Test code]:[Test code]],[1]!Table1[Ionic resistance 10 mM KOH/Ohm cm2],"",0)</f>
        <v>#REF!</v>
      </c>
      <c r="AI1506" s="69" t="e" cm="1">
        <f t="array" ref="AI1506">_xlfn.XLOOKUP(Table1[[#This Row],[5 cm2 cell test code]:[5 cm2 cell test code]],[1]!Table1[[Test code]:[Test code]],[1]!Table1[Q_int_frac DIW 10 mM KOH],"",0)</f>
        <v>#REF!</v>
      </c>
      <c r="AJ1506" s="69" t="e" cm="1">
        <f t="array" ref="AJ1506">_xlfn.XLOOKUP(Table1[[#This Row],[5 cm2 cell test code]:[5 cm2 cell test code]],[1]!Table1[[Test code]:[Test code]],[1]!Table1[DIW conductivity (µS/cm)],"",0)</f>
        <v>#REF!</v>
      </c>
    </row>
    <row r="1507" spans="1:36">
      <c r="A1507" s="81"/>
      <c r="U1507" s="101"/>
      <c r="V1507" s="101"/>
      <c r="W1507" s="69" t="e" cm="1">
        <f t="array" ref="W1507">_xlfn.XLOOKUP(Table1[[#This Row],[5 cm2 cell test code]:[5 cm2 cell test code]],[1]!Table1[[Test code]:[Test code]],[1]!Table1[i @ 1.8 V DIW (A/cm2)],"",0)</f>
        <v>#REF!</v>
      </c>
      <c r="X1507" s="69" t="e" cm="1">
        <f t="array" ref="X1507">_xlfn.XLOOKUP(Table1[[#This Row],[5 cm2 cell test code]:[5 cm2 cell test code]],[1]!Table1[[Test code]:[Test code]],[1]!Table1[i @ 1.8 V 10 mM KOH (A/cm2)],"",0)</f>
        <v>#REF!</v>
      </c>
      <c r="Y1507" s="69" t="e" cm="1">
        <f t="array" ref="Y1507">_xlfn.XLOOKUP(Table1[[#This Row],[5 cm2 cell test code]:[5 cm2 cell test code]],[1]!Table1[[Test code]:[Test code]],[1]!Table1[3-E ƞ at 20mAcm-2 (mV)],"",0)</f>
        <v>#REF!</v>
      </c>
      <c r="Z1507" s="69" t="e" cm="1">
        <f t="array" ref="Z1507">_xlfn.XLOOKUP(Table1[[#This Row],[5 cm2 cell test code]:[5 cm2 cell test code]],[1]!Table1[[Test code]:[Test code]],[1]!Table1[3-E Tafel slope (mV/dec)],"",0)</f>
        <v>#REF!</v>
      </c>
      <c r="AA1507" s="69" t="e" cm="1">
        <f t="array" ref="AA1507">_xlfn.XLOOKUP(Table1[[#This Row],[5 cm2 cell test code]:[5 cm2 cell test code]],[1]!Table1[[Test code]:[Test code]],[1]!Table1[E @ 100 mA/cm2 DIW/V],"",0)</f>
        <v>#REF!</v>
      </c>
      <c r="AB1507" s="69" t="e" cm="1">
        <f t="array" ref="AB1507">_xlfn.XLOOKUP(Table1[[#This Row],[5 cm2 cell test code]:[5 cm2 cell test code]],[1]!Table1[[Test code]:[Test code]],[1]!Table1[E @ 100 mA/cm2 10 mM KOH/V],"",0)</f>
        <v>#REF!</v>
      </c>
      <c r="AC1507" s="69" t="e" cm="1">
        <f t="array" ref="AC1507">_xlfn.XLOOKUP(Table1[[#This Row],[5 cm2 cell test code]:[5 cm2 cell test code]],[1]!Table1[[Test code]:[Test code]],[1]!Table1[Anode ICR/mOhm],"",0)</f>
        <v>#REF!</v>
      </c>
      <c r="AD1507" s="69" t="e" cm="1">
        <f t="array" ref="AD1507">_xlfn.XLOOKUP(Table1[[#This Row],[5 cm2 cell test code]:[5 cm2 cell test code]],[1]!Table1[[Test code]:[Test code]],[1]!Table1[HFR DIW/ mOhm cm2],"",0)</f>
        <v>#REF!</v>
      </c>
      <c r="AE1507" s="69" t="e" cm="1">
        <f t="array" ref="AE1507">_xlfn.XLOOKUP(Table1[[#This Row],[5 cm2 cell test code]:[5 cm2 cell test code]],[1]!Table1[[Test code]:[Test code]],[1]!Table1[HFR 10 mM KOH/ mOhm cm2],"",0)</f>
        <v>#REF!</v>
      </c>
      <c r="AF1507" s="69" t="e" cm="1">
        <f t="array" ref="AF1507">_xlfn.XLOOKUP(Table1[[#This Row],[5 cm2 cell test code]:[5 cm2 cell test code]],[1]!Table1[[Test code]:[Test code]],[1]!Table1[Ionic resistance DIW/Ohm cm2],"",0)</f>
        <v>#REF!</v>
      </c>
      <c r="AG1507" s="69" t="e" cm="1">
        <f t="array" ref="AG1507">_xlfn.XLOOKUP(Table1[[#This Row],[5 cm2 cell test code]:[5 cm2 cell test code]],[1]!Table1[[Test code]:[Test code]],[1]!Table1[Q_int_frac DIW],"",0)</f>
        <v>#REF!</v>
      </c>
      <c r="AH1507" s="69" t="e" cm="1">
        <f t="array" ref="AH1507">_xlfn.XLOOKUP(Table1[[#This Row],[5 cm2 cell test code]:[5 cm2 cell test code]],[1]!Table1[[Test code]:[Test code]],[1]!Table1[Ionic resistance 10 mM KOH/Ohm cm2],"",0)</f>
        <v>#REF!</v>
      </c>
      <c r="AI1507" s="69" t="e" cm="1">
        <f t="array" ref="AI1507">_xlfn.XLOOKUP(Table1[[#This Row],[5 cm2 cell test code]:[5 cm2 cell test code]],[1]!Table1[[Test code]:[Test code]],[1]!Table1[Q_int_frac DIW 10 mM KOH],"",0)</f>
        <v>#REF!</v>
      </c>
      <c r="AJ1507" s="69" t="e" cm="1">
        <f t="array" ref="AJ1507">_xlfn.XLOOKUP(Table1[[#This Row],[5 cm2 cell test code]:[5 cm2 cell test code]],[1]!Table1[[Test code]:[Test code]],[1]!Table1[DIW conductivity (µS/cm)],"",0)</f>
        <v>#REF!</v>
      </c>
    </row>
    <row r="1508" spans="1:36">
      <c r="A1508" s="81"/>
      <c r="U1508" s="101"/>
      <c r="V1508" s="101"/>
      <c r="W1508" s="69" t="e" cm="1">
        <f t="array" ref="W1508">_xlfn.XLOOKUP(Table1[[#This Row],[5 cm2 cell test code]:[5 cm2 cell test code]],[1]!Table1[[Test code]:[Test code]],[1]!Table1[i @ 1.8 V DIW (A/cm2)],"",0)</f>
        <v>#REF!</v>
      </c>
      <c r="X1508" s="69" t="e" cm="1">
        <f t="array" ref="X1508">_xlfn.XLOOKUP(Table1[[#This Row],[5 cm2 cell test code]:[5 cm2 cell test code]],[1]!Table1[[Test code]:[Test code]],[1]!Table1[i @ 1.8 V 10 mM KOH (A/cm2)],"",0)</f>
        <v>#REF!</v>
      </c>
      <c r="Y1508" s="69" t="e" cm="1">
        <f t="array" ref="Y1508">_xlfn.XLOOKUP(Table1[[#This Row],[5 cm2 cell test code]:[5 cm2 cell test code]],[1]!Table1[[Test code]:[Test code]],[1]!Table1[3-E ƞ at 20mAcm-2 (mV)],"",0)</f>
        <v>#REF!</v>
      </c>
      <c r="Z1508" s="69" t="e" cm="1">
        <f t="array" ref="Z1508">_xlfn.XLOOKUP(Table1[[#This Row],[5 cm2 cell test code]:[5 cm2 cell test code]],[1]!Table1[[Test code]:[Test code]],[1]!Table1[3-E Tafel slope (mV/dec)],"",0)</f>
        <v>#REF!</v>
      </c>
      <c r="AA1508" s="69" t="e" cm="1">
        <f t="array" ref="AA1508">_xlfn.XLOOKUP(Table1[[#This Row],[5 cm2 cell test code]:[5 cm2 cell test code]],[1]!Table1[[Test code]:[Test code]],[1]!Table1[E @ 100 mA/cm2 DIW/V],"",0)</f>
        <v>#REF!</v>
      </c>
      <c r="AB1508" s="69" t="e" cm="1">
        <f t="array" ref="AB1508">_xlfn.XLOOKUP(Table1[[#This Row],[5 cm2 cell test code]:[5 cm2 cell test code]],[1]!Table1[[Test code]:[Test code]],[1]!Table1[E @ 100 mA/cm2 10 mM KOH/V],"",0)</f>
        <v>#REF!</v>
      </c>
      <c r="AC1508" s="69" t="e" cm="1">
        <f t="array" ref="AC1508">_xlfn.XLOOKUP(Table1[[#This Row],[5 cm2 cell test code]:[5 cm2 cell test code]],[1]!Table1[[Test code]:[Test code]],[1]!Table1[Anode ICR/mOhm],"",0)</f>
        <v>#REF!</v>
      </c>
      <c r="AD1508" s="69" t="e" cm="1">
        <f t="array" ref="AD1508">_xlfn.XLOOKUP(Table1[[#This Row],[5 cm2 cell test code]:[5 cm2 cell test code]],[1]!Table1[[Test code]:[Test code]],[1]!Table1[HFR DIW/ mOhm cm2],"",0)</f>
        <v>#REF!</v>
      </c>
      <c r="AE1508" s="69" t="e" cm="1">
        <f t="array" ref="AE1508">_xlfn.XLOOKUP(Table1[[#This Row],[5 cm2 cell test code]:[5 cm2 cell test code]],[1]!Table1[[Test code]:[Test code]],[1]!Table1[HFR 10 mM KOH/ mOhm cm2],"",0)</f>
        <v>#REF!</v>
      </c>
      <c r="AF1508" s="69" t="e" cm="1">
        <f t="array" ref="AF1508">_xlfn.XLOOKUP(Table1[[#This Row],[5 cm2 cell test code]:[5 cm2 cell test code]],[1]!Table1[[Test code]:[Test code]],[1]!Table1[Ionic resistance DIW/Ohm cm2],"",0)</f>
        <v>#REF!</v>
      </c>
      <c r="AG1508" s="69" t="e" cm="1">
        <f t="array" ref="AG1508">_xlfn.XLOOKUP(Table1[[#This Row],[5 cm2 cell test code]:[5 cm2 cell test code]],[1]!Table1[[Test code]:[Test code]],[1]!Table1[Q_int_frac DIW],"",0)</f>
        <v>#REF!</v>
      </c>
      <c r="AH1508" s="69" t="e" cm="1">
        <f t="array" ref="AH1508">_xlfn.XLOOKUP(Table1[[#This Row],[5 cm2 cell test code]:[5 cm2 cell test code]],[1]!Table1[[Test code]:[Test code]],[1]!Table1[Ionic resistance 10 mM KOH/Ohm cm2],"",0)</f>
        <v>#REF!</v>
      </c>
      <c r="AI1508" s="69" t="e" cm="1">
        <f t="array" ref="AI1508">_xlfn.XLOOKUP(Table1[[#This Row],[5 cm2 cell test code]:[5 cm2 cell test code]],[1]!Table1[[Test code]:[Test code]],[1]!Table1[Q_int_frac DIW 10 mM KOH],"",0)</f>
        <v>#REF!</v>
      </c>
      <c r="AJ1508" s="69" t="e" cm="1">
        <f t="array" ref="AJ1508">_xlfn.XLOOKUP(Table1[[#This Row],[5 cm2 cell test code]:[5 cm2 cell test code]],[1]!Table1[[Test code]:[Test code]],[1]!Table1[DIW conductivity (µS/cm)],"",0)</f>
        <v>#REF!</v>
      </c>
    </row>
    <row r="1509" spans="1:36">
      <c r="A1509" s="81"/>
      <c r="U1509" s="101"/>
      <c r="V1509" s="101"/>
      <c r="W1509" s="69" t="e" cm="1">
        <f t="array" ref="W1509">_xlfn.XLOOKUP(Table1[[#This Row],[5 cm2 cell test code]:[5 cm2 cell test code]],[1]!Table1[[Test code]:[Test code]],[1]!Table1[i @ 1.8 V DIW (A/cm2)],"",0)</f>
        <v>#REF!</v>
      </c>
      <c r="X1509" s="69" t="e" cm="1">
        <f t="array" ref="X1509">_xlfn.XLOOKUP(Table1[[#This Row],[5 cm2 cell test code]:[5 cm2 cell test code]],[1]!Table1[[Test code]:[Test code]],[1]!Table1[i @ 1.8 V 10 mM KOH (A/cm2)],"",0)</f>
        <v>#REF!</v>
      </c>
      <c r="Y1509" s="69" t="e" cm="1">
        <f t="array" ref="Y1509">_xlfn.XLOOKUP(Table1[[#This Row],[5 cm2 cell test code]:[5 cm2 cell test code]],[1]!Table1[[Test code]:[Test code]],[1]!Table1[3-E ƞ at 20mAcm-2 (mV)],"",0)</f>
        <v>#REF!</v>
      </c>
      <c r="Z1509" s="69" t="e" cm="1">
        <f t="array" ref="Z1509">_xlfn.XLOOKUP(Table1[[#This Row],[5 cm2 cell test code]:[5 cm2 cell test code]],[1]!Table1[[Test code]:[Test code]],[1]!Table1[3-E Tafel slope (mV/dec)],"",0)</f>
        <v>#REF!</v>
      </c>
      <c r="AA1509" s="69" t="e" cm="1">
        <f t="array" ref="AA1509">_xlfn.XLOOKUP(Table1[[#This Row],[5 cm2 cell test code]:[5 cm2 cell test code]],[1]!Table1[[Test code]:[Test code]],[1]!Table1[E @ 100 mA/cm2 DIW/V],"",0)</f>
        <v>#REF!</v>
      </c>
      <c r="AB1509" s="69" t="e" cm="1">
        <f t="array" ref="AB1509">_xlfn.XLOOKUP(Table1[[#This Row],[5 cm2 cell test code]:[5 cm2 cell test code]],[1]!Table1[[Test code]:[Test code]],[1]!Table1[E @ 100 mA/cm2 10 mM KOH/V],"",0)</f>
        <v>#REF!</v>
      </c>
      <c r="AC1509" s="69" t="e" cm="1">
        <f t="array" ref="AC1509">_xlfn.XLOOKUP(Table1[[#This Row],[5 cm2 cell test code]:[5 cm2 cell test code]],[1]!Table1[[Test code]:[Test code]],[1]!Table1[Anode ICR/mOhm],"",0)</f>
        <v>#REF!</v>
      </c>
      <c r="AD1509" s="69" t="e" cm="1">
        <f t="array" ref="AD1509">_xlfn.XLOOKUP(Table1[[#This Row],[5 cm2 cell test code]:[5 cm2 cell test code]],[1]!Table1[[Test code]:[Test code]],[1]!Table1[HFR DIW/ mOhm cm2],"",0)</f>
        <v>#REF!</v>
      </c>
      <c r="AE1509" s="69" t="e" cm="1">
        <f t="array" ref="AE1509">_xlfn.XLOOKUP(Table1[[#This Row],[5 cm2 cell test code]:[5 cm2 cell test code]],[1]!Table1[[Test code]:[Test code]],[1]!Table1[HFR 10 mM KOH/ mOhm cm2],"",0)</f>
        <v>#REF!</v>
      </c>
      <c r="AF1509" s="69" t="e" cm="1">
        <f t="array" ref="AF1509">_xlfn.XLOOKUP(Table1[[#This Row],[5 cm2 cell test code]:[5 cm2 cell test code]],[1]!Table1[[Test code]:[Test code]],[1]!Table1[Ionic resistance DIW/Ohm cm2],"",0)</f>
        <v>#REF!</v>
      </c>
      <c r="AG1509" s="69" t="e" cm="1">
        <f t="array" ref="AG1509">_xlfn.XLOOKUP(Table1[[#This Row],[5 cm2 cell test code]:[5 cm2 cell test code]],[1]!Table1[[Test code]:[Test code]],[1]!Table1[Q_int_frac DIW],"",0)</f>
        <v>#REF!</v>
      </c>
      <c r="AH1509" s="69" t="e" cm="1">
        <f t="array" ref="AH1509">_xlfn.XLOOKUP(Table1[[#This Row],[5 cm2 cell test code]:[5 cm2 cell test code]],[1]!Table1[[Test code]:[Test code]],[1]!Table1[Ionic resistance 10 mM KOH/Ohm cm2],"",0)</f>
        <v>#REF!</v>
      </c>
      <c r="AI1509" s="69" t="e" cm="1">
        <f t="array" ref="AI1509">_xlfn.XLOOKUP(Table1[[#This Row],[5 cm2 cell test code]:[5 cm2 cell test code]],[1]!Table1[[Test code]:[Test code]],[1]!Table1[Q_int_frac DIW 10 mM KOH],"",0)</f>
        <v>#REF!</v>
      </c>
      <c r="AJ1509" s="69" t="e" cm="1">
        <f t="array" ref="AJ1509">_xlfn.XLOOKUP(Table1[[#This Row],[5 cm2 cell test code]:[5 cm2 cell test code]],[1]!Table1[[Test code]:[Test code]],[1]!Table1[DIW conductivity (µS/cm)],"",0)</f>
        <v>#REF!</v>
      </c>
    </row>
    <row r="1510" spans="1:36">
      <c r="A1510" s="81"/>
      <c r="U1510" s="101"/>
      <c r="V1510" s="101"/>
      <c r="W1510" s="69" t="e" cm="1">
        <f t="array" ref="W1510">_xlfn.XLOOKUP(Table1[[#This Row],[5 cm2 cell test code]:[5 cm2 cell test code]],[1]!Table1[[Test code]:[Test code]],[1]!Table1[i @ 1.8 V DIW (A/cm2)],"",0)</f>
        <v>#REF!</v>
      </c>
      <c r="X1510" s="69" t="e" cm="1">
        <f t="array" ref="X1510">_xlfn.XLOOKUP(Table1[[#This Row],[5 cm2 cell test code]:[5 cm2 cell test code]],[1]!Table1[[Test code]:[Test code]],[1]!Table1[i @ 1.8 V 10 mM KOH (A/cm2)],"",0)</f>
        <v>#REF!</v>
      </c>
      <c r="Y1510" s="69" t="e" cm="1">
        <f t="array" ref="Y1510">_xlfn.XLOOKUP(Table1[[#This Row],[5 cm2 cell test code]:[5 cm2 cell test code]],[1]!Table1[[Test code]:[Test code]],[1]!Table1[3-E ƞ at 20mAcm-2 (mV)],"",0)</f>
        <v>#REF!</v>
      </c>
      <c r="Z1510" s="69" t="e" cm="1">
        <f t="array" ref="Z1510">_xlfn.XLOOKUP(Table1[[#This Row],[5 cm2 cell test code]:[5 cm2 cell test code]],[1]!Table1[[Test code]:[Test code]],[1]!Table1[3-E Tafel slope (mV/dec)],"",0)</f>
        <v>#REF!</v>
      </c>
      <c r="AA1510" s="69" t="e" cm="1">
        <f t="array" ref="AA1510">_xlfn.XLOOKUP(Table1[[#This Row],[5 cm2 cell test code]:[5 cm2 cell test code]],[1]!Table1[[Test code]:[Test code]],[1]!Table1[E @ 100 mA/cm2 DIW/V],"",0)</f>
        <v>#REF!</v>
      </c>
      <c r="AB1510" s="69" t="e" cm="1">
        <f t="array" ref="AB1510">_xlfn.XLOOKUP(Table1[[#This Row],[5 cm2 cell test code]:[5 cm2 cell test code]],[1]!Table1[[Test code]:[Test code]],[1]!Table1[E @ 100 mA/cm2 10 mM KOH/V],"",0)</f>
        <v>#REF!</v>
      </c>
      <c r="AC1510" s="69" t="e" cm="1">
        <f t="array" ref="AC1510">_xlfn.XLOOKUP(Table1[[#This Row],[5 cm2 cell test code]:[5 cm2 cell test code]],[1]!Table1[[Test code]:[Test code]],[1]!Table1[Anode ICR/mOhm],"",0)</f>
        <v>#REF!</v>
      </c>
      <c r="AD1510" s="69" t="e" cm="1">
        <f t="array" ref="AD1510">_xlfn.XLOOKUP(Table1[[#This Row],[5 cm2 cell test code]:[5 cm2 cell test code]],[1]!Table1[[Test code]:[Test code]],[1]!Table1[HFR DIW/ mOhm cm2],"",0)</f>
        <v>#REF!</v>
      </c>
      <c r="AE1510" s="69" t="e" cm="1">
        <f t="array" ref="AE1510">_xlfn.XLOOKUP(Table1[[#This Row],[5 cm2 cell test code]:[5 cm2 cell test code]],[1]!Table1[[Test code]:[Test code]],[1]!Table1[HFR 10 mM KOH/ mOhm cm2],"",0)</f>
        <v>#REF!</v>
      </c>
      <c r="AF1510" s="69" t="e" cm="1">
        <f t="array" ref="AF1510">_xlfn.XLOOKUP(Table1[[#This Row],[5 cm2 cell test code]:[5 cm2 cell test code]],[1]!Table1[[Test code]:[Test code]],[1]!Table1[Ionic resistance DIW/Ohm cm2],"",0)</f>
        <v>#REF!</v>
      </c>
      <c r="AG1510" s="69" t="e" cm="1">
        <f t="array" ref="AG1510">_xlfn.XLOOKUP(Table1[[#This Row],[5 cm2 cell test code]:[5 cm2 cell test code]],[1]!Table1[[Test code]:[Test code]],[1]!Table1[Q_int_frac DIW],"",0)</f>
        <v>#REF!</v>
      </c>
      <c r="AH1510" s="69" t="e" cm="1">
        <f t="array" ref="AH1510">_xlfn.XLOOKUP(Table1[[#This Row],[5 cm2 cell test code]:[5 cm2 cell test code]],[1]!Table1[[Test code]:[Test code]],[1]!Table1[Ionic resistance 10 mM KOH/Ohm cm2],"",0)</f>
        <v>#REF!</v>
      </c>
      <c r="AI1510" s="69" t="e" cm="1">
        <f t="array" ref="AI1510">_xlfn.XLOOKUP(Table1[[#This Row],[5 cm2 cell test code]:[5 cm2 cell test code]],[1]!Table1[[Test code]:[Test code]],[1]!Table1[Q_int_frac DIW 10 mM KOH],"",0)</f>
        <v>#REF!</v>
      </c>
      <c r="AJ1510" s="69" t="e" cm="1">
        <f t="array" ref="AJ1510">_xlfn.XLOOKUP(Table1[[#This Row],[5 cm2 cell test code]:[5 cm2 cell test code]],[1]!Table1[[Test code]:[Test code]],[1]!Table1[DIW conductivity (µS/cm)],"",0)</f>
        <v>#REF!</v>
      </c>
    </row>
    <row r="1511" spans="1:36">
      <c r="A1511" s="81"/>
      <c r="U1511" s="101"/>
      <c r="V1511" s="101"/>
      <c r="W1511" s="69" t="e" cm="1">
        <f t="array" ref="W1511">_xlfn.XLOOKUP(Table1[[#This Row],[5 cm2 cell test code]:[5 cm2 cell test code]],[1]!Table1[[Test code]:[Test code]],[1]!Table1[i @ 1.8 V DIW (A/cm2)],"",0)</f>
        <v>#REF!</v>
      </c>
      <c r="X1511" s="69" t="e" cm="1">
        <f t="array" ref="X1511">_xlfn.XLOOKUP(Table1[[#This Row],[5 cm2 cell test code]:[5 cm2 cell test code]],[1]!Table1[[Test code]:[Test code]],[1]!Table1[i @ 1.8 V 10 mM KOH (A/cm2)],"",0)</f>
        <v>#REF!</v>
      </c>
      <c r="Y1511" s="69" t="e" cm="1">
        <f t="array" ref="Y1511">_xlfn.XLOOKUP(Table1[[#This Row],[5 cm2 cell test code]:[5 cm2 cell test code]],[1]!Table1[[Test code]:[Test code]],[1]!Table1[3-E ƞ at 20mAcm-2 (mV)],"",0)</f>
        <v>#REF!</v>
      </c>
      <c r="Z1511" s="69" t="e" cm="1">
        <f t="array" ref="Z1511">_xlfn.XLOOKUP(Table1[[#This Row],[5 cm2 cell test code]:[5 cm2 cell test code]],[1]!Table1[[Test code]:[Test code]],[1]!Table1[3-E Tafel slope (mV/dec)],"",0)</f>
        <v>#REF!</v>
      </c>
      <c r="AA1511" s="69" t="e" cm="1">
        <f t="array" ref="AA1511">_xlfn.XLOOKUP(Table1[[#This Row],[5 cm2 cell test code]:[5 cm2 cell test code]],[1]!Table1[[Test code]:[Test code]],[1]!Table1[E @ 100 mA/cm2 DIW/V],"",0)</f>
        <v>#REF!</v>
      </c>
      <c r="AB1511" s="69" t="e" cm="1">
        <f t="array" ref="AB1511">_xlfn.XLOOKUP(Table1[[#This Row],[5 cm2 cell test code]:[5 cm2 cell test code]],[1]!Table1[[Test code]:[Test code]],[1]!Table1[E @ 100 mA/cm2 10 mM KOH/V],"",0)</f>
        <v>#REF!</v>
      </c>
      <c r="AC1511" s="69" t="e" cm="1">
        <f t="array" ref="AC1511">_xlfn.XLOOKUP(Table1[[#This Row],[5 cm2 cell test code]:[5 cm2 cell test code]],[1]!Table1[[Test code]:[Test code]],[1]!Table1[Anode ICR/mOhm],"",0)</f>
        <v>#REF!</v>
      </c>
      <c r="AD1511" s="69" t="e" cm="1">
        <f t="array" ref="AD1511">_xlfn.XLOOKUP(Table1[[#This Row],[5 cm2 cell test code]:[5 cm2 cell test code]],[1]!Table1[[Test code]:[Test code]],[1]!Table1[HFR DIW/ mOhm cm2],"",0)</f>
        <v>#REF!</v>
      </c>
      <c r="AE1511" s="69" t="e" cm="1">
        <f t="array" ref="AE1511">_xlfn.XLOOKUP(Table1[[#This Row],[5 cm2 cell test code]:[5 cm2 cell test code]],[1]!Table1[[Test code]:[Test code]],[1]!Table1[HFR 10 mM KOH/ mOhm cm2],"",0)</f>
        <v>#REF!</v>
      </c>
      <c r="AF1511" s="69" t="e" cm="1">
        <f t="array" ref="AF1511">_xlfn.XLOOKUP(Table1[[#This Row],[5 cm2 cell test code]:[5 cm2 cell test code]],[1]!Table1[[Test code]:[Test code]],[1]!Table1[Ionic resistance DIW/Ohm cm2],"",0)</f>
        <v>#REF!</v>
      </c>
      <c r="AG1511" s="69" t="e" cm="1">
        <f t="array" ref="AG1511">_xlfn.XLOOKUP(Table1[[#This Row],[5 cm2 cell test code]:[5 cm2 cell test code]],[1]!Table1[[Test code]:[Test code]],[1]!Table1[Q_int_frac DIW],"",0)</f>
        <v>#REF!</v>
      </c>
      <c r="AH1511" s="69" t="e" cm="1">
        <f t="array" ref="AH1511">_xlfn.XLOOKUP(Table1[[#This Row],[5 cm2 cell test code]:[5 cm2 cell test code]],[1]!Table1[[Test code]:[Test code]],[1]!Table1[Ionic resistance 10 mM KOH/Ohm cm2],"",0)</f>
        <v>#REF!</v>
      </c>
      <c r="AI1511" s="69" t="e" cm="1">
        <f t="array" ref="AI1511">_xlfn.XLOOKUP(Table1[[#This Row],[5 cm2 cell test code]:[5 cm2 cell test code]],[1]!Table1[[Test code]:[Test code]],[1]!Table1[Q_int_frac DIW 10 mM KOH],"",0)</f>
        <v>#REF!</v>
      </c>
      <c r="AJ1511" s="69" t="e" cm="1">
        <f t="array" ref="AJ1511">_xlfn.XLOOKUP(Table1[[#This Row],[5 cm2 cell test code]:[5 cm2 cell test code]],[1]!Table1[[Test code]:[Test code]],[1]!Table1[DIW conductivity (µS/cm)],"",0)</f>
        <v>#REF!</v>
      </c>
    </row>
    <row r="1512" spans="1:36">
      <c r="A1512" s="81"/>
      <c r="U1512" s="101"/>
      <c r="V1512" s="101"/>
      <c r="W1512" s="69" t="e" cm="1">
        <f t="array" ref="W1512">_xlfn.XLOOKUP(Table1[[#This Row],[5 cm2 cell test code]:[5 cm2 cell test code]],[1]!Table1[[Test code]:[Test code]],[1]!Table1[i @ 1.8 V DIW (A/cm2)],"",0)</f>
        <v>#REF!</v>
      </c>
      <c r="X1512" s="69" t="e" cm="1">
        <f t="array" ref="X1512">_xlfn.XLOOKUP(Table1[[#This Row],[5 cm2 cell test code]:[5 cm2 cell test code]],[1]!Table1[[Test code]:[Test code]],[1]!Table1[i @ 1.8 V 10 mM KOH (A/cm2)],"",0)</f>
        <v>#REF!</v>
      </c>
      <c r="Y1512" s="69" t="e" cm="1">
        <f t="array" ref="Y1512">_xlfn.XLOOKUP(Table1[[#This Row],[5 cm2 cell test code]:[5 cm2 cell test code]],[1]!Table1[[Test code]:[Test code]],[1]!Table1[3-E ƞ at 20mAcm-2 (mV)],"",0)</f>
        <v>#REF!</v>
      </c>
      <c r="Z1512" s="69" t="e" cm="1">
        <f t="array" ref="Z1512">_xlfn.XLOOKUP(Table1[[#This Row],[5 cm2 cell test code]:[5 cm2 cell test code]],[1]!Table1[[Test code]:[Test code]],[1]!Table1[3-E Tafel slope (mV/dec)],"",0)</f>
        <v>#REF!</v>
      </c>
      <c r="AA1512" s="69" t="e" cm="1">
        <f t="array" ref="AA1512">_xlfn.XLOOKUP(Table1[[#This Row],[5 cm2 cell test code]:[5 cm2 cell test code]],[1]!Table1[[Test code]:[Test code]],[1]!Table1[E @ 100 mA/cm2 DIW/V],"",0)</f>
        <v>#REF!</v>
      </c>
      <c r="AB1512" s="69" t="e" cm="1">
        <f t="array" ref="AB1512">_xlfn.XLOOKUP(Table1[[#This Row],[5 cm2 cell test code]:[5 cm2 cell test code]],[1]!Table1[[Test code]:[Test code]],[1]!Table1[E @ 100 mA/cm2 10 mM KOH/V],"",0)</f>
        <v>#REF!</v>
      </c>
      <c r="AC1512" s="69" t="e" cm="1">
        <f t="array" ref="AC1512">_xlfn.XLOOKUP(Table1[[#This Row],[5 cm2 cell test code]:[5 cm2 cell test code]],[1]!Table1[[Test code]:[Test code]],[1]!Table1[Anode ICR/mOhm],"",0)</f>
        <v>#REF!</v>
      </c>
      <c r="AD1512" s="69" t="e" cm="1">
        <f t="array" ref="AD1512">_xlfn.XLOOKUP(Table1[[#This Row],[5 cm2 cell test code]:[5 cm2 cell test code]],[1]!Table1[[Test code]:[Test code]],[1]!Table1[HFR DIW/ mOhm cm2],"",0)</f>
        <v>#REF!</v>
      </c>
      <c r="AE1512" s="69" t="e" cm="1">
        <f t="array" ref="AE1512">_xlfn.XLOOKUP(Table1[[#This Row],[5 cm2 cell test code]:[5 cm2 cell test code]],[1]!Table1[[Test code]:[Test code]],[1]!Table1[HFR 10 mM KOH/ mOhm cm2],"",0)</f>
        <v>#REF!</v>
      </c>
      <c r="AF1512" s="69" t="e" cm="1">
        <f t="array" ref="AF1512">_xlfn.XLOOKUP(Table1[[#This Row],[5 cm2 cell test code]:[5 cm2 cell test code]],[1]!Table1[[Test code]:[Test code]],[1]!Table1[Ionic resistance DIW/Ohm cm2],"",0)</f>
        <v>#REF!</v>
      </c>
      <c r="AG1512" s="69" t="e" cm="1">
        <f t="array" ref="AG1512">_xlfn.XLOOKUP(Table1[[#This Row],[5 cm2 cell test code]:[5 cm2 cell test code]],[1]!Table1[[Test code]:[Test code]],[1]!Table1[Q_int_frac DIW],"",0)</f>
        <v>#REF!</v>
      </c>
      <c r="AH1512" s="69" t="e" cm="1">
        <f t="array" ref="AH1512">_xlfn.XLOOKUP(Table1[[#This Row],[5 cm2 cell test code]:[5 cm2 cell test code]],[1]!Table1[[Test code]:[Test code]],[1]!Table1[Ionic resistance 10 mM KOH/Ohm cm2],"",0)</f>
        <v>#REF!</v>
      </c>
      <c r="AI1512" s="69" t="e" cm="1">
        <f t="array" ref="AI1512">_xlfn.XLOOKUP(Table1[[#This Row],[5 cm2 cell test code]:[5 cm2 cell test code]],[1]!Table1[[Test code]:[Test code]],[1]!Table1[Q_int_frac DIW 10 mM KOH],"",0)</f>
        <v>#REF!</v>
      </c>
      <c r="AJ1512" s="69" t="e" cm="1">
        <f t="array" ref="AJ1512">_xlfn.XLOOKUP(Table1[[#This Row],[5 cm2 cell test code]:[5 cm2 cell test code]],[1]!Table1[[Test code]:[Test code]],[1]!Table1[DIW conductivity (µS/cm)],"",0)</f>
        <v>#REF!</v>
      </c>
    </row>
    <row r="1513" spans="1:36">
      <c r="A1513" s="81"/>
      <c r="U1513" s="101"/>
      <c r="V1513" s="101"/>
      <c r="W1513" s="69" t="e" cm="1">
        <f t="array" ref="W1513">_xlfn.XLOOKUP(Table1[[#This Row],[5 cm2 cell test code]:[5 cm2 cell test code]],[1]!Table1[[Test code]:[Test code]],[1]!Table1[i @ 1.8 V DIW (A/cm2)],"",0)</f>
        <v>#REF!</v>
      </c>
      <c r="X1513" s="69" t="e" cm="1">
        <f t="array" ref="X1513">_xlfn.XLOOKUP(Table1[[#This Row],[5 cm2 cell test code]:[5 cm2 cell test code]],[1]!Table1[[Test code]:[Test code]],[1]!Table1[i @ 1.8 V 10 mM KOH (A/cm2)],"",0)</f>
        <v>#REF!</v>
      </c>
      <c r="Y1513" s="69" t="e" cm="1">
        <f t="array" ref="Y1513">_xlfn.XLOOKUP(Table1[[#This Row],[5 cm2 cell test code]:[5 cm2 cell test code]],[1]!Table1[[Test code]:[Test code]],[1]!Table1[3-E ƞ at 20mAcm-2 (mV)],"",0)</f>
        <v>#REF!</v>
      </c>
      <c r="Z1513" s="69" t="e" cm="1">
        <f t="array" ref="Z1513">_xlfn.XLOOKUP(Table1[[#This Row],[5 cm2 cell test code]:[5 cm2 cell test code]],[1]!Table1[[Test code]:[Test code]],[1]!Table1[3-E Tafel slope (mV/dec)],"",0)</f>
        <v>#REF!</v>
      </c>
      <c r="AA1513" s="69" t="e" cm="1">
        <f t="array" ref="AA1513">_xlfn.XLOOKUP(Table1[[#This Row],[5 cm2 cell test code]:[5 cm2 cell test code]],[1]!Table1[[Test code]:[Test code]],[1]!Table1[E @ 100 mA/cm2 DIW/V],"",0)</f>
        <v>#REF!</v>
      </c>
      <c r="AB1513" s="69" t="e" cm="1">
        <f t="array" ref="AB1513">_xlfn.XLOOKUP(Table1[[#This Row],[5 cm2 cell test code]:[5 cm2 cell test code]],[1]!Table1[[Test code]:[Test code]],[1]!Table1[E @ 100 mA/cm2 10 mM KOH/V],"",0)</f>
        <v>#REF!</v>
      </c>
      <c r="AC1513" s="69" t="e" cm="1">
        <f t="array" ref="AC1513">_xlfn.XLOOKUP(Table1[[#This Row],[5 cm2 cell test code]:[5 cm2 cell test code]],[1]!Table1[[Test code]:[Test code]],[1]!Table1[Anode ICR/mOhm],"",0)</f>
        <v>#REF!</v>
      </c>
      <c r="AD1513" s="69" t="e" cm="1">
        <f t="array" ref="AD1513">_xlfn.XLOOKUP(Table1[[#This Row],[5 cm2 cell test code]:[5 cm2 cell test code]],[1]!Table1[[Test code]:[Test code]],[1]!Table1[HFR DIW/ mOhm cm2],"",0)</f>
        <v>#REF!</v>
      </c>
      <c r="AE1513" s="69" t="e" cm="1">
        <f t="array" ref="AE1513">_xlfn.XLOOKUP(Table1[[#This Row],[5 cm2 cell test code]:[5 cm2 cell test code]],[1]!Table1[[Test code]:[Test code]],[1]!Table1[HFR 10 mM KOH/ mOhm cm2],"",0)</f>
        <v>#REF!</v>
      </c>
      <c r="AF1513" s="69" t="e" cm="1">
        <f t="array" ref="AF1513">_xlfn.XLOOKUP(Table1[[#This Row],[5 cm2 cell test code]:[5 cm2 cell test code]],[1]!Table1[[Test code]:[Test code]],[1]!Table1[Ionic resistance DIW/Ohm cm2],"",0)</f>
        <v>#REF!</v>
      </c>
      <c r="AG1513" s="69" t="e" cm="1">
        <f t="array" ref="AG1513">_xlfn.XLOOKUP(Table1[[#This Row],[5 cm2 cell test code]:[5 cm2 cell test code]],[1]!Table1[[Test code]:[Test code]],[1]!Table1[Q_int_frac DIW],"",0)</f>
        <v>#REF!</v>
      </c>
      <c r="AH1513" s="69" t="e" cm="1">
        <f t="array" ref="AH1513">_xlfn.XLOOKUP(Table1[[#This Row],[5 cm2 cell test code]:[5 cm2 cell test code]],[1]!Table1[[Test code]:[Test code]],[1]!Table1[Ionic resistance 10 mM KOH/Ohm cm2],"",0)</f>
        <v>#REF!</v>
      </c>
      <c r="AI1513" s="69" t="e" cm="1">
        <f t="array" ref="AI1513">_xlfn.XLOOKUP(Table1[[#This Row],[5 cm2 cell test code]:[5 cm2 cell test code]],[1]!Table1[[Test code]:[Test code]],[1]!Table1[Q_int_frac DIW 10 mM KOH],"",0)</f>
        <v>#REF!</v>
      </c>
      <c r="AJ1513" s="69" t="e" cm="1">
        <f t="array" ref="AJ1513">_xlfn.XLOOKUP(Table1[[#This Row],[5 cm2 cell test code]:[5 cm2 cell test code]],[1]!Table1[[Test code]:[Test code]],[1]!Table1[DIW conductivity (µS/cm)],"",0)</f>
        <v>#REF!</v>
      </c>
    </row>
    <row r="1514" spans="1:36">
      <c r="A1514" s="81"/>
      <c r="U1514" s="101"/>
      <c r="V1514" s="101"/>
      <c r="W1514" s="69" t="e" cm="1">
        <f t="array" ref="W1514">_xlfn.XLOOKUP(Table1[[#This Row],[5 cm2 cell test code]:[5 cm2 cell test code]],[1]!Table1[[Test code]:[Test code]],[1]!Table1[i @ 1.8 V DIW (A/cm2)],"",0)</f>
        <v>#REF!</v>
      </c>
      <c r="X1514" s="69" t="e" cm="1">
        <f t="array" ref="X1514">_xlfn.XLOOKUP(Table1[[#This Row],[5 cm2 cell test code]:[5 cm2 cell test code]],[1]!Table1[[Test code]:[Test code]],[1]!Table1[i @ 1.8 V 10 mM KOH (A/cm2)],"",0)</f>
        <v>#REF!</v>
      </c>
      <c r="Y1514" s="69" t="e" cm="1">
        <f t="array" ref="Y1514">_xlfn.XLOOKUP(Table1[[#This Row],[5 cm2 cell test code]:[5 cm2 cell test code]],[1]!Table1[[Test code]:[Test code]],[1]!Table1[3-E ƞ at 20mAcm-2 (mV)],"",0)</f>
        <v>#REF!</v>
      </c>
      <c r="Z1514" s="69" t="e" cm="1">
        <f t="array" ref="Z1514">_xlfn.XLOOKUP(Table1[[#This Row],[5 cm2 cell test code]:[5 cm2 cell test code]],[1]!Table1[[Test code]:[Test code]],[1]!Table1[3-E Tafel slope (mV/dec)],"",0)</f>
        <v>#REF!</v>
      </c>
      <c r="AA1514" s="69" t="e" cm="1">
        <f t="array" ref="AA1514">_xlfn.XLOOKUP(Table1[[#This Row],[5 cm2 cell test code]:[5 cm2 cell test code]],[1]!Table1[[Test code]:[Test code]],[1]!Table1[E @ 100 mA/cm2 DIW/V],"",0)</f>
        <v>#REF!</v>
      </c>
      <c r="AB1514" s="69" t="e" cm="1">
        <f t="array" ref="AB1514">_xlfn.XLOOKUP(Table1[[#This Row],[5 cm2 cell test code]:[5 cm2 cell test code]],[1]!Table1[[Test code]:[Test code]],[1]!Table1[E @ 100 mA/cm2 10 mM KOH/V],"",0)</f>
        <v>#REF!</v>
      </c>
      <c r="AC1514" s="69" t="e" cm="1">
        <f t="array" ref="AC1514">_xlfn.XLOOKUP(Table1[[#This Row],[5 cm2 cell test code]:[5 cm2 cell test code]],[1]!Table1[[Test code]:[Test code]],[1]!Table1[Anode ICR/mOhm],"",0)</f>
        <v>#REF!</v>
      </c>
      <c r="AD1514" s="69" t="e" cm="1">
        <f t="array" ref="AD1514">_xlfn.XLOOKUP(Table1[[#This Row],[5 cm2 cell test code]:[5 cm2 cell test code]],[1]!Table1[[Test code]:[Test code]],[1]!Table1[HFR DIW/ mOhm cm2],"",0)</f>
        <v>#REF!</v>
      </c>
      <c r="AE1514" s="69" t="e" cm="1">
        <f t="array" ref="AE1514">_xlfn.XLOOKUP(Table1[[#This Row],[5 cm2 cell test code]:[5 cm2 cell test code]],[1]!Table1[[Test code]:[Test code]],[1]!Table1[HFR 10 mM KOH/ mOhm cm2],"",0)</f>
        <v>#REF!</v>
      </c>
      <c r="AF1514" s="69" t="e" cm="1">
        <f t="array" ref="AF1514">_xlfn.XLOOKUP(Table1[[#This Row],[5 cm2 cell test code]:[5 cm2 cell test code]],[1]!Table1[[Test code]:[Test code]],[1]!Table1[Ionic resistance DIW/Ohm cm2],"",0)</f>
        <v>#REF!</v>
      </c>
      <c r="AG1514" s="69" t="e" cm="1">
        <f t="array" ref="AG1514">_xlfn.XLOOKUP(Table1[[#This Row],[5 cm2 cell test code]:[5 cm2 cell test code]],[1]!Table1[[Test code]:[Test code]],[1]!Table1[Q_int_frac DIW],"",0)</f>
        <v>#REF!</v>
      </c>
      <c r="AH1514" s="69" t="e" cm="1">
        <f t="array" ref="AH1514">_xlfn.XLOOKUP(Table1[[#This Row],[5 cm2 cell test code]:[5 cm2 cell test code]],[1]!Table1[[Test code]:[Test code]],[1]!Table1[Ionic resistance 10 mM KOH/Ohm cm2],"",0)</f>
        <v>#REF!</v>
      </c>
      <c r="AI1514" s="69" t="e" cm="1">
        <f t="array" ref="AI1514">_xlfn.XLOOKUP(Table1[[#This Row],[5 cm2 cell test code]:[5 cm2 cell test code]],[1]!Table1[[Test code]:[Test code]],[1]!Table1[Q_int_frac DIW 10 mM KOH],"",0)</f>
        <v>#REF!</v>
      </c>
      <c r="AJ1514" s="69" t="e" cm="1">
        <f t="array" ref="AJ1514">_xlfn.XLOOKUP(Table1[[#This Row],[5 cm2 cell test code]:[5 cm2 cell test code]],[1]!Table1[[Test code]:[Test code]],[1]!Table1[DIW conductivity (µS/cm)],"",0)</f>
        <v>#REF!</v>
      </c>
    </row>
    <row r="1515" spans="1:36">
      <c r="A1515" s="81"/>
      <c r="U1515" s="101"/>
      <c r="V1515" s="101"/>
      <c r="W1515" s="69" t="e" cm="1">
        <f t="array" ref="W1515">_xlfn.XLOOKUP(Table1[[#This Row],[5 cm2 cell test code]:[5 cm2 cell test code]],[1]!Table1[[Test code]:[Test code]],[1]!Table1[i @ 1.8 V DIW (A/cm2)],"",0)</f>
        <v>#REF!</v>
      </c>
      <c r="X1515" s="69" t="e" cm="1">
        <f t="array" ref="X1515">_xlfn.XLOOKUP(Table1[[#This Row],[5 cm2 cell test code]:[5 cm2 cell test code]],[1]!Table1[[Test code]:[Test code]],[1]!Table1[i @ 1.8 V 10 mM KOH (A/cm2)],"",0)</f>
        <v>#REF!</v>
      </c>
      <c r="Y1515" s="69" t="e" cm="1">
        <f t="array" ref="Y1515">_xlfn.XLOOKUP(Table1[[#This Row],[5 cm2 cell test code]:[5 cm2 cell test code]],[1]!Table1[[Test code]:[Test code]],[1]!Table1[3-E ƞ at 20mAcm-2 (mV)],"",0)</f>
        <v>#REF!</v>
      </c>
      <c r="Z1515" s="69" t="e" cm="1">
        <f t="array" ref="Z1515">_xlfn.XLOOKUP(Table1[[#This Row],[5 cm2 cell test code]:[5 cm2 cell test code]],[1]!Table1[[Test code]:[Test code]],[1]!Table1[3-E Tafel slope (mV/dec)],"",0)</f>
        <v>#REF!</v>
      </c>
      <c r="AA1515" s="69" t="e" cm="1">
        <f t="array" ref="AA1515">_xlfn.XLOOKUP(Table1[[#This Row],[5 cm2 cell test code]:[5 cm2 cell test code]],[1]!Table1[[Test code]:[Test code]],[1]!Table1[E @ 100 mA/cm2 DIW/V],"",0)</f>
        <v>#REF!</v>
      </c>
      <c r="AB1515" s="69" t="e" cm="1">
        <f t="array" ref="AB1515">_xlfn.XLOOKUP(Table1[[#This Row],[5 cm2 cell test code]:[5 cm2 cell test code]],[1]!Table1[[Test code]:[Test code]],[1]!Table1[E @ 100 mA/cm2 10 mM KOH/V],"",0)</f>
        <v>#REF!</v>
      </c>
      <c r="AC1515" s="69" t="e" cm="1">
        <f t="array" ref="AC1515">_xlfn.XLOOKUP(Table1[[#This Row],[5 cm2 cell test code]:[5 cm2 cell test code]],[1]!Table1[[Test code]:[Test code]],[1]!Table1[Anode ICR/mOhm],"",0)</f>
        <v>#REF!</v>
      </c>
      <c r="AD1515" s="69" t="e" cm="1">
        <f t="array" ref="AD1515">_xlfn.XLOOKUP(Table1[[#This Row],[5 cm2 cell test code]:[5 cm2 cell test code]],[1]!Table1[[Test code]:[Test code]],[1]!Table1[HFR DIW/ mOhm cm2],"",0)</f>
        <v>#REF!</v>
      </c>
      <c r="AE1515" s="69" t="e" cm="1">
        <f t="array" ref="AE1515">_xlfn.XLOOKUP(Table1[[#This Row],[5 cm2 cell test code]:[5 cm2 cell test code]],[1]!Table1[[Test code]:[Test code]],[1]!Table1[HFR 10 mM KOH/ mOhm cm2],"",0)</f>
        <v>#REF!</v>
      </c>
      <c r="AF1515" s="69" t="e" cm="1">
        <f t="array" ref="AF1515">_xlfn.XLOOKUP(Table1[[#This Row],[5 cm2 cell test code]:[5 cm2 cell test code]],[1]!Table1[[Test code]:[Test code]],[1]!Table1[Ionic resistance DIW/Ohm cm2],"",0)</f>
        <v>#REF!</v>
      </c>
      <c r="AG1515" s="69" t="e" cm="1">
        <f t="array" ref="AG1515">_xlfn.XLOOKUP(Table1[[#This Row],[5 cm2 cell test code]:[5 cm2 cell test code]],[1]!Table1[[Test code]:[Test code]],[1]!Table1[Q_int_frac DIW],"",0)</f>
        <v>#REF!</v>
      </c>
      <c r="AH1515" s="69" t="e" cm="1">
        <f t="array" ref="AH1515">_xlfn.XLOOKUP(Table1[[#This Row],[5 cm2 cell test code]:[5 cm2 cell test code]],[1]!Table1[[Test code]:[Test code]],[1]!Table1[Ionic resistance 10 mM KOH/Ohm cm2],"",0)</f>
        <v>#REF!</v>
      </c>
      <c r="AI1515" s="69" t="e" cm="1">
        <f t="array" ref="AI1515">_xlfn.XLOOKUP(Table1[[#This Row],[5 cm2 cell test code]:[5 cm2 cell test code]],[1]!Table1[[Test code]:[Test code]],[1]!Table1[Q_int_frac DIW 10 mM KOH],"",0)</f>
        <v>#REF!</v>
      </c>
      <c r="AJ1515" s="69" t="e" cm="1">
        <f t="array" ref="AJ1515">_xlfn.XLOOKUP(Table1[[#This Row],[5 cm2 cell test code]:[5 cm2 cell test code]],[1]!Table1[[Test code]:[Test code]],[1]!Table1[DIW conductivity (µS/cm)],"",0)</f>
        <v>#REF!</v>
      </c>
    </row>
    <row r="1516" spans="1:36">
      <c r="A1516" s="81"/>
      <c r="U1516" s="101"/>
      <c r="V1516" s="101"/>
      <c r="W1516" s="69" t="e" cm="1">
        <f t="array" ref="W1516">_xlfn.XLOOKUP(Table1[[#This Row],[5 cm2 cell test code]:[5 cm2 cell test code]],[1]!Table1[[Test code]:[Test code]],[1]!Table1[i @ 1.8 V DIW (A/cm2)],"",0)</f>
        <v>#REF!</v>
      </c>
      <c r="X1516" s="69" t="e" cm="1">
        <f t="array" ref="X1516">_xlfn.XLOOKUP(Table1[[#This Row],[5 cm2 cell test code]:[5 cm2 cell test code]],[1]!Table1[[Test code]:[Test code]],[1]!Table1[i @ 1.8 V 10 mM KOH (A/cm2)],"",0)</f>
        <v>#REF!</v>
      </c>
      <c r="Y1516" s="69" t="e" cm="1">
        <f t="array" ref="Y1516">_xlfn.XLOOKUP(Table1[[#This Row],[5 cm2 cell test code]:[5 cm2 cell test code]],[1]!Table1[[Test code]:[Test code]],[1]!Table1[3-E ƞ at 20mAcm-2 (mV)],"",0)</f>
        <v>#REF!</v>
      </c>
      <c r="Z1516" s="69" t="e" cm="1">
        <f t="array" ref="Z1516">_xlfn.XLOOKUP(Table1[[#This Row],[5 cm2 cell test code]:[5 cm2 cell test code]],[1]!Table1[[Test code]:[Test code]],[1]!Table1[3-E Tafel slope (mV/dec)],"",0)</f>
        <v>#REF!</v>
      </c>
      <c r="AA1516" s="69" t="e" cm="1">
        <f t="array" ref="AA1516">_xlfn.XLOOKUP(Table1[[#This Row],[5 cm2 cell test code]:[5 cm2 cell test code]],[1]!Table1[[Test code]:[Test code]],[1]!Table1[E @ 100 mA/cm2 DIW/V],"",0)</f>
        <v>#REF!</v>
      </c>
      <c r="AB1516" s="69" t="e" cm="1">
        <f t="array" ref="AB1516">_xlfn.XLOOKUP(Table1[[#This Row],[5 cm2 cell test code]:[5 cm2 cell test code]],[1]!Table1[[Test code]:[Test code]],[1]!Table1[E @ 100 mA/cm2 10 mM KOH/V],"",0)</f>
        <v>#REF!</v>
      </c>
      <c r="AC1516" s="69" t="e" cm="1">
        <f t="array" ref="AC1516">_xlfn.XLOOKUP(Table1[[#This Row],[5 cm2 cell test code]:[5 cm2 cell test code]],[1]!Table1[[Test code]:[Test code]],[1]!Table1[Anode ICR/mOhm],"",0)</f>
        <v>#REF!</v>
      </c>
      <c r="AD1516" s="69" t="e" cm="1">
        <f t="array" ref="AD1516">_xlfn.XLOOKUP(Table1[[#This Row],[5 cm2 cell test code]:[5 cm2 cell test code]],[1]!Table1[[Test code]:[Test code]],[1]!Table1[HFR DIW/ mOhm cm2],"",0)</f>
        <v>#REF!</v>
      </c>
      <c r="AE1516" s="69" t="e" cm="1">
        <f t="array" ref="AE1516">_xlfn.XLOOKUP(Table1[[#This Row],[5 cm2 cell test code]:[5 cm2 cell test code]],[1]!Table1[[Test code]:[Test code]],[1]!Table1[HFR 10 mM KOH/ mOhm cm2],"",0)</f>
        <v>#REF!</v>
      </c>
      <c r="AF1516" s="69" t="e" cm="1">
        <f t="array" ref="AF1516">_xlfn.XLOOKUP(Table1[[#This Row],[5 cm2 cell test code]:[5 cm2 cell test code]],[1]!Table1[[Test code]:[Test code]],[1]!Table1[Ionic resistance DIW/Ohm cm2],"",0)</f>
        <v>#REF!</v>
      </c>
      <c r="AG1516" s="69" t="e" cm="1">
        <f t="array" ref="AG1516">_xlfn.XLOOKUP(Table1[[#This Row],[5 cm2 cell test code]:[5 cm2 cell test code]],[1]!Table1[[Test code]:[Test code]],[1]!Table1[Q_int_frac DIW],"",0)</f>
        <v>#REF!</v>
      </c>
      <c r="AH1516" s="69" t="e" cm="1">
        <f t="array" ref="AH1516">_xlfn.XLOOKUP(Table1[[#This Row],[5 cm2 cell test code]:[5 cm2 cell test code]],[1]!Table1[[Test code]:[Test code]],[1]!Table1[Ionic resistance 10 mM KOH/Ohm cm2],"",0)</f>
        <v>#REF!</v>
      </c>
      <c r="AI1516" s="69" t="e" cm="1">
        <f t="array" ref="AI1516">_xlfn.XLOOKUP(Table1[[#This Row],[5 cm2 cell test code]:[5 cm2 cell test code]],[1]!Table1[[Test code]:[Test code]],[1]!Table1[Q_int_frac DIW 10 mM KOH],"",0)</f>
        <v>#REF!</v>
      </c>
      <c r="AJ1516" s="69" t="e" cm="1">
        <f t="array" ref="AJ1516">_xlfn.XLOOKUP(Table1[[#This Row],[5 cm2 cell test code]:[5 cm2 cell test code]],[1]!Table1[[Test code]:[Test code]],[1]!Table1[DIW conductivity (µS/cm)],"",0)</f>
        <v>#REF!</v>
      </c>
    </row>
    <row r="1517" spans="1:36">
      <c r="A1517" s="81"/>
      <c r="U1517" s="101"/>
      <c r="V1517" s="101"/>
      <c r="W1517" s="69" t="e" cm="1">
        <f t="array" ref="W1517">_xlfn.XLOOKUP(Table1[[#This Row],[5 cm2 cell test code]:[5 cm2 cell test code]],[1]!Table1[[Test code]:[Test code]],[1]!Table1[i @ 1.8 V DIW (A/cm2)],"",0)</f>
        <v>#REF!</v>
      </c>
      <c r="X1517" s="69" t="e" cm="1">
        <f t="array" ref="X1517">_xlfn.XLOOKUP(Table1[[#This Row],[5 cm2 cell test code]:[5 cm2 cell test code]],[1]!Table1[[Test code]:[Test code]],[1]!Table1[i @ 1.8 V 10 mM KOH (A/cm2)],"",0)</f>
        <v>#REF!</v>
      </c>
      <c r="Y1517" s="69" t="e" cm="1">
        <f t="array" ref="Y1517">_xlfn.XLOOKUP(Table1[[#This Row],[5 cm2 cell test code]:[5 cm2 cell test code]],[1]!Table1[[Test code]:[Test code]],[1]!Table1[3-E ƞ at 20mAcm-2 (mV)],"",0)</f>
        <v>#REF!</v>
      </c>
      <c r="Z1517" s="69" t="e" cm="1">
        <f t="array" ref="Z1517">_xlfn.XLOOKUP(Table1[[#This Row],[5 cm2 cell test code]:[5 cm2 cell test code]],[1]!Table1[[Test code]:[Test code]],[1]!Table1[3-E Tafel slope (mV/dec)],"",0)</f>
        <v>#REF!</v>
      </c>
      <c r="AA1517" s="69" t="e" cm="1">
        <f t="array" ref="AA1517">_xlfn.XLOOKUP(Table1[[#This Row],[5 cm2 cell test code]:[5 cm2 cell test code]],[1]!Table1[[Test code]:[Test code]],[1]!Table1[E @ 100 mA/cm2 DIW/V],"",0)</f>
        <v>#REF!</v>
      </c>
      <c r="AB1517" s="69" t="e" cm="1">
        <f t="array" ref="AB1517">_xlfn.XLOOKUP(Table1[[#This Row],[5 cm2 cell test code]:[5 cm2 cell test code]],[1]!Table1[[Test code]:[Test code]],[1]!Table1[E @ 100 mA/cm2 10 mM KOH/V],"",0)</f>
        <v>#REF!</v>
      </c>
      <c r="AC1517" s="69" t="e" cm="1">
        <f t="array" ref="AC1517">_xlfn.XLOOKUP(Table1[[#This Row],[5 cm2 cell test code]:[5 cm2 cell test code]],[1]!Table1[[Test code]:[Test code]],[1]!Table1[Anode ICR/mOhm],"",0)</f>
        <v>#REF!</v>
      </c>
      <c r="AD1517" s="69" t="e" cm="1">
        <f t="array" ref="AD1517">_xlfn.XLOOKUP(Table1[[#This Row],[5 cm2 cell test code]:[5 cm2 cell test code]],[1]!Table1[[Test code]:[Test code]],[1]!Table1[HFR DIW/ mOhm cm2],"",0)</f>
        <v>#REF!</v>
      </c>
      <c r="AE1517" s="69" t="e" cm="1">
        <f t="array" ref="AE1517">_xlfn.XLOOKUP(Table1[[#This Row],[5 cm2 cell test code]:[5 cm2 cell test code]],[1]!Table1[[Test code]:[Test code]],[1]!Table1[HFR 10 mM KOH/ mOhm cm2],"",0)</f>
        <v>#REF!</v>
      </c>
      <c r="AF1517" s="69" t="e" cm="1">
        <f t="array" ref="AF1517">_xlfn.XLOOKUP(Table1[[#This Row],[5 cm2 cell test code]:[5 cm2 cell test code]],[1]!Table1[[Test code]:[Test code]],[1]!Table1[Ionic resistance DIW/Ohm cm2],"",0)</f>
        <v>#REF!</v>
      </c>
      <c r="AG1517" s="69" t="e" cm="1">
        <f t="array" ref="AG1517">_xlfn.XLOOKUP(Table1[[#This Row],[5 cm2 cell test code]:[5 cm2 cell test code]],[1]!Table1[[Test code]:[Test code]],[1]!Table1[Q_int_frac DIW],"",0)</f>
        <v>#REF!</v>
      </c>
      <c r="AH1517" s="69" t="e" cm="1">
        <f t="array" ref="AH1517">_xlfn.XLOOKUP(Table1[[#This Row],[5 cm2 cell test code]:[5 cm2 cell test code]],[1]!Table1[[Test code]:[Test code]],[1]!Table1[Ionic resistance 10 mM KOH/Ohm cm2],"",0)</f>
        <v>#REF!</v>
      </c>
      <c r="AI1517" s="69" t="e" cm="1">
        <f t="array" ref="AI1517">_xlfn.XLOOKUP(Table1[[#This Row],[5 cm2 cell test code]:[5 cm2 cell test code]],[1]!Table1[[Test code]:[Test code]],[1]!Table1[Q_int_frac DIW 10 mM KOH],"",0)</f>
        <v>#REF!</v>
      </c>
      <c r="AJ1517" s="69" t="e" cm="1">
        <f t="array" ref="AJ1517">_xlfn.XLOOKUP(Table1[[#This Row],[5 cm2 cell test code]:[5 cm2 cell test code]],[1]!Table1[[Test code]:[Test code]],[1]!Table1[DIW conductivity (µS/cm)],"",0)</f>
        <v>#REF!</v>
      </c>
    </row>
    <row r="1518" spans="1:36">
      <c r="A1518" s="81"/>
      <c r="U1518" s="101"/>
      <c r="V1518" s="101"/>
      <c r="W1518" s="69" t="e" cm="1">
        <f t="array" ref="W1518">_xlfn.XLOOKUP(Table1[[#This Row],[5 cm2 cell test code]:[5 cm2 cell test code]],[1]!Table1[[Test code]:[Test code]],[1]!Table1[i @ 1.8 V DIW (A/cm2)],"",0)</f>
        <v>#REF!</v>
      </c>
      <c r="X1518" s="69" t="e" cm="1">
        <f t="array" ref="X1518">_xlfn.XLOOKUP(Table1[[#This Row],[5 cm2 cell test code]:[5 cm2 cell test code]],[1]!Table1[[Test code]:[Test code]],[1]!Table1[i @ 1.8 V 10 mM KOH (A/cm2)],"",0)</f>
        <v>#REF!</v>
      </c>
      <c r="Y1518" s="69" t="e" cm="1">
        <f t="array" ref="Y1518">_xlfn.XLOOKUP(Table1[[#This Row],[5 cm2 cell test code]:[5 cm2 cell test code]],[1]!Table1[[Test code]:[Test code]],[1]!Table1[3-E ƞ at 20mAcm-2 (mV)],"",0)</f>
        <v>#REF!</v>
      </c>
      <c r="Z1518" s="69" t="e" cm="1">
        <f t="array" ref="Z1518">_xlfn.XLOOKUP(Table1[[#This Row],[5 cm2 cell test code]:[5 cm2 cell test code]],[1]!Table1[[Test code]:[Test code]],[1]!Table1[3-E Tafel slope (mV/dec)],"",0)</f>
        <v>#REF!</v>
      </c>
      <c r="AA1518" s="69" t="e" cm="1">
        <f t="array" ref="AA1518">_xlfn.XLOOKUP(Table1[[#This Row],[5 cm2 cell test code]:[5 cm2 cell test code]],[1]!Table1[[Test code]:[Test code]],[1]!Table1[E @ 100 mA/cm2 DIW/V],"",0)</f>
        <v>#REF!</v>
      </c>
      <c r="AB1518" s="69" t="e" cm="1">
        <f t="array" ref="AB1518">_xlfn.XLOOKUP(Table1[[#This Row],[5 cm2 cell test code]:[5 cm2 cell test code]],[1]!Table1[[Test code]:[Test code]],[1]!Table1[E @ 100 mA/cm2 10 mM KOH/V],"",0)</f>
        <v>#REF!</v>
      </c>
      <c r="AC1518" s="69" t="e" cm="1">
        <f t="array" ref="AC1518">_xlfn.XLOOKUP(Table1[[#This Row],[5 cm2 cell test code]:[5 cm2 cell test code]],[1]!Table1[[Test code]:[Test code]],[1]!Table1[Anode ICR/mOhm],"",0)</f>
        <v>#REF!</v>
      </c>
      <c r="AD1518" s="69" t="e" cm="1">
        <f t="array" ref="AD1518">_xlfn.XLOOKUP(Table1[[#This Row],[5 cm2 cell test code]:[5 cm2 cell test code]],[1]!Table1[[Test code]:[Test code]],[1]!Table1[HFR DIW/ mOhm cm2],"",0)</f>
        <v>#REF!</v>
      </c>
      <c r="AE1518" s="69" t="e" cm="1">
        <f t="array" ref="AE1518">_xlfn.XLOOKUP(Table1[[#This Row],[5 cm2 cell test code]:[5 cm2 cell test code]],[1]!Table1[[Test code]:[Test code]],[1]!Table1[HFR 10 mM KOH/ mOhm cm2],"",0)</f>
        <v>#REF!</v>
      </c>
      <c r="AF1518" s="69" t="e" cm="1">
        <f t="array" ref="AF1518">_xlfn.XLOOKUP(Table1[[#This Row],[5 cm2 cell test code]:[5 cm2 cell test code]],[1]!Table1[[Test code]:[Test code]],[1]!Table1[Ionic resistance DIW/Ohm cm2],"",0)</f>
        <v>#REF!</v>
      </c>
      <c r="AG1518" s="69" t="e" cm="1">
        <f t="array" ref="AG1518">_xlfn.XLOOKUP(Table1[[#This Row],[5 cm2 cell test code]:[5 cm2 cell test code]],[1]!Table1[[Test code]:[Test code]],[1]!Table1[Q_int_frac DIW],"",0)</f>
        <v>#REF!</v>
      </c>
      <c r="AH1518" s="69" t="e" cm="1">
        <f t="array" ref="AH1518">_xlfn.XLOOKUP(Table1[[#This Row],[5 cm2 cell test code]:[5 cm2 cell test code]],[1]!Table1[[Test code]:[Test code]],[1]!Table1[Ionic resistance 10 mM KOH/Ohm cm2],"",0)</f>
        <v>#REF!</v>
      </c>
      <c r="AI1518" s="69" t="e" cm="1">
        <f t="array" ref="AI1518">_xlfn.XLOOKUP(Table1[[#This Row],[5 cm2 cell test code]:[5 cm2 cell test code]],[1]!Table1[[Test code]:[Test code]],[1]!Table1[Q_int_frac DIW 10 mM KOH],"",0)</f>
        <v>#REF!</v>
      </c>
      <c r="AJ1518" s="69" t="e" cm="1">
        <f t="array" ref="AJ1518">_xlfn.XLOOKUP(Table1[[#This Row],[5 cm2 cell test code]:[5 cm2 cell test code]],[1]!Table1[[Test code]:[Test code]],[1]!Table1[DIW conductivity (µS/cm)],"",0)</f>
        <v>#REF!</v>
      </c>
    </row>
    <row r="1519" spans="1:36">
      <c r="A1519" s="81"/>
      <c r="U1519" s="101"/>
      <c r="V1519" s="101"/>
      <c r="W1519" s="69" t="e" cm="1">
        <f t="array" ref="W1519">_xlfn.XLOOKUP(Table1[[#This Row],[5 cm2 cell test code]:[5 cm2 cell test code]],[1]!Table1[[Test code]:[Test code]],[1]!Table1[i @ 1.8 V DIW (A/cm2)],"",0)</f>
        <v>#REF!</v>
      </c>
      <c r="X1519" s="69" t="e" cm="1">
        <f t="array" ref="X1519">_xlfn.XLOOKUP(Table1[[#This Row],[5 cm2 cell test code]:[5 cm2 cell test code]],[1]!Table1[[Test code]:[Test code]],[1]!Table1[i @ 1.8 V 10 mM KOH (A/cm2)],"",0)</f>
        <v>#REF!</v>
      </c>
      <c r="Y1519" s="69" t="e" cm="1">
        <f t="array" ref="Y1519">_xlfn.XLOOKUP(Table1[[#This Row],[5 cm2 cell test code]:[5 cm2 cell test code]],[1]!Table1[[Test code]:[Test code]],[1]!Table1[3-E ƞ at 20mAcm-2 (mV)],"",0)</f>
        <v>#REF!</v>
      </c>
      <c r="Z1519" s="69" t="e" cm="1">
        <f t="array" ref="Z1519">_xlfn.XLOOKUP(Table1[[#This Row],[5 cm2 cell test code]:[5 cm2 cell test code]],[1]!Table1[[Test code]:[Test code]],[1]!Table1[3-E Tafel slope (mV/dec)],"",0)</f>
        <v>#REF!</v>
      </c>
      <c r="AA1519" s="69" t="e" cm="1">
        <f t="array" ref="AA1519">_xlfn.XLOOKUP(Table1[[#This Row],[5 cm2 cell test code]:[5 cm2 cell test code]],[1]!Table1[[Test code]:[Test code]],[1]!Table1[E @ 100 mA/cm2 DIW/V],"",0)</f>
        <v>#REF!</v>
      </c>
      <c r="AB1519" s="69" t="e" cm="1">
        <f t="array" ref="AB1519">_xlfn.XLOOKUP(Table1[[#This Row],[5 cm2 cell test code]:[5 cm2 cell test code]],[1]!Table1[[Test code]:[Test code]],[1]!Table1[E @ 100 mA/cm2 10 mM KOH/V],"",0)</f>
        <v>#REF!</v>
      </c>
      <c r="AC1519" s="69" t="e" cm="1">
        <f t="array" ref="AC1519">_xlfn.XLOOKUP(Table1[[#This Row],[5 cm2 cell test code]:[5 cm2 cell test code]],[1]!Table1[[Test code]:[Test code]],[1]!Table1[Anode ICR/mOhm],"",0)</f>
        <v>#REF!</v>
      </c>
      <c r="AD1519" s="69" t="e" cm="1">
        <f t="array" ref="AD1519">_xlfn.XLOOKUP(Table1[[#This Row],[5 cm2 cell test code]:[5 cm2 cell test code]],[1]!Table1[[Test code]:[Test code]],[1]!Table1[HFR DIW/ mOhm cm2],"",0)</f>
        <v>#REF!</v>
      </c>
      <c r="AE1519" s="69" t="e" cm="1">
        <f t="array" ref="AE1519">_xlfn.XLOOKUP(Table1[[#This Row],[5 cm2 cell test code]:[5 cm2 cell test code]],[1]!Table1[[Test code]:[Test code]],[1]!Table1[HFR 10 mM KOH/ mOhm cm2],"",0)</f>
        <v>#REF!</v>
      </c>
      <c r="AF1519" s="69" t="e" cm="1">
        <f t="array" ref="AF1519">_xlfn.XLOOKUP(Table1[[#This Row],[5 cm2 cell test code]:[5 cm2 cell test code]],[1]!Table1[[Test code]:[Test code]],[1]!Table1[Ionic resistance DIW/Ohm cm2],"",0)</f>
        <v>#REF!</v>
      </c>
      <c r="AG1519" s="69" t="e" cm="1">
        <f t="array" ref="AG1519">_xlfn.XLOOKUP(Table1[[#This Row],[5 cm2 cell test code]:[5 cm2 cell test code]],[1]!Table1[[Test code]:[Test code]],[1]!Table1[Q_int_frac DIW],"",0)</f>
        <v>#REF!</v>
      </c>
      <c r="AH1519" s="69" t="e" cm="1">
        <f t="array" ref="AH1519">_xlfn.XLOOKUP(Table1[[#This Row],[5 cm2 cell test code]:[5 cm2 cell test code]],[1]!Table1[[Test code]:[Test code]],[1]!Table1[Ionic resistance 10 mM KOH/Ohm cm2],"",0)</f>
        <v>#REF!</v>
      </c>
      <c r="AI1519" s="69" t="e" cm="1">
        <f t="array" ref="AI1519">_xlfn.XLOOKUP(Table1[[#This Row],[5 cm2 cell test code]:[5 cm2 cell test code]],[1]!Table1[[Test code]:[Test code]],[1]!Table1[Q_int_frac DIW 10 mM KOH],"",0)</f>
        <v>#REF!</v>
      </c>
      <c r="AJ1519" s="69" t="e" cm="1">
        <f t="array" ref="AJ1519">_xlfn.XLOOKUP(Table1[[#This Row],[5 cm2 cell test code]:[5 cm2 cell test code]],[1]!Table1[[Test code]:[Test code]],[1]!Table1[DIW conductivity (µS/cm)],"",0)</f>
        <v>#REF!</v>
      </c>
    </row>
    <row r="1520" spans="1:36">
      <c r="A1520" s="81"/>
      <c r="U1520" s="101"/>
      <c r="V1520" s="101"/>
      <c r="W1520" s="69" t="e" cm="1">
        <f t="array" ref="W1520">_xlfn.XLOOKUP(Table1[[#This Row],[5 cm2 cell test code]:[5 cm2 cell test code]],[1]!Table1[[Test code]:[Test code]],[1]!Table1[i @ 1.8 V DIW (A/cm2)],"",0)</f>
        <v>#REF!</v>
      </c>
      <c r="X1520" s="69" t="e" cm="1">
        <f t="array" ref="X1520">_xlfn.XLOOKUP(Table1[[#This Row],[5 cm2 cell test code]:[5 cm2 cell test code]],[1]!Table1[[Test code]:[Test code]],[1]!Table1[i @ 1.8 V 10 mM KOH (A/cm2)],"",0)</f>
        <v>#REF!</v>
      </c>
      <c r="Y1520" s="69" t="e" cm="1">
        <f t="array" ref="Y1520">_xlfn.XLOOKUP(Table1[[#This Row],[5 cm2 cell test code]:[5 cm2 cell test code]],[1]!Table1[[Test code]:[Test code]],[1]!Table1[3-E ƞ at 20mAcm-2 (mV)],"",0)</f>
        <v>#REF!</v>
      </c>
      <c r="Z1520" s="69" t="e" cm="1">
        <f t="array" ref="Z1520">_xlfn.XLOOKUP(Table1[[#This Row],[5 cm2 cell test code]:[5 cm2 cell test code]],[1]!Table1[[Test code]:[Test code]],[1]!Table1[3-E Tafel slope (mV/dec)],"",0)</f>
        <v>#REF!</v>
      </c>
      <c r="AA1520" s="69" t="e" cm="1">
        <f t="array" ref="AA1520">_xlfn.XLOOKUP(Table1[[#This Row],[5 cm2 cell test code]:[5 cm2 cell test code]],[1]!Table1[[Test code]:[Test code]],[1]!Table1[E @ 100 mA/cm2 DIW/V],"",0)</f>
        <v>#REF!</v>
      </c>
      <c r="AB1520" s="69" t="e" cm="1">
        <f t="array" ref="AB1520">_xlfn.XLOOKUP(Table1[[#This Row],[5 cm2 cell test code]:[5 cm2 cell test code]],[1]!Table1[[Test code]:[Test code]],[1]!Table1[E @ 100 mA/cm2 10 mM KOH/V],"",0)</f>
        <v>#REF!</v>
      </c>
      <c r="AC1520" s="69" t="e" cm="1">
        <f t="array" ref="AC1520">_xlfn.XLOOKUP(Table1[[#This Row],[5 cm2 cell test code]:[5 cm2 cell test code]],[1]!Table1[[Test code]:[Test code]],[1]!Table1[Anode ICR/mOhm],"",0)</f>
        <v>#REF!</v>
      </c>
      <c r="AD1520" s="69" t="e" cm="1">
        <f t="array" ref="AD1520">_xlfn.XLOOKUP(Table1[[#This Row],[5 cm2 cell test code]:[5 cm2 cell test code]],[1]!Table1[[Test code]:[Test code]],[1]!Table1[HFR DIW/ mOhm cm2],"",0)</f>
        <v>#REF!</v>
      </c>
      <c r="AE1520" s="69" t="e" cm="1">
        <f t="array" ref="AE1520">_xlfn.XLOOKUP(Table1[[#This Row],[5 cm2 cell test code]:[5 cm2 cell test code]],[1]!Table1[[Test code]:[Test code]],[1]!Table1[HFR 10 mM KOH/ mOhm cm2],"",0)</f>
        <v>#REF!</v>
      </c>
      <c r="AF1520" s="69" t="e" cm="1">
        <f t="array" ref="AF1520">_xlfn.XLOOKUP(Table1[[#This Row],[5 cm2 cell test code]:[5 cm2 cell test code]],[1]!Table1[[Test code]:[Test code]],[1]!Table1[Ionic resistance DIW/Ohm cm2],"",0)</f>
        <v>#REF!</v>
      </c>
      <c r="AG1520" s="69" t="e" cm="1">
        <f t="array" ref="AG1520">_xlfn.XLOOKUP(Table1[[#This Row],[5 cm2 cell test code]:[5 cm2 cell test code]],[1]!Table1[[Test code]:[Test code]],[1]!Table1[Q_int_frac DIW],"",0)</f>
        <v>#REF!</v>
      </c>
      <c r="AH1520" s="69" t="e" cm="1">
        <f t="array" ref="AH1520">_xlfn.XLOOKUP(Table1[[#This Row],[5 cm2 cell test code]:[5 cm2 cell test code]],[1]!Table1[[Test code]:[Test code]],[1]!Table1[Ionic resistance 10 mM KOH/Ohm cm2],"",0)</f>
        <v>#REF!</v>
      </c>
      <c r="AI1520" s="69" t="e" cm="1">
        <f t="array" ref="AI1520">_xlfn.XLOOKUP(Table1[[#This Row],[5 cm2 cell test code]:[5 cm2 cell test code]],[1]!Table1[[Test code]:[Test code]],[1]!Table1[Q_int_frac DIW 10 mM KOH],"",0)</f>
        <v>#REF!</v>
      </c>
      <c r="AJ1520" s="69" t="e" cm="1">
        <f t="array" ref="AJ1520">_xlfn.XLOOKUP(Table1[[#This Row],[5 cm2 cell test code]:[5 cm2 cell test code]],[1]!Table1[[Test code]:[Test code]],[1]!Table1[DIW conductivity (µS/cm)],"",0)</f>
        <v>#REF!</v>
      </c>
    </row>
    <row r="1521" spans="1:36">
      <c r="A1521" s="81"/>
      <c r="U1521" s="101"/>
      <c r="V1521" s="101"/>
      <c r="W1521" s="69" t="e" cm="1">
        <f t="array" ref="W1521">_xlfn.XLOOKUP(Table1[[#This Row],[5 cm2 cell test code]:[5 cm2 cell test code]],[1]!Table1[[Test code]:[Test code]],[1]!Table1[i @ 1.8 V DIW (A/cm2)],"",0)</f>
        <v>#REF!</v>
      </c>
      <c r="X1521" s="69" t="e" cm="1">
        <f t="array" ref="X1521">_xlfn.XLOOKUP(Table1[[#This Row],[5 cm2 cell test code]:[5 cm2 cell test code]],[1]!Table1[[Test code]:[Test code]],[1]!Table1[i @ 1.8 V 10 mM KOH (A/cm2)],"",0)</f>
        <v>#REF!</v>
      </c>
      <c r="Y1521" s="69" t="e" cm="1">
        <f t="array" ref="Y1521">_xlfn.XLOOKUP(Table1[[#This Row],[5 cm2 cell test code]:[5 cm2 cell test code]],[1]!Table1[[Test code]:[Test code]],[1]!Table1[3-E ƞ at 20mAcm-2 (mV)],"",0)</f>
        <v>#REF!</v>
      </c>
      <c r="Z1521" s="69" t="e" cm="1">
        <f t="array" ref="Z1521">_xlfn.XLOOKUP(Table1[[#This Row],[5 cm2 cell test code]:[5 cm2 cell test code]],[1]!Table1[[Test code]:[Test code]],[1]!Table1[3-E Tafel slope (mV/dec)],"",0)</f>
        <v>#REF!</v>
      </c>
      <c r="AA1521" s="69" t="e" cm="1">
        <f t="array" ref="AA1521">_xlfn.XLOOKUP(Table1[[#This Row],[5 cm2 cell test code]:[5 cm2 cell test code]],[1]!Table1[[Test code]:[Test code]],[1]!Table1[E @ 100 mA/cm2 DIW/V],"",0)</f>
        <v>#REF!</v>
      </c>
      <c r="AB1521" s="69" t="e" cm="1">
        <f t="array" ref="AB1521">_xlfn.XLOOKUP(Table1[[#This Row],[5 cm2 cell test code]:[5 cm2 cell test code]],[1]!Table1[[Test code]:[Test code]],[1]!Table1[E @ 100 mA/cm2 10 mM KOH/V],"",0)</f>
        <v>#REF!</v>
      </c>
      <c r="AC1521" s="69" t="e" cm="1">
        <f t="array" ref="AC1521">_xlfn.XLOOKUP(Table1[[#This Row],[5 cm2 cell test code]:[5 cm2 cell test code]],[1]!Table1[[Test code]:[Test code]],[1]!Table1[Anode ICR/mOhm],"",0)</f>
        <v>#REF!</v>
      </c>
      <c r="AD1521" s="69" t="e" cm="1">
        <f t="array" ref="AD1521">_xlfn.XLOOKUP(Table1[[#This Row],[5 cm2 cell test code]:[5 cm2 cell test code]],[1]!Table1[[Test code]:[Test code]],[1]!Table1[HFR DIW/ mOhm cm2],"",0)</f>
        <v>#REF!</v>
      </c>
      <c r="AE1521" s="69" t="e" cm="1">
        <f t="array" ref="AE1521">_xlfn.XLOOKUP(Table1[[#This Row],[5 cm2 cell test code]:[5 cm2 cell test code]],[1]!Table1[[Test code]:[Test code]],[1]!Table1[HFR 10 mM KOH/ mOhm cm2],"",0)</f>
        <v>#REF!</v>
      </c>
      <c r="AF1521" s="69" t="e" cm="1">
        <f t="array" ref="AF1521">_xlfn.XLOOKUP(Table1[[#This Row],[5 cm2 cell test code]:[5 cm2 cell test code]],[1]!Table1[[Test code]:[Test code]],[1]!Table1[Ionic resistance DIW/Ohm cm2],"",0)</f>
        <v>#REF!</v>
      </c>
      <c r="AG1521" s="69" t="e" cm="1">
        <f t="array" ref="AG1521">_xlfn.XLOOKUP(Table1[[#This Row],[5 cm2 cell test code]:[5 cm2 cell test code]],[1]!Table1[[Test code]:[Test code]],[1]!Table1[Q_int_frac DIW],"",0)</f>
        <v>#REF!</v>
      </c>
      <c r="AH1521" s="69" t="e" cm="1">
        <f t="array" ref="AH1521">_xlfn.XLOOKUP(Table1[[#This Row],[5 cm2 cell test code]:[5 cm2 cell test code]],[1]!Table1[[Test code]:[Test code]],[1]!Table1[Ionic resistance 10 mM KOH/Ohm cm2],"",0)</f>
        <v>#REF!</v>
      </c>
      <c r="AI1521" s="69" t="e" cm="1">
        <f t="array" ref="AI1521">_xlfn.XLOOKUP(Table1[[#This Row],[5 cm2 cell test code]:[5 cm2 cell test code]],[1]!Table1[[Test code]:[Test code]],[1]!Table1[Q_int_frac DIW 10 mM KOH],"",0)</f>
        <v>#REF!</v>
      </c>
      <c r="AJ1521" s="69" t="e" cm="1">
        <f t="array" ref="AJ1521">_xlfn.XLOOKUP(Table1[[#This Row],[5 cm2 cell test code]:[5 cm2 cell test code]],[1]!Table1[[Test code]:[Test code]],[1]!Table1[DIW conductivity (µS/cm)],"",0)</f>
        <v>#REF!</v>
      </c>
    </row>
    <row r="1522" spans="1:36">
      <c r="A1522" s="81"/>
      <c r="U1522" s="101"/>
      <c r="V1522" s="101"/>
      <c r="W1522" s="69" t="e" cm="1">
        <f t="array" ref="W1522">_xlfn.XLOOKUP(Table1[[#This Row],[5 cm2 cell test code]:[5 cm2 cell test code]],[1]!Table1[[Test code]:[Test code]],[1]!Table1[i @ 1.8 V DIW (A/cm2)],"",0)</f>
        <v>#REF!</v>
      </c>
      <c r="X1522" s="69" t="e" cm="1">
        <f t="array" ref="X1522">_xlfn.XLOOKUP(Table1[[#This Row],[5 cm2 cell test code]:[5 cm2 cell test code]],[1]!Table1[[Test code]:[Test code]],[1]!Table1[i @ 1.8 V 10 mM KOH (A/cm2)],"",0)</f>
        <v>#REF!</v>
      </c>
      <c r="Y1522" s="69" t="e" cm="1">
        <f t="array" ref="Y1522">_xlfn.XLOOKUP(Table1[[#This Row],[5 cm2 cell test code]:[5 cm2 cell test code]],[1]!Table1[[Test code]:[Test code]],[1]!Table1[3-E ƞ at 20mAcm-2 (mV)],"",0)</f>
        <v>#REF!</v>
      </c>
      <c r="Z1522" s="69" t="e" cm="1">
        <f t="array" ref="Z1522">_xlfn.XLOOKUP(Table1[[#This Row],[5 cm2 cell test code]:[5 cm2 cell test code]],[1]!Table1[[Test code]:[Test code]],[1]!Table1[3-E Tafel slope (mV/dec)],"",0)</f>
        <v>#REF!</v>
      </c>
      <c r="AA1522" s="69" t="e" cm="1">
        <f t="array" ref="AA1522">_xlfn.XLOOKUP(Table1[[#This Row],[5 cm2 cell test code]:[5 cm2 cell test code]],[1]!Table1[[Test code]:[Test code]],[1]!Table1[E @ 100 mA/cm2 DIW/V],"",0)</f>
        <v>#REF!</v>
      </c>
      <c r="AB1522" s="69" t="e" cm="1">
        <f t="array" ref="AB1522">_xlfn.XLOOKUP(Table1[[#This Row],[5 cm2 cell test code]:[5 cm2 cell test code]],[1]!Table1[[Test code]:[Test code]],[1]!Table1[E @ 100 mA/cm2 10 mM KOH/V],"",0)</f>
        <v>#REF!</v>
      </c>
      <c r="AC1522" s="69" t="e" cm="1">
        <f t="array" ref="AC1522">_xlfn.XLOOKUP(Table1[[#This Row],[5 cm2 cell test code]:[5 cm2 cell test code]],[1]!Table1[[Test code]:[Test code]],[1]!Table1[Anode ICR/mOhm],"",0)</f>
        <v>#REF!</v>
      </c>
      <c r="AD1522" s="69" t="e" cm="1">
        <f t="array" ref="AD1522">_xlfn.XLOOKUP(Table1[[#This Row],[5 cm2 cell test code]:[5 cm2 cell test code]],[1]!Table1[[Test code]:[Test code]],[1]!Table1[HFR DIW/ mOhm cm2],"",0)</f>
        <v>#REF!</v>
      </c>
      <c r="AE1522" s="69" t="e" cm="1">
        <f t="array" ref="AE1522">_xlfn.XLOOKUP(Table1[[#This Row],[5 cm2 cell test code]:[5 cm2 cell test code]],[1]!Table1[[Test code]:[Test code]],[1]!Table1[HFR 10 mM KOH/ mOhm cm2],"",0)</f>
        <v>#REF!</v>
      </c>
      <c r="AF1522" s="69" t="e" cm="1">
        <f t="array" ref="AF1522">_xlfn.XLOOKUP(Table1[[#This Row],[5 cm2 cell test code]:[5 cm2 cell test code]],[1]!Table1[[Test code]:[Test code]],[1]!Table1[Ionic resistance DIW/Ohm cm2],"",0)</f>
        <v>#REF!</v>
      </c>
      <c r="AG1522" s="69" t="e" cm="1">
        <f t="array" ref="AG1522">_xlfn.XLOOKUP(Table1[[#This Row],[5 cm2 cell test code]:[5 cm2 cell test code]],[1]!Table1[[Test code]:[Test code]],[1]!Table1[Q_int_frac DIW],"",0)</f>
        <v>#REF!</v>
      </c>
      <c r="AH1522" s="69" t="e" cm="1">
        <f t="array" ref="AH1522">_xlfn.XLOOKUP(Table1[[#This Row],[5 cm2 cell test code]:[5 cm2 cell test code]],[1]!Table1[[Test code]:[Test code]],[1]!Table1[Ionic resistance 10 mM KOH/Ohm cm2],"",0)</f>
        <v>#REF!</v>
      </c>
      <c r="AI1522" s="69" t="e" cm="1">
        <f t="array" ref="AI1522">_xlfn.XLOOKUP(Table1[[#This Row],[5 cm2 cell test code]:[5 cm2 cell test code]],[1]!Table1[[Test code]:[Test code]],[1]!Table1[Q_int_frac DIW 10 mM KOH],"",0)</f>
        <v>#REF!</v>
      </c>
      <c r="AJ1522" s="69" t="e" cm="1">
        <f t="array" ref="AJ1522">_xlfn.XLOOKUP(Table1[[#This Row],[5 cm2 cell test code]:[5 cm2 cell test code]],[1]!Table1[[Test code]:[Test code]],[1]!Table1[DIW conductivity (µS/cm)],"",0)</f>
        <v>#REF!</v>
      </c>
    </row>
    <row r="1523" spans="1:36">
      <c r="A1523" s="81"/>
      <c r="U1523" s="101"/>
      <c r="V1523" s="101"/>
      <c r="W1523" s="69" t="e" cm="1">
        <f t="array" ref="W1523">_xlfn.XLOOKUP(Table1[[#This Row],[5 cm2 cell test code]:[5 cm2 cell test code]],[1]!Table1[[Test code]:[Test code]],[1]!Table1[i @ 1.8 V DIW (A/cm2)],"",0)</f>
        <v>#REF!</v>
      </c>
      <c r="X1523" s="69" t="e" cm="1">
        <f t="array" ref="X1523">_xlfn.XLOOKUP(Table1[[#This Row],[5 cm2 cell test code]:[5 cm2 cell test code]],[1]!Table1[[Test code]:[Test code]],[1]!Table1[i @ 1.8 V 10 mM KOH (A/cm2)],"",0)</f>
        <v>#REF!</v>
      </c>
      <c r="Y1523" s="69" t="e" cm="1">
        <f t="array" ref="Y1523">_xlfn.XLOOKUP(Table1[[#This Row],[5 cm2 cell test code]:[5 cm2 cell test code]],[1]!Table1[[Test code]:[Test code]],[1]!Table1[3-E ƞ at 20mAcm-2 (mV)],"",0)</f>
        <v>#REF!</v>
      </c>
      <c r="Z1523" s="69" t="e" cm="1">
        <f t="array" ref="Z1523">_xlfn.XLOOKUP(Table1[[#This Row],[5 cm2 cell test code]:[5 cm2 cell test code]],[1]!Table1[[Test code]:[Test code]],[1]!Table1[3-E Tafel slope (mV/dec)],"",0)</f>
        <v>#REF!</v>
      </c>
      <c r="AA1523" s="69" t="e" cm="1">
        <f t="array" ref="AA1523">_xlfn.XLOOKUP(Table1[[#This Row],[5 cm2 cell test code]:[5 cm2 cell test code]],[1]!Table1[[Test code]:[Test code]],[1]!Table1[E @ 100 mA/cm2 DIW/V],"",0)</f>
        <v>#REF!</v>
      </c>
      <c r="AB1523" s="69" t="e" cm="1">
        <f t="array" ref="AB1523">_xlfn.XLOOKUP(Table1[[#This Row],[5 cm2 cell test code]:[5 cm2 cell test code]],[1]!Table1[[Test code]:[Test code]],[1]!Table1[E @ 100 mA/cm2 10 mM KOH/V],"",0)</f>
        <v>#REF!</v>
      </c>
      <c r="AC1523" s="69" t="e" cm="1">
        <f t="array" ref="AC1523">_xlfn.XLOOKUP(Table1[[#This Row],[5 cm2 cell test code]:[5 cm2 cell test code]],[1]!Table1[[Test code]:[Test code]],[1]!Table1[Anode ICR/mOhm],"",0)</f>
        <v>#REF!</v>
      </c>
      <c r="AD1523" s="69" t="e" cm="1">
        <f t="array" ref="AD1523">_xlfn.XLOOKUP(Table1[[#This Row],[5 cm2 cell test code]:[5 cm2 cell test code]],[1]!Table1[[Test code]:[Test code]],[1]!Table1[HFR DIW/ mOhm cm2],"",0)</f>
        <v>#REF!</v>
      </c>
      <c r="AE1523" s="69" t="e" cm="1">
        <f t="array" ref="AE1523">_xlfn.XLOOKUP(Table1[[#This Row],[5 cm2 cell test code]:[5 cm2 cell test code]],[1]!Table1[[Test code]:[Test code]],[1]!Table1[HFR 10 mM KOH/ mOhm cm2],"",0)</f>
        <v>#REF!</v>
      </c>
      <c r="AF1523" s="69" t="e" cm="1">
        <f t="array" ref="AF1523">_xlfn.XLOOKUP(Table1[[#This Row],[5 cm2 cell test code]:[5 cm2 cell test code]],[1]!Table1[[Test code]:[Test code]],[1]!Table1[Ionic resistance DIW/Ohm cm2],"",0)</f>
        <v>#REF!</v>
      </c>
      <c r="AG1523" s="69" t="e" cm="1">
        <f t="array" ref="AG1523">_xlfn.XLOOKUP(Table1[[#This Row],[5 cm2 cell test code]:[5 cm2 cell test code]],[1]!Table1[[Test code]:[Test code]],[1]!Table1[Q_int_frac DIW],"",0)</f>
        <v>#REF!</v>
      </c>
      <c r="AH1523" s="69" t="e" cm="1">
        <f t="array" ref="AH1523">_xlfn.XLOOKUP(Table1[[#This Row],[5 cm2 cell test code]:[5 cm2 cell test code]],[1]!Table1[[Test code]:[Test code]],[1]!Table1[Ionic resistance 10 mM KOH/Ohm cm2],"",0)</f>
        <v>#REF!</v>
      </c>
      <c r="AI1523" s="69" t="e" cm="1">
        <f t="array" ref="AI1523">_xlfn.XLOOKUP(Table1[[#This Row],[5 cm2 cell test code]:[5 cm2 cell test code]],[1]!Table1[[Test code]:[Test code]],[1]!Table1[Q_int_frac DIW 10 mM KOH],"",0)</f>
        <v>#REF!</v>
      </c>
      <c r="AJ1523" s="69" t="e" cm="1">
        <f t="array" ref="AJ1523">_xlfn.XLOOKUP(Table1[[#This Row],[5 cm2 cell test code]:[5 cm2 cell test code]],[1]!Table1[[Test code]:[Test code]],[1]!Table1[DIW conductivity (µS/cm)],"",0)</f>
        <v>#REF!</v>
      </c>
    </row>
    <row r="1524" spans="1:36">
      <c r="A1524" s="81"/>
      <c r="U1524" s="101"/>
      <c r="V1524" s="101"/>
      <c r="W1524" s="69" t="e" cm="1">
        <f t="array" ref="W1524">_xlfn.XLOOKUP(Table1[[#This Row],[5 cm2 cell test code]:[5 cm2 cell test code]],[1]!Table1[[Test code]:[Test code]],[1]!Table1[i @ 1.8 V DIW (A/cm2)],"",0)</f>
        <v>#REF!</v>
      </c>
      <c r="X1524" s="69" t="e" cm="1">
        <f t="array" ref="X1524">_xlfn.XLOOKUP(Table1[[#This Row],[5 cm2 cell test code]:[5 cm2 cell test code]],[1]!Table1[[Test code]:[Test code]],[1]!Table1[i @ 1.8 V 10 mM KOH (A/cm2)],"",0)</f>
        <v>#REF!</v>
      </c>
      <c r="Y1524" s="69" t="e" cm="1">
        <f t="array" ref="Y1524">_xlfn.XLOOKUP(Table1[[#This Row],[5 cm2 cell test code]:[5 cm2 cell test code]],[1]!Table1[[Test code]:[Test code]],[1]!Table1[3-E ƞ at 20mAcm-2 (mV)],"",0)</f>
        <v>#REF!</v>
      </c>
      <c r="Z1524" s="69" t="e" cm="1">
        <f t="array" ref="Z1524">_xlfn.XLOOKUP(Table1[[#This Row],[5 cm2 cell test code]:[5 cm2 cell test code]],[1]!Table1[[Test code]:[Test code]],[1]!Table1[3-E Tafel slope (mV/dec)],"",0)</f>
        <v>#REF!</v>
      </c>
      <c r="AA1524" s="69" t="e" cm="1">
        <f t="array" ref="AA1524">_xlfn.XLOOKUP(Table1[[#This Row],[5 cm2 cell test code]:[5 cm2 cell test code]],[1]!Table1[[Test code]:[Test code]],[1]!Table1[E @ 100 mA/cm2 DIW/V],"",0)</f>
        <v>#REF!</v>
      </c>
      <c r="AB1524" s="69" t="e" cm="1">
        <f t="array" ref="AB1524">_xlfn.XLOOKUP(Table1[[#This Row],[5 cm2 cell test code]:[5 cm2 cell test code]],[1]!Table1[[Test code]:[Test code]],[1]!Table1[E @ 100 mA/cm2 10 mM KOH/V],"",0)</f>
        <v>#REF!</v>
      </c>
      <c r="AC1524" s="69" t="e" cm="1">
        <f t="array" ref="AC1524">_xlfn.XLOOKUP(Table1[[#This Row],[5 cm2 cell test code]:[5 cm2 cell test code]],[1]!Table1[[Test code]:[Test code]],[1]!Table1[Anode ICR/mOhm],"",0)</f>
        <v>#REF!</v>
      </c>
      <c r="AD1524" s="69" t="e" cm="1">
        <f t="array" ref="AD1524">_xlfn.XLOOKUP(Table1[[#This Row],[5 cm2 cell test code]:[5 cm2 cell test code]],[1]!Table1[[Test code]:[Test code]],[1]!Table1[HFR DIW/ mOhm cm2],"",0)</f>
        <v>#REF!</v>
      </c>
      <c r="AE1524" s="69" t="e" cm="1">
        <f t="array" ref="AE1524">_xlfn.XLOOKUP(Table1[[#This Row],[5 cm2 cell test code]:[5 cm2 cell test code]],[1]!Table1[[Test code]:[Test code]],[1]!Table1[HFR 10 mM KOH/ mOhm cm2],"",0)</f>
        <v>#REF!</v>
      </c>
      <c r="AF1524" s="69" t="e" cm="1">
        <f t="array" ref="AF1524">_xlfn.XLOOKUP(Table1[[#This Row],[5 cm2 cell test code]:[5 cm2 cell test code]],[1]!Table1[[Test code]:[Test code]],[1]!Table1[Ionic resistance DIW/Ohm cm2],"",0)</f>
        <v>#REF!</v>
      </c>
      <c r="AG1524" s="69" t="e" cm="1">
        <f t="array" ref="AG1524">_xlfn.XLOOKUP(Table1[[#This Row],[5 cm2 cell test code]:[5 cm2 cell test code]],[1]!Table1[[Test code]:[Test code]],[1]!Table1[Q_int_frac DIW],"",0)</f>
        <v>#REF!</v>
      </c>
      <c r="AH1524" s="69" t="e" cm="1">
        <f t="array" ref="AH1524">_xlfn.XLOOKUP(Table1[[#This Row],[5 cm2 cell test code]:[5 cm2 cell test code]],[1]!Table1[[Test code]:[Test code]],[1]!Table1[Ionic resistance 10 mM KOH/Ohm cm2],"",0)</f>
        <v>#REF!</v>
      </c>
      <c r="AI1524" s="69" t="e" cm="1">
        <f t="array" ref="AI1524">_xlfn.XLOOKUP(Table1[[#This Row],[5 cm2 cell test code]:[5 cm2 cell test code]],[1]!Table1[[Test code]:[Test code]],[1]!Table1[Q_int_frac DIW 10 mM KOH],"",0)</f>
        <v>#REF!</v>
      </c>
      <c r="AJ1524" s="69" t="e" cm="1">
        <f t="array" ref="AJ1524">_xlfn.XLOOKUP(Table1[[#This Row],[5 cm2 cell test code]:[5 cm2 cell test code]],[1]!Table1[[Test code]:[Test code]],[1]!Table1[DIW conductivity (µS/cm)],"",0)</f>
        <v>#REF!</v>
      </c>
    </row>
    <row r="1525" spans="1:36">
      <c r="A1525" s="81"/>
      <c r="U1525" s="101"/>
      <c r="V1525" s="101"/>
      <c r="W1525" s="69" t="e" cm="1">
        <f t="array" ref="W1525">_xlfn.XLOOKUP(Table1[[#This Row],[5 cm2 cell test code]:[5 cm2 cell test code]],[1]!Table1[[Test code]:[Test code]],[1]!Table1[i @ 1.8 V DIW (A/cm2)],"",0)</f>
        <v>#REF!</v>
      </c>
      <c r="X1525" s="69" t="e" cm="1">
        <f t="array" ref="X1525">_xlfn.XLOOKUP(Table1[[#This Row],[5 cm2 cell test code]:[5 cm2 cell test code]],[1]!Table1[[Test code]:[Test code]],[1]!Table1[i @ 1.8 V 10 mM KOH (A/cm2)],"",0)</f>
        <v>#REF!</v>
      </c>
      <c r="Y1525" s="69" t="e" cm="1">
        <f t="array" ref="Y1525">_xlfn.XLOOKUP(Table1[[#This Row],[5 cm2 cell test code]:[5 cm2 cell test code]],[1]!Table1[[Test code]:[Test code]],[1]!Table1[3-E ƞ at 20mAcm-2 (mV)],"",0)</f>
        <v>#REF!</v>
      </c>
      <c r="Z1525" s="69" t="e" cm="1">
        <f t="array" ref="Z1525">_xlfn.XLOOKUP(Table1[[#This Row],[5 cm2 cell test code]:[5 cm2 cell test code]],[1]!Table1[[Test code]:[Test code]],[1]!Table1[3-E Tafel slope (mV/dec)],"",0)</f>
        <v>#REF!</v>
      </c>
      <c r="AA1525" s="69" t="e" cm="1">
        <f t="array" ref="AA1525">_xlfn.XLOOKUP(Table1[[#This Row],[5 cm2 cell test code]:[5 cm2 cell test code]],[1]!Table1[[Test code]:[Test code]],[1]!Table1[E @ 100 mA/cm2 DIW/V],"",0)</f>
        <v>#REF!</v>
      </c>
      <c r="AB1525" s="69" t="e" cm="1">
        <f t="array" ref="AB1525">_xlfn.XLOOKUP(Table1[[#This Row],[5 cm2 cell test code]:[5 cm2 cell test code]],[1]!Table1[[Test code]:[Test code]],[1]!Table1[E @ 100 mA/cm2 10 mM KOH/V],"",0)</f>
        <v>#REF!</v>
      </c>
      <c r="AC1525" s="69" t="e" cm="1">
        <f t="array" ref="AC1525">_xlfn.XLOOKUP(Table1[[#This Row],[5 cm2 cell test code]:[5 cm2 cell test code]],[1]!Table1[[Test code]:[Test code]],[1]!Table1[Anode ICR/mOhm],"",0)</f>
        <v>#REF!</v>
      </c>
      <c r="AD1525" s="69" t="e" cm="1">
        <f t="array" ref="AD1525">_xlfn.XLOOKUP(Table1[[#This Row],[5 cm2 cell test code]:[5 cm2 cell test code]],[1]!Table1[[Test code]:[Test code]],[1]!Table1[HFR DIW/ mOhm cm2],"",0)</f>
        <v>#REF!</v>
      </c>
      <c r="AE1525" s="69" t="e" cm="1">
        <f t="array" ref="AE1525">_xlfn.XLOOKUP(Table1[[#This Row],[5 cm2 cell test code]:[5 cm2 cell test code]],[1]!Table1[[Test code]:[Test code]],[1]!Table1[HFR 10 mM KOH/ mOhm cm2],"",0)</f>
        <v>#REF!</v>
      </c>
      <c r="AF1525" s="69" t="e" cm="1">
        <f t="array" ref="AF1525">_xlfn.XLOOKUP(Table1[[#This Row],[5 cm2 cell test code]:[5 cm2 cell test code]],[1]!Table1[[Test code]:[Test code]],[1]!Table1[Ionic resistance DIW/Ohm cm2],"",0)</f>
        <v>#REF!</v>
      </c>
      <c r="AG1525" s="69" t="e" cm="1">
        <f t="array" ref="AG1525">_xlfn.XLOOKUP(Table1[[#This Row],[5 cm2 cell test code]:[5 cm2 cell test code]],[1]!Table1[[Test code]:[Test code]],[1]!Table1[Q_int_frac DIW],"",0)</f>
        <v>#REF!</v>
      </c>
      <c r="AH1525" s="69" t="e" cm="1">
        <f t="array" ref="AH1525">_xlfn.XLOOKUP(Table1[[#This Row],[5 cm2 cell test code]:[5 cm2 cell test code]],[1]!Table1[[Test code]:[Test code]],[1]!Table1[Ionic resistance 10 mM KOH/Ohm cm2],"",0)</f>
        <v>#REF!</v>
      </c>
      <c r="AI1525" s="69" t="e" cm="1">
        <f t="array" ref="AI1525">_xlfn.XLOOKUP(Table1[[#This Row],[5 cm2 cell test code]:[5 cm2 cell test code]],[1]!Table1[[Test code]:[Test code]],[1]!Table1[Q_int_frac DIW 10 mM KOH],"",0)</f>
        <v>#REF!</v>
      </c>
      <c r="AJ1525" s="69" t="e" cm="1">
        <f t="array" ref="AJ1525">_xlfn.XLOOKUP(Table1[[#This Row],[5 cm2 cell test code]:[5 cm2 cell test code]],[1]!Table1[[Test code]:[Test code]],[1]!Table1[DIW conductivity (µS/cm)],"",0)</f>
        <v>#REF!</v>
      </c>
    </row>
    <row r="1526" spans="1:36">
      <c r="A1526" s="81"/>
      <c r="U1526" s="101"/>
      <c r="V1526" s="101"/>
      <c r="W1526" s="69" t="e" cm="1">
        <f t="array" ref="W1526">_xlfn.XLOOKUP(Table1[[#This Row],[5 cm2 cell test code]:[5 cm2 cell test code]],[1]!Table1[[Test code]:[Test code]],[1]!Table1[i @ 1.8 V DIW (A/cm2)],"",0)</f>
        <v>#REF!</v>
      </c>
      <c r="X1526" s="69" t="e" cm="1">
        <f t="array" ref="X1526">_xlfn.XLOOKUP(Table1[[#This Row],[5 cm2 cell test code]:[5 cm2 cell test code]],[1]!Table1[[Test code]:[Test code]],[1]!Table1[i @ 1.8 V 10 mM KOH (A/cm2)],"",0)</f>
        <v>#REF!</v>
      </c>
      <c r="Y1526" s="69" t="e" cm="1">
        <f t="array" ref="Y1526">_xlfn.XLOOKUP(Table1[[#This Row],[5 cm2 cell test code]:[5 cm2 cell test code]],[1]!Table1[[Test code]:[Test code]],[1]!Table1[3-E ƞ at 20mAcm-2 (mV)],"",0)</f>
        <v>#REF!</v>
      </c>
      <c r="Z1526" s="69" t="e" cm="1">
        <f t="array" ref="Z1526">_xlfn.XLOOKUP(Table1[[#This Row],[5 cm2 cell test code]:[5 cm2 cell test code]],[1]!Table1[[Test code]:[Test code]],[1]!Table1[3-E Tafel slope (mV/dec)],"",0)</f>
        <v>#REF!</v>
      </c>
      <c r="AA1526" s="69" t="e" cm="1">
        <f t="array" ref="AA1526">_xlfn.XLOOKUP(Table1[[#This Row],[5 cm2 cell test code]:[5 cm2 cell test code]],[1]!Table1[[Test code]:[Test code]],[1]!Table1[E @ 100 mA/cm2 DIW/V],"",0)</f>
        <v>#REF!</v>
      </c>
      <c r="AB1526" s="69" t="e" cm="1">
        <f t="array" ref="AB1526">_xlfn.XLOOKUP(Table1[[#This Row],[5 cm2 cell test code]:[5 cm2 cell test code]],[1]!Table1[[Test code]:[Test code]],[1]!Table1[E @ 100 mA/cm2 10 mM KOH/V],"",0)</f>
        <v>#REF!</v>
      </c>
      <c r="AC1526" s="69" t="e" cm="1">
        <f t="array" ref="AC1526">_xlfn.XLOOKUP(Table1[[#This Row],[5 cm2 cell test code]:[5 cm2 cell test code]],[1]!Table1[[Test code]:[Test code]],[1]!Table1[Anode ICR/mOhm],"",0)</f>
        <v>#REF!</v>
      </c>
      <c r="AD1526" s="69" t="e" cm="1">
        <f t="array" ref="AD1526">_xlfn.XLOOKUP(Table1[[#This Row],[5 cm2 cell test code]:[5 cm2 cell test code]],[1]!Table1[[Test code]:[Test code]],[1]!Table1[HFR DIW/ mOhm cm2],"",0)</f>
        <v>#REF!</v>
      </c>
      <c r="AE1526" s="69" t="e" cm="1">
        <f t="array" ref="AE1526">_xlfn.XLOOKUP(Table1[[#This Row],[5 cm2 cell test code]:[5 cm2 cell test code]],[1]!Table1[[Test code]:[Test code]],[1]!Table1[HFR 10 mM KOH/ mOhm cm2],"",0)</f>
        <v>#REF!</v>
      </c>
      <c r="AF1526" s="69" t="e" cm="1">
        <f t="array" ref="AF1526">_xlfn.XLOOKUP(Table1[[#This Row],[5 cm2 cell test code]:[5 cm2 cell test code]],[1]!Table1[[Test code]:[Test code]],[1]!Table1[Ionic resistance DIW/Ohm cm2],"",0)</f>
        <v>#REF!</v>
      </c>
      <c r="AG1526" s="69" t="e" cm="1">
        <f t="array" ref="AG1526">_xlfn.XLOOKUP(Table1[[#This Row],[5 cm2 cell test code]:[5 cm2 cell test code]],[1]!Table1[[Test code]:[Test code]],[1]!Table1[Q_int_frac DIW],"",0)</f>
        <v>#REF!</v>
      </c>
      <c r="AH1526" s="69" t="e" cm="1">
        <f t="array" ref="AH1526">_xlfn.XLOOKUP(Table1[[#This Row],[5 cm2 cell test code]:[5 cm2 cell test code]],[1]!Table1[[Test code]:[Test code]],[1]!Table1[Ionic resistance 10 mM KOH/Ohm cm2],"",0)</f>
        <v>#REF!</v>
      </c>
      <c r="AI1526" s="69" t="e" cm="1">
        <f t="array" ref="AI1526">_xlfn.XLOOKUP(Table1[[#This Row],[5 cm2 cell test code]:[5 cm2 cell test code]],[1]!Table1[[Test code]:[Test code]],[1]!Table1[Q_int_frac DIW 10 mM KOH],"",0)</f>
        <v>#REF!</v>
      </c>
      <c r="AJ1526" s="69" t="e" cm="1">
        <f t="array" ref="AJ1526">_xlfn.XLOOKUP(Table1[[#This Row],[5 cm2 cell test code]:[5 cm2 cell test code]],[1]!Table1[[Test code]:[Test code]],[1]!Table1[DIW conductivity (µS/cm)],"",0)</f>
        <v>#REF!</v>
      </c>
    </row>
    <row r="1527" spans="1:36">
      <c r="A1527" s="81"/>
      <c r="U1527" s="101"/>
      <c r="V1527" s="101"/>
      <c r="W1527" s="69" t="e" cm="1">
        <f t="array" ref="W1527">_xlfn.XLOOKUP(Table1[[#This Row],[5 cm2 cell test code]:[5 cm2 cell test code]],[1]!Table1[[Test code]:[Test code]],[1]!Table1[i @ 1.8 V DIW (A/cm2)],"",0)</f>
        <v>#REF!</v>
      </c>
      <c r="X1527" s="69" t="e" cm="1">
        <f t="array" ref="X1527">_xlfn.XLOOKUP(Table1[[#This Row],[5 cm2 cell test code]:[5 cm2 cell test code]],[1]!Table1[[Test code]:[Test code]],[1]!Table1[i @ 1.8 V 10 mM KOH (A/cm2)],"",0)</f>
        <v>#REF!</v>
      </c>
      <c r="Y1527" s="69" t="e" cm="1">
        <f t="array" ref="Y1527">_xlfn.XLOOKUP(Table1[[#This Row],[5 cm2 cell test code]:[5 cm2 cell test code]],[1]!Table1[[Test code]:[Test code]],[1]!Table1[3-E ƞ at 20mAcm-2 (mV)],"",0)</f>
        <v>#REF!</v>
      </c>
      <c r="Z1527" s="69" t="e" cm="1">
        <f t="array" ref="Z1527">_xlfn.XLOOKUP(Table1[[#This Row],[5 cm2 cell test code]:[5 cm2 cell test code]],[1]!Table1[[Test code]:[Test code]],[1]!Table1[3-E Tafel slope (mV/dec)],"",0)</f>
        <v>#REF!</v>
      </c>
      <c r="AA1527" s="69" t="e" cm="1">
        <f t="array" ref="AA1527">_xlfn.XLOOKUP(Table1[[#This Row],[5 cm2 cell test code]:[5 cm2 cell test code]],[1]!Table1[[Test code]:[Test code]],[1]!Table1[E @ 100 mA/cm2 DIW/V],"",0)</f>
        <v>#REF!</v>
      </c>
      <c r="AB1527" s="69" t="e" cm="1">
        <f t="array" ref="AB1527">_xlfn.XLOOKUP(Table1[[#This Row],[5 cm2 cell test code]:[5 cm2 cell test code]],[1]!Table1[[Test code]:[Test code]],[1]!Table1[E @ 100 mA/cm2 10 mM KOH/V],"",0)</f>
        <v>#REF!</v>
      </c>
      <c r="AC1527" s="69" t="e" cm="1">
        <f t="array" ref="AC1527">_xlfn.XLOOKUP(Table1[[#This Row],[5 cm2 cell test code]:[5 cm2 cell test code]],[1]!Table1[[Test code]:[Test code]],[1]!Table1[Anode ICR/mOhm],"",0)</f>
        <v>#REF!</v>
      </c>
      <c r="AD1527" s="69" t="e" cm="1">
        <f t="array" ref="AD1527">_xlfn.XLOOKUP(Table1[[#This Row],[5 cm2 cell test code]:[5 cm2 cell test code]],[1]!Table1[[Test code]:[Test code]],[1]!Table1[HFR DIW/ mOhm cm2],"",0)</f>
        <v>#REF!</v>
      </c>
      <c r="AE1527" s="69" t="e" cm="1">
        <f t="array" ref="AE1527">_xlfn.XLOOKUP(Table1[[#This Row],[5 cm2 cell test code]:[5 cm2 cell test code]],[1]!Table1[[Test code]:[Test code]],[1]!Table1[HFR 10 mM KOH/ mOhm cm2],"",0)</f>
        <v>#REF!</v>
      </c>
      <c r="AF1527" s="69" t="e" cm="1">
        <f t="array" ref="AF1527">_xlfn.XLOOKUP(Table1[[#This Row],[5 cm2 cell test code]:[5 cm2 cell test code]],[1]!Table1[[Test code]:[Test code]],[1]!Table1[Ionic resistance DIW/Ohm cm2],"",0)</f>
        <v>#REF!</v>
      </c>
      <c r="AG1527" s="69" t="e" cm="1">
        <f t="array" ref="AG1527">_xlfn.XLOOKUP(Table1[[#This Row],[5 cm2 cell test code]:[5 cm2 cell test code]],[1]!Table1[[Test code]:[Test code]],[1]!Table1[Q_int_frac DIW],"",0)</f>
        <v>#REF!</v>
      </c>
      <c r="AH1527" s="69" t="e" cm="1">
        <f t="array" ref="AH1527">_xlfn.XLOOKUP(Table1[[#This Row],[5 cm2 cell test code]:[5 cm2 cell test code]],[1]!Table1[[Test code]:[Test code]],[1]!Table1[Ionic resistance 10 mM KOH/Ohm cm2],"",0)</f>
        <v>#REF!</v>
      </c>
      <c r="AI1527" s="69" t="e" cm="1">
        <f t="array" ref="AI1527">_xlfn.XLOOKUP(Table1[[#This Row],[5 cm2 cell test code]:[5 cm2 cell test code]],[1]!Table1[[Test code]:[Test code]],[1]!Table1[Q_int_frac DIW 10 mM KOH],"",0)</f>
        <v>#REF!</v>
      </c>
      <c r="AJ1527" s="69" t="e" cm="1">
        <f t="array" ref="AJ1527">_xlfn.XLOOKUP(Table1[[#This Row],[5 cm2 cell test code]:[5 cm2 cell test code]],[1]!Table1[[Test code]:[Test code]],[1]!Table1[DIW conductivity (µS/cm)],"",0)</f>
        <v>#REF!</v>
      </c>
    </row>
    <row r="1528" spans="1:36">
      <c r="A1528" s="81"/>
      <c r="U1528" s="101"/>
      <c r="V1528" s="101"/>
      <c r="W1528" s="69" t="e" cm="1">
        <f t="array" ref="W1528">_xlfn.XLOOKUP(Table1[[#This Row],[5 cm2 cell test code]:[5 cm2 cell test code]],[1]!Table1[[Test code]:[Test code]],[1]!Table1[i @ 1.8 V DIW (A/cm2)],"",0)</f>
        <v>#REF!</v>
      </c>
      <c r="X1528" s="69" t="e" cm="1">
        <f t="array" ref="X1528">_xlfn.XLOOKUP(Table1[[#This Row],[5 cm2 cell test code]:[5 cm2 cell test code]],[1]!Table1[[Test code]:[Test code]],[1]!Table1[i @ 1.8 V 10 mM KOH (A/cm2)],"",0)</f>
        <v>#REF!</v>
      </c>
      <c r="Y1528" s="69" t="e" cm="1">
        <f t="array" ref="Y1528">_xlfn.XLOOKUP(Table1[[#This Row],[5 cm2 cell test code]:[5 cm2 cell test code]],[1]!Table1[[Test code]:[Test code]],[1]!Table1[3-E ƞ at 20mAcm-2 (mV)],"",0)</f>
        <v>#REF!</v>
      </c>
      <c r="Z1528" s="69" t="e" cm="1">
        <f t="array" ref="Z1528">_xlfn.XLOOKUP(Table1[[#This Row],[5 cm2 cell test code]:[5 cm2 cell test code]],[1]!Table1[[Test code]:[Test code]],[1]!Table1[3-E Tafel slope (mV/dec)],"",0)</f>
        <v>#REF!</v>
      </c>
      <c r="AA1528" s="69" t="e" cm="1">
        <f t="array" ref="AA1528">_xlfn.XLOOKUP(Table1[[#This Row],[5 cm2 cell test code]:[5 cm2 cell test code]],[1]!Table1[[Test code]:[Test code]],[1]!Table1[E @ 100 mA/cm2 DIW/V],"",0)</f>
        <v>#REF!</v>
      </c>
      <c r="AB1528" s="69" t="e" cm="1">
        <f t="array" ref="AB1528">_xlfn.XLOOKUP(Table1[[#This Row],[5 cm2 cell test code]:[5 cm2 cell test code]],[1]!Table1[[Test code]:[Test code]],[1]!Table1[E @ 100 mA/cm2 10 mM KOH/V],"",0)</f>
        <v>#REF!</v>
      </c>
      <c r="AC1528" s="69" t="e" cm="1">
        <f t="array" ref="AC1528">_xlfn.XLOOKUP(Table1[[#This Row],[5 cm2 cell test code]:[5 cm2 cell test code]],[1]!Table1[[Test code]:[Test code]],[1]!Table1[Anode ICR/mOhm],"",0)</f>
        <v>#REF!</v>
      </c>
      <c r="AD1528" s="69" t="e" cm="1">
        <f t="array" ref="AD1528">_xlfn.XLOOKUP(Table1[[#This Row],[5 cm2 cell test code]:[5 cm2 cell test code]],[1]!Table1[[Test code]:[Test code]],[1]!Table1[HFR DIW/ mOhm cm2],"",0)</f>
        <v>#REF!</v>
      </c>
      <c r="AE1528" s="69" t="e" cm="1">
        <f t="array" ref="AE1528">_xlfn.XLOOKUP(Table1[[#This Row],[5 cm2 cell test code]:[5 cm2 cell test code]],[1]!Table1[[Test code]:[Test code]],[1]!Table1[HFR 10 mM KOH/ mOhm cm2],"",0)</f>
        <v>#REF!</v>
      </c>
      <c r="AF1528" s="69" t="e" cm="1">
        <f t="array" ref="AF1528">_xlfn.XLOOKUP(Table1[[#This Row],[5 cm2 cell test code]:[5 cm2 cell test code]],[1]!Table1[[Test code]:[Test code]],[1]!Table1[Ionic resistance DIW/Ohm cm2],"",0)</f>
        <v>#REF!</v>
      </c>
      <c r="AG1528" s="69" t="e" cm="1">
        <f t="array" ref="AG1528">_xlfn.XLOOKUP(Table1[[#This Row],[5 cm2 cell test code]:[5 cm2 cell test code]],[1]!Table1[[Test code]:[Test code]],[1]!Table1[Q_int_frac DIW],"",0)</f>
        <v>#REF!</v>
      </c>
      <c r="AH1528" s="69" t="e" cm="1">
        <f t="array" ref="AH1528">_xlfn.XLOOKUP(Table1[[#This Row],[5 cm2 cell test code]:[5 cm2 cell test code]],[1]!Table1[[Test code]:[Test code]],[1]!Table1[Ionic resistance 10 mM KOH/Ohm cm2],"",0)</f>
        <v>#REF!</v>
      </c>
      <c r="AI1528" s="69" t="e" cm="1">
        <f t="array" ref="AI1528">_xlfn.XLOOKUP(Table1[[#This Row],[5 cm2 cell test code]:[5 cm2 cell test code]],[1]!Table1[[Test code]:[Test code]],[1]!Table1[Q_int_frac DIW 10 mM KOH],"",0)</f>
        <v>#REF!</v>
      </c>
      <c r="AJ1528" s="69" t="e" cm="1">
        <f t="array" ref="AJ1528">_xlfn.XLOOKUP(Table1[[#This Row],[5 cm2 cell test code]:[5 cm2 cell test code]],[1]!Table1[[Test code]:[Test code]],[1]!Table1[DIW conductivity (µS/cm)],"",0)</f>
        <v>#REF!</v>
      </c>
    </row>
    <row r="1529" spans="1:36">
      <c r="A1529" s="81"/>
      <c r="U1529" s="101"/>
      <c r="V1529" s="101"/>
      <c r="W1529" s="69" t="e" cm="1">
        <f t="array" ref="W1529">_xlfn.XLOOKUP(Table1[[#This Row],[5 cm2 cell test code]:[5 cm2 cell test code]],[1]!Table1[[Test code]:[Test code]],[1]!Table1[i @ 1.8 V DIW (A/cm2)],"",0)</f>
        <v>#REF!</v>
      </c>
      <c r="X1529" s="69" t="e" cm="1">
        <f t="array" ref="X1529">_xlfn.XLOOKUP(Table1[[#This Row],[5 cm2 cell test code]:[5 cm2 cell test code]],[1]!Table1[[Test code]:[Test code]],[1]!Table1[i @ 1.8 V 10 mM KOH (A/cm2)],"",0)</f>
        <v>#REF!</v>
      </c>
      <c r="Y1529" s="69" t="e" cm="1">
        <f t="array" ref="Y1529">_xlfn.XLOOKUP(Table1[[#This Row],[5 cm2 cell test code]:[5 cm2 cell test code]],[1]!Table1[[Test code]:[Test code]],[1]!Table1[3-E ƞ at 20mAcm-2 (mV)],"",0)</f>
        <v>#REF!</v>
      </c>
      <c r="Z1529" s="69" t="e" cm="1">
        <f t="array" ref="Z1529">_xlfn.XLOOKUP(Table1[[#This Row],[5 cm2 cell test code]:[5 cm2 cell test code]],[1]!Table1[[Test code]:[Test code]],[1]!Table1[3-E Tafel slope (mV/dec)],"",0)</f>
        <v>#REF!</v>
      </c>
      <c r="AA1529" s="69" t="e" cm="1">
        <f t="array" ref="AA1529">_xlfn.XLOOKUP(Table1[[#This Row],[5 cm2 cell test code]:[5 cm2 cell test code]],[1]!Table1[[Test code]:[Test code]],[1]!Table1[E @ 100 mA/cm2 DIW/V],"",0)</f>
        <v>#REF!</v>
      </c>
      <c r="AB1529" s="69" t="e" cm="1">
        <f t="array" ref="AB1529">_xlfn.XLOOKUP(Table1[[#This Row],[5 cm2 cell test code]:[5 cm2 cell test code]],[1]!Table1[[Test code]:[Test code]],[1]!Table1[E @ 100 mA/cm2 10 mM KOH/V],"",0)</f>
        <v>#REF!</v>
      </c>
      <c r="AC1529" s="69" t="e" cm="1">
        <f t="array" ref="AC1529">_xlfn.XLOOKUP(Table1[[#This Row],[5 cm2 cell test code]:[5 cm2 cell test code]],[1]!Table1[[Test code]:[Test code]],[1]!Table1[Anode ICR/mOhm],"",0)</f>
        <v>#REF!</v>
      </c>
      <c r="AD1529" s="69" t="e" cm="1">
        <f t="array" ref="AD1529">_xlfn.XLOOKUP(Table1[[#This Row],[5 cm2 cell test code]:[5 cm2 cell test code]],[1]!Table1[[Test code]:[Test code]],[1]!Table1[HFR DIW/ mOhm cm2],"",0)</f>
        <v>#REF!</v>
      </c>
      <c r="AE1529" s="69" t="e" cm="1">
        <f t="array" ref="AE1529">_xlfn.XLOOKUP(Table1[[#This Row],[5 cm2 cell test code]:[5 cm2 cell test code]],[1]!Table1[[Test code]:[Test code]],[1]!Table1[HFR 10 mM KOH/ mOhm cm2],"",0)</f>
        <v>#REF!</v>
      </c>
      <c r="AF1529" s="69" t="e" cm="1">
        <f t="array" ref="AF1529">_xlfn.XLOOKUP(Table1[[#This Row],[5 cm2 cell test code]:[5 cm2 cell test code]],[1]!Table1[[Test code]:[Test code]],[1]!Table1[Ionic resistance DIW/Ohm cm2],"",0)</f>
        <v>#REF!</v>
      </c>
      <c r="AG1529" s="69" t="e" cm="1">
        <f t="array" ref="AG1529">_xlfn.XLOOKUP(Table1[[#This Row],[5 cm2 cell test code]:[5 cm2 cell test code]],[1]!Table1[[Test code]:[Test code]],[1]!Table1[Q_int_frac DIW],"",0)</f>
        <v>#REF!</v>
      </c>
      <c r="AH1529" s="69" t="e" cm="1">
        <f t="array" ref="AH1529">_xlfn.XLOOKUP(Table1[[#This Row],[5 cm2 cell test code]:[5 cm2 cell test code]],[1]!Table1[[Test code]:[Test code]],[1]!Table1[Ionic resistance 10 mM KOH/Ohm cm2],"",0)</f>
        <v>#REF!</v>
      </c>
      <c r="AI1529" s="69" t="e" cm="1">
        <f t="array" ref="AI1529">_xlfn.XLOOKUP(Table1[[#This Row],[5 cm2 cell test code]:[5 cm2 cell test code]],[1]!Table1[[Test code]:[Test code]],[1]!Table1[Q_int_frac DIW 10 mM KOH],"",0)</f>
        <v>#REF!</v>
      </c>
      <c r="AJ1529" s="69" t="e" cm="1">
        <f t="array" ref="AJ1529">_xlfn.XLOOKUP(Table1[[#This Row],[5 cm2 cell test code]:[5 cm2 cell test code]],[1]!Table1[[Test code]:[Test code]],[1]!Table1[DIW conductivity (µS/cm)],"",0)</f>
        <v>#REF!</v>
      </c>
    </row>
    <row r="1530" spans="1:36">
      <c r="A1530" s="81"/>
      <c r="U1530" s="101"/>
      <c r="V1530" s="101"/>
      <c r="W1530" s="69" t="e" cm="1">
        <f t="array" ref="W1530">_xlfn.XLOOKUP(Table1[[#This Row],[5 cm2 cell test code]:[5 cm2 cell test code]],[1]!Table1[[Test code]:[Test code]],[1]!Table1[i @ 1.8 V DIW (A/cm2)],"",0)</f>
        <v>#REF!</v>
      </c>
      <c r="X1530" s="69" t="e" cm="1">
        <f t="array" ref="X1530">_xlfn.XLOOKUP(Table1[[#This Row],[5 cm2 cell test code]:[5 cm2 cell test code]],[1]!Table1[[Test code]:[Test code]],[1]!Table1[i @ 1.8 V 10 mM KOH (A/cm2)],"",0)</f>
        <v>#REF!</v>
      </c>
      <c r="Y1530" s="69" t="e" cm="1">
        <f t="array" ref="Y1530">_xlfn.XLOOKUP(Table1[[#This Row],[5 cm2 cell test code]:[5 cm2 cell test code]],[1]!Table1[[Test code]:[Test code]],[1]!Table1[3-E ƞ at 20mAcm-2 (mV)],"",0)</f>
        <v>#REF!</v>
      </c>
      <c r="Z1530" s="69" t="e" cm="1">
        <f t="array" ref="Z1530">_xlfn.XLOOKUP(Table1[[#This Row],[5 cm2 cell test code]:[5 cm2 cell test code]],[1]!Table1[[Test code]:[Test code]],[1]!Table1[3-E Tafel slope (mV/dec)],"",0)</f>
        <v>#REF!</v>
      </c>
      <c r="AA1530" s="69" t="e" cm="1">
        <f t="array" ref="AA1530">_xlfn.XLOOKUP(Table1[[#This Row],[5 cm2 cell test code]:[5 cm2 cell test code]],[1]!Table1[[Test code]:[Test code]],[1]!Table1[E @ 100 mA/cm2 DIW/V],"",0)</f>
        <v>#REF!</v>
      </c>
      <c r="AB1530" s="69" t="e" cm="1">
        <f t="array" ref="AB1530">_xlfn.XLOOKUP(Table1[[#This Row],[5 cm2 cell test code]:[5 cm2 cell test code]],[1]!Table1[[Test code]:[Test code]],[1]!Table1[E @ 100 mA/cm2 10 mM KOH/V],"",0)</f>
        <v>#REF!</v>
      </c>
      <c r="AC1530" s="69" t="e" cm="1">
        <f t="array" ref="AC1530">_xlfn.XLOOKUP(Table1[[#This Row],[5 cm2 cell test code]:[5 cm2 cell test code]],[1]!Table1[[Test code]:[Test code]],[1]!Table1[Anode ICR/mOhm],"",0)</f>
        <v>#REF!</v>
      </c>
      <c r="AD1530" s="69" t="e" cm="1">
        <f t="array" ref="AD1530">_xlfn.XLOOKUP(Table1[[#This Row],[5 cm2 cell test code]:[5 cm2 cell test code]],[1]!Table1[[Test code]:[Test code]],[1]!Table1[HFR DIW/ mOhm cm2],"",0)</f>
        <v>#REF!</v>
      </c>
      <c r="AE1530" s="69" t="e" cm="1">
        <f t="array" ref="AE1530">_xlfn.XLOOKUP(Table1[[#This Row],[5 cm2 cell test code]:[5 cm2 cell test code]],[1]!Table1[[Test code]:[Test code]],[1]!Table1[HFR 10 mM KOH/ mOhm cm2],"",0)</f>
        <v>#REF!</v>
      </c>
      <c r="AF1530" s="69" t="e" cm="1">
        <f t="array" ref="AF1530">_xlfn.XLOOKUP(Table1[[#This Row],[5 cm2 cell test code]:[5 cm2 cell test code]],[1]!Table1[[Test code]:[Test code]],[1]!Table1[Ionic resistance DIW/Ohm cm2],"",0)</f>
        <v>#REF!</v>
      </c>
      <c r="AG1530" s="69" t="e" cm="1">
        <f t="array" ref="AG1530">_xlfn.XLOOKUP(Table1[[#This Row],[5 cm2 cell test code]:[5 cm2 cell test code]],[1]!Table1[[Test code]:[Test code]],[1]!Table1[Q_int_frac DIW],"",0)</f>
        <v>#REF!</v>
      </c>
      <c r="AH1530" s="69" t="e" cm="1">
        <f t="array" ref="AH1530">_xlfn.XLOOKUP(Table1[[#This Row],[5 cm2 cell test code]:[5 cm2 cell test code]],[1]!Table1[[Test code]:[Test code]],[1]!Table1[Ionic resistance 10 mM KOH/Ohm cm2],"",0)</f>
        <v>#REF!</v>
      </c>
      <c r="AI1530" s="69" t="e" cm="1">
        <f t="array" ref="AI1530">_xlfn.XLOOKUP(Table1[[#This Row],[5 cm2 cell test code]:[5 cm2 cell test code]],[1]!Table1[[Test code]:[Test code]],[1]!Table1[Q_int_frac DIW 10 mM KOH],"",0)</f>
        <v>#REF!</v>
      </c>
      <c r="AJ1530" s="69" t="e" cm="1">
        <f t="array" ref="AJ1530">_xlfn.XLOOKUP(Table1[[#This Row],[5 cm2 cell test code]:[5 cm2 cell test code]],[1]!Table1[[Test code]:[Test code]],[1]!Table1[DIW conductivity (µS/cm)],"",0)</f>
        <v>#REF!</v>
      </c>
    </row>
    <row r="1531" spans="1:36">
      <c r="A1531" s="81"/>
      <c r="U1531" s="101"/>
      <c r="V1531" s="101"/>
      <c r="W1531" s="69" t="e" cm="1">
        <f t="array" ref="W1531">_xlfn.XLOOKUP(Table1[[#This Row],[5 cm2 cell test code]:[5 cm2 cell test code]],[1]!Table1[[Test code]:[Test code]],[1]!Table1[i @ 1.8 V DIW (A/cm2)],"",0)</f>
        <v>#REF!</v>
      </c>
      <c r="X1531" s="69" t="e" cm="1">
        <f t="array" ref="X1531">_xlfn.XLOOKUP(Table1[[#This Row],[5 cm2 cell test code]:[5 cm2 cell test code]],[1]!Table1[[Test code]:[Test code]],[1]!Table1[i @ 1.8 V 10 mM KOH (A/cm2)],"",0)</f>
        <v>#REF!</v>
      </c>
      <c r="Y1531" s="69" t="e" cm="1">
        <f t="array" ref="Y1531">_xlfn.XLOOKUP(Table1[[#This Row],[5 cm2 cell test code]:[5 cm2 cell test code]],[1]!Table1[[Test code]:[Test code]],[1]!Table1[3-E ƞ at 20mAcm-2 (mV)],"",0)</f>
        <v>#REF!</v>
      </c>
      <c r="Z1531" s="69" t="e" cm="1">
        <f t="array" ref="Z1531">_xlfn.XLOOKUP(Table1[[#This Row],[5 cm2 cell test code]:[5 cm2 cell test code]],[1]!Table1[[Test code]:[Test code]],[1]!Table1[3-E Tafel slope (mV/dec)],"",0)</f>
        <v>#REF!</v>
      </c>
      <c r="AA1531" s="69" t="e" cm="1">
        <f t="array" ref="AA1531">_xlfn.XLOOKUP(Table1[[#This Row],[5 cm2 cell test code]:[5 cm2 cell test code]],[1]!Table1[[Test code]:[Test code]],[1]!Table1[E @ 100 mA/cm2 DIW/V],"",0)</f>
        <v>#REF!</v>
      </c>
      <c r="AB1531" s="69" t="e" cm="1">
        <f t="array" ref="AB1531">_xlfn.XLOOKUP(Table1[[#This Row],[5 cm2 cell test code]:[5 cm2 cell test code]],[1]!Table1[[Test code]:[Test code]],[1]!Table1[E @ 100 mA/cm2 10 mM KOH/V],"",0)</f>
        <v>#REF!</v>
      </c>
      <c r="AC1531" s="69" t="e" cm="1">
        <f t="array" ref="AC1531">_xlfn.XLOOKUP(Table1[[#This Row],[5 cm2 cell test code]:[5 cm2 cell test code]],[1]!Table1[[Test code]:[Test code]],[1]!Table1[Anode ICR/mOhm],"",0)</f>
        <v>#REF!</v>
      </c>
      <c r="AD1531" s="69" t="e" cm="1">
        <f t="array" ref="AD1531">_xlfn.XLOOKUP(Table1[[#This Row],[5 cm2 cell test code]:[5 cm2 cell test code]],[1]!Table1[[Test code]:[Test code]],[1]!Table1[HFR DIW/ mOhm cm2],"",0)</f>
        <v>#REF!</v>
      </c>
      <c r="AE1531" s="69" t="e" cm="1">
        <f t="array" ref="AE1531">_xlfn.XLOOKUP(Table1[[#This Row],[5 cm2 cell test code]:[5 cm2 cell test code]],[1]!Table1[[Test code]:[Test code]],[1]!Table1[HFR 10 mM KOH/ mOhm cm2],"",0)</f>
        <v>#REF!</v>
      </c>
      <c r="AF1531" s="69" t="e" cm="1">
        <f t="array" ref="AF1531">_xlfn.XLOOKUP(Table1[[#This Row],[5 cm2 cell test code]:[5 cm2 cell test code]],[1]!Table1[[Test code]:[Test code]],[1]!Table1[Ionic resistance DIW/Ohm cm2],"",0)</f>
        <v>#REF!</v>
      </c>
      <c r="AG1531" s="69" t="e" cm="1">
        <f t="array" ref="AG1531">_xlfn.XLOOKUP(Table1[[#This Row],[5 cm2 cell test code]:[5 cm2 cell test code]],[1]!Table1[[Test code]:[Test code]],[1]!Table1[Q_int_frac DIW],"",0)</f>
        <v>#REF!</v>
      </c>
      <c r="AH1531" s="69" t="e" cm="1">
        <f t="array" ref="AH1531">_xlfn.XLOOKUP(Table1[[#This Row],[5 cm2 cell test code]:[5 cm2 cell test code]],[1]!Table1[[Test code]:[Test code]],[1]!Table1[Ionic resistance 10 mM KOH/Ohm cm2],"",0)</f>
        <v>#REF!</v>
      </c>
      <c r="AI1531" s="69" t="e" cm="1">
        <f t="array" ref="AI1531">_xlfn.XLOOKUP(Table1[[#This Row],[5 cm2 cell test code]:[5 cm2 cell test code]],[1]!Table1[[Test code]:[Test code]],[1]!Table1[Q_int_frac DIW 10 mM KOH],"",0)</f>
        <v>#REF!</v>
      </c>
      <c r="AJ1531" s="69" t="e" cm="1">
        <f t="array" ref="AJ1531">_xlfn.XLOOKUP(Table1[[#This Row],[5 cm2 cell test code]:[5 cm2 cell test code]],[1]!Table1[[Test code]:[Test code]],[1]!Table1[DIW conductivity (µS/cm)],"",0)</f>
        <v>#REF!</v>
      </c>
    </row>
    <row r="1532" spans="1:36">
      <c r="A1532" s="81"/>
      <c r="U1532" s="101"/>
      <c r="V1532" s="101"/>
      <c r="W1532" s="69" t="e" cm="1">
        <f t="array" ref="W1532">_xlfn.XLOOKUP(Table1[[#This Row],[5 cm2 cell test code]:[5 cm2 cell test code]],[1]!Table1[[Test code]:[Test code]],[1]!Table1[i @ 1.8 V DIW (A/cm2)],"",0)</f>
        <v>#REF!</v>
      </c>
      <c r="X1532" s="69" t="e" cm="1">
        <f t="array" ref="X1532">_xlfn.XLOOKUP(Table1[[#This Row],[5 cm2 cell test code]:[5 cm2 cell test code]],[1]!Table1[[Test code]:[Test code]],[1]!Table1[i @ 1.8 V 10 mM KOH (A/cm2)],"",0)</f>
        <v>#REF!</v>
      </c>
      <c r="Y1532" s="69" t="e" cm="1">
        <f t="array" ref="Y1532">_xlfn.XLOOKUP(Table1[[#This Row],[5 cm2 cell test code]:[5 cm2 cell test code]],[1]!Table1[[Test code]:[Test code]],[1]!Table1[3-E ƞ at 20mAcm-2 (mV)],"",0)</f>
        <v>#REF!</v>
      </c>
      <c r="Z1532" s="69" t="e" cm="1">
        <f t="array" ref="Z1532">_xlfn.XLOOKUP(Table1[[#This Row],[5 cm2 cell test code]:[5 cm2 cell test code]],[1]!Table1[[Test code]:[Test code]],[1]!Table1[3-E Tafel slope (mV/dec)],"",0)</f>
        <v>#REF!</v>
      </c>
      <c r="AA1532" s="69" t="e" cm="1">
        <f t="array" ref="AA1532">_xlfn.XLOOKUP(Table1[[#This Row],[5 cm2 cell test code]:[5 cm2 cell test code]],[1]!Table1[[Test code]:[Test code]],[1]!Table1[E @ 100 mA/cm2 DIW/V],"",0)</f>
        <v>#REF!</v>
      </c>
      <c r="AB1532" s="69" t="e" cm="1">
        <f t="array" ref="AB1532">_xlfn.XLOOKUP(Table1[[#This Row],[5 cm2 cell test code]:[5 cm2 cell test code]],[1]!Table1[[Test code]:[Test code]],[1]!Table1[E @ 100 mA/cm2 10 mM KOH/V],"",0)</f>
        <v>#REF!</v>
      </c>
      <c r="AC1532" s="69" t="e" cm="1">
        <f t="array" ref="AC1532">_xlfn.XLOOKUP(Table1[[#This Row],[5 cm2 cell test code]:[5 cm2 cell test code]],[1]!Table1[[Test code]:[Test code]],[1]!Table1[Anode ICR/mOhm],"",0)</f>
        <v>#REF!</v>
      </c>
      <c r="AD1532" s="69" t="e" cm="1">
        <f t="array" ref="AD1532">_xlfn.XLOOKUP(Table1[[#This Row],[5 cm2 cell test code]:[5 cm2 cell test code]],[1]!Table1[[Test code]:[Test code]],[1]!Table1[HFR DIW/ mOhm cm2],"",0)</f>
        <v>#REF!</v>
      </c>
      <c r="AE1532" s="69" t="e" cm="1">
        <f t="array" ref="AE1532">_xlfn.XLOOKUP(Table1[[#This Row],[5 cm2 cell test code]:[5 cm2 cell test code]],[1]!Table1[[Test code]:[Test code]],[1]!Table1[HFR 10 mM KOH/ mOhm cm2],"",0)</f>
        <v>#REF!</v>
      </c>
      <c r="AF1532" s="69" t="e" cm="1">
        <f t="array" ref="AF1532">_xlfn.XLOOKUP(Table1[[#This Row],[5 cm2 cell test code]:[5 cm2 cell test code]],[1]!Table1[[Test code]:[Test code]],[1]!Table1[Ionic resistance DIW/Ohm cm2],"",0)</f>
        <v>#REF!</v>
      </c>
      <c r="AG1532" s="69" t="e" cm="1">
        <f t="array" ref="AG1532">_xlfn.XLOOKUP(Table1[[#This Row],[5 cm2 cell test code]:[5 cm2 cell test code]],[1]!Table1[[Test code]:[Test code]],[1]!Table1[Q_int_frac DIW],"",0)</f>
        <v>#REF!</v>
      </c>
      <c r="AH1532" s="69" t="e" cm="1">
        <f t="array" ref="AH1532">_xlfn.XLOOKUP(Table1[[#This Row],[5 cm2 cell test code]:[5 cm2 cell test code]],[1]!Table1[[Test code]:[Test code]],[1]!Table1[Ionic resistance 10 mM KOH/Ohm cm2],"",0)</f>
        <v>#REF!</v>
      </c>
      <c r="AI1532" s="69" t="e" cm="1">
        <f t="array" ref="AI1532">_xlfn.XLOOKUP(Table1[[#This Row],[5 cm2 cell test code]:[5 cm2 cell test code]],[1]!Table1[[Test code]:[Test code]],[1]!Table1[Q_int_frac DIW 10 mM KOH],"",0)</f>
        <v>#REF!</v>
      </c>
      <c r="AJ1532" s="69" t="e" cm="1">
        <f t="array" ref="AJ1532">_xlfn.XLOOKUP(Table1[[#This Row],[5 cm2 cell test code]:[5 cm2 cell test code]],[1]!Table1[[Test code]:[Test code]],[1]!Table1[DIW conductivity (µS/cm)],"",0)</f>
        <v>#REF!</v>
      </c>
    </row>
    <row r="1533" spans="1:36">
      <c r="A1533" s="81"/>
      <c r="U1533" s="101"/>
      <c r="V1533" s="101"/>
      <c r="W1533" s="69" t="e" cm="1">
        <f t="array" ref="W1533">_xlfn.XLOOKUP(Table1[[#This Row],[5 cm2 cell test code]:[5 cm2 cell test code]],[1]!Table1[[Test code]:[Test code]],[1]!Table1[i @ 1.8 V DIW (A/cm2)],"",0)</f>
        <v>#REF!</v>
      </c>
      <c r="X1533" s="69" t="e" cm="1">
        <f t="array" ref="X1533">_xlfn.XLOOKUP(Table1[[#This Row],[5 cm2 cell test code]:[5 cm2 cell test code]],[1]!Table1[[Test code]:[Test code]],[1]!Table1[i @ 1.8 V 10 mM KOH (A/cm2)],"",0)</f>
        <v>#REF!</v>
      </c>
      <c r="Y1533" s="69" t="e" cm="1">
        <f t="array" ref="Y1533">_xlfn.XLOOKUP(Table1[[#This Row],[5 cm2 cell test code]:[5 cm2 cell test code]],[1]!Table1[[Test code]:[Test code]],[1]!Table1[3-E ƞ at 20mAcm-2 (mV)],"",0)</f>
        <v>#REF!</v>
      </c>
      <c r="Z1533" s="69" t="e" cm="1">
        <f t="array" ref="Z1533">_xlfn.XLOOKUP(Table1[[#This Row],[5 cm2 cell test code]:[5 cm2 cell test code]],[1]!Table1[[Test code]:[Test code]],[1]!Table1[3-E Tafel slope (mV/dec)],"",0)</f>
        <v>#REF!</v>
      </c>
      <c r="AA1533" s="69" t="e" cm="1">
        <f t="array" ref="AA1533">_xlfn.XLOOKUP(Table1[[#This Row],[5 cm2 cell test code]:[5 cm2 cell test code]],[1]!Table1[[Test code]:[Test code]],[1]!Table1[E @ 100 mA/cm2 DIW/V],"",0)</f>
        <v>#REF!</v>
      </c>
      <c r="AB1533" s="69" t="e" cm="1">
        <f t="array" ref="AB1533">_xlfn.XLOOKUP(Table1[[#This Row],[5 cm2 cell test code]:[5 cm2 cell test code]],[1]!Table1[[Test code]:[Test code]],[1]!Table1[E @ 100 mA/cm2 10 mM KOH/V],"",0)</f>
        <v>#REF!</v>
      </c>
      <c r="AC1533" s="69" t="e" cm="1">
        <f t="array" ref="AC1533">_xlfn.XLOOKUP(Table1[[#This Row],[5 cm2 cell test code]:[5 cm2 cell test code]],[1]!Table1[[Test code]:[Test code]],[1]!Table1[Anode ICR/mOhm],"",0)</f>
        <v>#REF!</v>
      </c>
      <c r="AD1533" s="69" t="e" cm="1">
        <f t="array" ref="AD1533">_xlfn.XLOOKUP(Table1[[#This Row],[5 cm2 cell test code]:[5 cm2 cell test code]],[1]!Table1[[Test code]:[Test code]],[1]!Table1[HFR DIW/ mOhm cm2],"",0)</f>
        <v>#REF!</v>
      </c>
      <c r="AE1533" s="69" t="e" cm="1">
        <f t="array" ref="AE1533">_xlfn.XLOOKUP(Table1[[#This Row],[5 cm2 cell test code]:[5 cm2 cell test code]],[1]!Table1[[Test code]:[Test code]],[1]!Table1[HFR 10 mM KOH/ mOhm cm2],"",0)</f>
        <v>#REF!</v>
      </c>
      <c r="AF1533" s="69" t="e" cm="1">
        <f t="array" ref="AF1533">_xlfn.XLOOKUP(Table1[[#This Row],[5 cm2 cell test code]:[5 cm2 cell test code]],[1]!Table1[[Test code]:[Test code]],[1]!Table1[Ionic resistance DIW/Ohm cm2],"",0)</f>
        <v>#REF!</v>
      </c>
      <c r="AG1533" s="69" t="e" cm="1">
        <f t="array" ref="AG1533">_xlfn.XLOOKUP(Table1[[#This Row],[5 cm2 cell test code]:[5 cm2 cell test code]],[1]!Table1[[Test code]:[Test code]],[1]!Table1[Q_int_frac DIW],"",0)</f>
        <v>#REF!</v>
      </c>
      <c r="AH1533" s="69" t="e" cm="1">
        <f t="array" ref="AH1533">_xlfn.XLOOKUP(Table1[[#This Row],[5 cm2 cell test code]:[5 cm2 cell test code]],[1]!Table1[[Test code]:[Test code]],[1]!Table1[Ionic resistance 10 mM KOH/Ohm cm2],"",0)</f>
        <v>#REF!</v>
      </c>
      <c r="AI1533" s="69" t="e" cm="1">
        <f t="array" ref="AI1533">_xlfn.XLOOKUP(Table1[[#This Row],[5 cm2 cell test code]:[5 cm2 cell test code]],[1]!Table1[[Test code]:[Test code]],[1]!Table1[Q_int_frac DIW 10 mM KOH],"",0)</f>
        <v>#REF!</v>
      </c>
      <c r="AJ1533" s="69" t="e" cm="1">
        <f t="array" ref="AJ1533">_xlfn.XLOOKUP(Table1[[#This Row],[5 cm2 cell test code]:[5 cm2 cell test code]],[1]!Table1[[Test code]:[Test code]],[1]!Table1[DIW conductivity (µS/cm)],"",0)</f>
        <v>#REF!</v>
      </c>
    </row>
    <row r="1534" spans="1:36">
      <c r="A1534" s="81"/>
      <c r="U1534" s="101"/>
      <c r="V1534" s="101"/>
      <c r="W1534" s="69" t="e" cm="1">
        <f t="array" ref="W1534">_xlfn.XLOOKUP(Table1[[#This Row],[5 cm2 cell test code]:[5 cm2 cell test code]],[1]!Table1[[Test code]:[Test code]],[1]!Table1[i @ 1.8 V DIW (A/cm2)],"",0)</f>
        <v>#REF!</v>
      </c>
      <c r="X1534" s="69" t="e" cm="1">
        <f t="array" ref="X1534">_xlfn.XLOOKUP(Table1[[#This Row],[5 cm2 cell test code]:[5 cm2 cell test code]],[1]!Table1[[Test code]:[Test code]],[1]!Table1[i @ 1.8 V 10 mM KOH (A/cm2)],"",0)</f>
        <v>#REF!</v>
      </c>
      <c r="Y1534" s="69" t="e" cm="1">
        <f t="array" ref="Y1534">_xlfn.XLOOKUP(Table1[[#This Row],[5 cm2 cell test code]:[5 cm2 cell test code]],[1]!Table1[[Test code]:[Test code]],[1]!Table1[3-E ƞ at 20mAcm-2 (mV)],"",0)</f>
        <v>#REF!</v>
      </c>
      <c r="Z1534" s="69" t="e" cm="1">
        <f t="array" ref="Z1534">_xlfn.XLOOKUP(Table1[[#This Row],[5 cm2 cell test code]:[5 cm2 cell test code]],[1]!Table1[[Test code]:[Test code]],[1]!Table1[3-E Tafel slope (mV/dec)],"",0)</f>
        <v>#REF!</v>
      </c>
      <c r="AA1534" s="69" t="e" cm="1">
        <f t="array" ref="AA1534">_xlfn.XLOOKUP(Table1[[#This Row],[5 cm2 cell test code]:[5 cm2 cell test code]],[1]!Table1[[Test code]:[Test code]],[1]!Table1[E @ 100 mA/cm2 DIW/V],"",0)</f>
        <v>#REF!</v>
      </c>
      <c r="AB1534" s="69" t="e" cm="1">
        <f t="array" ref="AB1534">_xlfn.XLOOKUP(Table1[[#This Row],[5 cm2 cell test code]:[5 cm2 cell test code]],[1]!Table1[[Test code]:[Test code]],[1]!Table1[E @ 100 mA/cm2 10 mM KOH/V],"",0)</f>
        <v>#REF!</v>
      </c>
      <c r="AC1534" s="69" t="e" cm="1">
        <f t="array" ref="AC1534">_xlfn.XLOOKUP(Table1[[#This Row],[5 cm2 cell test code]:[5 cm2 cell test code]],[1]!Table1[[Test code]:[Test code]],[1]!Table1[Anode ICR/mOhm],"",0)</f>
        <v>#REF!</v>
      </c>
      <c r="AD1534" s="69" t="e" cm="1">
        <f t="array" ref="AD1534">_xlfn.XLOOKUP(Table1[[#This Row],[5 cm2 cell test code]:[5 cm2 cell test code]],[1]!Table1[[Test code]:[Test code]],[1]!Table1[HFR DIW/ mOhm cm2],"",0)</f>
        <v>#REF!</v>
      </c>
      <c r="AE1534" s="69" t="e" cm="1">
        <f t="array" ref="AE1534">_xlfn.XLOOKUP(Table1[[#This Row],[5 cm2 cell test code]:[5 cm2 cell test code]],[1]!Table1[[Test code]:[Test code]],[1]!Table1[HFR 10 mM KOH/ mOhm cm2],"",0)</f>
        <v>#REF!</v>
      </c>
      <c r="AF1534" s="69" t="e" cm="1">
        <f t="array" ref="AF1534">_xlfn.XLOOKUP(Table1[[#This Row],[5 cm2 cell test code]:[5 cm2 cell test code]],[1]!Table1[[Test code]:[Test code]],[1]!Table1[Ionic resistance DIW/Ohm cm2],"",0)</f>
        <v>#REF!</v>
      </c>
      <c r="AG1534" s="69" t="e" cm="1">
        <f t="array" ref="AG1534">_xlfn.XLOOKUP(Table1[[#This Row],[5 cm2 cell test code]:[5 cm2 cell test code]],[1]!Table1[[Test code]:[Test code]],[1]!Table1[Q_int_frac DIW],"",0)</f>
        <v>#REF!</v>
      </c>
      <c r="AH1534" s="69" t="e" cm="1">
        <f t="array" ref="AH1534">_xlfn.XLOOKUP(Table1[[#This Row],[5 cm2 cell test code]:[5 cm2 cell test code]],[1]!Table1[[Test code]:[Test code]],[1]!Table1[Ionic resistance 10 mM KOH/Ohm cm2],"",0)</f>
        <v>#REF!</v>
      </c>
      <c r="AI1534" s="69" t="e" cm="1">
        <f t="array" ref="AI1534">_xlfn.XLOOKUP(Table1[[#This Row],[5 cm2 cell test code]:[5 cm2 cell test code]],[1]!Table1[[Test code]:[Test code]],[1]!Table1[Q_int_frac DIW 10 mM KOH],"",0)</f>
        <v>#REF!</v>
      </c>
      <c r="AJ1534" s="69" t="e" cm="1">
        <f t="array" ref="AJ1534">_xlfn.XLOOKUP(Table1[[#This Row],[5 cm2 cell test code]:[5 cm2 cell test code]],[1]!Table1[[Test code]:[Test code]],[1]!Table1[DIW conductivity (µS/cm)],"",0)</f>
        <v>#REF!</v>
      </c>
    </row>
    <row r="1535" spans="1:36">
      <c r="A1535" s="81"/>
      <c r="U1535" s="101"/>
      <c r="V1535" s="101"/>
      <c r="W1535" s="69" t="e" cm="1">
        <f t="array" ref="W1535">_xlfn.XLOOKUP(Table1[[#This Row],[5 cm2 cell test code]:[5 cm2 cell test code]],[1]!Table1[[Test code]:[Test code]],[1]!Table1[i @ 1.8 V DIW (A/cm2)],"",0)</f>
        <v>#REF!</v>
      </c>
      <c r="X1535" s="69" t="e" cm="1">
        <f t="array" ref="X1535">_xlfn.XLOOKUP(Table1[[#This Row],[5 cm2 cell test code]:[5 cm2 cell test code]],[1]!Table1[[Test code]:[Test code]],[1]!Table1[i @ 1.8 V 10 mM KOH (A/cm2)],"",0)</f>
        <v>#REF!</v>
      </c>
      <c r="Y1535" s="69" t="e" cm="1">
        <f t="array" ref="Y1535">_xlfn.XLOOKUP(Table1[[#This Row],[5 cm2 cell test code]:[5 cm2 cell test code]],[1]!Table1[[Test code]:[Test code]],[1]!Table1[3-E ƞ at 20mAcm-2 (mV)],"",0)</f>
        <v>#REF!</v>
      </c>
      <c r="Z1535" s="69" t="e" cm="1">
        <f t="array" ref="Z1535">_xlfn.XLOOKUP(Table1[[#This Row],[5 cm2 cell test code]:[5 cm2 cell test code]],[1]!Table1[[Test code]:[Test code]],[1]!Table1[3-E Tafel slope (mV/dec)],"",0)</f>
        <v>#REF!</v>
      </c>
      <c r="AA1535" s="69" t="e" cm="1">
        <f t="array" ref="AA1535">_xlfn.XLOOKUP(Table1[[#This Row],[5 cm2 cell test code]:[5 cm2 cell test code]],[1]!Table1[[Test code]:[Test code]],[1]!Table1[E @ 100 mA/cm2 DIW/V],"",0)</f>
        <v>#REF!</v>
      </c>
      <c r="AB1535" s="69" t="e" cm="1">
        <f t="array" ref="AB1535">_xlfn.XLOOKUP(Table1[[#This Row],[5 cm2 cell test code]:[5 cm2 cell test code]],[1]!Table1[[Test code]:[Test code]],[1]!Table1[E @ 100 mA/cm2 10 mM KOH/V],"",0)</f>
        <v>#REF!</v>
      </c>
      <c r="AC1535" s="69" t="e" cm="1">
        <f t="array" ref="AC1535">_xlfn.XLOOKUP(Table1[[#This Row],[5 cm2 cell test code]:[5 cm2 cell test code]],[1]!Table1[[Test code]:[Test code]],[1]!Table1[Anode ICR/mOhm],"",0)</f>
        <v>#REF!</v>
      </c>
      <c r="AD1535" s="69" t="e" cm="1">
        <f t="array" ref="AD1535">_xlfn.XLOOKUP(Table1[[#This Row],[5 cm2 cell test code]:[5 cm2 cell test code]],[1]!Table1[[Test code]:[Test code]],[1]!Table1[HFR DIW/ mOhm cm2],"",0)</f>
        <v>#REF!</v>
      </c>
      <c r="AE1535" s="69" t="e" cm="1">
        <f t="array" ref="AE1535">_xlfn.XLOOKUP(Table1[[#This Row],[5 cm2 cell test code]:[5 cm2 cell test code]],[1]!Table1[[Test code]:[Test code]],[1]!Table1[HFR 10 mM KOH/ mOhm cm2],"",0)</f>
        <v>#REF!</v>
      </c>
      <c r="AF1535" s="69" t="e" cm="1">
        <f t="array" ref="AF1535">_xlfn.XLOOKUP(Table1[[#This Row],[5 cm2 cell test code]:[5 cm2 cell test code]],[1]!Table1[[Test code]:[Test code]],[1]!Table1[Ionic resistance DIW/Ohm cm2],"",0)</f>
        <v>#REF!</v>
      </c>
      <c r="AG1535" s="69" t="e" cm="1">
        <f t="array" ref="AG1535">_xlfn.XLOOKUP(Table1[[#This Row],[5 cm2 cell test code]:[5 cm2 cell test code]],[1]!Table1[[Test code]:[Test code]],[1]!Table1[Q_int_frac DIW],"",0)</f>
        <v>#REF!</v>
      </c>
      <c r="AH1535" s="69" t="e" cm="1">
        <f t="array" ref="AH1535">_xlfn.XLOOKUP(Table1[[#This Row],[5 cm2 cell test code]:[5 cm2 cell test code]],[1]!Table1[[Test code]:[Test code]],[1]!Table1[Ionic resistance 10 mM KOH/Ohm cm2],"",0)</f>
        <v>#REF!</v>
      </c>
      <c r="AI1535" s="69" t="e" cm="1">
        <f t="array" ref="AI1535">_xlfn.XLOOKUP(Table1[[#This Row],[5 cm2 cell test code]:[5 cm2 cell test code]],[1]!Table1[[Test code]:[Test code]],[1]!Table1[Q_int_frac DIW 10 mM KOH],"",0)</f>
        <v>#REF!</v>
      </c>
      <c r="AJ1535" s="69" t="e" cm="1">
        <f t="array" ref="AJ1535">_xlfn.XLOOKUP(Table1[[#This Row],[5 cm2 cell test code]:[5 cm2 cell test code]],[1]!Table1[[Test code]:[Test code]],[1]!Table1[DIW conductivity (µS/cm)],"",0)</f>
        <v>#REF!</v>
      </c>
    </row>
    <row r="1536" spans="1:36">
      <c r="A1536" s="81"/>
      <c r="U1536" s="101"/>
      <c r="V1536" s="101"/>
      <c r="W1536" s="69" t="e" cm="1">
        <f t="array" ref="W1536">_xlfn.XLOOKUP(Table1[[#This Row],[5 cm2 cell test code]:[5 cm2 cell test code]],[1]!Table1[[Test code]:[Test code]],[1]!Table1[i @ 1.8 V DIW (A/cm2)],"",0)</f>
        <v>#REF!</v>
      </c>
      <c r="X1536" s="69" t="e" cm="1">
        <f t="array" ref="X1536">_xlfn.XLOOKUP(Table1[[#This Row],[5 cm2 cell test code]:[5 cm2 cell test code]],[1]!Table1[[Test code]:[Test code]],[1]!Table1[i @ 1.8 V 10 mM KOH (A/cm2)],"",0)</f>
        <v>#REF!</v>
      </c>
      <c r="Y1536" s="69" t="e" cm="1">
        <f t="array" ref="Y1536">_xlfn.XLOOKUP(Table1[[#This Row],[5 cm2 cell test code]:[5 cm2 cell test code]],[1]!Table1[[Test code]:[Test code]],[1]!Table1[3-E ƞ at 20mAcm-2 (mV)],"",0)</f>
        <v>#REF!</v>
      </c>
      <c r="Z1536" s="69" t="e" cm="1">
        <f t="array" ref="Z1536">_xlfn.XLOOKUP(Table1[[#This Row],[5 cm2 cell test code]:[5 cm2 cell test code]],[1]!Table1[[Test code]:[Test code]],[1]!Table1[3-E Tafel slope (mV/dec)],"",0)</f>
        <v>#REF!</v>
      </c>
      <c r="AA1536" s="69" t="e" cm="1">
        <f t="array" ref="AA1536">_xlfn.XLOOKUP(Table1[[#This Row],[5 cm2 cell test code]:[5 cm2 cell test code]],[1]!Table1[[Test code]:[Test code]],[1]!Table1[E @ 100 mA/cm2 DIW/V],"",0)</f>
        <v>#REF!</v>
      </c>
      <c r="AB1536" s="69" t="e" cm="1">
        <f t="array" ref="AB1536">_xlfn.XLOOKUP(Table1[[#This Row],[5 cm2 cell test code]:[5 cm2 cell test code]],[1]!Table1[[Test code]:[Test code]],[1]!Table1[E @ 100 mA/cm2 10 mM KOH/V],"",0)</f>
        <v>#REF!</v>
      </c>
      <c r="AC1536" s="69" t="e" cm="1">
        <f t="array" ref="AC1536">_xlfn.XLOOKUP(Table1[[#This Row],[5 cm2 cell test code]:[5 cm2 cell test code]],[1]!Table1[[Test code]:[Test code]],[1]!Table1[Anode ICR/mOhm],"",0)</f>
        <v>#REF!</v>
      </c>
      <c r="AD1536" s="69" t="e" cm="1">
        <f t="array" ref="AD1536">_xlfn.XLOOKUP(Table1[[#This Row],[5 cm2 cell test code]:[5 cm2 cell test code]],[1]!Table1[[Test code]:[Test code]],[1]!Table1[HFR DIW/ mOhm cm2],"",0)</f>
        <v>#REF!</v>
      </c>
      <c r="AE1536" s="69" t="e" cm="1">
        <f t="array" ref="AE1536">_xlfn.XLOOKUP(Table1[[#This Row],[5 cm2 cell test code]:[5 cm2 cell test code]],[1]!Table1[[Test code]:[Test code]],[1]!Table1[HFR 10 mM KOH/ mOhm cm2],"",0)</f>
        <v>#REF!</v>
      </c>
      <c r="AF1536" s="69" t="e" cm="1">
        <f t="array" ref="AF1536">_xlfn.XLOOKUP(Table1[[#This Row],[5 cm2 cell test code]:[5 cm2 cell test code]],[1]!Table1[[Test code]:[Test code]],[1]!Table1[Ionic resistance DIW/Ohm cm2],"",0)</f>
        <v>#REF!</v>
      </c>
      <c r="AG1536" s="69" t="e" cm="1">
        <f t="array" ref="AG1536">_xlfn.XLOOKUP(Table1[[#This Row],[5 cm2 cell test code]:[5 cm2 cell test code]],[1]!Table1[[Test code]:[Test code]],[1]!Table1[Q_int_frac DIW],"",0)</f>
        <v>#REF!</v>
      </c>
      <c r="AH1536" s="69" t="e" cm="1">
        <f t="array" ref="AH1536">_xlfn.XLOOKUP(Table1[[#This Row],[5 cm2 cell test code]:[5 cm2 cell test code]],[1]!Table1[[Test code]:[Test code]],[1]!Table1[Ionic resistance 10 mM KOH/Ohm cm2],"",0)</f>
        <v>#REF!</v>
      </c>
      <c r="AI1536" s="69" t="e" cm="1">
        <f t="array" ref="AI1536">_xlfn.XLOOKUP(Table1[[#This Row],[5 cm2 cell test code]:[5 cm2 cell test code]],[1]!Table1[[Test code]:[Test code]],[1]!Table1[Q_int_frac DIW 10 mM KOH],"",0)</f>
        <v>#REF!</v>
      </c>
      <c r="AJ1536" s="69" t="e" cm="1">
        <f t="array" ref="AJ1536">_xlfn.XLOOKUP(Table1[[#This Row],[5 cm2 cell test code]:[5 cm2 cell test code]],[1]!Table1[[Test code]:[Test code]],[1]!Table1[DIW conductivity (µS/cm)],"",0)</f>
        <v>#REF!</v>
      </c>
    </row>
    <row r="1537" spans="1:36">
      <c r="A1537" s="81"/>
      <c r="U1537" s="101"/>
      <c r="V1537" s="101"/>
      <c r="W1537" s="69" t="e" cm="1">
        <f t="array" ref="W1537">_xlfn.XLOOKUP(Table1[[#This Row],[5 cm2 cell test code]:[5 cm2 cell test code]],[1]!Table1[[Test code]:[Test code]],[1]!Table1[i @ 1.8 V DIW (A/cm2)],"",0)</f>
        <v>#REF!</v>
      </c>
      <c r="X1537" s="69" t="e" cm="1">
        <f t="array" ref="X1537">_xlfn.XLOOKUP(Table1[[#This Row],[5 cm2 cell test code]:[5 cm2 cell test code]],[1]!Table1[[Test code]:[Test code]],[1]!Table1[i @ 1.8 V 10 mM KOH (A/cm2)],"",0)</f>
        <v>#REF!</v>
      </c>
      <c r="Y1537" s="69" t="e" cm="1">
        <f t="array" ref="Y1537">_xlfn.XLOOKUP(Table1[[#This Row],[5 cm2 cell test code]:[5 cm2 cell test code]],[1]!Table1[[Test code]:[Test code]],[1]!Table1[3-E ƞ at 20mAcm-2 (mV)],"",0)</f>
        <v>#REF!</v>
      </c>
      <c r="Z1537" s="69" t="e" cm="1">
        <f t="array" ref="Z1537">_xlfn.XLOOKUP(Table1[[#This Row],[5 cm2 cell test code]:[5 cm2 cell test code]],[1]!Table1[[Test code]:[Test code]],[1]!Table1[3-E Tafel slope (mV/dec)],"",0)</f>
        <v>#REF!</v>
      </c>
      <c r="AA1537" s="69" t="e" cm="1">
        <f t="array" ref="AA1537">_xlfn.XLOOKUP(Table1[[#This Row],[5 cm2 cell test code]:[5 cm2 cell test code]],[1]!Table1[[Test code]:[Test code]],[1]!Table1[E @ 100 mA/cm2 DIW/V],"",0)</f>
        <v>#REF!</v>
      </c>
      <c r="AB1537" s="69" t="e" cm="1">
        <f t="array" ref="AB1537">_xlfn.XLOOKUP(Table1[[#This Row],[5 cm2 cell test code]:[5 cm2 cell test code]],[1]!Table1[[Test code]:[Test code]],[1]!Table1[E @ 100 mA/cm2 10 mM KOH/V],"",0)</f>
        <v>#REF!</v>
      </c>
      <c r="AC1537" s="69" t="e" cm="1">
        <f t="array" ref="AC1537">_xlfn.XLOOKUP(Table1[[#This Row],[5 cm2 cell test code]:[5 cm2 cell test code]],[1]!Table1[[Test code]:[Test code]],[1]!Table1[Anode ICR/mOhm],"",0)</f>
        <v>#REF!</v>
      </c>
      <c r="AD1537" s="69" t="e" cm="1">
        <f t="array" ref="AD1537">_xlfn.XLOOKUP(Table1[[#This Row],[5 cm2 cell test code]:[5 cm2 cell test code]],[1]!Table1[[Test code]:[Test code]],[1]!Table1[HFR DIW/ mOhm cm2],"",0)</f>
        <v>#REF!</v>
      </c>
      <c r="AE1537" s="69" t="e" cm="1">
        <f t="array" ref="AE1537">_xlfn.XLOOKUP(Table1[[#This Row],[5 cm2 cell test code]:[5 cm2 cell test code]],[1]!Table1[[Test code]:[Test code]],[1]!Table1[HFR 10 mM KOH/ mOhm cm2],"",0)</f>
        <v>#REF!</v>
      </c>
      <c r="AF1537" s="69" t="e" cm="1">
        <f t="array" ref="AF1537">_xlfn.XLOOKUP(Table1[[#This Row],[5 cm2 cell test code]:[5 cm2 cell test code]],[1]!Table1[[Test code]:[Test code]],[1]!Table1[Ionic resistance DIW/Ohm cm2],"",0)</f>
        <v>#REF!</v>
      </c>
      <c r="AG1537" s="69" t="e" cm="1">
        <f t="array" ref="AG1537">_xlfn.XLOOKUP(Table1[[#This Row],[5 cm2 cell test code]:[5 cm2 cell test code]],[1]!Table1[[Test code]:[Test code]],[1]!Table1[Q_int_frac DIW],"",0)</f>
        <v>#REF!</v>
      </c>
      <c r="AH1537" s="69" t="e" cm="1">
        <f t="array" ref="AH1537">_xlfn.XLOOKUP(Table1[[#This Row],[5 cm2 cell test code]:[5 cm2 cell test code]],[1]!Table1[[Test code]:[Test code]],[1]!Table1[Ionic resistance 10 mM KOH/Ohm cm2],"",0)</f>
        <v>#REF!</v>
      </c>
      <c r="AI1537" s="69" t="e" cm="1">
        <f t="array" ref="AI1537">_xlfn.XLOOKUP(Table1[[#This Row],[5 cm2 cell test code]:[5 cm2 cell test code]],[1]!Table1[[Test code]:[Test code]],[1]!Table1[Q_int_frac DIW 10 mM KOH],"",0)</f>
        <v>#REF!</v>
      </c>
      <c r="AJ1537" s="69" t="e" cm="1">
        <f t="array" ref="AJ1537">_xlfn.XLOOKUP(Table1[[#This Row],[5 cm2 cell test code]:[5 cm2 cell test code]],[1]!Table1[[Test code]:[Test code]],[1]!Table1[DIW conductivity (µS/cm)],"",0)</f>
        <v>#REF!</v>
      </c>
    </row>
    <row r="1538" spans="1:36">
      <c r="A1538" s="81"/>
      <c r="U1538" s="101"/>
      <c r="V1538" s="101"/>
      <c r="W1538" s="69" t="e" cm="1">
        <f t="array" ref="W1538">_xlfn.XLOOKUP(Table1[[#This Row],[5 cm2 cell test code]:[5 cm2 cell test code]],[1]!Table1[[Test code]:[Test code]],[1]!Table1[i @ 1.8 V DIW (A/cm2)],"",0)</f>
        <v>#REF!</v>
      </c>
      <c r="X1538" s="69" t="e" cm="1">
        <f t="array" ref="X1538">_xlfn.XLOOKUP(Table1[[#This Row],[5 cm2 cell test code]:[5 cm2 cell test code]],[1]!Table1[[Test code]:[Test code]],[1]!Table1[i @ 1.8 V 10 mM KOH (A/cm2)],"",0)</f>
        <v>#REF!</v>
      </c>
      <c r="Y1538" s="69" t="e" cm="1">
        <f t="array" ref="Y1538">_xlfn.XLOOKUP(Table1[[#This Row],[5 cm2 cell test code]:[5 cm2 cell test code]],[1]!Table1[[Test code]:[Test code]],[1]!Table1[3-E ƞ at 20mAcm-2 (mV)],"",0)</f>
        <v>#REF!</v>
      </c>
      <c r="Z1538" s="69" t="e" cm="1">
        <f t="array" ref="Z1538">_xlfn.XLOOKUP(Table1[[#This Row],[5 cm2 cell test code]:[5 cm2 cell test code]],[1]!Table1[[Test code]:[Test code]],[1]!Table1[3-E Tafel slope (mV/dec)],"",0)</f>
        <v>#REF!</v>
      </c>
      <c r="AA1538" s="69" t="e" cm="1">
        <f t="array" ref="AA1538">_xlfn.XLOOKUP(Table1[[#This Row],[5 cm2 cell test code]:[5 cm2 cell test code]],[1]!Table1[[Test code]:[Test code]],[1]!Table1[E @ 100 mA/cm2 DIW/V],"",0)</f>
        <v>#REF!</v>
      </c>
      <c r="AB1538" s="69" t="e" cm="1">
        <f t="array" ref="AB1538">_xlfn.XLOOKUP(Table1[[#This Row],[5 cm2 cell test code]:[5 cm2 cell test code]],[1]!Table1[[Test code]:[Test code]],[1]!Table1[E @ 100 mA/cm2 10 mM KOH/V],"",0)</f>
        <v>#REF!</v>
      </c>
      <c r="AC1538" s="69" t="e" cm="1">
        <f t="array" ref="AC1538">_xlfn.XLOOKUP(Table1[[#This Row],[5 cm2 cell test code]:[5 cm2 cell test code]],[1]!Table1[[Test code]:[Test code]],[1]!Table1[Anode ICR/mOhm],"",0)</f>
        <v>#REF!</v>
      </c>
      <c r="AD1538" s="69" t="e" cm="1">
        <f t="array" ref="AD1538">_xlfn.XLOOKUP(Table1[[#This Row],[5 cm2 cell test code]:[5 cm2 cell test code]],[1]!Table1[[Test code]:[Test code]],[1]!Table1[HFR DIW/ mOhm cm2],"",0)</f>
        <v>#REF!</v>
      </c>
      <c r="AE1538" s="69" t="e" cm="1">
        <f t="array" ref="AE1538">_xlfn.XLOOKUP(Table1[[#This Row],[5 cm2 cell test code]:[5 cm2 cell test code]],[1]!Table1[[Test code]:[Test code]],[1]!Table1[HFR 10 mM KOH/ mOhm cm2],"",0)</f>
        <v>#REF!</v>
      </c>
      <c r="AF1538" s="69" t="e" cm="1">
        <f t="array" ref="AF1538">_xlfn.XLOOKUP(Table1[[#This Row],[5 cm2 cell test code]:[5 cm2 cell test code]],[1]!Table1[[Test code]:[Test code]],[1]!Table1[Ionic resistance DIW/Ohm cm2],"",0)</f>
        <v>#REF!</v>
      </c>
      <c r="AG1538" s="69" t="e" cm="1">
        <f t="array" ref="AG1538">_xlfn.XLOOKUP(Table1[[#This Row],[5 cm2 cell test code]:[5 cm2 cell test code]],[1]!Table1[[Test code]:[Test code]],[1]!Table1[Q_int_frac DIW],"",0)</f>
        <v>#REF!</v>
      </c>
      <c r="AH1538" s="69" t="e" cm="1">
        <f t="array" ref="AH1538">_xlfn.XLOOKUP(Table1[[#This Row],[5 cm2 cell test code]:[5 cm2 cell test code]],[1]!Table1[[Test code]:[Test code]],[1]!Table1[Ionic resistance 10 mM KOH/Ohm cm2],"",0)</f>
        <v>#REF!</v>
      </c>
      <c r="AI1538" s="69" t="e" cm="1">
        <f t="array" ref="AI1538">_xlfn.XLOOKUP(Table1[[#This Row],[5 cm2 cell test code]:[5 cm2 cell test code]],[1]!Table1[[Test code]:[Test code]],[1]!Table1[Q_int_frac DIW 10 mM KOH],"",0)</f>
        <v>#REF!</v>
      </c>
      <c r="AJ1538" s="69" t="e" cm="1">
        <f t="array" ref="AJ1538">_xlfn.XLOOKUP(Table1[[#This Row],[5 cm2 cell test code]:[5 cm2 cell test code]],[1]!Table1[[Test code]:[Test code]],[1]!Table1[DIW conductivity (µS/cm)],"",0)</f>
        <v>#REF!</v>
      </c>
    </row>
    <row r="1539" spans="1:36">
      <c r="A1539" s="81"/>
      <c r="U1539" s="101"/>
      <c r="V1539" s="101"/>
      <c r="W1539" s="69" t="e" cm="1">
        <f t="array" ref="W1539">_xlfn.XLOOKUP(Table1[[#This Row],[5 cm2 cell test code]:[5 cm2 cell test code]],[1]!Table1[[Test code]:[Test code]],[1]!Table1[i @ 1.8 V DIW (A/cm2)],"",0)</f>
        <v>#REF!</v>
      </c>
      <c r="X1539" s="69" t="e" cm="1">
        <f t="array" ref="X1539">_xlfn.XLOOKUP(Table1[[#This Row],[5 cm2 cell test code]:[5 cm2 cell test code]],[1]!Table1[[Test code]:[Test code]],[1]!Table1[i @ 1.8 V 10 mM KOH (A/cm2)],"",0)</f>
        <v>#REF!</v>
      </c>
      <c r="Y1539" s="69" t="e" cm="1">
        <f t="array" ref="Y1539">_xlfn.XLOOKUP(Table1[[#This Row],[5 cm2 cell test code]:[5 cm2 cell test code]],[1]!Table1[[Test code]:[Test code]],[1]!Table1[3-E ƞ at 20mAcm-2 (mV)],"",0)</f>
        <v>#REF!</v>
      </c>
      <c r="Z1539" s="69" t="e" cm="1">
        <f t="array" ref="Z1539">_xlfn.XLOOKUP(Table1[[#This Row],[5 cm2 cell test code]:[5 cm2 cell test code]],[1]!Table1[[Test code]:[Test code]],[1]!Table1[3-E Tafel slope (mV/dec)],"",0)</f>
        <v>#REF!</v>
      </c>
      <c r="AA1539" s="69" t="e" cm="1">
        <f t="array" ref="AA1539">_xlfn.XLOOKUP(Table1[[#This Row],[5 cm2 cell test code]:[5 cm2 cell test code]],[1]!Table1[[Test code]:[Test code]],[1]!Table1[E @ 100 mA/cm2 DIW/V],"",0)</f>
        <v>#REF!</v>
      </c>
      <c r="AB1539" s="69" t="e" cm="1">
        <f t="array" ref="AB1539">_xlfn.XLOOKUP(Table1[[#This Row],[5 cm2 cell test code]:[5 cm2 cell test code]],[1]!Table1[[Test code]:[Test code]],[1]!Table1[E @ 100 mA/cm2 10 mM KOH/V],"",0)</f>
        <v>#REF!</v>
      </c>
      <c r="AC1539" s="69" t="e" cm="1">
        <f t="array" ref="AC1539">_xlfn.XLOOKUP(Table1[[#This Row],[5 cm2 cell test code]:[5 cm2 cell test code]],[1]!Table1[[Test code]:[Test code]],[1]!Table1[Anode ICR/mOhm],"",0)</f>
        <v>#REF!</v>
      </c>
      <c r="AD1539" s="69" t="e" cm="1">
        <f t="array" ref="AD1539">_xlfn.XLOOKUP(Table1[[#This Row],[5 cm2 cell test code]:[5 cm2 cell test code]],[1]!Table1[[Test code]:[Test code]],[1]!Table1[HFR DIW/ mOhm cm2],"",0)</f>
        <v>#REF!</v>
      </c>
      <c r="AE1539" s="69" t="e" cm="1">
        <f t="array" ref="AE1539">_xlfn.XLOOKUP(Table1[[#This Row],[5 cm2 cell test code]:[5 cm2 cell test code]],[1]!Table1[[Test code]:[Test code]],[1]!Table1[HFR 10 mM KOH/ mOhm cm2],"",0)</f>
        <v>#REF!</v>
      </c>
      <c r="AF1539" s="69" t="e" cm="1">
        <f t="array" ref="AF1539">_xlfn.XLOOKUP(Table1[[#This Row],[5 cm2 cell test code]:[5 cm2 cell test code]],[1]!Table1[[Test code]:[Test code]],[1]!Table1[Ionic resistance DIW/Ohm cm2],"",0)</f>
        <v>#REF!</v>
      </c>
      <c r="AG1539" s="69" t="e" cm="1">
        <f t="array" ref="AG1539">_xlfn.XLOOKUP(Table1[[#This Row],[5 cm2 cell test code]:[5 cm2 cell test code]],[1]!Table1[[Test code]:[Test code]],[1]!Table1[Q_int_frac DIW],"",0)</f>
        <v>#REF!</v>
      </c>
      <c r="AH1539" s="69" t="e" cm="1">
        <f t="array" ref="AH1539">_xlfn.XLOOKUP(Table1[[#This Row],[5 cm2 cell test code]:[5 cm2 cell test code]],[1]!Table1[[Test code]:[Test code]],[1]!Table1[Ionic resistance 10 mM KOH/Ohm cm2],"",0)</f>
        <v>#REF!</v>
      </c>
      <c r="AI1539" s="69" t="e" cm="1">
        <f t="array" ref="AI1539">_xlfn.XLOOKUP(Table1[[#This Row],[5 cm2 cell test code]:[5 cm2 cell test code]],[1]!Table1[[Test code]:[Test code]],[1]!Table1[Q_int_frac DIW 10 mM KOH],"",0)</f>
        <v>#REF!</v>
      </c>
      <c r="AJ1539" s="69" t="e" cm="1">
        <f t="array" ref="AJ1539">_xlfn.XLOOKUP(Table1[[#This Row],[5 cm2 cell test code]:[5 cm2 cell test code]],[1]!Table1[[Test code]:[Test code]],[1]!Table1[DIW conductivity (µS/cm)],"",0)</f>
        <v>#REF!</v>
      </c>
    </row>
    <row r="1540" spans="1:36">
      <c r="A1540" s="81"/>
      <c r="U1540" s="101"/>
      <c r="V1540" s="101"/>
      <c r="W1540" s="69" t="e" cm="1">
        <f t="array" ref="W1540">_xlfn.XLOOKUP(Table1[[#This Row],[5 cm2 cell test code]:[5 cm2 cell test code]],[1]!Table1[[Test code]:[Test code]],[1]!Table1[i @ 1.8 V DIW (A/cm2)],"",0)</f>
        <v>#REF!</v>
      </c>
      <c r="X1540" s="69" t="e" cm="1">
        <f t="array" ref="X1540">_xlfn.XLOOKUP(Table1[[#This Row],[5 cm2 cell test code]:[5 cm2 cell test code]],[1]!Table1[[Test code]:[Test code]],[1]!Table1[i @ 1.8 V 10 mM KOH (A/cm2)],"",0)</f>
        <v>#REF!</v>
      </c>
      <c r="Y1540" s="69" t="e" cm="1">
        <f t="array" ref="Y1540">_xlfn.XLOOKUP(Table1[[#This Row],[5 cm2 cell test code]:[5 cm2 cell test code]],[1]!Table1[[Test code]:[Test code]],[1]!Table1[3-E ƞ at 20mAcm-2 (mV)],"",0)</f>
        <v>#REF!</v>
      </c>
      <c r="Z1540" s="69" t="e" cm="1">
        <f t="array" ref="Z1540">_xlfn.XLOOKUP(Table1[[#This Row],[5 cm2 cell test code]:[5 cm2 cell test code]],[1]!Table1[[Test code]:[Test code]],[1]!Table1[3-E Tafel slope (mV/dec)],"",0)</f>
        <v>#REF!</v>
      </c>
      <c r="AA1540" s="69" t="e" cm="1">
        <f t="array" ref="AA1540">_xlfn.XLOOKUP(Table1[[#This Row],[5 cm2 cell test code]:[5 cm2 cell test code]],[1]!Table1[[Test code]:[Test code]],[1]!Table1[E @ 100 mA/cm2 DIW/V],"",0)</f>
        <v>#REF!</v>
      </c>
      <c r="AB1540" s="69" t="e" cm="1">
        <f t="array" ref="AB1540">_xlfn.XLOOKUP(Table1[[#This Row],[5 cm2 cell test code]:[5 cm2 cell test code]],[1]!Table1[[Test code]:[Test code]],[1]!Table1[E @ 100 mA/cm2 10 mM KOH/V],"",0)</f>
        <v>#REF!</v>
      </c>
      <c r="AC1540" s="69" t="e" cm="1">
        <f t="array" ref="AC1540">_xlfn.XLOOKUP(Table1[[#This Row],[5 cm2 cell test code]:[5 cm2 cell test code]],[1]!Table1[[Test code]:[Test code]],[1]!Table1[Anode ICR/mOhm],"",0)</f>
        <v>#REF!</v>
      </c>
      <c r="AD1540" s="69" t="e" cm="1">
        <f t="array" ref="AD1540">_xlfn.XLOOKUP(Table1[[#This Row],[5 cm2 cell test code]:[5 cm2 cell test code]],[1]!Table1[[Test code]:[Test code]],[1]!Table1[HFR DIW/ mOhm cm2],"",0)</f>
        <v>#REF!</v>
      </c>
      <c r="AE1540" s="69" t="e" cm="1">
        <f t="array" ref="AE1540">_xlfn.XLOOKUP(Table1[[#This Row],[5 cm2 cell test code]:[5 cm2 cell test code]],[1]!Table1[[Test code]:[Test code]],[1]!Table1[HFR 10 mM KOH/ mOhm cm2],"",0)</f>
        <v>#REF!</v>
      </c>
      <c r="AF1540" s="69" t="e" cm="1">
        <f t="array" ref="AF1540">_xlfn.XLOOKUP(Table1[[#This Row],[5 cm2 cell test code]:[5 cm2 cell test code]],[1]!Table1[[Test code]:[Test code]],[1]!Table1[Ionic resistance DIW/Ohm cm2],"",0)</f>
        <v>#REF!</v>
      </c>
      <c r="AG1540" s="69" t="e" cm="1">
        <f t="array" ref="AG1540">_xlfn.XLOOKUP(Table1[[#This Row],[5 cm2 cell test code]:[5 cm2 cell test code]],[1]!Table1[[Test code]:[Test code]],[1]!Table1[Q_int_frac DIW],"",0)</f>
        <v>#REF!</v>
      </c>
      <c r="AH1540" s="69" t="e" cm="1">
        <f t="array" ref="AH1540">_xlfn.XLOOKUP(Table1[[#This Row],[5 cm2 cell test code]:[5 cm2 cell test code]],[1]!Table1[[Test code]:[Test code]],[1]!Table1[Ionic resistance 10 mM KOH/Ohm cm2],"",0)</f>
        <v>#REF!</v>
      </c>
      <c r="AI1540" s="69" t="e" cm="1">
        <f t="array" ref="AI1540">_xlfn.XLOOKUP(Table1[[#This Row],[5 cm2 cell test code]:[5 cm2 cell test code]],[1]!Table1[[Test code]:[Test code]],[1]!Table1[Q_int_frac DIW 10 mM KOH],"",0)</f>
        <v>#REF!</v>
      </c>
      <c r="AJ1540" s="69" t="e" cm="1">
        <f t="array" ref="AJ1540">_xlfn.XLOOKUP(Table1[[#This Row],[5 cm2 cell test code]:[5 cm2 cell test code]],[1]!Table1[[Test code]:[Test code]],[1]!Table1[DIW conductivity (µS/cm)],"",0)</f>
        <v>#REF!</v>
      </c>
    </row>
    <row r="1541" spans="1:36">
      <c r="A1541" s="81"/>
      <c r="U1541" s="101"/>
      <c r="V1541" s="101"/>
      <c r="W1541" s="69" t="e" cm="1">
        <f t="array" ref="W1541">_xlfn.XLOOKUP(Table1[[#This Row],[5 cm2 cell test code]:[5 cm2 cell test code]],[1]!Table1[[Test code]:[Test code]],[1]!Table1[i @ 1.8 V DIW (A/cm2)],"",0)</f>
        <v>#REF!</v>
      </c>
      <c r="X1541" s="69" t="e" cm="1">
        <f t="array" ref="X1541">_xlfn.XLOOKUP(Table1[[#This Row],[5 cm2 cell test code]:[5 cm2 cell test code]],[1]!Table1[[Test code]:[Test code]],[1]!Table1[i @ 1.8 V 10 mM KOH (A/cm2)],"",0)</f>
        <v>#REF!</v>
      </c>
      <c r="Y1541" s="69" t="e" cm="1">
        <f t="array" ref="Y1541">_xlfn.XLOOKUP(Table1[[#This Row],[5 cm2 cell test code]:[5 cm2 cell test code]],[1]!Table1[[Test code]:[Test code]],[1]!Table1[3-E ƞ at 20mAcm-2 (mV)],"",0)</f>
        <v>#REF!</v>
      </c>
      <c r="Z1541" s="69" t="e" cm="1">
        <f t="array" ref="Z1541">_xlfn.XLOOKUP(Table1[[#This Row],[5 cm2 cell test code]:[5 cm2 cell test code]],[1]!Table1[[Test code]:[Test code]],[1]!Table1[3-E Tafel slope (mV/dec)],"",0)</f>
        <v>#REF!</v>
      </c>
      <c r="AA1541" s="69" t="e" cm="1">
        <f t="array" ref="AA1541">_xlfn.XLOOKUP(Table1[[#This Row],[5 cm2 cell test code]:[5 cm2 cell test code]],[1]!Table1[[Test code]:[Test code]],[1]!Table1[E @ 100 mA/cm2 DIW/V],"",0)</f>
        <v>#REF!</v>
      </c>
      <c r="AB1541" s="69" t="e" cm="1">
        <f t="array" ref="AB1541">_xlfn.XLOOKUP(Table1[[#This Row],[5 cm2 cell test code]:[5 cm2 cell test code]],[1]!Table1[[Test code]:[Test code]],[1]!Table1[E @ 100 mA/cm2 10 mM KOH/V],"",0)</f>
        <v>#REF!</v>
      </c>
      <c r="AC1541" s="69" t="e" cm="1">
        <f t="array" ref="AC1541">_xlfn.XLOOKUP(Table1[[#This Row],[5 cm2 cell test code]:[5 cm2 cell test code]],[1]!Table1[[Test code]:[Test code]],[1]!Table1[Anode ICR/mOhm],"",0)</f>
        <v>#REF!</v>
      </c>
      <c r="AD1541" s="69" t="e" cm="1">
        <f t="array" ref="AD1541">_xlfn.XLOOKUP(Table1[[#This Row],[5 cm2 cell test code]:[5 cm2 cell test code]],[1]!Table1[[Test code]:[Test code]],[1]!Table1[HFR DIW/ mOhm cm2],"",0)</f>
        <v>#REF!</v>
      </c>
      <c r="AE1541" s="69" t="e" cm="1">
        <f t="array" ref="AE1541">_xlfn.XLOOKUP(Table1[[#This Row],[5 cm2 cell test code]:[5 cm2 cell test code]],[1]!Table1[[Test code]:[Test code]],[1]!Table1[HFR 10 mM KOH/ mOhm cm2],"",0)</f>
        <v>#REF!</v>
      </c>
      <c r="AF1541" s="69" t="e" cm="1">
        <f t="array" ref="AF1541">_xlfn.XLOOKUP(Table1[[#This Row],[5 cm2 cell test code]:[5 cm2 cell test code]],[1]!Table1[[Test code]:[Test code]],[1]!Table1[Ionic resistance DIW/Ohm cm2],"",0)</f>
        <v>#REF!</v>
      </c>
      <c r="AG1541" s="69" t="e" cm="1">
        <f t="array" ref="AG1541">_xlfn.XLOOKUP(Table1[[#This Row],[5 cm2 cell test code]:[5 cm2 cell test code]],[1]!Table1[[Test code]:[Test code]],[1]!Table1[Q_int_frac DIW],"",0)</f>
        <v>#REF!</v>
      </c>
      <c r="AH1541" s="69" t="e" cm="1">
        <f t="array" ref="AH1541">_xlfn.XLOOKUP(Table1[[#This Row],[5 cm2 cell test code]:[5 cm2 cell test code]],[1]!Table1[[Test code]:[Test code]],[1]!Table1[Ionic resistance 10 mM KOH/Ohm cm2],"",0)</f>
        <v>#REF!</v>
      </c>
      <c r="AI1541" s="69" t="e" cm="1">
        <f t="array" ref="AI1541">_xlfn.XLOOKUP(Table1[[#This Row],[5 cm2 cell test code]:[5 cm2 cell test code]],[1]!Table1[[Test code]:[Test code]],[1]!Table1[Q_int_frac DIW 10 mM KOH],"",0)</f>
        <v>#REF!</v>
      </c>
      <c r="AJ1541" s="69" t="e" cm="1">
        <f t="array" ref="AJ1541">_xlfn.XLOOKUP(Table1[[#This Row],[5 cm2 cell test code]:[5 cm2 cell test code]],[1]!Table1[[Test code]:[Test code]],[1]!Table1[DIW conductivity (µS/cm)],"",0)</f>
        <v>#REF!</v>
      </c>
    </row>
    <row r="1542" spans="1:36">
      <c r="A1542" s="81"/>
      <c r="U1542" s="101"/>
      <c r="V1542" s="101"/>
      <c r="W1542" s="69" t="e" cm="1">
        <f t="array" ref="W1542">_xlfn.XLOOKUP(Table1[[#This Row],[5 cm2 cell test code]:[5 cm2 cell test code]],[1]!Table1[[Test code]:[Test code]],[1]!Table1[i @ 1.8 V DIW (A/cm2)],"",0)</f>
        <v>#REF!</v>
      </c>
      <c r="X1542" s="69" t="e" cm="1">
        <f t="array" ref="X1542">_xlfn.XLOOKUP(Table1[[#This Row],[5 cm2 cell test code]:[5 cm2 cell test code]],[1]!Table1[[Test code]:[Test code]],[1]!Table1[i @ 1.8 V 10 mM KOH (A/cm2)],"",0)</f>
        <v>#REF!</v>
      </c>
      <c r="Y1542" s="69" t="e" cm="1">
        <f t="array" ref="Y1542">_xlfn.XLOOKUP(Table1[[#This Row],[5 cm2 cell test code]:[5 cm2 cell test code]],[1]!Table1[[Test code]:[Test code]],[1]!Table1[3-E ƞ at 20mAcm-2 (mV)],"",0)</f>
        <v>#REF!</v>
      </c>
      <c r="Z1542" s="69" t="e" cm="1">
        <f t="array" ref="Z1542">_xlfn.XLOOKUP(Table1[[#This Row],[5 cm2 cell test code]:[5 cm2 cell test code]],[1]!Table1[[Test code]:[Test code]],[1]!Table1[3-E Tafel slope (mV/dec)],"",0)</f>
        <v>#REF!</v>
      </c>
      <c r="AA1542" s="69" t="e" cm="1">
        <f t="array" ref="AA1542">_xlfn.XLOOKUP(Table1[[#This Row],[5 cm2 cell test code]:[5 cm2 cell test code]],[1]!Table1[[Test code]:[Test code]],[1]!Table1[E @ 100 mA/cm2 DIW/V],"",0)</f>
        <v>#REF!</v>
      </c>
      <c r="AB1542" s="69" t="e" cm="1">
        <f t="array" ref="AB1542">_xlfn.XLOOKUP(Table1[[#This Row],[5 cm2 cell test code]:[5 cm2 cell test code]],[1]!Table1[[Test code]:[Test code]],[1]!Table1[E @ 100 mA/cm2 10 mM KOH/V],"",0)</f>
        <v>#REF!</v>
      </c>
      <c r="AC1542" s="69" t="e" cm="1">
        <f t="array" ref="AC1542">_xlfn.XLOOKUP(Table1[[#This Row],[5 cm2 cell test code]:[5 cm2 cell test code]],[1]!Table1[[Test code]:[Test code]],[1]!Table1[Anode ICR/mOhm],"",0)</f>
        <v>#REF!</v>
      </c>
      <c r="AD1542" s="69" t="e" cm="1">
        <f t="array" ref="AD1542">_xlfn.XLOOKUP(Table1[[#This Row],[5 cm2 cell test code]:[5 cm2 cell test code]],[1]!Table1[[Test code]:[Test code]],[1]!Table1[HFR DIW/ mOhm cm2],"",0)</f>
        <v>#REF!</v>
      </c>
      <c r="AE1542" s="69" t="e" cm="1">
        <f t="array" ref="AE1542">_xlfn.XLOOKUP(Table1[[#This Row],[5 cm2 cell test code]:[5 cm2 cell test code]],[1]!Table1[[Test code]:[Test code]],[1]!Table1[HFR 10 mM KOH/ mOhm cm2],"",0)</f>
        <v>#REF!</v>
      </c>
      <c r="AF1542" s="69" t="e" cm="1">
        <f t="array" ref="AF1542">_xlfn.XLOOKUP(Table1[[#This Row],[5 cm2 cell test code]:[5 cm2 cell test code]],[1]!Table1[[Test code]:[Test code]],[1]!Table1[Ionic resistance DIW/Ohm cm2],"",0)</f>
        <v>#REF!</v>
      </c>
      <c r="AG1542" s="69" t="e" cm="1">
        <f t="array" ref="AG1542">_xlfn.XLOOKUP(Table1[[#This Row],[5 cm2 cell test code]:[5 cm2 cell test code]],[1]!Table1[[Test code]:[Test code]],[1]!Table1[Q_int_frac DIW],"",0)</f>
        <v>#REF!</v>
      </c>
      <c r="AH1542" s="69" t="e" cm="1">
        <f t="array" ref="AH1542">_xlfn.XLOOKUP(Table1[[#This Row],[5 cm2 cell test code]:[5 cm2 cell test code]],[1]!Table1[[Test code]:[Test code]],[1]!Table1[Ionic resistance 10 mM KOH/Ohm cm2],"",0)</f>
        <v>#REF!</v>
      </c>
      <c r="AI1542" s="69" t="e" cm="1">
        <f t="array" ref="AI1542">_xlfn.XLOOKUP(Table1[[#This Row],[5 cm2 cell test code]:[5 cm2 cell test code]],[1]!Table1[[Test code]:[Test code]],[1]!Table1[Q_int_frac DIW 10 mM KOH],"",0)</f>
        <v>#REF!</v>
      </c>
      <c r="AJ1542" s="69" t="e" cm="1">
        <f t="array" ref="AJ1542">_xlfn.XLOOKUP(Table1[[#This Row],[5 cm2 cell test code]:[5 cm2 cell test code]],[1]!Table1[[Test code]:[Test code]],[1]!Table1[DIW conductivity (µS/cm)],"",0)</f>
        <v>#REF!</v>
      </c>
    </row>
    <row r="1543" spans="1:36">
      <c r="A1543" s="81"/>
      <c r="U1543" s="101"/>
      <c r="V1543" s="101"/>
      <c r="W1543" s="69" t="e" cm="1">
        <f t="array" ref="W1543">_xlfn.XLOOKUP(Table1[[#This Row],[5 cm2 cell test code]:[5 cm2 cell test code]],[1]!Table1[[Test code]:[Test code]],[1]!Table1[i @ 1.8 V DIW (A/cm2)],"",0)</f>
        <v>#REF!</v>
      </c>
      <c r="X1543" s="69" t="e" cm="1">
        <f t="array" ref="X1543">_xlfn.XLOOKUP(Table1[[#This Row],[5 cm2 cell test code]:[5 cm2 cell test code]],[1]!Table1[[Test code]:[Test code]],[1]!Table1[i @ 1.8 V 10 mM KOH (A/cm2)],"",0)</f>
        <v>#REF!</v>
      </c>
      <c r="Y1543" s="69" t="e" cm="1">
        <f t="array" ref="Y1543">_xlfn.XLOOKUP(Table1[[#This Row],[5 cm2 cell test code]:[5 cm2 cell test code]],[1]!Table1[[Test code]:[Test code]],[1]!Table1[3-E ƞ at 20mAcm-2 (mV)],"",0)</f>
        <v>#REF!</v>
      </c>
      <c r="Z1543" s="69" t="e" cm="1">
        <f t="array" ref="Z1543">_xlfn.XLOOKUP(Table1[[#This Row],[5 cm2 cell test code]:[5 cm2 cell test code]],[1]!Table1[[Test code]:[Test code]],[1]!Table1[3-E Tafel slope (mV/dec)],"",0)</f>
        <v>#REF!</v>
      </c>
      <c r="AA1543" s="69" t="e" cm="1">
        <f t="array" ref="AA1543">_xlfn.XLOOKUP(Table1[[#This Row],[5 cm2 cell test code]:[5 cm2 cell test code]],[1]!Table1[[Test code]:[Test code]],[1]!Table1[E @ 100 mA/cm2 DIW/V],"",0)</f>
        <v>#REF!</v>
      </c>
      <c r="AB1543" s="69" t="e" cm="1">
        <f t="array" ref="AB1543">_xlfn.XLOOKUP(Table1[[#This Row],[5 cm2 cell test code]:[5 cm2 cell test code]],[1]!Table1[[Test code]:[Test code]],[1]!Table1[E @ 100 mA/cm2 10 mM KOH/V],"",0)</f>
        <v>#REF!</v>
      </c>
      <c r="AC1543" s="69" t="e" cm="1">
        <f t="array" ref="AC1543">_xlfn.XLOOKUP(Table1[[#This Row],[5 cm2 cell test code]:[5 cm2 cell test code]],[1]!Table1[[Test code]:[Test code]],[1]!Table1[Anode ICR/mOhm],"",0)</f>
        <v>#REF!</v>
      </c>
      <c r="AD1543" s="69" t="e" cm="1">
        <f t="array" ref="AD1543">_xlfn.XLOOKUP(Table1[[#This Row],[5 cm2 cell test code]:[5 cm2 cell test code]],[1]!Table1[[Test code]:[Test code]],[1]!Table1[HFR DIW/ mOhm cm2],"",0)</f>
        <v>#REF!</v>
      </c>
      <c r="AE1543" s="69" t="e" cm="1">
        <f t="array" ref="AE1543">_xlfn.XLOOKUP(Table1[[#This Row],[5 cm2 cell test code]:[5 cm2 cell test code]],[1]!Table1[[Test code]:[Test code]],[1]!Table1[HFR 10 mM KOH/ mOhm cm2],"",0)</f>
        <v>#REF!</v>
      </c>
      <c r="AF1543" s="69" t="e" cm="1">
        <f t="array" ref="AF1543">_xlfn.XLOOKUP(Table1[[#This Row],[5 cm2 cell test code]:[5 cm2 cell test code]],[1]!Table1[[Test code]:[Test code]],[1]!Table1[Ionic resistance DIW/Ohm cm2],"",0)</f>
        <v>#REF!</v>
      </c>
      <c r="AG1543" s="69" t="e" cm="1">
        <f t="array" ref="AG1543">_xlfn.XLOOKUP(Table1[[#This Row],[5 cm2 cell test code]:[5 cm2 cell test code]],[1]!Table1[[Test code]:[Test code]],[1]!Table1[Q_int_frac DIW],"",0)</f>
        <v>#REF!</v>
      </c>
      <c r="AH1543" s="69" t="e" cm="1">
        <f t="array" ref="AH1543">_xlfn.XLOOKUP(Table1[[#This Row],[5 cm2 cell test code]:[5 cm2 cell test code]],[1]!Table1[[Test code]:[Test code]],[1]!Table1[Ionic resistance 10 mM KOH/Ohm cm2],"",0)</f>
        <v>#REF!</v>
      </c>
      <c r="AI1543" s="69" t="e" cm="1">
        <f t="array" ref="AI1543">_xlfn.XLOOKUP(Table1[[#This Row],[5 cm2 cell test code]:[5 cm2 cell test code]],[1]!Table1[[Test code]:[Test code]],[1]!Table1[Q_int_frac DIW 10 mM KOH],"",0)</f>
        <v>#REF!</v>
      </c>
      <c r="AJ1543" s="69" t="e" cm="1">
        <f t="array" ref="AJ1543">_xlfn.XLOOKUP(Table1[[#This Row],[5 cm2 cell test code]:[5 cm2 cell test code]],[1]!Table1[[Test code]:[Test code]],[1]!Table1[DIW conductivity (µS/cm)],"",0)</f>
        <v>#REF!</v>
      </c>
    </row>
    <row r="1544" spans="1:36">
      <c r="A1544" s="81"/>
      <c r="U1544" s="101"/>
      <c r="V1544" s="101"/>
      <c r="W1544" s="69" t="e" cm="1">
        <f t="array" ref="W1544">_xlfn.XLOOKUP(Table1[[#This Row],[5 cm2 cell test code]:[5 cm2 cell test code]],[1]!Table1[[Test code]:[Test code]],[1]!Table1[i @ 1.8 V DIW (A/cm2)],"",0)</f>
        <v>#REF!</v>
      </c>
      <c r="X1544" s="69" t="e" cm="1">
        <f t="array" ref="X1544">_xlfn.XLOOKUP(Table1[[#This Row],[5 cm2 cell test code]:[5 cm2 cell test code]],[1]!Table1[[Test code]:[Test code]],[1]!Table1[i @ 1.8 V 10 mM KOH (A/cm2)],"",0)</f>
        <v>#REF!</v>
      </c>
      <c r="Y1544" s="69" t="e" cm="1">
        <f t="array" ref="Y1544">_xlfn.XLOOKUP(Table1[[#This Row],[5 cm2 cell test code]:[5 cm2 cell test code]],[1]!Table1[[Test code]:[Test code]],[1]!Table1[3-E ƞ at 20mAcm-2 (mV)],"",0)</f>
        <v>#REF!</v>
      </c>
      <c r="Z1544" s="69" t="e" cm="1">
        <f t="array" ref="Z1544">_xlfn.XLOOKUP(Table1[[#This Row],[5 cm2 cell test code]:[5 cm2 cell test code]],[1]!Table1[[Test code]:[Test code]],[1]!Table1[3-E Tafel slope (mV/dec)],"",0)</f>
        <v>#REF!</v>
      </c>
      <c r="AA1544" s="69" t="e" cm="1">
        <f t="array" ref="AA1544">_xlfn.XLOOKUP(Table1[[#This Row],[5 cm2 cell test code]:[5 cm2 cell test code]],[1]!Table1[[Test code]:[Test code]],[1]!Table1[E @ 100 mA/cm2 DIW/V],"",0)</f>
        <v>#REF!</v>
      </c>
      <c r="AB1544" s="69" t="e" cm="1">
        <f t="array" ref="AB1544">_xlfn.XLOOKUP(Table1[[#This Row],[5 cm2 cell test code]:[5 cm2 cell test code]],[1]!Table1[[Test code]:[Test code]],[1]!Table1[E @ 100 mA/cm2 10 mM KOH/V],"",0)</f>
        <v>#REF!</v>
      </c>
      <c r="AC1544" s="69" t="e" cm="1">
        <f t="array" ref="AC1544">_xlfn.XLOOKUP(Table1[[#This Row],[5 cm2 cell test code]:[5 cm2 cell test code]],[1]!Table1[[Test code]:[Test code]],[1]!Table1[Anode ICR/mOhm],"",0)</f>
        <v>#REF!</v>
      </c>
      <c r="AD1544" s="69" t="e" cm="1">
        <f t="array" ref="AD1544">_xlfn.XLOOKUP(Table1[[#This Row],[5 cm2 cell test code]:[5 cm2 cell test code]],[1]!Table1[[Test code]:[Test code]],[1]!Table1[HFR DIW/ mOhm cm2],"",0)</f>
        <v>#REF!</v>
      </c>
      <c r="AE1544" s="69" t="e" cm="1">
        <f t="array" ref="AE1544">_xlfn.XLOOKUP(Table1[[#This Row],[5 cm2 cell test code]:[5 cm2 cell test code]],[1]!Table1[[Test code]:[Test code]],[1]!Table1[HFR 10 mM KOH/ mOhm cm2],"",0)</f>
        <v>#REF!</v>
      </c>
      <c r="AF1544" s="69" t="e" cm="1">
        <f t="array" ref="AF1544">_xlfn.XLOOKUP(Table1[[#This Row],[5 cm2 cell test code]:[5 cm2 cell test code]],[1]!Table1[[Test code]:[Test code]],[1]!Table1[Ionic resistance DIW/Ohm cm2],"",0)</f>
        <v>#REF!</v>
      </c>
      <c r="AG1544" s="69" t="e" cm="1">
        <f t="array" ref="AG1544">_xlfn.XLOOKUP(Table1[[#This Row],[5 cm2 cell test code]:[5 cm2 cell test code]],[1]!Table1[[Test code]:[Test code]],[1]!Table1[Q_int_frac DIW],"",0)</f>
        <v>#REF!</v>
      </c>
      <c r="AH1544" s="69" t="e" cm="1">
        <f t="array" ref="AH1544">_xlfn.XLOOKUP(Table1[[#This Row],[5 cm2 cell test code]:[5 cm2 cell test code]],[1]!Table1[[Test code]:[Test code]],[1]!Table1[Ionic resistance 10 mM KOH/Ohm cm2],"",0)</f>
        <v>#REF!</v>
      </c>
      <c r="AI1544" s="69" t="e" cm="1">
        <f t="array" ref="AI1544">_xlfn.XLOOKUP(Table1[[#This Row],[5 cm2 cell test code]:[5 cm2 cell test code]],[1]!Table1[[Test code]:[Test code]],[1]!Table1[Q_int_frac DIW 10 mM KOH],"",0)</f>
        <v>#REF!</v>
      </c>
      <c r="AJ1544" s="69" t="e" cm="1">
        <f t="array" ref="AJ1544">_xlfn.XLOOKUP(Table1[[#This Row],[5 cm2 cell test code]:[5 cm2 cell test code]],[1]!Table1[[Test code]:[Test code]],[1]!Table1[DIW conductivity (µS/cm)],"",0)</f>
        <v>#REF!</v>
      </c>
    </row>
    <row r="1545" spans="1:36">
      <c r="A1545" s="81"/>
      <c r="U1545" s="101"/>
      <c r="V1545" s="101"/>
      <c r="W1545" s="69" t="e" cm="1">
        <f t="array" ref="W1545">_xlfn.XLOOKUP(Table1[[#This Row],[5 cm2 cell test code]:[5 cm2 cell test code]],[1]!Table1[[Test code]:[Test code]],[1]!Table1[i @ 1.8 V DIW (A/cm2)],"",0)</f>
        <v>#REF!</v>
      </c>
      <c r="X1545" s="69" t="e" cm="1">
        <f t="array" ref="X1545">_xlfn.XLOOKUP(Table1[[#This Row],[5 cm2 cell test code]:[5 cm2 cell test code]],[1]!Table1[[Test code]:[Test code]],[1]!Table1[i @ 1.8 V 10 mM KOH (A/cm2)],"",0)</f>
        <v>#REF!</v>
      </c>
      <c r="Y1545" s="69" t="e" cm="1">
        <f t="array" ref="Y1545">_xlfn.XLOOKUP(Table1[[#This Row],[5 cm2 cell test code]:[5 cm2 cell test code]],[1]!Table1[[Test code]:[Test code]],[1]!Table1[3-E ƞ at 20mAcm-2 (mV)],"",0)</f>
        <v>#REF!</v>
      </c>
      <c r="Z1545" s="69" t="e" cm="1">
        <f t="array" ref="Z1545">_xlfn.XLOOKUP(Table1[[#This Row],[5 cm2 cell test code]:[5 cm2 cell test code]],[1]!Table1[[Test code]:[Test code]],[1]!Table1[3-E Tafel slope (mV/dec)],"",0)</f>
        <v>#REF!</v>
      </c>
      <c r="AA1545" s="69" t="e" cm="1">
        <f t="array" ref="AA1545">_xlfn.XLOOKUP(Table1[[#This Row],[5 cm2 cell test code]:[5 cm2 cell test code]],[1]!Table1[[Test code]:[Test code]],[1]!Table1[E @ 100 mA/cm2 DIW/V],"",0)</f>
        <v>#REF!</v>
      </c>
      <c r="AB1545" s="69" t="e" cm="1">
        <f t="array" ref="AB1545">_xlfn.XLOOKUP(Table1[[#This Row],[5 cm2 cell test code]:[5 cm2 cell test code]],[1]!Table1[[Test code]:[Test code]],[1]!Table1[E @ 100 mA/cm2 10 mM KOH/V],"",0)</f>
        <v>#REF!</v>
      </c>
      <c r="AC1545" s="69" t="e" cm="1">
        <f t="array" ref="AC1545">_xlfn.XLOOKUP(Table1[[#This Row],[5 cm2 cell test code]:[5 cm2 cell test code]],[1]!Table1[[Test code]:[Test code]],[1]!Table1[Anode ICR/mOhm],"",0)</f>
        <v>#REF!</v>
      </c>
      <c r="AD1545" s="69" t="e" cm="1">
        <f t="array" ref="AD1545">_xlfn.XLOOKUP(Table1[[#This Row],[5 cm2 cell test code]:[5 cm2 cell test code]],[1]!Table1[[Test code]:[Test code]],[1]!Table1[HFR DIW/ mOhm cm2],"",0)</f>
        <v>#REF!</v>
      </c>
      <c r="AE1545" s="69" t="e" cm="1">
        <f t="array" ref="AE1545">_xlfn.XLOOKUP(Table1[[#This Row],[5 cm2 cell test code]:[5 cm2 cell test code]],[1]!Table1[[Test code]:[Test code]],[1]!Table1[HFR 10 mM KOH/ mOhm cm2],"",0)</f>
        <v>#REF!</v>
      </c>
      <c r="AF1545" s="69" t="e" cm="1">
        <f t="array" ref="AF1545">_xlfn.XLOOKUP(Table1[[#This Row],[5 cm2 cell test code]:[5 cm2 cell test code]],[1]!Table1[[Test code]:[Test code]],[1]!Table1[Ionic resistance DIW/Ohm cm2],"",0)</f>
        <v>#REF!</v>
      </c>
      <c r="AG1545" s="69" t="e" cm="1">
        <f t="array" ref="AG1545">_xlfn.XLOOKUP(Table1[[#This Row],[5 cm2 cell test code]:[5 cm2 cell test code]],[1]!Table1[[Test code]:[Test code]],[1]!Table1[Q_int_frac DIW],"",0)</f>
        <v>#REF!</v>
      </c>
      <c r="AH1545" s="69" t="e" cm="1">
        <f t="array" ref="AH1545">_xlfn.XLOOKUP(Table1[[#This Row],[5 cm2 cell test code]:[5 cm2 cell test code]],[1]!Table1[[Test code]:[Test code]],[1]!Table1[Ionic resistance 10 mM KOH/Ohm cm2],"",0)</f>
        <v>#REF!</v>
      </c>
      <c r="AI1545" s="69" t="e" cm="1">
        <f t="array" ref="AI1545">_xlfn.XLOOKUP(Table1[[#This Row],[5 cm2 cell test code]:[5 cm2 cell test code]],[1]!Table1[[Test code]:[Test code]],[1]!Table1[Q_int_frac DIW 10 mM KOH],"",0)</f>
        <v>#REF!</v>
      </c>
      <c r="AJ1545" s="69" t="e" cm="1">
        <f t="array" ref="AJ1545">_xlfn.XLOOKUP(Table1[[#This Row],[5 cm2 cell test code]:[5 cm2 cell test code]],[1]!Table1[[Test code]:[Test code]],[1]!Table1[DIW conductivity (µS/cm)],"",0)</f>
        <v>#REF!</v>
      </c>
    </row>
    <row r="1546" spans="1:36">
      <c r="A1546" s="81"/>
      <c r="U1546" s="101"/>
      <c r="V1546" s="101"/>
      <c r="W1546" s="69" t="e" cm="1">
        <f t="array" ref="W1546">_xlfn.XLOOKUP(Table1[[#This Row],[5 cm2 cell test code]:[5 cm2 cell test code]],[1]!Table1[[Test code]:[Test code]],[1]!Table1[i @ 1.8 V DIW (A/cm2)],"",0)</f>
        <v>#REF!</v>
      </c>
      <c r="X1546" s="69" t="e" cm="1">
        <f t="array" ref="X1546">_xlfn.XLOOKUP(Table1[[#This Row],[5 cm2 cell test code]:[5 cm2 cell test code]],[1]!Table1[[Test code]:[Test code]],[1]!Table1[i @ 1.8 V 10 mM KOH (A/cm2)],"",0)</f>
        <v>#REF!</v>
      </c>
      <c r="Y1546" s="69" t="e" cm="1">
        <f t="array" ref="Y1546">_xlfn.XLOOKUP(Table1[[#This Row],[5 cm2 cell test code]:[5 cm2 cell test code]],[1]!Table1[[Test code]:[Test code]],[1]!Table1[3-E ƞ at 20mAcm-2 (mV)],"",0)</f>
        <v>#REF!</v>
      </c>
      <c r="Z1546" s="69" t="e" cm="1">
        <f t="array" ref="Z1546">_xlfn.XLOOKUP(Table1[[#This Row],[5 cm2 cell test code]:[5 cm2 cell test code]],[1]!Table1[[Test code]:[Test code]],[1]!Table1[3-E Tafel slope (mV/dec)],"",0)</f>
        <v>#REF!</v>
      </c>
      <c r="AA1546" s="69" t="e" cm="1">
        <f t="array" ref="AA1546">_xlfn.XLOOKUP(Table1[[#This Row],[5 cm2 cell test code]:[5 cm2 cell test code]],[1]!Table1[[Test code]:[Test code]],[1]!Table1[E @ 100 mA/cm2 DIW/V],"",0)</f>
        <v>#REF!</v>
      </c>
      <c r="AB1546" s="69" t="e" cm="1">
        <f t="array" ref="AB1546">_xlfn.XLOOKUP(Table1[[#This Row],[5 cm2 cell test code]:[5 cm2 cell test code]],[1]!Table1[[Test code]:[Test code]],[1]!Table1[E @ 100 mA/cm2 10 mM KOH/V],"",0)</f>
        <v>#REF!</v>
      </c>
      <c r="AC1546" s="69" t="e" cm="1">
        <f t="array" ref="AC1546">_xlfn.XLOOKUP(Table1[[#This Row],[5 cm2 cell test code]:[5 cm2 cell test code]],[1]!Table1[[Test code]:[Test code]],[1]!Table1[Anode ICR/mOhm],"",0)</f>
        <v>#REF!</v>
      </c>
      <c r="AD1546" s="69" t="e" cm="1">
        <f t="array" ref="AD1546">_xlfn.XLOOKUP(Table1[[#This Row],[5 cm2 cell test code]:[5 cm2 cell test code]],[1]!Table1[[Test code]:[Test code]],[1]!Table1[HFR DIW/ mOhm cm2],"",0)</f>
        <v>#REF!</v>
      </c>
      <c r="AE1546" s="69" t="e" cm="1">
        <f t="array" ref="AE1546">_xlfn.XLOOKUP(Table1[[#This Row],[5 cm2 cell test code]:[5 cm2 cell test code]],[1]!Table1[[Test code]:[Test code]],[1]!Table1[HFR 10 mM KOH/ mOhm cm2],"",0)</f>
        <v>#REF!</v>
      </c>
      <c r="AF1546" s="69" t="e" cm="1">
        <f t="array" ref="AF1546">_xlfn.XLOOKUP(Table1[[#This Row],[5 cm2 cell test code]:[5 cm2 cell test code]],[1]!Table1[[Test code]:[Test code]],[1]!Table1[Ionic resistance DIW/Ohm cm2],"",0)</f>
        <v>#REF!</v>
      </c>
      <c r="AG1546" s="69" t="e" cm="1">
        <f t="array" ref="AG1546">_xlfn.XLOOKUP(Table1[[#This Row],[5 cm2 cell test code]:[5 cm2 cell test code]],[1]!Table1[[Test code]:[Test code]],[1]!Table1[Q_int_frac DIW],"",0)</f>
        <v>#REF!</v>
      </c>
      <c r="AH1546" s="69" t="e" cm="1">
        <f t="array" ref="AH1546">_xlfn.XLOOKUP(Table1[[#This Row],[5 cm2 cell test code]:[5 cm2 cell test code]],[1]!Table1[[Test code]:[Test code]],[1]!Table1[Ionic resistance 10 mM KOH/Ohm cm2],"",0)</f>
        <v>#REF!</v>
      </c>
      <c r="AI1546" s="69" t="e" cm="1">
        <f t="array" ref="AI1546">_xlfn.XLOOKUP(Table1[[#This Row],[5 cm2 cell test code]:[5 cm2 cell test code]],[1]!Table1[[Test code]:[Test code]],[1]!Table1[Q_int_frac DIW 10 mM KOH],"",0)</f>
        <v>#REF!</v>
      </c>
      <c r="AJ1546" s="69" t="e" cm="1">
        <f t="array" ref="AJ1546">_xlfn.XLOOKUP(Table1[[#This Row],[5 cm2 cell test code]:[5 cm2 cell test code]],[1]!Table1[[Test code]:[Test code]],[1]!Table1[DIW conductivity (µS/cm)],"",0)</f>
        <v>#REF!</v>
      </c>
    </row>
    <row r="1547" spans="1:36">
      <c r="A1547" s="81"/>
      <c r="U1547" s="101"/>
      <c r="V1547" s="101"/>
      <c r="W1547" s="69" t="e" cm="1">
        <f t="array" ref="W1547">_xlfn.XLOOKUP(Table1[[#This Row],[5 cm2 cell test code]:[5 cm2 cell test code]],[1]!Table1[[Test code]:[Test code]],[1]!Table1[i @ 1.8 V DIW (A/cm2)],"",0)</f>
        <v>#REF!</v>
      </c>
      <c r="X1547" s="69" t="e" cm="1">
        <f t="array" ref="X1547">_xlfn.XLOOKUP(Table1[[#This Row],[5 cm2 cell test code]:[5 cm2 cell test code]],[1]!Table1[[Test code]:[Test code]],[1]!Table1[i @ 1.8 V 10 mM KOH (A/cm2)],"",0)</f>
        <v>#REF!</v>
      </c>
      <c r="Y1547" s="69" t="e" cm="1">
        <f t="array" ref="Y1547">_xlfn.XLOOKUP(Table1[[#This Row],[5 cm2 cell test code]:[5 cm2 cell test code]],[1]!Table1[[Test code]:[Test code]],[1]!Table1[3-E ƞ at 20mAcm-2 (mV)],"",0)</f>
        <v>#REF!</v>
      </c>
      <c r="Z1547" s="69" t="e" cm="1">
        <f t="array" ref="Z1547">_xlfn.XLOOKUP(Table1[[#This Row],[5 cm2 cell test code]:[5 cm2 cell test code]],[1]!Table1[[Test code]:[Test code]],[1]!Table1[3-E Tafel slope (mV/dec)],"",0)</f>
        <v>#REF!</v>
      </c>
      <c r="AA1547" s="69" t="e" cm="1">
        <f t="array" ref="AA1547">_xlfn.XLOOKUP(Table1[[#This Row],[5 cm2 cell test code]:[5 cm2 cell test code]],[1]!Table1[[Test code]:[Test code]],[1]!Table1[E @ 100 mA/cm2 DIW/V],"",0)</f>
        <v>#REF!</v>
      </c>
      <c r="AB1547" s="69" t="e" cm="1">
        <f t="array" ref="AB1547">_xlfn.XLOOKUP(Table1[[#This Row],[5 cm2 cell test code]:[5 cm2 cell test code]],[1]!Table1[[Test code]:[Test code]],[1]!Table1[E @ 100 mA/cm2 10 mM KOH/V],"",0)</f>
        <v>#REF!</v>
      </c>
      <c r="AC1547" s="69" t="e" cm="1">
        <f t="array" ref="AC1547">_xlfn.XLOOKUP(Table1[[#This Row],[5 cm2 cell test code]:[5 cm2 cell test code]],[1]!Table1[[Test code]:[Test code]],[1]!Table1[Anode ICR/mOhm],"",0)</f>
        <v>#REF!</v>
      </c>
      <c r="AD1547" s="69" t="e" cm="1">
        <f t="array" ref="AD1547">_xlfn.XLOOKUP(Table1[[#This Row],[5 cm2 cell test code]:[5 cm2 cell test code]],[1]!Table1[[Test code]:[Test code]],[1]!Table1[HFR DIW/ mOhm cm2],"",0)</f>
        <v>#REF!</v>
      </c>
      <c r="AE1547" s="69" t="e" cm="1">
        <f t="array" ref="AE1547">_xlfn.XLOOKUP(Table1[[#This Row],[5 cm2 cell test code]:[5 cm2 cell test code]],[1]!Table1[[Test code]:[Test code]],[1]!Table1[HFR 10 mM KOH/ mOhm cm2],"",0)</f>
        <v>#REF!</v>
      </c>
      <c r="AF1547" s="69" t="e" cm="1">
        <f t="array" ref="AF1547">_xlfn.XLOOKUP(Table1[[#This Row],[5 cm2 cell test code]:[5 cm2 cell test code]],[1]!Table1[[Test code]:[Test code]],[1]!Table1[Ionic resistance DIW/Ohm cm2],"",0)</f>
        <v>#REF!</v>
      </c>
      <c r="AG1547" s="69" t="e" cm="1">
        <f t="array" ref="AG1547">_xlfn.XLOOKUP(Table1[[#This Row],[5 cm2 cell test code]:[5 cm2 cell test code]],[1]!Table1[[Test code]:[Test code]],[1]!Table1[Q_int_frac DIW],"",0)</f>
        <v>#REF!</v>
      </c>
      <c r="AH1547" s="69" t="e" cm="1">
        <f t="array" ref="AH1547">_xlfn.XLOOKUP(Table1[[#This Row],[5 cm2 cell test code]:[5 cm2 cell test code]],[1]!Table1[[Test code]:[Test code]],[1]!Table1[Ionic resistance 10 mM KOH/Ohm cm2],"",0)</f>
        <v>#REF!</v>
      </c>
      <c r="AI1547" s="69" t="e" cm="1">
        <f t="array" ref="AI1547">_xlfn.XLOOKUP(Table1[[#This Row],[5 cm2 cell test code]:[5 cm2 cell test code]],[1]!Table1[[Test code]:[Test code]],[1]!Table1[Q_int_frac DIW 10 mM KOH],"",0)</f>
        <v>#REF!</v>
      </c>
      <c r="AJ1547" s="69" t="e" cm="1">
        <f t="array" ref="AJ1547">_xlfn.XLOOKUP(Table1[[#This Row],[5 cm2 cell test code]:[5 cm2 cell test code]],[1]!Table1[[Test code]:[Test code]],[1]!Table1[DIW conductivity (µS/cm)],"",0)</f>
        <v>#REF!</v>
      </c>
    </row>
    <row r="1548" spans="1:36">
      <c r="A1548" s="81"/>
      <c r="U1548" s="101"/>
      <c r="V1548" s="101"/>
      <c r="W1548" s="69" t="e" cm="1">
        <f t="array" ref="W1548">_xlfn.XLOOKUP(Table1[[#This Row],[5 cm2 cell test code]:[5 cm2 cell test code]],[1]!Table1[[Test code]:[Test code]],[1]!Table1[i @ 1.8 V DIW (A/cm2)],"",0)</f>
        <v>#REF!</v>
      </c>
      <c r="X1548" s="69" t="e" cm="1">
        <f t="array" ref="X1548">_xlfn.XLOOKUP(Table1[[#This Row],[5 cm2 cell test code]:[5 cm2 cell test code]],[1]!Table1[[Test code]:[Test code]],[1]!Table1[i @ 1.8 V 10 mM KOH (A/cm2)],"",0)</f>
        <v>#REF!</v>
      </c>
      <c r="Y1548" s="69" t="e" cm="1">
        <f t="array" ref="Y1548">_xlfn.XLOOKUP(Table1[[#This Row],[5 cm2 cell test code]:[5 cm2 cell test code]],[1]!Table1[[Test code]:[Test code]],[1]!Table1[3-E ƞ at 20mAcm-2 (mV)],"",0)</f>
        <v>#REF!</v>
      </c>
      <c r="Z1548" s="69" t="e" cm="1">
        <f t="array" ref="Z1548">_xlfn.XLOOKUP(Table1[[#This Row],[5 cm2 cell test code]:[5 cm2 cell test code]],[1]!Table1[[Test code]:[Test code]],[1]!Table1[3-E Tafel slope (mV/dec)],"",0)</f>
        <v>#REF!</v>
      </c>
      <c r="AA1548" s="69" t="e" cm="1">
        <f t="array" ref="AA1548">_xlfn.XLOOKUP(Table1[[#This Row],[5 cm2 cell test code]:[5 cm2 cell test code]],[1]!Table1[[Test code]:[Test code]],[1]!Table1[E @ 100 mA/cm2 DIW/V],"",0)</f>
        <v>#REF!</v>
      </c>
      <c r="AB1548" s="69" t="e" cm="1">
        <f t="array" ref="AB1548">_xlfn.XLOOKUP(Table1[[#This Row],[5 cm2 cell test code]:[5 cm2 cell test code]],[1]!Table1[[Test code]:[Test code]],[1]!Table1[E @ 100 mA/cm2 10 mM KOH/V],"",0)</f>
        <v>#REF!</v>
      </c>
      <c r="AC1548" s="69" t="e" cm="1">
        <f t="array" ref="AC1548">_xlfn.XLOOKUP(Table1[[#This Row],[5 cm2 cell test code]:[5 cm2 cell test code]],[1]!Table1[[Test code]:[Test code]],[1]!Table1[Anode ICR/mOhm],"",0)</f>
        <v>#REF!</v>
      </c>
      <c r="AD1548" s="69" t="e" cm="1">
        <f t="array" ref="AD1548">_xlfn.XLOOKUP(Table1[[#This Row],[5 cm2 cell test code]:[5 cm2 cell test code]],[1]!Table1[[Test code]:[Test code]],[1]!Table1[HFR DIW/ mOhm cm2],"",0)</f>
        <v>#REF!</v>
      </c>
      <c r="AE1548" s="69" t="e" cm="1">
        <f t="array" ref="AE1548">_xlfn.XLOOKUP(Table1[[#This Row],[5 cm2 cell test code]:[5 cm2 cell test code]],[1]!Table1[[Test code]:[Test code]],[1]!Table1[HFR 10 mM KOH/ mOhm cm2],"",0)</f>
        <v>#REF!</v>
      </c>
      <c r="AF1548" s="69" t="e" cm="1">
        <f t="array" ref="AF1548">_xlfn.XLOOKUP(Table1[[#This Row],[5 cm2 cell test code]:[5 cm2 cell test code]],[1]!Table1[[Test code]:[Test code]],[1]!Table1[Ionic resistance DIW/Ohm cm2],"",0)</f>
        <v>#REF!</v>
      </c>
      <c r="AG1548" s="69" t="e" cm="1">
        <f t="array" ref="AG1548">_xlfn.XLOOKUP(Table1[[#This Row],[5 cm2 cell test code]:[5 cm2 cell test code]],[1]!Table1[[Test code]:[Test code]],[1]!Table1[Q_int_frac DIW],"",0)</f>
        <v>#REF!</v>
      </c>
      <c r="AH1548" s="69" t="e" cm="1">
        <f t="array" ref="AH1548">_xlfn.XLOOKUP(Table1[[#This Row],[5 cm2 cell test code]:[5 cm2 cell test code]],[1]!Table1[[Test code]:[Test code]],[1]!Table1[Ionic resistance 10 mM KOH/Ohm cm2],"",0)</f>
        <v>#REF!</v>
      </c>
      <c r="AI1548" s="69" t="e" cm="1">
        <f t="array" ref="AI1548">_xlfn.XLOOKUP(Table1[[#This Row],[5 cm2 cell test code]:[5 cm2 cell test code]],[1]!Table1[[Test code]:[Test code]],[1]!Table1[Q_int_frac DIW 10 mM KOH],"",0)</f>
        <v>#REF!</v>
      </c>
      <c r="AJ1548" s="69" t="e" cm="1">
        <f t="array" ref="AJ1548">_xlfn.XLOOKUP(Table1[[#This Row],[5 cm2 cell test code]:[5 cm2 cell test code]],[1]!Table1[[Test code]:[Test code]],[1]!Table1[DIW conductivity (µS/cm)],"",0)</f>
        <v>#REF!</v>
      </c>
    </row>
    <row r="1549" spans="1:36">
      <c r="A1549" s="81"/>
      <c r="U1549" s="101"/>
      <c r="V1549" s="101"/>
      <c r="W1549" s="69" t="e" cm="1">
        <f t="array" ref="W1549">_xlfn.XLOOKUP(Table1[[#This Row],[5 cm2 cell test code]:[5 cm2 cell test code]],[1]!Table1[[Test code]:[Test code]],[1]!Table1[i @ 1.8 V DIW (A/cm2)],"",0)</f>
        <v>#REF!</v>
      </c>
      <c r="X1549" s="69" t="e" cm="1">
        <f t="array" ref="X1549">_xlfn.XLOOKUP(Table1[[#This Row],[5 cm2 cell test code]:[5 cm2 cell test code]],[1]!Table1[[Test code]:[Test code]],[1]!Table1[i @ 1.8 V 10 mM KOH (A/cm2)],"",0)</f>
        <v>#REF!</v>
      </c>
      <c r="Y1549" s="69" t="e" cm="1">
        <f t="array" ref="Y1549">_xlfn.XLOOKUP(Table1[[#This Row],[5 cm2 cell test code]:[5 cm2 cell test code]],[1]!Table1[[Test code]:[Test code]],[1]!Table1[3-E ƞ at 20mAcm-2 (mV)],"",0)</f>
        <v>#REF!</v>
      </c>
      <c r="Z1549" s="69" t="e" cm="1">
        <f t="array" ref="Z1549">_xlfn.XLOOKUP(Table1[[#This Row],[5 cm2 cell test code]:[5 cm2 cell test code]],[1]!Table1[[Test code]:[Test code]],[1]!Table1[3-E Tafel slope (mV/dec)],"",0)</f>
        <v>#REF!</v>
      </c>
      <c r="AA1549" s="69" t="e" cm="1">
        <f t="array" ref="AA1549">_xlfn.XLOOKUP(Table1[[#This Row],[5 cm2 cell test code]:[5 cm2 cell test code]],[1]!Table1[[Test code]:[Test code]],[1]!Table1[E @ 100 mA/cm2 DIW/V],"",0)</f>
        <v>#REF!</v>
      </c>
      <c r="AB1549" s="69" t="e" cm="1">
        <f t="array" ref="AB1549">_xlfn.XLOOKUP(Table1[[#This Row],[5 cm2 cell test code]:[5 cm2 cell test code]],[1]!Table1[[Test code]:[Test code]],[1]!Table1[E @ 100 mA/cm2 10 mM KOH/V],"",0)</f>
        <v>#REF!</v>
      </c>
      <c r="AC1549" s="69" t="e" cm="1">
        <f t="array" ref="AC1549">_xlfn.XLOOKUP(Table1[[#This Row],[5 cm2 cell test code]:[5 cm2 cell test code]],[1]!Table1[[Test code]:[Test code]],[1]!Table1[Anode ICR/mOhm],"",0)</f>
        <v>#REF!</v>
      </c>
      <c r="AD1549" s="69" t="e" cm="1">
        <f t="array" ref="AD1549">_xlfn.XLOOKUP(Table1[[#This Row],[5 cm2 cell test code]:[5 cm2 cell test code]],[1]!Table1[[Test code]:[Test code]],[1]!Table1[HFR DIW/ mOhm cm2],"",0)</f>
        <v>#REF!</v>
      </c>
      <c r="AE1549" s="69" t="e" cm="1">
        <f t="array" ref="AE1549">_xlfn.XLOOKUP(Table1[[#This Row],[5 cm2 cell test code]:[5 cm2 cell test code]],[1]!Table1[[Test code]:[Test code]],[1]!Table1[HFR 10 mM KOH/ mOhm cm2],"",0)</f>
        <v>#REF!</v>
      </c>
      <c r="AF1549" s="69" t="e" cm="1">
        <f t="array" ref="AF1549">_xlfn.XLOOKUP(Table1[[#This Row],[5 cm2 cell test code]:[5 cm2 cell test code]],[1]!Table1[[Test code]:[Test code]],[1]!Table1[Ionic resistance DIW/Ohm cm2],"",0)</f>
        <v>#REF!</v>
      </c>
      <c r="AG1549" s="69" t="e" cm="1">
        <f t="array" ref="AG1549">_xlfn.XLOOKUP(Table1[[#This Row],[5 cm2 cell test code]:[5 cm2 cell test code]],[1]!Table1[[Test code]:[Test code]],[1]!Table1[Q_int_frac DIW],"",0)</f>
        <v>#REF!</v>
      </c>
      <c r="AH1549" s="69" t="e" cm="1">
        <f t="array" ref="AH1549">_xlfn.XLOOKUP(Table1[[#This Row],[5 cm2 cell test code]:[5 cm2 cell test code]],[1]!Table1[[Test code]:[Test code]],[1]!Table1[Ionic resistance 10 mM KOH/Ohm cm2],"",0)</f>
        <v>#REF!</v>
      </c>
      <c r="AI1549" s="69" t="e" cm="1">
        <f t="array" ref="AI1549">_xlfn.XLOOKUP(Table1[[#This Row],[5 cm2 cell test code]:[5 cm2 cell test code]],[1]!Table1[[Test code]:[Test code]],[1]!Table1[Q_int_frac DIW 10 mM KOH],"",0)</f>
        <v>#REF!</v>
      </c>
      <c r="AJ1549" s="69" t="e" cm="1">
        <f t="array" ref="AJ1549">_xlfn.XLOOKUP(Table1[[#This Row],[5 cm2 cell test code]:[5 cm2 cell test code]],[1]!Table1[[Test code]:[Test code]],[1]!Table1[DIW conductivity (µS/cm)],"",0)</f>
        <v>#REF!</v>
      </c>
    </row>
    <row r="1550" spans="1:36">
      <c r="A1550" s="81"/>
      <c r="U1550" s="101"/>
      <c r="V1550" s="101"/>
      <c r="W1550" s="69" t="e" cm="1">
        <f t="array" ref="W1550">_xlfn.XLOOKUP(Table1[[#This Row],[5 cm2 cell test code]:[5 cm2 cell test code]],[1]!Table1[[Test code]:[Test code]],[1]!Table1[i @ 1.8 V DIW (A/cm2)],"",0)</f>
        <v>#REF!</v>
      </c>
      <c r="X1550" s="69" t="e" cm="1">
        <f t="array" ref="X1550">_xlfn.XLOOKUP(Table1[[#This Row],[5 cm2 cell test code]:[5 cm2 cell test code]],[1]!Table1[[Test code]:[Test code]],[1]!Table1[i @ 1.8 V 10 mM KOH (A/cm2)],"",0)</f>
        <v>#REF!</v>
      </c>
      <c r="Y1550" s="69" t="e" cm="1">
        <f t="array" ref="Y1550">_xlfn.XLOOKUP(Table1[[#This Row],[5 cm2 cell test code]:[5 cm2 cell test code]],[1]!Table1[[Test code]:[Test code]],[1]!Table1[3-E ƞ at 20mAcm-2 (mV)],"",0)</f>
        <v>#REF!</v>
      </c>
      <c r="Z1550" s="69" t="e" cm="1">
        <f t="array" ref="Z1550">_xlfn.XLOOKUP(Table1[[#This Row],[5 cm2 cell test code]:[5 cm2 cell test code]],[1]!Table1[[Test code]:[Test code]],[1]!Table1[3-E Tafel slope (mV/dec)],"",0)</f>
        <v>#REF!</v>
      </c>
      <c r="AA1550" s="69" t="e" cm="1">
        <f t="array" ref="AA1550">_xlfn.XLOOKUP(Table1[[#This Row],[5 cm2 cell test code]:[5 cm2 cell test code]],[1]!Table1[[Test code]:[Test code]],[1]!Table1[E @ 100 mA/cm2 DIW/V],"",0)</f>
        <v>#REF!</v>
      </c>
      <c r="AB1550" s="69" t="e" cm="1">
        <f t="array" ref="AB1550">_xlfn.XLOOKUP(Table1[[#This Row],[5 cm2 cell test code]:[5 cm2 cell test code]],[1]!Table1[[Test code]:[Test code]],[1]!Table1[E @ 100 mA/cm2 10 mM KOH/V],"",0)</f>
        <v>#REF!</v>
      </c>
      <c r="AC1550" s="69" t="e" cm="1">
        <f t="array" ref="AC1550">_xlfn.XLOOKUP(Table1[[#This Row],[5 cm2 cell test code]:[5 cm2 cell test code]],[1]!Table1[[Test code]:[Test code]],[1]!Table1[Anode ICR/mOhm],"",0)</f>
        <v>#REF!</v>
      </c>
      <c r="AD1550" s="69" t="e" cm="1">
        <f t="array" ref="AD1550">_xlfn.XLOOKUP(Table1[[#This Row],[5 cm2 cell test code]:[5 cm2 cell test code]],[1]!Table1[[Test code]:[Test code]],[1]!Table1[HFR DIW/ mOhm cm2],"",0)</f>
        <v>#REF!</v>
      </c>
      <c r="AE1550" s="69" t="e" cm="1">
        <f t="array" ref="AE1550">_xlfn.XLOOKUP(Table1[[#This Row],[5 cm2 cell test code]:[5 cm2 cell test code]],[1]!Table1[[Test code]:[Test code]],[1]!Table1[HFR 10 mM KOH/ mOhm cm2],"",0)</f>
        <v>#REF!</v>
      </c>
      <c r="AF1550" s="69" t="e" cm="1">
        <f t="array" ref="AF1550">_xlfn.XLOOKUP(Table1[[#This Row],[5 cm2 cell test code]:[5 cm2 cell test code]],[1]!Table1[[Test code]:[Test code]],[1]!Table1[Ionic resistance DIW/Ohm cm2],"",0)</f>
        <v>#REF!</v>
      </c>
      <c r="AG1550" s="69" t="e" cm="1">
        <f t="array" ref="AG1550">_xlfn.XLOOKUP(Table1[[#This Row],[5 cm2 cell test code]:[5 cm2 cell test code]],[1]!Table1[[Test code]:[Test code]],[1]!Table1[Q_int_frac DIW],"",0)</f>
        <v>#REF!</v>
      </c>
      <c r="AH1550" s="69" t="e" cm="1">
        <f t="array" ref="AH1550">_xlfn.XLOOKUP(Table1[[#This Row],[5 cm2 cell test code]:[5 cm2 cell test code]],[1]!Table1[[Test code]:[Test code]],[1]!Table1[Ionic resistance 10 mM KOH/Ohm cm2],"",0)</f>
        <v>#REF!</v>
      </c>
      <c r="AI1550" s="69" t="e" cm="1">
        <f t="array" ref="AI1550">_xlfn.XLOOKUP(Table1[[#This Row],[5 cm2 cell test code]:[5 cm2 cell test code]],[1]!Table1[[Test code]:[Test code]],[1]!Table1[Q_int_frac DIW 10 mM KOH],"",0)</f>
        <v>#REF!</v>
      </c>
      <c r="AJ1550" s="69" t="e" cm="1">
        <f t="array" ref="AJ1550">_xlfn.XLOOKUP(Table1[[#This Row],[5 cm2 cell test code]:[5 cm2 cell test code]],[1]!Table1[[Test code]:[Test code]],[1]!Table1[DIW conductivity (µS/cm)],"",0)</f>
        <v>#REF!</v>
      </c>
    </row>
    <row r="1551" spans="1:36">
      <c r="A1551" s="81"/>
      <c r="U1551" s="101"/>
      <c r="V1551" s="101"/>
      <c r="W1551" s="69" t="e" cm="1">
        <f t="array" ref="W1551">_xlfn.XLOOKUP(Table1[[#This Row],[5 cm2 cell test code]:[5 cm2 cell test code]],[1]!Table1[[Test code]:[Test code]],[1]!Table1[i @ 1.8 V DIW (A/cm2)],"",0)</f>
        <v>#REF!</v>
      </c>
      <c r="X1551" s="69" t="e" cm="1">
        <f t="array" ref="X1551">_xlfn.XLOOKUP(Table1[[#This Row],[5 cm2 cell test code]:[5 cm2 cell test code]],[1]!Table1[[Test code]:[Test code]],[1]!Table1[i @ 1.8 V 10 mM KOH (A/cm2)],"",0)</f>
        <v>#REF!</v>
      </c>
      <c r="Y1551" s="69" t="e" cm="1">
        <f t="array" ref="Y1551">_xlfn.XLOOKUP(Table1[[#This Row],[5 cm2 cell test code]:[5 cm2 cell test code]],[1]!Table1[[Test code]:[Test code]],[1]!Table1[3-E ƞ at 20mAcm-2 (mV)],"",0)</f>
        <v>#REF!</v>
      </c>
      <c r="Z1551" s="69" t="e" cm="1">
        <f t="array" ref="Z1551">_xlfn.XLOOKUP(Table1[[#This Row],[5 cm2 cell test code]:[5 cm2 cell test code]],[1]!Table1[[Test code]:[Test code]],[1]!Table1[3-E Tafel slope (mV/dec)],"",0)</f>
        <v>#REF!</v>
      </c>
      <c r="AA1551" s="69" t="e" cm="1">
        <f t="array" ref="AA1551">_xlfn.XLOOKUP(Table1[[#This Row],[5 cm2 cell test code]:[5 cm2 cell test code]],[1]!Table1[[Test code]:[Test code]],[1]!Table1[E @ 100 mA/cm2 DIW/V],"",0)</f>
        <v>#REF!</v>
      </c>
      <c r="AB1551" s="69" t="e" cm="1">
        <f t="array" ref="AB1551">_xlfn.XLOOKUP(Table1[[#This Row],[5 cm2 cell test code]:[5 cm2 cell test code]],[1]!Table1[[Test code]:[Test code]],[1]!Table1[E @ 100 mA/cm2 10 mM KOH/V],"",0)</f>
        <v>#REF!</v>
      </c>
      <c r="AC1551" s="69" t="e" cm="1">
        <f t="array" ref="AC1551">_xlfn.XLOOKUP(Table1[[#This Row],[5 cm2 cell test code]:[5 cm2 cell test code]],[1]!Table1[[Test code]:[Test code]],[1]!Table1[Anode ICR/mOhm],"",0)</f>
        <v>#REF!</v>
      </c>
      <c r="AD1551" s="69" t="e" cm="1">
        <f t="array" ref="AD1551">_xlfn.XLOOKUP(Table1[[#This Row],[5 cm2 cell test code]:[5 cm2 cell test code]],[1]!Table1[[Test code]:[Test code]],[1]!Table1[HFR DIW/ mOhm cm2],"",0)</f>
        <v>#REF!</v>
      </c>
      <c r="AE1551" s="69" t="e" cm="1">
        <f t="array" ref="AE1551">_xlfn.XLOOKUP(Table1[[#This Row],[5 cm2 cell test code]:[5 cm2 cell test code]],[1]!Table1[[Test code]:[Test code]],[1]!Table1[HFR 10 mM KOH/ mOhm cm2],"",0)</f>
        <v>#REF!</v>
      </c>
      <c r="AF1551" s="69" t="e" cm="1">
        <f t="array" ref="AF1551">_xlfn.XLOOKUP(Table1[[#This Row],[5 cm2 cell test code]:[5 cm2 cell test code]],[1]!Table1[[Test code]:[Test code]],[1]!Table1[Ionic resistance DIW/Ohm cm2],"",0)</f>
        <v>#REF!</v>
      </c>
      <c r="AG1551" s="69" t="e" cm="1">
        <f t="array" ref="AG1551">_xlfn.XLOOKUP(Table1[[#This Row],[5 cm2 cell test code]:[5 cm2 cell test code]],[1]!Table1[[Test code]:[Test code]],[1]!Table1[Q_int_frac DIW],"",0)</f>
        <v>#REF!</v>
      </c>
      <c r="AH1551" s="69" t="e" cm="1">
        <f t="array" ref="AH1551">_xlfn.XLOOKUP(Table1[[#This Row],[5 cm2 cell test code]:[5 cm2 cell test code]],[1]!Table1[[Test code]:[Test code]],[1]!Table1[Ionic resistance 10 mM KOH/Ohm cm2],"",0)</f>
        <v>#REF!</v>
      </c>
      <c r="AI1551" s="69" t="e" cm="1">
        <f t="array" ref="AI1551">_xlfn.XLOOKUP(Table1[[#This Row],[5 cm2 cell test code]:[5 cm2 cell test code]],[1]!Table1[[Test code]:[Test code]],[1]!Table1[Q_int_frac DIW 10 mM KOH],"",0)</f>
        <v>#REF!</v>
      </c>
      <c r="AJ1551" s="69" t="e" cm="1">
        <f t="array" ref="AJ1551">_xlfn.XLOOKUP(Table1[[#This Row],[5 cm2 cell test code]:[5 cm2 cell test code]],[1]!Table1[[Test code]:[Test code]],[1]!Table1[DIW conductivity (µS/cm)],"",0)</f>
        <v>#REF!</v>
      </c>
    </row>
    <row r="1552" spans="1:36">
      <c r="A1552" s="81"/>
      <c r="U1552" s="101"/>
      <c r="V1552" s="101"/>
      <c r="W1552" s="69" t="e" cm="1">
        <f t="array" ref="W1552">_xlfn.XLOOKUP(Table1[[#This Row],[5 cm2 cell test code]:[5 cm2 cell test code]],[1]!Table1[[Test code]:[Test code]],[1]!Table1[i @ 1.8 V DIW (A/cm2)],"",0)</f>
        <v>#REF!</v>
      </c>
      <c r="X1552" s="69" t="e" cm="1">
        <f t="array" ref="X1552">_xlfn.XLOOKUP(Table1[[#This Row],[5 cm2 cell test code]:[5 cm2 cell test code]],[1]!Table1[[Test code]:[Test code]],[1]!Table1[i @ 1.8 V 10 mM KOH (A/cm2)],"",0)</f>
        <v>#REF!</v>
      </c>
      <c r="Y1552" s="69" t="e" cm="1">
        <f t="array" ref="Y1552">_xlfn.XLOOKUP(Table1[[#This Row],[5 cm2 cell test code]:[5 cm2 cell test code]],[1]!Table1[[Test code]:[Test code]],[1]!Table1[3-E ƞ at 20mAcm-2 (mV)],"",0)</f>
        <v>#REF!</v>
      </c>
      <c r="Z1552" s="69" t="e" cm="1">
        <f t="array" ref="Z1552">_xlfn.XLOOKUP(Table1[[#This Row],[5 cm2 cell test code]:[5 cm2 cell test code]],[1]!Table1[[Test code]:[Test code]],[1]!Table1[3-E Tafel slope (mV/dec)],"",0)</f>
        <v>#REF!</v>
      </c>
      <c r="AA1552" s="69" t="e" cm="1">
        <f t="array" ref="AA1552">_xlfn.XLOOKUP(Table1[[#This Row],[5 cm2 cell test code]:[5 cm2 cell test code]],[1]!Table1[[Test code]:[Test code]],[1]!Table1[E @ 100 mA/cm2 DIW/V],"",0)</f>
        <v>#REF!</v>
      </c>
      <c r="AB1552" s="69" t="e" cm="1">
        <f t="array" ref="AB1552">_xlfn.XLOOKUP(Table1[[#This Row],[5 cm2 cell test code]:[5 cm2 cell test code]],[1]!Table1[[Test code]:[Test code]],[1]!Table1[E @ 100 mA/cm2 10 mM KOH/V],"",0)</f>
        <v>#REF!</v>
      </c>
      <c r="AC1552" s="69" t="e" cm="1">
        <f t="array" ref="AC1552">_xlfn.XLOOKUP(Table1[[#This Row],[5 cm2 cell test code]:[5 cm2 cell test code]],[1]!Table1[[Test code]:[Test code]],[1]!Table1[Anode ICR/mOhm],"",0)</f>
        <v>#REF!</v>
      </c>
      <c r="AD1552" s="69" t="e" cm="1">
        <f t="array" ref="AD1552">_xlfn.XLOOKUP(Table1[[#This Row],[5 cm2 cell test code]:[5 cm2 cell test code]],[1]!Table1[[Test code]:[Test code]],[1]!Table1[HFR DIW/ mOhm cm2],"",0)</f>
        <v>#REF!</v>
      </c>
      <c r="AE1552" s="69" t="e" cm="1">
        <f t="array" ref="AE1552">_xlfn.XLOOKUP(Table1[[#This Row],[5 cm2 cell test code]:[5 cm2 cell test code]],[1]!Table1[[Test code]:[Test code]],[1]!Table1[HFR 10 mM KOH/ mOhm cm2],"",0)</f>
        <v>#REF!</v>
      </c>
      <c r="AF1552" s="69" t="e" cm="1">
        <f t="array" ref="AF1552">_xlfn.XLOOKUP(Table1[[#This Row],[5 cm2 cell test code]:[5 cm2 cell test code]],[1]!Table1[[Test code]:[Test code]],[1]!Table1[Ionic resistance DIW/Ohm cm2],"",0)</f>
        <v>#REF!</v>
      </c>
      <c r="AG1552" s="69" t="e" cm="1">
        <f t="array" ref="AG1552">_xlfn.XLOOKUP(Table1[[#This Row],[5 cm2 cell test code]:[5 cm2 cell test code]],[1]!Table1[[Test code]:[Test code]],[1]!Table1[Q_int_frac DIW],"",0)</f>
        <v>#REF!</v>
      </c>
      <c r="AH1552" s="69" t="e" cm="1">
        <f t="array" ref="AH1552">_xlfn.XLOOKUP(Table1[[#This Row],[5 cm2 cell test code]:[5 cm2 cell test code]],[1]!Table1[[Test code]:[Test code]],[1]!Table1[Ionic resistance 10 mM KOH/Ohm cm2],"",0)</f>
        <v>#REF!</v>
      </c>
      <c r="AI1552" s="69" t="e" cm="1">
        <f t="array" ref="AI1552">_xlfn.XLOOKUP(Table1[[#This Row],[5 cm2 cell test code]:[5 cm2 cell test code]],[1]!Table1[[Test code]:[Test code]],[1]!Table1[Q_int_frac DIW 10 mM KOH],"",0)</f>
        <v>#REF!</v>
      </c>
      <c r="AJ1552" s="69" t="e" cm="1">
        <f t="array" ref="AJ1552">_xlfn.XLOOKUP(Table1[[#This Row],[5 cm2 cell test code]:[5 cm2 cell test code]],[1]!Table1[[Test code]:[Test code]],[1]!Table1[DIW conductivity (µS/cm)],"",0)</f>
        <v>#REF!</v>
      </c>
    </row>
    <row r="1553" spans="1:36">
      <c r="A1553" s="81"/>
      <c r="U1553" s="101"/>
      <c r="V1553" s="101"/>
      <c r="W1553" s="69" t="e" cm="1">
        <f t="array" ref="W1553">_xlfn.XLOOKUP(Table1[[#This Row],[5 cm2 cell test code]:[5 cm2 cell test code]],[1]!Table1[[Test code]:[Test code]],[1]!Table1[i @ 1.8 V DIW (A/cm2)],"",0)</f>
        <v>#REF!</v>
      </c>
      <c r="X1553" s="69" t="e" cm="1">
        <f t="array" ref="X1553">_xlfn.XLOOKUP(Table1[[#This Row],[5 cm2 cell test code]:[5 cm2 cell test code]],[1]!Table1[[Test code]:[Test code]],[1]!Table1[i @ 1.8 V 10 mM KOH (A/cm2)],"",0)</f>
        <v>#REF!</v>
      </c>
      <c r="Y1553" s="69" t="e" cm="1">
        <f t="array" ref="Y1553">_xlfn.XLOOKUP(Table1[[#This Row],[5 cm2 cell test code]:[5 cm2 cell test code]],[1]!Table1[[Test code]:[Test code]],[1]!Table1[3-E ƞ at 20mAcm-2 (mV)],"",0)</f>
        <v>#REF!</v>
      </c>
      <c r="Z1553" s="69" t="e" cm="1">
        <f t="array" ref="Z1553">_xlfn.XLOOKUP(Table1[[#This Row],[5 cm2 cell test code]:[5 cm2 cell test code]],[1]!Table1[[Test code]:[Test code]],[1]!Table1[3-E Tafel slope (mV/dec)],"",0)</f>
        <v>#REF!</v>
      </c>
      <c r="AA1553" s="69" t="e" cm="1">
        <f t="array" ref="AA1553">_xlfn.XLOOKUP(Table1[[#This Row],[5 cm2 cell test code]:[5 cm2 cell test code]],[1]!Table1[[Test code]:[Test code]],[1]!Table1[E @ 100 mA/cm2 DIW/V],"",0)</f>
        <v>#REF!</v>
      </c>
      <c r="AB1553" s="69" t="e" cm="1">
        <f t="array" ref="AB1553">_xlfn.XLOOKUP(Table1[[#This Row],[5 cm2 cell test code]:[5 cm2 cell test code]],[1]!Table1[[Test code]:[Test code]],[1]!Table1[E @ 100 mA/cm2 10 mM KOH/V],"",0)</f>
        <v>#REF!</v>
      </c>
      <c r="AC1553" s="69" t="e" cm="1">
        <f t="array" ref="AC1553">_xlfn.XLOOKUP(Table1[[#This Row],[5 cm2 cell test code]:[5 cm2 cell test code]],[1]!Table1[[Test code]:[Test code]],[1]!Table1[Anode ICR/mOhm],"",0)</f>
        <v>#REF!</v>
      </c>
      <c r="AD1553" s="69" t="e" cm="1">
        <f t="array" ref="AD1553">_xlfn.XLOOKUP(Table1[[#This Row],[5 cm2 cell test code]:[5 cm2 cell test code]],[1]!Table1[[Test code]:[Test code]],[1]!Table1[HFR DIW/ mOhm cm2],"",0)</f>
        <v>#REF!</v>
      </c>
      <c r="AE1553" s="69" t="e" cm="1">
        <f t="array" ref="AE1553">_xlfn.XLOOKUP(Table1[[#This Row],[5 cm2 cell test code]:[5 cm2 cell test code]],[1]!Table1[[Test code]:[Test code]],[1]!Table1[HFR 10 mM KOH/ mOhm cm2],"",0)</f>
        <v>#REF!</v>
      </c>
      <c r="AF1553" s="69" t="e" cm="1">
        <f t="array" ref="AF1553">_xlfn.XLOOKUP(Table1[[#This Row],[5 cm2 cell test code]:[5 cm2 cell test code]],[1]!Table1[[Test code]:[Test code]],[1]!Table1[Ionic resistance DIW/Ohm cm2],"",0)</f>
        <v>#REF!</v>
      </c>
      <c r="AG1553" s="69" t="e" cm="1">
        <f t="array" ref="AG1553">_xlfn.XLOOKUP(Table1[[#This Row],[5 cm2 cell test code]:[5 cm2 cell test code]],[1]!Table1[[Test code]:[Test code]],[1]!Table1[Q_int_frac DIW],"",0)</f>
        <v>#REF!</v>
      </c>
      <c r="AH1553" s="69" t="e" cm="1">
        <f t="array" ref="AH1553">_xlfn.XLOOKUP(Table1[[#This Row],[5 cm2 cell test code]:[5 cm2 cell test code]],[1]!Table1[[Test code]:[Test code]],[1]!Table1[Ionic resistance 10 mM KOH/Ohm cm2],"",0)</f>
        <v>#REF!</v>
      </c>
      <c r="AI1553" s="69" t="e" cm="1">
        <f t="array" ref="AI1553">_xlfn.XLOOKUP(Table1[[#This Row],[5 cm2 cell test code]:[5 cm2 cell test code]],[1]!Table1[[Test code]:[Test code]],[1]!Table1[Q_int_frac DIW 10 mM KOH],"",0)</f>
        <v>#REF!</v>
      </c>
      <c r="AJ1553" s="69" t="e" cm="1">
        <f t="array" ref="AJ1553">_xlfn.XLOOKUP(Table1[[#This Row],[5 cm2 cell test code]:[5 cm2 cell test code]],[1]!Table1[[Test code]:[Test code]],[1]!Table1[DIW conductivity (µS/cm)],"",0)</f>
        <v>#REF!</v>
      </c>
    </row>
    <row r="1554" spans="1:36">
      <c r="A1554" s="81"/>
      <c r="U1554" s="101"/>
      <c r="V1554" s="101"/>
      <c r="W1554" s="69" t="e" cm="1">
        <f t="array" ref="W1554">_xlfn.XLOOKUP(Table1[[#This Row],[5 cm2 cell test code]:[5 cm2 cell test code]],[1]!Table1[[Test code]:[Test code]],[1]!Table1[i @ 1.8 V DIW (A/cm2)],"",0)</f>
        <v>#REF!</v>
      </c>
      <c r="X1554" s="69" t="e" cm="1">
        <f t="array" ref="X1554">_xlfn.XLOOKUP(Table1[[#This Row],[5 cm2 cell test code]:[5 cm2 cell test code]],[1]!Table1[[Test code]:[Test code]],[1]!Table1[i @ 1.8 V 10 mM KOH (A/cm2)],"",0)</f>
        <v>#REF!</v>
      </c>
      <c r="Y1554" s="69" t="e" cm="1">
        <f t="array" ref="Y1554">_xlfn.XLOOKUP(Table1[[#This Row],[5 cm2 cell test code]:[5 cm2 cell test code]],[1]!Table1[[Test code]:[Test code]],[1]!Table1[3-E ƞ at 20mAcm-2 (mV)],"",0)</f>
        <v>#REF!</v>
      </c>
      <c r="Z1554" s="69" t="e" cm="1">
        <f t="array" ref="Z1554">_xlfn.XLOOKUP(Table1[[#This Row],[5 cm2 cell test code]:[5 cm2 cell test code]],[1]!Table1[[Test code]:[Test code]],[1]!Table1[3-E Tafel slope (mV/dec)],"",0)</f>
        <v>#REF!</v>
      </c>
      <c r="AA1554" s="69" t="e" cm="1">
        <f t="array" ref="AA1554">_xlfn.XLOOKUP(Table1[[#This Row],[5 cm2 cell test code]:[5 cm2 cell test code]],[1]!Table1[[Test code]:[Test code]],[1]!Table1[E @ 100 mA/cm2 DIW/V],"",0)</f>
        <v>#REF!</v>
      </c>
      <c r="AB1554" s="69" t="e" cm="1">
        <f t="array" ref="AB1554">_xlfn.XLOOKUP(Table1[[#This Row],[5 cm2 cell test code]:[5 cm2 cell test code]],[1]!Table1[[Test code]:[Test code]],[1]!Table1[E @ 100 mA/cm2 10 mM KOH/V],"",0)</f>
        <v>#REF!</v>
      </c>
      <c r="AC1554" s="69" t="e" cm="1">
        <f t="array" ref="AC1554">_xlfn.XLOOKUP(Table1[[#This Row],[5 cm2 cell test code]:[5 cm2 cell test code]],[1]!Table1[[Test code]:[Test code]],[1]!Table1[Anode ICR/mOhm],"",0)</f>
        <v>#REF!</v>
      </c>
      <c r="AD1554" s="69" t="e" cm="1">
        <f t="array" ref="AD1554">_xlfn.XLOOKUP(Table1[[#This Row],[5 cm2 cell test code]:[5 cm2 cell test code]],[1]!Table1[[Test code]:[Test code]],[1]!Table1[HFR DIW/ mOhm cm2],"",0)</f>
        <v>#REF!</v>
      </c>
      <c r="AE1554" s="69" t="e" cm="1">
        <f t="array" ref="AE1554">_xlfn.XLOOKUP(Table1[[#This Row],[5 cm2 cell test code]:[5 cm2 cell test code]],[1]!Table1[[Test code]:[Test code]],[1]!Table1[HFR 10 mM KOH/ mOhm cm2],"",0)</f>
        <v>#REF!</v>
      </c>
      <c r="AF1554" s="69" t="e" cm="1">
        <f t="array" ref="AF1554">_xlfn.XLOOKUP(Table1[[#This Row],[5 cm2 cell test code]:[5 cm2 cell test code]],[1]!Table1[[Test code]:[Test code]],[1]!Table1[Ionic resistance DIW/Ohm cm2],"",0)</f>
        <v>#REF!</v>
      </c>
      <c r="AG1554" s="69" t="e" cm="1">
        <f t="array" ref="AG1554">_xlfn.XLOOKUP(Table1[[#This Row],[5 cm2 cell test code]:[5 cm2 cell test code]],[1]!Table1[[Test code]:[Test code]],[1]!Table1[Q_int_frac DIW],"",0)</f>
        <v>#REF!</v>
      </c>
      <c r="AH1554" s="69" t="e" cm="1">
        <f t="array" ref="AH1554">_xlfn.XLOOKUP(Table1[[#This Row],[5 cm2 cell test code]:[5 cm2 cell test code]],[1]!Table1[[Test code]:[Test code]],[1]!Table1[Ionic resistance 10 mM KOH/Ohm cm2],"",0)</f>
        <v>#REF!</v>
      </c>
      <c r="AI1554" s="69" t="e" cm="1">
        <f t="array" ref="AI1554">_xlfn.XLOOKUP(Table1[[#This Row],[5 cm2 cell test code]:[5 cm2 cell test code]],[1]!Table1[[Test code]:[Test code]],[1]!Table1[Q_int_frac DIW 10 mM KOH],"",0)</f>
        <v>#REF!</v>
      </c>
      <c r="AJ1554" s="69" t="e" cm="1">
        <f t="array" ref="AJ1554">_xlfn.XLOOKUP(Table1[[#This Row],[5 cm2 cell test code]:[5 cm2 cell test code]],[1]!Table1[[Test code]:[Test code]],[1]!Table1[DIW conductivity (µS/cm)],"",0)</f>
        <v>#REF!</v>
      </c>
    </row>
    <row r="1555" spans="1:36">
      <c r="A1555" s="81"/>
      <c r="U1555" s="101"/>
      <c r="V1555" s="101"/>
      <c r="W1555" s="69" t="e" cm="1">
        <f t="array" ref="W1555">_xlfn.XLOOKUP(Table1[[#This Row],[5 cm2 cell test code]:[5 cm2 cell test code]],[1]!Table1[[Test code]:[Test code]],[1]!Table1[i @ 1.8 V DIW (A/cm2)],"",0)</f>
        <v>#REF!</v>
      </c>
      <c r="X1555" s="69" t="e" cm="1">
        <f t="array" ref="X1555">_xlfn.XLOOKUP(Table1[[#This Row],[5 cm2 cell test code]:[5 cm2 cell test code]],[1]!Table1[[Test code]:[Test code]],[1]!Table1[i @ 1.8 V 10 mM KOH (A/cm2)],"",0)</f>
        <v>#REF!</v>
      </c>
      <c r="Y1555" s="69" t="e" cm="1">
        <f t="array" ref="Y1555">_xlfn.XLOOKUP(Table1[[#This Row],[5 cm2 cell test code]:[5 cm2 cell test code]],[1]!Table1[[Test code]:[Test code]],[1]!Table1[3-E ƞ at 20mAcm-2 (mV)],"",0)</f>
        <v>#REF!</v>
      </c>
      <c r="Z1555" s="69" t="e" cm="1">
        <f t="array" ref="Z1555">_xlfn.XLOOKUP(Table1[[#This Row],[5 cm2 cell test code]:[5 cm2 cell test code]],[1]!Table1[[Test code]:[Test code]],[1]!Table1[3-E Tafel slope (mV/dec)],"",0)</f>
        <v>#REF!</v>
      </c>
      <c r="AA1555" s="69" t="e" cm="1">
        <f t="array" ref="AA1555">_xlfn.XLOOKUP(Table1[[#This Row],[5 cm2 cell test code]:[5 cm2 cell test code]],[1]!Table1[[Test code]:[Test code]],[1]!Table1[E @ 100 mA/cm2 DIW/V],"",0)</f>
        <v>#REF!</v>
      </c>
      <c r="AB1555" s="69" t="e" cm="1">
        <f t="array" ref="AB1555">_xlfn.XLOOKUP(Table1[[#This Row],[5 cm2 cell test code]:[5 cm2 cell test code]],[1]!Table1[[Test code]:[Test code]],[1]!Table1[E @ 100 mA/cm2 10 mM KOH/V],"",0)</f>
        <v>#REF!</v>
      </c>
      <c r="AC1555" s="69" t="e" cm="1">
        <f t="array" ref="AC1555">_xlfn.XLOOKUP(Table1[[#This Row],[5 cm2 cell test code]:[5 cm2 cell test code]],[1]!Table1[[Test code]:[Test code]],[1]!Table1[Anode ICR/mOhm],"",0)</f>
        <v>#REF!</v>
      </c>
      <c r="AD1555" s="69" t="e" cm="1">
        <f t="array" ref="AD1555">_xlfn.XLOOKUP(Table1[[#This Row],[5 cm2 cell test code]:[5 cm2 cell test code]],[1]!Table1[[Test code]:[Test code]],[1]!Table1[HFR DIW/ mOhm cm2],"",0)</f>
        <v>#REF!</v>
      </c>
      <c r="AE1555" s="69" t="e" cm="1">
        <f t="array" ref="AE1555">_xlfn.XLOOKUP(Table1[[#This Row],[5 cm2 cell test code]:[5 cm2 cell test code]],[1]!Table1[[Test code]:[Test code]],[1]!Table1[HFR 10 mM KOH/ mOhm cm2],"",0)</f>
        <v>#REF!</v>
      </c>
      <c r="AF1555" s="69" t="e" cm="1">
        <f t="array" ref="AF1555">_xlfn.XLOOKUP(Table1[[#This Row],[5 cm2 cell test code]:[5 cm2 cell test code]],[1]!Table1[[Test code]:[Test code]],[1]!Table1[Ionic resistance DIW/Ohm cm2],"",0)</f>
        <v>#REF!</v>
      </c>
      <c r="AG1555" s="69" t="e" cm="1">
        <f t="array" ref="AG1555">_xlfn.XLOOKUP(Table1[[#This Row],[5 cm2 cell test code]:[5 cm2 cell test code]],[1]!Table1[[Test code]:[Test code]],[1]!Table1[Q_int_frac DIW],"",0)</f>
        <v>#REF!</v>
      </c>
      <c r="AH1555" s="69" t="e" cm="1">
        <f t="array" ref="AH1555">_xlfn.XLOOKUP(Table1[[#This Row],[5 cm2 cell test code]:[5 cm2 cell test code]],[1]!Table1[[Test code]:[Test code]],[1]!Table1[Ionic resistance 10 mM KOH/Ohm cm2],"",0)</f>
        <v>#REF!</v>
      </c>
      <c r="AI1555" s="69" t="e" cm="1">
        <f t="array" ref="AI1555">_xlfn.XLOOKUP(Table1[[#This Row],[5 cm2 cell test code]:[5 cm2 cell test code]],[1]!Table1[[Test code]:[Test code]],[1]!Table1[Q_int_frac DIW 10 mM KOH],"",0)</f>
        <v>#REF!</v>
      </c>
      <c r="AJ1555" s="69" t="e" cm="1">
        <f t="array" ref="AJ1555">_xlfn.XLOOKUP(Table1[[#This Row],[5 cm2 cell test code]:[5 cm2 cell test code]],[1]!Table1[[Test code]:[Test code]],[1]!Table1[DIW conductivity (µS/cm)],"",0)</f>
        <v>#REF!</v>
      </c>
    </row>
    <row r="1556" spans="1:36">
      <c r="A1556" s="81"/>
      <c r="U1556" s="101"/>
      <c r="V1556" s="101"/>
      <c r="W1556" s="69" t="e" cm="1">
        <f t="array" ref="W1556">_xlfn.XLOOKUP(Table1[[#This Row],[5 cm2 cell test code]:[5 cm2 cell test code]],[1]!Table1[[Test code]:[Test code]],[1]!Table1[i @ 1.8 V DIW (A/cm2)],"",0)</f>
        <v>#REF!</v>
      </c>
      <c r="X1556" s="69" t="e" cm="1">
        <f t="array" ref="X1556">_xlfn.XLOOKUP(Table1[[#This Row],[5 cm2 cell test code]:[5 cm2 cell test code]],[1]!Table1[[Test code]:[Test code]],[1]!Table1[i @ 1.8 V 10 mM KOH (A/cm2)],"",0)</f>
        <v>#REF!</v>
      </c>
      <c r="Y1556" s="69" t="e" cm="1">
        <f t="array" ref="Y1556">_xlfn.XLOOKUP(Table1[[#This Row],[5 cm2 cell test code]:[5 cm2 cell test code]],[1]!Table1[[Test code]:[Test code]],[1]!Table1[3-E ƞ at 20mAcm-2 (mV)],"",0)</f>
        <v>#REF!</v>
      </c>
      <c r="Z1556" s="69" t="e" cm="1">
        <f t="array" ref="Z1556">_xlfn.XLOOKUP(Table1[[#This Row],[5 cm2 cell test code]:[5 cm2 cell test code]],[1]!Table1[[Test code]:[Test code]],[1]!Table1[3-E Tafel slope (mV/dec)],"",0)</f>
        <v>#REF!</v>
      </c>
      <c r="AA1556" s="69" t="e" cm="1">
        <f t="array" ref="AA1556">_xlfn.XLOOKUP(Table1[[#This Row],[5 cm2 cell test code]:[5 cm2 cell test code]],[1]!Table1[[Test code]:[Test code]],[1]!Table1[E @ 100 mA/cm2 DIW/V],"",0)</f>
        <v>#REF!</v>
      </c>
      <c r="AB1556" s="69" t="e" cm="1">
        <f t="array" ref="AB1556">_xlfn.XLOOKUP(Table1[[#This Row],[5 cm2 cell test code]:[5 cm2 cell test code]],[1]!Table1[[Test code]:[Test code]],[1]!Table1[E @ 100 mA/cm2 10 mM KOH/V],"",0)</f>
        <v>#REF!</v>
      </c>
      <c r="AC1556" s="69" t="e" cm="1">
        <f t="array" ref="AC1556">_xlfn.XLOOKUP(Table1[[#This Row],[5 cm2 cell test code]:[5 cm2 cell test code]],[1]!Table1[[Test code]:[Test code]],[1]!Table1[Anode ICR/mOhm],"",0)</f>
        <v>#REF!</v>
      </c>
      <c r="AD1556" s="69" t="e" cm="1">
        <f t="array" ref="AD1556">_xlfn.XLOOKUP(Table1[[#This Row],[5 cm2 cell test code]:[5 cm2 cell test code]],[1]!Table1[[Test code]:[Test code]],[1]!Table1[HFR DIW/ mOhm cm2],"",0)</f>
        <v>#REF!</v>
      </c>
      <c r="AE1556" s="69" t="e" cm="1">
        <f t="array" ref="AE1556">_xlfn.XLOOKUP(Table1[[#This Row],[5 cm2 cell test code]:[5 cm2 cell test code]],[1]!Table1[[Test code]:[Test code]],[1]!Table1[HFR 10 mM KOH/ mOhm cm2],"",0)</f>
        <v>#REF!</v>
      </c>
      <c r="AF1556" s="69" t="e" cm="1">
        <f t="array" ref="AF1556">_xlfn.XLOOKUP(Table1[[#This Row],[5 cm2 cell test code]:[5 cm2 cell test code]],[1]!Table1[[Test code]:[Test code]],[1]!Table1[Ionic resistance DIW/Ohm cm2],"",0)</f>
        <v>#REF!</v>
      </c>
      <c r="AG1556" s="69" t="e" cm="1">
        <f t="array" ref="AG1556">_xlfn.XLOOKUP(Table1[[#This Row],[5 cm2 cell test code]:[5 cm2 cell test code]],[1]!Table1[[Test code]:[Test code]],[1]!Table1[Q_int_frac DIW],"",0)</f>
        <v>#REF!</v>
      </c>
      <c r="AH1556" s="69" t="e" cm="1">
        <f t="array" ref="AH1556">_xlfn.XLOOKUP(Table1[[#This Row],[5 cm2 cell test code]:[5 cm2 cell test code]],[1]!Table1[[Test code]:[Test code]],[1]!Table1[Ionic resistance 10 mM KOH/Ohm cm2],"",0)</f>
        <v>#REF!</v>
      </c>
      <c r="AI1556" s="69" t="e" cm="1">
        <f t="array" ref="AI1556">_xlfn.XLOOKUP(Table1[[#This Row],[5 cm2 cell test code]:[5 cm2 cell test code]],[1]!Table1[[Test code]:[Test code]],[1]!Table1[Q_int_frac DIW 10 mM KOH],"",0)</f>
        <v>#REF!</v>
      </c>
      <c r="AJ1556" s="69" t="e" cm="1">
        <f t="array" ref="AJ1556">_xlfn.XLOOKUP(Table1[[#This Row],[5 cm2 cell test code]:[5 cm2 cell test code]],[1]!Table1[[Test code]:[Test code]],[1]!Table1[DIW conductivity (µS/cm)],"",0)</f>
        <v>#REF!</v>
      </c>
    </row>
    <row r="1557" spans="1:36">
      <c r="A1557" s="81"/>
      <c r="U1557" s="101"/>
      <c r="V1557" s="101"/>
      <c r="W1557" s="69" t="e" cm="1">
        <f t="array" ref="W1557">_xlfn.XLOOKUP(Table1[[#This Row],[5 cm2 cell test code]:[5 cm2 cell test code]],[1]!Table1[[Test code]:[Test code]],[1]!Table1[i @ 1.8 V DIW (A/cm2)],"",0)</f>
        <v>#REF!</v>
      </c>
      <c r="X1557" s="69" t="e" cm="1">
        <f t="array" ref="X1557">_xlfn.XLOOKUP(Table1[[#This Row],[5 cm2 cell test code]:[5 cm2 cell test code]],[1]!Table1[[Test code]:[Test code]],[1]!Table1[i @ 1.8 V 10 mM KOH (A/cm2)],"",0)</f>
        <v>#REF!</v>
      </c>
      <c r="Y1557" s="69" t="e" cm="1">
        <f t="array" ref="Y1557">_xlfn.XLOOKUP(Table1[[#This Row],[5 cm2 cell test code]:[5 cm2 cell test code]],[1]!Table1[[Test code]:[Test code]],[1]!Table1[3-E ƞ at 20mAcm-2 (mV)],"",0)</f>
        <v>#REF!</v>
      </c>
      <c r="Z1557" s="69" t="e" cm="1">
        <f t="array" ref="Z1557">_xlfn.XLOOKUP(Table1[[#This Row],[5 cm2 cell test code]:[5 cm2 cell test code]],[1]!Table1[[Test code]:[Test code]],[1]!Table1[3-E Tafel slope (mV/dec)],"",0)</f>
        <v>#REF!</v>
      </c>
      <c r="AA1557" s="69" t="e" cm="1">
        <f t="array" ref="AA1557">_xlfn.XLOOKUP(Table1[[#This Row],[5 cm2 cell test code]:[5 cm2 cell test code]],[1]!Table1[[Test code]:[Test code]],[1]!Table1[E @ 100 mA/cm2 DIW/V],"",0)</f>
        <v>#REF!</v>
      </c>
      <c r="AB1557" s="69" t="e" cm="1">
        <f t="array" ref="AB1557">_xlfn.XLOOKUP(Table1[[#This Row],[5 cm2 cell test code]:[5 cm2 cell test code]],[1]!Table1[[Test code]:[Test code]],[1]!Table1[E @ 100 mA/cm2 10 mM KOH/V],"",0)</f>
        <v>#REF!</v>
      </c>
      <c r="AC1557" s="69" t="e" cm="1">
        <f t="array" ref="AC1557">_xlfn.XLOOKUP(Table1[[#This Row],[5 cm2 cell test code]:[5 cm2 cell test code]],[1]!Table1[[Test code]:[Test code]],[1]!Table1[Anode ICR/mOhm],"",0)</f>
        <v>#REF!</v>
      </c>
      <c r="AD1557" s="69" t="e" cm="1">
        <f t="array" ref="AD1557">_xlfn.XLOOKUP(Table1[[#This Row],[5 cm2 cell test code]:[5 cm2 cell test code]],[1]!Table1[[Test code]:[Test code]],[1]!Table1[HFR DIW/ mOhm cm2],"",0)</f>
        <v>#REF!</v>
      </c>
      <c r="AE1557" s="69" t="e" cm="1">
        <f t="array" ref="AE1557">_xlfn.XLOOKUP(Table1[[#This Row],[5 cm2 cell test code]:[5 cm2 cell test code]],[1]!Table1[[Test code]:[Test code]],[1]!Table1[HFR 10 mM KOH/ mOhm cm2],"",0)</f>
        <v>#REF!</v>
      </c>
      <c r="AF1557" s="69" t="e" cm="1">
        <f t="array" ref="AF1557">_xlfn.XLOOKUP(Table1[[#This Row],[5 cm2 cell test code]:[5 cm2 cell test code]],[1]!Table1[[Test code]:[Test code]],[1]!Table1[Ionic resistance DIW/Ohm cm2],"",0)</f>
        <v>#REF!</v>
      </c>
      <c r="AG1557" s="69" t="e" cm="1">
        <f t="array" ref="AG1557">_xlfn.XLOOKUP(Table1[[#This Row],[5 cm2 cell test code]:[5 cm2 cell test code]],[1]!Table1[[Test code]:[Test code]],[1]!Table1[Q_int_frac DIW],"",0)</f>
        <v>#REF!</v>
      </c>
      <c r="AH1557" s="69" t="e" cm="1">
        <f t="array" ref="AH1557">_xlfn.XLOOKUP(Table1[[#This Row],[5 cm2 cell test code]:[5 cm2 cell test code]],[1]!Table1[[Test code]:[Test code]],[1]!Table1[Ionic resistance 10 mM KOH/Ohm cm2],"",0)</f>
        <v>#REF!</v>
      </c>
      <c r="AI1557" s="69" t="e" cm="1">
        <f t="array" ref="AI1557">_xlfn.XLOOKUP(Table1[[#This Row],[5 cm2 cell test code]:[5 cm2 cell test code]],[1]!Table1[[Test code]:[Test code]],[1]!Table1[Q_int_frac DIW 10 mM KOH],"",0)</f>
        <v>#REF!</v>
      </c>
      <c r="AJ1557" s="69" t="e" cm="1">
        <f t="array" ref="AJ1557">_xlfn.XLOOKUP(Table1[[#This Row],[5 cm2 cell test code]:[5 cm2 cell test code]],[1]!Table1[[Test code]:[Test code]],[1]!Table1[DIW conductivity (µS/cm)],"",0)</f>
        <v>#REF!</v>
      </c>
    </row>
    <row r="1558" spans="1:36">
      <c r="A1558" s="81"/>
      <c r="U1558" s="101"/>
      <c r="V1558" s="101"/>
      <c r="W1558" s="69" t="e" cm="1">
        <f t="array" ref="W1558">_xlfn.XLOOKUP(Table1[[#This Row],[5 cm2 cell test code]:[5 cm2 cell test code]],[1]!Table1[[Test code]:[Test code]],[1]!Table1[i @ 1.8 V DIW (A/cm2)],"",0)</f>
        <v>#REF!</v>
      </c>
      <c r="X1558" s="69" t="e" cm="1">
        <f t="array" ref="X1558">_xlfn.XLOOKUP(Table1[[#This Row],[5 cm2 cell test code]:[5 cm2 cell test code]],[1]!Table1[[Test code]:[Test code]],[1]!Table1[i @ 1.8 V 10 mM KOH (A/cm2)],"",0)</f>
        <v>#REF!</v>
      </c>
      <c r="Y1558" s="69" t="e" cm="1">
        <f t="array" ref="Y1558">_xlfn.XLOOKUP(Table1[[#This Row],[5 cm2 cell test code]:[5 cm2 cell test code]],[1]!Table1[[Test code]:[Test code]],[1]!Table1[3-E ƞ at 20mAcm-2 (mV)],"",0)</f>
        <v>#REF!</v>
      </c>
      <c r="Z1558" s="69" t="e" cm="1">
        <f t="array" ref="Z1558">_xlfn.XLOOKUP(Table1[[#This Row],[5 cm2 cell test code]:[5 cm2 cell test code]],[1]!Table1[[Test code]:[Test code]],[1]!Table1[3-E Tafel slope (mV/dec)],"",0)</f>
        <v>#REF!</v>
      </c>
      <c r="AA1558" s="69" t="e" cm="1">
        <f t="array" ref="AA1558">_xlfn.XLOOKUP(Table1[[#This Row],[5 cm2 cell test code]:[5 cm2 cell test code]],[1]!Table1[[Test code]:[Test code]],[1]!Table1[E @ 100 mA/cm2 DIW/V],"",0)</f>
        <v>#REF!</v>
      </c>
      <c r="AB1558" s="69" t="e" cm="1">
        <f t="array" ref="AB1558">_xlfn.XLOOKUP(Table1[[#This Row],[5 cm2 cell test code]:[5 cm2 cell test code]],[1]!Table1[[Test code]:[Test code]],[1]!Table1[E @ 100 mA/cm2 10 mM KOH/V],"",0)</f>
        <v>#REF!</v>
      </c>
      <c r="AC1558" s="69" t="e" cm="1">
        <f t="array" ref="AC1558">_xlfn.XLOOKUP(Table1[[#This Row],[5 cm2 cell test code]:[5 cm2 cell test code]],[1]!Table1[[Test code]:[Test code]],[1]!Table1[Anode ICR/mOhm],"",0)</f>
        <v>#REF!</v>
      </c>
      <c r="AD1558" s="69" t="e" cm="1">
        <f t="array" ref="AD1558">_xlfn.XLOOKUP(Table1[[#This Row],[5 cm2 cell test code]:[5 cm2 cell test code]],[1]!Table1[[Test code]:[Test code]],[1]!Table1[HFR DIW/ mOhm cm2],"",0)</f>
        <v>#REF!</v>
      </c>
      <c r="AE1558" s="69" t="e" cm="1">
        <f t="array" ref="AE1558">_xlfn.XLOOKUP(Table1[[#This Row],[5 cm2 cell test code]:[5 cm2 cell test code]],[1]!Table1[[Test code]:[Test code]],[1]!Table1[HFR 10 mM KOH/ mOhm cm2],"",0)</f>
        <v>#REF!</v>
      </c>
      <c r="AF1558" s="69" t="e" cm="1">
        <f t="array" ref="AF1558">_xlfn.XLOOKUP(Table1[[#This Row],[5 cm2 cell test code]:[5 cm2 cell test code]],[1]!Table1[[Test code]:[Test code]],[1]!Table1[Ionic resistance DIW/Ohm cm2],"",0)</f>
        <v>#REF!</v>
      </c>
      <c r="AG1558" s="69" t="e" cm="1">
        <f t="array" ref="AG1558">_xlfn.XLOOKUP(Table1[[#This Row],[5 cm2 cell test code]:[5 cm2 cell test code]],[1]!Table1[[Test code]:[Test code]],[1]!Table1[Q_int_frac DIW],"",0)</f>
        <v>#REF!</v>
      </c>
      <c r="AH1558" s="69" t="e" cm="1">
        <f t="array" ref="AH1558">_xlfn.XLOOKUP(Table1[[#This Row],[5 cm2 cell test code]:[5 cm2 cell test code]],[1]!Table1[[Test code]:[Test code]],[1]!Table1[Ionic resistance 10 mM KOH/Ohm cm2],"",0)</f>
        <v>#REF!</v>
      </c>
      <c r="AI1558" s="69" t="e" cm="1">
        <f t="array" ref="AI1558">_xlfn.XLOOKUP(Table1[[#This Row],[5 cm2 cell test code]:[5 cm2 cell test code]],[1]!Table1[[Test code]:[Test code]],[1]!Table1[Q_int_frac DIW 10 mM KOH],"",0)</f>
        <v>#REF!</v>
      </c>
      <c r="AJ1558" s="69" t="e" cm="1">
        <f t="array" ref="AJ1558">_xlfn.XLOOKUP(Table1[[#This Row],[5 cm2 cell test code]:[5 cm2 cell test code]],[1]!Table1[[Test code]:[Test code]],[1]!Table1[DIW conductivity (µS/cm)],"",0)</f>
        <v>#REF!</v>
      </c>
    </row>
    <row r="1559" spans="1:36">
      <c r="A1559" s="81"/>
      <c r="U1559" s="101"/>
      <c r="V1559" s="101"/>
      <c r="W1559" s="69" t="e" cm="1">
        <f t="array" ref="W1559">_xlfn.XLOOKUP(Table1[[#This Row],[5 cm2 cell test code]:[5 cm2 cell test code]],[1]!Table1[[Test code]:[Test code]],[1]!Table1[i @ 1.8 V DIW (A/cm2)],"",0)</f>
        <v>#REF!</v>
      </c>
      <c r="X1559" s="69" t="e" cm="1">
        <f t="array" ref="X1559">_xlfn.XLOOKUP(Table1[[#This Row],[5 cm2 cell test code]:[5 cm2 cell test code]],[1]!Table1[[Test code]:[Test code]],[1]!Table1[i @ 1.8 V 10 mM KOH (A/cm2)],"",0)</f>
        <v>#REF!</v>
      </c>
      <c r="Y1559" s="69" t="e" cm="1">
        <f t="array" ref="Y1559">_xlfn.XLOOKUP(Table1[[#This Row],[5 cm2 cell test code]:[5 cm2 cell test code]],[1]!Table1[[Test code]:[Test code]],[1]!Table1[3-E ƞ at 20mAcm-2 (mV)],"",0)</f>
        <v>#REF!</v>
      </c>
      <c r="Z1559" s="69" t="e" cm="1">
        <f t="array" ref="Z1559">_xlfn.XLOOKUP(Table1[[#This Row],[5 cm2 cell test code]:[5 cm2 cell test code]],[1]!Table1[[Test code]:[Test code]],[1]!Table1[3-E Tafel slope (mV/dec)],"",0)</f>
        <v>#REF!</v>
      </c>
      <c r="AA1559" s="69" t="e" cm="1">
        <f t="array" ref="AA1559">_xlfn.XLOOKUP(Table1[[#This Row],[5 cm2 cell test code]:[5 cm2 cell test code]],[1]!Table1[[Test code]:[Test code]],[1]!Table1[E @ 100 mA/cm2 DIW/V],"",0)</f>
        <v>#REF!</v>
      </c>
      <c r="AB1559" s="69" t="e" cm="1">
        <f t="array" ref="AB1559">_xlfn.XLOOKUP(Table1[[#This Row],[5 cm2 cell test code]:[5 cm2 cell test code]],[1]!Table1[[Test code]:[Test code]],[1]!Table1[E @ 100 mA/cm2 10 mM KOH/V],"",0)</f>
        <v>#REF!</v>
      </c>
      <c r="AC1559" s="69" t="e" cm="1">
        <f t="array" ref="AC1559">_xlfn.XLOOKUP(Table1[[#This Row],[5 cm2 cell test code]:[5 cm2 cell test code]],[1]!Table1[[Test code]:[Test code]],[1]!Table1[Anode ICR/mOhm],"",0)</f>
        <v>#REF!</v>
      </c>
      <c r="AD1559" s="69" t="e" cm="1">
        <f t="array" ref="AD1559">_xlfn.XLOOKUP(Table1[[#This Row],[5 cm2 cell test code]:[5 cm2 cell test code]],[1]!Table1[[Test code]:[Test code]],[1]!Table1[HFR DIW/ mOhm cm2],"",0)</f>
        <v>#REF!</v>
      </c>
      <c r="AE1559" s="69" t="e" cm="1">
        <f t="array" ref="AE1559">_xlfn.XLOOKUP(Table1[[#This Row],[5 cm2 cell test code]:[5 cm2 cell test code]],[1]!Table1[[Test code]:[Test code]],[1]!Table1[HFR 10 mM KOH/ mOhm cm2],"",0)</f>
        <v>#REF!</v>
      </c>
      <c r="AF1559" s="69" t="e" cm="1">
        <f t="array" ref="AF1559">_xlfn.XLOOKUP(Table1[[#This Row],[5 cm2 cell test code]:[5 cm2 cell test code]],[1]!Table1[[Test code]:[Test code]],[1]!Table1[Ionic resistance DIW/Ohm cm2],"",0)</f>
        <v>#REF!</v>
      </c>
      <c r="AG1559" s="69" t="e" cm="1">
        <f t="array" ref="AG1559">_xlfn.XLOOKUP(Table1[[#This Row],[5 cm2 cell test code]:[5 cm2 cell test code]],[1]!Table1[[Test code]:[Test code]],[1]!Table1[Q_int_frac DIW],"",0)</f>
        <v>#REF!</v>
      </c>
      <c r="AH1559" s="69" t="e" cm="1">
        <f t="array" ref="AH1559">_xlfn.XLOOKUP(Table1[[#This Row],[5 cm2 cell test code]:[5 cm2 cell test code]],[1]!Table1[[Test code]:[Test code]],[1]!Table1[Ionic resistance 10 mM KOH/Ohm cm2],"",0)</f>
        <v>#REF!</v>
      </c>
      <c r="AI1559" s="69" t="e" cm="1">
        <f t="array" ref="AI1559">_xlfn.XLOOKUP(Table1[[#This Row],[5 cm2 cell test code]:[5 cm2 cell test code]],[1]!Table1[[Test code]:[Test code]],[1]!Table1[Q_int_frac DIW 10 mM KOH],"",0)</f>
        <v>#REF!</v>
      </c>
      <c r="AJ1559" s="69" t="e" cm="1">
        <f t="array" ref="AJ1559">_xlfn.XLOOKUP(Table1[[#This Row],[5 cm2 cell test code]:[5 cm2 cell test code]],[1]!Table1[[Test code]:[Test code]],[1]!Table1[DIW conductivity (µS/cm)],"",0)</f>
        <v>#REF!</v>
      </c>
    </row>
    <row r="1560" spans="1:36">
      <c r="A1560" s="81"/>
      <c r="U1560" s="101"/>
      <c r="V1560" s="101"/>
      <c r="W1560" s="69" t="e" cm="1">
        <f t="array" ref="W1560">_xlfn.XLOOKUP(Table1[[#This Row],[5 cm2 cell test code]:[5 cm2 cell test code]],[1]!Table1[[Test code]:[Test code]],[1]!Table1[i @ 1.8 V DIW (A/cm2)],"",0)</f>
        <v>#REF!</v>
      </c>
      <c r="X1560" s="69" t="e" cm="1">
        <f t="array" ref="X1560">_xlfn.XLOOKUP(Table1[[#This Row],[5 cm2 cell test code]:[5 cm2 cell test code]],[1]!Table1[[Test code]:[Test code]],[1]!Table1[i @ 1.8 V 10 mM KOH (A/cm2)],"",0)</f>
        <v>#REF!</v>
      </c>
      <c r="Y1560" s="69" t="e" cm="1">
        <f t="array" ref="Y1560">_xlfn.XLOOKUP(Table1[[#This Row],[5 cm2 cell test code]:[5 cm2 cell test code]],[1]!Table1[[Test code]:[Test code]],[1]!Table1[3-E ƞ at 20mAcm-2 (mV)],"",0)</f>
        <v>#REF!</v>
      </c>
      <c r="Z1560" s="69" t="e" cm="1">
        <f t="array" ref="Z1560">_xlfn.XLOOKUP(Table1[[#This Row],[5 cm2 cell test code]:[5 cm2 cell test code]],[1]!Table1[[Test code]:[Test code]],[1]!Table1[3-E Tafel slope (mV/dec)],"",0)</f>
        <v>#REF!</v>
      </c>
      <c r="AA1560" s="69" t="e" cm="1">
        <f t="array" ref="AA1560">_xlfn.XLOOKUP(Table1[[#This Row],[5 cm2 cell test code]:[5 cm2 cell test code]],[1]!Table1[[Test code]:[Test code]],[1]!Table1[E @ 100 mA/cm2 DIW/V],"",0)</f>
        <v>#REF!</v>
      </c>
      <c r="AB1560" s="69" t="e" cm="1">
        <f t="array" ref="AB1560">_xlfn.XLOOKUP(Table1[[#This Row],[5 cm2 cell test code]:[5 cm2 cell test code]],[1]!Table1[[Test code]:[Test code]],[1]!Table1[E @ 100 mA/cm2 10 mM KOH/V],"",0)</f>
        <v>#REF!</v>
      </c>
      <c r="AC1560" s="69" t="e" cm="1">
        <f t="array" ref="AC1560">_xlfn.XLOOKUP(Table1[[#This Row],[5 cm2 cell test code]:[5 cm2 cell test code]],[1]!Table1[[Test code]:[Test code]],[1]!Table1[Anode ICR/mOhm],"",0)</f>
        <v>#REF!</v>
      </c>
      <c r="AD1560" s="69" t="e" cm="1">
        <f t="array" ref="AD1560">_xlfn.XLOOKUP(Table1[[#This Row],[5 cm2 cell test code]:[5 cm2 cell test code]],[1]!Table1[[Test code]:[Test code]],[1]!Table1[HFR DIW/ mOhm cm2],"",0)</f>
        <v>#REF!</v>
      </c>
      <c r="AE1560" s="69" t="e" cm="1">
        <f t="array" ref="AE1560">_xlfn.XLOOKUP(Table1[[#This Row],[5 cm2 cell test code]:[5 cm2 cell test code]],[1]!Table1[[Test code]:[Test code]],[1]!Table1[HFR 10 mM KOH/ mOhm cm2],"",0)</f>
        <v>#REF!</v>
      </c>
      <c r="AF1560" s="69" t="e" cm="1">
        <f t="array" ref="AF1560">_xlfn.XLOOKUP(Table1[[#This Row],[5 cm2 cell test code]:[5 cm2 cell test code]],[1]!Table1[[Test code]:[Test code]],[1]!Table1[Ionic resistance DIW/Ohm cm2],"",0)</f>
        <v>#REF!</v>
      </c>
      <c r="AG1560" s="69" t="e" cm="1">
        <f t="array" ref="AG1560">_xlfn.XLOOKUP(Table1[[#This Row],[5 cm2 cell test code]:[5 cm2 cell test code]],[1]!Table1[[Test code]:[Test code]],[1]!Table1[Q_int_frac DIW],"",0)</f>
        <v>#REF!</v>
      </c>
      <c r="AH1560" s="69" t="e" cm="1">
        <f t="array" ref="AH1560">_xlfn.XLOOKUP(Table1[[#This Row],[5 cm2 cell test code]:[5 cm2 cell test code]],[1]!Table1[[Test code]:[Test code]],[1]!Table1[Ionic resistance 10 mM KOH/Ohm cm2],"",0)</f>
        <v>#REF!</v>
      </c>
      <c r="AI1560" s="69" t="e" cm="1">
        <f t="array" ref="AI1560">_xlfn.XLOOKUP(Table1[[#This Row],[5 cm2 cell test code]:[5 cm2 cell test code]],[1]!Table1[[Test code]:[Test code]],[1]!Table1[Q_int_frac DIW 10 mM KOH],"",0)</f>
        <v>#REF!</v>
      </c>
      <c r="AJ1560" s="69" t="e" cm="1">
        <f t="array" ref="AJ1560">_xlfn.XLOOKUP(Table1[[#This Row],[5 cm2 cell test code]:[5 cm2 cell test code]],[1]!Table1[[Test code]:[Test code]],[1]!Table1[DIW conductivity (µS/cm)],"",0)</f>
        <v>#REF!</v>
      </c>
    </row>
    <row r="1561" spans="1:36">
      <c r="A1561" s="81"/>
      <c r="U1561" s="101"/>
      <c r="V1561" s="101"/>
      <c r="W1561" s="69" t="e" cm="1">
        <f t="array" ref="W1561">_xlfn.XLOOKUP(Table1[[#This Row],[5 cm2 cell test code]:[5 cm2 cell test code]],[1]!Table1[[Test code]:[Test code]],[1]!Table1[i @ 1.8 V DIW (A/cm2)],"",0)</f>
        <v>#REF!</v>
      </c>
      <c r="X1561" s="69" t="e" cm="1">
        <f t="array" ref="X1561">_xlfn.XLOOKUP(Table1[[#This Row],[5 cm2 cell test code]:[5 cm2 cell test code]],[1]!Table1[[Test code]:[Test code]],[1]!Table1[i @ 1.8 V 10 mM KOH (A/cm2)],"",0)</f>
        <v>#REF!</v>
      </c>
      <c r="Y1561" s="69" t="e" cm="1">
        <f t="array" ref="Y1561">_xlfn.XLOOKUP(Table1[[#This Row],[5 cm2 cell test code]:[5 cm2 cell test code]],[1]!Table1[[Test code]:[Test code]],[1]!Table1[3-E ƞ at 20mAcm-2 (mV)],"",0)</f>
        <v>#REF!</v>
      </c>
      <c r="Z1561" s="69" t="e" cm="1">
        <f t="array" ref="Z1561">_xlfn.XLOOKUP(Table1[[#This Row],[5 cm2 cell test code]:[5 cm2 cell test code]],[1]!Table1[[Test code]:[Test code]],[1]!Table1[3-E Tafel slope (mV/dec)],"",0)</f>
        <v>#REF!</v>
      </c>
      <c r="AA1561" s="69" t="e" cm="1">
        <f t="array" ref="AA1561">_xlfn.XLOOKUP(Table1[[#This Row],[5 cm2 cell test code]:[5 cm2 cell test code]],[1]!Table1[[Test code]:[Test code]],[1]!Table1[E @ 100 mA/cm2 DIW/V],"",0)</f>
        <v>#REF!</v>
      </c>
      <c r="AB1561" s="69" t="e" cm="1">
        <f t="array" ref="AB1561">_xlfn.XLOOKUP(Table1[[#This Row],[5 cm2 cell test code]:[5 cm2 cell test code]],[1]!Table1[[Test code]:[Test code]],[1]!Table1[E @ 100 mA/cm2 10 mM KOH/V],"",0)</f>
        <v>#REF!</v>
      </c>
      <c r="AC1561" s="69" t="e" cm="1">
        <f t="array" ref="AC1561">_xlfn.XLOOKUP(Table1[[#This Row],[5 cm2 cell test code]:[5 cm2 cell test code]],[1]!Table1[[Test code]:[Test code]],[1]!Table1[Anode ICR/mOhm],"",0)</f>
        <v>#REF!</v>
      </c>
      <c r="AD1561" s="69" t="e" cm="1">
        <f t="array" ref="AD1561">_xlfn.XLOOKUP(Table1[[#This Row],[5 cm2 cell test code]:[5 cm2 cell test code]],[1]!Table1[[Test code]:[Test code]],[1]!Table1[HFR DIW/ mOhm cm2],"",0)</f>
        <v>#REF!</v>
      </c>
      <c r="AE1561" s="69" t="e" cm="1">
        <f t="array" ref="AE1561">_xlfn.XLOOKUP(Table1[[#This Row],[5 cm2 cell test code]:[5 cm2 cell test code]],[1]!Table1[[Test code]:[Test code]],[1]!Table1[HFR 10 mM KOH/ mOhm cm2],"",0)</f>
        <v>#REF!</v>
      </c>
      <c r="AF1561" s="69" t="e" cm="1">
        <f t="array" ref="AF1561">_xlfn.XLOOKUP(Table1[[#This Row],[5 cm2 cell test code]:[5 cm2 cell test code]],[1]!Table1[[Test code]:[Test code]],[1]!Table1[Ionic resistance DIW/Ohm cm2],"",0)</f>
        <v>#REF!</v>
      </c>
      <c r="AG1561" s="69" t="e" cm="1">
        <f t="array" ref="AG1561">_xlfn.XLOOKUP(Table1[[#This Row],[5 cm2 cell test code]:[5 cm2 cell test code]],[1]!Table1[[Test code]:[Test code]],[1]!Table1[Q_int_frac DIW],"",0)</f>
        <v>#REF!</v>
      </c>
      <c r="AH1561" s="69" t="e" cm="1">
        <f t="array" ref="AH1561">_xlfn.XLOOKUP(Table1[[#This Row],[5 cm2 cell test code]:[5 cm2 cell test code]],[1]!Table1[[Test code]:[Test code]],[1]!Table1[Ionic resistance 10 mM KOH/Ohm cm2],"",0)</f>
        <v>#REF!</v>
      </c>
      <c r="AI1561" s="69" t="e" cm="1">
        <f t="array" ref="AI1561">_xlfn.XLOOKUP(Table1[[#This Row],[5 cm2 cell test code]:[5 cm2 cell test code]],[1]!Table1[[Test code]:[Test code]],[1]!Table1[Q_int_frac DIW 10 mM KOH],"",0)</f>
        <v>#REF!</v>
      </c>
      <c r="AJ1561" s="69" t="e" cm="1">
        <f t="array" ref="AJ1561">_xlfn.XLOOKUP(Table1[[#This Row],[5 cm2 cell test code]:[5 cm2 cell test code]],[1]!Table1[[Test code]:[Test code]],[1]!Table1[DIW conductivity (µS/cm)],"",0)</f>
        <v>#REF!</v>
      </c>
    </row>
    <row r="1562" spans="1:36">
      <c r="A1562" s="81"/>
      <c r="U1562" s="101"/>
      <c r="V1562" s="101"/>
      <c r="W1562" s="69" t="e" cm="1">
        <f t="array" ref="W1562">_xlfn.XLOOKUP(Table1[[#This Row],[5 cm2 cell test code]:[5 cm2 cell test code]],[1]!Table1[[Test code]:[Test code]],[1]!Table1[i @ 1.8 V DIW (A/cm2)],"",0)</f>
        <v>#REF!</v>
      </c>
      <c r="X1562" s="69" t="e" cm="1">
        <f t="array" ref="X1562">_xlfn.XLOOKUP(Table1[[#This Row],[5 cm2 cell test code]:[5 cm2 cell test code]],[1]!Table1[[Test code]:[Test code]],[1]!Table1[i @ 1.8 V 10 mM KOH (A/cm2)],"",0)</f>
        <v>#REF!</v>
      </c>
      <c r="Y1562" s="69" t="e" cm="1">
        <f t="array" ref="Y1562">_xlfn.XLOOKUP(Table1[[#This Row],[5 cm2 cell test code]:[5 cm2 cell test code]],[1]!Table1[[Test code]:[Test code]],[1]!Table1[3-E ƞ at 20mAcm-2 (mV)],"",0)</f>
        <v>#REF!</v>
      </c>
      <c r="Z1562" s="69" t="e" cm="1">
        <f t="array" ref="Z1562">_xlfn.XLOOKUP(Table1[[#This Row],[5 cm2 cell test code]:[5 cm2 cell test code]],[1]!Table1[[Test code]:[Test code]],[1]!Table1[3-E Tafel slope (mV/dec)],"",0)</f>
        <v>#REF!</v>
      </c>
      <c r="AA1562" s="69" t="e" cm="1">
        <f t="array" ref="AA1562">_xlfn.XLOOKUP(Table1[[#This Row],[5 cm2 cell test code]:[5 cm2 cell test code]],[1]!Table1[[Test code]:[Test code]],[1]!Table1[E @ 100 mA/cm2 DIW/V],"",0)</f>
        <v>#REF!</v>
      </c>
      <c r="AB1562" s="69" t="e" cm="1">
        <f t="array" ref="AB1562">_xlfn.XLOOKUP(Table1[[#This Row],[5 cm2 cell test code]:[5 cm2 cell test code]],[1]!Table1[[Test code]:[Test code]],[1]!Table1[E @ 100 mA/cm2 10 mM KOH/V],"",0)</f>
        <v>#REF!</v>
      </c>
      <c r="AC1562" s="69" t="e" cm="1">
        <f t="array" ref="AC1562">_xlfn.XLOOKUP(Table1[[#This Row],[5 cm2 cell test code]:[5 cm2 cell test code]],[1]!Table1[[Test code]:[Test code]],[1]!Table1[Anode ICR/mOhm],"",0)</f>
        <v>#REF!</v>
      </c>
      <c r="AD1562" s="69" t="e" cm="1">
        <f t="array" ref="AD1562">_xlfn.XLOOKUP(Table1[[#This Row],[5 cm2 cell test code]:[5 cm2 cell test code]],[1]!Table1[[Test code]:[Test code]],[1]!Table1[HFR DIW/ mOhm cm2],"",0)</f>
        <v>#REF!</v>
      </c>
      <c r="AE1562" s="69" t="e" cm="1">
        <f t="array" ref="AE1562">_xlfn.XLOOKUP(Table1[[#This Row],[5 cm2 cell test code]:[5 cm2 cell test code]],[1]!Table1[[Test code]:[Test code]],[1]!Table1[HFR 10 mM KOH/ mOhm cm2],"",0)</f>
        <v>#REF!</v>
      </c>
      <c r="AF1562" s="69" t="e" cm="1">
        <f t="array" ref="AF1562">_xlfn.XLOOKUP(Table1[[#This Row],[5 cm2 cell test code]:[5 cm2 cell test code]],[1]!Table1[[Test code]:[Test code]],[1]!Table1[Ionic resistance DIW/Ohm cm2],"",0)</f>
        <v>#REF!</v>
      </c>
      <c r="AG1562" s="69" t="e" cm="1">
        <f t="array" ref="AG1562">_xlfn.XLOOKUP(Table1[[#This Row],[5 cm2 cell test code]:[5 cm2 cell test code]],[1]!Table1[[Test code]:[Test code]],[1]!Table1[Q_int_frac DIW],"",0)</f>
        <v>#REF!</v>
      </c>
      <c r="AH1562" s="69" t="e" cm="1">
        <f t="array" ref="AH1562">_xlfn.XLOOKUP(Table1[[#This Row],[5 cm2 cell test code]:[5 cm2 cell test code]],[1]!Table1[[Test code]:[Test code]],[1]!Table1[Ionic resistance 10 mM KOH/Ohm cm2],"",0)</f>
        <v>#REF!</v>
      </c>
      <c r="AI1562" s="69" t="e" cm="1">
        <f t="array" ref="AI1562">_xlfn.XLOOKUP(Table1[[#This Row],[5 cm2 cell test code]:[5 cm2 cell test code]],[1]!Table1[[Test code]:[Test code]],[1]!Table1[Q_int_frac DIW 10 mM KOH],"",0)</f>
        <v>#REF!</v>
      </c>
      <c r="AJ1562" s="69" t="e" cm="1">
        <f t="array" ref="AJ1562">_xlfn.XLOOKUP(Table1[[#This Row],[5 cm2 cell test code]:[5 cm2 cell test code]],[1]!Table1[[Test code]:[Test code]],[1]!Table1[DIW conductivity (µS/cm)],"",0)</f>
        <v>#REF!</v>
      </c>
    </row>
    <row r="1563" spans="1:36">
      <c r="A1563" s="81"/>
      <c r="U1563" s="101"/>
      <c r="V1563" s="101"/>
      <c r="W1563" s="69" t="e" cm="1">
        <f t="array" ref="W1563">_xlfn.XLOOKUP(Table1[[#This Row],[5 cm2 cell test code]:[5 cm2 cell test code]],[1]!Table1[[Test code]:[Test code]],[1]!Table1[i @ 1.8 V DIW (A/cm2)],"",0)</f>
        <v>#REF!</v>
      </c>
      <c r="X1563" s="69" t="e" cm="1">
        <f t="array" ref="X1563">_xlfn.XLOOKUP(Table1[[#This Row],[5 cm2 cell test code]:[5 cm2 cell test code]],[1]!Table1[[Test code]:[Test code]],[1]!Table1[i @ 1.8 V 10 mM KOH (A/cm2)],"",0)</f>
        <v>#REF!</v>
      </c>
      <c r="Y1563" s="69" t="e" cm="1">
        <f t="array" ref="Y1563">_xlfn.XLOOKUP(Table1[[#This Row],[5 cm2 cell test code]:[5 cm2 cell test code]],[1]!Table1[[Test code]:[Test code]],[1]!Table1[3-E ƞ at 20mAcm-2 (mV)],"",0)</f>
        <v>#REF!</v>
      </c>
      <c r="Z1563" s="69" t="e" cm="1">
        <f t="array" ref="Z1563">_xlfn.XLOOKUP(Table1[[#This Row],[5 cm2 cell test code]:[5 cm2 cell test code]],[1]!Table1[[Test code]:[Test code]],[1]!Table1[3-E Tafel slope (mV/dec)],"",0)</f>
        <v>#REF!</v>
      </c>
      <c r="AA1563" s="69" t="e" cm="1">
        <f t="array" ref="AA1563">_xlfn.XLOOKUP(Table1[[#This Row],[5 cm2 cell test code]:[5 cm2 cell test code]],[1]!Table1[[Test code]:[Test code]],[1]!Table1[E @ 100 mA/cm2 DIW/V],"",0)</f>
        <v>#REF!</v>
      </c>
      <c r="AB1563" s="69" t="e" cm="1">
        <f t="array" ref="AB1563">_xlfn.XLOOKUP(Table1[[#This Row],[5 cm2 cell test code]:[5 cm2 cell test code]],[1]!Table1[[Test code]:[Test code]],[1]!Table1[E @ 100 mA/cm2 10 mM KOH/V],"",0)</f>
        <v>#REF!</v>
      </c>
      <c r="AC1563" s="69" t="e" cm="1">
        <f t="array" ref="AC1563">_xlfn.XLOOKUP(Table1[[#This Row],[5 cm2 cell test code]:[5 cm2 cell test code]],[1]!Table1[[Test code]:[Test code]],[1]!Table1[Anode ICR/mOhm],"",0)</f>
        <v>#REF!</v>
      </c>
      <c r="AD1563" s="69" t="e" cm="1">
        <f t="array" ref="AD1563">_xlfn.XLOOKUP(Table1[[#This Row],[5 cm2 cell test code]:[5 cm2 cell test code]],[1]!Table1[[Test code]:[Test code]],[1]!Table1[HFR DIW/ mOhm cm2],"",0)</f>
        <v>#REF!</v>
      </c>
      <c r="AE1563" s="69" t="e" cm="1">
        <f t="array" ref="AE1563">_xlfn.XLOOKUP(Table1[[#This Row],[5 cm2 cell test code]:[5 cm2 cell test code]],[1]!Table1[[Test code]:[Test code]],[1]!Table1[HFR 10 mM KOH/ mOhm cm2],"",0)</f>
        <v>#REF!</v>
      </c>
      <c r="AF1563" s="69" t="e" cm="1">
        <f t="array" ref="AF1563">_xlfn.XLOOKUP(Table1[[#This Row],[5 cm2 cell test code]:[5 cm2 cell test code]],[1]!Table1[[Test code]:[Test code]],[1]!Table1[Ionic resistance DIW/Ohm cm2],"",0)</f>
        <v>#REF!</v>
      </c>
      <c r="AG1563" s="69" t="e" cm="1">
        <f t="array" ref="AG1563">_xlfn.XLOOKUP(Table1[[#This Row],[5 cm2 cell test code]:[5 cm2 cell test code]],[1]!Table1[[Test code]:[Test code]],[1]!Table1[Q_int_frac DIW],"",0)</f>
        <v>#REF!</v>
      </c>
      <c r="AH1563" s="69" t="e" cm="1">
        <f t="array" ref="AH1563">_xlfn.XLOOKUP(Table1[[#This Row],[5 cm2 cell test code]:[5 cm2 cell test code]],[1]!Table1[[Test code]:[Test code]],[1]!Table1[Ionic resistance 10 mM KOH/Ohm cm2],"",0)</f>
        <v>#REF!</v>
      </c>
      <c r="AI1563" s="69" t="e" cm="1">
        <f t="array" ref="AI1563">_xlfn.XLOOKUP(Table1[[#This Row],[5 cm2 cell test code]:[5 cm2 cell test code]],[1]!Table1[[Test code]:[Test code]],[1]!Table1[Q_int_frac DIW 10 mM KOH],"",0)</f>
        <v>#REF!</v>
      </c>
      <c r="AJ1563" s="69" t="e" cm="1">
        <f t="array" ref="AJ1563">_xlfn.XLOOKUP(Table1[[#This Row],[5 cm2 cell test code]:[5 cm2 cell test code]],[1]!Table1[[Test code]:[Test code]],[1]!Table1[DIW conductivity (µS/cm)],"",0)</f>
        <v>#REF!</v>
      </c>
    </row>
    <row r="1564" spans="1:36">
      <c r="A1564" s="81"/>
      <c r="U1564" s="101"/>
      <c r="V1564" s="101"/>
      <c r="W1564" s="69" t="e" cm="1">
        <f t="array" ref="W1564">_xlfn.XLOOKUP(Table1[[#This Row],[5 cm2 cell test code]:[5 cm2 cell test code]],[1]!Table1[[Test code]:[Test code]],[1]!Table1[i @ 1.8 V DIW (A/cm2)],"",0)</f>
        <v>#REF!</v>
      </c>
      <c r="X1564" s="69" t="e" cm="1">
        <f t="array" ref="X1564">_xlfn.XLOOKUP(Table1[[#This Row],[5 cm2 cell test code]:[5 cm2 cell test code]],[1]!Table1[[Test code]:[Test code]],[1]!Table1[i @ 1.8 V 10 mM KOH (A/cm2)],"",0)</f>
        <v>#REF!</v>
      </c>
      <c r="Y1564" s="69" t="e" cm="1">
        <f t="array" ref="Y1564">_xlfn.XLOOKUP(Table1[[#This Row],[5 cm2 cell test code]:[5 cm2 cell test code]],[1]!Table1[[Test code]:[Test code]],[1]!Table1[3-E ƞ at 20mAcm-2 (mV)],"",0)</f>
        <v>#REF!</v>
      </c>
      <c r="Z1564" s="69" t="e" cm="1">
        <f t="array" ref="Z1564">_xlfn.XLOOKUP(Table1[[#This Row],[5 cm2 cell test code]:[5 cm2 cell test code]],[1]!Table1[[Test code]:[Test code]],[1]!Table1[3-E Tafel slope (mV/dec)],"",0)</f>
        <v>#REF!</v>
      </c>
      <c r="AA1564" s="69" t="e" cm="1">
        <f t="array" ref="AA1564">_xlfn.XLOOKUP(Table1[[#This Row],[5 cm2 cell test code]:[5 cm2 cell test code]],[1]!Table1[[Test code]:[Test code]],[1]!Table1[E @ 100 mA/cm2 DIW/V],"",0)</f>
        <v>#REF!</v>
      </c>
      <c r="AB1564" s="69" t="e" cm="1">
        <f t="array" ref="AB1564">_xlfn.XLOOKUP(Table1[[#This Row],[5 cm2 cell test code]:[5 cm2 cell test code]],[1]!Table1[[Test code]:[Test code]],[1]!Table1[E @ 100 mA/cm2 10 mM KOH/V],"",0)</f>
        <v>#REF!</v>
      </c>
      <c r="AC1564" s="69" t="e" cm="1">
        <f t="array" ref="AC1564">_xlfn.XLOOKUP(Table1[[#This Row],[5 cm2 cell test code]:[5 cm2 cell test code]],[1]!Table1[[Test code]:[Test code]],[1]!Table1[Anode ICR/mOhm],"",0)</f>
        <v>#REF!</v>
      </c>
      <c r="AD1564" s="69" t="e" cm="1">
        <f t="array" ref="AD1564">_xlfn.XLOOKUP(Table1[[#This Row],[5 cm2 cell test code]:[5 cm2 cell test code]],[1]!Table1[[Test code]:[Test code]],[1]!Table1[HFR DIW/ mOhm cm2],"",0)</f>
        <v>#REF!</v>
      </c>
      <c r="AE1564" s="69" t="e" cm="1">
        <f t="array" ref="AE1564">_xlfn.XLOOKUP(Table1[[#This Row],[5 cm2 cell test code]:[5 cm2 cell test code]],[1]!Table1[[Test code]:[Test code]],[1]!Table1[HFR 10 mM KOH/ mOhm cm2],"",0)</f>
        <v>#REF!</v>
      </c>
      <c r="AF1564" s="69" t="e" cm="1">
        <f t="array" ref="AF1564">_xlfn.XLOOKUP(Table1[[#This Row],[5 cm2 cell test code]:[5 cm2 cell test code]],[1]!Table1[[Test code]:[Test code]],[1]!Table1[Ionic resistance DIW/Ohm cm2],"",0)</f>
        <v>#REF!</v>
      </c>
      <c r="AG1564" s="69" t="e" cm="1">
        <f t="array" ref="AG1564">_xlfn.XLOOKUP(Table1[[#This Row],[5 cm2 cell test code]:[5 cm2 cell test code]],[1]!Table1[[Test code]:[Test code]],[1]!Table1[Q_int_frac DIW],"",0)</f>
        <v>#REF!</v>
      </c>
      <c r="AH1564" s="69" t="e" cm="1">
        <f t="array" ref="AH1564">_xlfn.XLOOKUP(Table1[[#This Row],[5 cm2 cell test code]:[5 cm2 cell test code]],[1]!Table1[[Test code]:[Test code]],[1]!Table1[Ionic resistance 10 mM KOH/Ohm cm2],"",0)</f>
        <v>#REF!</v>
      </c>
      <c r="AI1564" s="69" t="e" cm="1">
        <f t="array" ref="AI1564">_xlfn.XLOOKUP(Table1[[#This Row],[5 cm2 cell test code]:[5 cm2 cell test code]],[1]!Table1[[Test code]:[Test code]],[1]!Table1[Q_int_frac DIW 10 mM KOH],"",0)</f>
        <v>#REF!</v>
      </c>
      <c r="AJ1564" s="69" t="e" cm="1">
        <f t="array" ref="AJ1564">_xlfn.XLOOKUP(Table1[[#This Row],[5 cm2 cell test code]:[5 cm2 cell test code]],[1]!Table1[[Test code]:[Test code]],[1]!Table1[DIW conductivity (µS/cm)],"",0)</f>
        <v>#REF!</v>
      </c>
    </row>
    <row r="1565" spans="1:36">
      <c r="A1565" s="81"/>
      <c r="U1565" s="101"/>
      <c r="V1565" s="101"/>
      <c r="W1565" s="69" t="e" cm="1">
        <f t="array" ref="W1565">_xlfn.XLOOKUP(Table1[[#This Row],[5 cm2 cell test code]:[5 cm2 cell test code]],[1]!Table1[[Test code]:[Test code]],[1]!Table1[i @ 1.8 V DIW (A/cm2)],"",0)</f>
        <v>#REF!</v>
      </c>
      <c r="X1565" s="69" t="e" cm="1">
        <f t="array" ref="X1565">_xlfn.XLOOKUP(Table1[[#This Row],[5 cm2 cell test code]:[5 cm2 cell test code]],[1]!Table1[[Test code]:[Test code]],[1]!Table1[i @ 1.8 V 10 mM KOH (A/cm2)],"",0)</f>
        <v>#REF!</v>
      </c>
      <c r="Y1565" s="69" t="e" cm="1">
        <f t="array" ref="Y1565">_xlfn.XLOOKUP(Table1[[#This Row],[5 cm2 cell test code]:[5 cm2 cell test code]],[1]!Table1[[Test code]:[Test code]],[1]!Table1[3-E ƞ at 20mAcm-2 (mV)],"",0)</f>
        <v>#REF!</v>
      </c>
      <c r="Z1565" s="69" t="e" cm="1">
        <f t="array" ref="Z1565">_xlfn.XLOOKUP(Table1[[#This Row],[5 cm2 cell test code]:[5 cm2 cell test code]],[1]!Table1[[Test code]:[Test code]],[1]!Table1[3-E Tafel slope (mV/dec)],"",0)</f>
        <v>#REF!</v>
      </c>
      <c r="AA1565" s="69" t="e" cm="1">
        <f t="array" ref="AA1565">_xlfn.XLOOKUP(Table1[[#This Row],[5 cm2 cell test code]:[5 cm2 cell test code]],[1]!Table1[[Test code]:[Test code]],[1]!Table1[E @ 100 mA/cm2 DIW/V],"",0)</f>
        <v>#REF!</v>
      </c>
      <c r="AB1565" s="69" t="e" cm="1">
        <f t="array" ref="AB1565">_xlfn.XLOOKUP(Table1[[#This Row],[5 cm2 cell test code]:[5 cm2 cell test code]],[1]!Table1[[Test code]:[Test code]],[1]!Table1[E @ 100 mA/cm2 10 mM KOH/V],"",0)</f>
        <v>#REF!</v>
      </c>
      <c r="AC1565" s="69" t="e" cm="1">
        <f t="array" ref="AC1565">_xlfn.XLOOKUP(Table1[[#This Row],[5 cm2 cell test code]:[5 cm2 cell test code]],[1]!Table1[[Test code]:[Test code]],[1]!Table1[Anode ICR/mOhm],"",0)</f>
        <v>#REF!</v>
      </c>
      <c r="AD1565" s="69" t="e" cm="1">
        <f t="array" ref="AD1565">_xlfn.XLOOKUP(Table1[[#This Row],[5 cm2 cell test code]:[5 cm2 cell test code]],[1]!Table1[[Test code]:[Test code]],[1]!Table1[HFR DIW/ mOhm cm2],"",0)</f>
        <v>#REF!</v>
      </c>
      <c r="AE1565" s="69" t="e" cm="1">
        <f t="array" ref="AE1565">_xlfn.XLOOKUP(Table1[[#This Row],[5 cm2 cell test code]:[5 cm2 cell test code]],[1]!Table1[[Test code]:[Test code]],[1]!Table1[HFR 10 mM KOH/ mOhm cm2],"",0)</f>
        <v>#REF!</v>
      </c>
      <c r="AF1565" s="69" t="e" cm="1">
        <f t="array" ref="AF1565">_xlfn.XLOOKUP(Table1[[#This Row],[5 cm2 cell test code]:[5 cm2 cell test code]],[1]!Table1[[Test code]:[Test code]],[1]!Table1[Ionic resistance DIW/Ohm cm2],"",0)</f>
        <v>#REF!</v>
      </c>
      <c r="AG1565" s="69" t="e" cm="1">
        <f t="array" ref="AG1565">_xlfn.XLOOKUP(Table1[[#This Row],[5 cm2 cell test code]:[5 cm2 cell test code]],[1]!Table1[[Test code]:[Test code]],[1]!Table1[Q_int_frac DIW],"",0)</f>
        <v>#REF!</v>
      </c>
      <c r="AH1565" s="69" t="e" cm="1">
        <f t="array" ref="AH1565">_xlfn.XLOOKUP(Table1[[#This Row],[5 cm2 cell test code]:[5 cm2 cell test code]],[1]!Table1[[Test code]:[Test code]],[1]!Table1[Ionic resistance 10 mM KOH/Ohm cm2],"",0)</f>
        <v>#REF!</v>
      </c>
      <c r="AI1565" s="69" t="e" cm="1">
        <f t="array" ref="AI1565">_xlfn.XLOOKUP(Table1[[#This Row],[5 cm2 cell test code]:[5 cm2 cell test code]],[1]!Table1[[Test code]:[Test code]],[1]!Table1[Q_int_frac DIW 10 mM KOH],"",0)</f>
        <v>#REF!</v>
      </c>
      <c r="AJ1565" s="69" t="e" cm="1">
        <f t="array" ref="AJ1565">_xlfn.XLOOKUP(Table1[[#This Row],[5 cm2 cell test code]:[5 cm2 cell test code]],[1]!Table1[[Test code]:[Test code]],[1]!Table1[DIW conductivity (µS/cm)],"",0)</f>
        <v>#REF!</v>
      </c>
    </row>
    <row r="1566" spans="1:36">
      <c r="A1566" s="81"/>
      <c r="U1566" s="101"/>
      <c r="V1566" s="101"/>
      <c r="W1566" s="69" t="e" cm="1">
        <f t="array" ref="W1566">_xlfn.XLOOKUP(Table1[[#This Row],[5 cm2 cell test code]:[5 cm2 cell test code]],[1]!Table1[[Test code]:[Test code]],[1]!Table1[i @ 1.8 V DIW (A/cm2)],"",0)</f>
        <v>#REF!</v>
      </c>
      <c r="X1566" s="69" t="e" cm="1">
        <f t="array" ref="X1566">_xlfn.XLOOKUP(Table1[[#This Row],[5 cm2 cell test code]:[5 cm2 cell test code]],[1]!Table1[[Test code]:[Test code]],[1]!Table1[i @ 1.8 V 10 mM KOH (A/cm2)],"",0)</f>
        <v>#REF!</v>
      </c>
      <c r="Y1566" s="69" t="e" cm="1">
        <f t="array" ref="Y1566">_xlfn.XLOOKUP(Table1[[#This Row],[5 cm2 cell test code]:[5 cm2 cell test code]],[1]!Table1[[Test code]:[Test code]],[1]!Table1[3-E ƞ at 20mAcm-2 (mV)],"",0)</f>
        <v>#REF!</v>
      </c>
      <c r="Z1566" s="69" t="e" cm="1">
        <f t="array" ref="Z1566">_xlfn.XLOOKUP(Table1[[#This Row],[5 cm2 cell test code]:[5 cm2 cell test code]],[1]!Table1[[Test code]:[Test code]],[1]!Table1[3-E Tafel slope (mV/dec)],"",0)</f>
        <v>#REF!</v>
      </c>
      <c r="AA1566" s="69" t="e" cm="1">
        <f t="array" ref="AA1566">_xlfn.XLOOKUP(Table1[[#This Row],[5 cm2 cell test code]:[5 cm2 cell test code]],[1]!Table1[[Test code]:[Test code]],[1]!Table1[E @ 100 mA/cm2 DIW/V],"",0)</f>
        <v>#REF!</v>
      </c>
      <c r="AB1566" s="69" t="e" cm="1">
        <f t="array" ref="AB1566">_xlfn.XLOOKUP(Table1[[#This Row],[5 cm2 cell test code]:[5 cm2 cell test code]],[1]!Table1[[Test code]:[Test code]],[1]!Table1[E @ 100 mA/cm2 10 mM KOH/V],"",0)</f>
        <v>#REF!</v>
      </c>
      <c r="AC1566" s="69" t="e" cm="1">
        <f t="array" ref="AC1566">_xlfn.XLOOKUP(Table1[[#This Row],[5 cm2 cell test code]:[5 cm2 cell test code]],[1]!Table1[[Test code]:[Test code]],[1]!Table1[Anode ICR/mOhm],"",0)</f>
        <v>#REF!</v>
      </c>
      <c r="AD1566" s="69" t="e" cm="1">
        <f t="array" ref="AD1566">_xlfn.XLOOKUP(Table1[[#This Row],[5 cm2 cell test code]:[5 cm2 cell test code]],[1]!Table1[[Test code]:[Test code]],[1]!Table1[HFR DIW/ mOhm cm2],"",0)</f>
        <v>#REF!</v>
      </c>
      <c r="AE1566" s="69" t="e" cm="1">
        <f t="array" ref="AE1566">_xlfn.XLOOKUP(Table1[[#This Row],[5 cm2 cell test code]:[5 cm2 cell test code]],[1]!Table1[[Test code]:[Test code]],[1]!Table1[HFR 10 mM KOH/ mOhm cm2],"",0)</f>
        <v>#REF!</v>
      </c>
      <c r="AF1566" s="69" t="e" cm="1">
        <f t="array" ref="AF1566">_xlfn.XLOOKUP(Table1[[#This Row],[5 cm2 cell test code]:[5 cm2 cell test code]],[1]!Table1[[Test code]:[Test code]],[1]!Table1[Ionic resistance DIW/Ohm cm2],"",0)</f>
        <v>#REF!</v>
      </c>
      <c r="AG1566" s="69" t="e" cm="1">
        <f t="array" ref="AG1566">_xlfn.XLOOKUP(Table1[[#This Row],[5 cm2 cell test code]:[5 cm2 cell test code]],[1]!Table1[[Test code]:[Test code]],[1]!Table1[Q_int_frac DIW],"",0)</f>
        <v>#REF!</v>
      </c>
      <c r="AH1566" s="69" t="e" cm="1">
        <f t="array" ref="AH1566">_xlfn.XLOOKUP(Table1[[#This Row],[5 cm2 cell test code]:[5 cm2 cell test code]],[1]!Table1[[Test code]:[Test code]],[1]!Table1[Ionic resistance 10 mM KOH/Ohm cm2],"",0)</f>
        <v>#REF!</v>
      </c>
      <c r="AI1566" s="69" t="e" cm="1">
        <f t="array" ref="AI1566">_xlfn.XLOOKUP(Table1[[#This Row],[5 cm2 cell test code]:[5 cm2 cell test code]],[1]!Table1[[Test code]:[Test code]],[1]!Table1[Q_int_frac DIW 10 mM KOH],"",0)</f>
        <v>#REF!</v>
      </c>
      <c r="AJ1566" s="69" t="e" cm="1">
        <f t="array" ref="AJ1566">_xlfn.XLOOKUP(Table1[[#This Row],[5 cm2 cell test code]:[5 cm2 cell test code]],[1]!Table1[[Test code]:[Test code]],[1]!Table1[DIW conductivity (µS/cm)],"",0)</f>
        <v>#REF!</v>
      </c>
    </row>
    <row r="1567" spans="1:36">
      <c r="A1567" s="81"/>
      <c r="U1567" s="101"/>
      <c r="V1567" s="101"/>
      <c r="W1567" s="69" t="e" cm="1">
        <f t="array" ref="W1567">_xlfn.XLOOKUP(Table1[[#This Row],[5 cm2 cell test code]:[5 cm2 cell test code]],[1]!Table1[[Test code]:[Test code]],[1]!Table1[i @ 1.8 V DIW (A/cm2)],"",0)</f>
        <v>#REF!</v>
      </c>
      <c r="X1567" s="69" t="e" cm="1">
        <f t="array" ref="X1567">_xlfn.XLOOKUP(Table1[[#This Row],[5 cm2 cell test code]:[5 cm2 cell test code]],[1]!Table1[[Test code]:[Test code]],[1]!Table1[i @ 1.8 V 10 mM KOH (A/cm2)],"",0)</f>
        <v>#REF!</v>
      </c>
      <c r="Y1567" s="69" t="e" cm="1">
        <f t="array" ref="Y1567">_xlfn.XLOOKUP(Table1[[#This Row],[5 cm2 cell test code]:[5 cm2 cell test code]],[1]!Table1[[Test code]:[Test code]],[1]!Table1[3-E ƞ at 20mAcm-2 (mV)],"",0)</f>
        <v>#REF!</v>
      </c>
      <c r="Z1567" s="69" t="e" cm="1">
        <f t="array" ref="Z1567">_xlfn.XLOOKUP(Table1[[#This Row],[5 cm2 cell test code]:[5 cm2 cell test code]],[1]!Table1[[Test code]:[Test code]],[1]!Table1[3-E Tafel slope (mV/dec)],"",0)</f>
        <v>#REF!</v>
      </c>
      <c r="AA1567" s="69" t="e" cm="1">
        <f t="array" ref="AA1567">_xlfn.XLOOKUP(Table1[[#This Row],[5 cm2 cell test code]:[5 cm2 cell test code]],[1]!Table1[[Test code]:[Test code]],[1]!Table1[E @ 100 mA/cm2 DIW/V],"",0)</f>
        <v>#REF!</v>
      </c>
      <c r="AB1567" s="69" t="e" cm="1">
        <f t="array" ref="AB1567">_xlfn.XLOOKUP(Table1[[#This Row],[5 cm2 cell test code]:[5 cm2 cell test code]],[1]!Table1[[Test code]:[Test code]],[1]!Table1[E @ 100 mA/cm2 10 mM KOH/V],"",0)</f>
        <v>#REF!</v>
      </c>
      <c r="AC1567" s="69" t="e" cm="1">
        <f t="array" ref="AC1567">_xlfn.XLOOKUP(Table1[[#This Row],[5 cm2 cell test code]:[5 cm2 cell test code]],[1]!Table1[[Test code]:[Test code]],[1]!Table1[Anode ICR/mOhm],"",0)</f>
        <v>#REF!</v>
      </c>
      <c r="AD1567" s="69" t="e" cm="1">
        <f t="array" ref="AD1567">_xlfn.XLOOKUP(Table1[[#This Row],[5 cm2 cell test code]:[5 cm2 cell test code]],[1]!Table1[[Test code]:[Test code]],[1]!Table1[HFR DIW/ mOhm cm2],"",0)</f>
        <v>#REF!</v>
      </c>
      <c r="AE1567" s="69" t="e" cm="1">
        <f t="array" ref="AE1567">_xlfn.XLOOKUP(Table1[[#This Row],[5 cm2 cell test code]:[5 cm2 cell test code]],[1]!Table1[[Test code]:[Test code]],[1]!Table1[HFR 10 mM KOH/ mOhm cm2],"",0)</f>
        <v>#REF!</v>
      </c>
      <c r="AF1567" s="69" t="e" cm="1">
        <f t="array" ref="AF1567">_xlfn.XLOOKUP(Table1[[#This Row],[5 cm2 cell test code]:[5 cm2 cell test code]],[1]!Table1[[Test code]:[Test code]],[1]!Table1[Ionic resistance DIW/Ohm cm2],"",0)</f>
        <v>#REF!</v>
      </c>
      <c r="AG1567" s="69" t="e" cm="1">
        <f t="array" ref="AG1567">_xlfn.XLOOKUP(Table1[[#This Row],[5 cm2 cell test code]:[5 cm2 cell test code]],[1]!Table1[[Test code]:[Test code]],[1]!Table1[Q_int_frac DIW],"",0)</f>
        <v>#REF!</v>
      </c>
      <c r="AH1567" s="69" t="e" cm="1">
        <f t="array" ref="AH1567">_xlfn.XLOOKUP(Table1[[#This Row],[5 cm2 cell test code]:[5 cm2 cell test code]],[1]!Table1[[Test code]:[Test code]],[1]!Table1[Ionic resistance 10 mM KOH/Ohm cm2],"",0)</f>
        <v>#REF!</v>
      </c>
      <c r="AI1567" s="69" t="e" cm="1">
        <f t="array" ref="AI1567">_xlfn.XLOOKUP(Table1[[#This Row],[5 cm2 cell test code]:[5 cm2 cell test code]],[1]!Table1[[Test code]:[Test code]],[1]!Table1[Q_int_frac DIW 10 mM KOH],"",0)</f>
        <v>#REF!</v>
      </c>
      <c r="AJ1567" s="69" t="e" cm="1">
        <f t="array" ref="AJ1567">_xlfn.XLOOKUP(Table1[[#This Row],[5 cm2 cell test code]:[5 cm2 cell test code]],[1]!Table1[[Test code]:[Test code]],[1]!Table1[DIW conductivity (µS/cm)],"",0)</f>
        <v>#REF!</v>
      </c>
    </row>
    <row r="1568" spans="1:36">
      <c r="A1568" s="81"/>
      <c r="U1568" s="101"/>
      <c r="V1568" s="101"/>
      <c r="W1568" s="69" t="e" cm="1">
        <f t="array" ref="W1568">_xlfn.XLOOKUP(Table1[[#This Row],[5 cm2 cell test code]:[5 cm2 cell test code]],[1]!Table1[[Test code]:[Test code]],[1]!Table1[i @ 1.8 V DIW (A/cm2)],"",0)</f>
        <v>#REF!</v>
      </c>
      <c r="X1568" s="69" t="e" cm="1">
        <f t="array" ref="X1568">_xlfn.XLOOKUP(Table1[[#This Row],[5 cm2 cell test code]:[5 cm2 cell test code]],[1]!Table1[[Test code]:[Test code]],[1]!Table1[i @ 1.8 V 10 mM KOH (A/cm2)],"",0)</f>
        <v>#REF!</v>
      </c>
      <c r="Y1568" s="69" t="e" cm="1">
        <f t="array" ref="Y1568">_xlfn.XLOOKUP(Table1[[#This Row],[5 cm2 cell test code]:[5 cm2 cell test code]],[1]!Table1[[Test code]:[Test code]],[1]!Table1[3-E ƞ at 20mAcm-2 (mV)],"",0)</f>
        <v>#REF!</v>
      </c>
      <c r="Z1568" s="69" t="e" cm="1">
        <f t="array" ref="Z1568">_xlfn.XLOOKUP(Table1[[#This Row],[5 cm2 cell test code]:[5 cm2 cell test code]],[1]!Table1[[Test code]:[Test code]],[1]!Table1[3-E Tafel slope (mV/dec)],"",0)</f>
        <v>#REF!</v>
      </c>
      <c r="AA1568" s="69" t="e" cm="1">
        <f t="array" ref="AA1568">_xlfn.XLOOKUP(Table1[[#This Row],[5 cm2 cell test code]:[5 cm2 cell test code]],[1]!Table1[[Test code]:[Test code]],[1]!Table1[E @ 100 mA/cm2 DIW/V],"",0)</f>
        <v>#REF!</v>
      </c>
      <c r="AB1568" s="69" t="e" cm="1">
        <f t="array" ref="AB1568">_xlfn.XLOOKUP(Table1[[#This Row],[5 cm2 cell test code]:[5 cm2 cell test code]],[1]!Table1[[Test code]:[Test code]],[1]!Table1[E @ 100 mA/cm2 10 mM KOH/V],"",0)</f>
        <v>#REF!</v>
      </c>
      <c r="AC1568" s="69" t="e" cm="1">
        <f t="array" ref="AC1568">_xlfn.XLOOKUP(Table1[[#This Row],[5 cm2 cell test code]:[5 cm2 cell test code]],[1]!Table1[[Test code]:[Test code]],[1]!Table1[Anode ICR/mOhm],"",0)</f>
        <v>#REF!</v>
      </c>
      <c r="AD1568" s="69" t="e" cm="1">
        <f t="array" ref="AD1568">_xlfn.XLOOKUP(Table1[[#This Row],[5 cm2 cell test code]:[5 cm2 cell test code]],[1]!Table1[[Test code]:[Test code]],[1]!Table1[HFR DIW/ mOhm cm2],"",0)</f>
        <v>#REF!</v>
      </c>
      <c r="AE1568" s="69" t="e" cm="1">
        <f t="array" ref="AE1568">_xlfn.XLOOKUP(Table1[[#This Row],[5 cm2 cell test code]:[5 cm2 cell test code]],[1]!Table1[[Test code]:[Test code]],[1]!Table1[HFR 10 mM KOH/ mOhm cm2],"",0)</f>
        <v>#REF!</v>
      </c>
      <c r="AF1568" s="69" t="e" cm="1">
        <f t="array" ref="AF1568">_xlfn.XLOOKUP(Table1[[#This Row],[5 cm2 cell test code]:[5 cm2 cell test code]],[1]!Table1[[Test code]:[Test code]],[1]!Table1[Ionic resistance DIW/Ohm cm2],"",0)</f>
        <v>#REF!</v>
      </c>
      <c r="AG1568" s="69" t="e" cm="1">
        <f t="array" ref="AG1568">_xlfn.XLOOKUP(Table1[[#This Row],[5 cm2 cell test code]:[5 cm2 cell test code]],[1]!Table1[[Test code]:[Test code]],[1]!Table1[Q_int_frac DIW],"",0)</f>
        <v>#REF!</v>
      </c>
      <c r="AH1568" s="69" t="e" cm="1">
        <f t="array" ref="AH1568">_xlfn.XLOOKUP(Table1[[#This Row],[5 cm2 cell test code]:[5 cm2 cell test code]],[1]!Table1[[Test code]:[Test code]],[1]!Table1[Ionic resistance 10 mM KOH/Ohm cm2],"",0)</f>
        <v>#REF!</v>
      </c>
      <c r="AI1568" s="69" t="e" cm="1">
        <f t="array" ref="AI1568">_xlfn.XLOOKUP(Table1[[#This Row],[5 cm2 cell test code]:[5 cm2 cell test code]],[1]!Table1[[Test code]:[Test code]],[1]!Table1[Q_int_frac DIW 10 mM KOH],"",0)</f>
        <v>#REF!</v>
      </c>
      <c r="AJ1568" s="69" t="e" cm="1">
        <f t="array" ref="AJ1568">_xlfn.XLOOKUP(Table1[[#This Row],[5 cm2 cell test code]:[5 cm2 cell test code]],[1]!Table1[[Test code]:[Test code]],[1]!Table1[DIW conductivity (µS/cm)],"",0)</f>
        <v>#REF!</v>
      </c>
    </row>
    <row r="1569" spans="1:36">
      <c r="A1569" s="81"/>
      <c r="U1569" s="101"/>
      <c r="V1569" s="101"/>
      <c r="W1569" s="69" t="e" cm="1">
        <f t="array" ref="W1569">_xlfn.XLOOKUP(Table1[[#This Row],[5 cm2 cell test code]:[5 cm2 cell test code]],[1]!Table1[[Test code]:[Test code]],[1]!Table1[i @ 1.8 V DIW (A/cm2)],"",0)</f>
        <v>#REF!</v>
      </c>
      <c r="X1569" s="69" t="e" cm="1">
        <f t="array" ref="X1569">_xlfn.XLOOKUP(Table1[[#This Row],[5 cm2 cell test code]:[5 cm2 cell test code]],[1]!Table1[[Test code]:[Test code]],[1]!Table1[i @ 1.8 V 10 mM KOH (A/cm2)],"",0)</f>
        <v>#REF!</v>
      </c>
      <c r="Y1569" s="69" t="e" cm="1">
        <f t="array" ref="Y1569">_xlfn.XLOOKUP(Table1[[#This Row],[5 cm2 cell test code]:[5 cm2 cell test code]],[1]!Table1[[Test code]:[Test code]],[1]!Table1[3-E ƞ at 20mAcm-2 (mV)],"",0)</f>
        <v>#REF!</v>
      </c>
      <c r="Z1569" s="69" t="e" cm="1">
        <f t="array" ref="Z1569">_xlfn.XLOOKUP(Table1[[#This Row],[5 cm2 cell test code]:[5 cm2 cell test code]],[1]!Table1[[Test code]:[Test code]],[1]!Table1[3-E Tafel slope (mV/dec)],"",0)</f>
        <v>#REF!</v>
      </c>
      <c r="AA1569" s="69" t="e" cm="1">
        <f t="array" ref="AA1569">_xlfn.XLOOKUP(Table1[[#This Row],[5 cm2 cell test code]:[5 cm2 cell test code]],[1]!Table1[[Test code]:[Test code]],[1]!Table1[E @ 100 mA/cm2 DIW/V],"",0)</f>
        <v>#REF!</v>
      </c>
      <c r="AB1569" s="69" t="e" cm="1">
        <f t="array" ref="AB1569">_xlfn.XLOOKUP(Table1[[#This Row],[5 cm2 cell test code]:[5 cm2 cell test code]],[1]!Table1[[Test code]:[Test code]],[1]!Table1[E @ 100 mA/cm2 10 mM KOH/V],"",0)</f>
        <v>#REF!</v>
      </c>
      <c r="AC1569" s="69" t="e" cm="1">
        <f t="array" ref="AC1569">_xlfn.XLOOKUP(Table1[[#This Row],[5 cm2 cell test code]:[5 cm2 cell test code]],[1]!Table1[[Test code]:[Test code]],[1]!Table1[Anode ICR/mOhm],"",0)</f>
        <v>#REF!</v>
      </c>
      <c r="AD1569" s="69" t="e" cm="1">
        <f t="array" ref="AD1569">_xlfn.XLOOKUP(Table1[[#This Row],[5 cm2 cell test code]:[5 cm2 cell test code]],[1]!Table1[[Test code]:[Test code]],[1]!Table1[HFR DIW/ mOhm cm2],"",0)</f>
        <v>#REF!</v>
      </c>
      <c r="AE1569" s="69" t="e" cm="1">
        <f t="array" ref="AE1569">_xlfn.XLOOKUP(Table1[[#This Row],[5 cm2 cell test code]:[5 cm2 cell test code]],[1]!Table1[[Test code]:[Test code]],[1]!Table1[HFR 10 mM KOH/ mOhm cm2],"",0)</f>
        <v>#REF!</v>
      </c>
      <c r="AF1569" s="69" t="e" cm="1">
        <f t="array" ref="AF1569">_xlfn.XLOOKUP(Table1[[#This Row],[5 cm2 cell test code]:[5 cm2 cell test code]],[1]!Table1[[Test code]:[Test code]],[1]!Table1[Ionic resistance DIW/Ohm cm2],"",0)</f>
        <v>#REF!</v>
      </c>
      <c r="AG1569" s="69" t="e" cm="1">
        <f t="array" ref="AG1569">_xlfn.XLOOKUP(Table1[[#This Row],[5 cm2 cell test code]:[5 cm2 cell test code]],[1]!Table1[[Test code]:[Test code]],[1]!Table1[Q_int_frac DIW],"",0)</f>
        <v>#REF!</v>
      </c>
      <c r="AH1569" s="69" t="e" cm="1">
        <f t="array" ref="AH1569">_xlfn.XLOOKUP(Table1[[#This Row],[5 cm2 cell test code]:[5 cm2 cell test code]],[1]!Table1[[Test code]:[Test code]],[1]!Table1[Ionic resistance 10 mM KOH/Ohm cm2],"",0)</f>
        <v>#REF!</v>
      </c>
      <c r="AI1569" s="69" t="e" cm="1">
        <f t="array" ref="AI1569">_xlfn.XLOOKUP(Table1[[#This Row],[5 cm2 cell test code]:[5 cm2 cell test code]],[1]!Table1[[Test code]:[Test code]],[1]!Table1[Q_int_frac DIW 10 mM KOH],"",0)</f>
        <v>#REF!</v>
      </c>
      <c r="AJ1569" s="69" t="e" cm="1">
        <f t="array" ref="AJ1569">_xlfn.XLOOKUP(Table1[[#This Row],[5 cm2 cell test code]:[5 cm2 cell test code]],[1]!Table1[[Test code]:[Test code]],[1]!Table1[DIW conductivity (µS/cm)],"",0)</f>
        <v>#REF!</v>
      </c>
    </row>
    <row r="1570" spans="1:36">
      <c r="A1570" s="81"/>
      <c r="U1570" s="101"/>
      <c r="V1570" s="101"/>
      <c r="W1570" s="69" t="e" cm="1">
        <f t="array" ref="W1570">_xlfn.XLOOKUP(Table1[[#This Row],[5 cm2 cell test code]:[5 cm2 cell test code]],[1]!Table1[[Test code]:[Test code]],[1]!Table1[i @ 1.8 V DIW (A/cm2)],"",0)</f>
        <v>#REF!</v>
      </c>
      <c r="X1570" s="69" t="e" cm="1">
        <f t="array" ref="X1570">_xlfn.XLOOKUP(Table1[[#This Row],[5 cm2 cell test code]:[5 cm2 cell test code]],[1]!Table1[[Test code]:[Test code]],[1]!Table1[i @ 1.8 V 10 mM KOH (A/cm2)],"",0)</f>
        <v>#REF!</v>
      </c>
      <c r="Y1570" s="69" t="e" cm="1">
        <f t="array" ref="Y1570">_xlfn.XLOOKUP(Table1[[#This Row],[5 cm2 cell test code]:[5 cm2 cell test code]],[1]!Table1[[Test code]:[Test code]],[1]!Table1[3-E ƞ at 20mAcm-2 (mV)],"",0)</f>
        <v>#REF!</v>
      </c>
      <c r="Z1570" s="69" t="e" cm="1">
        <f t="array" ref="Z1570">_xlfn.XLOOKUP(Table1[[#This Row],[5 cm2 cell test code]:[5 cm2 cell test code]],[1]!Table1[[Test code]:[Test code]],[1]!Table1[3-E Tafel slope (mV/dec)],"",0)</f>
        <v>#REF!</v>
      </c>
      <c r="AA1570" s="69" t="e" cm="1">
        <f t="array" ref="AA1570">_xlfn.XLOOKUP(Table1[[#This Row],[5 cm2 cell test code]:[5 cm2 cell test code]],[1]!Table1[[Test code]:[Test code]],[1]!Table1[E @ 100 mA/cm2 DIW/V],"",0)</f>
        <v>#REF!</v>
      </c>
      <c r="AB1570" s="69" t="e" cm="1">
        <f t="array" ref="AB1570">_xlfn.XLOOKUP(Table1[[#This Row],[5 cm2 cell test code]:[5 cm2 cell test code]],[1]!Table1[[Test code]:[Test code]],[1]!Table1[E @ 100 mA/cm2 10 mM KOH/V],"",0)</f>
        <v>#REF!</v>
      </c>
      <c r="AC1570" s="69" t="e" cm="1">
        <f t="array" ref="AC1570">_xlfn.XLOOKUP(Table1[[#This Row],[5 cm2 cell test code]:[5 cm2 cell test code]],[1]!Table1[[Test code]:[Test code]],[1]!Table1[Anode ICR/mOhm],"",0)</f>
        <v>#REF!</v>
      </c>
      <c r="AD1570" s="69" t="e" cm="1">
        <f t="array" ref="AD1570">_xlfn.XLOOKUP(Table1[[#This Row],[5 cm2 cell test code]:[5 cm2 cell test code]],[1]!Table1[[Test code]:[Test code]],[1]!Table1[HFR DIW/ mOhm cm2],"",0)</f>
        <v>#REF!</v>
      </c>
      <c r="AE1570" s="69" t="e" cm="1">
        <f t="array" ref="AE1570">_xlfn.XLOOKUP(Table1[[#This Row],[5 cm2 cell test code]:[5 cm2 cell test code]],[1]!Table1[[Test code]:[Test code]],[1]!Table1[HFR 10 mM KOH/ mOhm cm2],"",0)</f>
        <v>#REF!</v>
      </c>
      <c r="AF1570" s="69" t="e" cm="1">
        <f t="array" ref="AF1570">_xlfn.XLOOKUP(Table1[[#This Row],[5 cm2 cell test code]:[5 cm2 cell test code]],[1]!Table1[[Test code]:[Test code]],[1]!Table1[Ionic resistance DIW/Ohm cm2],"",0)</f>
        <v>#REF!</v>
      </c>
      <c r="AG1570" s="69" t="e" cm="1">
        <f t="array" ref="AG1570">_xlfn.XLOOKUP(Table1[[#This Row],[5 cm2 cell test code]:[5 cm2 cell test code]],[1]!Table1[[Test code]:[Test code]],[1]!Table1[Q_int_frac DIW],"",0)</f>
        <v>#REF!</v>
      </c>
      <c r="AH1570" s="69" t="e" cm="1">
        <f t="array" ref="AH1570">_xlfn.XLOOKUP(Table1[[#This Row],[5 cm2 cell test code]:[5 cm2 cell test code]],[1]!Table1[[Test code]:[Test code]],[1]!Table1[Ionic resistance 10 mM KOH/Ohm cm2],"",0)</f>
        <v>#REF!</v>
      </c>
      <c r="AI1570" s="69" t="e" cm="1">
        <f t="array" ref="AI1570">_xlfn.XLOOKUP(Table1[[#This Row],[5 cm2 cell test code]:[5 cm2 cell test code]],[1]!Table1[[Test code]:[Test code]],[1]!Table1[Q_int_frac DIW 10 mM KOH],"",0)</f>
        <v>#REF!</v>
      </c>
      <c r="AJ1570" s="69" t="e" cm="1">
        <f t="array" ref="AJ1570">_xlfn.XLOOKUP(Table1[[#This Row],[5 cm2 cell test code]:[5 cm2 cell test code]],[1]!Table1[[Test code]:[Test code]],[1]!Table1[DIW conductivity (µS/cm)],"",0)</f>
        <v>#REF!</v>
      </c>
    </row>
    <row r="1571" spans="1:36">
      <c r="A1571" s="81"/>
      <c r="U1571" s="101"/>
      <c r="V1571" s="101"/>
      <c r="W1571" s="69" t="e" cm="1">
        <f t="array" ref="W1571">_xlfn.XLOOKUP(Table1[[#This Row],[5 cm2 cell test code]:[5 cm2 cell test code]],[1]!Table1[[Test code]:[Test code]],[1]!Table1[i @ 1.8 V DIW (A/cm2)],"",0)</f>
        <v>#REF!</v>
      </c>
      <c r="X1571" s="69" t="e" cm="1">
        <f t="array" ref="X1571">_xlfn.XLOOKUP(Table1[[#This Row],[5 cm2 cell test code]:[5 cm2 cell test code]],[1]!Table1[[Test code]:[Test code]],[1]!Table1[i @ 1.8 V 10 mM KOH (A/cm2)],"",0)</f>
        <v>#REF!</v>
      </c>
      <c r="Y1571" s="69" t="e" cm="1">
        <f t="array" ref="Y1571">_xlfn.XLOOKUP(Table1[[#This Row],[5 cm2 cell test code]:[5 cm2 cell test code]],[1]!Table1[[Test code]:[Test code]],[1]!Table1[3-E ƞ at 20mAcm-2 (mV)],"",0)</f>
        <v>#REF!</v>
      </c>
      <c r="Z1571" s="69" t="e" cm="1">
        <f t="array" ref="Z1571">_xlfn.XLOOKUP(Table1[[#This Row],[5 cm2 cell test code]:[5 cm2 cell test code]],[1]!Table1[[Test code]:[Test code]],[1]!Table1[3-E Tafel slope (mV/dec)],"",0)</f>
        <v>#REF!</v>
      </c>
      <c r="AA1571" s="69" t="e" cm="1">
        <f t="array" ref="AA1571">_xlfn.XLOOKUP(Table1[[#This Row],[5 cm2 cell test code]:[5 cm2 cell test code]],[1]!Table1[[Test code]:[Test code]],[1]!Table1[E @ 100 mA/cm2 DIW/V],"",0)</f>
        <v>#REF!</v>
      </c>
      <c r="AB1571" s="69" t="e" cm="1">
        <f t="array" ref="AB1571">_xlfn.XLOOKUP(Table1[[#This Row],[5 cm2 cell test code]:[5 cm2 cell test code]],[1]!Table1[[Test code]:[Test code]],[1]!Table1[E @ 100 mA/cm2 10 mM KOH/V],"",0)</f>
        <v>#REF!</v>
      </c>
      <c r="AC1571" s="69" t="e" cm="1">
        <f t="array" ref="AC1571">_xlfn.XLOOKUP(Table1[[#This Row],[5 cm2 cell test code]:[5 cm2 cell test code]],[1]!Table1[[Test code]:[Test code]],[1]!Table1[Anode ICR/mOhm],"",0)</f>
        <v>#REF!</v>
      </c>
      <c r="AD1571" s="69" t="e" cm="1">
        <f t="array" ref="AD1571">_xlfn.XLOOKUP(Table1[[#This Row],[5 cm2 cell test code]:[5 cm2 cell test code]],[1]!Table1[[Test code]:[Test code]],[1]!Table1[HFR DIW/ mOhm cm2],"",0)</f>
        <v>#REF!</v>
      </c>
      <c r="AE1571" s="69" t="e" cm="1">
        <f t="array" ref="AE1571">_xlfn.XLOOKUP(Table1[[#This Row],[5 cm2 cell test code]:[5 cm2 cell test code]],[1]!Table1[[Test code]:[Test code]],[1]!Table1[HFR 10 mM KOH/ mOhm cm2],"",0)</f>
        <v>#REF!</v>
      </c>
      <c r="AF1571" s="69" t="e" cm="1">
        <f t="array" ref="AF1571">_xlfn.XLOOKUP(Table1[[#This Row],[5 cm2 cell test code]:[5 cm2 cell test code]],[1]!Table1[[Test code]:[Test code]],[1]!Table1[Ionic resistance DIW/Ohm cm2],"",0)</f>
        <v>#REF!</v>
      </c>
      <c r="AG1571" s="69" t="e" cm="1">
        <f t="array" ref="AG1571">_xlfn.XLOOKUP(Table1[[#This Row],[5 cm2 cell test code]:[5 cm2 cell test code]],[1]!Table1[[Test code]:[Test code]],[1]!Table1[Q_int_frac DIW],"",0)</f>
        <v>#REF!</v>
      </c>
      <c r="AH1571" s="69" t="e" cm="1">
        <f t="array" ref="AH1571">_xlfn.XLOOKUP(Table1[[#This Row],[5 cm2 cell test code]:[5 cm2 cell test code]],[1]!Table1[[Test code]:[Test code]],[1]!Table1[Ionic resistance 10 mM KOH/Ohm cm2],"",0)</f>
        <v>#REF!</v>
      </c>
      <c r="AI1571" s="69" t="e" cm="1">
        <f t="array" ref="AI1571">_xlfn.XLOOKUP(Table1[[#This Row],[5 cm2 cell test code]:[5 cm2 cell test code]],[1]!Table1[[Test code]:[Test code]],[1]!Table1[Q_int_frac DIW 10 mM KOH],"",0)</f>
        <v>#REF!</v>
      </c>
      <c r="AJ1571" s="69" t="e" cm="1">
        <f t="array" ref="AJ1571">_xlfn.XLOOKUP(Table1[[#This Row],[5 cm2 cell test code]:[5 cm2 cell test code]],[1]!Table1[[Test code]:[Test code]],[1]!Table1[DIW conductivity (µS/cm)],"",0)</f>
        <v>#REF!</v>
      </c>
    </row>
    <row r="1572" spans="1:36">
      <c r="A1572" s="81"/>
      <c r="U1572" s="101"/>
      <c r="V1572" s="101"/>
      <c r="W1572" s="69" t="e" cm="1">
        <f t="array" ref="W1572">_xlfn.XLOOKUP(Table1[[#This Row],[5 cm2 cell test code]:[5 cm2 cell test code]],[1]!Table1[[Test code]:[Test code]],[1]!Table1[i @ 1.8 V DIW (A/cm2)],"",0)</f>
        <v>#REF!</v>
      </c>
      <c r="X1572" s="69" t="e" cm="1">
        <f t="array" ref="X1572">_xlfn.XLOOKUP(Table1[[#This Row],[5 cm2 cell test code]:[5 cm2 cell test code]],[1]!Table1[[Test code]:[Test code]],[1]!Table1[i @ 1.8 V 10 mM KOH (A/cm2)],"",0)</f>
        <v>#REF!</v>
      </c>
      <c r="Y1572" s="69" t="e" cm="1">
        <f t="array" ref="Y1572">_xlfn.XLOOKUP(Table1[[#This Row],[5 cm2 cell test code]:[5 cm2 cell test code]],[1]!Table1[[Test code]:[Test code]],[1]!Table1[3-E ƞ at 20mAcm-2 (mV)],"",0)</f>
        <v>#REF!</v>
      </c>
      <c r="Z1572" s="69" t="e" cm="1">
        <f t="array" ref="Z1572">_xlfn.XLOOKUP(Table1[[#This Row],[5 cm2 cell test code]:[5 cm2 cell test code]],[1]!Table1[[Test code]:[Test code]],[1]!Table1[3-E Tafel slope (mV/dec)],"",0)</f>
        <v>#REF!</v>
      </c>
      <c r="AA1572" s="69" t="e" cm="1">
        <f t="array" ref="AA1572">_xlfn.XLOOKUP(Table1[[#This Row],[5 cm2 cell test code]:[5 cm2 cell test code]],[1]!Table1[[Test code]:[Test code]],[1]!Table1[E @ 100 mA/cm2 DIW/V],"",0)</f>
        <v>#REF!</v>
      </c>
      <c r="AB1572" s="69" t="e" cm="1">
        <f t="array" ref="AB1572">_xlfn.XLOOKUP(Table1[[#This Row],[5 cm2 cell test code]:[5 cm2 cell test code]],[1]!Table1[[Test code]:[Test code]],[1]!Table1[E @ 100 mA/cm2 10 mM KOH/V],"",0)</f>
        <v>#REF!</v>
      </c>
      <c r="AC1572" s="69" t="e" cm="1">
        <f t="array" ref="AC1572">_xlfn.XLOOKUP(Table1[[#This Row],[5 cm2 cell test code]:[5 cm2 cell test code]],[1]!Table1[[Test code]:[Test code]],[1]!Table1[Anode ICR/mOhm],"",0)</f>
        <v>#REF!</v>
      </c>
      <c r="AD1572" s="69" t="e" cm="1">
        <f t="array" ref="AD1572">_xlfn.XLOOKUP(Table1[[#This Row],[5 cm2 cell test code]:[5 cm2 cell test code]],[1]!Table1[[Test code]:[Test code]],[1]!Table1[HFR DIW/ mOhm cm2],"",0)</f>
        <v>#REF!</v>
      </c>
      <c r="AE1572" s="69" t="e" cm="1">
        <f t="array" ref="AE1572">_xlfn.XLOOKUP(Table1[[#This Row],[5 cm2 cell test code]:[5 cm2 cell test code]],[1]!Table1[[Test code]:[Test code]],[1]!Table1[HFR 10 mM KOH/ mOhm cm2],"",0)</f>
        <v>#REF!</v>
      </c>
      <c r="AF1572" s="69" t="e" cm="1">
        <f t="array" ref="AF1572">_xlfn.XLOOKUP(Table1[[#This Row],[5 cm2 cell test code]:[5 cm2 cell test code]],[1]!Table1[[Test code]:[Test code]],[1]!Table1[Ionic resistance DIW/Ohm cm2],"",0)</f>
        <v>#REF!</v>
      </c>
      <c r="AG1572" s="69" t="e" cm="1">
        <f t="array" ref="AG1572">_xlfn.XLOOKUP(Table1[[#This Row],[5 cm2 cell test code]:[5 cm2 cell test code]],[1]!Table1[[Test code]:[Test code]],[1]!Table1[Q_int_frac DIW],"",0)</f>
        <v>#REF!</v>
      </c>
      <c r="AH1572" s="69" t="e" cm="1">
        <f t="array" ref="AH1572">_xlfn.XLOOKUP(Table1[[#This Row],[5 cm2 cell test code]:[5 cm2 cell test code]],[1]!Table1[[Test code]:[Test code]],[1]!Table1[Ionic resistance 10 mM KOH/Ohm cm2],"",0)</f>
        <v>#REF!</v>
      </c>
      <c r="AI1572" s="69" t="e" cm="1">
        <f t="array" ref="AI1572">_xlfn.XLOOKUP(Table1[[#This Row],[5 cm2 cell test code]:[5 cm2 cell test code]],[1]!Table1[[Test code]:[Test code]],[1]!Table1[Q_int_frac DIW 10 mM KOH],"",0)</f>
        <v>#REF!</v>
      </c>
      <c r="AJ1572" s="69" t="e" cm="1">
        <f t="array" ref="AJ1572">_xlfn.XLOOKUP(Table1[[#This Row],[5 cm2 cell test code]:[5 cm2 cell test code]],[1]!Table1[[Test code]:[Test code]],[1]!Table1[DIW conductivity (µS/cm)],"",0)</f>
        <v>#REF!</v>
      </c>
    </row>
    <row r="1573" spans="1:36">
      <c r="A1573" s="81"/>
      <c r="U1573" s="101"/>
      <c r="V1573" s="101"/>
      <c r="W1573" s="69" t="e" cm="1">
        <f t="array" ref="W1573">_xlfn.XLOOKUP(Table1[[#This Row],[5 cm2 cell test code]:[5 cm2 cell test code]],[1]!Table1[[Test code]:[Test code]],[1]!Table1[i @ 1.8 V DIW (A/cm2)],"",0)</f>
        <v>#REF!</v>
      </c>
      <c r="X1573" s="69" t="e" cm="1">
        <f t="array" ref="X1573">_xlfn.XLOOKUP(Table1[[#This Row],[5 cm2 cell test code]:[5 cm2 cell test code]],[1]!Table1[[Test code]:[Test code]],[1]!Table1[i @ 1.8 V 10 mM KOH (A/cm2)],"",0)</f>
        <v>#REF!</v>
      </c>
      <c r="Y1573" s="69" t="e" cm="1">
        <f t="array" ref="Y1573">_xlfn.XLOOKUP(Table1[[#This Row],[5 cm2 cell test code]:[5 cm2 cell test code]],[1]!Table1[[Test code]:[Test code]],[1]!Table1[3-E ƞ at 20mAcm-2 (mV)],"",0)</f>
        <v>#REF!</v>
      </c>
      <c r="Z1573" s="69" t="e" cm="1">
        <f t="array" ref="Z1573">_xlfn.XLOOKUP(Table1[[#This Row],[5 cm2 cell test code]:[5 cm2 cell test code]],[1]!Table1[[Test code]:[Test code]],[1]!Table1[3-E Tafel slope (mV/dec)],"",0)</f>
        <v>#REF!</v>
      </c>
      <c r="AA1573" s="69" t="e" cm="1">
        <f t="array" ref="AA1573">_xlfn.XLOOKUP(Table1[[#This Row],[5 cm2 cell test code]:[5 cm2 cell test code]],[1]!Table1[[Test code]:[Test code]],[1]!Table1[E @ 100 mA/cm2 DIW/V],"",0)</f>
        <v>#REF!</v>
      </c>
      <c r="AB1573" s="69" t="e" cm="1">
        <f t="array" ref="AB1573">_xlfn.XLOOKUP(Table1[[#This Row],[5 cm2 cell test code]:[5 cm2 cell test code]],[1]!Table1[[Test code]:[Test code]],[1]!Table1[E @ 100 mA/cm2 10 mM KOH/V],"",0)</f>
        <v>#REF!</v>
      </c>
      <c r="AC1573" s="69" t="e" cm="1">
        <f t="array" ref="AC1573">_xlfn.XLOOKUP(Table1[[#This Row],[5 cm2 cell test code]:[5 cm2 cell test code]],[1]!Table1[[Test code]:[Test code]],[1]!Table1[Anode ICR/mOhm],"",0)</f>
        <v>#REF!</v>
      </c>
      <c r="AD1573" s="69" t="e" cm="1">
        <f t="array" ref="AD1573">_xlfn.XLOOKUP(Table1[[#This Row],[5 cm2 cell test code]:[5 cm2 cell test code]],[1]!Table1[[Test code]:[Test code]],[1]!Table1[HFR DIW/ mOhm cm2],"",0)</f>
        <v>#REF!</v>
      </c>
      <c r="AE1573" s="69" t="e" cm="1">
        <f t="array" ref="AE1573">_xlfn.XLOOKUP(Table1[[#This Row],[5 cm2 cell test code]:[5 cm2 cell test code]],[1]!Table1[[Test code]:[Test code]],[1]!Table1[HFR 10 mM KOH/ mOhm cm2],"",0)</f>
        <v>#REF!</v>
      </c>
      <c r="AF1573" s="69" t="e" cm="1">
        <f t="array" ref="AF1573">_xlfn.XLOOKUP(Table1[[#This Row],[5 cm2 cell test code]:[5 cm2 cell test code]],[1]!Table1[[Test code]:[Test code]],[1]!Table1[Ionic resistance DIW/Ohm cm2],"",0)</f>
        <v>#REF!</v>
      </c>
      <c r="AG1573" s="69" t="e" cm="1">
        <f t="array" ref="AG1573">_xlfn.XLOOKUP(Table1[[#This Row],[5 cm2 cell test code]:[5 cm2 cell test code]],[1]!Table1[[Test code]:[Test code]],[1]!Table1[Q_int_frac DIW],"",0)</f>
        <v>#REF!</v>
      </c>
      <c r="AH1573" s="69" t="e" cm="1">
        <f t="array" ref="AH1573">_xlfn.XLOOKUP(Table1[[#This Row],[5 cm2 cell test code]:[5 cm2 cell test code]],[1]!Table1[[Test code]:[Test code]],[1]!Table1[Ionic resistance 10 mM KOH/Ohm cm2],"",0)</f>
        <v>#REF!</v>
      </c>
      <c r="AI1573" s="69" t="e" cm="1">
        <f t="array" ref="AI1573">_xlfn.XLOOKUP(Table1[[#This Row],[5 cm2 cell test code]:[5 cm2 cell test code]],[1]!Table1[[Test code]:[Test code]],[1]!Table1[Q_int_frac DIW 10 mM KOH],"",0)</f>
        <v>#REF!</v>
      </c>
      <c r="AJ1573" s="69" t="e" cm="1">
        <f t="array" ref="AJ1573">_xlfn.XLOOKUP(Table1[[#This Row],[5 cm2 cell test code]:[5 cm2 cell test code]],[1]!Table1[[Test code]:[Test code]],[1]!Table1[DIW conductivity (µS/cm)],"",0)</f>
        <v>#REF!</v>
      </c>
    </row>
    <row r="1574" spans="1:36">
      <c r="A1574" s="81"/>
      <c r="U1574" s="101"/>
      <c r="V1574" s="101"/>
      <c r="W1574" s="69" t="e" cm="1">
        <f t="array" ref="W1574">_xlfn.XLOOKUP(Table1[[#This Row],[5 cm2 cell test code]:[5 cm2 cell test code]],[1]!Table1[[Test code]:[Test code]],[1]!Table1[i @ 1.8 V DIW (A/cm2)],"",0)</f>
        <v>#REF!</v>
      </c>
      <c r="X1574" s="69" t="e" cm="1">
        <f t="array" ref="X1574">_xlfn.XLOOKUP(Table1[[#This Row],[5 cm2 cell test code]:[5 cm2 cell test code]],[1]!Table1[[Test code]:[Test code]],[1]!Table1[i @ 1.8 V 10 mM KOH (A/cm2)],"",0)</f>
        <v>#REF!</v>
      </c>
      <c r="Y1574" s="69" t="e" cm="1">
        <f t="array" ref="Y1574">_xlfn.XLOOKUP(Table1[[#This Row],[5 cm2 cell test code]:[5 cm2 cell test code]],[1]!Table1[[Test code]:[Test code]],[1]!Table1[3-E ƞ at 20mAcm-2 (mV)],"",0)</f>
        <v>#REF!</v>
      </c>
      <c r="Z1574" s="69" t="e" cm="1">
        <f t="array" ref="Z1574">_xlfn.XLOOKUP(Table1[[#This Row],[5 cm2 cell test code]:[5 cm2 cell test code]],[1]!Table1[[Test code]:[Test code]],[1]!Table1[3-E Tafel slope (mV/dec)],"",0)</f>
        <v>#REF!</v>
      </c>
      <c r="AA1574" s="69" t="e" cm="1">
        <f t="array" ref="AA1574">_xlfn.XLOOKUP(Table1[[#This Row],[5 cm2 cell test code]:[5 cm2 cell test code]],[1]!Table1[[Test code]:[Test code]],[1]!Table1[E @ 100 mA/cm2 DIW/V],"",0)</f>
        <v>#REF!</v>
      </c>
      <c r="AB1574" s="69" t="e" cm="1">
        <f t="array" ref="AB1574">_xlfn.XLOOKUP(Table1[[#This Row],[5 cm2 cell test code]:[5 cm2 cell test code]],[1]!Table1[[Test code]:[Test code]],[1]!Table1[E @ 100 mA/cm2 10 mM KOH/V],"",0)</f>
        <v>#REF!</v>
      </c>
      <c r="AC1574" s="69" t="e" cm="1">
        <f t="array" ref="AC1574">_xlfn.XLOOKUP(Table1[[#This Row],[5 cm2 cell test code]:[5 cm2 cell test code]],[1]!Table1[[Test code]:[Test code]],[1]!Table1[Anode ICR/mOhm],"",0)</f>
        <v>#REF!</v>
      </c>
      <c r="AD1574" s="69" t="e" cm="1">
        <f t="array" ref="AD1574">_xlfn.XLOOKUP(Table1[[#This Row],[5 cm2 cell test code]:[5 cm2 cell test code]],[1]!Table1[[Test code]:[Test code]],[1]!Table1[HFR DIW/ mOhm cm2],"",0)</f>
        <v>#REF!</v>
      </c>
      <c r="AE1574" s="69" t="e" cm="1">
        <f t="array" ref="AE1574">_xlfn.XLOOKUP(Table1[[#This Row],[5 cm2 cell test code]:[5 cm2 cell test code]],[1]!Table1[[Test code]:[Test code]],[1]!Table1[HFR 10 mM KOH/ mOhm cm2],"",0)</f>
        <v>#REF!</v>
      </c>
      <c r="AF1574" s="69" t="e" cm="1">
        <f t="array" ref="AF1574">_xlfn.XLOOKUP(Table1[[#This Row],[5 cm2 cell test code]:[5 cm2 cell test code]],[1]!Table1[[Test code]:[Test code]],[1]!Table1[Ionic resistance DIW/Ohm cm2],"",0)</f>
        <v>#REF!</v>
      </c>
      <c r="AG1574" s="69" t="e" cm="1">
        <f t="array" ref="AG1574">_xlfn.XLOOKUP(Table1[[#This Row],[5 cm2 cell test code]:[5 cm2 cell test code]],[1]!Table1[[Test code]:[Test code]],[1]!Table1[Q_int_frac DIW],"",0)</f>
        <v>#REF!</v>
      </c>
      <c r="AH1574" s="69" t="e" cm="1">
        <f t="array" ref="AH1574">_xlfn.XLOOKUP(Table1[[#This Row],[5 cm2 cell test code]:[5 cm2 cell test code]],[1]!Table1[[Test code]:[Test code]],[1]!Table1[Ionic resistance 10 mM KOH/Ohm cm2],"",0)</f>
        <v>#REF!</v>
      </c>
      <c r="AI1574" s="69" t="e" cm="1">
        <f t="array" ref="AI1574">_xlfn.XLOOKUP(Table1[[#This Row],[5 cm2 cell test code]:[5 cm2 cell test code]],[1]!Table1[[Test code]:[Test code]],[1]!Table1[Q_int_frac DIW 10 mM KOH],"",0)</f>
        <v>#REF!</v>
      </c>
      <c r="AJ1574" s="69" t="e" cm="1">
        <f t="array" ref="AJ1574">_xlfn.XLOOKUP(Table1[[#This Row],[5 cm2 cell test code]:[5 cm2 cell test code]],[1]!Table1[[Test code]:[Test code]],[1]!Table1[DIW conductivity (µS/cm)],"",0)</f>
        <v>#REF!</v>
      </c>
    </row>
    <row r="1575" spans="1:36">
      <c r="A1575" s="81"/>
      <c r="U1575" s="101"/>
      <c r="V1575" s="101"/>
      <c r="W1575" s="69" t="e" cm="1">
        <f t="array" ref="W1575">_xlfn.XLOOKUP(Table1[[#This Row],[5 cm2 cell test code]:[5 cm2 cell test code]],[1]!Table1[[Test code]:[Test code]],[1]!Table1[i @ 1.8 V DIW (A/cm2)],"",0)</f>
        <v>#REF!</v>
      </c>
      <c r="X1575" s="69" t="e" cm="1">
        <f t="array" ref="X1575">_xlfn.XLOOKUP(Table1[[#This Row],[5 cm2 cell test code]:[5 cm2 cell test code]],[1]!Table1[[Test code]:[Test code]],[1]!Table1[i @ 1.8 V 10 mM KOH (A/cm2)],"",0)</f>
        <v>#REF!</v>
      </c>
      <c r="Y1575" s="69" t="e" cm="1">
        <f t="array" ref="Y1575">_xlfn.XLOOKUP(Table1[[#This Row],[5 cm2 cell test code]:[5 cm2 cell test code]],[1]!Table1[[Test code]:[Test code]],[1]!Table1[3-E ƞ at 20mAcm-2 (mV)],"",0)</f>
        <v>#REF!</v>
      </c>
      <c r="Z1575" s="69" t="e" cm="1">
        <f t="array" ref="Z1575">_xlfn.XLOOKUP(Table1[[#This Row],[5 cm2 cell test code]:[5 cm2 cell test code]],[1]!Table1[[Test code]:[Test code]],[1]!Table1[3-E Tafel slope (mV/dec)],"",0)</f>
        <v>#REF!</v>
      </c>
      <c r="AA1575" s="69" t="e" cm="1">
        <f t="array" ref="AA1575">_xlfn.XLOOKUP(Table1[[#This Row],[5 cm2 cell test code]:[5 cm2 cell test code]],[1]!Table1[[Test code]:[Test code]],[1]!Table1[E @ 100 mA/cm2 DIW/V],"",0)</f>
        <v>#REF!</v>
      </c>
      <c r="AB1575" s="69" t="e" cm="1">
        <f t="array" ref="AB1575">_xlfn.XLOOKUP(Table1[[#This Row],[5 cm2 cell test code]:[5 cm2 cell test code]],[1]!Table1[[Test code]:[Test code]],[1]!Table1[E @ 100 mA/cm2 10 mM KOH/V],"",0)</f>
        <v>#REF!</v>
      </c>
      <c r="AC1575" s="69" t="e" cm="1">
        <f t="array" ref="AC1575">_xlfn.XLOOKUP(Table1[[#This Row],[5 cm2 cell test code]:[5 cm2 cell test code]],[1]!Table1[[Test code]:[Test code]],[1]!Table1[Anode ICR/mOhm],"",0)</f>
        <v>#REF!</v>
      </c>
      <c r="AD1575" s="69" t="e" cm="1">
        <f t="array" ref="AD1575">_xlfn.XLOOKUP(Table1[[#This Row],[5 cm2 cell test code]:[5 cm2 cell test code]],[1]!Table1[[Test code]:[Test code]],[1]!Table1[HFR DIW/ mOhm cm2],"",0)</f>
        <v>#REF!</v>
      </c>
      <c r="AE1575" s="69" t="e" cm="1">
        <f t="array" ref="AE1575">_xlfn.XLOOKUP(Table1[[#This Row],[5 cm2 cell test code]:[5 cm2 cell test code]],[1]!Table1[[Test code]:[Test code]],[1]!Table1[HFR 10 mM KOH/ mOhm cm2],"",0)</f>
        <v>#REF!</v>
      </c>
      <c r="AF1575" s="69" t="e" cm="1">
        <f t="array" ref="AF1575">_xlfn.XLOOKUP(Table1[[#This Row],[5 cm2 cell test code]:[5 cm2 cell test code]],[1]!Table1[[Test code]:[Test code]],[1]!Table1[Ionic resistance DIW/Ohm cm2],"",0)</f>
        <v>#REF!</v>
      </c>
      <c r="AG1575" s="69" t="e" cm="1">
        <f t="array" ref="AG1575">_xlfn.XLOOKUP(Table1[[#This Row],[5 cm2 cell test code]:[5 cm2 cell test code]],[1]!Table1[[Test code]:[Test code]],[1]!Table1[Q_int_frac DIW],"",0)</f>
        <v>#REF!</v>
      </c>
      <c r="AH1575" s="69" t="e" cm="1">
        <f t="array" ref="AH1575">_xlfn.XLOOKUP(Table1[[#This Row],[5 cm2 cell test code]:[5 cm2 cell test code]],[1]!Table1[[Test code]:[Test code]],[1]!Table1[Ionic resistance 10 mM KOH/Ohm cm2],"",0)</f>
        <v>#REF!</v>
      </c>
      <c r="AI1575" s="69" t="e" cm="1">
        <f t="array" ref="AI1575">_xlfn.XLOOKUP(Table1[[#This Row],[5 cm2 cell test code]:[5 cm2 cell test code]],[1]!Table1[[Test code]:[Test code]],[1]!Table1[Q_int_frac DIW 10 mM KOH],"",0)</f>
        <v>#REF!</v>
      </c>
      <c r="AJ1575" s="69" t="e" cm="1">
        <f t="array" ref="AJ1575">_xlfn.XLOOKUP(Table1[[#This Row],[5 cm2 cell test code]:[5 cm2 cell test code]],[1]!Table1[[Test code]:[Test code]],[1]!Table1[DIW conductivity (µS/cm)],"",0)</f>
        <v>#REF!</v>
      </c>
    </row>
    <row r="1576" spans="1:36">
      <c r="A1576" s="81"/>
      <c r="U1576" s="101"/>
      <c r="V1576" s="101"/>
      <c r="W1576" s="69" t="e" cm="1">
        <f t="array" ref="W1576">_xlfn.XLOOKUP(Table1[[#This Row],[5 cm2 cell test code]:[5 cm2 cell test code]],[1]!Table1[[Test code]:[Test code]],[1]!Table1[i @ 1.8 V DIW (A/cm2)],"",0)</f>
        <v>#REF!</v>
      </c>
      <c r="X1576" s="69" t="e" cm="1">
        <f t="array" ref="X1576">_xlfn.XLOOKUP(Table1[[#This Row],[5 cm2 cell test code]:[5 cm2 cell test code]],[1]!Table1[[Test code]:[Test code]],[1]!Table1[i @ 1.8 V 10 mM KOH (A/cm2)],"",0)</f>
        <v>#REF!</v>
      </c>
      <c r="Y1576" s="69" t="e" cm="1">
        <f t="array" ref="Y1576">_xlfn.XLOOKUP(Table1[[#This Row],[5 cm2 cell test code]:[5 cm2 cell test code]],[1]!Table1[[Test code]:[Test code]],[1]!Table1[3-E ƞ at 20mAcm-2 (mV)],"",0)</f>
        <v>#REF!</v>
      </c>
      <c r="Z1576" s="69" t="e" cm="1">
        <f t="array" ref="Z1576">_xlfn.XLOOKUP(Table1[[#This Row],[5 cm2 cell test code]:[5 cm2 cell test code]],[1]!Table1[[Test code]:[Test code]],[1]!Table1[3-E Tafel slope (mV/dec)],"",0)</f>
        <v>#REF!</v>
      </c>
      <c r="AA1576" s="69" t="e" cm="1">
        <f t="array" ref="AA1576">_xlfn.XLOOKUP(Table1[[#This Row],[5 cm2 cell test code]:[5 cm2 cell test code]],[1]!Table1[[Test code]:[Test code]],[1]!Table1[E @ 100 mA/cm2 DIW/V],"",0)</f>
        <v>#REF!</v>
      </c>
      <c r="AB1576" s="69" t="e" cm="1">
        <f t="array" ref="AB1576">_xlfn.XLOOKUP(Table1[[#This Row],[5 cm2 cell test code]:[5 cm2 cell test code]],[1]!Table1[[Test code]:[Test code]],[1]!Table1[E @ 100 mA/cm2 10 mM KOH/V],"",0)</f>
        <v>#REF!</v>
      </c>
      <c r="AC1576" s="69" t="e" cm="1">
        <f t="array" ref="AC1576">_xlfn.XLOOKUP(Table1[[#This Row],[5 cm2 cell test code]:[5 cm2 cell test code]],[1]!Table1[[Test code]:[Test code]],[1]!Table1[Anode ICR/mOhm],"",0)</f>
        <v>#REF!</v>
      </c>
      <c r="AD1576" s="69" t="e" cm="1">
        <f t="array" ref="AD1576">_xlfn.XLOOKUP(Table1[[#This Row],[5 cm2 cell test code]:[5 cm2 cell test code]],[1]!Table1[[Test code]:[Test code]],[1]!Table1[HFR DIW/ mOhm cm2],"",0)</f>
        <v>#REF!</v>
      </c>
      <c r="AE1576" s="69" t="e" cm="1">
        <f t="array" ref="AE1576">_xlfn.XLOOKUP(Table1[[#This Row],[5 cm2 cell test code]:[5 cm2 cell test code]],[1]!Table1[[Test code]:[Test code]],[1]!Table1[HFR 10 mM KOH/ mOhm cm2],"",0)</f>
        <v>#REF!</v>
      </c>
      <c r="AF1576" s="69" t="e" cm="1">
        <f t="array" ref="AF1576">_xlfn.XLOOKUP(Table1[[#This Row],[5 cm2 cell test code]:[5 cm2 cell test code]],[1]!Table1[[Test code]:[Test code]],[1]!Table1[Ionic resistance DIW/Ohm cm2],"",0)</f>
        <v>#REF!</v>
      </c>
      <c r="AG1576" s="69" t="e" cm="1">
        <f t="array" ref="AG1576">_xlfn.XLOOKUP(Table1[[#This Row],[5 cm2 cell test code]:[5 cm2 cell test code]],[1]!Table1[[Test code]:[Test code]],[1]!Table1[Q_int_frac DIW],"",0)</f>
        <v>#REF!</v>
      </c>
      <c r="AH1576" s="69" t="e" cm="1">
        <f t="array" ref="AH1576">_xlfn.XLOOKUP(Table1[[#This Row],[5 cm2 cell test code]:[5 cm2 cell test code]],[1]!Table1[[Test code]:[Test code]],[1]!Table1[Ionic resistance 10 mM KOH/Ohm cm2],"",0)</f>
        <v>#REF!</v>
      </c>
      <c r="AI1576" s="69" t="e" cm="1">
        <f t="array" ref="AI1576">_xlfn.XLOOKUP(Table1[[#This Row],[5 cm2 cell test code]:[5 cm2 cell test code]],[1]!Table1[[Test code]:[Test code]],[1]!Table1[Q_int_frac DIW 10 mM KOH],"",0)</f>
        <v>#REF!</v>
      </c>
      <c r="AJ1576" s="69" t="e" cm="1">
        <f t="array" ref="AJ1576">_xlfn.XLOOKUP(Table1[[#This Row],[5 cm2 cell test code]:[5 cm2 cell test code]],[1]!Table1[[Test code]:[Test code]],[1]!Table1[DIW conductivity (µS/cm)],"",0)</f>
        <v>#REF!</v>
      </c>
    </row>
    <row r="1577" spans="1:36">
      <c r="A1577" s="81"/>
      <c r="U1577" s="101"/>
      <c r="V1577" s="101"/>
      <c r="W1577" s="69" t="e" cm="1">
        <f t="array" ref="W1577">_xlfn.XLOOKUP(Table1[[#This Row],[5 cm2 cell test code]:[5 cm2 cell test code]],[1]!Table1[[Test code]:[Test code]],[1]!Table1[i @ 1.8 V DIW (A/cm2)],"",0)</f>
        <v>#REF!</v>
      </c>
      <c r="X1577" s="69" t="e" cm="1">
        <f t="array" ref="X1577">_xlfn.XLOOKUP(Table1[[#This Row],[5 cm2 cell test code]:[5 cm2 cell test code]],[1]!Table1[[Test code]:[Test code]],[1]!Table1[i @ 1.8 V 10 mM KOH (A/cm2)],"",0)</f>
        <v>#REF!</v>
      </c>
      <c r="Y1577" s="69" t="e" cm="1">
        <f t="array" ref="Y1577">_xlfn.XLOOKUP(Table1[[#This Row],[5 cm2 cell test code]:[5 cm2 cell test code]],[1]!Table1[[Test code]:[Test code]],[1]!Table1[3-E ƞ at 20mAcm-2 (mV)],"",0)</f>
        <v>#REF!</v>
      </c>
      <c r="Z1577" s="69" t="e" cm="1">
        <f t="array" ref="Z1577">_xlfn.XLOOKUP(Table1[[#This Row],[5 cm2 cell test code]:[5 cm2 cell test code]],[1]!Table1[[Test code]:[Test code]],[1]!Table1[3-E Tafel slope (mV/dec)],"",0)</f>
        <v>#REF!</v>
      </c>
      <c r="AA1577" s="69" t="e" cm="1">
        <f t="array" ref="AA1577">_xlfn.XLOOKUP(Table1[[#This Row],[5 cm2 cell test code]:[5 cm2 cell test code]],[1]!Table1[[Test code]:[Test code]],[1]!Table1[E @ 100 mA/cm2 DIW/V],"",0)</f>
        <v>#REF!</v>
      </c>
      <c r="AB1577" s="69" t="e" cm="1">
        <f t="array" ref="AB1577">_xlfn.XLOOKUP(Table1[[#This Row],[5 cm2 cell test code]:[5 cm2 cell test code]],[1]!Table1[[Test code]:[Test code]],[1]!Table1[E @ 100 mA/cm2 10 mM KOH/V],"",0)</f>
        <v>#REF!</v>
      </c>
      <c r="AC1577" s="69" t="e" cm="1">
        <f t="array" ref="AC1577">_xlfn.XLOOKUP(Table1[[#This Row],[5 cm2 cell test code]:[5 cm2 cell test code]],[1]!Table1[[Test code]:[Test code]],[1]!Table1[Anode ICR/mOhm],"",0)</f>
        <v>#REF!</v>
      </c>
      <c r="AD1577" s="69" t="e" cm="1">
        <f t="array" ref="AD1577">_xlfn.XLOOKUP(Table1[[#This Row],[5 cm2 cell test code]:[5 cm2 cell test code]],[1]!Table1[[Test code]:[Test code]],[1]!Table1[HFR DIW/ mOhm cm2],"",0)</f>
        <v>#REF!</v>
      </c>
      <c r="AE1577" s="69" t="e" cm="1">
        <f t="array" ref="AE1577">_xlfn.XLOOKUP(Table1[[#This Row],[5 cm2 cell test code]:[5 cm2 cell test code]],[1]!Table1[[Test code]:[Test code]],[1]!Table1[HFR 10 mM KOH/ mOhm cm2],"",0)</f>
        <v>#REF!</v>
      </c>
      <c r="AF1577" s="69" t="e" cm="1">
        <f t="array" ref="AF1577">_xlfn.XLOOKUP(Table1[[#This Row],[5 cm2 cell test code]:[5 cm2 cell test code]],[1]!Table1[[Test code]:[Test code]],[1]!Table1[Ionic resistance DIW/Ohm cm2],"",0)</f>
        <v>#REF!</v>
      </c>
      <c r="AG1577" s="69" t="e" cm="1">
        <f t="array" ref="AG1577">_xlfn.XLOOKUP(Table1[[#This Row],[5 cm2 cell test code]:[5 cm2 cell test code]],[1]!Table1[[Test code]:[Test code]],[1]!Table1[Q_int_frac DIW],"",0)</f>
        <v>#REF!</v>
      </c>
      <c r="AH1577" s="69" t="e" cm="1">
        <f t="array" ref="AH1577">_xlfn.XLOOKUP(Table1[[#This Row],[5 cm2 cell test code]:[5 cm2 cell test code]],[1]!Table1[[Test code]:[Test code]],[1]!Table1[Ionic resistance 10 mM KOH/Ohm cm2],"",0)</f>
        <v>#REF!</v>
      </c>
      <c r="AI1577" s="69" t="e" cm="1">
        <f t="array" ref="AI1577">_xlfn.XLOOKUP(Table1[[#This Row],[5 cm2 cell test code]:[5 cm2 cell test code]],[1]!Table1[[Test code]:[Test code]],[1]!Table1[Q_int_frac DIW 10 mM KOH],"",0)</f>
        <v>#REF!</v>
      </c>
      <c r="AJ1577" s="69" t="e" cm="1">
        <f t="array" ref="AJ1577">_xlfn.XLOOKUP(Table1[[#This Row],[5 cm2 cell test code]:[5 cm2 cell test code]],[1]!Table1[[Test code]:[Test code]],[1]!Table1[DIW conductivity (µS/cm)],"",0)</f>
        <v>#REF!</v>
      </c>
    </row>
    <row r="1578" spans="1:36">
      <c r="A1578" s="81"/>
      <c r="U1578" s="101"/>
      <c r="V1578" s="101"/>
      <c r="W1578" s="69" t="e" cm="1">
        <f t="array" ref="W1578">_xlfn.XLOOKUP(Table1[[#This Row],[5 cm2 cell test code]:[5 cm2 cell test code]],[1]!Table1[[Test code]:[Test code]],[1]!Table1[i @ 1.8 V DIW (A/cm2)],"",0)</f>
        <v>#REF!</v>
      </c>
      <c r="X1578" s="69" t="e" cm="1">
        <f t="array" ref="X1578">_xlfn.XLOOKUP(Table1[[#This Row],[5 cm2 cell test code]:[5 cm2 cell test code]],[1]!Table1[[Test code]:[Test code]],[1]!Table1[i @ 1.8 V 10 mM KOH (A/cm2)],"",0)</f>
        <v>#REF!</v>
      </c>
      <c r="Y1578" s="69" t="e" cm="1">
        <f t="array" ref="Y1578">_xlfn.XLOOKUP(Table1[[#This Row],[5 cm2 cell test code]:[5 cm2 cell test code]],[1]!Table1[[Test code]:[Test code]],[1]!Table1[3-E ƞ at 20mAcm-2 (mV)],"",0)</f>
        <v>#REF!</v>
      </c>
      <c r="Z1578" s="69" t="e" cm="1">
        <f t="array" ref="Z1578">_xlfn.XLOOKUP(Table1[[#This Row],[5 cm2 cell test code]:[5 cm2 cell test code]],[1]!Table1[[Test code]:[Test code]],[1]!Table1[3-E Tafel slope (mV/dec)],"",0)</f>
        <v>#REF!</v>
      </c>
      <c r="AA1578" s="69" t="e" cm="1">
        <f t="array" ref="AA1578">_xlfn.XLOOKUP(Table1[[#This Row],[5 cm2 cell test code]:[5 cm2 cell test code]],[1]!Table1[[Test code]:[Test code]],[1]!Table1[E @ 100 mA/cm2 DIW/V],"",0)</f>
        <v>#REF!</v>
      </c>
      <c r="AB1578" s="69" t="e" cm="1">
        <f t="array" ref="AB1578">_xlfn.XLOOKUP(Table1[[#This Row],[5 cm2 cell test code]:[5 cm2 cell test code]],[1]!Table1[[Test code]:[Test code]],[1]!Table1[E @ 100 mA/cm2 10 mM KOH/V],"",0)</f>
        <v>#REF!</v>
      </c>
      <c r="AC1578" s="69" t="e" cm="1">
        <f t="array" ref="AC1578">_xlfn.XLOOKUP(Table1[[#This Row],[5 cm2 cell test code]:[5 cm2 cell test code]],[1]!Table1[[Test code]:[Test code]],[1]!Table1[Anode ICR/mOhm],"",0)</f>
        <v>#REF!</v>
      </c>
      <c r="AD1578" s="69" t="e" cm="1">
        <f t="array" ref="AD1578">_xlfn.XLOOKUP(Table1[[#This Row],[5 cm2 cell test code]:[5 cm2 cell test code]],[1]!Table1[[Test code]:[Test code]],[1]!Table1[HFR DIW/ mOhm cm2],"",0)</f>
        <v>#REF!</v>
      </c>
      <c r="AE1578" s="69" t="e" cm="1">
        <f t="array" ref="AE1578">_xlfn.XLOOKUP(Table1[[#This Row],[5 cm2 cell test code]:[5 cm2 cell test code]],[1]!Table1[[Test code]:[Test code]],[1]!Table1[HFR 10 mM KOH/ mOhm cm2],"",0)</f>
        <v>#REF!</v>
      </c>
      <c r="AF1578" s="69" t="e" cm="1">
        <f t="array" ref="AF1578">_xlfn.XLOOKUP(Table1[[#This Row],[5 cm2 cell test code]:[5 cm2 cell test code]],[1]!Table1[[Test code]:[Test code]],[1]!Table1[Ionic resistance DIW/Ohm cm2],"",0)</f>
        <v>#REF!</v>
      </c>
      <c r="AG1578" s="69" t="e" cm="1">
        <f t="array" ref="AG1578">_xlfn.XLOOKUP(Table1[[#This Row],[5 cm2 cell test code]:[5 cm2 cell test code]],[1]!Table1[[Test code]:[Test code]],[1]!Table1[Q_int_frac DIW],"",0)</f>
        <v>#REF!</v>
      </c>
      <c r="AH1578" s="69" t="e" cm="1">
        <f t="array" ref="AH1578">_xlfn.XLOOKUP(Table1[[#This Row],[5 cm2 cell test code]:[5 cm2 cell test code]],[1]!Table1[[Test code]:[Test code]],[1]!Table1[Ionic resistance 10 mM KOH/Ohm cm2],"",0)</f>
        <v>#REF!</v>
      </c>
      <c r="AI1578" s="69" t="e" cm="1">
        <f t="array" ref="AI1578">_xlfn.XLOOKUP(Table1[[#This Row],[5 cm2 cell test code]:[5 cm2 cell test code]],[1]!Table1[[Test code]:[Test code]],[1]!Table1[Q_int_frac DIW 10 mM KOH],"",0)</f>
        <v>#REF!</v>
      </c>
      <c r="AJ1578" s="69" t="e" cm="1">
        <f t="array" ref="AJ1578">_xlfn.XLOOKUP(Table1[[#This Row],[5 cm2 cell test code]:[5 cm2 cell test code]],[1]!Table1[[Test code]:[Test code]],[1]!Table1[DIW conductivity (µS/cm)],"",0)</f>
        <v>#REF!</v>
      </c>
    </row>
    <row r="1579" spans="1:36">
      <c r="A1579" s="81"/>
      <c r="U1579" s="101"/>
      <c r="V1579" s="101"/>
      <c r="W1579" s="69" t="e" cm="1">
        <f t="array" ref="W1579">_xlfn.XLOOKUP(Table1[[#This Row],[5 cm2 cell test code]:[5 cm2 cell test code]],[1]!Table1[[Test code]:[Test code]],[1]!Table1[i @ 1.8 V DIW (A/cm2)],"",0)</f>
        <v>#REF!</v>
      </c>
      <c r="X1579" s="69" t="e" cm="1">
        <f t="array" ref="X1579">_xlfn.XLOOKUP(Table1[[#This Row],[5 cm2 cell test code]:[5 cm2 cell test code]],[1]!Table1[[Test code]:[Test code]],[1]!Table1[i @ 1.8 V 10 mM KOH (A/cm2)],"",0)</f>
        <v>#REF!</v>
      </c>
      <c r="Y1579" s="69" t="e" cm="1">
        <f t="array" ref="Y1579">_xlfn.XLOOKUP(Table1[[#This Row],[5 cm2 cell test code]:[5 cm2 cell test code]],[1]!Table1[[Test code]:[Test code]],[1]!Table1[3-E ƞ at 20mAcm-2 (mV)],"",0)</f>
        <v>#REF!</v>
      </c>
      <c r="Z1579" s="69" t="e" cm="1">
        <f t="array" ref="Z1579">_xlfn.XLOOKUP(Table1[[#This Row],[5 cm2 cell test code]:[5 cm2 cell test code]],[1]!Table1[[Test code]:[Test code]],[1]!Table1[3-E Tafel slope (mV/dec)],"",0)</f>
        <v>#REF!</v>
      </c>
      <c r="AA1579" s="69" t="e" cm="1">
        <f t="array" ref="AA1579">_xlfn.XLOOKUP(Table1[[#This Row],[5 cm2 cell test code]:[5 cm2 cell test code]],[1]!Table1[[Test code]:[Test code]],[1]!Table1[E @ 100 mA/cm2 DIW/V],"",0)</f>
        <v>#REF!</v>
      </c>
      <c r="AB1579" s="69" t="e" cm="1">
        <f t="array" ref="AB1579">_xlfn.XLOOKUP(Table1[[#This Row],[5 cm2 cell test code]:[5 cm2 cell test code]],[1]!Table1[[Test code]:[Test code]],[1]!Table1[E @ 100 mA/cm2 10 mM KOH/V],"",0)</f>
        <v>#REF!</v>
      </c>
      <c r="AC1579" s="69" t="e" cm="1">
        <f t="array" ref="AC1579">_xlfn.XLOOKUP(Table1[[#This Row],[5 cm2 cell test code]:[5 cm2 cell test code]],[1]!Table1[[Test code]:[Test code]],[1]!Table1[Anode ICR/mOhm],"",0)</f>
        <v>#REF!</v>
      </c>
      <c r="AD1579" s="69" t="e" cm="1">
        <f t="array" ref="AD1579">_xlfn.XLOOKUP(Table1[[#This Row],[5 cm2 cell test code]:[5 cm2 cell test code]],[1]!Table1[[Test code]:[Test code]],[1]!Table1[HFR DIW/ mOhm cm2],"",0)</f>
        <v>#REF!</v>
      </c>
      <c r="AE1579" s="69" t="e" cm="1">
        <f t="array" ref="AE1579">_xlfn.XLOOKUP(Table1[[#This Row],[5 cm2 cell test code]:[5 cm2 cell test code]],[1]!Table1[[Test code]:[Test code]],[1]!Table1[HFR 10 mM KOH/ mOhm cm2],"",0)</f>
        <v>#REF!</v>
      </c>
      <c r="AF1579" s="69" t="e" cm="1">
        <f t="array" ref="AF1579">_xlfn.XLOOKUP(Table1[[#This Row],[5 cm2 cell test code]:[5 cm2 cell test code]],[1]!Table1[[Test code]:[Test code]],[1]!Table1[Ionic resistance DIW/Ohm cm2],"",0)</f>
        <v>#REF!</v>
      </c>
      <c r="AG1579" s="69" t="e" cm="1">
        <f t="array" ref="AG1579">_xlfn.XLOOKUP(Table1[[#This Row],[5 cm2 cell test code]:[5 cm2 cell test code]],[1]!Table1[[Test code]:[Test code]],[1]!Table1[Q_int_frac DIW],"",0)</f>
        <v>#REF!</v>
      </c>
      <c r="AH1579" s="69" t="e" cm="1">
        <f t="array" ref="AH1579">_xlfn.XLOOKUP(Table1[[#This Row],[5 cm2 cell test code]:[5 cm2 cell test code]],[1]!Table1[[Test code]:[Test code]],[1]!Table1[Ionic resistance 10 mM KOH/Ohm cm2],"",0)</f>
        <v>#REF!</v>
      </c>
      <c r="AI1579" s="69" t="e" cm="1">
        <f t="array" ref="AI1579">_xlfn.XLOOKUP(Table1[[#This Row],[5 cm2 cell test code]:[5 cm2 cell test code]],[1]!Table1[[Test code]:[Test code]],[1]!Table1[Q_int_frac DIW 10 mM KOH],"",0)</f>
        <v>#REF!</v>
      </c>
      <c r="AJ1579" s="69" t="e" cm="1">
        <f t="array" ref="AJ1579">_xlfn.XLOOKUP(Table1[[#This Row],[5 cm2 cell test code]:[5 cm2 cell test code]],[1]!Table1[[Test code]:[Test code]],[1]!Table1[DIW conductivity (µS/cm)],"",0)</f>
        <v>#REF!</v>
      </c>
    </row>
    <row r="1580" spans="1:36">
      <c r="A1580" s="81"/>
      <c r="U1580" s="101"/>
      <c r="V1580" s="101"/>
      <c r="W1580" s="69" t="e" cm="1">
        <f t="array" ref="W1580">_xlfn.XLOOKUP(Table1[[#This Row],[5 cm2 cell test code]:[5 cm2 cell test code]],[1]!Table1[[Test code]:[Test code]],[1]!Table1[i @ 1.8 V DIW (A/cm2)],"",0)</f>
        <v>#REF!</v>
      </c>
      <c r="X1580" s="69" t="e" cm="1">
        <f t="array" ref="X1580">_xlfn.XLOOKUP(Table1[[#This Row],[5 cm2 cell test code]:[5 cm2 cell test code]],[1]!Table1[[Test code]:[Test code]],[1]!Table1[i @ 1.8 V 10 mM KOH (A/cm2)],"",0)</f>
        <v>#REF!</v>
      </c>
      <c r="Y1580" s="69" t="e" cm="1">
        <f t="array" ref="Y1580">_xlfn.XLOOKUP(Table1[[#This Row],[5 cm2 cell test code]:[5 cm2 cell test code]],[1]!Table1[[Test code]:[Test code]],[1]!Table1[3-E ƞ at 20mAcm-2 (mV)],"",0)</f>
        <v>#REF!</v>
      </c>
      <c r="Z1580" s="69" t="e" cm="1">
        <f t="array" ref="Z1580">_xlfn.XLOOKUP(Table1[[#This Row],[5 cm2 cell test code]:[5 cm2 cell test code]],[1]!Table1[[Test code]:[Test code]],[1]!Table1[3-E Tafel slope (mV/dec)],"",0)</f>
        <v>#REF!</v>
      </c>
      <c r="AA1580" s="69" t="e" cm="1">
        <f t="array" ref="AA1580">_xlfn.XLOOKUP(Table1[[#This Row],[5 cm2 cell test code]:[5 cm2 cell test code]],[1]!Table1[[Test code]:[Test code]],[1]!Table1[E @ 100 mA/cm2 DIW/V],"",0)</f>
        <v>#REF!</v>
      </c>
      <c r="AB1580" s="69" t="e" cm="1">
        <f t="array" ref="AB1580">_xlfn.XLOOKUP(Table1[[#This Row],[5 cm2 cell test code]:[5 cm2 cell test code]],[1]!Table1[[Test code]:[Test code]],[1]!Table1[E @ 100 mA/cm2 10 mM KOH/V],"",0)</f>
        <v>#REF!</v>
      </c>
      <c r="AC1580" s="69" t="e" cm="1">
        <f t="array" ref="AC1580">_xlfn.XLOOKUP(Table1[[#This Row],[5 cm2 cell test code]:[5 cm2 cell test code]],[1]!Table1[[Test code]:[Test code]],[1]!Table1[Anode ICR/mOhm],"",0)</f>
        <v>#REF!</v>
      </c>
      <c r="AD1580" s="69" t="e" cm="1">
        <f t="array" ref="AD1580">_xlfn.XLOOKUP(Table1[[#This Row],[5 cm2 cell test code]:[5 cm2 cell test code]],[1]!Table1[[Test code]:[Test code]],[1]!Table1[HFR DIW/ mOhm cm2],"",0)</f>
        <v>#REF!</v>
      </c>
      <c r="AE1580" s="69" t="e" cm="1">
        <f t="array" ref="AE1580">_xlfn.XLOOKUP(Table1[[#This Row],[5 cm2 cell test code]:[5 cm2 cell test code]],[1]!Table1[[Test code]:[Test code]],[1]!Table1[HFR 10 mM KOH/ mOhm cm2],"",0)</f>
        <v>#REF!</v>
      </c>
      <c r="AF1580" s="69" t="e" cm="1">
        <f t="array" ref="AF1580">_xlfn.XLOOKUP(Table1[[#This Row],[5 cm2 cell test code]:[5 cm2 cell test code]],[1]!Table1[[Test code]:[Test code]],[1]!Table1[Ionic resistance DIW/Ohm cm2],"",0)</f>
        <v>#REF!</v>
      </c>
      <c r="AG1580" s="69" t="e" cm="1">
        <f t="array" ref="AG1580">_xlfn.XLOOKUP(Table1[[#This Row],[5 cm2 cell test code]:[5 cm2 cell test code]],[1]!Table1[[Test code]:[Test code]],[1]!Table1[Q_int_frac DIW],"",0)</f>
        <v>#REF!</v>
      </c>
      <c r="AH1580" s="69" t="e" cm="1">
        <f t="array" ref="AH1580">_xlfn.XLOOKUP(Table1[[#This Row],[5 cm2 cell test code]:[5 cm2 cell test code]],[1]!Table1[[Test code]:[Test code]],[1]!Table1[Ionic resistance 10 mM KOH/Ohm cm2],"",0)</f>
        <v>#REF!</v>
      </c>
      <c r="AI1580" s="69" t="e" cm="1">
        <f t="array" ref="AI1580">_xlfn.XLOOKUP(Table1[[#This Row],[5 cm2 cell test code]:[5 cm2 cell test code]],[1]!Table1[[Test code]:[Test code]],[1]!Table1[Q_int_frac DIW 10 mM KOH],"",0)</f>
        <v>#REF!</v>
      </c>
      <c r="AJ1580" s="69" t="e" cm="1">
        <f t="array" ref="AJ1580">_xlfn.XLOOKUP(Table1[[#This Row],[5 cm2 cell test code]:[5 cm2 cell test code]],[1]!Table1[[Test code]:[Test code]],[1]!Table1[DIW conductivity (µS/cm)],"",0)</f>
        <v>#REF!</v>
      </c>
    </row>
    <row r="1581" spans="1:36">
      <c r="A1581" s="81"/>
      <c r="U1581" s="101"/>
      <c r="V1581" s="101"/>
      <c r="W1581" s="69" t="e" cm="1">
        <f t="array" ref="W1581">_xlfn.XLOOKUP(Table1[[#This Row],[5 cm2 cell test code]:[5 cm2 cell test code]],[1]!Table1[[Test code]:[Test code]],[1]!Table1[i @ 1.8 V DIW (A/cm2)],"",0)</f>
        <v>#REF!</v>
      </c>
      <c r="X1581" s="69" t="e" cm="1">
        <f t="array" ref="X1581">_xlfn.XLOOKUP(Table1[[#This Row],[5 cm2 cell test code]:[5 cm2 cell test code]],[1]!Table1[[Test code]:[Test code]],[1]!Table1[i @ 1.8 V 10 mM KOH (A/cm2)],"",0)</f>
        <v>#REF!</v>
      </c>
      <c r="Y1581" s="69" t="e" cm="1">
        <f t="array" ref="Y1581">_xlfn.XLOOKUP(Table1[[#This Row],[5 cm2 cell test code]:[5 cm2 cell test code]],[1]!Table1[[Test code]:[Test code]],[1]!Table1[3-E ƞ at 20mAcm-2 (mV)],"",0)</f>
        <v>#REF!</v>
      </c>
      <c r="Z1581" s="69" t="e" cm="1">
        <f t="array" ref="Z1581">_xlfn.XLOOKUP(Table1[[#This Row],[5 cm2 cell test code]:[5 cm2 cell test code]],[1]!Table1[[Test code]:[Test code]],[1]!Table1[3-E Tafel slope (mV/dec)],"",0)</f>
        <v>#REF!</v>
      </c>
      <c r="AA1581" s="69" t="e" cm="1">
        <f t="array" ref="AA1581">_xlfn.XLOOKUP(Table1[[#This Row],[5 cm2 cell test code]:[5 cm2 cell test code]],[1]!Table1[[Test code]:[Test code]],[1]!Table1[E @ 100 mA/cm2 DIW/V],"",0)</f>
        <v>#REF!</v>
      </c>
      <c r="AB1581" s="69" t="e" cm="1">
        <f t="array" ref="AB1581">_xlfn.XLOOKUP(Table1[[#This Row],[5 cm2 cell test code]:[5 cm2 cell test code]],[1]!Table1[[Test code]:[Test code]],[1]!Table1[E @ 100 mA/cm2 10 mM KOH/V],"",0)</f>
        <v>#REF!</v>
      </c>
      <c r="AC1581" s="69" t="e" cm="1">
        <f t="array" ref="AC1581">_xlfn.XLOOKUP(Table1[[#This Row],[5 cm2 cell test code]:[5 cm2 cell test code]],[1]!Table1[[Test code]:[Test code]],[1]!Table1[Anode ICR/mOhm],"",0)</f>
        <v>#REF!</v>
      </c>
      <c r="AD1581" s="69" t="e" cm="1">
        <f t="array" ref="AD1581">_xlfn.XLOOKUP(Table1[[#This Row],[5 cm2 cell test code]:[5 cm2 cell test code]],[1]!Table1[[Test code]:[Test code]],[1]!Table1[HFR DIW/ mOhm cm2],"",0)</f>
        <v>#REF!</v>
      </c>
      <c r="AE1581" s="69" t="e" cm="1">
        <f t="array" ref="AE1581">_xlfn.XLOOKUP(Table1[[#This Row],[5 cm2 cell test code]:[5 cm2 cell test code]],[1]!Table1[[Test code]:[Test code]],[1]!Table1[HFR 10 mM KOH/ mOhm cm2],"",0)</f>
        <v>#REF!</v>
      </c>
      <c r="AF1581" s="69" t="e" cm="1">
        <f t="array" ref="AF1581">_xlfn.XLOOKUP(Table1[[#This Row],[5 cm2 cell test code]:[5 cm2 cell test code]],[1]!Table1[[Test code]:[Test code]],[1]!Table1[Ionic resistance DIW/Ohm cm2],"",0)</f>
        <v>#REF!</v>
      </c>
      <c r="AG1581" s="69" t="e" cm="1">
        <f t="array" ref="AG1581">_xlfn.XLOOKUP(Table1[[#This Row],[5 cm2 cell test code]:[5 cm2 cell test code]],[1]!Table1[[Test code]:[Test code]],[1]!Table1[Q_int_frac DIW],"",0)</f>
        <v>#REF!</v>
      </c>
      <c r="AH1581" s="69" t="e" cm="1">
        <f t="array" ref="AH1581">_xlfn.XLOOKUP(Table1[[#This Row],[5 cm2 cell test code]:[5 cm2 cell test code]],[1]!Table1[[Test code]:[Test code]],[1]!Table1[Ionic resistance 10 mM KOH/Ohm cm2],"",0)</f>
        <v>#REF!</v>
      </c>
      <c r="AI1581" s="69" t="e" cm="1">
        <f t="array" ref="AI1581">_xlfn.XLOOKUP(Table1[[#This Row],[5 cm2 cell test code]:[5 cm2 cell test code]],[1]!Table1[[Test code]:[Test code]],[1]!Table1[Q_int_frac DIW 10 mM KOH],"",0)</f>
        <v>#REF!</v>
      </c>
      <c r="AJ1581" s="69" t="e" cm="1">
        <f t="array" ref="AJ1581">_xlfn.XLOOKUP(Table1[[#This Row],[5 cm2 cell test code]:[5 cm2 cell test code]],[1]!Table1[[Test code]:[Test code]],[1]!Table1[DIW conductivity (µS/cm)],"",0)</f>
        <v>#REF!</v>
      </c>
    </row>
    <row r="1582" spans="1:36">
      <c r="A1582" s="81"/>
      <c r="U1582" s="101"/>
      <c r="V1582" s="101"/>
      <c r="W1582" s="69" t="e" cm="1">
        <f t="array" ref="W1582">_xlfn.XLOOKUP(Table1[[#This Row],[5 cm2 cell test code]:[5 cm2 cell test code]],[1]!Table1[[Test code]:[Test code]],[1]!Table1[i @ 1.8 V DIW (A/cm2)],"",0)</f>
        <v>#REF!</v>
      </c>
      <c r="X1582" s="69" t="e" cm="1">
        <f t="array" ref="X1582">_xlfn.XLOOKUP(Table1[[#This Row],[5 cm2 cell test code]:[5 cm2 cell test code]],[1]!Table1[[Test code]:[Test code]],[1]!Table1[i @ 1.8 V 10 mM KOH (A/cm2)],"",0)</f>
        <v>#REF!</v>
      </c>
      <c r="Y1582" s="69" t="e" cm="1">
        <f t="array" ref="Y1582">_xlfn.XLOOKUP(Table1[[#This Row],[5 cm2 cell test code]:[5 cm2 cell test code]],[1]!Table1[[Test code]:[Test code]],[1]!Table1[3-E ƞ at 20mAcm-2 (mV)],"",0)</f>
        <v>#REF!</v>
      </c>
      <c r="Z1582" s="69" t="e" cm="1">
        <f t="array" ref="Z1582">_xlfn.XLOOKUP(Table1[[#This Row],[5 cm2 cell test code]:[5 cm2 cell test code]],[1]!Table1[[Test code]:[Test code]],[1]!Table1[3-E Tafel slope (mV/dec)],"",0)</f>
        <v>#REF!</v>
      </c>
      <c r="AA1582" s="69" t="e" cm="1">
        <f t="array" ref="AA1582">_xlfn.XLOOKUP(Table1[[#This Row],[5 cm2 cell test code]:[5 cm2 cell test code]],[1]!Table1[[Test code]:[Test code]],[1]!Table1[E @ 100 mA/cm2 DIW/V],"",0)</f>
        <v>#REF!</v>
      </c>
      <c r="AB1582" s="69" t="e" cm="1">
        <f t="array" ref="AB1582">_xlfn.XLOOKUP(Table1[[#This Row],[5 cm2 cell test code]:[5 cm2 cell test code]],[1]!Table1[[Test code]:[Test code]],[1]!Table1[E @ 100 mA/cm2 10 mM KOH/V],"",0)</f>
        <v>#REF!</v>
      </c>
      <c r="AC1582" s="69" t="e" cm="1">
        <f t="array" ref="AC1582">_xlfn.XLOOKUP(Table1[[#This Row],[5 cm2 cell test code]:[5 cm2 cell test code]],[1]!Table1[[Test code]:[Test code]],[1]!Table1[Anode ICR/mOhm],"",0)</f>
        <v>#REF!</v>
      </c>
      <c r="AD1582" s="69" t="e" cm="1">
        <f t="array" ref="AD1582">_xlfn.XLOOKUP(Table1[[#This Row],[5 cm2 cell test code]:[5 cm2 cell test code]],[1]!Table1[[Test code]:[Test code]],[1]!Table1[HFR DIW/ mOhm cm2],"",0)</f>
        <v>#REF!</v>
      </c>
      <c r="AE1582" s="69" t="e" cm="1">
        <f t="array" ref="AE1582">_xlfn.XLOOKUP(Table1[[#This Row],[5 cm2 cell test code]:[5 cm2 cell test code]],[1]!Table1[[Test code]:[Test code]],[1]!Table1[HFR 10 mM KOH/ mOhm cm2],"",0)</f>
        <v>#REF!</v>
      </c>
      <c r="AF1582" s="69" t="e" cm="1">
        <f t="array" ref="AF1582">_xlfn.XLOOKUP(Table1[[#This Row],[5 cm2 cell test code]:[5 cm2 cell test code]],[1]!Table1[[Test code]:[Test code]],[1]!Table1[Ionic resistance DIW/Ohm cm2],"",0)</f>
        <v>#REF!</v>
      </c>
      <c r="AG1582" s="69" t="e" cm="1">
        <f t="array" ref="AG1582">_xlfn.XLOOKUP(Table1[[#This Row],[5 cm2 cell test code]:[5 cm2 cell test code]],[1]!Table1[[Test code]:[Test code]],[1]!Table1[Q_int_frac DIW],"",0)</f>
        <v>#REF!</v>
      </c>
      <c r="AH1582" s="69" t="e" cm="1">
        <f t="array" ref="AH1582">_xlfn.XLOOKUP(Table1[[#This Row],[5 cm2 cell test code]:[5 cm2 cell test code]],[1]!Table1[[Test code]:[Test code]],[1]!Table1[Ionic resistance 10 mM KOH/Ohm cm2],"",0)</f>
        <v>#REF!</v>
      </c>
      <c r="AI1582" s="69" t="e" cm="1">
        <f t="array" ref="AI1582">_xlfn.XLOOKUP(Table1[[#This Row],[5 cm2 cell test code]:[5 cm2 cell test code]],[1]!Table1[[Test code]:[Test code]],[1]!Table1[Q_int_frac DIW 10 mM KOH],"",0)</f>
        <v>#REF!</v>
      </c>
      <c r="AJ1582" s="69" t="e" cm="1">
        <f t="array" ref="AJ1582">_xlfn.XLOOKUP(Table1[[#This Row],[5 cm2 cell test code]:[5 cm2 cell test code]],[1]!Table1[[Test code]:[Test code]],[1]!Table1[DIW conductivity (µS/cm)],"",0)</f>
        <v>#REF!</v>
      </c>
    </row>
    <row r="1583" spans="1:36">
      <c r="A1583" s="81"/>
      <c r="U1583" s="101"/>
      <c r="V1583" s="101"/>
      <c r="W1583" s="69" t="e" cm="1">
        <f t="array" ref="W1583">_xlfn.XLOOKUP(Table1[[#This Row],[5 cm2 cell test code]:[5 cm2 cell test code]],[1]!Table1[[Test code]:[Test code]],[1]!Table1[i @ 1.8 V DIW (A/cm2)],"",0)</f>
        <v>#REF!</v>
      </c>
      <c r="X1583" s="69" t="e" cm="1">
        <f t="array" ref="X1583">_xlfn.XLOOKUP(Table1[[#This Row],[5 cm2 cell test code]:[5 cm2 cell test code]],[1]!Table1[[Test code]:[Test code]],[1]!Table1[i @ 1.8 V 10 mM KOH (A/cm2)],"",0)</f>
        <v>#REF!</v>
      </c>
      <c r="Y1583" s="69" t="e" cm="1">
        <f t="array" ref="Y1583">_xlfn.XLOOKUP(Table1[[#This Row],[5 cm2 cell test code]:[5 cm2 cell test code]],[1]!Table1[[Test code]:[Test code]],[1]!Table1[3-E ƞ at 20mAcm-2 (mV)],"",0)</f>
        <v>#REF!</v>
      </c>
      <c r="Z1583" s="69" t="e" cm="1">
        <f t="array" ref="Z1583">_xlfn.XLOOKUP(Table1[[#This Row],[5 cm2 cell test code]:[5 cm2 cell test code]],[1]!Table1[[Test code]:[Test code]],[1]!Table1[3-E Tafel slope (mV/dec)],"",0)</f>
        <v>#REF!</v>
      </c>
      <c r="AA1583" s="69" t="e" cm="1">
        <f t="array" ref="AA1583">_xlfn.XLOOKUP(Table1[[#This Row],[5 cm2 cell test code]:[5 cm2 cell test code]],[1]!Table1[[Test code]:[Test code]],[1]!Table1[E @ 100 mA/cm2 DIW/V],"",0)</f>
        <v>#REF!</v>
      </c>
      <c r="AB1583" s="69" t="e" cm="1">
        <f t="array" ref="AB1583">_xlfn.XLOOKUP(Table1[[#This Row],[5 cm2 cell test code]:[5 cm2 cell test code]],[1]!Table1[[Test code]:[Test code]],[1]!Table1[E @ 100 mA/cm2 10 mM KOH/V],"",0)</f>
        <v>#REF!</v>
      </c>
      <c r="AC1583" s="69" t="e" cm="1">
        <f t="array" ref="AC1583">_xlfn.XLOOKUP(Table1[[#This Row],[5 cm2 cell test code]:[5 cm2 cell test code]],[1]!Table1[[Test code]:[Test code]],[1]!Table1[Anode ICR/mOhm],"",0)</f>
        <v>#REF!</v>
      </c>
      <c r="AD1583" s="69" t="e" cm="1">
        <f t="array" ref="AD1583">_xlfn.XLOOKUP(Table1[[#This Row],[5 cm2 cell test code]:[5 cm2 cell test code]],[1]!Table1[[Test code]:[Test code]],[1]!Table1[HFR DIW/ mOhm cm2],"",0)</f>
        <v>#REF!</v>
      </c>
      <c r="AE1583" s="69" t="e" cm="1">
        <f t="array" ref="AE1583">_xlfn.XLOOKUP(Table1[[#This Row],[5 cm2 cell test code]:[5 cm2 cell test code]],[1]!Table1[[Test code]:[Test code]],[1]!Table1[HFR 10 mM KOH/ mOhm cm2],"",0)</f>
        <v>#REF!</v>
      </c>
      <c r="AF1583" s="69" t="e" cm="1">
        <f t="array" ref="AF1583">_xlfn.XLOOKUP(Table1[[#This Row],[5 cm2 cell test code]:[5 cm2 cell test code]],[1]!Table1[[Test code]:[Test code]],[1]!Table1[Ionic resistance DIW/Ohm cm2],"",0)</f>
        <v>#REF!</v>
      </c>
      <c r="AG1583" s="69" t="e" cm="1">
        <f t="array" ref="AG1583">_xlfn.XLOOKUP(Table1[[#This Row],[5 cm2 cell test code]:[5 cm2 cell test code]],[1]!Table1[[Test code]:[Test code]],[1]!Table1[Q_int_frac DIW],"",0)</f>
        <v>#REF!</v>
      </c>
      <c r="AH1583" s="69" t="e" cm="1">
        <f t="array" ref="AH1583">_xlfn.XLOOKUP(Table1[[#This Row],[5 cm2 cell test code]:[5 cm2 cell test code]],[1]!Table1[[Test code]:[Test code]],[1]!Table1[Ionic resistance 10 mM KOH/Ohm cm2],"",0)</f>
        <v>#REF!</v>
      </c>
      <c r="AI1583" s="69" t="e" cm="1">
        <f t="array" ref="AI1583">_xlfn.XLOOKUP(Table1[[#This Row],[5 cm2 cell test code]:[5 cm2 cell test code]],[1]!Table1[[Test code]:[Test code]],[1]!Table1[Q_int_frac DIW 10 mM KOH],"",0)</f>
        <v>#REF!</v>
      </c>
      <c r="AJ1583" s="69" t="e" cm="1">
        <f t="array" ref="AJ1583">_xlfn.XLOOKUP(Table1[[#This Row],[5 cm2 cell test code]:[5 cm2 cell test code]],[1]!Table1[[Test code]:[Test code]],[1]!Table1[DIW conductivity (µS/cm)],"",0)</f>
        <v>#REF!</v>
      </c>
    </row>
    <row r="1584" spans="1:36">
      <c r="A1584" s="81"/>
      <c r="U1584" s="101"/>
      <c r="V1584" s="101"/>
      <c r="W1584" s="69" t="e" cm="1">
        <f t="array" ref="W1584">_xlfn.XLOOKUP(Table1[[#This Row],[5 cm2 cell test code]:[5 cm2 cell test code]],[1]!Table1[[Test code]:[Test code]],[1]!Table1[i @ 1.8 V DIW (A/cm2)],"",0)</f>
        <v>#REF!</v>
      </c>
      <c r="X1584" s="69" t="e" cm="1">
        <f t="array" ref="X1584">_xlfn.XLOOKUP(Table1[[#This Row],[5 cm2 cell test code]:[5 cm2 cell test code]],[1]!Table1[[Test code]:[Test code]],[1]!Table1[i @ 1.8 V 10 mM KOH (A/cm2)],"",0)</f>
        <v>#REF!</v>
      </c>
      <c r="Y1584" s="69" t="e" cm="1">
        <f t="array" ref="Y1584">_xlfn.XLOOKUP(Table1[[#This Row],[5 cm2 cell test code]:[5 cm2 cell test code]],[1]!Table1[[Test code]:[Test code]],[1]!Table1[3-E ƞ at 20mAcm-2 (mV)],"",0)</f>
        <v>#REF!</v>
      </c>
      <c r="Z1584" s="69" t="e" cm="1">
        <f t="array" ref="Z1584">_xlfn.XLOOKUP(Table1[[#This Row],[5 cm2 cell test code]:[5 cm2 cell test code]],[1]!Table1[[Test code]:[Test code]],[1]!Table1[3-E Tafel slope (mV/dec)],"",0)</f>
        <v>#REF!</v>
      </c>
      <c r="AA1584" s="69" t="e" cm="1">
        <f t="array" ref="AA1584">_xlfn.XLOOKUP(Table1[[#This Row],[5 cm2 cell test code]:[5 cm2 cell test code]],[1]!Table1[[Test code]:[Test code]],[1]!Table1[E @ 100 mA/cm2 DIW/V],"",0)</f>
        <v>#REF!</v>
      </c>
      <c r="AB1584" s="69" t="e" cm="1">
        <f t="array" ref="AB1584">_xlfn.XLOOKUP(Table1[[#This Row],[5 cm2 cell test code]:[5 cm2 cell test code]],[1]!Table1[[Test code]:[Test code]],[1]!Table1[E @ 100 mA/cm2 10 mM KOH/V],"",0)</f>
        <v>#REF!</v>
      </c>
      <c r="AC1584" s="69" t="e" cm="1">
        <f t="array" ref="AC1584">_xlfn.XLOOKUP(Table1[[#This Row],[5 cm2 cell test code]:[5 cm2 cell test code]],[1]!Table1[[Test code]:[Test code]],[1]!Table1[Anode ICR/mOhm],"",0)</f>
        <v>#REF!</v>
      </c>
      <c r="AD1584" s="69" t="e" cm="1">
        <f t="array" ref="AD1584">_xlfn.XLOOKUP(Table1[[#This Row],[5 cm2 cell test code]:[5 cm2 cell test code]],[1]!Table1[[Test code]:[Test code]],[1]!Table1[HFR DIW/ mOhm cm2],"",0)</f>
        <v>#REF!</v>
      </c>
      <c r="AE1584" s="69" t="e" cm="1">
        <f t="array" ref="AE1584">_xlfn.XLOOKUP(Table1[[#This Row],[5 cm2 cell test code]:[5 cm2 cell test code]],[1]!Table1[[Test code]:[Test code]],[1]!Table1[HFR 10 mM KOH/ mOhm cm2],"",0)</f>
        <v>#REF!</v>
      </c>
      <c r="AF1584" s="69" t="e" cm="1">
        <f t="array" ref="AF1584">_xlfn.XLOOKUP(Table1[[#This Row],[5 cm2 cell test code]:[5 cm2 cell test code]],[1]!Table1[[Test code]:[Test code]],[1]!Table1[Ionic resistance DIW/Ohm cm2],"",0)</f>
        <v>#REF!</v>
      </c>
      <c r="AG1584" s="69" t="e" cm="1">
        <f t="array" ref="AG1584">_xlfn.XLOOKUP(Table1[[#This Row],[5 cm2 cell test code]:[5 cm2 cell test code]],[1]!Table1[[Test code]:[Test code]],[1]!Table1[Q_int_frac DIW],"",0)</f>
        <v>#REF!</v>
      </c>
      <c r="AH1584" s="69" t="e" cm="1">
        <f t="array" ref="AH1584">_xlfn.XLOOKUP(Table1[[#This Row],[5 cm2 cell test code]:[5 cm2 cell test code]],[1]!Table1[[Test code]:[Test code]],[1]!Table1[Ionic resistance 10 mM KOH/Ohm cm2],"",0)</f>
        <v>#REF!</v>
      </c>
      <c r="AI1584" s="69" t="e" cm="1">
        <f t="array" ref="AI1584">_xlfn.XLOOKUP(Table1[[#This Row],[5 cm2 cell test code]:[5 cm2 cell test code]],[1]!Table1[[Test code]:[Test code]],[1]!Table1[Q_int_frac DIW 10 mM KOH],"",0)</f>
        <v>#REF!</v>
      </c>
      <c r="AJ1584" s="69" t="e" cm="1">
        <f t="array" ref="AJ1584">_xlfn.XLOOKUP(Table1[[#This Row],[5 cm2 cell test code]:[5 cm2 cell test code]],[1]!Table1[[Test code]:[Test code]],[1]!Table1[DIW conductivity (µS/cm)],"",0)</f>
        <v>#REF!</v>
      </c>
    </row>
    <row r="1585" spans="1:36">
      <c r="A1585" s="81"/>
      <c r="U1585" s="101"/>
      <c r="V1585" s="101"/>
      <c r="W1585" s="69" t="e" cm="1">
        <f t="array" ref="W1585">_xlfn.XLOOKUP(Table1[[#This Row],[5 cm2 cell test code]:[5 cm2 cell test code]],[1]!Table1[[Test code]:[Test code]],[1]!Table1[i @ 1.8 V DIW (A/cm2)],"",0)</f>
        <v>#REF!</v>
      </c>
      <c r="X1585" s="69" t="e" cm="1">
        <f t="array" ref="X1585">_xlfn.XLOOKUP(Table1[[#This Row],[5 cm2 cell test code]:[5 cm2 cell test code]],[1]!Table1[[Test code]:[Test code]],[1]!Table1[i @ 1.8 V 10 mM KOH (A/cm2)],"",0)</f>
        <v>#REF!</v>
      </c>
      <c r="Y1585" s="69" t="e" cm="1">
        <f t="array" ref="Y1585">_xlfn.XLOOKUP(Table1[[#This Row],[5 cm2 cell test code]:[5 cm2 cell test code]],[1]!Table1[[Test code]:[Test code]],[1]!Table1[3-E ƞ at 20mAcm-2 (mV)],"",0)</f>
        <v>#REF!</v>
      </c>
      <c r="Z1585" s="69" t="e" cm="1">
        <f t="array" ref="Z1585">_xlfn.XLOOKUP(Table1[[#This Row],[5 cm2 cell test code]:[5 cm2 cell test code]],[1]!Table1[[Test code]:[Test code]],[1]!Table1[3-E Tafel slope (mV/dec)],"",0)</f>
        <v>#REF!</v>
      </c>
      <c r="AA1585" s="69" t="e" cm="1">
        <f t="array" ref="AA1585">_xlfn.XLOOKUP(Table1[[#This Row],[5 cm2 cell test code]:[5 cm2 cell test code]],[1]!Table1[[Test code]:[Test code]],[1]!Table1[E @ 100 mA/cm2 DIW/V],"",0)</f>
        <v>#REF!</v>
      </c>
      <c r="AB1585" s="69" t="e" cm="1">
        <f t="array" ref="AB1585">_xlfn.XLOOKUP(Table1[[#This Row],[5 cm2 cell test code]:[5 cm2 cell test code]],[1]!Table1[[Test code]:[Test code]],[1]!Table1[E @ 100 mA/cm2 10 mM KOH/V],"",0)</f>
        <v>#REF!</v>
      </c>
      <c r="AC1585" s="69" t="e" cm="1">
        <f t="array" ref="AC1585">_xlfn.XLOOKUP(Table1[[#This Row],[5 cm2 cell test code]:[5 cm2 cell test code]],[1]!Table1[[Test code]:[Test code]],[1]!Table1[Anode ICR/mOhm],"",0)</f>
        <v>#REF!</v>
      </c>
      <c r="AD1585" s="69" t="e" cm="1">
        <f t="array" ref="AD1585">_xlfn.XLOOKUP(Table1[[#This Row],[5 cm2 cell test code]:[5 cm2 cell test code]],[1]!Table1[[Test code]:[Test code]],[1]!Table1[HFR DIW/ mOhm cm2],"",0)</f>
        <v>#REF!</v>
      </c>
      <c r="AE1585" s="69" t="e" cm="1">
        <f t="array" ref="AE1585">_xlfn.XLOOKUP(Table1[[#This Row],[5 cm2 cell test code]:[5 cm2 cell test code]],[1]!Table1[[Test code]:[Test code]],[1]!Table1[HFR 10 mM KOH/ mOhm cm2],"",0)</f>
        <v>#REF!</v>
      </c>
      <c r="AF1585" s="69" t="e" cm="1">
        <f t="array" ref="AF1585">_xlfn.XLOOKUP(Table1[[#This Row],[5 cm2 cell test code]:[5 cm2 cell test code]],[1]!Table1[[Test code]:[Test code]],[1]!Table1[Ionic resistance DIW/Ohm cm2],"",0)</f>
        <v>#REF!</v>
      </c>
      <c r="AG1585" s="69" t="e" cm="1">
        <f t="array" ref="AG1585">_xlfn.XLOOKUP(Table1[[#This Row],[5 cm2 cell test code]:[5 cm2 cell test code]],[1]!Table1[[Test code]:[Test code]],[1]!Table1[Q_int_frac DIW],"",0)</f>
        <v>#REF!</v>
      </c>
      <c r="AH1585" s="69" t="e" cm="1">
        <f t="array" ref="AH1585">_xlfn.XLOOKUP(Table1[[#This Row],[5 cm2 cell test code]:[5 cm2 cell test code]],[1]!Table1[[Test code]:[Test code]],[1]!Table1[Ionic resistance 10 mM KOH/Ohm cm2],"",0)</f>
        <v>#REF!</v>
      </c>
      <c r="AI1585" s="69" t="e" cm="1">
        <f t="array" ref="AI1585">_xlfn.XLOOKUP(Table1[[#This Row],[5 cm2 cell test code]:[5 cm2 cell test code]],[1]!Table1[[Test code]:[Test code]],[1]!Table1[Q_int_frac DIW 10 mM KOH],"",0)</f>
        <v>#REF!</v>
      </c>
      <c r="AJ1585" s="69" t="e" cm="1">
        <f t="array" ref="AJ1585">_xlfn.XLOOKUP(Table1[[#This Row],[5 cm2 cell test code]:[5 cm2 cell test code]],[1]!Table1[[Test code]:[Test code]],[1]!Table1[DIW conductivity (µS/cm)],"",0)</f>
        <v>#REF!</v>
      </c>
    </row>
    <row r="1586" spans="1:36">
      <c r="A1586" s="81"/>
      <c r="U1586" s="101"/>
      <c r="V1586" s="101"/>
      <c r="W1586" s="69" t="e" cm="1">
        <f t="array" ref="W1586">_xlfn.XLOOKUP(Table1[[#This Row],[5 cm2 cell test code]:[5 cm2 cell test code]],[1]!Table1[[Test code]:[Test code]],[1]!Table1[i @ 1.8 V DIW (A/cm2)],"",0)</f>
        <v>#REF!</v>
      </c>
      <c r="X1586" s="69" t="e" cm="1">
        <f t="array" ref="X1586">_xlfn.XLOOKUP(Table1[[#This Row],[5 cm2 cell test code]:[5 cm2 cell test code]],[1]!Table1[[Test code]:[Test code]],[1]!Table1[i @ 1.8 V 10 mM KOH (A/cm2)],"",0)</f>
        <v>#REF!</v>
      </c>
      <c r="Y1586" s="69" t="e" cm="1">
        <f t="array" ref="Y1586">_xlfn.XLOOKUP(Table1[[#This Row],[5 cm2 cell test code]:[5 cm2 cell test code]],[1]!Table1[[Test code]:[Test code]],[1]!Table1[3-E ƞ at 20mAcm-2 (mV)],"",0)</f>
        <v>#REF!</v>
      </c>
      <c r="Z1586" s="69" t="e" cm="1">
        <f t="array" ref="Z1586">_xlfn.XLOOKUP(Table1[[#This Row],[5 cm2 cell test code]:[5 cm2 cell test code]],[1]!Table1[[Test code]:[Test code]],[1]!Table1[3-E Tafel slope (mV/dec)],"",0)</f>
        <v>#REF!</v>
      </c>
      <c r="AA1586" s="69" t="e" cm="1">
        <f t="array" ref="AA1586">_xlfn.XLOOKUP(Table1[[#This Row],[5 cm2 cell test code]:[5 cm2 cell test code]],[1]!Table1[[Test code]:[Test code]],[1]!Table1[E @ 100 mA/cm2 DIW/V],"",0)</f>
        <v>#REF!</v>
      </c>
      <c r="AB1586" s="69" t="e" cm="1">
        <f t="array" ref="AB1586">_xlfn.XLOOKUP(Table1[[#This Row],[5 cm2 cell test code]:[5 cm2 cell test code]],[1]!Table1[[Test code]:[Test code]],[1]!Table1[E @ 100 mA/cm2 10 mM KOH/V],"",0)</f>
        <v>#REF!</v>
      </c>
      <c r="AC1586" s="69" t="e" cm="1">
        <f t="array" ref="AC1586">_xlfn.XLOOKUP(Table1[[#This Row],[5 cm2 cell test code]:[5 cm2 cell test code]],[1]!Table1[[Test code]:[Test code]],[1]!Table1[Anode ICR/mOhm],"",0)</f>
        <v>#REF!</v>
      </c>
      <c r="AD1586" s="69" t="e" cm="1">
        <f t="array" ref="AD1586">_xlfn.XLOOKUP(Table1[[#This Row],[5 cm2 cell test code]:[5 cm2 cell test code]],[1]!Table1[[Test code]:[Test code]],[1]!Table1[HFR DIW/ mOhm cm2],"",0)</f>
        <v>#REF!</v>
      </c>
      <c r="AE1586" s="69" t="e" cm="1">
        <f t="array" ref="AE1586">_xlfn.XLOOKUP(Table1[[#This Row],[5 cm2 cell test code]:[5 cm2 cell test code]],[1]!Table1[[Test code]:[Test code]],[1]!Table1[HFR 10 mM KOH/ mOhm cm2],"",0)</f>
        <v>#REF!</v>
      </c>
      <c r="AF1586" s="69" t="e" cm="1">
        <f t="array" ref="AF1586">_xlfn.XLOOKUP(Table1[[#This Row],[5 cm2 cell test code]:[5 cm2 cell test code]],[1]!Table1[[Test code]:[Test code]],[1]!Table1[Ionic resistance DIW/Ohm cm2],"",0)</f>
        <v>#REF!</v>
      </c>
      <c r="AG1586" s="69" t="e" cm="1">
        <f t="array" ref="AG1586">_xlfn.XLOOKUP(Table1[[#This Row],[5 cm2 cell test code]:[5 cm2 cell test code]],[1]!Table1[[Test code]:[Test code]],[1]!Table1[Q_int_frac DIW],"",0)</f>
        <v>#REF!</v>
      </c>
      <c r="AH1586" s="69" t="e" cm="1">
        <f t="array" ref="AH1586">_xlfn.XLOOKUP(Table1[[#This Row],[5 cm2 cell test code]:[5 cm2 cell test code]],[1]!Table1[[Test code]:[Test code]],[1]!Table1[Ionic resistance 10 mM KOH/Ohm cm2],"",0)</f>
        <v>#REF!</v>
      </c>
      <c r="AI1586" s="69" t="e" cm="1">
        <f t="array" ref="AI1586">_xlfn.XLOOKUP(Table1[[#This Row],[5 cm2 cell test code]:[5 cm2 cell test code]],[1]!Table1[[Test code]:[Test code]],[1]!Table1[Q_int_frac DIW 10 mM KOH],"",0)</f>
        <v>#REF!</v>
      </c>
      <c r="AJ1586" s="69" t="e" cm="1">
        <f t="array" ref="AJ1586">_xlfn.XLOOKUP(Table1[[#This Row],[5 cm2 cell test code]:[5 cm2 cell test code]],[1]!Table1[[Test code]:[Test code]],[1]!Table1[DIW conductivity (µS/cm)],"",0)</f>
        <v>#REF!</v>
      </c>
    </row>
    <row r="1587" spans="1:36">
      <c r="A1587" s="81"/>
      <c r="U1587" s="101"/>
      <c r="V1587" s="101"/>
      <c r="W1587" s="69" t="e" cm="1">
        <f t="array" ref="W1587">_xlfn.XLOOKUP(Table1[[#This Row],[5 cm2 cell test code]:[5 cm2 cell test code]],[1]!Table1[[Test code]:[Test code]],[1]!Table1[i @ 1.8 V DIW (A/cm2)],"",0)</f>
        <v>#REF!</v>
      </c>
      <c r="X1587" s="69" t="e" cm="1">
        <f t="array" ref="X1587">_xlfn.XLOOKUP(Table1[[#This Row],[5 cm2 cell test code]:[5 cm2 cell test code]],[1]!Table1[[Test code]:[Test code]],[1]!Table1[i @ 1.8 V 10 mM KOH (A/cm2)],"",0)</f>
        <v>#REF!</v>
      </c>
      <c r="Y1587" s="69" t="e" cm="1">
        <f t="array" ref="Y1587">_xlfn.XLOOKUP(Table1[[#This Row],[5 cm2 cell test code]:[5 cm2 cell test code]],[1]!Table1[[Test code]:[Test code]],[1]!Table1[3-E ƞ at 20mAcm-2 (mV)],"",0)</f>
        <v>#REF!</v>
      </c>
      <c r="Z1587" s="69" t="e" cm="1">
        <f t="array" ref="Z1587">_xlfn.XLOOKUP(Table1[[#This Row],[5 cm2 cell test code]:[5 cm2 cell test code]],[1]!Table1[[Test code]:[Test code]],[1]!Table1[3-E Tafel slope (mV/dec)],"",0)</f>
        <v>#REF!</v>
      </c>
      <c r="AA1587" s="69" t="e" cm="1">
        <f t="array" ref="AA1587">_xlfn.XLOOKUP(Table1[[#This Row],[5 cm2 cell test code]:[5 cm2 cell test code]],[1]!Table1[[Test code]:[Test code]],[1]!Table1[E @ 100 mA/cm2 DIW/V],"",0)</f>
        <v>#REF!</v>
      </c>
      <c r="AB1587" s="69" t="e" cm="1">
        <f t="array" ref="AB1587">_xlfn.XLOOKUP(Table1[[#This Row],[5 cm2 cell test code]:[5 cm2 cell test code]],[1]!Table1[[Test code]:[Test code]],[1]!Table1[E @ 100 mA/cm2 10 mM KOH/V],"",0)</f>
        <v>#REF!</v>
      </c>
      <c r="AC1587" s="69" t="e" cm="1">
        <f t="array" ref="AC1587">_xlfn.XLOOKUP(Table1[[#This Row],[5 cm2 cell test code]:[5 cm2 cell test code]],[1]!Table1[[Test code]:[Test code]],[1]!Table1[Anode ICR/mOhm],"",0)</f>
        <v>#REF!</v>
      </c>
      <c r="AD1587" s="69" t="e" cm="1">
        <f t="array" ref="AD1587">_xlfn.XLOOKUP(Table1[[#This Row],[5 cm2 cell test code]:[5 cm2 cell test code]],[1]!Table1[[Test code]:[Test code]],[1]!Table1[HFR DIW/ mOhm cm2],"",0)</f>
        <v>#REF!</v>
      </c>
      <c r="AE1587" s="69" t="e" cm="1">
        <f t="array" ref="AE1587">_xlfn.XLOOKUP(Table1[[#This Row],[5 cm2 cell test code]:[5 cm2 cell test code]],[1]!Table1[[Test code]:[Test code]],[1]!Table1[HFR 10 mM KOH/ mOhm cm2],"",0)</f>
        <v>#REF!</v>
      </c>
      <c r="AF1587" s="69" t="e" cm="1">
        <f t="array" ref="AF1587">_xlfn.XLOOKUP(Table1[[#This Row],[5 cm2 cell test code]:[5 cm2 cell test code]],[1]!Table1[[Test code]:[Test code]],[1]!Table1[Ionic resistance DIW/Ohm cm2],"",0)</f>
        <v>#REF!</v>
      </c>
      <c r="AG1587" s="69" t="e" cm="1">
        <f t="array" ref="AG1587">_xlfn.XLOOKUP(Table1[[#This Row],[5 cm2 cell test code]:[5 cm2 cell test code]],[1]!Table1[[Test code]:[Test code]],[1]!Table1[Q_int_frac DIW],"",0)</f>
        <v>#REF!</v>
      </c>
      <c r="AH1587" s="69" t="e" cm="1">
        <f t="array" ref="AH1587">_xlfn.XLOOKUP(Table1[[#This Row],[5 cm2 cell test code]:[5 cm2 cell test code]],[1]!Table1[[Test code]:[Test code]],[1]!Table1[Ionic resistance 10 mM KOH/Ohm cm2],"",0)</f>
        <v>#REF!</v>
      </c>
      <c r="AI1587" s="69" t="e" cm="1">
        <f t="array" ref="AI1587">_xlfn.XLOOKUP(Table1[[#This Row],[5 cm2 cell test code]:[5 cm2 cell test code]],[1]!Table1[[Test code]:[Test code]],[1]!Table1[Q_int_frac DIW 10 mM KOH],"",0)</f>
        <v>#REF!</v>
      </c>
      <c r="AJ1587" s="69" t="e" cm="1">
        <f t="array" ref="AJ1587">_xlfn.XLOOKUP(Table1[[#This Row],[5 cm2 cell test code]:[5 cm2 cell test code]],[1]!Table1[[Test code]:[Test code]],[1]!Table1[DIW conductivity (µS/cm)],"",0)</f>
        <v>#REF!</v>
      </c>
    </row>
    <row r="1588" spans="1:36">
      <c r="A1588" s="81"/>
      <c r="U1588" s="101"/>
      <c r="V1588" s="101"/>
      <c r="W1588" s="69" t="e" cm="1">
        <f t="array" ref="W1588">_xlfn.XLOOKUP(Table1[[#This Row],[5 cm2 cell test code]:[5 cm2 cell test code]],[1]!Table1[[Test code]:[Test code]],[1]!Table1[i @ 1.8 V DIW (A/cm2)],"",0)</f>
        <v>#REF!</v>
      </c>
      <c r="X1588" s="69" t="e" cm="1">
        <f t="array" ref="X1588">_xlfn.XLOOKUP(Table1[[#This Row],[5 cm2 cell test code]:[5 cm2 cell test code]],[1]!Table1[[Test code]:[Test code]],[1]!Table1[i @ 1.8 V 10 mM KOH (A/cm2)],"",0)</f>
        <v>#REF!</v>
      </c>
      <c r="Y1588" s="69" t="e" cm="1">
        <f t="array" ref="Y1588">_xlfn.XLOOKUP(Table1[[#This Row],[5 cm2 cell test code]:[5 cm2 cell test code]],[1]!Table1[[Test code]:[Test code]],[1]!Table1[3-E ƞ at 20mAcm-2 (mV)],"",0)</f>
        <v>#REF!</v>
      </c>
      <c r="Z1588" s="69" t="e" cm="1">
        <f t="array" ref="Z1588">_xlfn.XLOOKUP(Table1[[#This Row],[5 cm2 cell test code]:[5 cm2 cell test code]],[1]!Table1[[Test code]:[Test code]],[1]!Table1[3-E Tafel slope (mV/dec)],"",0)</f>
        <v>#REF!</v>
      </c>
      <c r="AA1588" s="69" t="e" cm="1">
        <f t="array" ref="AA1588">_xlfn.XLOOKUP(Table1[[#This Row],[5 cm2 cell test code]:[5 cm2 cell test code]],[1]!Table1[[Test code]:[Test code]],[1]!Table1[E @ 100 mA/cm2 DIW/V],"",0)</f>
        <v>#REF!</v>
      </c>
      <c r="AB1588" s="69" t="e" cm="1">
        <f t="array" ref="AB1588">_xlfn.XLOOKUP(Table1[[#This Row],[5 cm2 cell test code]:[5 cm2 cell test code]],[1]!Table1[[Test code]:[Test code]],[1]!Table1[E @ 100 mA/cm2 10 mM KOH/V],"",0)</f>
        <v>#REF!</v>
      </c>
      <c r="AC1588" s="69" t="e" cm="1">
        <f t="array" ref="AC1588">_xlfn.XLOOKUP(Table1[[#This Row],[5 cm2 cell test code]:[5 cm2 cell test code]],[1]!Table1[[Test code]:[Test code]],[1]!Table1[Anode ICR/mOhm],"",0)</f>
        <v>#REF!</v>
      </c>
      <c r="AD1588" s="69" t="e" cm="1">
        <f t="array" ref="AD1588">_xlfn.XLOOKUP(Table1[[#This Row],[5 cm2 cell test code]:[5 cm2 cell test code]],[1]!Table1[[Test code]:[Test code]],[1]!Table1[HFR DIW/ mOhm cm2],"",0)</f>
        <v>#REF!</v>
      </c>
      <c r="AE1588" s="69" t="e" cm="1">
        <f t="array" ref="AE1588">_xlfn.XLOOKUP(Table1[[#This Row],[5 cm2 cell test code]:[5 cm2 cell test code]],[1]!Table1[[Test code]:[Test code]],[1]!Table1[HFR 10 mM KOH/ mOhm cm2],"",0)</f>
        <v>#REF!</v>
      </c>
      <c r="AF1588" s="69" t="e" cm="1">
        <f t="array" ref="AF1588">_xlfn.XLOOKUP(Table1[[#This Row],[5 cm2 cell test code]:[5 cm2 cell test code]],[1]!Table1[[Test code]:[Test code]],[1]!Table1[Ionic resistance DIW/Ohm cm2],"",0)</f>
        <v>#REF!</v>
      </c>
      <c r="AG1588" s="69" t="e" cm="1">
        <f t="array" ref="AG1588">_xlfn.XLOOKUP(Table1[[#This Row],[5 cm2 cell test code]:[5 cm2 cell test code]],[1]!Table1[[Test code]:[Test code]],[1]!Table1[Q_int_frac DIW],"",0)</f>
        <v>#REF!</v>
      </c>
      <c r="AH1588" s="69" t="e" cm="1">
        <f t="array" ref="AH1588">_xlfn.XLOOKUP(Table1[[#This Row],[5 cm2 cell test code]:[5 cm2 cell test code]],[1]!Table1[[Test code]:[Test code]],[1]!Table1[Ionic resistance 10 mM KOH/Ohm cm2],"",0)</f>
        <v>#REF!</v>
      </c>
      <c r="AI1588" s="69" t="e" cm="1">
        <f t="array" ref="AI1588">_xlfn.XLOOKUP(Table1[[#This Row],[5 cm2 cell test code]:[5 cm2 cell test code]],[1]!Table1[[Test code]:[Test code]],[1]!Table1[Q_int_frac DIW 10 mM KOH],"",0)</f>
        <v>#REF!</v>
      </c>
      <c r="AJ1588" s="69" t="e" cm="1">
        <f t="array" ref="AJ1588">_xlfn.XLOOKUP(Table1[[#This Row],[5 cm2 cell test code]:[5 cm2 cell test code]],[1]!Table1[[Test code]:[Test code]],[1]!Table1[DIW conductivity (µS/cm)],"",0)</f>
        <v>#REF!</v>
      </c>
    </row>
    <row r="1589" spans="1:36">
      <c r="A1589" s="81"/>
      <c r="U1589" s="101"/>
      <c r="V1589" s="101"/>
      <c r="W1589" s="69" t="e" cm="1">
        <f t="array" ref="W1589">_xlfn.XLOOKUP(Table1[[#This Row],[5 cm2 cell test code]:[5 cm2 cell test code]],[1]!Table1[[Test code]:[Test code]],[1]!Table1[i @ 1.8 V DIW (A/cm2)],"",0)</f>
        <v>#REF!</v>
      </c>
      <c r="X1589" s="69" t="e" cm="1">
        <f t="array" ref="X1589">_xlfn.XLOOKUP(Table1[[#This Row],[5 cm2 cell test code]:[5 cm2 cell test code]],[1]!Table1[[Test code]:[Test code]],[1]!Table1[i @ 1.8 V 10 mM KOH (A/cm2)],"",0)</f>
        <v>#REF!</v>
      </c>
      <c r="Y1589" s="69" t="e" cm="1">
        <f t="array" ref="Y1589">_xlfn.XLOOKUP(Table1[[#This Row],[5 cm2 cell test code]:[5 cm2 cell test code]],[1]!Table1[[Test code]:[Test code]],[1]!Table1[3-E ƞ at 20mAcm-2 (mV)],"",0)</f>
        <v>#REF!</v>
      </c>
      <c r="Z1589" s="69" t="e" cm="1">
        <f t="array" ref="Z1589">_xlfn.XLOOKUP(Table1[[#This Row],[5 cm2 cell test code]:[5 cm2 cell test code]],[1]!Table1[[Test code]:[Test code]],[1]!Table1[3-E Tafel slope (mV/dec)],"",0)</f>
        <v>#REF!</v>
      </c>
      <c r="AA1589" s="69" t="e" cm="1">
        <f t="array" ref="AA1589">_xlfn.XLOOKUP(Table1[[#This Row],[5 cm2 cell test code]:[5 cm2 cell test code]],[1]!Table1[[Test code]:[Test code]],[1]!Table1[E @ 100 mA/cm2 DIW/V],"",0)</f>
        <v>#REF!</v>
      </c>
      <c r="AB1589" s="69" t="e" cm="1">
        <f t="array" ref="AB1589">_xlfn.XLOOKUP(Table1[[#This Row],[5 cm2 cell test code]:[5 cm2 cell test code]],[1]!Table1[[Test code]:[Test code]],[1]!Table1[E @ 100 mA/cm2 10 mM KOH/V],"",0)</f>
        <v>#REF!</v>
      </c>
      <c r="AC1589" s="69" t="e" cm="1">
        <f t="array" ref="AC1589">_xlfn.XLOOKUP(Table1[[#This Row],[5 cm2 cell test code]:[5 cm2 cell test code]],[1]!Table1[[Test code]:[Test code]],[1]!Table1[Anode ICR/mOhm],"",0)</f>
        <v>#REF!</v>
      </c>
      <c r="AD1589" s="69" t="e" cm="1">
        <f t="array" ref="AD1589">_xlfn.XLOOKUP(Table1[[#This Row],[5 cm2 cell test code]:[5 cm2 cell test code]],[1]!Table1[[Test code]:[Test code]],[1]!Table1[HFR DIW/ mOhm cm2],"",0)</f>
        <v>#REF!</v>
      </c>
      <c r="AE1589" s="69" t="e" cm="1">
        <f t="array" ref="AE1589">_xlfn.XLOOKUP(Table1[[#This Row],[5 cm2 cell test code]:[5 cm2 cell test code]],[1]!Table1[[Test code]:[Test code]],[1]!Table1[HFR 10 mM KOH/ mOhm cm2],"",0)</f>
        <v>#REF!</v>
      </c>
      <c r="AF1589" s="69" t="e" cm="1">
        <f t="array" ref="AF1589">_xlfn.XLOOKUP(Table1[[#This Row],[5 cm2 cell test code]:[5 cm2 cell test code]],[1]!Table1[[Test code]:[Test code]],[1]!Table1[Ionic resistance DIW/Ohm cm2],"",0)</f>
        <v>#REF!</v>
      </c>
      <c r="AG1589" s="69" t="e" cm="1">
        <f t="array" ref="AG1589">_xlfn.XLOOKUP(Table1[[#This Row],[5 cm2 cell test code]:[5 cm2 cell test code]],[1]!Table1[[Test code]:[Test code]],[1]!Table1[Q_int_frac DIW],"",0)</f>
        <v>#REF!</v>
      </c>
      <c r="AH1589" s="69" t="e" cm="1">
        <f t="array" ref="AH1589">_xlfn.XLOOKUP(Table1[[#This Row],[5 cm2 cell test code]:[5 cm2 cell test code]],[1]!Table1[[Test code]:[Test code]],[1]!Table1[Ionic resistance 10 mM KOH/Ohm cm2],"",0)</f>
        <v>#REF!</v>
      </c>
      <c r="AI1589" s="69" t="e" cm="1">
        <f t="array" ref="AI1589">_xlfn.XLOOKUP(Table1[[#This Row],[5 cm2 cell test code]:[5 cm2 cell test code]],[1]!Table1[[Test code]:[Test code]],[1]!Table1[Q_int_frac DIW 10 mM KOH],"",0)</f>
        <v>#REF!</v>
      </c>
      <c r="AJ1589" s="69" t="e" cm="1">
        <f t="array" ref="AJ1589">_xlfn.XLOOKUP(Table1[[#This Row],[5 cm2 cell test code]:[5 cm2 cell test code]],[1]!Table1[[Test code]:[Test code]],[1]!Table1[DIW conductivity (µS/cm)],"",0)</f>
        <v>#REF!</v>
      </c>
    </row>
    <row r="1590" spans="1:36">
      <c r="A1590" s="81"/>
      <c r="U1590" s="101"/>
      <c r="V1590" s="101"/>
      <c r="W1590" s="69" t="e" cm="1">
        <f t="array" ref="W1590">_xlfn.XLOOKUP(Table1[[#This Row],[5 cm2 cell test code]:[5 cm2 cell test code]],[1]!Table1[[Test code]:[Test code]],[1]!Table1[i @ 1.8 V DIW (A/cm2)],"",0)</f>
        <v>#REF!</v>
      </c>
      <c r="X1590" s="69" t="e" cm="1">
        <f t="array" ref="X1590">_xlfn.XLOOKUP(Table1[[#This Row],[5 cm2 cell test code]:[5 cm2 cell test code]],[1]!Table1[[Test code]:[Test code]],[1]!Table1[i @ 1.8 V 10 mM KOH (A/cm2)],"",0)</f>
        <v>#REF!</v>
      </c>
      <c r="Y1590" s="69" t="e" cm="1">
        <f t="array" ref="Y1590">_xlfn.XLOOKUP(Table1[[#This Row],[5 cm2 cell test code]:[5 cm2 cell test code]],[1]!Table1[[Test code]:[Test code]],[1]!Table1[3-E ƞ at 20mAcm-2 (mV)],"",0)</f>
        <v>#REF!</v>
      </c>
      <c r="Z1590" s="69" t="e" cm="1">
        <f t="array" ref="Z1590">_xlfn.XLOOKUP(Table1[[#This Row],[5 cm2 cell test code]:[5 cm2 cell test code]],[1]!Table1[[Test code]:[Test code]],[1]!Table1[3-E Tafel slope (mV/dec)],"",0)</f>
        <v>#REF!</v>
      </c>
      <c r="AA1590" s="69" t="e" cm="1">
        <f t="array" ref="AA1590">_xlfn.XLOOKUP(Table1[[#This Row],[5 cm2 cell test code]:[5 cm2 cell test code]],[1]!Table1[[Test code]:[Test code]],[1]!Table1[E @ 100 mA/cm2 DIW/V],"",0)</f>
        <v>#REF!</v>
      </c>
      <c r="AB1590" s="69" t="e" cm="1">
        <f t="array" ref="AB1590">_xlfn.XLOOKUP(Table1[[#This Row],[5 cm2 cell test code]:[5 cm2 cell test code]],[1]!Table1[[Test code]:[Test code]],[1]!Table1[E @ 100 mA/cm2 10 mM KOH/V],"",0)</f>
        <v>#REF!</v>
      </c>
      <c r="AC1590" s="69" t="e" cm="1">
        <f t="array" ref="AC1590">_xlfn.XLOOKUP(Table1[[#This Row],[5 cm2 cell test code]:[5 cm2 cell test code]],[1]!Table1[[Test code]:[Test code]],[1]!Table1[Anode ICR/mOhm],"",0)</f>
        <v>#REF!</v>
      </c>
      <c r="AD1590" s="69" t="e" cm="1">
        <f t="array" ref="AD1590">_xlfn.XLOOKUP(Table1[[#This Row],[5 cm2 cell test code]:[5 cm2 cell test code]],[1]!Table1[[Test code]:[Test code]],[1]!Table1[HFR DIW/ mOhm cm2],"",0)</f>
        <v>#REF!</v>
      </c>
      <c r="AE1590" s="69" t="e" cm="1">
        <f t="array" ref="AE1590">_xlfn.XLOOKUP(Table1[[#This Row],[5 cm2 cell test code]:[5 cm2 cell test code]],[1]!Table1[[Test code]:[Test code]],[1]!Table1[HFR 10 mM KOH/ mOhm cm2],"",0)</f>
        <v>#REF!</v>
      </c>
      <c r="AF1590" s="69" t="e" cm="1">
        <f t="array" ref="AF1590">_xlfn.XLOOKUP(Table1[[#This Row],[5 cm2 cell test code]:[5 cm2 cell test code]],[1]!Table1[[Test code]:[Test code]],[1]!Table1[Ionic resistance DIW/Ohm cm2],"",0)</f>
        <v>#REF!</v>
      </c>
      <c r="AG1590" s="69" t="e" cm="1">
        <f t="array" ref="AG1590">_xlfn.XLOOKUP(Table1[[#This Row],[5 cm2 cell test code]:[5 cm2 cell test code]],[1]!Table1[[Test code]:[Test code]],[1]!Table1[Q_int_frac DIW],"",0)</f>
        <v>#REF!</v>
      </c>
      <c r="AH1590" s="69" t="e" cm="1">
        <f t="array" ref="AH1590">_xlfn.XLOOKUP(Table1[[#This Row],[5 cm2 cell test code]:[5 cm2 cell test code]],[1]!Table1[[Test code]:[Test code]],[1]!Table1[Ionic resistance 10 mM KOH/Ohm cm2],"",0)</f>
        <v>#REF!</v>
      </c>
      <c r="AI1590" s="69" t="e" cm="1">
        <f t="array" ref="AI1590">_xlfn.XLOOKUP(Table1[[#This Row],[5 cm2 cell test code]:[5 cm2 cell test code]],[1]!Table1[[Test code]:[Test code]],[1]!Table1[Q_int_frac DIW 10 mM KOH],"",0)</f>
        <v>#REF!</v>
      </c>
      <c r="AJ1590" s="69" t="e" cm="1">
        <f t="array" ref="AJ1590">_xlfn.XLOOKUP(Table1[[#This Row],[5 cm2 cell test code]:[5 cm2 cell test code]],[1]!Table1[[Test code]:[Test code]],[1]!Table1[DIW conductivity (µS/cm)],"",0)</f>
        <v>#REF!</v>
      </c>
    </row>
    <row r="1591" spans="1:36">
      <c r="A1591" s="81"/>
      <c r="U1591" s="101"/>
      <c r="V1591" s="101"/>
      <c r="W1591" s="69" t="e" cm="1">
        <f t="array" ref="W1591">_xlfn.XLOOKUP(Table1[[#This Row],[5 cm2 cell test code]:[5 cm2 cell test code]],[1]!Table1[[Test code]:[Test code]],[1]!Table1[i @ 1.8 V DIW (A/cm2)],"",0)</f>
        <v>#REF!</v>
      </c>
      <c r="X1591" s="69" t="e" cm="1">
        <f t="array" ref="X1591">_xlfn.XLOOKUP(Table1[[#This Row],[5 cm2 cell test code]:[5 cm2 cell test code]],[1]!Table1[[Test code]:[Test code]],[1]!Table1[i @ 1.8 V 10 mM KOH (A/cm2)],"",0)</f>
        <v>#REF!</v>
      </c>
      <c r="Y1591" s="69" t="e" cm="1">
        <f t="array" ref="Y1591">_xlfn.XLOOKUP(Table1[[#This Row],[5 cm2 cell test code]:[5 cm2 cell test code]],[1]!Table1[[Test code]:[Test code]],[1]!Table1[3-E ƞ at 20mAcm-2 (mV)],"",0)</f>
        <v>#REF!</v>
      </c>
      <c r="Z1591" s="69" t="e" cm="1">
        <f t="array" ref="Z1591">_xlfn.XLOOKUP(Table1[[#This Row],[5 cm2 cell test code]:[5 cm2 cell test code]],[1]!Table1[[Test code]:[Test code]],[1]!Table1[3-E Tafel slope (mV/dec)],"",0)</f>
        <v>#REF!</v>
      </c>
      <c r="AA1591" s="69" t="e" cm="1">
        <f t="array" ref="AA1591">_xlfn.XLOOKUP(Table1[[#This Row],[5 cm2 cell test code]:[5 cm2 cell test code]],[1]!Table1[[Test code]:[Test code]],[1]!Table1[E @ 100 mA/cm2 DIW/V],"",0)</f>
        <v>#REF!</v>
      </c>
      <c r="AB1591" s="69" t="e" cm="1">
        <f t="array" ref="AB1591">_xlfn.XLOOKUP(Table1[[#This Row],[5 cm2 cell test code]:[5 cm2 cell test code]],[1]!Table1[[Test code]:[Test code]],[1]!Table1[E @ 100 mA/cm2 10 mM KOH/V],"",0)</f>
        <v>#REF!</v>
      </c>
      <c r="AC1591" s="69" t="e" cm="1">
        <f t="array" ref="AC1591">_xlfn.XLOOKUP(Table1[[#This Row],[5 cm2 cell test code]:[5 cm2 cell test code]],[1]!Table1[[Test code]:[Test code]],[1]!Table1[Anode ICR/mOhm],"",0)</f>
        <v>#REF!</v>
      </c>
      <c r="AD1591" s="69" t="e" cm="1">
        <f t="array" ref="AD1591">_xlfn.XLOOKUP(Table1[[#This Row],[5 cm2 cell test code]:[5 cm2 cell test code]],[1]!Table1[[Test code]:[Test code]],[1]!Table1[HFR DIW/ mOhm cm2],"",0)</f>
        <v>#REF!</v>
      </c>
      <c r="AE1591" s="69" t="e" cm="1">
        <f t="array" ref="AE1591">_xlfn.XLOOKUP(Table1[[#This Row],[5 cm2 cell test code]:[5 cm2 cell test code]],[1]!Table1[[Test code]:[Test code]],[1]!Table1[HFR 10 mM KOH/ mOhm cm2],"",0)</f>
        <v>#REF!</v>
      </c>
      <c r="AF1591" s="69" t="e" cm="1">
        <f t="array" ref="AF1591">_xlfn.XLOOKUP(Table1[[#This Row],[5 cm2 cell test code]:[5 cm2 cell test code]],[1]!Table1[[Test code]:[Test code]],[1]!Table1[Ionic resistance DIW/Ohm cm2],"",0)</f>
        <v>#REF!</v>
      </c>
      <c r="AG1591" s="69" t="e" cm="1">
        <f t="array" ref="AG1591">_xlfn.XLOOKUP(Table1[[#This Row],[5 cm2 cell test code]:[5 cm2 cell test code]],[1]!Table1[[Test code]:[Test code]],[1]!Table1[Q_int_frac DIW],"",0)</f>
        <v>#REF!</v>
      </c>
      <c r="AH1591" s="69" t="e" cm="1">
        <f t="array" ref="AH1591">_xlfn.XLOOKUP(Table1[[#This Row],[5 cm2 cell test code]:[5 cm2 cell test code]],[1]!Table1[[Test code]:[Test code]],[1]!Table1[Ionic resistance 10 mM KOH/Ohm cm2],"",0)</f>
        <v>#REF!</v>
      </c>
      <c r="AI1591" s="69" t="e" cm="1">
        <f t="array" ref="AI1591">_xlfn.XLOOKUP(Table1[[#This Row],[5 cm2 cell test code]:[5 cm2 cell test code]],[1]!Table1[[Test code]:[Test code]],[1]!Table1[Q_int_frac DIW 10 mM KOH],"",0)</f>
        <v>#REF!</v>
      </c>
      <c r="AJ1591" s="69" t="e" cm="1">
        <f t="array" ref="AJ1591">_xlfn.XLOOKUP(Table1[[#This Row],[5 cm2 cell test code]:[5 cm2 cell test code]],[1]!Table1[[Test code]:[Test code]],[1]!Table1[DIW conductivity (µS/cm)],"",0)</f>
        <v>#REF!</v>
      </c>
    </row>
    <row r="1592" spans="1:36">
      <c r="A1592" s="81"/>
      <c r="U1592" s="101"/>
      <c r="V1592" s="101"/>
      <c r="W1592" s="69" t="e" cm="1">
        <f t="array" ref="W1592">_xlfn.XLOOKUP(Table1[[#This Row],[5 cm2 cell test code]:[5 cm2 cell test code]],[1]!Table1[[Test code]:[Test code]],[1]!Table1[i @ 1.8 V DIW (A/cm2)],"",0)</f>
        <v>#REF!</v>
      </c>
      <c r="X1592" s="69" t="e" cm="1">
        <f t="array" ref="X1592">_xlfn.XLOOKUP(Table1[[#This Row],[5 cm2 cell test code]:[5 cm2 cell test code]],[1]!Table1[[Test code]:[Test code]],[1]!Table1[i @ 1.8 V 10 mM KOH (A/cm2)],"",0)</f>
        <v>#REF!</v>
      </c>
      <c r="Y1592" s="69" t="e" cm="1">
        <f t="array" ref="Y1592">_xlfn.XLOOKUP(Table1[[#This Row],[5 cm2 cell test code]:[5 cm2 cell test code]],[1]!Table1[[Test code]:[Test code]],[1]!Table1[3-E ƞ at 20mAcm-2 (mV)],"",0)</f>
        <v>#REF!</v>
      </c>
      <c r="Z1592" s="69" t="e" cm="1">
        <f t="array" ref="Z1592">_xlfn.XLOOKUP(Table1[[#This Row],[5 cm2 cell test code]:[5 cm2 cell test code]],[1]!Table1[[Test code]:[Test code]],[1]!Table1[3-E Tafel slope (mV/dec)],"",0)</f>
        <v>#REF!</v>
      </c>
      <c r="AA1592" s="69" t="e" cm="1">
        <f t="array" ref="AA1592">_xlfn.XLOOKUP(Table1[[#This Row],[5 cm2 cell test code]:[5 cm2 cell test code]],[1]!Table1[[Test code]:[Test code]],[1]!Table1[E @ 100 mA/cm2 DIW/V],"",0)</f>
        <v>#REF!</v>
      </c>
      <c r="AB1592" s="69" t="e" cm="1">
        <f t="array" ref="AB1592">_xlfn.XLOOKUP(Table1[[#This Row],[5 cm2 cell test code]:[5 cm2 cell test code]],[1]!Table1[[Test code]:[Test code]],[1]!Table1[E @ 100 mA/cm2 10 mM KOH/V],"",0)</f>
        <v>#REF!</v>
      </c>
      <c r="AC1592" s="69" t="e" cm="1">
        <f t="array" ref="AC1592">_xlfn.XLOOKUP(Table1[[#This Row],[5 cm2 cell test code]:[5 cm2 cell test code]],[1]!Table1[[Test code]:[Test code]],[1]!Table1[Anode ICR/mOhm],"",0)</f>
        <v>#REF!</v>
      </c>
      <c r="AD1592" s="69" t="e" cm="1">
        <f t="array" ref="AD1592">_xlfn.XLOOKUP(Table1[[#This Row],[5 cm2 cell test code]:[5 cm2 cell test code]],[1]!Table1[[Test code]:[Test code]],[1]!Table1[HFR DIW/ mOhm cm2],"",0)</f>
        <v>#REF!</v>
      </c>
      <c r="AE1592" s="69" t="e" cm="1">
        <f t="array" ref="AE1592">_xlfn.XLOOKUP(Table1[[#This Row],[5 cm2 cell test code]:[5 cm2 cell test code]],[1]!Table1[[Test code]:[Test code]],[1]!Table1[HFR 10 mM KOH/ mOhm cm2],"",0)</f>
        <v>#REF!</v>
      </c>
      <c r="AF1592" s="69" t="e" cm="1">
        <f t="array" ref="AF1592">_xlfn.XLOOKUP(Table1[[#This Row],[5 cm2 cell test code]:[5 cm2 cell test code]],[1]!Table1[[Test code]:[Test code]],[1]!Table1[Ionic resistance DIW/Ohm cm2],"",0)</f>
        <v>#REF!</v>
      </c>
      <c r="AG1592" s="69" t="e" cm="1">
        <f t="array" ref="AG1592">_xlfn.XLOOKUP(Table1[[#This Row],[5 cm2 cell test code]:[5 cm2 cell test code]],[1]!Table1[[Test code]:[Test code]],[1]!Table1[Q_int_frac DIW],"",0)</f>
        <v>#REF!</v>
      </c>
      <c r="AH1592" s="69" t="e" cm="1">
        <f t="array" ref="AH1592">_xlfn.XLOOKUP(Table1[[#This Row],[5 cm2 cell test code]:[5 cm2 cell test code]],[1]!Table1[[Test code]:[Test code]],[1]!Table1[Ionic resistance 10 mM KOH/Ohm cm2],"",0)</f>
        <v>#REF!</v>
      </c>
      <c r="AI1592" s="69" t="e" cm="1">
        <f t="array" ref="AI1592">_xlfn.XLOOKUP(Table1[[#This Row],[5 cm2 cell test code]:[5 cm2 cell test code]],[1]!Table1[[Test code]:[Test code]],[1]!Table1[Q_int_frac DIW 10 mM KOH],"",0)</f>
        <v>#REF!</v>
      </c>
      <c r="AJ1592" s="69" t="e" cm="1">
        <f t="array" ref="AJ1592">_xlfn.XLOOKUP(Table1[[#This Row],[5 cm2 cell test code]:[5 cm2 cell test code]],[1]!Table1[[Test code]:[Test code]],[1]!Table1[DIW conductivity (µS/cm)],"",0)</f>
        <v>#REF!</v>
      </c>
    </row>
    <row r="1593" spans="1:36">
      <c r="A1593" s="81"/>
      <c r="U1593" s="101"/>
      <c r="V1593" s="101"/>
      <c r="W1593" s="69" t="e" cm="1">
        <f t="array" ref="W1593">_xlfn.XLOOKUP(Table1[[#This Row],[5 cm2 cell test code]:[5 cm2 cell test code]],[1]!Table1[[Test code]:[Test code]],[1]!Table1[i @ 1.8 V DIW (A/cm2)],"",0)</f>
        <v>#REF!</v>
      </c>
      <c r="X1593" s="69" t="e" cm="1">
        <f t="array" ref="X1593">_xlfn.XLOOKUP(Table1[[#This Row],[5 cm2 cell test code]:[5 cm2 cell test code]],[1]!Table1[[Test code]:[Test code]],[1]!Table1[i @ 1.8 V 10 mM KOH (A/cm2)],"",0)</f>
        <v>#REF!</v>
      </c>
      <c r="Y1593" s="69" t="e" cm="1">
        <f t="array" ref="Y1593">_xlfn.XLOOKUP(Table1[[#This Row],[5 cm2 cell test code]:[5 cm2 cell test code]],[1]!Table1[[Test code]:[Test code]],[1]!Table1[3-E ƞ at 20mAcm-2 (mV)],"",0)</f>
        <v>#REF!</v>
      </c>
      <c r="Z1593" s="69" t="e" cm="1">
        <f t="array" ref="Z1593">_xlfn.XLOOKUP(Table1[[#This Row],[5 cm2 cell test code]:[5 cm2 cell test code]],[1]!Table1[[Test code]:[Test code]],[1]!Table1[3-E Tafel slope (mV/dec)],"",0)</f>
        <v>#REF!</v>
      </c>
      <c r="AA1593" s="69" t="e" cm="1">
        <f t="array" ref="AA1593">_xlfn.XLOOKUP(Table1[[#This Row],[5 cm2 cell test code]:[5 cm2 cell test code]],[1]!Table1[[Test code]:[Test code]],[1]!Table1[E @ 100 mA/cm2 DIW/V],"",0)</f>
        <v>#REF!</v>
      </c>
      <c r="AB1593" s="69" t="e" cm="1">
        <f t="array" ref="AB1593">_xlfn.XLOOKUP(Table1[[#This Row],[5 cm2 cell test code]:[5 cm2 cell test code]],[1]!Table1[[Test code]:[Test code]],[1]!Table1[E @ 100 mA/cm2 10 mM KOH/V],"",0)</f>
        <v>#REF!</v>
      </c>
      <c r="AC1593" s="69" t="e" cm="1">
        <f t="array" ref="AC1593">_xlfn.XLOOKUP(Table1[[#This Row],[5 cm2 cell test code]:[5 cm2 cell test code]],[1]!Table1[[Test code]:[Test code]],[1]!Table1[Anode ICR/mOhm],"",0)</f>
        <v>#REF!</v>
      </c>
      <c r="AD1593" s="69" t="e" cm="1">
        <f t="array" ref="AD1593">_xlfn.XLOOKUP(Table1[[#This Row],[5 cm2 cell test code]:[5 cm2 cell test code]],[1]!Table1[[Test code]:[Test code]],[1]!Table1[HFR DIW/ mOhm cm2],"",0)</f>
        <v>#REF!</v>
      </c>
      <c r="AE1593" s="69" t="e" cm="1">
        <f t="array" ref="AE1593">_xlfn.XLOOKUP(Table1[[#This Row],[5 cm2 cell test code]:[5 cm2 cell test code]],[1]!Table1[[Test code]:[Test code]],[1]!Table1[HFR 10 mM KOH/ mOhm cm2],"",0)</f>
        <v>#REF!</v>
      </c>
      <c r="AF1593" s="69" t="e" cm="1">
        <f t="array" ref="AF1593">_xlfn.XLOOKUP(Table1[[#This Row],[5 cm2 cell test code]:[5 cm2 cell test code]],[1]!Table1[[Test code]:[Test code]],[1]!Table1[Ionic resistance DIW/Ohm cm2],"",0)</f>
        <v>#REF!</v>
      </c>
      <c r="AG1593" s="69" t="e" cm="1">
        <f t="array" ref="AG1593">_xlfn.XLOOKUP(Table1[[#This Row],[5 cm2 cell test code]:[5 cm2 cell test code]],[1]!Table1[[Test code]:[Test code]],[1]!Table1[Q_int_frac DIW],"",0)</f>
        <v>#REF!</v>
      </c>
      <c r="AH1593" s="69" t="e" cm="1">
        <f t="array" ref="AH1593">_xlfn.XLOOKUP(Table1[[#This Row],[5 cm2 cell test code]:[5 cm2 cell test code]],[1]!Table1[[Test code]:[Test code]],[1]!Table1[Ionic resistance 10 mM KOH/Ohm cm2],"",0)</f>
        <v>#REF!</v>
      </c>
      <c r="AI1593" s="69" t="e" cm="1">
        <f t="array" ref="AI1593">_xlfn.XLOOKUP(Table1[[#This Row],[5 cm2 cell test code]:[5 cm2 cell test code]],[1]!Table1[[Test code]:[Test code]],[1]!Table1[Q_int_frac DIW 10 mM KOH],"",0)</f>
        <v>#REF!</v>
      </c>
      <c r="AJ1593" s="69" t="e" cm="1">
        <f t="array" ref="AJ1593">_xlfn.XLOOKUP(Table1[[#This Row],[5 cm2 cell test code]:[5 cm2 cell test code]],[1]!Table1[[Test code]:[Test code]],[1]!Table1[DIW conductivity (µS/cm)],"",0)</f>
        <v>#REF!</v>
      </c>
    </row>
    <row r="1594" spans="1:36">
      <c r="A1594" s="81"/>
      <c r="U1594" s="101"/>
      <c r="V1594" s="101"/>
      <c r="W1594" s="69" t="e" cm="1">
        <f t="array" ref="W1594">_xlfn.XLOOKUP(Table1[[#This Row],[5 cm2 cell test code]:[5 cm2 cell test code]],[1]!Table1[[Test code]:[Test code]],[1]!Table1[i @ 1.8 V DIW (A/cm2)],"",0)</f>
        <v>#REF!</v>
      </c>
      <c r="X1594" s="69" t="e" cm="1">
        <f t="array" ref="X1594">_xlfn.XLOOKUP(Table1[[#This Row],[5 cm2 cell test code]:[5 cm2 cell test code]],[1]!Table1[[Test code]:[Test code]],[1]!Table1[i @ 1.8 V 10 mM KOH (A/cm2)],"",0)</f>
        <v>#REF!</v>
      </c>
      <c r="Y1594" s="69" t="e" cm="1">
        <f t="array" ref="Y1594">_xlfn.XLOOKUP(Table1[[#This Row],[5 cm2 cell test code]:[5 cm2 cell test code]],[1]!Table1[[Test code]:[Test code]],[1]!Table1[3-E ƞ at 20mAcm-2 (mV)],"",0)</f>
        <v>#REF!</v>
      </c>
      <c r="Z1594" s="69" t="e" cm="1">
        <f t="array" ref="Z1594">_xlfn.XLOOKUP(Table1[[#This Row],[5 cm2 cell test code]:[5 cm2 cell test code]],[1]!Table1[[Test code]:[Test code]],[1]!Table1[3-E Tafel slope (mV/dec)],"",0)</f>
        <v>#REF!</v>
      </c>
      <c r="AA1594" s="69" t="e" cm="1">
        <f t="array" ref="AA1594">_xlfn.XLOOKUP(Table1[[#This Row],[5 cm2 cell test code]:[5 cm2 cell test code]],[1]!Table1[[Test code]:[Test code]],[1]!Table1[E @ 100 mA/cm2 DIW/V],"",0)</f>
        <v>#REF!</v>
      </c>
      <c r="AB1594" s="69" t="e" cm="1">
        <f t="array" ref="AB1594">_xlfn.XLOOKUP(Table1[[#This Row],[5 cm2 cell test code]:[5 cm2 cell test code]],[1]!Table1[[Test code]:[Test code]],[1]!Table1[E @ 100 mA/cm2 10 mM KOH/V],"",0)</f>
        <v>#REF!</v>
      </c>
      <c r="AC1594" s="69" t="e" cm="1">
        <f t="array" ref="AC1594">_xlfn.XLOOKUP(Table1[[#This Row],[5 cm2 cell test code]:[5 cm2 cell test code]],[1]!Table1[[Test code]:[Test code]],[1]!Table1[Anode ICR/mOhm],"",0)</f>
        <v>#REF!</v>
      </c>
      <c r="AD1594" s="69" t="e" cm="1">
        <f t="array" ref="AD1594">_xlfn.XLOOKUP(Table1[[#This Row],[5 cm2 cell test code]:[5 cm2 cell test code]],[1]!Table1[[Test code]:[Test code]],[1]!Table1[HFR DIW/ mOhm cm2],"",0)</f>
        <v>#REF!</v>
      </c>
      <c r="AE1594" s="69" t="e" cm="1">
        <f t="array" ref="AE1594">_xlfn.XLOOKUP(Table1[[#This Row],[5 cm2 cell test code]:[5 cm2 cell test code]],[1]!Table1[[Test code]:[Test code]],[1]!Table1[HFR 10 mM KOH/ mOhm cm2],"",0)</f>
        <v>#REF!</v>
      </c>
      <c r="AF1594" s="69" t="e" cm="1">
        <f t="array" ref="AF1594">_xlfn.XLOOKUP(Table1[[#This Row],[5 cm2 cell test code]:[5 cm2 cell test code]],[1]!Table1[[Test code]:[Test code]],[1]!Table1[Ionic resistance DIW/Ohm cm2],"",0)</f>
        <v>#REF!</v>
      </c>
      <c r="AG1594" s="69" t="e" cm="1">
        <f t="array" ref="AG1594">_xlfn.XLOOKUP(Table1[[#This Row],[5 cm2 cell test code]:[5 cm2 cell test code]],[1]!Table1[[Test code]:[Test code]],[1]!Table1[Q_int_frac DIW],"",0)</f>
        <v>#REF!</v>
      </c>
      <c r="AH1594" s="69" t="e" cm="1">
        <f t="array" ref="AH1594">_xlfn.XLOOKUP(Table1[[#This Row],[5 cm2 cell test code]:[5 cm2 cell test code]],[1]!Table1[[Test code]:[Test code]],[1]!Table1[Ionic resistance 10 mM KOH/Ohm cm2],"",0)</f>
        <v>#REF!</v>
      </c>
      <c r="AI1594" s="69" t="e" cm="1">
        <f t="array" ref="AI1594">_xlfn.XLOOKUP(Table1[[#This Row],[5 cm2 cell test code]:[5 cm2 cell test code]],[1]!Table1[[Test code]:[Test code]],[1]!Table1[Q_int_frac DIW 10 mM KOH],"",0)</f>
        <v>#REF!</v>
      </c>
      <c r="AJ1594" s="69" t="e" cm="1">
        <f t="array" ref="AJ1594">_xlfn.XLOOKUP(Table1[[#This Row],[5 cm2 cell test code]:[5 cm2 cell test code]],[1]!Table1[[Test code]:[Test code]],[1]!Table1[DIW conductivity (µS/cm)],"",0)</f>
        <v>#REF!</v>
      </c>
    </row>
    <row r="1595" spans="1:36">
      <c r="A1595" s="81"/>
      <c r="U1595" s="101"/>
      <c r="V1595" s="101"/>
      <c r="W1595" s="69" t="e" cm="1">
        <f t="array" ref="W1595">_xlfn.XLOOKUP(Table1[[#This Row],[5 cm2 cell test code]:[5 cm2 cell test code]],[1]!Table1[[Test code]:[Test code]],[1]!Table1[i @ 1.8 V DIW (A/cm2)],"",0)</f>
        <v>#REF!</v>
      </c>
      <c r="X1595" s="69" t="e" cm="1">
        <f t="array" ref="X1595">_xlfn.XLOOKUP(Table1[[#This Row],[5 cm2 cell test code]:[5 cm2 cell test code]],[1]!Table1[[Test code]:[Test code]],[1]!Table1[i @ 1.8 V 10 mM KOH (A/cm2)],"",0)</f>
        <v>#REF!</v>
      </c>
      <c r="Y1595" s="69" t="e" cm="1">
        <f t="array" ref="Y1595">_xlfn.XLOOKUP(Table1[[#This Row],[5 cm2 cell test code]:[5 cm2 cell test code]],[1]!Table1[[Test code]:[Test code]],[1]!Table1[3-E ƞ at 20mAcm-2 (mV)],"",0)</f>
        <v>#REF!</v>
      </c>
      <c r="Z1595" s="69" t="e" cm="1">
        <f t="array" ref="Z1595">_xlfn.XLOOKUP(Table1[[#This Row],[5 cm2 cell test code]:[5 cm2 cell test code]],[1]!Table1[[Test code]:[Test code]],[1]!Table1[3-E Tafel slope (mV/dec)],"",0)</f>
        <v>#REF!</v>
      </c>
      <c r="AA1595" s="69" t="e" cm="1">
        <f t="array" ref="AA1595">_xlfn.XLOOKUP(Table1[[#This Row],[5 cm2 cell test code]:[5 cm2 cell test code]],[1]!Table1[[Test code]:[Test code]],[1]!Table1[E @ 100 mA/cm2 DIW/V],"",0)</f>
        <v>#REF!</v>
      </c>
      <c r="AB1595" s="69" t="e" cm="1">
        <f t="array" ref="AB1595">_xlfn.XLOOKUP(Table1[[#This Row],[5 cm2 cell test code]:[5 cm2 cell test code]],[1]!Table1[[Test code]:[Test code]],[1]!Table1[E @ 100 mA/cm2 10 mM KOH/V],"",0)</f>
        <v>#REF!</v>
      </c>
      <c r="AC1595" s="69" t="e" cm="1">
        <f t="array" ref="AC1595">_xlfn.XLOOKUP(Table1[[#This Row],[5 cm2 cell test code]:[5 cm2 cell test code]],[1]!Table1[[Test code]:[Test code]],[1]!Table1[Anode ICR/mOhm],"",0)</f>
        <v>#REF!</v>
      </c>
      <c r="AD1595" s="69" t="e" cm="1">
        <f t="array" ref="AD1595">_xlfn.XLOOKUP(Table1[[#This Row],[5 cm2 cell test code]:[5 cm2 cell test code]],[1]!Table1[[Test code]:[Test code]],[1]!Table1[HFR DIW/ mOhm cm2],"",0)</f>
        <v>#REF!</v>
      </c>
      <c r="AE1595" s="69" t="e" cm="1">
        <f t="array" ref="AE1595">_xlfn.XLOOKUP(Table1[[#This Row],[5 cm2 cell test code]:[5 cm2 cell test code]],[1]!Table1[[Test code]:[Test code]],[1]!Table1[HFR 10 mM KOH/ mOhm cm2],"",0)</f>
        <v>#REF!</v>
      </c>
      <c r="AF1595" s="69" t="e" cm="1">
        <f t="array" ref="AF1595">_xlfn.XLOOKUP(Table1[[#This Row],[5 cm2 cell test code]:[5 cm2 cell test code]],[1]!Table1[[Test code]:[Test code]],[1]!Table1[Ionic resistance DIW/Ohm cm2],"",0)</f>
        <v>#REF!</v>
      </c>
      <c r="AG1595" s="69" t="e" cm="1">
        <f t="array" ref="AG1595">_xlfn.XLOOKUP(Table1[[#This Row],[5 cm2 cell test code]:[5 cm2 cell test code]],[1]!Table1[[Test code]:[Test code]],[1]!Table1[Q_int_frac DIW],"",0)</f>
        <v>#REF!</v>
      </c>
      <c r="AH1595" s="69" t="e" cm="1">
        <f t="array" ref="AH1595">_xlfn.XLOOKUP(Table1[[#This Row],[5 cm2 cell test code]:[5 cm2 cell test code]],[1]!Table1[[Test code]:[Test code]],[1]!Table1[Ionic resistance 10 mM KOH/Ohm cm2],"",0)</f>
        <v>#REF!</v>
      </c>
      <c r="AI1595" s="69" t="e" cm="1">
        <f t="array" ref="AI1595">_xlfn.XLOOKUP(Table1[[#This Row],[5 cm2 cell test code]:[5 cm2 cell test code]],[1]!Table1[[Test code]:[Test code]],[1]!Table1[Q_int_frac DIW 10 mM KOH],"",0)</f>
        <v>#REF!</v>
      </c>
      <c r="AJ1595" s="69" t="e" cm="1">
        <f t="array" ref="AJ1595">_xlfn.XLOOKUP(Table1[[#This Row],[5 cm2 cell test code]:[5 cm2 cell test code]],[1]!Table1[[Test code]:[Test code]],[1]!Table1[DIW conductivity (µS/cm)],"",0)</f>
        <v>#REF!</v>
      </c>
    </row>
    <row r="1596" spans="1:36">
      <c r="A1596" s="81"/>
      <c r="U1596" s="101"/>
      <c r="V1596" s="101"/>
      <c r="W1596" s="69" t="e" cm="1">
        <f t="array" ref="W1596">_xlfn.XLOOKUP(Table1[[#This Row],[5 cm2 cell test code]:[5 cm2 cell test code]],[1]!Table1[[Test code]:[Test code]],[1]!Table1[i @ 1.8 V DIW (A/cm2)],"",0)</f>
        <v>#REF!</v>
      </c>
      <c r="X1596" s="69" t="e" cm="1">
        <f t="array" ref="X1596">_xlfn.XLOOKUP(Table1[[#This Row],[5 cm2 cell test code]:[5 cm2 cell test code]],[1]!Table1[[Test code]:[Test code]],[1]!Table1[i @ 1.8 V 10 mM KOH (A/cm2)],"",0)</f>
        <v>#REF!</v>
      </c>
      <c r="Y1596" s="69" t="e" cm="1">
        <f t="array" ref="Y1596">_xlfn.XLOOKUP(Table1[[#This Row],[5 cm2 cell test code]:[5 cm2 cell test code]],[1]!Table1[[Test code]:[Test code]],[1]!Table1[3-E ƞ at 20mAcm-2 (mV)],"",0)</f>
        <v>#REF!</v>
      </c>
      <c r="Z1596" s="69" t="e" cm="1">
        <f t="array" ref="Z1596">_xlfn.XLOOKUP(Table1[[#This Row],[5 cm2 cell test code]:[5 cm2 cell test code]],[1]!Table1[[Test code]:[Test code]],[1]!Table1[3-E Tafel slope (mV/dec)],"",0)</f>
        <v>#REF!</v>
      </c>
      <c r="AA1596" s="69" t="e" cm="1">
        <f t="array" ref="AA1596">_xlfn.XLOOKUP(Table1[[#This Row],[5 cm2 cell test code]:[5 cm2 cell test code]],[1]!Table1[[Test code]:[Test code]],[1]!Table1[E @ 100 mA/cm2 DIW/V],"",0)</f>
        <v>#REF!</v>
      </c>
      <c r="AB1596" s="69" t="e" cm="1">
        <f t="array" ref="AB1596">_xlfn.XLOOKUP(Table1[[#This Row],[5 cm2 cell test code]:[5 cm2 cell test code]],[1]!Table1[[Test code]:[Test code]],[1]!Table1[E @ 100 mA/cm2 10 mM KOH/V],"",0)</f>
        <v>#REF!</v>
      </c>
      <c r="AC1596" s="69" t="e" cm="1">
        <f t="array" ref="AC1596">_xlfn.XLOOKUP(Table1[[#This Row],[5 cm2 cell test code]:[5 cm2 cell test code]],[1]!Table1[[Test code]:[Test code]],[1]!Table1[Anode ICR/mOhm],"",0)</f>
        <v>#REF!</v>
      </c>
      <c r="AD1596" s="69" t="e" cm="1">
        <f t="array" ref="AD1596">_xlfn.XLOOKUP(Table1[[#This Row],[5 cm2 cell test code]:[5 cm2 cell test code]],[1]!Table1[[Test code]:[Test code]],[1]!Table1[HFR DIW/ mOhm cm2],"",0)</f>
        <v>#REF!</v>
      </c>
      <c r="AE1596" s="69" t="e" cm="1">
        <f t="array" ref="AE1596">_xlfn.XLOOKUP(Table1[[#This Row],[5 cm2 cell test code]:[5 cm2 cell test code]],[1]!Table1[[Test code]:[Test code]],[1]!Table1[HFR 10 mM KOH/ mOhm cm2],"",0)</f>
        <v>#REF!</v>
      </c>
      <c r="AF1596" s="69" t="e" cm="1">
        <f t="array" ref="AF1596">_xlfn.XLOOKUP(Table1[[#This Row],[5 cm2 cell test code]:[5 cm2 cell test code]],[1]!Table1[[Test code]:[Test code]],[1]!Table1[Ionic resistance DIW/Ohm cm2],"",0)</f>
        <v>#REF!</v>
      </c>
      <c r="AG1596" s="69" t="e" cm="1">
        <f t="array" ref="AG1596">_xlfn.XLOOKUP(Table1[[#This Row],[5 cm2 cell test code]:[5 cm2 cell test code]],[1]!Table1[[Test code]:[Test code]],[1]!Table1[Q_int_frac DIW],"",0)</f>
        <v>#REF!</v>
      </c>
      <c r="AH1596" s="69" t="e" cm="1">
        <f t="array" ref="AH1596">_xlfn.XLOOKUP(Table1[[#This Row],[5 cm2 cell test code]:[5 cm2 cell test code]],[1]!Table1[[Test code]:[Test code]],[1]!Table1[Ionic resistance 10 mM KOH/Ohm cm2],"",0)</f>
        <v>#REF!</v>
      </c>
      <c r="AI1596" s="69" t="e" cm="1">
        <f t="array" ref="AI1596">_xlfn.XLOOKUP(Table1[[#This Row],[5 cm2 cell test code]:[5 cm2 cell test code]],[1]!Table1[[Test code]:[Test code]],[1]!Table1[Q_int_frac DIW 10 mM KOH],"",0)</f>
        <v>#REF!</v>
      </c>
      <c r="AJ1596" s="69" t="e" cm="1">
        <f t="array" ref="AJ1596">_xlfn.XLOOKUP(Table1[[#This Row],[5 cm2 cell test code]:[5 cm2 cell test code]],[1]!Table1[[Test code]:[Test code]],[1]!Table1[DIW conductivity (µS/cm)],"",0)</f>
        <v>#REF!</v>
      </c>
    </row>
    <row r="1597" spans="1:36">
      <c r="A1597" s="81"/>
      <c r="U1597" s="101"/>
      <c r="V1597" s="101"/>
      <c r="W1597" s="69" t="e" cm="1">
        <f t="array" ref="W1597">_xlfn.XLOOKUP(Table1[[#This Row],[5 cm2 cell test code]:[5 cm2 cell test code]],[1]!Table1[[Test code]:[Test code]],[1]!Table1[i @ 1.8 V DIW (A/cm2)],"",0)</f>
        <v>#REF!</v>
      </c>
      <c r="X1597" s="69" t="e" cm="1">
        <f t="array" ref="X1597">_xlfn.XLOOKUP(Table1[[#This Row],[5 cm2 cell test code]:[5 cm2 cell test code]],[1]!Table1[[Test code]:[Test code]],[1]!Table1[i @ 1.8 V 10 mM KOH (A/cm2)],"",0)</f>
        <v>#REF!</v>
      </c>
      <c r="Y1597" s="69" t="e" cm="1">
        <f t="array" ref="Y1597">_xlfn.XLOOKUP(Table1[[#This Row],[5 cm2 cell test code]:[5 cm2 cell test code]],[1]!Table1[[Test code]:[Test code]],[1]!Table1[3-E ƞ at 20mAcm-2 (mV)],"",0)</f>
        <v>#REF!</v>
      </c>
      <c r="Z1597" s="69" t="e" cm="1">
        <f t="array" ref="Z1597">_xlfn.XLOOKUP(Table1[[#This Row],[5 cm2 cell test code]:[5 cm2 cell test code]],[1]!Table1[[Test code]:[Test code]],[1]!Table1[3-E Tafel slope (mV/dec)],"",0)</f>
        <v>#REF!</v>
      </c>
      <c r="AA1597" s="69" t="e" cm="1">
        <f t="array" ref="AA1597">_xlfn.XLOOKUP(Table1[[#This Row],[5 cm2 cell test code]:[5 cm2 cell test code]],[1]!Table1[[Test code]:[Test code]],[1]!Table1[E @ 100 mA/cm2 DIW/V],"",0)</f>
        <v>#REF!</v>
      </c>
      <c r="AB1597" s="69" t="e" cm="1">
        <f t="array" ref="AB1597">_xlfn.XLOOKUP(Table1[[#This Row],[5 cm2 cell test code]:[5 cm2 cell test code]],[1]!Table1[[Test code]:[Test code]],[1]!Table1[E @ 100 mA/cm2 10 mM KOH/V],"",0)</f>
        <v>#REF!</v>
      </c>
      <c r="AC1597" s="69" t="e" cm="1">
        <f t="array" ref="AC1597">_xlfn.XLOOKUP(Table1[[#This Row],[5 cm2 cell test code]:[5 cm2 cell test code]],[1]!Table1[[Test code]:[Test code]],[1]!Table1[Anode ICR/mOhm],"",0)</f>
        <v>#REF!</v>
      </c>
      <c r="AD1597" s="69" t="e" cm="1">
        <f t="array" ref="AD1597">_xlfn.XLOOKUP(Table1[[#This Row],[5 cm2 cell test code]:[5 cm2 cell test code]],[1]!Table1[[Test code]:[Test code]],[1]!Table1[HFR DIW/ mOhm cm2],"",0)</f>
        <v>#REF!</v>
      </c>
      <c r="AE1597" s="69" t="e" cm="1">
        <f t="array" ref="AE1597">_xlfn.XLOOKUP(Table1[[#This Row],[5 cm2 cell test code]:[5 cm2 cell test code]],[1]!Table1[[Test code]:[Test code]],[1]!Table1[HFR 10 mM KOH/ mOhm cm2],"",0)</f>
        <v>#REF!</v>
      </c>
      <c r="AF1597" s="69" t="e" cm="1">
        <f t="array" ref="AF1597">_xlfn.XLOOKUP(Table1[[#This Row],[5 cm2 cell test code]:[5 cm2 cell test code]],[1]!Table1[[Test code]:[Test code]],[1]!Table1[Ionic resistance DIW/Ohm cm2],"",0)</f>
        <v>#REF!</v>
      </c>
      <c r="AG1597" s="69" t="e" cm="1">
        <f t="array" ref="AG1597">_xlfn.XLOOKUP(Table1[[#This Row],[5 cm2 cell test code]:[5 cm2 cell test code]],[1]!Table1[[Test code]:[Test code]],[1]!Table1[Q_int_frac DIW],"",0)</f>
        <v>#REF!</v>
      </c>
      <c r="AH1597" s="69" t="e" cm="1">
        <f t="array" ref="AH1597">_xlfn.XLOOKUP(Table1[[#This Row],[5 cm2 cell test code]:[5 cm2 cell test code]],[1]!Table1[[Test code]:[Test code]],[1]!Table1[Ionic resistance 10 mM KOH/Ohm cm2],"",0)</f>
        <v>#REF!</v>
      </c>
      <c r="AI1597" s="69" t="e" cm="1">
        <f t="array" ref="AI1597">_xlfn.XLOOKUP(Table1[[#This Row],[5 cm2 cell test code]:[5 cm2 cell test code]],[1]!Table1[[Test code]:[Test code]],[1]!Table1[Q_int_frac DIW 10 mM KOH],"",0)</f>
        <v>#REF!</v>
      </c>
      <c r="AJ1597" s="69" t="e" cm="1">
        <f t="array" ref="AJ1597">_xlfn.XLOOKUP(Table1[[#This Row],[5 cm2 cell test code]:[5 cm2 cell test code]],[1]!Table1[[Test code]:[Test code]],[1]!Table1[DIW conductivity (µS/cm)],"",0)</f>
        <v>#REF!</v>
      </c>
    </row>
    <row r="1598" spans="1:36">
      <c r="A1598" s="81"/>
      <c r="U1598" s="101"/>
      <c r="V1598" s="101"/>
      <c r="W1598" s="69" t="e" cm="1">
        <f t="array" ref="W1598">_xlfn.XLOOKUP(Table1[[#This Row],[5 cm2 cell test code]:[5 cm2 cell test code]],[1]!Table1[[Test code]:[Test code]],[1]!Table1[i @ 1.8 V DIW (A/cm2)],"",0)</f>
        <v>#REF!</v>
      </c>
      <c r="X1598" s="69" t="e" cm="1">
        <f t="array" ref="X1598">_xlfn.XLOOKUP(Table1[[#This Row],[5 cm2 cell test code]:[5 cm2 cell test code]],[1]!Table1[[Test code]:[Test code]],[1]!Table1[i @ 1.8 V 10 mM KOH (A/cm2)],"",0)</f>
        <v>#REF!</v>
      </c>
      <c r="Y1598" s="69" t="e" cm="1">
        <f t="array" ref="Y1598">_xlfn.XLOOKUP(Table1[[#This Row],[5 cm2 cell test code]:[5 cm2 cell test code]],[1]!Table1[[Test code]:[Test code]],[1]!Table1[3-E ƞ at 20mAcm-2 (mV)],"",0)</f>
        <v>#REF!</v>
      </c>
      <c r="Z1598" s="69" t="e" cm="1">
        <f t="array" ref="Z1598">_xlfn.XLOOKUP(Table1[[#This Row],[5 cm2 cell test code]:[5 cm2 cell test code]],[1]!Table1[[Test code]:[Test code]],[1]!Table1[3-E Tafel slope (mV/dec)],"",0)</f>
        <v>#REF!</v>
      </c>
      <c r="AA1598" s="69" t="e" cm="1">
        <f t="array" ref="AA1598">_xlfn.XLOOKUP(Table1[[#This Row],[5 cm2 cell test code]:[5 cm2 cell test code]],[1]!Table1[[Test code]:[Test code]],[1]!Table1[E @ 100 mA/cm2 DIW/V],"",0)</f>
        <v>#REF!</v>
      </c>
      <c r="AB1598" s="69" t="e" cm="1">
        <f t="array" ref="AB1598">_xlfn.XLOOKUP(Table1[[#This Row],[5 cm2 cell test code]:[5 cm2 cell test code]],[1]!Table1[[Test code]:[Test code]],[1]!Table1[E @ 100 mA/cm2 10 mM KOH/V],"",0)</f>
        <v>#REF!</v>
      </c>
      <c r="AC1598" s="69" t="e" cm="1">
        <f t="array" ref="AC1598">_xlfn.XLOOKUP(Table1[[#This Row],[5 cm2 cell test code]:[5 cm2 cell test code]],[1]!Table1[[Test code]:[Test code]],[1]!Table1[Anode ICR/mOhm],"",0)</f>
        <v>#REF!</v>
      </c>
      <c r="AD1598" s="69" t="e" cm="1">
        <f t="array" ref="AD1598">_xlfn.XLOOKUP(Table1[[#This Row],[5 cm2 cell test code]:[5 cm2 cell test code]],[1]!Table1[[Test code]:[Test code]],[1]!Table1[HFR DIW/ mOhm cm2],"",0)</f>
        <v>#REF!</v>
      </c>
      <c r="AE1598" s="69" t="e" cm="1">
        <f t="array" ref="AE1598">_xlfn.XLOOKUP(Table1[[#This Row],[5 cm2 cell test code]:[5 cm2 cell test code]],[1]!Table1[[Test code]:[Test code]],[1]!Table1[HFR 10 mM KOH/ mOhm cm2],"",0)</f>
        <v>#REF!</v>
      </c>
      <c r="AF1598" s="69" t="e" cm="1">
        <f t="array" ref="AF1598">_xlfn.XLOOKUP(Table1[[#This Row],[5 cm2 cell test code]:[5 cm2 cell test code]],[1]!Table1[[Test code]:[Test code]],[1]!Table1[Ionic resistance DIW/Ohm cm2],"",0)</f>
        <v>#REF!</v>
      </c>
      <c r="AG1598" s="69" t="e" cm="1">
        <f t="array" ref="AG1598">_xlfn.XLOOKUP(Table1[[#This Row],[5 cm2 cell test code]:[5 cm2 cell test code]],[1]!Table1[[Test code]:[Test code]],[1]!Table1[Q_int_frac DIW],"",0)</f>
        <v>#REF!</v>
      </c>
      <c r="AH1598" s="69" t="e" cm="1">
        <f t="array" ref="AH1598">_xlfn.XLOOKUP(Table1[[#This Row],[5 cm2 cell test code]:[5 cm2 cell test code]],[1]!Table1[[Test code]:[Test code]],[1]!Table1[Ionic resistance 10 mM KOH/Ohm cm2],"",0)</f>
        <v>#REF!</v>
      </c>
      <c r="AI1598" s="69" t="e" cm="1">
        <f t="array" ref="AI1598">_xlfn.XLOOKUP(Table1[[#This Row],[5 cm2 cell test code]:[5 cm2 cell test code]],[1]!Table1[[Test code]:[Test code]],[1]!Table1[Q_int_frac DIW 10 mM KOH],"",0)</f>
        <v>#REF!</v>
      </c>
      <c r="AJ1598" s="69" t="e" cm="1">
        <f t="array" ref="AJ1598">_xlfn.XLOOKUP(Table1[[#This Row],[5 cm2 cell test code]:[5 cm2 cell test code]],[1]!Table1[[Test code]:[Test code]],[1]!Table1[DIW conductivity (µS/cm)],"",0)</f>
        <v>#REF!</v>
      </c>
    </row>
    <row r="1599" spans="1:36">
      <c r="A1599" s="81"/>
      <c r="U1599" s="101"/>
      <c r="V1599" s="101"/>
      <c r="W1599" s="69" t="e" cm="1">
        <f t="array" ref="W1599">_xlfn.XLOOKUP(Table1[[#This Row],[5 cm2 cell test code]:[5 cm2 cell test code]],[1]!Table1[[Test code]:[Test code]],[1]!Table1[i @ 1.8 V DIW (A/cm2)],"",0)</f>
        <v>#REF!</v>
      </c>
      <c r="X1599" s="69" t="e" cm="1">
        <f t="array" ref="X1599">_xlfn.XLOOKUP(Table1[[#This Row],[5 cm2 cell test code]:[5 cm2 cell test code]],[1]!Table1[[Test code]:[Test code]],[1]!Table1[i @ 1.8 V 10 mM KOH (A/cm2)],"",0)</f>
        <v>#REF!</v>
      </c>
      <c r="Y1599" s="69" t="e" cm="1">
        <f t="array" ref="Y1599">_xlfn.XLOOKUP(Table1[[#This Row],[5 cm2 cell test code]:[5 cm2 cell test code]],[1]!Table1[[Test code]:[Test code]],[1]!Table1[3-E ƞ at 20mAcm-2 (mV)],"",0)</f>
        <v>#REF!</v>
      </c>
      <c r="Z1599" s="69" t="e" cm="1">
        <f t="array" ref="Z1599">_xlfn.XLOOKUP(Table1[[#This Row],[5 cm2 cell test code]:[5 cm2 cell test code]],[1]!Table1[[Test code]:[Test code]],[1]!Table1[3-E Tafel slope (mV/dec)],"",0)</f>
        <v>#REF!</v>
      </c>
      <c r="AA1599" s="69" t="e" cm="1">
        <f t="array" ref="AA1599">_xlfn.XLOOKUP(Table1[[#This Row],[5 cm2 cell test code]:[5 cm2 cell test code]],[1]!Table1[[Test code]:[Test code]],[1]!Table1[E @ 100 mA/cm2 DIW/V],"",0)</f>
        <v>#REF!</v>
      </c>
      <c r="AB1599" s="69" t="e" cm="1">
        <f t="array" ref="AB1599">_xlfn.XLOOKUP(Table1[[#This Row],[5 cm2 cell test code]:[5 cm2 cell test code]],[1]!Table1[[Test code]:[Test code]],[1]!Table1[E @ 100 mA/cm2 10 mM KOH/V],"",0)</f>
        <v>#REF!</v>
      </c>
      <c r="AC1599" s="69" t="e" cm="1">
        <f t="array" ref="AC1599">_xlfn.XLOOKUP(Table1[[#This Row],[5 cm2 cell test code]:[5 cm2 cell test code]],[1]!Table1[[Test code]:[Test code]],[1]!Table1[Anode ICR/mOhm],"",0)</f>
        <v>#REF!</v>
      </c>
      <c r="AD1599" s="69" t="e" cm="1">
        <f t="array" ref="AD1599">_xlfn.XLOOKUP(Table1[[#This Row],[5 cm2 cell test code]:[5 cm2 cell test code]],[1]!Table1[[Test code]:[Test code]],[1]!Table1[HFR DIW/ mOhm cm2],"",0)</f>
        <v>#REF!</v>
      </c>
      <c r="AE1599" s="69" t="e" cm="1">
        <f t="array" ref="AE1599">_xlfn.XLOOKUP(Table1[[#This Row],[5 cm2 cell test code]:[5 cm2 cell test code]],[1]!Table1[[Test code]:[Test code]],[1]!Table1[HFR 10 mM KOH/ mOhm cm2],"",0)</f>
        <v>#REF!</v>
      </c>
      <c r="AF1599" s="69" t="e" cm="1">
        <f t="array" ref="AF1599">_xlfn.XLOOKUP(Table1[[#This Row],[5 cm2 cell test code]:[5 cm2 cell test code]],[1]!Table1[[Test code]:[Test code]],[1]!Table1[Ionic resistance DIW/Ohm cm2],"",0)</f>
        <v>#REF!</v>
      </c>
      <c r="AG1599" s="69" t="e" cm="1">
        <f t="array" ref="AG1599">_xlfn.XLOOKUP(Table1[[#This Row],[5 cm2 cell test code]:[5 cm2 cell test code]],[1]!Table1[[Test code]:[Test code]],[1]!Table1[Q_int_frac DIW],"",0)</f>
        <v>#REF!</v>
      </c>
      <c r="AH1599" s="69" t="e" cm="1">
        <f t="array" ref="AH1599">_xlfn.XLOOKUP(Table1[[#This Row],[5 cm2 cell test code]:[5 cm2 cell test code]],[1]!Table1[[Test code]:[Test code]],[1]!Table1[Ionic resistance 10 mM KOH/Ohm cm2],"",0)</f>
        <v>#REF!</v>
      </c>
      <c r="AI1599" s="69" t="e" cm="1">
        <f t="array" ref="AI1599">_xlfn.XLOOKUP(Table1[[#This Row],[5 cm2 cell test code]:[5 cm2 cell test code]],[1]!Table1[[Test code]:[Test code]],[1]!Table1[Q_int_frac DIW 10 mM KOH],"",0)</f>
        <v>#REF!</v>
      </c>
      <c r="AJ1599" s="69" t="e" cm="1">
        <f t="array" ref="AJ1599">_xlfn.XLOOKUP(Table1[[#This Row],[5 cm2 cell test code]:[5 cm2 cell test code]],[1]!Table1[[Test code]:[Test code]],[1]!Table1[DIW conductivity (µS/cm)],"",0)</f>
        <v>#REF!</v>
      </c>
    </row>
    <row r="1600" spans="1:36">
      <c r="A1600" s="81"/>
      <c r="U1600" s="101"/>
      <c r="V1600" s="101"/>
      <c r="W1600" s="69" t="e" cm="1">
        <f t="array" ref="W1600">_xlfn.XLOOKUP(Table1[[#This Row],[5 cm2 cell test code]:[5 cm2 cell test code]],[1]!Table1[[Test code]:[Test code]],[1]!Table1[i @ 1.8 V DIW (A/cm2)],"",0)</f>
        <v>#REF!</v>
      </c>
      <c r="X1600" s="69" t="e" cm="1">
        <f t="array" ref="X1600">_xlfn.XLOOKUP(Table1[[#This Row],[5 cm2 cell test code]:[5 cm2 cell test code]],[1]!Table1[[Test code]:[Test code]],[1]!Table1[i @ 1.8 V 10 mM KOH (A/cm2)],"",0)</f>
        <v>#REF!</v>
      </c>
      <c r="Y1600" s="69" t="e" cm="1">
        <f t="array" ref="Y1600">_xlfn.XLOOKUP(Table1[[#This Row],[5 cm2 cell test code]:[5 cm2 cell test code]],[1]!Table1[[Test code]:[Test code]],[1]!Table1[3-E ƞ at 20mAcm-2 (mV)],"",0)</f>
        <v>#REF!</v>
      </c>
      <c r="Z1600" s="69" t="e" cm="1">
        <f t="array" ref="Z1600">_xlfn.XLOOKUP(Table1[[#This Row],[5 cm2 cell test code]:[5 cm2 cell test code]],[1]!Table1[[Test code]:[Test code]],[1]!Table1[3-E Tafel slope (mV/dec)],"",0)</f>
        <v>#REF!</v>
      </c>
      <c r="AA1600" s="69" t="e" cm="1">
        <f t="array" ref="AA1600">_xlfn.XLOOKUP(Table1[[#This Row],[5 cm2 cell test code]:[5 cm2 cell test code]],[1]!Table1[[Test code]:[Test code]],[1]!Table1[E @ 100 mA/cm2 DIW/V],"",0)</f>
        <v>#REF!</v>
      </c>
      <c r="AB1600" s="69" t="e" cm="1">
        <f t="array" ref="AB1600">_xlfn.XLOOKUP(Table1[[#This Row],[5 cm2 cell test code]:[5 cm2 cell test code]],[1]!Table1[[Test code]:[Test code]],[1]!Table1[E @ 100 mA/cm2 10 mM KOH/V],"",0)</f>
        <v>#REF!</v>
      </c>
      <c r="AC1600" s="69" t="e" cm="1">
        <f t="array" ref="AC1600">_xlfn.XLOOKUP(Table1[[#This Row],[5 cm2 cell test code]:[5 cm2 cell test code]],[1]!Table1[[Test code]:[Test code]],[1]!Table1[Anode ICR/mOhm],"",0)</f>
        <v>#REF!</v>
      </c>
      <c r="AD1600" s="69" t="e" cm="1">
        <f t="array" ref="AD1600">_xlfn.XLOOKUP(Table1[[#This Row],[5 cm2 cell test code]:[5 cm2 cell test code]],[1]!Table1[[Test code]:[Test code]],[1]!Table1[HFR DIW/ mOhm cm2],"",0)</f>
        <v>#REF!</v>
      </c>
      <c r="AE1600" s="69" t="e" cm="1">
        <f t="array" ref="AE1600">_xlfn.XLOOKUP(Table1[[#This Row],[5 cm2 cell test code]:[5 cm2 cell test code]],[1]!Table1[[Test code]:[Test code]],[1]!Table1[HFR 10 mM KOH/ mOhm cm2],"",0)</f>
        <v>#REF!</v>
      </c>
      <c r="AF1600" s="69" t="e" cm="1">
        <f t="array" ref="AF1600">_xlfn.XLOOKUP(Table1[[#This Row],[5 cm2 cell test code]:[5 cm2 cell test code]],[1]!Table1[[Test code]:[Test code]],[1]!Table1[Ionic resistance DIW/Ohm cm2],"",0)</f>
        <v>#REF!</v>
      </c>
      <c r="AG1600" s="69" t="e" cm="1">
        <f t="array" ref="AG1600">_xlfn.XLOOKUP(Table1[[#This Row],[5 cm2 cell test code]:[5 cm2 cell test code]],[1]!Table1[[Test code]:[Test code]],[1]!Table1[Q_int_frac DIW],"",0)</f>
        <v>#REF!</v>
      </c>
      <c r="AH1600" s="69" t="e" cm="1">
        <f t="array" ref="AH1600">_xlfn.XLOOKUP(Table1[[#This Row],[5 cm2 cell test code]:[5 cm2 cell test code]],[1]!Table1[[Test code]:[Test code]],[1]!Table1[Ionic resistance 10 mM KOH/Ohm cm2],"",0)</f>
        <v>#REF!</v>
      </c>
      <c r="AI1600" s="69" t="e" cm="1">
        <f t="array" ref="AI1600">_xlfn.XLOOKUP(Table1[[#This Row],[5 cm2 cell test code]:[5 cm2 cell test code]],[1]!Table1[[Test code]:[Test code]],[1]!Table1[Q_int_frac DIW 10 mM KOH],"",0)</f>
        <v>#REF!</v>
      </c>
      <c r="AJ1600" s="69" t="e" cm="1">
        <f t="array" ref="AJ1600">_xlfn.XLOOKUP(Table1[[#This Row],[5 cm2 cell test code]:[5 cm2 cell test code]],[1]!Table1[[Test code]:[Test code]],[1]!Table1[DIW conductivity (µS/cm)],"",0)</f>
        <v>#REF!</v>
      </c>
    </row>
    <row r="1601" spans="1:36">
      <c r="A1601" s="81"/>
      <c r="U1601" s="101"/>
      <c r="V1601" s="101"/>
      <c r="W1601" s="69" t="e" cm="1">
        <f t="array" ref="W1601">_xlfn.XLOOKUP(Table1[[#This Row],[5 cm2 cell test code]:[5 cm2 cell test code]],[1]!Table1[[Test code]:[Test code]],[1]!Table1[i @ 1.8 V DIW (A/cm2)],"",0)</f>
        <v>#REF!</v>
      </c>
      <c r="X1601" s="69" t="e" cm="1">
        <f t="array" ref="X1601">_xlfn.XLOOKUP(Table1[[#This Row],[5 cm2 cell test code]:[5 cm2 cell test code]],[1]!Table1[[Test code]:[Test code]],[1]!Table1[i @ 1.8 V 10 mM KOH (A/cm2)],"",0)</f>
        <v>#REF!</v>
      </c>
      <c r="Y1601" s="69" t="e" cm="1">
        <f t="array" ref="Y1601">_xlfn.XLOOKUP(Table1[[#This Row],[5 cm2 cell test code]:[5 cm2 cell test code]],[1]!Table1[[Test code]:[Test code]],[1]!Table1[3-E ƞ at 20mAcm-2 (mV)],"",0)</f>
        <v>#REF!</v>
      </c>
      <c r="Z1601" s="69" t="e" cm="1">
        <f t="array" ref="Z1601">_xlfn.XLOOKUP(Table1[[#This Row],[5 cm2 cell test code]:[5 cm2 cell test code]],[1]!Table1[[Test code]:[Test code]],[1]!Table1[3-E Tafel slope (mV/dec)],"",0)</f>
        <v>#REF!</v>
      </c>
      <c r="AA1601" s="69" t="e" cm="1">
        <f t="array" ref="AA1601">_xlfn.XLOOKUP(Table1[[#This Row],[5 cm2 cell test code]:[5 cm2 cell test code]],[1]!Table1[[Test code]:[Test code]],[1]!Table1[E @ 100 mA/cm2 DIW/V],"",0)</f>
        <v>#REF!</v>
      </c>
      <c r="AB1601" s="69" t="e" cm="1">
        <f t="array" ref="AB1601">_xlfn.XLOOKUP(Table1[[#This Row],[5 cm2 cell test code]:[5 cm2 cell test code]],[1]!Table1[[Test code]:[Test code]],[1]!Table1[E @ 100 mA/cm2 10 mM KOH/V],"",0)</f>
        <v>#REF!</v>
      </c>
      <c r="AC1601" s="69" t="e" cm="1">
        <f t="array" ref="AC1601">_xlfn.XLOOKUP(Table1[[#This Row],[5 cm2 cell test code]:[5 cm2 cell test code]],[1]!Table1[[Test code]:[Test code]],[1]!Table1[Anode ICR/mOhm],"",0)</f>
        <v>#REF!</v>
      </c>
      <c r="AD1601" s="69" t="e" cm="1">
        <f t="array" ref="AD1601">_xlfn.XLOOKUP(Table1[[#This Row],[5 cm2 cell test code]:[5 cm2 cell test code]],[1]!Table1[[Test code]:[Test code]],[1]!Table1[HFR DIW/ mOhm cm2],"",0)</f>
        <v>#REF!</v>
      </c>
      <c r="AE1601" s="69" t="e" cm="1">
        <f t="array" ref="AE1601">_xlfn.XLOOKUP(Table1[[#This Row],[5 cm2 cell test code]:[5 cm2 cell test code]],[1]!Table1[[Test code]:[Test code]],[1]!Table1[HFR 10 mM KOH/ mOhm cm2],"",0)</f>
        <v>#REF!</v>
      </c>
      <c r="AF1601" s="69" t="e" cm="1">
        <f t="array" ref="AF1601">_xlfn.XLOOKUP(Table1[[#This Row],[5 cm2 cell test code]:[5 cm2 cell test code]],[1]!Table1[[Test code]:[Test code]],[1]!Table1[Ionic resistance DIW/Ohm cm2],"",0)</f>
        <v>#REF!</v>
      </c>
      <c r="AG1601" s="69" t="e" cm="1">
        <f t="array" ref="AG1601">_xlfn.XLOOKUP(Table1[[#This Row],[5 cm2 cell test code]:[5 cm2 cell test code]],[1]!Table1[[Test code]:[Test code]],[1]!Table1[Q_int_frac DIW],"",0)</f>
        <v>#REF!</v>
      </c>
      <c r="AH1601" s="69" t="e" cm="1">
        <f t="array" ref="AH1601">_xlfn.XLOOKUP(Table1[[#This Row],[5 cm2 cell test code]:[5 cm2 cell test code]],[1]!Table1[[Test code]:[Test code]],[1]!Table1[Ionic resistance 10 mM KOH/Ohm cm2],"",0)</f>
        <v>#REF!</v>
      </c>
      <c r="AI1601" s="69" t="e" cm="1">
        <f t="array" ref="AI1601">_xlfn.XLOOKUP(Table1[[#This Row],[5 cm2 cell test code]:[5 cm2 cell test code]],[1]!Table1[[Test code]:[Test code]],[1]!Table1[Q_int_frac DIW 10 mM KOH],"",0)</f>
        <v>#REF!</v>
      </c>
      <c r="AJ1601" s="69" t="e" cm="1">
        <f t="array" ref="AJ1601">_xlfn.XLOOKUP(Table1[[#This Row],[5 cm2 cell test code]:[5 cm2 cell test code]],[1]!Table1[[Test code]:[Test code]],[1]!Table1[DIW conductivity (µS/cm)],"",0)</f>
        <v>#REF!</v>
      </c>
    </row>
    <row r="1602" spans="1:36">
      <c r="A1602" s="81"/>
      <c r="U1602" s="101"/>
      <c r="V1602" s="101"/>
      <c r="W1602" s="69" t="e" cm="1">
        <f t="array" ref="W1602">_xlfn.XLOOKUP(Table1[[#This Row],[5 cm2 cell test code]:[5 cm2 cell test code]],[1]!Table1[[Test code]:[Test code]],[1]!Table1[i @ 1.8 V DIW (A/cm2)],"",0)</f>
        <v>#REF!</v>
      </c>
      <c r="X1602" s="69" t="e" cm="1">
        <f t="array" ref="X1602">_xlfn.XLOOKUP(Table1[[#This Row],[5 cm2 cell test code]:[5 cm2 cell test code]],[1]!Table1[[Test code]:[Test code]],[1]!Table1[i @ 1.8 V 10 mM KOH (A/cm2)],"",0)</f>
        <v>#REF!</v>
      </c>
      <c r="Y1602" s="69" t="e" cm="1">
        <f t="array" ref="Y1602">_xlfn.XLOOKUP(Table1[[#This Row],[5 cm2 cell test code]:[5 cm2 cell test code]],[1]!Table1[[Test code]:[Test code]],[1]!Table1[3-E ƞ at 20mAcm-2 (mV)],"",0)</f>
        <v>#REF!</v>
      </c>
      <c r="Z1602" s="69" t="e" cm="1">
        <f t="array" ref="Z1602">_xlfn.XLOOKUP(Table1[[#This Row],[5 cm2 cell test code]:[5 cm2 cell test code]],[1]!Table1[[Test code]:[Test code]],[1]!Table1[3-E Tafel slope (mV/dec)],"",0)</f>
        <v>#REF!</v>
      </c>
      <c r="AA1602" s="69" t="e" cm="1">
        <f t="array" ref="AA1602">_xlfn.XLOOKUP(Table1[[#This Row],[5 cm2 cell test code]:[5 cm2 cell test code]],[1]!Table1[[Test code]:[Test code]],[1]!Table1[E @ 100 mA/cm2 DIW/V],"",0)</f>
        <v>#REF!</v>
      </c>
      <c r="AB1602" s="69" t="e" cm="1">
        <f t="array" ref="AB1602">_xlfn.XLOOKUP(Table1[[#This Row],[5 cm2 cell test code]:[5 cm2 cell test code]],[1]!Table1[[Test code]:[Test code]],[1]!Table1[E @ 100 mA/cm2 10 mM KOH/V],"",0)</f>
        <v>#REF!</v>
      </c>
      <c r="AC1602" s="69" t="e" cm="1">
        <f t="array" ref="AC1602">_xlfn.XLOOKUP(Table1[[#This Row],[5 cm2 cell test code]:[5 cm2 cell test code]],[1]!Table1[[Test code]:[Test code]],[1]!Table1[Anode ICR/mOhm],"",0)</f>
        <v>#REF!</v>
      </c>
      <c r="AD1602" s="69" t="e" cm="1">
        <f t="array" ref="AD1602">_xlfn.XLOOKUP(Table1[[#This Row],[5 cm2 cell test code]:[5 cm2 cell test code]],[1]!Table1[[Test code]:[Test code]],[1]!Table1[HFR DIW/ mOhm cm2],"",0)</f>
        <v>#REF!</v>
      </c>
      <c r="AE1602" s="69" t="e" cm="1">
        <f t="array" ref="AE1602">_xlfn.XLOOKUP(Table1[[#This Row],[5 cm2 cell test code]:[5 cm2 cell test code]],[1]!Table1[[Test code]:[Test code]],[1]!Table1[HFR 10 mM KOH/ mOhm cm2],"",0)</f>
        <v>#REF!</v>
      </c>
      <c r="AF1602" s="69" t="e" cm="1">
        <f t="array" ref="AF1602">_xlfn.XLOOKUP(Table1[[#This Row],[5 cm2 cell test code]:[5 cm2 cell test code]],[1]!Table1[[Test code]:[Test code]],[1]!Table1[Ionic resistance DIW/Ohm cm2],"",0)</f>
        <v>#REF!</v>
      </c>
      <c r="AG1602" s="69" t="e" cm="1">
        <f t="array" ref="AG1602">_xlfn.XLOOKUP(Table1[[#This Row],[5 cm2 cell test code]:[5 cm2 cell test code]],[1]!Table1[[Test code]:[Test code]],[1]!Table1[Q_int_frac DIW],"",0)</f>
        <v>#REF!</v>
      </c>
      <c r="AH1602" s="69" t="e" cm="1">
        <f t="array" ref="AH1602">_xlfn.XLOOKUP(Table1[[#This Row],[5 cm2 cell test code]:[5 cm2 cell test code]],[1]!Table1[[Test code]:[Test code]],[1]!Table1[Ionic resistance 10 mM KOH/Ohm cm2],"",0)</f>
        <v>#REF!</v>
      </c>
      <c r="AI1602" s="69" t="e" cm="1">
        <f t="array" ref="AI1602">_xlfn.XLOOKUP(Table1[[#This Row],[5 cm2 cell test code]:[5 cm2 cell test code]],[1]!Table1[[Test code]:[Test code]],[1]!Table1[Q_int_frac DIW 10 mM KOH],"",0)</f>
        <v>#REF!</v>
      </c>
      <c r="AJ1602" s="69" t="e" cm="1">
        <f t="array" ref="AJ1602">_xlfn.XLOOKUP(Table1[[#This Row],[5 cm2 cell test code]:[5 cm2 cell test code]],[1]!Table1[[Test code]:[Test code]],[1]!Table1[DIW conductivity (µS/cm)],"",0)</f>
        <v>#REF!</v>
      </c>
    </row>
    <row r="1603" spans="1:36">
      <c r="A1603" s="81"/>
      <c r="U1603" s="101"/>
      <c r="V1603" s="101"/>
      <c r="W1603" s="69" t="e" cm="1">
        <f t="array" ref="W1603">_xlfn.XLOOKUP(Table1[[#This Row],[5 cm2 cell test code]:[5 cm2 cell test code]],[1]!Table1[[Test code]:[Test code]],[1]!Table1[i @ 1.8 V DIW (A/cm2)],"",0)</f>
        <v>#REF!</v>
      </c>
      <c r="X1603" s="69" t="e" cm="1">
        <f t="array" ref="X1603">_xlfn.XLOOKUP(Table1[[#This Row],[5 cm2 cell test code]:[5 cm2 cell test code]],[1]!Table1[[Test code]:[Test code]],[1]!Table1[i @ 1.8 V 10 mM KOH (A/cm2)],"",0)</f>
        <v>#REF!</v>
      </c>
      <c r="Y1603" s="69" t="e" cm="1">
        <f t="array" ref="Y1603">_xlfn.XLOOKUP(Table1[[#This Row],[5 cm2 cell test code]:[5 cm2 cell test code]],[1]!Table1[[Test code]:[Test code]],[1]!Table1[3-E ƞ at 20mAcm-2 (mV)],"",0)</f>
        <v>#REF!</v>
      </c>
      <c r="Z1603" s="69" t="e" cm="1">
        <f t="array" ref="Z1603">_xlfn.XLOOKUP(Table1[[#This Row],[5 cm2 cell test code]:[5 cm2 cell test code]],[1]!Table1[[Test code]:[Test code]],[1]!Table1[3-E Tafel slope (mV/dec)],"",0)</f>
        <v>#REF!</v>
      </c>
      <c r="AA1603" s="69" t="e" cm="1">
        <f t="array" ref="AA1603">_xlfn.XLOOKUP(Table1[[#This Row],[5 cm2 cell test code]:[5 cm2 cell test code]],[1]!Table1[[Test code]:[Test code]],[1]!Table1[E @ 100 mA/cm2 DIW/V],"",0)</f>
        <v>#REF!</v>
      </c>
      <c r="AB1603" s="69" t="e" cm="1">
        <f t="array" ref="AB1603">_xlfn.XLOOKUP(Table1[[#This Row],[5 cm2 cell test code]:[5 cm2 cell test code]],[1]!Table1[[Test code]:[Test code]],[1]!Table1[E @ 100 mA/cm2 10 mM KOH/V],"",0)</f>
        <v>#REF!</v>
      </c>
      <c r="AC1603" s="69" t="e" cm="1">
        <f t="array" ref="AC1603">_xlfn.XLOOKUP(Table1[[#This Row],[5 cm2 cell test code]:[5 cm2 cell test code]],[1]!Table1[[Test code]:[Test code]],[1]!Table1[Anode ICR/mOhm],"",0)</f>
        <v>#REF!</v>
      </c>
      <c r="AD1603" s="69" t="e" cm="1">
        <f t="array" ref="AD1603">_xlfn.XLOOKUP(Table1[[#This Row],[5 cm2 cell test code]:[5 cm2 cell test code]],[1]!Table1[[Test code]:[Test code]],[1]!Table1[HFR DIW/ mOhm cm2],"",0)</f>
        <v>#REF!</v>
      </c>
      <c r="AE1603" s="69" t="e" cm="1">
        <f t="array" ref="AE1603">_xlfn.XLOOKUP(Table1[[#This Row],[5 cm2 cell test code]:[5 cm2 cell test code]],[1]!Table1[[Test code]:[Test code]],[1]!Table1[HFR 10 mM KOH/ mOhm cm2],"",0)</f>
        <v>#REF!</v>
      </c>
      <c r="AF1603" s="69" t="e" cm="1">
        <f t="array" ref="AF1603">_xlfn.XLOOKUP(Table1[[#This Row],[5 cm2 cell test code]:[5 cm2 cell test code]],[1]!Table1[[Test code]:[Test code]],[1]!Table1[Ionic resistance DIW/Ohm cm2],"",0)</f>
        <v>#REF!</v>
      </c>
      <c r="AG1603" s="69" t="e" cm="1">
        <f t="array" ref="AG1603">_xlfn.XLOOKUP(Table1[[#This Row],[5 cm2 cell test code]:[5 cm2 cell test code]],[1]!Table1[[Test code]:[Test code]],[1]!Table1[Q_int_frac DIW],"",0)</f>
        <v>#REF!</v>
      </c>
      <c r="AH1603" s="69" t="e" cm="1">
        <f t="array" ref="AH1603">_xlfn.XLOOKUP(Table1[[#This Row],[5 cm2 cell test code]:[5 cm2 cell test code]],[1]!Table1[[Test code]:[Test code]],[1]!Table1[Ionic resistance 10 mM KOH/Ohm cm2],"",0)</f>
        <v>#REF!</v>
      </c>
      <c r="AI1603" s="69" t="e" cm="1">
        <f t="array" ref="AI1603">_xlfn.XLOOKUP(Table1[[#This Row],[5 cm2 cell test code]:[5 cm2 cell test code]],[1]!Table1[[Test code]:[Test code]],[1]!Table1[Q_int_frac DIW 10 mM KOH],"",0)</f>
        <v>#REF!</v>
      </c>
      <c r="AJ1603" s="69" t="e" cm="1">
        <f t="array" ref="AJ1603">_xlfn.XLOOKUP(Table1[[#This Row],[5 cm2 cell test code]:[5 cm2 cell test code]],[1]!Table1[[Test code]:[Test code]],[1]!Table1[DIW conductivity (µS/cm)],"",0)</f>
        <v>#REF!</v>
      </c>
    </row>
    <row r="1604" spans="1:36">
      <c r="A1604" s="81"/>
      <c r="U1604" s="101"/>
      <c r="V1604" s="101"/>
      <c r="W1604" s="69" t="e" cm="1">
        <f t="array" ref="W1604">_xlfn.XLOOKUP(Table1[[#This Row],[5 cm2 cell test code]:[5 cm2 cell test code]],[1]!Table1[[Test code]:[Test code]],[1]!Table1[i @ 1.8 V DIW (A/cm2)],"",0)</f>
        <v>#REF!</v>
      </c>
      <c r="X1604" s="69" t="e" cm="1">
        <f t="array" ref="X1604">_xlfn.XLOOKUP(Table1[[#This Row],[5 cm2 cell test code]:[5 cm2 cell test code]],[1]!Table1[[Test code]:[Test code]],[1]!Table1[i @ 1.8 V 10 mM KOH (A/cm2)],"",0)</f>
        <v>#REF!</v>
      </c>
      <c r="Y1604" s="69" t="e" cm="1">
        <f t="array" ref="Y1604">_xlfn.XLOOKUP(Table1[[#This Row],[5 cm2 cell test code]:[5 cm2 cell test code]],[1]!Table1[[Test code]:[Test code]],[1]!Table1[3-E ƞ at 20mAcm-2 (mV)],"",0)</f>
        <v>#REF!</v>
      </c>
      <c r="Z1604" s="69" t="e" cm="1">
        <f t="array" ref="Z1604">_xlfn.XLOOKUP(Table1[[#This Row],[5 cm2 cell test code]:[5 cm2 cell test code]],[1]!Table1[[Test code]:[Test code]],[1]!Table1[3-E Tafel slope (mV/dec)],"",0)</f>
        <v>#REF!</v>
      </c>
      <c r="AA1604" s="69" t="e" cm="1">
        <f t="array" ref="AA1604">_xlfn.XLOOKUP(Table1[[#This Row],[5 cm2 cell test code]:[5 cm2 cell test code]],[1]!Table1[[Test code]:[Test code]],[1]!Table1[E @ 100 mA/cm2 DIW/V],"",0)</f>
        <v>#REF!</v>
      </c>
      <c r="AB1604" s="69" t="e" cm="1">
        <f t="array" ref="AB1604">_xlfn.XLOOKUP(Table1[[#This Row],[5 cm2 cell test code]:[5 cm2 cell test code]],[1]!Table1[[Test code]:[Test code]],[1]!Table1[E @ 100 mA/cm2 10 mM KOH/V],"",0)</f>
        <v>#REF!</v>
      </c>
      <c r="AC1604" s="69" t="e" cm="1">
        <f t="array" ref="AC1604">_xlfn.XLOOKUP(Table1[[#This Row],[5 cm2 cell test code]:[5 cm2 cell test code]],[1]!Table1[[Test code]:[Test code]],[1]!Table1[Anode ICR/mOhm],"",0)</f>
        <v>#REF!</v>
      </c>
      <c r="AD1604" s="69" t="e" cm="1">
        <f t="array" ref="AD1604">_xlfn.XLOOKUP(Table1[[#This Row],[5 cm2 cell test code]:[5 cm2 cell test code]],[1]!Table1[[Test code]:[Test code]],[1]!Table1[HFR DIW/ mOhm cm2],"",0)</f>
        <v>#REF!</v>
      </c>
      <c r="AE1604" s="69" t="e" cm="1">
        <f t="array" ref="AE1604">_xlfn.XLOOKUP(Table1[[#This Row],[5 cm2 cell test code]:[5 cm2 cell test code]],[1]!Table1[[Test code]:[Test code]],[1]!Table1[HFR 10 mM KOH/ mOhm cm2],"",0)</f>
        <v>#REF!</v>
      </c>
      <c r="AF1604" s="69" t="e" cm="1">
        <f t="array" ref="AF1604">_xlfn.XLOOKUP(Table1[[#This Row],[5 cm2 cell test code]:[5 cm2 cell test code]],[1]!Table1[[Test code]:[Test code]],[1]!Table1[Ionic resistance DIW/Ohm cm2],"",0)</f>
        <v>#REF!</v>
      </c>
      <c r="AG1604" s="69" t="e" cm="1">
        <f t="array" ref="AG1604">_xlfn.XLOOKUP(Table1[[#This Row],[5 cm2 cell test code]:[5 cm2 cell test code]],[1]!Table1[[Test code]:[Test code]],[1]!Table1[Q_int_frac DIW],"",0)</f>
        <v>#REF!</v>
      </c>
      <c r="AH1604" s="69" t="e" cm="1">
        <f t="array" ref="AH1604">_xlfn.XLOOKUP(Table1[[#This Row],[5 cm2 cell test code]:[5 cm2 cell test code]],[1]!Table1[[Test code]:[Test code]],[1]!Table1[Ionic resistance 10 mM KOH/Ohm cm2],"",0)</f>
        <v>#REF!</v>
      </c>
      <c r="AI1604" s="69" t="e" cm="1">
        <f t="array" ref="AI1604">_xlfn.XLOOKUP(Table1[[#This Row],[5 cm2 cell test code]:[5 cm2 cell test code]],[1]!Table1[[Test code]:[Test code]],[1]!Table1[Q_int_frac DIW 10 mM KOH],"",0)</f>
        <v>#REF!</v>
      </c>
      <c r="AJ1604" s="69" t="e" cm="1">
        <f t="array" ref="AJ1604">_xlfn.XLOOKUP(Table1[[#This Row],[5 cm2 cell test code]:[5 cm2 cell test code]],[1]!Table1[[Test code]:[Test code]],[1]!Table1[DIW conductivity (µS/cm)],"",0)</f>
        <v>#REF!</v>
      </c>
    </row>
    <row r="1605" spans="1:36">
      <c r="A1605" s="81"/>
      <c r="U1605" s="101"/>
      <c r="V1605" s="101"/>
      <c r="W1605" s="69" t="e" cm="1">
        <f t="array" ref="W1605">_xlfn.XLOOKUP(Table1[[#This Row],[5 cm2 cell test code]:[5 cm2 cell test code]],[1]!Table1[[Test code]:[Test code]],[1]!Table1[i @ 1.8 V DIW (A/cm2)],"",0)</f>
        <v>#REF!</v>
      </c>
      <c r="X1605" s="69" t="e" cm="1">
        <f t="array" ref="X1605">_xlfn.XLOOKUP(Table1[[#This Row],[5 cm2 cell test code]:[5 cm2 cell test code]],[1]!Table1[[Test code]:[Test code]],[1]!Table1[i @ 1.8 V 10 mM KOH (A/cm2)],"",0)</f>
        <v>#REF!</v>
      </c>
      <c r="Y1605" s="69" t="e" cm="1">
        <f t="array" ref="Y1605">_xlfn.XLOOKUP(Table1[[#This Row],[5 cm2 cell test code]:[5 cm2 cell test code]],[1]!Table1[[Test code]:[Test code]],[1]!Table1[3-E ƞ at 20mAcm-2 (mV)],"",0)</f>
        <v>#REF!</v>
      </c>
      <c r="Z1605" s="69" t="e" cm="1">
        <f t="array" ref="Z1605">_xlfn.XLOOKUP(Table1[[#This Row],[5 cm2 cell test code]:[5 cm2 cell test code]],[1]!Table1[[Test code]:[Test code]],[1]!Table1[3-E Tafel slope (mV/dec)],"",0)</f>
        <v>#REF!</v>
      </c>
      <c r="AA1605" s="69" t="e" cm="1">
        <f t="array" ref="AA1605">_xlfn.XLOOKUP(Table1[[#This Row],[5 cm2 cell test code]:[5 cm2 cell test code]],[1]!Table1[[Test code]:[Test code]],[1]!Table1[E @ 100 mA/cm2 DIW/V],"",0)</f>
        <v>#REF!</v>
      </c>
      <c r="AB1605" s="69" t="e" cm="1">
        <f t="array" ref="AB1605">_xlfn.XLOOKUP(Table1[[#This Row],[5 cm2 cell test code]:[5 cm2 cell test code]],[1]!Table1[[Test code]:[Test code]],[1]!Table1[E @ 100 mA/cm2 10 mM KOH/V],"",0)</f>
        <v>#REF!</v>
      </c>
      <c r="AC1605" s="69" t="e" cm="1">
        <f t="array" ref="AC1605">_xlfn.XLOOKUP(Table1[[#This Row],[5 cm2 cell test code]:[5 cm2 cell test code]],[1]!Table1[[Test code]:[Test code]],[1]!Table1[Anode ICR/mOhm],"",0)</f>
        <v>#REF!</v>
      </c>
      <c r="AD1605" s="69" t="e" cm="1">
        <f t="array" ref="AD1605">_xlfn.XLOOKUP(Table1[[#This Row],[5 cm2 cell test code]:[5 cm2 cell test code]],[1]!Table1[[Test code]:[Test code]],[1]!Table1[HFR DIW/ mOhm cm2],"",0)</f>
        <v>#REF!</v>
      </c>
      <c r="AE1605" s="69" t="e" cm="1">
        <f t="array" ref="AE1605">_xlfn.XLOOKUP(Table1[[#This Row],[5 cm2 cell test code]:[5 cm2 cell test code]],[1]!Table1[[Test code]:[Test code]],[1]!Table1[HFR 10 mM KOH/ mOhm cm2],"",0)</f>
        <v>#REF!</v>
      </c>
      <c r="AF1605" s="69" t="e" cm="1">
        <f t="array" ref="AF1605">_xlfn.XLOOKUP(Table1[[#This Row],[5 cm2 cell test code]:[5 cm2 cell test code]],[1]!Table1[[Test code]:[Test code]],[1]!Table1[Ionic resistance DIW/Ohm cm2],"",0)</f>
        <v>#REF!</v>
      </c>
      <c r="AG1605" s="69" t="e" cm="1">
        <f t="array" ref="AG1605">_xlfn.XLOOKUP(Table1[[#This Row],[5 cm2 cell test code]:[5 cm2 cell test code]],[1]!Table1[[Test code]:[Test code]],[1]!Table1[Q_int_frac DIW],"",0)</f>
        <v>#REF!</v>
      </c>
      <c r="AH1605" s="69" t="e" cm="1">
        <f t="array" ref="AH1605">_xlfn.XLOOKUP(Table1[[#This Row],[5 cm2 cell test code]:[5 cm2 cell test code]],[1]!Table1[[Test code]:[Test code]],[1]!Table1[Ionic resistance 10 mM KOH/Ohm cm2],"",0)</f>
        <v>#REF!</v>
      </c>
      <c r="AI1605" s="69" t="e" cm="1">
        <f t="array" ref="AI1605">_xlfn.XLOOKUP(Table1[[#This Row],[5 cm2 cell test code]:[5 cm2 cell test code]],[1]!Table1[[Test code]:[Test code]],[1]!Table1[Q_int_frac DIW 10 mM KOH],"",0)</f>
        <v>#REF!</v>
      </c>
      <c r="AJ1605" s="69" t="e" cm="1">
        <f t="array" ref="AJ1605">_xlfn.XLOOKUP(Table1[[#This Row],[5 cm2 cell test code]:[5 cm2 cell test code]],[1]!Table1[[Test code]:[Test code]],[1]!Table1[DIW conductivity (µS/cm)],"",0)</f>
        <v>#REF!</v>
      </c>
    </row>
    <row r="1606" spans="1:36">
      <c r="A1606" s="81"/>
      <c r="U1606" s="101"/>
      <c r="V1606" s="101"/>
      <c r="W1606" s="69" t="e" cm="1">
        <f t="array" ref="W1606">_xlfn.XLOOKUP(Table1[[#This Row],[5 cm2 cell test code]:[5 cm2 cell test code]],[1]!Table1[[Test code]:[Test code]],[1]!Table1[i @ 1.8 V DIW (A/cm2)],"",0)</f>
        <v>#REF!</v>
      </c>
      <c r="X1606" s="69" t="e" cm="1">
        <f t="array" ref="X1606">_xlfn.XLOOKUP(Table1[[#This Row],[5 cm2 cell test code]:[5 cm2 cell test code]],[1]!Table1[[Test code]:[Test code]],[1]!Table1[i @ 1.8 V 10 mM KOH (A/cm2)],"",0)</f>
        <v>#REF!</v>
      </c>
      <c r="Y1606" s="69" t="e" cm="1">
        <f t="array" ref="Y1606">_xlfn.XLOOKUP(Table1[[#This Row],[5 cm2 cell test code]:[5 cm2 cell test code]],[1]!Table1[[Test code]:[Test code]],[1]!Table1[3-E ƞ at 20mAcm-2 (mV)],"",0)</f>
        <v>#REF!</v>
      </c>
      <c r="Z1606" s="69" t="e" cm="1">
        <f t="array" ref="Z1606">_xlfn.XLOOKUP(Table1[[#This Row],[5 cm2 cell test code]:[5 cm2 cell test code]],[1]!Table1[[Test code]:[Test code]],[1]!Table1[3-E Tafel slope (mV/dec)],"",0)</f>
        <v>#REF!</v>
      </c>
      <c r="AA1606" s="69" t="e" cm="1">
        <f t="array" ref="AA1606">_xlfn.XLOOKUP(Table1[[#This Row],[5 cm2 cell test code]:[5 cm2 cell test code]],[1]!Table1[[Test code]:[Test code]],[1]!Table1[E @ 100 mA/cm2 DIW/V],"",0)</f>
        <v>#REF!</v>
      </c>
      <c r="AB1606" s="69" t="e" cm="1">
        <f t="array" ref="AB1606">_xlfn.XLOOKUP(Table1[[#This Row],[5 cm2 cell test code]:[5 cm2 cell test code]],[1]!Table1[[Test code]:[Test code]],[1]!Table1[E @ 100 mA/cm2 10 mM KOH/V],"",0)</f>
        <v>#REF!</v>
      </c>
      <c r="AC1606" s="69" t="e" cm="1">
        <f t="array" ref="AC1606">_xlfn.XLOOKUP(Table1[[#This Row],[5 cm2 cell test code]:[5 cm2 cell test code]],[1]!Table1[[Test code]:[Test code]],[1]!Table1[Anode ICR/mOhm],"",0)</f>
        <v>#REF!</v>
      </c>
      <c r="AD1606" s="69" t="e" cm="1">
        <f t="array" ref="AD1606">_xlfn.XLOOKUP(Table1[[#This Row],[5 cm2 cell test code]:[5 cm2 cell test code]],[1]!Table1[[Test code]:[Test code]],[1]!Table1[HFR DIW/ mOhm cm2],"",0)</f>
        <v>#REF!</v>
      </c>
      <c r="AE1606" s="69" t="e" cm="1">
        <f t="array" ref="AE1606">_xlfn.XLOOKUP(Table1[[#This Row],[5 cm2 cell test code]:[5 cm2 cell test code]],[1]!Table1[[Test code]:[Test code]],[1]!Table1[HFR 10 mM KOH/ mOhm cm2],"",0)</f>
        <v>#REF!</v>
      </c>
      <c r="AF1606" s="69" t="e" cm="1">
        <f t="array" ref="AF1606">_xlfn.XLOOKUP(Table1[[#This Row],[5 cm2 cell test code]:[5 cm2 cell test code]],[1]!Table1[[Test code]:[Test code]],[1]!Table1[Ionic resistance DIW/Ohm cm2],"",0)</f>
        <v>#REF!</v>
      </c>
      <c r="AG1606" s="69" t="e" cm="1">
        <f t="array" ref="AG1606">_xlfn.XLOOKUP(Table1[[#This Row],[5 cm2 cell test code]:[5 cm2 cell test code]],[1]!Table1[[Test code]:[Test code]],[1]!Table1[Q_int_frac DIW],"",0)</f>
        <v>#REF!</v>
      </c>
      <c r="AH1606" s="69" t="e" cm="1">
        <f t="array" ref="AH1606">_xlfn.XLOOKUP(Table1[[#This Row],[5 cm2 cell test code]:[5 cm2 cell test code]],[1]!Table1[[Test code]:[Test code]],[1]!Table1[Ionic resistance 10 mM KOH/Ohm cm2],"",0)</f>
        <v>#REF!</v>
      </c>
      <c r="AI1606" s="69" t="e" cm="1">
        <f t="array" ref="AI1606">_xlfn.XLOOKUP(Table1[[#This Row],[5 cm2 cell test code]:[5 cm2 cell test code]],[1]!Table1[[Test code]:[Test code]],[1]!Table1[Q_int_frac DIW 10 mM KOH],"",0)</f>
        <v>#REF!</v>
      </c>
      <c r="AJ1606" s="69" t="e" cm="1">
        <f t="array" ref="AJ1606">_xlfn.XLOOKUP(Table1[[#This Row],[5 cm2 cell test code]:[5 cm2 cell test code]],[1]!Table1[[Test code]:[Test code]],[1]!Table1[DIW conductivity (µS/cm)],"",0)</f>
        <v>#REF!</v>
      </c>
    </row>
    <row r="1607" spans="1:36">
      <c r="A1607" s="81"/>
      <c r="U1607" s="101"/>
      <c r="V1607" s="101"/>
      <c r="W1607" s="69" t="e" cm="1">
        <f t="array" ref="W1607">_xlfn.XLOOKUP(Table1[[#This Row],[5 cm2 cell test code]:[5 cm2 cell test code]],[1]!Table1[[Test code]:[Test code]],[1]!Table1[i @ 1.8 V DIW (A/cm2)],"",0)</f>
        <v>#REF!</v>
      </c>
      <c r="X1607" s="69" t="e" cm="1">
        <f t="array" ref="X1607">_xlfn.XLOOKUP(Table1[[#This Row],[5 cm2 cell test code]:[5 cm2 cell test code]],[1]!Table1[[Test code]:[Test code]],[1]!Table1[i @ 1.8 V 10 mM KOH (A/cm2)],"",0)</f>
        <v>#REF!</v>
      </c>
      <c r="Y1607" s="69" t="e" cm="1">
        <f t="array" ref="Y1607">_xlfn.XLOOKUP(Table1[[#This Row],[5 cm2 cell test code]:[5 cm2 cell test code]],[1]!Table1[[Test code]:[Test code]],[1]!Table1[3-E ƞ at 20mAcm-2 (mV)],"",0)</f>
        <v>#REF!</v>
      </c>
      <c r="Z1607" s="69" t="e" cm="1">
        <f t="array" ref="Z1607">_xlfn.XLOOKUP(Table1[[#This Row],[5 cm2 cell test code]:[5 cm2 cell test code]],[1]!Table1[[Test code]:[Test code]],[1]!Table1[3-E Tafel slope (mV/dec)],"",0)</f>
        <v>#REF!</v>
      </c>
      <c r="AA1607" s="69" t="e" cm="1">
        <f t="array" ref="AA1607">_xlfn.XLOOKUP(Table1[[#This Row],[5 cm2 cell test code]:[5 cm2 cell test code]],[1]!Table1[[Test code]:[Test code]],[1]!Table1[E @ 100 mA/cm2 DIW/V],"",0)</f>
        <v>#REF!</v>
      </c>
      <c r="AB1607" s="69" t="e" cm="1">
        <f t="array" ref="AB1607">_xlfn.XLOOKUP(Table1[[#This Row],[5 cm2 cell test code]:[5 cm2 cell test code]],[1]!Table1[[Test code]:[Test code]],[1]!Table1[E @ 100 mA/cm2 10 mM KOH/V],"",0)</f>
        <v>#REF!</v>
      </c>
      <c r="AC1607" s="69" t="e" cm="1">
        <f t="array" ref="AC1607">_xlfn.XLOOKUP(Table1[[#This Row],[5 cm2 cell test code]:[5 cm2 cell test code]],[1]!Table1[[Test code]:[Test code]],[1]!Table1[Anode ICR/mOhm],"",0)</f>
        <v>#REF!</v>
      </c>
      <c r="AD1607" s="69" t="e" cm="1">
        <f t="array" ref="AD1607">_xlfn.XLOOKUP(Table1[[#This Row],[5 cm2 cell test code]:[5 cm2 cell test code]],[1]!Table1[[Test code]:[Test code]],[1]!Table1[HFR DIW/ mOhm cm2],"",0)</f>
        <v>#REF!</v>
      </c>
      <c r="AE1607" s="69" t="e" cm="1">
        <f t="array" ref="AE1607">_xlfn.XLOOKUP(Table1[[#This Row],[5 cm2 cell test code]:[5 cm2 cell test code]],[1]!Table1[[Test code]:[Test code]],[1]!Table1[HFR 10 mM KOH/ mOhm cm2],"",0)</f>
        <v>#REF!</v>
      </c>
      <c r="AF1607" s="69" t="e" cm="1">
        <f t="array" ref="AF1607">_xlfn.XLOOKUP(Table1[[#This Row],[5 cm2 cell test code]:[5 cm2 cell test code]],[1]!Table1[[Test code]:[Test code]],[1]!Table1[Ionic resistance DIW/Ohm cm2],"",0)</f>
        <v>#REF!</v>
      </c>
      <c r="AG1607" s="69" t="e" cm="1">
        <f t="array" ref="AG1607">_xlfn.XLOOKUP(Table1[[#This Row],[5 cm2 cell test code]:[5 cm2 cell test code]],[1]!Table1[[Test code]:[Test code]],[1]!Table1[Q_int_frac DIW],"",0)</f>
        <v>#REF!</v>
      </c>
      <c r="AH1607" s="69" t="e" cm="1">
        <f t="array" ref="AH1607">_xlfn.XLOOKUP(Table1[[#This Row],[5 cm2 cell test code]:[5 cm2 cell test code]],[1]!Table1[[Test code]:[Test code]],[1]!Table1[Ionic resistance 10 mM KOH/Ohm cm2],"",0)</f>
        <v>#REF!</v>
      </c>
      <c r="AI1607" s="69" t="e" cm="1">
        <f t="array" ref="AI1607">_xlfn.XLOOKUP(Table1[[#This Row],[5 cm2 cell test code]:[5 cm2 cell test code]],[1]!Table1[[Test code]:[Test code]],[1]!Table1[Q_int_frac DIW 10 mM KOH],"",0)</f>
        <v>#REF!</v>
      </c>
      <c r="AJ1607" s="69" t="e" cm="1">
        <f t="array" ref="AJ1607">_xlfn.XLOOKUP(Table1[[#This Row],[5 cm2 cell test code]:[5 cm2 cell test code]],[1]!Table1[[Test code]:[Test code]],[1]!Table1[DIW conductivity (µS/cm)],"",0)</f>
        <v>#REF!</v>
      </c>
    </row>
    <row r="1608" spans="1:36">
      <c r="A1608" s="81"/>
      <c r="U1608" s="101"/>
      <c r="V1608" s="101"/>
      <c r="W1608" s="69" t="e" cm="1">
        <f t="array" ref="W1608">_xlfn.XLOOKUP(Table1[[#This Row],[5 cm2 cell test code]:[5 cm2 cell test code]],[1]!Table1[[Test code]:[Test code]],[1]!Table1[i @ 1.8 V DIW (A/cm2)],"",0)</f>
        <v>#REF!</v>
      </c>
      <c r="X1608" s="69" t="e" cm="1">
        <f t="array" ref="X1608">_xlfn.XLOOKUP(Table1[[#This Row],[5 cm2 cell test code]:[5 cm2 cell test code]],[1]!Table1[[Test code]:[Test code]],[1]!Table1[i @ 1.8 V 10 mM KOH (A/cm2)],"",0)</f>
        <v>#REF!</v>
      </c>
      <c r="Y1608" s="69" t="e" cm="1">
        <f t="array" ref="Y1608">_xlfn.XLOOKUP(Table1[[#This Row],[5 cm2 cell test code]:[5 cm2 cell test code]],[1]!Table1[[Test code]:[Test code]],[1]!Table1[3-E ƞ at 20mAcm-2 (mV)],"",0)</f>
        <v>#REF!</v>
      </c>
      <c r="Z1608" s="69" t="e" cm="1">
        <f t="array" ref="Z1608">_xlfn.XLOOKUP(Table1[[#This Row],[5 cm2 cell test code]:[5 cm2 cell test code]],[1]!Table1[[Test code]:[Test code]],[1]!Table1[3-E Tafel slope (mV/dec)],"",0)</f>
        <v>#REF!</v>
      </c>
      <c r="AA1608" s="69" t="e" cm="1">
        <f t="array" ref="AA1608">_xlfn.XLOOKUP(Table1[[#This Row],[5 cm2 cell test code]:[5 cm2 cell test code]],[1]!Table1[[Test code]:[Test code]],[1]!Table1[E @ 100 mA/cm2 DIW/V],"",0)</f>
        <v>#REF!</v>
      </c>
      <c r="AB1608" s="69" t="e" cm="1">
        <f t="array" ref="AB1608">_xlfn.XLOOKUP(Table1[[#This Row],[5 cm2 cell test code]:[5 cm2 cell test code]],[1]!Table1[[Test code]:[Test code]],[1]!Table1[E @ 100 mA/cm2 10 mM KOH/V],"",0)</f>
        <v>#REF!</v>
      </c>
      <c r="AC1608" s="69" t="e" cm="1">
        <f t="array" ref="AC1608">_xlfn.XLOOKUP(Table1[[#This Row],[5 cm2 cell test code]:[5 cm2 cell test code]],[1]!Table1[[Test code]:[Test code]],[1]!Table1[Anode ICR/mOhm],"",0)</f>
        <v>#REF!</v>
      </c>
      <c r="AD1608" s="69" t="e" cm="1">
        <f t="array" ref="AD1608">_xlfn.XLOOKUP(Table1[[#This Row],[5 cm2 cell test code]:[5 cm2 cell test code]],[1]!Table1[[Test code]:[Test code]],[1]!Table1[HFR DIW/ mOhm cm2],"",0)</f>
        <v>#REF!</v>
      </c>
      <c r="AE1608" s="69" t="e" cm="1">
        <f t="array" ref="AE1608">_xlfn.XLOOKUP(Table1[[#This Row],[5 cm2 cell test code]:[5 cm2 cell test code]],[1]!Table1[[Test code]:[Test code]],[1]!Table1[HFR 10 mM KOH/ mOhm cm2],"",0)</f>
        <v>#REF!</v>
      </c>
      <c r="AF1608" s="69" t="e" cm="1">
        <f t="array" ref="AF1608">_xlfn.XLOOKUP(Table1[[#This Row],[5 cm2 cell test code]:[5 cm2 cell test code]],[1]!Table1[[Test code]:[Test code]],[1]!Table1[Ionic resistance DIW/Ohm cm2],"",0)</f>
        <v>#REF!</v>
      </c>
      <c r="AG1608" s="69" t="e" cm="1">
        <f t="array" ref="AG1608">_xlfn.XLOOKUP(Table1[[#This Row],[5 cm2 cell test code]:[5 cm2 cell test code]],[1]!Table1[[Test code]:[Test code]],[1]!Table1[Q_int_frac DIW],"",0)</f>
        <v>#REF!</v>
      </c>
      <c r="AH1608" s="69" t="e" cm="1">
        <f t="array" ref="AH1608">_xlfn.XLOOKUP(Table1[[#This Row],[5 cm2 cell test code]:[5 cm2 cell test code]],[1]!Table1[[Test code]:[Test code]],[1]!Table1[Ionic resistance 10 mM KOH/Ohm cm2],"",0)</f>
        <v>#REF!</v>
      </c>
      <c r="AI1608" s="69" t="e" cm="1">
        <f t="array" ref="AI1608">_xlfn.XLOOKUP(Table1[[#This Row],[5 cm2 cell test code]:[5 cm2 cell test code]],[1]!Table1[[Test code]:[Test code]],[1]!Table1[Q_int_frac DIW 10 mM KOH],"",0)</f>
        <v>#REF!</v>
      </c>
      <c r="AJ1608" s="69" t="e" cm="1">
        <f t="array" ref="AJ1608">_xlfn.XLOOKUP(Table1[[#This Row],[5 cm2 cell test code]:[5 cm2 cell test code]],[1]!Table1[[Test code]:[Test code]],[1]!Table1[DIW conductivity (µS/cm)],"",0)</f>
        <v>#REF!</v>
      </c>
    </row>
    <row r="1609" spans="1:36">
      <c r="A1609" s="81"/>
      <c r="U1609" s="101"/>
      <c r="V1609" s="101"/>
      <c r="W1609" s="69" t="e" cm="1">
        <f t="array" ref="W1609">_xlfn.XLOOKUP(Table1[[#This Row],[5 cm2 cell test code]:[5 cm2 cell test code]],[1]!Table1[[Test code]:[Test code]],[1]!Table1[i @ 1.8 V DIW (A/cm2)],"",0)</f>
        <v>#REF!</v>
      </c>
      <c r="X1609" s="69" t="e" cm="1">
        <f t="array" ref="X1609">_xlfn.XLOOKUP(Table1[[#This Row],[5 cm2 cell test code]:[5 cm2 cell test code]],[1]!Table1[[Test code]:[Test code]],[1]!Table1[i @ 1.8 V 10 mM KOH (A/cm2)],"",0)</f>
        <v>#REF!</v>
      </c>
      <c r="Y1609" s="69" t="e" cm="1">
        <f t="array" ref="Y1609">_xlfn.XLOOKUP(Table1[[#This Row],[5 cm2 cell test code]:[5 cm2 cell test code]],[1]!Table1[[Test code]:[Test code]],[1]!Table1[3-E ƞ at 20mAcm-2 (mV)],"",0)</f>
        <v>#REF!</v>
      </c>
      <c r="Z1609" s="69" t="e" cm="1">
        <f t="array" ref="Z1609">_xlfn.XLOOKUP(Table1[[#This Row],[5 cm2 cell test code]:[5 cm2 cell test code]],[1]!Table1[[Test code]:[Test code]],[1]!Table1[3-E Tafel slope (mV/dec)],"",0)</f>
        <v>#REF!</v>
      </c>
      <c r="AA1609" s="69" t="e" cm="1">
        <f t="array" ref="AA1609">_xlfn.XLOOKUP(Table1[[#This Row],[5 cm2 cell test code]:[5 cm2 cell test code]],[1]!Table1[[Test code]:[Test code]],[1]!Table1[E @ 100 mA/cm2 DIW/V],"",0)</f>
        <v>#REF!</v>
      </c>
      <c r="AB1609" s="69" t="e" cm="1">
        <f t="array" ref="AB1609">_xlfn.XLOOKUP(Table1[[#This Row],[5 cm2 cell test code]:[5 cm2 cell test code]],[1]!Table1[[Test code]:[Test code]],[1]!Table1[E @ 100 mA/cm2 10 mM KOH/V],"",0)</f>
        <v>#REF!</v>
      </c>
      <c r="AC1609" s="69" t="e" cm="1">
        <f t="array" ref="AC1609">_xlfn.XLOOKUP(Table1[[#This Row],[5 cm2 cell test code]:[5 cm2 cell test code]],[1]!Table1[[Test code]:[Test code]],[1]!Table1[Anode ICR/mOhm],"",0)</f>
        <v>#REF!</v>
      </c>
      <c r="AD1609" s="69" t="e" cm="1">
        <f t="array" ref="AD1609">_xlfn.XLOOKUP(Table1[[#This Row],[5 cm2 cell test code]:[5 cm2 cell test code]],[1]!Table1[[Test code]:[Test code]],[1]!Table1[HFR DIW/ mOhm cm2],"",0)</f>
        <v>#REF!</v>
      </c>
      <c r="AE1609" s="69" t="e" cm="1">
        <f t="array" ref="AE1609">_xlfn.XLOOKUP(Table1[[#This Row],[5 cm2 cell test code]:[5 cm2 cell test code]],[1]!Table1[[Test code]:[Test code]],[1]!Table1[HFR 10 mM KOH/ mOhm cm2],"",0)</f>
        <v>#REF!</v>
      </c>
      <c r="AF1609" s="69" t="e" cm="1">
        <f t="array" ref="AF1609">_xlfn.XLOOKUP(Table1[[#This Row],[5 cm2 cell test code]:[5 cm2 cell test code]],[1]!Table1[[Test code]:[Test code]],[1]!Table1[Ionic resistance DIW/Ohm cm2],"",0)</f>
        <v>#REF!</v>
      </c>
      <c r="AG1609" s="69" t="e" cm="1">
        <f t="array" ref="AG1609">_xlfn.XLOOKUP(Table1[[#This Row],[5 cm2 cell test code]:[5 cm2 cell test code]],[1]!Table1[[Test code]:[Test code]],[1]!Table1[Q_int_frac DIW],"",0)</f>
        <v>#REF!</v>
      </c>
      <c r="AH1609" s="69" t="e" cm="1">
        <f t="array" ref="AH1609">_xlfn.XLOOKUP(Table1[[#This Row],[5 cm2 cell test code]:[5 cm2 cell test code]],[1]!Table1[[Test code]:[Test code]],[1]!Table1[Ionic resistance 10 mM KOH/Ohm cm2],"",0)</f>
        <v>#REF!</v>
      </c>
      <c r="AI1609" s="69" t="e" cm="1">
        <f t="array" ref="AI1609">_xlfn.XLOOKUP(Table1[[#This Row],[5 cm2 cell test code]:[5 cm2 cell test code]],[1]!Table1[[Test code]:[Test code]],[1]!Table1[Q_int_frac DIW 10 mM KOH],"",0)</f>
        <v>#REF!</v>
      </c>
      <c r="AJ1609" s="69" t="e" cm="1">
        <f t="array" ref="AJ1609">_xlfn.XLOOKUP(Table1[[#This Row],[5 cm2 cell test code]:[5 cm2 cell test code]],[1]!Table1[[Test code]:[Test code]],[1]!Table1[DIW conductivity (µS/cm)],"",0)</f>
        <v>#REF!</v>
      </c>
    </row>
    <row r="1610" spans="1:36">
      <c r="A1610" s="81"/>
      <c r="U1610" s="101"/>
      <c r="V1610" s="101"/>
      <c r="W1610" s="69" t="e" cm="1">
        <f t="array" ref="W1610">_xlfn.XLOOKUP(Table1[[#This Row],[5 cm2 cell test code]:[5 cm2 cell test code]],[1]!Table1[[Test code]:[Test code]],[1]!Table1[i @ 1.8 V DIW (A/cm2)],"",0)</f>
        <v>#REF!</v>
      </c>
      <c r="X1610" s="69" t="e" cm="1">
        <f t="array" ref="X1610">_xlfn.XLOOKUP(Table1[[#This Row],[5 cm2 cell test code]:[5 cm2 cell test code]],[1]!Table1[[Test code]:[Test code]],[1]!Table1[i @ 1.8 V 10 mM KOH (A/cm2)],"",0)</f>
        <v>#REF!</v>
      </c>
      <c r="Y1610" s="69" t="e" cm="1">
        <f t="array" ref="Y1610">_xlfn.XLOOKUP(Table1[[#This Row],[5 cm2 cell test code]:[5 cm2 cell test code]],[1]!Table1[[Test code]:[Test code]],[1]!Table1[3-E ƞ at 20mAcm-2 (mV)],"",0)</f>
        <v>#REF!</v>
      </c>
      <c r="Z1610" s="69" t="e" cm="1">
        <f t="array" ref="Z1610">_xlfn.XLOOKUP(Table1[[#This Row],[5 cm2 cell test code]:[5 cm2 cell test code]],[1]!Table1[[Test code]:[Test code]],[1]!Table1[3-E Tafel slope (mV/dec)],"",0)</f>
        <v>#REF!</v>
      </c>
      <c r="AA1610" s="69" t="e" cm="1">
        <f t="array" ref="AA1610">_xlfn.XLOOKUP(Table1[[#This Row],[5 cm2 cell test code]:[5 cm2 cell test code]],[1]!Table1[[Test code]:[Test code]],[1]!Table1[E @ 100 mA/cm2 DIW/V],"",0)</f>
        <v>#REF!</v>
      </c>
      <c r="AB1610" s="69" t="e" cm="1">
        <f t="array" ref="AB1610">_xlfn.XLOOKUP(Table1[[#This Row],[5 cm2 cell test code]:[5 cm2 cell test code]],[1]!Table1[[Test code]:[Test code]],[1]!Table1[E @ 100 mA/cm2 10 mM KOH/V],"",0)</f>
        <v>#REF!</v>
      </c>
      <c r="AC1610" s="69" t="e" cm="1">
        <f t="array" ref="AC1610">_xlfn.XLOOKUP(Table1[[#This Row],[5 cm2 cell test code]:[5 cm2 cell test code]],[1]!Table1[[Test code]:[Test code]],[1]!Table1[Anode ICR/mOhm],"",0)</f>
        <v>#REF!</v>
      </c>
      <c r="AD1610" s="69" t="e" cm="1">
        <f t="array" ref="AD1610">_xlfn.XLOOKUP(Table1[[#This Row],[5 cm2 cell test code]:[5 cm2 cell test code]],[1]!Table1[[Test code]:[Test code]],[1]!Table1[HFR DIW/ mOhm cm2],"",0)</f>
        <v>#REF!</v>
      </c>
      <c r="AE1610" s="69" t="e" cm="1">
        <f t="array" ref="AE1610">_xlfn.XLOOKUP(Table1[[#This Row],[5 cm2 cell test code]:[5 cm2 cell test code]],[1]!Table1[[Test code]:[Test code]],[1]!Table1[HFR 10 mM KOH/ mOhm cm2],"",0)</f>
        <v>#REF!</v>
      </c>
      <c r="AF1610" s="69" t="e" cm="1">
        <f t="array" ref="AF1610">_xlfn.XLOOKUP(Table1[[#This Row],[5 cm2 cell test code]:[5 cm2 cell test code]],[1]!Table1[[Test code]:[Test code]],[1]!Table1[Ionic resistance DIW/Ohm cm2],"",0)</f>
        <v>#REF!</v>
      </c>
      <c r="AG1610" s="69" t="e" cm="1">
        <f t="array" ref="AG1610">_xlfn.XLOOKUP(Table1[[#This Row],[5 cm2 cell test code]:[5 cm2 cell test code]],[1]!Table1[[Test code]:[Test code]],[1]!Table1[Q_int_frac DIW],"",0)</f>
        <v>#REF!</v>
      </c>
      <c r="AH1610" s="69" t="e" cm="1">
        <f t="array" ref="AH1610">_xlfn.XLOOKUP(Table1[[#This Row],[5 cm2 cell test code]:[5 cm2 cell test code]],[1]!Table1[[Test code]:[Test code]],[1]!Table1[Ionic resistance 10 mM KOH/Ohm cm2],"",0)</f>
        <v>#REF!</v>
      </c>
      <c r="AI1610" s="69" t="e" cm="1">
        <f t="array" ref="AI1610">_xlfn.XLOOKUP(Table1[[#This Row],[5 cm2 cell test code]:[5 cm2 cell test code]],[1]!Table1[[Test code]:[Test code]],[1]!Table1[Q_int_frac DIW 10 mM KOH],"",0)</f>
        <v>#REF!</v>
      </c>
      <c r="AJ1610" s="69" t="e" cm="1">
        <f t="array" ref="AJ1610">_xlfn.XLOOKUP(Table1[[#This Row],[5 cm2 cell test code]:[5 cm2 cell test code]],[1]!Table1[[Test code]:[Test code]],[1]!Table1[DIW conductivity (µS/cm)],"",0)</f>
        <v>#REF!</v>
      </c>
    </row>
    <row r="1611" spans="1:36">
      <c r="A1611" s="81"/>
      <c r="U1611" s="101"/>
      <c r="V1611" s="101"/>
      <c r="W1611" s="69" t="e" cm="1">
        <f t="array" ref="W1611">_xlfn.XLOOKUP(Table1[[#This Row],[5 cm2 cell test code]:[5 cm2 cell test code]],[1]!Table1[[Test code]:[Test code]],[1]!Table1[i @ 1.8 V DIW (A/cm2)],"",0)</f>
        <v>#REF!</v>
      </c>
      <c r="X1611" s="69" t="e" cm="1">
        <f t="array" ref="X1611">_xlfn.XLOOKUP(Table1[[#This Row],[5 cm2 cell test code]:[5 cm2 cell test code]],[1]!Table1[[Test code]:[Test code]],[1]!Table1[i @ 1.8 V 10 mM KOH (A/cm2)],"",0)</f>
        <v>#REF!</v>
      </c>
      <c r="Y1611" s="69" t="e" cm="1">
        <f t="array" ref="Y1611">_xlfn.XLOOKUP(Table1[[#This Row],[5 cm2 cell test code]:[5 cm2 cell test code]],[1]!Table1[[Test code]:[Test code]],[1]!Table1[3-E ƞ at 20mAcm-2 (mV)],"",0)</f>
        <v>#REF!</v>
      </c>
      <c r="Z1611" s="69" t="e" cm="1">
        <f t="array" ref="Z1611">_xlfn.XLOOKUP(Table1[[#This Row],[5 cm2 cell test code]:[5 cm2 cell test code]],[1]!Table1[[Test code]:[Test code]],[1]!Table1[3-E Tafel slope (mV/dec)],"",0)</f>
        <v>#REF!</v>
      </c>
      <c r="AA1611" s="69" t="e" cm="1">
        <f t="array" ref="AA1611">_xlfn.XLOOKUP(Table1[[#This Row],[5 cm2 cell test code]:[5 cm2 cell test code]],[1]!Table1[[Test code]:[Test code]],[1]!Table1[E @ 100 mA/cm2 DIW/V],"",0)</f>
        <v>#REF!</v>
      </c>
      <c r="AB1611" s="69" t="e" cm="1">
        <f t="array" ref="AB1611">_xlfn.XLOOKUP(Table1[[#This Row],[5 cm2 cell test code]:[5 cm2 cell test code]],[1]!Table1[[Test code]:[Test code]],[1]!Table1[E @ 100 mA/cm2 10 mM KOH/V],"",0)</f>
        <v>#REF!</v>
      </c>
      <c r="AC1611" s="69" t="e" cm="1">
        <f t="array" ref="AC1611">_xlfn.XLOOKUP(Table1[[#This Row],[5 cm2 cell test code]:[5 cm2 cell test code]],[1]!Table1[[Test code]:[Test code]],[1]!Table1[Anode ICR/mOhm],"",0)</f>
        <v>#REF!</v>
      </c>
      <c r="AD1611" s="69" t="e" cm="1">
        <f t="array" ref="AD1611">_xlfn.XLOOKUP(Table1[[#This Row],[5 cm2 cell test code]:[5 cm2 cell test code]],[1]!Table1[[Test code]:[Test code]],[1]!Table1[HFR DIW/ mOhm cm2],"",0)</f>
        <v>#REF!</v>
      </c>
      <c r="AE1611" s="69" t="e" cm="1">
        <f t="array" ref="AE1611">_xlfn.XLOOKUP(Table1[[#This Row],[5 cm2 cell test code]:[5 cm2 cell test code]],[1]!Table1[[Test code]:[Test code]],[1]!Table1[HFR 10 mM KOH/ mOhm cm2],"",0)</f>
        <v>#REF!</v>
      </c>
      <c r="AF1611" s="69" t="e" cm="1">
        <f t="array" ref="AF1611">_xlfn.XLOOKUP(Table1[[#This Row],[5 cm2 cell test code]:[5 cm2 cell test code]],[1]!Table1[[Test code]:[Test code]],[1]!Table1[Ionic resistance DIW/Ohm cm2],"",0)</f>
        <v>#REF!</v>
      </c>
      <c r="AG1611" s="69" t="e" cm="1">
        <f t="array" ref="AG1611">_xlfn.XLOOKUP(Table1[[#This Row],[5 cm2 cell test code]:[5 cm2 cell test code]],[1]!Table1[[Test code]:[Test code]],[1]!Table1[Q_int_frac DIW],"",0)</f>
        <v>#REF!</v>
      </c>
      <c r="AH1611" s="69" t="e" cm="1">
        <f t="array" ref="AH1611">_xlfn.XLOOKUP(Table1[[#This Row],[5 cm2 cell test code]:[5 cm2 cell test code]],[1]!Table1[[Test code]:[Test code]],[1]!Table1[Ionic resistance 10 mM KOH/Ohm cm2],"",0)</f>
        <v>#REF!</v>
      </c>
      <c r="AI1611" s="69" t="e" cm="1">
        <f t="array" ref="AI1611">_xlfn.XLOOKUP(Table1[[#This Row],[5 cm2 cell test code]:[5 cm2 cell test code]],[1]!Table1[[Test code]:[Test code]],[1]!Table1[Q_int_frac DIW 10 mM KOH],"",0)</f>
        <v>#REF!</v>
      </c>
      <c r="AJ1611" s="69" t="e" cm="1">
        <f t="array" ref="AJ1611">_xlfn.XLOOKUP(Table1[[#This Row],[5 cm2 cell test code]:[5 cm2 cell test code]],[1]!Table1[[Test code]:[Test code]],[1]!Table1[DIW conductivity (µS/cm)],"",0)</f>
        <v>#REF!</v>
      </c>
    </row>
    <row r="1612" spans="1:36">
      <c r="A1612" s="81"/>
      <c r="U1612" s="101"/>
      <c r="V1612" s="101"/>
      <c r="W1612" s="69" t="e" cm="1">
        <f t="array" ref="W1612">_xlfn.XLOOKUP(Table1[[#This Row],[5 cm2 cell test code]:[5 cm2 cell test code]],[1]!Table1[[Test code]:[Test code]],[1]!Table1[i @ 1.8 V DIW (A/cm2)],"",0)</f>
        <v>#REF!</v>
      </c>
      <c r="X1612" s="69" t="e" cm="1">
        <f t="array" ref="X1612">_xlfn.XLOOKUP(Table1[[#This Row],[5 cm2 cell test code]:[5 cm2 cell test code]],[1]!Table1[[Test code]:[Test code]],[1]!Table1[i @ 1.8 V 10 mM KOH (A/cm2)],"",0)</f>
        <v>#REF!</v>
      </c>
      <c r="Y1612" s="69" t="e" cm="1">
        <f t="array" ref="Y1612">_xlfn.XLOOKUP(Table1[[#This Row],[5 cm2 cell test code]:[5 cm2 cell test code]],[1]!Table1[[Test code]:[Test code]],[1]!Table1[3-E ƞ at 20mAcm-2 (mV)],"",0)</f>
        <v>#REF!</v>
      </c>
      <c r="Z1612" s="69" t="e" cm="1">
        <f t="array" ref="Z1612">_xlfn.XLOOKUP(Table1[[#This Row],[5 cm2 cell test code]:[5 cm2 cell test code]],[1]!Table1[[Test code]:[Test code]],[1]!Table1[3-E Tafel slope (mV/dec)],"",0)</f>
        <v>#REF!</v>
      </c>
      <c r="AA1612" s="69" t="e" cm="1">
        <f t="array" ref="AA1612">_xlfn.XLOOKUP(Table1[[#This Row],[5 cm2 cell test code]:[5 cm2 cell test code]],[1]!Table1[[Test code]:[Test code]],[1]!Table1[E @ 100 mA/cm2 DIW/V],"",0)</f>
        <v>#REF!</v>
      </c>
      <c r="AB1612" s="69" t="e" cm="1">
        <f t="array" ref="AB1612">_xlfn.XLOOKUP(Table1[[#This Row],[5 cm2 cell test code]:[5 cm2 cell test code]],[1]!Table1[[Test code]:[Test code]],[1]!Table1[E @ 100 mA/cm2 10 mM KOH/V],"",0)</f>
        <v>#REF!</v>
      </c>
      <c r="AC1612" s="69" t="e" cm="1">
        <f t="array" ref="AC1612">_xlfn.XLOOKUP(Table1[[#This Row],[5 cm2 cell test code]:[5 cm2 cell test code]],[1]!Table1[[Test code]:[Test code]],[1]!Table1[Anode ICR/mOhm],"",0)</f>
        <v>#REF!</v>
      </c>
      <c r="AD1612" s="69" t="e" cm="1">
        <f t="array" ref="AD1612">_xlfn.XLOOKUP(Table1[[#This Row],[5 cm2 cell test code]:[5 cm2 cell test code]],[1]!Table1[[Test code]:[Test code]],[1]!Table1[HFR DIW/ mOhm cm2],"",0)</f>
        <v>#REF!</v>
      </c>
      <c r="AE1612" s="69" t="e" cm="1">
        <f t="array" ref="AE1612">_xlfn.XLOOKUP(Table1[[#This Row],[5 cm2 cell test code]:[5 cm2 cell test code]],[1]!Table1[[Test code]:[Test code]],[1]!Table1[HFR 10 mM KOH/ mOhm cm2],"",0)</f>
        <v>#REF!</v>
      </c>
      <c r="AF1612" s="69" t="e" cm="1">
        <f t="array" ref="AF1612">_xlfn.XLOOKUP(Table1[[#This Row],[5 cm2 cell test code]:[5 cm2 cell test code]],[1]!Table1[[Test code]:[Test code]],[1]!Table1[Ionic resistance DIW/Ohm cm2],"",0)</f>
        <v>#REF!</v>
      </c>
      <c r="AG1612" s="69" t="e" cm="1">
        <f t="array" ref="AG1612">_xlfn.XLOOKUP(Table1[[#This Row],[5 cm2 cell test code]:[5 cm2 cell test code]],[1]!Table1[[Test code]:[Test code]],[1]!Table1[Q_int_frac DIW],"",0)</f>
        <v>#REF!</v>
      </c>
      <c r="AH1612" s="69" t="e" cm="1">
        <f t="array" ref="AH1612">_xlfn.XLOOKUP(Table1[[#This Row],[5 cm2 cell test code]:[5 cm2 cell test code]],[1]!Table1[[Test code]:[Test code]],[1]!Table1[Ionic resistance 10 mM KOH/Ohm cm2],"",0)</f>
        <v>#REF!</v>
      </c>
      <c r="AI1612" s="69" t="e" cm="1">
        <f t="array" ref="AI1612">_xlfn.XLOOKUP(Table1[[#This Row],[5 cm2 cell test code]:[5 cm2 cell test code]],[1]!Table1[[Test code]:[Test code]],[1]!Table1[Q_int_frac DIW 10 mM KOH],"",0)</f>
        <v>#REF!</v>
      </c>
      <c r="AJ1612" s="69" t="e" cm="1">
        <f t="array" ref="AJ1612">_xlfn.XLOOKUP(Table1[[#This Row],[5 cm2 cell test code]:[5 cm2 cell test code]],[1]!Table1[[Test code]:[Test code]],[1]!Table1[DIW conductivity (µS/cm)],"",0)</f>
        <v>#REF!</v>
      </c>
    </row>
    <row r="1613" spans="1:36">
      <c r="A1613" s="81"/>
      <c r="U1613" s="101"/>
      <c r="V1613" s="101"/>
      <c r="W1613" s="69" t="e" cm="1">
        <f t="array" ref="W1613">_xlfn.XLOOKUP(Table1[[#This Row],[5 cm2 cell test code]:[5 cm2 cell test code]],[1]!Table1[[Test code]:[Test code]],[1]!Table1[i @ 1.8 V DIW (A/cm2)],"",0)</f>
        <v>#REF!</v>
      </c>
      <c r="X1613" s="69" t="e" cm="1">
        <f t="array" ref="X1613">_xlfn.XLOOKUP(Table1[[#This Row],[5 cm2 cell test code]:[5 cm2 cell test code]],[1]!Table1[[Test code]:[Test code]],[1]!Table1[i @ 1.8 V 10 mM KOH (A/cm2)],"",0)</f>
        <v>#REF!</v>
      </c>
      <c r="Y1613" s="69" t="e" cm="1">
        <f t="array" ref="Y1613">_xlfn.XLOOKUP(Table1[[#This Row],[5 cm2 cell test code]:[5 cm2 cell test code]],[1]!Table1[[Test code]:[Test code]],[1]!Table1[3-E ƞ at 20mAcm-2 (mV)],"",0)</f>
        <v>#REF!</v>
      </c>
      <c r="Z1613" s="69" t="e" cm="1">
        <f t="array" ref="Z1613">_xlfn.XLOOKUP(Table1[[#This Row],[5 cm2 cell test code]:[5 cm2 cell test code]],[1]!Table1[[Test code]:[Test code]],[1]!Table1[3-E Tafel slope (mV/dec)],"",0)</f>
        <v>#REF!</v>
      </c>
      <c r="AA1613" s="69" t="e" cm="1">
        <f t="array" ref="AA1613">_xlfn.XLOOKUP(Table1[[#This Row],[5 cm2 cell test code]:[5 cm2 cell test code]],[1]!Table1[[Test code]:[Test code]],[1]!Table1[E @ 100 mA/cm2 DIW/V],"",0)</f>
        <v>#REF!</v>
      </c>
      <c r="AB1613" s="69" t="e" cm="1">
        <f t="array" ref="AB1613">_xlfn.XLOOKUP(Table1[[#This Row],[5 cm2 cell test code]:[5 cm2 cell test code]],[1]!Table1[[Test code]:[Test code]],[1]!Table1[E @ 100 mA/cm2 10 mM KOH/V],"",0)</f>
        <v>#REF!</v>
      </c>
      <c r="AC1613" s="69" t="e" cm="1">
        <f t="array" ref="AC1613">_xlfn.XLOOKUP(Table1[[#This Row],[5 cm2 cell test code]:[5 cm2 cell test code]],[1]!Table1[[Test code]:[Test code]],[1]!Table1[Anode ICR/mOhm],"",0)</f>
        <v>#REF!</v>
      </c>
      <c r="AD1613" s="69" t="e" cm="1">
        <f t="array" ref="AD1613">_xlfn.XLOOKUP(Table1[[#This Row],[5 cm2 cell test code]:[5 cm2 cell test code]],[1]!Table1[[Test code]:[Test code]],[1]!Table1[HFR DIW/ mOhm cm2],"",0)</f>
        <v>#REF!</v>
      </c>
      <c r="AE1613" s="69" t="e" cm="1">
        <f t="array" ref="AE1613">_xlfn.XLOOKUP(Table1[[#This Row],[5 cm2 cell test code]:[5 cm2 cell test code]],[1]!Table1[[Test code]:[Test code]],[1]!Table1[HFR 10 mM KOH/ mOhm cm2],"",0)</f>
        <v>#REF!</v>
      </c>
      <c r="AF1613" s="69" t="e" cm="1">
        <f t="array" ref="AF1613">_xlfn.XLOOKUP(Table1[[#This Row],[5 cm2 cell test code]:[5 cm2 cell test code]],[1]!Table1[[Test code]:[Test code]],[1]!Table1[Ionic resistance DIW/Ohm cm2],"",0)</f>
        <v>#REF!</v>
      </c>
      <c r="AG1613" s="69" t="e" cm="1">
        <f t="array" ref="AG1613">_xlfn.XLOOKUP(Table1[[#This Row],[5 cm2 cell test code]:[5 cm2 cell test code]],[1]!Table1[[Test code]:[Test code]],[1]!Table1[Q_int_frac DIW],"",0)</f>
        <v>#REF!</v>
      </c>
      <c r="AH1613" s="69" t="e" cm="1">
        <f t="array" ref="AH1613">_xlfn.XLOOKUP(Table1[[#This Row],[5 cm2 cell test code]:[5 cm2 cell test code]],[1]!Table1[[Test code]:[Test code]],[1]!Table1[Ionic resistance 10 mM KOH/Ohm cm2],"",0)</f>
        <v>#REF!</v>
      </c>
      <c r="AI1613" s="69" t="e" cm="1">
        <f t="array" ref="AI1613">_xlfn.XLOOKUP(Table1[[#This Row],[5 cm2 cell test code]:[5 cm2 cell test code]],[1]!Table1[[Test code]:[Test code]],[1]!Table1[Q_int_frac DIW 10 mM KOH],"",0)</f>
        <v>#REF!</v>
      </c>
      <c r="AJ1613" s="69" t="e" cm="1">
        <f t="array" ref="AJ1613">_xlfn.XLOOKUP(Table1[[#This Row],[5 cm2 cell test code]:[5 cm2 cell test code]],[1]!Table1[[Test code]:[Test code]],[1]!Table1[DIW conductivity (µS/cm)],"",0)</f>
        <v>#REF!</v>
      </c>
    </row>
    <row r="1614" spans="1:36">
      <c r="A1614" s="81"/>
      <c r="U1614" s="101"/>
      <c r="V1614" s="101"/>
      <c r="W1614" s="69" t="e" cm="1">
        <f t="array" ref="W1614">_xlfn.XLOOKUP(Table1[[#This Row],[5 cm2 cell test code]:[5 cm2 cell test code]],[1]!Table1[[Test code]:[Test code]],[1]!Table1[i @ 1.8 V DIW (A/cm2)],"",0)</f>
        <v>#REF!</v>
      </c>
      <c r="X1614" s="69" t="e" cm="1">
        <f t="array" ref="X1614">_xlfn.XLOOKUP(Table1[[#This Row],[5 cm2 cell test code]:[5 cm2 cell test code]],[1]!Table1[[Test code]:[Test code]],[1]!Table1[i @ 1.8 V 10 mM KOH (A/cm2)],"",0)</f>
        <v>#REF!</v>
      </c>
      <c r="Y1614" s="69" t="e" cm="1">
        <f t="array" ref="Y1614">_xlfn.XLOOKUP(Table1[[#This Row],[5 cm2 cell test code]:[5 cm2 cell test code]],[1]!Table1[[Test code]:[Test code]],[1]!Table1[3-E ƞ at 20mAcm-2 (mV)],"",0)</f>
        <v>#REF!</v>
      </c>
      <c r="Z1614" s="69" t="e" cm="1">
        <f t="array" ref="Z1614">_xlfn.XLOOKUP(Table1[[#This Row],[5 cm2 cell test code]:[5 cm2 cell test code]],[1]!Table1[[Test code]:[Test code]],[1]!Table1[3-E Tafel slope (mV/dec)],"",0)</f>
        <v>#REF!</v>
      </c>
      <c r="AA1614" s="69" t="e" cm="1">
        <f t="array" ref="AA1614">_xlfn.XLOOKUP(Table1[[#This Row],[5 cm2 cell test code]:[5 cm2 cell test code]],[1]!Table1[[Test code]:[Test code]],[1]!Table1[E @ 100 mA/cm2 DIW/V],"",0)</f>
        <v>#REF!</v>
      </c>
      <c r="AB1614" s="69" t="e" cm="1">
        <f t="array" ref="AB1614">_xlfn.XLOOKUP(Table1[[#This Row],[5 cm2 cell test code]:[5 cm2 cell test code]],[1]!Table1[[Test code]:[Test code]],[1]!Table1[E @ 100 mA/cm2 10 mM KOH/V],"",0)</f>
        <v>#REF!</v>
      </c>
      <c r="AC1614" s="69" t="e" cm="1">
        <f t="array" ref="AC1614">_xlfn.XLOOKUP(Table1[[#This Row],[5 cm2 cell test code]:[5 cm2 cell test code]],[1]!Table1[[Test code]:[Test code]],[1]!Table1[Anode ICR/mOhm],"",0)</f>
        <v>#REF!</v>
      </c>
      <c r="AD1614" s="69" t="e" cm="1">
        <f t="array" ref="AD1614">_xlfn.XLOOKUP(Table1[[#This Row],[5 cm2 cell test code]:[5 cm2 cell test code]],[1]!Table1[[Test code]:[Test code]],[1]!Table1[HFR DIW/ mOhm cm2],"",0)</f>
        <v>#REF!</v>
      </c>
      <c r="AE1614" s="69" t="e" cm="1">
        <f t="array" ref="AE1614">_xlfn.XLOOKUP(Table1[[#This Row],[5 cm2 cell test code]:[5 cm2 cell test code]],[1]!Table1[[Test code]:[Test code]],[1]!Table1[HFR 10 mM KOH/ mOhm cm2],"",0)</f>
        <v>#REF!</v>
      </c>
      <c r="AF1614" s="69" t="e" cm="1">
        <f t="array" ref="AF1614">_xlfn.XLOOKUP(Table1[[#This Row],[5 cm2 cell test code]:[5 cm2 cell test code]],[1]!Table1[[Test code]:[Test code]],[1]!Table1[Ionic resistance DIW/Ohm cm2],"",0)</f>
        <v>#REF!</v>
      </c>
      <c r="AG1614" s="69" t="e" cm="1">
        <f t="array" ref="AG1614">_xlfn.XLOOKUP(Table1[[#This Row],[5 cm2 cell test code]:[5 cm2 cell test code]],[1]!Table1[[Test code]:[Test code]],[1]!Table1[Q_int_frac DIW],"",0)</f>
        <v>#REF!</v>
      </c>
      <c r="AH1614" s="69" t="e" cm="1">
        <f t="array" ref="AH1614">_xlfn.XLOOKUP(Table1[[#This Row],[5 cm2 cell test code]:[5 cm2 cell test code]],[1]!Table1[[Test code]:[Test code]],[1]!Table1[Ionic resistance 10 mM KOH/Ohm cm2],"",0)</f>
        <v>#REF!</v>
      </c>
      <c r="AI1614" s="69" t="e" cm="1">
        <f t="array" ref="AI1614">_xlfn.XLOOKUP(Table1[[#This Row],[5 cm2 cell test code]:[5 cm2 cell test code]],[1]!Table1[[Test code]:[Test code]],[1]!Table1[Q_int_frac DIW 10 mM KOH],"",0)</f>
        <v>#REF!</v>
      </c>
      <c r="AJ1614" s="69" t="e" cm="1">
        <f t="array" ref="AJ1614">_xlfn.XLOOKUP(Table1[[#This Row],[5 cm2 cell test code]:[5 cm2 cell test code]],[1]!Table1[[Test code]:[Test code]],[1]!Table1[DIW conductivity (µS/cm)],"",0)</f>
        <v>#REF!</v>
      </c>
    </row>
    <row r="1615" spans="1:36">
      <c r="A1615" s="81"/>
      <c r="U1615" s="101"/>
      <c r="V1615" s="101"/>
      <c r="W1615" s="69" t="e" cm="1">
        <f t="array" ref="W1615">_xlfn.XLOOKUP(Table1[[#This Row],[5 cm2 cell test code]:[5 cm2 cell test code]],[1]!Table1[[Test code]:[Test code]],[1]!Table1[i @ 1.8 V DIW (A/cm2)],"",0)</f>
        <v>#REF!</v>
      </c>
      <c r="X1615" s="69" t="e" cm="1">
        <f t="array" ref="X1615">_xlfn.XLOOKUP(Table1[[#This Row],[5 cm2 cell test code]:[5 cm2 cell test code]],[1]!Table1[[Test code]:[Test code]],[1]!Table1[i @ 1.8 V 10 mM KOH (A/cm2)],"",0)</f>
        <v>#REF!</v>
      </c>
      <c r="Y1615" s="69" t="e" cm="1">
        <f t="array" ref="Y1615">_xlfn.XLOOKUP(Table1[[#This Row],[5 cm2 cell test code]:[5 cm2 cell test code]],[1]!Table1[[Test code]:[Test code]],[1]!Table1[3-E ƞ at 20mAcm-2 (mV)],"",0)</f>
        <v>#REF!</v>
      </c>
      <c r="Z1615" s="69" t="e" cm="1">
        <f t="array" ref="Z1615">_xlfn.XLOOKUP(Table1[[#This Row],[5 cm2 cell test code]:[5 cm2 cell test code]],[1]!Table1[[Test code]:[Test code]],[1]!Table1[3-E Tafel slope (mV/dec)],"",0)</f>
        <v>#REF!</v>
      </c>
      <c r="AA1615" s="69" t="e" cm="1">
        <f t="array" ref="AA1615">_xlfn.XLOOKUP(Table1[[#This Row],[5 cm2 cell test code]:[5 cm2 cell test code]],[1]!Table1[[Test code]:[Test code]],[1]!Table1[E @ 100 mA/cm2 DIW/V],"",0)</f>
        <v>#REF!</v>
      </c>
      <c r="AB1615" s="69" t="e" cm="1">
        <f t="array" ref="AB1615">_xlfn.XLOOKUP(Table1[[#This Row],[5 cm2 cell test code]:[5 cm2 cell test code]],[1]!Table1[[Test code]:[Test code]],[1]!Table1[E @ 100 mA/cm2 10 mM KOH/V],"",0)</f>
        <v>#REF!</v>
      </c>
      <c r="AC1615" s="69" t="e" cm="1">
        <f t="array" ref="AC1615">_xlfn.XLOOKUP(Table1[[#This Row],[5 cm2 cell test code]:[5 cm2 cell test code]],[1]!Table1[[Test code]:[Test code]],[1]!Table1[Anode ICR/mOhm],"",0)</f>
        <v>#REF!</v>
      </c>
      <c r="AD1615" s="69" t="e" cm="1">
        <f t="array" ref="AD1615">_xlfn.XLOOKUP(Table1[[#This Row],[5 cm2 cell test code]:[5 cm2 cell test code]],[1]!Table1[[Test code]:[Test code]],[1]!Table1[HFR DIW/ mOhm cm2],"",0)</f>
        <v>#REF!</v>
      </c>
      <c r="AE1615" s="69" t="e" cm="1">
        <f t="array" ref="AE1615">_xlfn.XLOOKUP(Table1[[#This Row],[5 cm2 cell test code]:[5 cm2 cell test code]],[1]!Table1[[Test code]:[Test code]],[1]!Table1[HFR 10 mM KOH/ mOhm cm2],"",0)</f>
        <v>#REF!</v>
      </c>
      <c r="AF1615" s="69" t="e" cm="1">
        <f t="array" ref="AF1615">_xlfn.XLOOKUP(Table1[[#This Row],[5 cm2 cell test code]:[5 cm2 cell test code]],[1]!Table1[[Test code]:[Test code]],[1]!Table1[Ionic resistance DIW/Ohm cm2],"",0)</f>
        <v>#REF!</v>
      </c>
      <c r="AG1615" s="69" t="e" cm="1">
        <f t="array" ref="AG1615">_xlfn.XLOOKUP(Table1[[#This Row],[5 cm2 cell test code]:[5 cm2 cell test code]],[1]!Table1[[Test code]:[Test code]],[1]!Table1[Q_int_frac DIW],"",0)</f>
        <v>#REF!</v>
      </c>
      <c r="AH1615" s="69" t="e" cm="1">
        <f t="array" ref="AH1615">_xlfn.XLOOKUP(Table1[[#This Row],[5 cm2 cell test code]:[5 cm2 cell test code]],[1]!Table1[[Test code]:[Test code]],[1]!Table1[Ionic resistance 10 mM KOH/Ohm cm2],"",0)</f>
        <v>#REF!</v>
      </c>
      <c r="AI1615" s="69" t="e" cm="1">
        <f t="array" ref="AI1615">_xlfn.XLOOKUP(Table1[[#This Row],[5 cm2 cell test code]:[5 cm2 cell test code]],[1]!Table1[[Test code]:[Test code]],[1]!Table1[Q_int_frac DIW 10 mM KOH],"",0)</f>
        <v>#REF!</v>
      </c>
      <c r="AJ1615" s="69" t="e" cm="1">
        <f t="array" ref="AJ1615">_xlfn.XLOOKUP(Table1[[#This Row],[5 cm2 cell test code]:[5 cm2 cell test code]],[1]!Table1[[Test code]:[Test code]],[1]!Table1[DIW conductivity (µS/cm)],"",0)</f>
        <v>#REF!</v>
      </c>
    </row>
    <row r="1616" spans="1:36">
      <c r="A1616" s="81"/>
      <c r="U1616" s="101"/>
      <c r="V1616" s="101"/>
      <c r="W1616" s="69" t="e" cm="1">
        <f t="array" ref="W1616">_xlfn.XLOOKUP(Table1[[#This Row],[5 cm2 cell test code]:[5 cm2 cell test code]],[1]!Table1[[Test code]:[Test code]],[1]!Table1[i @ 1.8 V DIW (A/cm2)],"",0)</f>
        <v>#REF!</v>
      </c>
      <c r="X1616" s="69" t="e" cm="1">
        <f t="array" ref="X1616">_xlfn.XLOOKUP(Table1[[#This Row],[5 cm2 cell test code]:[5 cm2 cell test code]],[1]!Table1[[Test code]:[Test code]],[1]!Table1[i @ 1.8 V 10 mM KOH (A/cm2)],"",0)</f>
        <v>#REF!</v>
      </c>
      <c r="Y1616" s="69" t="e" cm="1">
        <f t="array" ref="Y1616">_xlfn.XLOOKUP(Table1[[#This Row],[5 cm2 cell test code]:[5 cm2 cell test code]],[1]!Table1[[Test code]:[Test code]],[1]!Table1[3-E ƞ at 20mAcm-2 (mV)],"",0)</f>
        <v>#REF!</v>
      </c>
      <c r="Z1616" s="69" t="e" cm="1">
        <f t="array" ref="Z1616">_xlfn.XLOOKUP(Table1[[#This Row],[5 cm2 cell test code]:[5 cm2 cell test code]],[1]!Table1[[Test code]:[Test code]],[1]!Table1[3-E Tafel slope (mV/dec)],"",0)</f>
        <v>#REF!</v>
      </c>
      <c r="AA1616" s="69" t="e" cm="1">
        <f t="array" ref="AA1616">_xlfn.XLOOKUP(Table1[[#This Row],[5 cm2 cell test code]:[5 cm2 cell test code]],[1]!Table1[[Test code]:[Test code]],[1]!Table1[E @ 100 mA/cm2 DIW/V],"",0)</f>
        <v>#REF!</v>
      </c>
      <c r="AB1616" s="69" t="e" cm="1">
        <f t="array" ref="AB1616">_xlfn.XLOOKUP(Table1[[#This Row],[5 cm2 cell test code]:[5 cm2 cell test code]],[1]!Table1[[Test code]:[Test code]],[1]!Table1[E @ 100 mA/cm2 10 mM KOH/V],"",0)</f>
        <v>#REF!</v>
      </c>
      <c r="AC1616" s="69" t="e" cm="1">
        <f t="array" ref="AC1616">_xlfn.XLOOKUP(Table1[[#This Row],[5 cm2 cell test code]:[5 cm2 cell test code]],[1]!Table1[[Test code]:[Test code]],[1]!Table1[Anode ICR/mOhm],"",0)</f>
        <v>#REF!</v>
      </c>
      <c r="AD1616" s="69" t="e" cm="1">
        <f t="array" ref="AD1616">_xlfn.XLOOKUP(Table1[[#This Row],[5 cm2 cell test code]:[5 cm2 cell test code]],[1]!Table1[[Test code]:[Test code]],[1]!Table1[HFR DIW/ mOhm cm2],"",0)</f>
        <v>#REF!</v>
      </c>
      <c r="AE1616" s="69" t="e" cm="1">
        <f t="array" ref="AE1616">_xlfn.XLOOKUP(Table1[[#This Row],[5 cm2 cell test code]:[5 cm2 cell test code]],[1]!Table1[[Test code]:[Test code]],[1]!Table1[HFR 10 mM KOH/ mOhm cm2],"",0)</f>
        <v>#REF!</v>
      </c>
      <c r="AF1616" s="69" t="e" cm="1">
        <f t="array" ref="AF1616">_xlfn.XLOOKUP(Table1[[#This Row],[5 cm2 cell test code]:[5 cm2 cell test code]],[1]!Table1[[Test code]:[Test code]],[1]!Table1[Ionic resistance DIW/Ohm cm2],"",0)</f>
        <v>#REF!</v>
      </c>
      <c r="AG1616" s="69" t="e" cm="1">
        <f t="array" ref="AG1616">_xlfn.XLOOKUP(Table1[[#This Row],[5 cm2 cell test code]:[5 cm2 cell test code]],[1]!Table1[[Test code]:[Test code]],[1]!Table1[Q_int_frac DIW],"",0)</f>
        <v>#REF!</v>
      </c>
      <c r="AH1616" s="69" t="e" cm="1">
        <f t="array" ref="AH1616">_xlfn.XLOOKUP(Table1[[#This Row],[5 cm2 cell test code]:[5 cm2 cell test code]],[1]!Table1[[Test code]:[Test code]],[1]!Table1[Ionic resistance 10 mM KOH/Ohm cm2],"",0)</f>
        <v>#REF!</v>
      </c>
      <c r="AI1616" s="69" t="e" cm="1">
        <f t="array" ref="AI1616">_xlfn.XLOOKUP(Table1[[#This Row],[5 cm2 cell test code]:[5 cm2 cell test code]],[1]!Table1[[Test code]:[Test code]],[1]!Table1[Q_int_frac DIW 10 mM KOH],"",0)</f>
        <v>#REF!</v>
      </c>
      <c r="AJ1616" s="69" t="e" cm="1">
        <f t="array" ref="AJ1616">_xlfn.XLOOKUP(Table1[[#This Row],[5 cm2 cell test code]:[5 cm2 cell test code]],[1]!Table1[[Test code]:[Test code]],[1]!Table1[DIW conductivity (µS/cm)],"",0)</f>
        <v>#REF!</v>
      </c>
    </row>
    <row r="1617" spans="1:36">
      <c r="A1617" s="81"/>
      <c r="U1617" s="101"/>
      <c r="V1617" s="101"/>
      <c r="W1617" s="69" t="e" cm="1">
        <f t="array" ref="W1617">_xlfn.XLOOKUP(Table1[[#This Row],[5 cm2 cell test code]:[5 cm2 cell test code]],[1]!Table1[[Test code]:[Test code]],[1]!Table1[i @ 1.8 V DIW (A/cm2)],"",0)</f>
        <v>#REF!</v>
      </c>
      <c r="X1617" s="69" t="e" cm="1">
        <f t="array" ref="X1617">_xlfn.XLOOKUP(Table1[[#This Row],[5 cm2 cell test code]:[5 cm2 cell test code]],[1]!Table1[[Test code]:[Test code]],[1]!Table1[i @ 1.8 V 10 mM KOH (A/cm2)],"",0)</f>
        <v>#REF!</v>
      </c>
      <c r="Y1617" s="69" t="e" cm="1">
        <f t="array" ref="Y1617">_xlfn.XLOOKUP(Table1[[#This Row],[5 cm2 cell test code]:[5 cm2 cell test code]],[1]!Table1[[Test code]:[Test code]],[1]!Table1[3-E ƞ at 20mAcm-2 (mV)],"",0)</f>
        <v>#REF!</v>
      </c>
      <c r="Z1617" s="69" t="e" cm="1">
        <f t="array" ref="Z1617">_xlfn.XLOOKUP(Table1[[#This Row],[5 cm2 cell test code]:[5 cm2 cell test code]],[1]!Table1[[Test code]:[Test code]],[1]!Table1[3-E Tafel slope (mV/dec)],"",0)</f>
        <v>#REF!</v>
      </c>
      <c r="AA1617" s="69" t="e" cm="1">
        <f t="array" ref="AA1617">_xlfn.XLOOKUP(Table1[[#This Row],[5 cm2 cell test code]:[5 cm2 cell test code]],[1]!Table1[[Test code]:[Test code]],[1]!Table1[E @ 100 mA/cm2 DIW/V],"",0)</f>
        <v>#REF!</v>
      </c>
      <c r="AB1617" s="69" t="e" cm="1">
        <f t="array" ref="AB1617">_xlfn.XLOOKUP(Table1[[#This Row],[5 cm2 cell test code]:[5 cm2 cell test code]],[1]!Table1[[Test code]:[Test code]],[1]!Table1[E @ 100 mA/cm2 10 mM KOH/V],"",0)</f>
        <v>#REF!</v>
      </c>
      <c r="AC1617" s="69" t="e" cm="1">
        <f t="array" ref="AC1617">_xlfn.XLOOKUP(Table1[[#This Row],[5 cm2 cell test code]:[5 cm2 cell test code]],[1]!Table1[[Test code]:[Test code]],[1]!Table1[Anode ICR/mOhm],"",0)</f>
        <v>#REF!</v>
      </c>
      <c r="AD1617" s="69" t="e" cm="1">
        <f t="array" ref="AD1617">_xlfn.XLOOKUP(Table1[[#This Row],[5 cm2 cell test code]:[5 cm2 cell test code]],[1]!Table1[[Test code]:[Test code]],[1]!Table1[HFR DIW/ mOhm cm2],"",0)</f>
        <v>#REF!</v>
      </c>
      <c r="AE1617" s="69" t="e" cm="1">
        <f t="array" ref="AE1617">_xlfn.XLOOKUP(Table1[[#This Row],[5 cm2 cell test code]:[5 cm2 cell test code]],[1]!Table1[[Test code]:[Test code]],[1]!Table1[HFR 10 mM KOH/ mOhm cm2],"",0)</f>
        <v>#REF!</v>
      </c>
      <c r="AF1617" s="69" t="e" cm="1">
        <f t="array" ref="AF1617">_xlfn.XLOOKUP(Table1[[#This Row],[5 cm2 cell test code]:[5 cm2 cell test code]],[1]!Table1[[Test code]:[Test code]],[1]!Table1[Ionic resistance DIW/Ohm cm2],"",0)</f>
        <v>#REF!</v>
      </c>
      <c r="AG1617" s="69" t="e" cm="1">
        <f t="array" ref="AG1617">_xlfn.XLOOKUP(Table1[[#This Row],[5 cm2 cell test code]:[5 cm2 cell test code]],[1]!Table1[[Test code]:[Test code]],[1]!Table1[Q_int_frac DIW],"",0)</f>
        <v>#REF!</v>
      </c>
      <c r="AH1617" s="69" t="e" cm="1">
        <f t="array" ref="AH1617">_xlfn.XLOOKUP(Table1[[#This Row],[5 cm2 cell test code]:[5 cm2 cell test code]],[1]!Table1[[Test code]:[Test code]],[1]!Table1[Ionic resistance 10 mM KOH/Ohm cm2],"",0)</f>
        <v>#REF!</v>
      </c>
      <c r="AI1617" s="69" t="e" cm="1">
        <f t="array" ref="AI1617">_xlfn.XLOOKUP(Table1[[#This Row],[5 cm2 cell test code]:[5 cm2 cell test code]],[1]!Table1[[Test code]:[Test code]],[1]!Table1[Q_int_frac DIW 10 mM KOH],"",0)</f>
        <v>#REF!</v>
      </c>
      <c r="AJ1617" s="69" t="e" cm="1">
        <f t="array" ref="AJ1617">_xlfn.XLOOKUP(Table1[[#This Row],[5 cm2 cell test code]:[5 cm2 cell test code]],[1]!Table1[[Test code]:[Test code]],[1]!Table1[DIW conductivity (µS/cm)],"",0)</f>
        <v>#REF!</v>
      </c>
    </row>
    <row r="1618" spans="1:36">
      <c r="A1618" s="81"/>
      <c r="U1618" s="101"/>
      <c r="V1618" s="101"/>
      <c r="W1618" s="69" t="e" cm="1">
        <f t="array" ref="W1618">_xlfn.XLOOKUP(Table1[[#This Row],[5 cm2 cell test code]:[5 cm2 cell test code]],[1]!Table1[[Test code]:[Test code]],[1]!Table1[i @ 1.8 V DIW (A/cm2)],"",0)</f>
        <v>#REF!</v>
      </c>
      <c r="X1618" s="69" t="e" cm="1">
        <f t="array" ref="X1618">_xlfn.XLOOKUP(Table1[[#This Row],[5 cm2 cell test code]:[5 cm2 cell test code]],[1]!Table1[[Test code]:[Test code]],[1]!Table1[i @ 1.8 V 10 mM KOH (A/cm2)],"",0)</f>
        <v>#REF!</v>
      </c>
      <c r="Y1618" s="69" t="e" cm="1">
        <f t="array" ref="Y1618">_xlfn.XLOOKUP(Table1[[#This Row],[5 cm2 cell test code]:[5 cm2 cell test code]],[1]!Table1[[Test code]:[Test code]],[1]!Table1[3-E ƞ at 20mAcm-2 (mV)],"",0)</f>
        <v>#REF!</v>
      </c>
      <c r="Z1618" s="69" t="e" cm="1">
        <f t="array" ref="Z1618">_xlfn.XLOOKUP(Table1[[#This Row],[5 cm2 cell test code]:[5 cm2 cell test code]],[1]!Table1[[Test code]:[Test code]],[1]!Table1[3-E Tafel slope (mV/dec)],"",0)</f>
        <v>#REF!</v>
      </c>
      <c r="AA1618" s="69" t="e" cm="1">
        <f t="array" ref="AA1618">_xlfn.XLOOKUP(Table1[[#This Row],[5 cm2 cell test code]:[5 cm2 cell test code]],[1]!Table1[[Test code]:[Test code]],[1]!Table1[E @ 100 mA/cm2 DIW/V],"",0)</f>
        <v>#REF!</v>
      </c>
      <c r="AB1618" s="69" t="e" cm="1">
        <f t="array" ref="AB1618">_xlfn.XLOOKUP(Table1[[#This Row],[5 cm2 cell test code]:[5 cm2 cell test code]],[1]!Table1[[Test code]:[Test code]],[1]!Table1[E @ 100 mA/cm2 10 mM KOH/V],"",0)</f>
        <v>#REF!</v>
      </c>
      <c r="AC1618" s="69" t="e" cm="1">
        <f t="array" ref="AC1618">_xlfn.XLOOKUP(Table1[[#This Row],[5 cm2 cell test code]:[5 cm2 cell test code]],[1]!Table1[[Test code]:[Test code]],[1]!Table1[Anode ICR/mOhm],"",0)</f>
        <v>#REF!</v>
      </c>
      <c r="AD1618" s="69" t="e" cm="1">
        <f t="array" ref="AD1618">_xlfn.XLOOKUP(Table1[[#This Row],[5 cm2 cell test code]:[5 cm2 cell test code]],[1]!Table1[[Test code]:[Test code]],[1]!Table1[HFR DIW/ mOhm cm2],"",0)</f>
        <v>#REF!</v>
      </c>
      <c r="AE1618" s="69" t="e" cm="1">
        <f t="array" ref="AE1618">_xlfn.XLOOKUP(Table1[[#This Row],[5 cm2 cell test code]:[5 cm2 cell test code]],[1]!Table1[[Test code]:[Test code]],[1]!Table1[HFR 10 mM KOH/ mOhm cm2],"",0)</f>
        <v>#REF!</v>
      </c>
      <c r="AF1618" s="69" t="e" cm="1">
        <f t="array" ref="AF1618">_xlfn.XLOOKUP(Table1[[#This Row],[5 cm2 cell test code]:[5 cm2 cell test code]],[1]!Table1[[Test code]:[Test code]],[1]!Table1[Ionic resistance DIW/Ohm cm2],"",0)</f>
        <v>#REF!</v>
      </c>
      <c r="AG1618" s="69" t="e" cm="1">
        <f t="array" ref="AG1618">_xlfn.XLOOKUP(Table1[[#This Row],[5 cm2 cell test code]:[5 cm2 cell test code]],[1]!Table1[[Test code]:[Test code]],[1]!Table1[Q_int_frac DIW],"",0)</f>
        <v>#REF!</v>
      </c>
      <c r="AH1618" s="69" t="e" cm="1">
        <f t="array" ref="AH1618">_xlfn.XLOOKUP(Table1[[#This Row],[5 cm2 cell test code]:[5 cm2 cell test code]],[1]!Table1[[Test code]:[Test code]],[1]!Table1[Ionic resistance 10 mM KOH/Ohm cm2],"",0)</f>
        <v>#REF!</v>
      </c>
      <c r="AI1618" s="69" t="e" cm="1">
        <f t="array" ref="AI1618">_xlfn.XLOOKUP(Table1[[#This Row],[5 cm2 cell test code]:[5 cm2 cell test code]],[1]!Table1[[Test code]:[Test code]],[1]!Table1[Q_int_frac DIW 10 mM KOH],"",0)</f>
        <v>#REF!</v>
      </c>
      <c r="AJ1618" s="69" t="e" cm="1">
        <f t="array" ref="AJ1618">_xlfn.XLOOKUP(Table1[[#This Row],[5 cm2 cell test code]:[5 cm2 cell test code]],[1]!Table1[[Test code]:[Test code]],[1]!Table1[DIW conductivity (µS/cm)],"",0)</f>
        <v>#REF!</v>
      </c>
    </row>
    <row r="1619" spans="1:36">
      <c r="A1619" s="81"/>
      <c r="U1619" s="101"/>
      <c r="V1619" s="101"/>
      <c r="W1619" s="69" t="e" cm="1">
        <f t="array" ref="W1619">_xlfn.XLOOKUP(Table1[[#This Row],[5 cm2 cell test code]:[5 cm2 cell test code]],[1]!Table1[[Test code]:[Test code]],[1]!Table1[i @ 1.8 V DIW (A/cm2)],"",0)</f>
        <v>#REF!</v>
      </c>
      <c r="X1619" s="69" t="e" cm="1">
        <f t="array" ref="X1619">_xlfn.XLOOKUP(Table1[[#This Row],[5 cm2 cell test code]:[5 cm2 cell test code]],[1]!Table1[[Test code]:[Test code]],[1]!Table1[i @ 1.8 V 10 mM KOH (A/cm2)],"",0)</f>
        <v>#REF!</v>
      </c>
      <c r="Y1619" s="69" t="e" cm="1">
        <f t="array" ref="Y1619">_xlfn.XLOOKUP(Table1[[#This Row],[5 cm2 cell test code]:[5 cm2 cell test code]],[1]!Table1[[Test code]:[Test code]],[1]!Table1[3-E ƞ at 20mAcm-2 (mV)],"",0)</f>
        <v>#REF!</v>
      </c>
      <c r="Z1619" s="69" t="e" cm="1">
        <f t="array" ref="Z1619">_xlfn.XLOOKUP(Table1[[#This Row],[5 cm2 cell test code]:[5 cm2 cell test code]],[1]!Table1[[Test code]:[Test code]],[1]!Table1[3-E Tafel slope (mV/dec)],"",0)</f>
        <v>#REF!</v>
      </c>
      <c r="AA1619" s="69" t="e" cm="1">
        <f t="array" ref="AA1619">_xlfn.XLOOKUP(Table1[[#This Row],[5 cm2 cell test code]:[5 cm2 cell test code]],[1]!Table1[[Test code]:[Test code]],[1]!Table1[E @ 100 mA/cm2 DIW/V],"",0)</f>
        <v>#REF!</v>
      </c>
      <c r="AB1619" s="69" t="e" cm="1">
        <f t="array" ref="AB1619">_xlfn.XLOOKUP(Table1[[#This Row],[5 cm2 cell test code]:[5 cm2 cell test code]],[1]!Table1[[Test code]:[Test code]],[1]!Table1[E @ 100 mA/cm2 10 mM KOH/V],"",0)</f>
        <v>#REF!</v>
      </c>
      <c r="AC1619" s="69" t="e" cm="1">
        <f t="array" ref="AC1619">_xlfn.XLOOKUP(Table1[[#This Row],[5 cm2 cell test code]:[5 cm2 cell test code]],[1]!Table1[[Test code]:[Test code]],[1]!Table1[Anode ICR/mOhm],"",0)</f>
        <v>#REF!</v>
      </c>
      <c r="AD1619" s="69" t="e" cm="1">
        <f t="array" ref="AD1619">_xlfn.XLOOKUP(Table1[[#This Row],[5 cm2 cell test code]:[5 cm2 cell test code]],[1]!Table1[[Test code]:[Test code]],[1]!Table1[HFR DIW/ mOhm cm2],"",0)</f>
        <v>#REF!</v>
      </c>
      <c r="AE1619" s="69" t="e" cm="1">
        <f t="array" ref="AE1619">_xlfn.XLOOKUP(Table1[[#This Row],[5 cm2 cell test code]:[5 cm2 cell test code]],[1]!Table1[[Test code]:[Test code]],[1]!Table1[HFR 10 mM KOH/ mOhm cm2],"",0)</f>
        <v>#REF!</v>
      </c>
      <c r="AF1619" s="69" t="e" cm="1">
        <f t="array" ref="AF1619">_xlfn.XLOOKUP(Table1[[#This Row],[5 cm2 cell test code]:[5 cm2 cell test code]],[1]!Table1[[Test code]:[Test code]],[1]!Table1[Ionic resistance DIW/Ohm cm2],"",0)</f>
        <v>#REF!</v>
      </c>
      <c r="AG1619" s="69" t="e" cm="1">
        <f t="array" ref="AG1619">_xlfn.XLOOKUP(Table1[[#This Row],[5 cm2 cell test code]:[5 cm2 cell test code]],[1]!Table1[[Test code]:[Test code]],[1]!Table1[Q_int_frac DIW],"",0)</f>
        <v>#REF!</v>
      </c>
      <c r="AH1619" s="69" t="e" cm="1">
        <f t="array" ref="AH1619">_xlfn.XLOOKUP(Table1[[#This Row],[5 cm2 cell test code]:[5 cm2 cell test code]],[1]!Table1[[Test code]:[Test code]],[1]!Table1[Ionic resistance 10 mM KOH/Ohm cm2],"",0)</f>
        <v>#REF!</v>
      </c>
      <c r="AI1619" s="69" t="e" cm="1">
        <f t="array" ref="AI1619">_xlfn.XLOOKUP(Table1[[#This Row],[5 cm2 cell test code]:[5 cm2 cell test code]],[1]!Table1[[Test code]:[Test code]],[1]!Table1[Q_int_frac DIW 10 mM KOH],"",0)</f>
        <v>#REF!</v>
      </c>
      <c r="AJ1619" s="69" t="e" cm="1">
        <f t="array" ref="AJ1619">_xlfn.XLOOKUP(Table1[[#This Row],[5 cm2 cell test code]:[5 cm2 cell test code]],[1]!Table1[[Test code]:[Test code]],[1]!Table1[DIW conductivity (µS/cm)],"",0)</f>
        <v>#REF!</v>
      </c>
    </row>
    <row r="1620" spans="1:36">
      <c r="A1620" s="81"/>
      <c r="U1620" s="101"/>
      <c r="V1620" s="101"/>
      <c r="W1620" s="69" t="e" cm="1">
        <f t="array" ref="W1620">_xlfn.XLOOKUP(Table1[[#This Row],[5 cm2 cell test code]:[5 cm2 cell test code]],[1]!Table1[[Test code]:[Test code]],[1]!Table1[i @ 1.8 V DIW (A/cm2)],"",0)</f>
        <v>#REF!</v>
      </c>
      <c r="X1620" s="69" t="e" cm="1">
        <f t="array" ref="X1620">_xlfn.XLOOKUP(Table1[[#This Row],[5 cm2 cell test code]:[5 cm2 cell test code]],[1]!Table1[[Test code]:[Test code]],[1]!Table1[i @ 1.8 V 10 mM KOH (A/cm2)],"",0)</f>
        <v>#REF!</v>
      </c>
      <c r="Y1620" s="69" t="e" cm="1">
        <f t="array" ref="Y1620">_xlfn.XLOOKUP(Table1[[#This Row],[5 cm2 cell test code]:[5 cm2 cell test code]],[1]!Table1[[Test code]:[Test code]],[1]!Table1[3-E ƞ at 20mAcm-2 (mV)],"",0)</f>
        <v>#REF!</v>
      </c>
      <c r="Z1620" s="69" t="e" cm="1">
        <f t="array" ref="Z1620">_xlfn.XLOOKUP(Table1[[#This Row],[5 cm2 cell test code]:[5 cm2 cell test code]],[1]!Table1[[Test code]:[Test code]],[1]!Table1[3-E Tafel slope (mV/dec)],"",0)</f>
        <v>#REF!</v>
      </c>
      <c r="AA1620" s="69" t="e" cm="1">
        <f t="array" ref="AA1620">_xlfn.XLOOKUP(Table1[[#This Row],[5 cm2 cell test code]:[5 cm2 cell test code]],[1]!Table1[[Test code]:[Test code]],[1]!Table1[E @ 100 mA/cm2 DIW/V],"",0)</f>
        <v>#REF!</v>
      </c>
      <c r="AB1620" s="69" t="e" cm="1">
        <f t="array" ref="AB1620">_xlfn.XLOOKUP(Table1[[#This Row],[5 cm2 cell test code]:[5 cm2 cell test code]],[1]!Table1[[Test code]:[Test code]],[1]!Table1[E @ 100 mA/cm2 10 mM KOH/V],"",0)</f>
        <v>#REF!</v>
      </c>
      <c r="AC1620" s="69" t="e" cm="1">
        <f t="array" ref="AC1620">_xlfn.XLOOKUP(Table1[[#This Row],[5 cm2 cell test code]:[5 cm2 cell test code]],[1]!Table1[[Test code]:[Test code]],[1]!Table1[Anode ICR/mOhm],"",0)</f>
        <v>#REF!</v>
      </c>
      <c r="AD1620" s="69" t="e" cm="1">
        <f t="array" ref="AD1620">_xlfn.XLOOKUP(Table1[[#This Row],[5 cm2 cell test code]:[5 cm2 cell test code]],[1]!Table1[[Test code]:[Test code]],[1]!Table1[HFR DIW/ mOhm cm2],"",0)</f>
        <v>#REF!</v>
      </c>
      <c r="AE1620" s="69" t="e" cm="1">
        <f t="array" ref="AE1620">_xlfn.XLOOKUP(Table1[[#This Row],[5 cm2 cell test code]:[5 cm2 cell test code]],[1]!Table1[[Test code]:[Test code]],[1]!Table1[HFR 10 mM KOH/ mOhm cm2],"",0)</f>
        <v>#REF!</v>
      </c>
      <c r="AF1620" s="69" t="e" cm="1">
        <f t="array" ref="AF1620">_xlfn.XLOOKUP(Table1[[#This Row],[5 cm2 cell test code]:[5 cm2 cell test code]],[1]!Table1[[Test code]:[Test code]],[1]!Table1[Ionic resistance DIW/Ohm cm2],"",0)</f>
        <v>#REF!</v>
      </c>
      <c r="AG1620" s="69" t="e" cm="1">
        <f t="array" ref="AG1620">_xlfn.XLOOKUP(Table1[[#This Row],[5 cm2 cell test code]:[5 cm2 cell test code]],[1]!Table1[[Test code]:[Test code]],[1]!Table1[Q_int_frac DIW],"",0)</f>
        <v>#REF!</v>
      </c>
      <c r="AH1620" s="69" t="e" cm="1">
        <f t="array" ref="AH1620">_xlfn.XLOOKUP(Table1[[#This Row],[5 cm2 cell test code]:[5 cm2 cell test code]],[1]!Table1[[Test code]:[Test code]],[1]!Table1[Ionic resistance 10 mM KOH/Ohm cm2],"",0)</f>
        <v>#REF!</v>
      </c>
      <c r="AI1620" s="69" t="e" cm="1">
        <f t="array" ref="AI1620">_xlfn.XLOOKUP(Table1[[#This Row],[5 cm2 cell test code]:[5 cm2 cell test code]],[1]!Table1[[Test code]:[Test code]],[1]!Table1[Q_int_frac DIW 10 mM KOH],"",0)</f>
        <v>#REF!</v>
      </c>
      <c r="AJ1620" s="69" t="e" cm="1">
        <f t="array" ref="AJ1620">_xlfn.XLOOKUP(Table1[[#This Row],[5 cm2 cell test code]:[5 cm2 cell test code]],[1]!Table1[[Test code]:[Test code]],[1]!Table1[DIW conductivity (µS/cm)],"",0)</f>
        <v>#REF!</v>
      </c>
    </row>
    <row r="1621" spans="1:36">
      <c r="A1621" s="81"/>
      <c r="U1621" s="101"/>
      <c r="V1621" s="101"/>
      <c r="W1621" s="69" t="e" cm="1">
        <f t="array" ref="W1621">_xlfn.XLOOKUP(Table1[[#This Row],[5 cm2 cell test code]:[5 cm2 cell test code]],[1]!Table1[[Test code]:[Test code]],[1]!Table1[i @ 1.8 V DIW (A/cm2)],"",0)</f>
        <v>#REF!</v>
      </c>
      <c r="X1621" s="69" t="e" cm="1">
        <f t="array" ref="X1621">_xlfn.XLOOKUP(Table1[[#This Row],[5 cm2 cell test code]:[5 cm2 cell test code]],[1]!Table1[[Test code]:[Test code]],[1]!Table1[i @ 1.8 V 10 mM KOH (A/cm2)],"",0)</f>
        <v>#REF!</v>
      </c>
      <c r="Y1621" s="69" t="e" cm="1">
        <f t="array" ref="Y1621">_xlfn.XLOOKUP(Table1[[#This Row],[5 cm2 cell test code]:[5 cm2 cell test code]],[1]!Table1[[Test code]:[Test code]],[1]!Table1[3-E ƞ at 20mAcm-2 (mV)],"",0)</f>
        <v>#REF!</v>
      </c>
      <c r="Z1621" s="69" t="e" cm="1">
        <f t="array" ref="Z1621">_xlfn.XLOOKUP(Table1[[#This Row],[5 cm2 cell test code]:[5 cm2 cell test code]],[1]!Table1[[Test code]:[Test code]],[1]!Table1[3-E Tafel slope (mV/dec)],"",0)</f>
        <v>#REF!</v>
      </c>
      <c r="AA1621" s="69" t="e" cm="1">
        <f t="array" ref="AA1621">_xlfn.XLOOKUP(Table1[[#This Row],[5 cm2 cell test code]:[5 cm2 cell test code]],[1]!Table1[[Test code]:[Test code]],[1]!Table1[E @ 100 mA/cm2 DIW/V],"",0)</f>
        <v>#REF!</v>
      </c>
      <c r="AB1621" s="69" t="e" cm="1">
        <f t="array" ref="AB1621">_xlfn.XLOOKUP(Table1[[#This Row],[5 cm2 cell test code]:[5 cm2 cell test code]],[1]!Table1[[Test code]:[Test code]],[1]!Table1[E @ 100 mA/cm2 10 mM KOH/V],"",0)</f>
        <v>#REF!</v>
      </c>
      <c r="AC1621" s="69" t="e" cm="1">
        <f t="array" ref="AC1621">_xlfn.XLOOKUP(Table1[[#This Row],[5 cm2 cell test code]:[5 cm2 cell test code]],[1]!Table1[[Test code]:[Test code]],[1]!Table1[Anode ICR/mOhm],"",0)</f>
        <v>#REF!</v>
      </c>
      <c r="AD1621" s="69" t="e" cm="1">
        <f t="array" ref="AD1621">_xlfn.XLOOKUP(Table1[[#This Row],[5 cm2 cell test code]:[5 cm2 cell test code]],[1]!Table1[[Test code]:[Test code]],[1]!Table1[HFR DIW/ mOhm cm2],"",0)</f>
        <v>#REF!</v>
      </c>
      <c r="AE1621" s="69" t="e" cm="1">
        <f t="array" ref="AE1621">_xlfn.XLOOKUP(Table1[[#This Row],[5 cm2 cell test code]:[5 cm2 cell test code]],[1]!Table1[[Test code]:[Test code]],[1]!Table1[HFR 10 mM KOH/ mOhm cm2],"",0)</f>
        <v>#REF!</v>
      </c>
      <c r="AF1621" s="69" t="e" cm="1">
        <f t="array" ref="AF1621">_xlfn.XLOOKUP(Table1[[#This Row],[5 cm2 cell test code]:[5 cm2 cell test code]],[1]!Table1[[Test code]:[Test code]],[1]!Table1[Ionic resistance DIW/Ohm cm2],"",0)</f>
        <v>#REF!</v>
      </c>
      <c r="AG1621" s="69" t="e" cm="1">
        <f t="array" ref="AG1621">_xlfn.XLOOKUP(Table1[[#This Row],[5 cm2 cell test code]:[5 cm2 cell test code]],[1]!Table1[[Test code]:[Test code]],[1]!Table1[Q_int_frac DIW],"",0)</f>
        <v>#REF!</v>
      </c>
      <c r="AH1621" s="69" t="e" cm="1">
        <f t="array" ref="AH1621">_xlfn.XLOOKUP(Table1[[#This Row],[5 cm2 cell test code]:[5 cm2 cell test code]],[1]!Table1[[Test code]:[Test code]],[1]!Table1[Ionic resistance 10 mM KOH/Ohm cm2],"",0)</f>
        <v>#REF!</v>
      </c>
      <c r="AI1621" s="69" t="e" cm="1">
        <f t="array" ref="AI1621">_xlfn.XLOOKUP(Table1[[#This Row],[5 cm2 cell test code]:[5 cm2 cell test code]],[1]!Table1[[Test code]:[Test code]],[1]!Table1[Q_int_frac DIW 10 mM KOH],"",0)</f>
        <v>#REF!</v>
      </c>
      <c r="AJ1621" s="69" t="e" cm="1">
        <f t="array" ref="AJ1621">_xlfn.XLOOKUP(Table1[[#This Row],[5 cm2 cell test code]:[5 cm2 cell test code]],[1]!Table1[[Test code]:[Test code]],[1]!Table1[DIW conductivity (µS/cm)],"",0)</f>
        <v>#REF!</v>
      </c>
    </row>
    <row r="1622" spans="1:36">
      <c r="A1622" s="81"/>
      <c r="U1622" s="101"/>
      <c r="V1622" s="101"/>
      <c r="W1622" s="69" t="e" cm="1">
        <f t="array" ref="W1622">_xlfn.XLOOKUP(Table1[[#This Row],[5 cm2 cell test code]:[5 cm2 cell test code]],[1]!Table1[[Test code]:[Test code]],[1]!Table1[i @ 1.8 V DIW (A/cm2)],"",0)</f>
        <v>#REF!</v>
      </c>
      <c r="X1622" s="69" t="e" cm="1">
        <f t="array" ref="X1622">_xlfn.XLOOKUP(Table1[[#This Row],[5 cm2 cell test code]:[5 cm2 cell test code]],[1]!Table1[[Test code]:[Test code]],[1]!Table1[i @ 1.8 V 10 mM KOH (A/cm2)],"",0)</f>
        <v>#REF!</v>
      </c>
      <c r="Y1622" s="69" t="e" cm="1">
        <f t="array" ref="Y1622">_xlfn.XLOOKUP(Table1[[#This Row],[5 cm2 cell test code]:[5 cm2 cell test code]],[1]!Table1[[Test code]:[Test code]],[1]!Table1[3-E ƞ at 20mAcm-2 (mV)],"",0)</f>
        <v>#REF!</v>
      </c>
      <c r="Z1622" s="69" t="e" cm="1">
        <f t="array" ref="Z1622">_xlfn.XLOOKUP(Table1[[#This Row],[5 cm2 cell test code]:[5 cm2 cell test code]],[1]!Table1[[Test code]:[Test code]],[1]!Table1[3-E Tafel slope (mV/dec)],"",0)</f>
        <v>#REF!</v>
      </c>
      <c r="AA1622" s="69" t="e" cm="1">
        <f t="array" ref="AA1622">_xlfn.XLOOKUP(Table1[[#This Row],[5 cm2 cell test code]:[5 cm2 cell test code]],[1]!Table1[[Test code]:[Test code]],[1]!Table1[E @ 100 mA/cm2 DIW/V],"",0)</f>
        <v>#REF!</v>
      </c>
      <c r="AB1622" s="69" t="e" cm="1">
        <f t="array" ref="AB1622">_xlfn.XLOOKUP(Table1[[#This Row],[5 cm2 cell test code]:[5 cm2 cell test code]],[1]!Table1[[Test code]:[Test code]],[1]!Table1[E @ 100 mA/cm2 10 mM KOH/V],"",0)</f>
        <v>#REF!</v>
      </c>
      <c r="AC1622" s="69" t="e" cm="1">
        <f t="array" ref="AC1622">_xlfn.XLOOKUP(Table1[[#This Row],[5 cm2 cell test code]:[5 cm2 cell test code]],[1]!Table1[[Test code]:[Test code]],[1]!Table1[Anode ICR/mOhm],"",0)</f>
        <v>#REF!</v>
      </c>
      <c r="AD1622" s="69" t="e" cm="1">
        <f t="array" ref="AD1622">_xlfn.XLOOKUP(Table1[[#This Row],[5 cm2 cell test code]:[5 cm2 cell test code]],[1]!Table1[[Test code]:[Test code]],[1]!Table1[HFR DIW/ mOhm cm2],"",0)</f>
        <v>#REF!</v>
      </c>
      <c r="AE1622" s="69" t="e" cm="1">
        <f t="array" ref="AE1622">_xlfn.XLOOKUP(Table1[[#This Row],[5 cm2 cell test code]:[5 cm2 cell test code]],[1]!Table1[[Test code]:[Test code]],[1]!Table1[HFR 10 mM KOH/ mOhm cm2],"",0)</f>
        <v>#REF!</v>
      </c>
      <c r="AF1622" s="69" t="e" cm="1">
        <f t="array" ref="AF1622">_xlfn.XLOOKUP(Table1[[#This Row],[5 cm2 cell test code]:[5 cm2 cell test code]],[1]!Table1[[Test code]:[Test code]],[1]!Table1[Ionic resistance DIW/Ohm cm2],"",0)</f>
        <v>#REF!</v>
      </c>
      <c r="AG1622" s="69" t="e" cm="1">
        <f t="array" ref="AG1622">_xlfn.XLOOKUP(Table1[[#This Row],[5 cm2 cell test code]:[5 cm2 cell test code]],[1]!Table1[[Test code]:[Test code]],[1]!Table1[Q_int_frac DIW],"",0)</f>
        <v>#REF!</v>
      </c>
      <c r="AH1622" s="69" t="e" cm="1">
        <f t="array" ref="AH1622">_xlfn.XLOOKUP(Table1[[#This Row],[5 cm2 cell test code]:[5 cm2 cell test code]],[1]!Table1[[Test code]:[Test code]],[1]!Table1[Ionic resistance 10 mM KOH/Ohm cm2],"",0)</f>
        <v>#REF!</v>
      </c>
      <c r="AI1622" s="69" t="e" cm="1">
        <f t="array" ref="AI1622">_xlfn.XLOOKUP(Table1[[#This Row],[5 cm2 cell test code]:[5 cm2 cell test code]],[1]!Table1[[Test code]:[Test code]],[1]!Table1[Q_int_frac DIW 10 mM KOH],"",0)</f>
        <v>#REF!</v>
      </c>
      <c r="AJ1622" s="69" t="e" cm="1">
        <f t="array" ref="AJ1622">_xlfn.XLOOKUP(Table1[[#This Row],[5 cm2 cell test code]:[5 cm2 cell test code]],[1]!Table1[[Test code]:[Test code]],[1]!Table1[DIW conductivity (µS/cm)],"",0)</f>
        <v>#REF!</v>
      </c>
    </row>
    <row r="1623" spans="1:36">
      <c r="A1623" s="81"/>
      <c r="U1623" s="101"/>
      <c r="V1623" s="101"/>
      <c r="W1623" s="69" t="e" cm="1">
        <f t="array" ref="W1623">_xlfn.XLOOKUP(Table1[[#This Row],[5 cm2 cell test code]:[5 cm2 cell test code]],[1]!Table1[[Test code]:[Test code]],[1]!Table1[i @ 1.8 V DIW (A/cm2)],"",0)</f>
        <v>#REF!</v>
      </c>
      <c r="X1623" s="69" t="e" cm="1">
        <f t="array" ref="X1623">_xlfn.XLOOKUP(Table1[[#This Row],[5 cm2 cell test code]:[5 cm2 cell test code]],[1]!Table1[[Test code]:[Test code]],[1]!Table1[i @ 1.8 V 10 mM KOH (A/cm2)],"",0)</f>
        <v>#REF!</v>
      </c>
      <c r="Y1623" s="69" t="e" cm="1">
        <f t="array" ref="Y1623">_xlfn.XLOOKUP(Table1[[#This Row],[5 cm2 cell test code]:[5 cm2 cell test code]],[1]!Table1[[Test code]:[Test code]],[1]!Table1[3-E ƞ at 20mAcm-2 (mV)],"",0)</f>
        <v>#REF!</v>
      </c>
      <c r="Z1623" s="69" t="e" cm="1">
        <f t="array" ref="Z1623">_xlfn.XLOOKUP(Table1[[#This Row],[5 cm2 cell test code]:[5 cm2 cell test code]],[1]!Table1[[Test code]:[Test code]],[1]!Table1[3-E Tafel slope (mV/dec)],"",0)</f>
        <v>#REF!</v>
      </c>
      <c r="AA1623" s="69" t="e" cm="1">
        <f t="array" ref="AA1623">_xlfn.XLOOKUP(Table1[[#This Row],[5 cm2 cell test code]:[5 cm2 cell test code]],[1]!Table1[[Test code]:[Test code]],[1]!Table1[E @ 100 mA/cm2 DIW/V],"",0)</f>
        <v>#REF!</v>
      </c>
      <c r="AB1623" s="69" t="e" cm="1">
        <f t="array" ref="AB1623">_xlfn.XLOOKUP(Table1[[#This Row],[5 cm2 cell test code]:[5 cm2 cell test code]],[1]!Table1[[Test code]:[Test code]],[1]!Table1[E @ 100 mA/cm2 10 mM KOH/V],"",0)</f>
        <v>#REF!</v>
      </c>
      <c r="AC1623" s="69" t="e" cm="1">
        <f t="array" ref="AC1623">_xlfn.XLOOKUP(Table1[[#This Row],[5 cm2 cell test code]:[5 cm2 cell test code]],[1]!Table1[[Test code]:[Test code]],[1]!Table1[Anode ICR/mOhm],"",0)</f>
        <v>#REF!</v>
      </c>
      <c r="AD1623" s="69" t="e" cm="1">
        <f t="array" ref="AD1623">_xlfn.XLOOKUP(Table1[[#This Row],[5 cm2 cell test code]:[5 cm2 cell test code]],[1]!Table1[[Test code]:[Test code]],[1]!Table1[HFR DIW/ mOhm cm2],"",0)</f>
        <v>#REF!</v>
      </c>
      <c r="AE1623" s="69" t="e" cm="1">
        <f t="array" ref="AE1623">_xlfn.XLOOKUP(Table1[[#This Row],[5 cm2 cell test code]:[5 cm2 cell test code]],[1]!Table1[[Test code]:[Test code]],[1]!Table1[HFR 10 mM KOH/ mOhm cm2],"",0)</f>
        <v>#REF!</v>
      </c>
      <c r="AF1623" s="69" t="e" cm="1">
        <f t="array" ref="AF1623">_xlfn.XLOOKUP(Table1[[#This Row],[5 cm2 cell test code]:[5 cm2 cell test code]],[1]!Table1[[Test code]:[Test code]],[1]!Table1[Ionic resistance DIW/Ohm cm2],"",0)</f>
        <v>#REF!</v>
      </c>
      <c r="AG1623" s="69" t="e" cm="1">
        <f t="array" ref="AG1623">_xlfn.XLOOKUP(Table1[[#This Row],[5 cm2 cell test code]:[5 cm2 cell test code]],[1]!Table1[[Test code]:[Test code]],[1]!Table1[Q_int_frac DIW],"",0)</f>
        <v>#REF!</v>
      </c>
      <c r="AH1623" s="69" t="e" cm="1">
        <f t="array" ref="AH1623">_xlfn.XLOOKUP(Table1[[#This Row],[5 cm2 cell test code]:[5 cm2 cell test code]],[1]!Table1[[Test code]:[Test code]],[1]!Table1[Ionic resistance 10 mM KOH/Ohm cm2],"",0)</f>
        <v>#REF!</v>
      </c>
      <c r="AI1623" s="69" t="e" cm="1">
        <f t="array" ref="AI1623">_xlfn.XLOOKUP(Table1[[#This Row],[5 cm2 cell test code]:[5 cm2 cell test code]],[1]!Table1[[Test code]:[Test code]],[1]!Table1[Q_int_frac DIW 10 mM KOH],"",0)</f>
        <v>#REF!</v>
      </c>
      <c r="AJ1623" s="69" t="e" cm="1">
        <f t="array" ref="AJ1623">_xlfn.XLOOKUP(Table1[[#This Row],[5 cm2 cell test code]:[5 cm2 cell test code]],[1]!Table1[[Test code]:[Test code]],[1]!Table1[DIW conductivity (µS/cm)],"",0)</f>
        <v>#REF!</v>
      </c>
    </row>
    <row r="1624" spans="1:36">
      <c r="A1624" s="81"/>
      <c r="U1624" s="101"/>
      <c r="V1624" s="101"/>
      <c r="W1624" s="69" t="e" cm="1">
        <f t="array" ref="W1624">_xlfn.XLOOKUP(Table1[[#This Row],[5 cm2 cell test code]:[5 cm2 cell test code]],[1]!Table1[[Test code]:[Test code]],[1]!Table1[i @ 1.8 V DIW (A/cm2)],"",0)</f>
        <v>#REF!</v>
      </c>
      <c r="X1624" s="69" t="e" cm="1">
        <f t="array" ref="X1624">_xlfn.XLOOKUP(Table1[[#This Row],[5 cm2 cell test code]:[5 cm2 cell test code]],[1]!Table1[[Test code]:[Test code]],[1]!Table1[i @ 1.8 V 10 mM KOH (A/cm2)],"",0)</f>
        <v>#REF!</v>
      </c>
      <c r="Y1624" s="69" t="e" cm="1">
        <f t="array" ref="Y1624">_xlfn.XLOOKUP(Table1[[#This Row],[5 cm2 cell test code]:[5 cm2 cell test code]],[1]!Table1[[Test code]:[Test code]],[1]!Table1[3-E ƞ at 20mAcm-2 (mV)],"",0)</f>
        <v>#REF!</v>
      </c>
      <c r="Z1624" s="69" t="e" cm="1">
        <f t="array" ref="Z1624">_xlfn.XLOOKUP(Table1[[#This Row],[5 cm2 cell test code]:[5 cm2 cell test code]],[1]!Table1[[Test code]:[Test code]],[1]!Table1[3-E Tafel slope (mV/dec)],"",0)</f>
        <v>#REF!</v>
      </c>
      <c r="AA1624" s="69" t="e" cm="1">
        <f t="array" ref="AA1624">_xlfn.XLOOKUP(Table1[[#This Row],[5 cm2 cell test code]:[5 cm2 cell test code]],[1]!Table1[[Test code]:[Test code]],[1]!Table1[E @ 100 mA/cm2 DIW/V],"",0)</f>
        <v>#REF!</v>
      </c>
      <c r="AB1624" s="69" t="e" cm="1">
        <f t="array" ref="AB1624">_xlfn.XLOOKUP(Table1[[#This Row],[5 cm2 cell test code]:[5 cm2 cell test code]],[1]!Table1[[Test code]:[Test code]],[1]!Table1[E @ 100 mA/cm2 10 mM KOH/V],"",0)</f>
        <v>#REF!</v>
      </c>
      <c r="AC1624" s="69" t="e" cm="1">
        <f t="array" ref="AC1624">_xlfn.XLOOKUP(Table1[[#This Row],[5 cm2 cell test code]:[5 cm2 cell test code]],[1]!Table1[[Test code]:[Test code]],[1]!Table1[Anode ICR/mOhm],"",0)</f>
        <v>#REF!</v>
      </c>
      <c r="AD1624" s="69" t="e" cm="1">
        <f t="array" ref="AD1624">_xlfn.XLOOKUP(Table1[[#This Row],[5 cm2 cell test code]:[5 cm2 cell test code]],[1]!Table1[[Test code]:[Test code]],[1]!Table1[HFR DIW/ mOhm cm2],"",0)</f>
        <v>#REF!</v>
      </c>
      <c r="AE1624" s="69" t="e" cm="1">
        <f t="array" ref="AE1624">_xlfn.XLOOKUP(Table1[[#This Row],[5 cm2 cell test code]:[5 cm2 cell test code]],[1]!Table1[[Test code]:[Test code]],[1]!Table1[HFR 10 mM KOH/ mOhm cm2],"",0)</f>
        <v>#REF!</v>
      </c>
      <c r="AF1624" s="69" t="e" cm="1">
        <f t="array" ref="AF1624">_xlfn.XLOOKUP(Table1[[#This Row],[5 cm2 cell test code]:[5 cm2 cell test code]],[1]!Table1[[Test code]:[Test code]],[1]!Table1[Ionic resistance DIW/Ohm cm2],"",0)</f>
        <v>#REF!</v>
      </c>
      <c r="AG1624" s="69" t="e" cm="1">
        <f t="array" ref="AG1624">_xlfn.XLOOKUP(Table1[[#This Row],[5 cm2 cell test code]:[5 cm2 cell test code]],[1]!Table1[[Test code]:[Test code]],[1]!Table1[Q_int_frac DIW],"",0)</f>
        <v>#REF!</v>
      </c>
      <c r="AH1624" s="69" t="e" cm="1">
        <f t="array" ref="AH1624">_xlfn.XLOOKUP(Table1[[#This Row],[5 cm2 cell test code]:[5 cm2 cell test code]],[1]!Table1[[Test code]:[Test code]],[1]!Table1[Ionic resistance 10 mM KOH/Ohm cm2],"",0)</f>
        <v>#REF!</v>
      </c>
      <c r="AI1624" s="69" t="e" cm="1">
        <f t="array" ref="AI1624">_xlfn.XLOOKUP(Table1[[#This Row],[5 cm2 cell test code]:[5 cm2 cell test code]],[1]!Table1[[Test code]:[Test code]],[1]!Table1[Q_int_frac DIW 10 mM KOH],"",0)</f>
        <v>#REF!</v>
      </c>
      <c r="AJ1624" s="69" t="e" cm="1">
        <f t="array" ref="AJ1624">_xlfn.XLOOKUP(Table1[[#This Row],[5 cm2 cell test code]:[5 cm2 cell test code]],[1]!Table1[[Test code]:[Test code]],[1]!Table1[DIW conductivity (µS/cm)],"",0)</f>
        <v>#REF!</v>
      </c>
    </row>
    <row r="1625" spans="1:36">
      <c r="A1625" s="81"/>
      <c r="U1625" s="101"/>
      <c r="V1625" s="101"/>
      <c r="W1625" s="69" t="e" cm="1">
        <f t="array" ref="W1625">_xlfn.XLOOKUP(Table1[[#This Row],[5 cm2 cell test code]:[5 cm2 cell test code]],[1]!Table1[[Test code]:[Test code]],[1]!Table1[i @ 1.8 V DIW (A/cm2)],"",0)</f>
        <v>#REF!</v>
      </c>
      <c r="X1625" s="69" t="e" cm="1">
        <f t="array" ref="X1625">_xlfn.XLOOKUP(Table1[[#This Row],[5 cm2 cell test code]:[5 cm2 cell test code]],[1]!Table1[[Test code]:[Test code]],[1]!Table1[i @ 1.8 V 10 mM KOH (A/cm2)],"",0)</f>
        <v>#REF!</v>
      </c>
      <c r="Y1625" s="69" t="e" cm="1">
        <f t="array" ref="Y1625">_xlfn.XLOOKUP(Table1[[#This Row],[5 cm2 cell test code]:[5 cm2 cell test code]],[1]!Table1[[Test code]:[Test code]],[1]!Table1[3-E ƞ at 20mAcm-2 (mV)],"",0)</f>
        <v>#REF!</v>
      </c>
      <c r="Z1625" s="69" t="e" cm="1">
        <f t="array" ref="Z1625">_xlfn.XLOOKUP(Table1[[#This Row],[5 cm2 cell test code]:[5 cm2 cell test code]],[1]!Table1[[Test code]:[Test code]],[1]!Table1[3-E Tafel slope (mV/dec)],"",0)</f>
        <v>#REF!</v>
      </c>
      <c r="AA1625" s="69" t="e" cm="1">
        <f t="array" ref="AA1625">_xlfn.XLOOKUP(Table1[[#This Row],[5 cm2 cell test code]:[5 cm2 cell test code]],[1]!Table1[[Test code]:[Test code]],[1]!Table1[E @ 100 mA/cm2 DIW/V],"",0)</f>
        <v>#REF!</v>
      </c>
      <c r="AB1625" s="69" t="e" cm="1">
        <f t="array" ref="AB1625">_xlfn.XLOOKUP(Table1[[#This Row],[5 cm2 cell test code]:[5 cm2 cell test code]],[1]!Table1[[Test code]:[Test code]],[1]!Table1[E @ 100 mA/cm2 10 mM KOH/V],"",0)</f>
        <v>#REF!</v>
      </c>
      <c r="AC1625" s="69" t="e" cm="1">
        <f t="array" ref="AC1625">_xlfn.XLOOKUP(Table1[[#This Row],[5 cm2 cell test code]:[5 cm2 cell test code]],[1]!Table1[[Test code]:[Test code]],[1]!Table1[Anode ICR/mOhm],"",0)</f>
        <v>#REF!</v>
      </c>
      <c r="AD1625" s="69" t="e" cm="1">
        <f t="array" ref="AD1625">_xlfn.XLOOKUP(Table1[[#This Row],[5 cm2 cell test code]:[5 cm2 cell test code]],[1]!Table1[[Test code]:[Test code]],[1]!Table1[HFR DIW/ mOhm cm2],"",0)</f>
        <v>#REF!</v>
      </c>
      <c r="AE1625" s="69" t="e" cm="1">
        <f t="array" ref="AE1625">_xlfn.XLOOKUP(Table1[[#This Row],[5 cm2 cell test code]:[5 cm2 cell test code]],[1]!Table1[[Test code]:[Test code]],[1]!Table1[HFR 10 mM KOH/ mOhm cm2],"",0)</f>
        <v>#REF!</v>
      </c>
      <c r="AF1625" s="69" t="e" cm="1">
        <f t="array" ref="AF1625">_xlfn.XLOOKUP(Table1[[#This Row],[5 cm2 cell test code]:[5 cm2 cell test code]],[1]!Table1[[Test code]:[Test code]],[1]!Table1[Ionic resistance DIW/Ohm cm2],"",0)</f>
        <v>#REF!</v>
      </c>
      <c r="AG1625" s="69" t="e" cm="1">
        <f t="array" ref="AG1625">_xlfn.XLOOKUP(Table1[[#This Row],[5 cm2 cell test code]:[5 cm2 cell test code]],[1]!Table1[[Test code]:[Test code]],[1]!Table1[Q_int_frac DIW],"",0)</f>
        <v>#REF!</v>
      </c>
      <c r="AH1625" s="69" t="e" cm="1">
        <f t="array" ref="AH1625">_xlfn.XLOOKUP(Table1[[#This Row],[5 cm2 cell test code]:[5 cm2 cell test code]],[1]!Table1[[Test code]:[Test code]],[1]!Table1[Ionic resistance 10 mM KOH/Ohm cm2],"",0)</f>
        <v>#REF!</v>
      </c>
      <c r="AI1625" s="69" t="e" cm="1">
        <f t="array" ref="AI1625">_xlfn.XLOOKUP(Table1[[#This Row],[5 cm2 cell test code]:[5 cm2 cell test code]],[1]!Table1[[Test code]:[Test code]],[1]!Table1[Q_int_frac DIW 10 mM KOH],"",0)</f>
        <v>#REF!</v>
      </c>
      <c r="AJ1625" s="69" t="e" cm="1">
        <f t="array" ref="AJ1625">_xlfn.XLOOKUP(Table1[[#This Row],[5 cm2 cell test code]:[5 cm2 cell test code]],[1]!Table1[[Test code]:[Test code]],[1]!Table1[DIW conductivity (µS/cm)],"",0)</f>
        <v>#REF!</v>
      </c>
    </row>
    <row r="1626" spans="1:36">
      <c r="A1626" s="81"/>
      <c r="U1626" s="101"/>
      <c r="V1626" s="101"/>
      <c r="W1626" s="69" t="e" cm="1">
        <f t="array" ref="W1626">_xlfn.XLOOKUP(Table1[[#This Row],[5 cm2 cell test code]:[5 cm2 cell test code]],[1]!Table1[[Test code]:[Test code]],[1]!Table1[i @ 1.8 V DIW (A/cm2)],"",0)</f>
        <v>#REF!</v>
      </c>
      <c r="X1626" s="69" t="e" cm="1">
        <f t="array" ref="X1626">_xlfn.XLOOKUP(Table1[[#This Row],[5 cm2 cell test code]:[5 cm2 cell test code]],[1]!Table1[[Test code]:[Test code]],[1]!Table1[i @ 1.8 V 10 mM KOH (A/cm2)],"",0)</f>
        <v>#REF!</v>
      </c>
      <c r="Y1626" s="69" t="e" cm="1">
        <f t="array" ref="Y1626">_xlfn.XLOOKUP(Table1[[#This Row],[5 cm2 cell test code]:[5 cm2 cell test code]],[1]!Table1[[Test code]:[Test code]],[1]!Table1[3-E ƞ at 20mAcm-2 (mV)],"",0)</f>
        <v>#REF!</v>
      </c>
      <c r="Z1626" s="69" t="e" cm="1">
        <f t="array" ref="Z1626">_xlfn.XLOOKUP(Table1[[#This Row],[5 cm2 cell test code]:[5 cm2 cell test code]],[1]!Table1[[Test code]:[Test code]],[1]!Table1[3-E Tafel slope (mV/dec)],"",0)</f>
        <v>#REF!</v>
      </c>
      <c r="AA1626" s="69" t="e" cm="1">
        <f t="array" ref="AA1626">_xlfn.XLOOKUP(Table1[[#This Row],[5 cm2 cell test code]:[5 cm2 cell test code]],[1]!Table1[[Test code]:[Test code]],[1]!Table1[E @ 100 mA/cm2 DIW/V],"",0)</f>
        <v>#REF!</v>
      </c>
      <c r="AB1626" s="69" t="e" cm="1">
        <f t="array" ref="AB1626">_xlfn.XLOOKUP(Table1[[#This Row],[5 cm2 cell test code]:[5 cm2 cell test code]],[1]!Table1[[Test code]:[Test code]],[1]!Table1[E @ 100 mA/cm2 10 mM KOH/V],"",0)</f>
        <v>#REF!</v>
      </c>
      <c r="AC1626" s="69" t="e" cm="1">
        <f t="array" ref="AC1626">_xlfn.XLOOKUP(Table1[[#This Row],[5 cm2 cell test code]:[5 cm2 cell test code]],[1]!Table1[[Test code]:[Test code]],[1]!Table1[Anode ICR/mOhm],"",0)</f>
        <v>#REF!</v>
      </c>
      <c r="AD1626" s="69" t="e" cm="1">
        <f t="array" ref="AD1626">_xlfn.XLOOKUP(Table1[[#This Row],[5 cm2 cell test code]:[5 cm2 cell test code]],[1]!Table1[[Test code]:[Test code]],[1]!Table1[HFR DIW/ mOhm cm2],"",0)</f>
        <v>#REF!</v>
      </c>
      <c r="AE1626" s="69" t="e" cm="1">
        <f t="array" ref="AE1626">_xlfn.XLOOKUP(Table1[[#This Row],[5 cm2 cell test code]:[5 cm2 cell test code]],[1]!Table1[[Test code]:[Test code]],[1]!Table1[HFR 10 mM KOH/ mOhm cm2],"",0)</f>
        <v>#REF!</v>
      </c>
      <c r="AF1626" s="69" t="e" cm="1">
        <f t="array" ref="AF1626">_xlfn.XLOOKUP(Table1[[#This Row],[5 cm2 cell test code]:[5 cm2 cell test code]],[1]!Table1[[Test code]:[Test code]],[1]!Table1[Ionic resistance DIW/Ohm cm2],"",0)</f>
        <v>#REF!</v>
      </c>
      <c r="AG1626" s="69" t="e" cm="1">
        <f t="array" ref="AG1626">_xlfn.XLOOKUP(Table1[[#This Row],[5 cm2 cell test code]:[5 cm2 cell test code]],[1]!Table1[[Test code]:[Test code]],[1]!Table1[Q_int_frac DIW],"",0)</f>
        <v>#REF!</v>
      </c>
      <c r="AH1626" s="69" t="e" cm="1">
        <f t="array" ref="AH1626">_xlfn.XLOOKUP(Table1[[#This Row],[5 cm2 cell test code]:[5 cm2 cell test code]],[1]!Table1[[Test code]:[Test code]],[1]!Table1[Ionic resistance 10 mM KOH/Ohm cm2],"",0)</f>
        <v>#REF!</v>
      </c>
      <c r="AI1626" s="69" t="e" cm="1">
        <f t="array" ref="AI1626">_xlfn.XLOOKUP(Table1[[#This Row],[5 cm2 cell test code]:[5 cm2 cell test code]],[1]!Table1[[Test code]:[Test code]],[1]!Table1[Q_int_frac DIW 10 mM KOH],"",0)</f>
        <v>#REF!</v>
      </c>
      <c r="AJ1626" s="69" t="e" cm="1">
        <f t="array" ref="AJ1626">_xlfn.XLOOKUP(Table1[[#This Row],[5 cm2 cell test code]:[5 cm2 cell test code]],[1]!Table1[[Test code]:[Test code]],[1]!Table1[DIW conductivity (µS/cm)],"",0)</f>
        <v>#REF!</v>
      </c>
    </row>
    <row r="1627" spans="1:36">
      <c r="A1627" s="81"/>
      <c r="U1627" s="101"/>
      <c r="V1627" s="101"/>
      <c r="W1627" s="69" t="e" cm="1">
        <f t="array" ref="W1627">_xlfn.XLOOKUP(Table1[[#This Row],[5 cm2 cell test code]:[5 cm2 cell test code]],[1]!Table1[[Test code]:[Test code]],[1]!Table1[i @ 1.8 V DIW (A/cm2)],"",0)</f>
        <v>#REF!</v>
      </c>
      <c r="X1627" s="69" t="e" cm="1">
        <f t="array" ref="X1627">_xlfn.XLOOKUP(Table1[[#This Row],[5 cm2 cell test code]:[5 cm2 cell test code]],[1]!Table1[[Test code]:[Test code]],[1]!Table1[i @ 1.8 V 10 mM KOH (A/cm2)],"",0)</f>
        <v>#REF!</v>
      </c>
      <c r="Y1627" s="69" t="e" cm="1">
        <f t="array" ref="Y1627">_xlfn.XLOOKUP(Table1[[#This Row],[5 cm2 cell test code]:[5 cm2 cell test code]],[1]!Table1[[Test code]:[Test code]],[1]!Table1[3-E ƞ at 20mAcm-2 (mV)],"",0)</f>
        <v>#REF!</v>
      </c>
      <c r="Z1627" s="69" t="e" cm="1">
        <f t="array" ref="Z1627">_xlfn.XLOOKUP(Table1[[#This Row],[5 cm2 cell test code]:[5 cm2 cell test code]],[1]!Table1[[Test code]:[Test code]],[1]!Table1[3-E Tafel slope (mV/dec)],"",0)</f>
        <v>#REF!</v>
      </c>
      <c r="AA1627" s="69" t="e" cm="1">
        <f t="array" ref="AA1627">_xlfn.XLOOKUP(Table1[[#This Row],[5 cm2 cell test code]:[5 cm2 cell test code]],[1]!Table1[[Test code]:[Test code]],[1]!Table1[E @ 100 mA/cm2 DIW/V],"",0)</f>
        <v>#REF!</v>
      </c>
      <c r="AB1627" s="69" t="e" cm="1">
        <f t="array" ref="AB1627">_xlfn.XLOOKUP(Table1[[#This Row],[5 cm2 cell test code]:[5 cm2 cell test code]],[1]!Table1[[Test code]:[Test code]],[1]!Table1[E @ 100 mA/cm2 10 mM KOH/V],"",0)</f>
        <v>#REF!</v>
      </c>
      <c r="AC1627" s="69" t="e" cm="1">
        <f t="array" ref="AC1627">_xlfn.XLOOKUP(Table1[[#This Row],[5 cm2 cell test code]:[5 cm2 cell test code]],[1]!Table1[[Test code]:[Test code]],[1]!Table1[Anode ICR/mOhm],"",0)</f>
        <v>#REF!</v>
      </c>
      <c r="AD1627" s="69" t="e" cm="1">
        <f t="array" ref="AD1627">_xlfn.XLOOKUP(Table1[[#This Row],[5 cm2 cell test code]:[5 cm2 cell test code]],[1]!Table1[[Test code]:[Test code]],[1]!Table1[HFR DIW/ mOhm cm2],"",0)</f>
        <v>#REF!</v>
      </c>
      <c r="AE1627" s="69" t="e" cm="1">
        <f t="array" ref="AE1627">_xlfn.XLOOKUP(Table1[[#This Row],[5 cm2 cell test code]:[5 cm2 cell test code]],[1]!Table1[[Test code]:[Test code]],[1]!Table1[HFR 10 mM KOH/ mOhm cm2],"",0)</f>
        <v>#REF!</v>
      </c>
      <c r="AF1627" s="69" t="e" cm="1">
        <f t="array" ref="AF1627">_xlfn.XLOOKUP(Table1[[#This Row],[5 cm2 cell test code]:[5 cm2 cell test code]],[1]!Table1[[Test code]:[Test code]],[1]!Table1[Ionic resistance DIW/Ohm cm2],"",0)</f>
        <v>#REF!</v>
      </c>
      <c r="AG1627" s="69" t="e" cm="1">
        <f t="array" ref="AG1627">_xlfn.XLOOKUP(Table1[[#This Row],[5 cm2 cell test code]:[5 cm2 cell test code]],[1]!Table1[[Test code]:[Test code]],[1]!Table1[Q_int_frac DIW],"",0)</f>
        <v>#REF!</v>
      </c>
      <c r="AH1627" s="69" t="e" cm="1">
        <f t="array" ref="AH1627">_xlfn.XLOOKUP(Table1[[#This Row],[5 cm2 cell test code]:[5 cm2 cell test code]],[1]!Table1[[Test code]:[Test code]],[1]!Table1[Ionic resistance 10 mM KOH/Ohm cm2],"",0)</f>
        <v>#REF!</v>
      </c>
      <c r="AI1627" s="69" t="e" cm="1">
        <f t="array" ref="AI1627">_xlfn.XLOOKUP(Table1[[#This Row],[5 cm2 cell test code]:[5 cm2 cell test code]],[1]!Table1[[Test code]:[Test code]],[1]!Table1[Q_int_frac DIW 10 mM KOH],"",0)</f>
        <v>#REF!</v>
      </c>
      <c r="AJ1627" s="69" t="e" cm="1">
        <f t="array" ref="AJ1627">_xlfn.XLOOKUP(Table1[[#This Row],[5 cm2 cell test code]:[5 cm2 cell test code]],[1]!Table1[[Test code]:[Test code]],[1]!Table1[DIW conductivity (µS/cm)],"",0)</f>
        <v>#REF!</v>
      </c>
    </row>
    <row r="1628" spans="1:36">
      <c r="A1628" s="81"/>
      <c r="U1628" s="101"/>
      <c r="V1628" s="101"/>
      <c r="W1628" s="69" t="e" cm="1">
        <f t="array" ref="W1628">_xlfn.XLOOKUP(Table1[[#This Row],[5 cm2 cell test code]:[5 cm2 cell test code]],[1]!Table1[[Test code]:[Test code]],[1]!Table1[i @ 1.8 V DIW (A/cm2)],"",0)</f>
        <v>#REF!</v>
      </c>
      <c r="X1628" s="69" t="e" cm="1">
        <f t="array" ref="X1628">_xlfn.XLOOKUP(Table1[[#This Row],[5 cm2 cell test code]:[5 cm2 cell test code]],[1]!Table1[[Test code]:[Test code]],[1]!Table1[i @ 1.8 V 10 mM KOH (A/cm2)],"",0)</f>
        <v>#REF!</v>
      </c>
      <c r="Y1628" s="69" t="e" cm="1">
        <f t="array" ref="Y1628">_xlfn.XLOOKUP(Table1[[#This Row],[5 cm2 cell test code]:[5 cm2 cell test code]],[1]!Table1[[Test code]:[Test code]],[1]!Table1[3-E ƞ at 20mAcm-2 (mV)],"",0)</f>
        <v>#REF!</v>
      </c>
      <c r="Z1628" s="69" t="e" cm="1">
        <f t="array" ref="Z1628">_xlfn.XLOOKUP(Table1[[#This Row],[5 cm2 cell test code]:[5 cm2 cell test code]],[1]!Table1[[Test code]:[Test code]],[1]!Table1[3-E Tafel slope (mV/dec)],"",0)</f>
        <v>#REF!</v>
      </c>
      <c r="AA1628" s="69" t="e" cm="1">
        <f t="array" ref="AA1628">_xlfn.XLOOKUP(Table1[[#This Row],[5 cm2 cell test code]:[5 cm2 cell test code]],[1]!Table1[[Test code]:[Test code]],[1]!Table1[E @ 100 mA/cm2 DIW/V],"",0)</f>
        <v>#REF!</v>
      </c>
      <c r="AB1628" s="69" t="e" cm="1">
        <f t="array" ref="AB1628">_xlfn.XLOOKUP(Table1[[#This Row],[5 cm2 cell test code]:[5 cm2 cell test code]],[1]!Table1[[Test code]:[Test code]],[1]!Table1[E @ 100 mA/cm2 10 mM KOH/V],"",0)</f>
        <v>#REF!</v>
      </c>
      <c r="AC1628" s="69" t="e" cm="1">
        <f t="array" ref="AC1628">_xlfn.XLOOKUP(Table1[[#This Row],[5 cm2 cell test code]:[5 cm2 cell test code]],[1]!Table1[[Test code]:[Test code]],[1]!Table1[Anode ICR/mOhm],"",0)</f>
        <v>#REF!</v>
      </c>
      <c r="AD1628" s="69" t="e" cm="1">
        <f t="array" ref="AD1628">_xlfn.XLOOKUP(Table1[[#This Row],[5 cm2 cell test code]:[5 cm2 cell test code]],[1]!Table1[[Test code]:[Test code]],[1]!Table1[HFR DIW/ mOhm cm2],"",0)</f>
        <v>#REF!</v>
      </c>
      <c r="AE1628" s="69" t="e" cm="1">
        <f t="array" ref="AE1628">_xlfn.XLOOKUP(Table1[[#This Row],[5 cm2 cell test code]:[5 cm2 cell test code]],[1]!Table1[[Test code]:[Test code]],[1]!Table1[HFR 10 mM KOH/ mOhm cm2],"",0)</f>
        <v>#REF!</v>
      </c>
      <c r="AF1628" s="69" t="e" cm="1">
        <f t="array" ref="AF1628">_xlfn.XLOOKUP(Table1[[#This Row],[5 cm2 cell test code]:[5 cm2 cell test code]],[1]!Table1[[Test code]:[Test code]],[1]!Table1[Ionic resistance DIW/Ohm cm2],"",0)</f>
        <v>#REF!</v>
      </c>
      <c r="AG1628" s="69" t="e" cm="1">
        <f t="array" ref="AG1628">_xlfn.XLOOKUP(Table1[[#This Row],[5 cm2 cell test code]:[5 cm2 cell test code]],[1]!Table1[[Test code]:[Test code]],[1]!Table1[Q_int_frac DIW],"",0)</f>
        <v>#REF!</v>
      </c>
      <c r="AH1628" s="69" t="e" cm="1">
        <f t="array" ref="AH1628">_xlfn.XLOOKUP(Table1[[#This Row],[5 cm2 cell test code]:[5 cm2 cell test code]],[1]!Table1[[Test code]:[Test code]],[1]!Table1[Ionic resistance 10 mM KOH/Ohm cm2],"",0)</f>
        <v>#REF!</v>
      </c>
      <c r="AI1628" s="69" t="e" cm="1">
        <f t="array" ref="AI1628">_xlfn.XLOOKUP(Table1[[#This Row],[5 cm2 cell test code]:[5 cm2 cell test code]],[1]!Table1[[Test code]:[Test code]],[1]!Table1[Q_int_frac DIW 10 mM KOH],"",0)</f>
        <v>#REF!</v>
      </c>
      <c r="AJ1628" s="69" t="e" cm="1">
        <f t="array" ref="AJ1628">_xlfn.XLOOKUP(Table1[[#This Row],[5 cm2 cell test code]:[5 cm2 cell test code]],[1]!Table1[[Test code]:[Test code]],[1]!Table1[DIW conductivity (µS/cm)],"",0)</f>
        <v>#REF!</v>
      </c>
    </row>
    <row r="1629" spans="1:36">
      <c r="A1629" s="81"/>
      <c r="U1629" s="101"/>
      <c r="V1629" s="101"/>
      <c r="W1629" s="69" t="e" cm="1">
        <f t="array" ref="W1629">_xlfn.XLOOKUP(Table1[[#This Row],[5 cm2 cell test code]:[5 cm2 cell test code]],[1]!Table1[[Test code]:[Test code]],[1]!Table1[i @ 1.8 V DIW (A/cm2)],"",0)</f>
        <v>#REF!</v>
      </c>
      <c r="X1629" s="69" t="e" cm="1">
        <f t="array" ref="X1629">_xlfn.XLOOKUP(Table1[[#This Row],[5 cm2 cell test code]:[5 cm2 cell test code]],[1]!Table1[[Test code]:[Test code]],[1]!Table1[i @ 1.8 V 10 mM KOH (A/cm2)],"",0)</f>
        <v>#REF!</v>
      </c>
      <c r="Y1629" s="69" t="e" cm="1">
        <f t="array" ref="Y1629">_xlfn.XLOOKUP(Table1[[#This Row],[5 cm2 cell test code]:[5 cm2 cell test code]],[1]!Table1[[Test code]:[Test code]],[1]!Table1[3-E ƞ at 20mAcm-2 (mV)],"",0)</f>
        <v>#REF!</v>
      </c>
      <c r="Z1629" s="69" t="e" cm="1">
        <f t="array" ref="Z1629">_xlfn.XLOOKUP(Table1[[#This Row],[5 cm2 cell test code]:[5 cm2 cell test code]],[1]!Table1[[Test code]:[Test code]],[1]!Table1[3-E Tafel slope (mV/dec)],"",0)</f>
        <v>#REF!</v>
      </c>
      <c r="AA1629" s="69" t="e" cm="1">
        <f t="array" ref="AA1629">_xlfn.XLOOKUP(Table1[[#This Row],[5 cm2 cell test code]:[5 cm2 cell test code]],[1]!Table1[[Test code]:[Test code]],[1]!Table1[E @ 100 mA/cm2 DIW/V],"",0)</f>
        <v>#REF!</v>
      </c>
      <c r="AB1629" s="69" t="e" cm="1">
        <f t="array" ref="AB1629">_xlfn.XLOOKUP(Table1[[#This Row],[5 cm2 cell test code]:[5 cm2 cell test code]],[1]!Table1[[Test code]:[Test code]],[1]!Table1[E @ 100 mA/cm2 10 mM KOH/V],"",0)</f>
        <v>#REF!</v>
      </c>
      <c r="AC1629" s="69" t="e" cm="1">
        <f t="array" ref="AC1629">_xlfn.XLOOKUP(Table1[[#This Row],[5 cm2 cell test code]:[5 cm2 cell test code]],[1]!Table1[[Test code]:[Test code]],[1]!Table1[Anode ICR/mOhm],"",0)</f>
        <v>#REF!</v>
      </c>
      <c r="AD1629" s="69" t="e" cm="1">
        <f t="array" ref="AD1629">_xlfn.XLOOKUP(Table1[[#This Row],[5 cm2 cell test code]:[5 cm2 cell test code]],[1]!Table1[[Test code]:[Test code]],[1]!Table1[HFR DIW/ mOhm cm2],"",0)</f>
        <v>#REF!</v>
      </c>
      <c r="AE1629" s="69" t="e" cm="1">
        <f t="array" ref="AE1629">_xlfn.XLOOKUP(Table1[[#This Row],[5 cm2 cell test code]:[5 cm2 cell test code]],[1]!Table1[[Test code]:[Test code]],[1]!Table1[HFR 10 mM KOH/ mOhm cm2],"",0)</f>
        <v>#REF!</v>
      </c>
      <c r="AF1629" s="69" t="e" cm="1">
        <f t="array" ref="AF1629">_xlfn.XLOOKUP(Table1[[#This Row],[5 cm2 cell test code]:[5 cm2 cell test code]],[1]!Table1[[Test code]:[Test code]],[1]!Table1[Ionic resistance DIW/Ohm cm2],"",0)</f>
        <v>#REF!</v>
      </c>
      <c r="AG1629" s="69" t="e" cm="1">
        <f t="array" ref="AG1629">_xlfn.XLOOKUP(Table1[[#This Row],[5 cm2 cell test code]:[5 cm2 cell test code]],[1]!Table1[[Test code]:[Test code]],[1]!Table1[Q_int_frac DIW],"",0)</f>
        <v>#REF!</v>
      </c>
      <c r="AH1629" s="69" t="e" cm="1">
        <f t="array" ref="AH1629">_xlfn.XLOOKUP(Table1[[#This Row],[5 cm2 cell test code]:[5 cm2 cell test code]],[1]!Table1[[Test code]:[Test code]],[1]!Table1[Ionic resistance 10 mM KOH/Ohm cm2],"",0)</f>
        <v>#REF!</v>
      </c>
      <c r="AI1629" s="69" t="e" cm="1">
        <f t="array" ref="AI1629">_xlfn.XLOOKUP(Table1[[#This Row],[5 cm2 cell test code]:[5 cm2 cell test code]],[1]!Table1[[Test code]:[Test code]],[1]!Table1[Q_int_frac DIW 10 mM KOH],"",0)</f>
        <v>#REF!</v>
      </c>
      <c r="AJ1629" s="69" t="e" cm="1">
        <f t="array" ref="AJ1629">_xlfn.XLOOKUP(Table1[[#This Row],[5 cm2 cell test code]:[5 cm2 cell test code]],[1]!Table1[[Test code]:[Test code]],[1]!Table1[DIW conductivity (µS/cm)],"",0)</f>
        <v>#REF!</v>
      </c>
    </row>
    <row r="1630" spans="1:36">
      <c r="A1630" s="81"/>
      <c r="U1630" s="101"/>
      <c r="V1630" s="101"/>
      <c r="W1630" s="69" t="e" cm="1">
        <f t="array" ref="W1630">_xlfn.XLOOKUP(Table1[[#This Row],[5 cm2 cell test code]:[5 cm2 cell test code]],[1]!Table1[[Test code]:[Test code]],[1]!Table1[i @ 1.8 V DIW (A/cm2)],"",0)</f>
        <v>#REF!</v>
      </c>
      <c r="X1630" s="69" t="e" cm="1">
        <f t="array" ref="X1630">_xlfn.XLOOKUP(Table1[[#This Row],[5 cm2 cell test code]:[5 cm2 cell test code]],[1]!Table1[[Test code]:[Test code]],[1]!Table1[i @ 1.8 V 10 mM KOH (A/cm2)],"",0)</f>
        <v>#REF!</v>
      </c>
      <c r="Y1630" s="69" t="e" cm="1">
        <f t="array" ref="Y1630">_xlfn.XLOOKUP(Table1[[#This Row],[5 cm2 cell test code]:[5 cm2 cell test code]],[1]!Table1[[Test code]:[Test code]],[1]!Table1[3-E ƞ at 20mAcm-2 (mV)],"",0)</f>
        <v>#REF!</v>
      </c>
      <c r="Z1630" s="69" t="e" cm="1">
        <f t="array" ref="Z1630">_xlfn.XLOOKUP(Table1[[#This Row],[5 cm2 cell test code]:[5 cm2 cell test code]],[1]!Table1[[Test code]:[Test code]],[1]!Table1[3-E Tafel slope (mV/dec)],"",0)</f>
        <v>#REF!</v>
      </c>
      <c r="AA1630" s="69" t="e" cm="1">
        <f t="array" ref="AA1630">_xlfn.XLOOKUP(Table1[[#This Row],[5 cm2 cell test code]:[5 cm2 cell test code]],[1]!Table1[[Test code]:[Test code]],[1]!Table1[E @ 100 mA/cm2 DIW/V],"",0)</f>
        <v>#REF!</v>
      </c>
      <c r="AB1630" s="69" t="e" cm="1">
        <f t="array" ref="AB1630">_xlfn.XLOOKUP(Table1[[#This Row],[5 cm2 cell test code]:[5 cm2 cell test code]],[1]!Table1[[Test code]:[Test code]],[1]!Table1[E @ 100 mA/cm2 10 mM KOH/V],"",0)</f>
        <v>#REF!</v>
      </c>
      <c r="AC1630" s="69" t="e" cm="1">
        <f t="array" ref="AC1630">_xlfn.XLOOKUP(Table1[[#This Row],[5 cm2 cell test code]:[5 cm2 cell test code]],[1]!Table1[[Test code]:[Test code]],[1]!Table1[Anode ICR/mOhm],"",0)</f>
        <v>#REF!</v>
      </c>
      <c r="AD1630" s="69" t="e" cm="1">
        <f t="array" ref="AD1630">_xlfn.XLOOKUP(Table1[[#This Row],[5 cm2 cell test code]:[5 cm2 cell test code]],[1]!Table1[[Test code]:[Test code]],[1]!Table1[HFR DIW/ mOhm cm2],"",0)</f>
        <v>#REF!</v>
      </c>
      <c r="AE1630" s="69" t="e" cm="1">
        <f t="array" ref="AE1630">_xlfn.XLOOKUP(Table1[[#This Row],[5 cm2 cell test code]:[5 cm2 cell test code]],[1]!Table1[[Test code]:[Test code]],[1]!Table1[HFR 10 mM KOH/ mOhm cm2],"",0)</f>
        <v>#REF!</v>
      </c>
      <c r="AF1630" s="69" t="e" cm="1">
        <f t="array" ref="AF1630">_xlfn.XLOOKUP(Table1[[#This Row],[5 cm2 cell test code]:[5 cm2 cell test code]],[1]!Table1[[Test code]:[Test code]],[1]!Table1[Ionic resistance DIW/Ohm cm2],"",0)</f>
        <v>#REF!</v>
      </c>
      <c r="AG1630" s="69" t="e" cm="1">
        <f t="array" ref="AG1630">_xlfn.XLOOKUP(Table1[[#This Row],[5 cm2 cell test code]:[5 cm2 cell test code]],[1]!Table1[[Test code]:[Test code]],[1]!Table1[Q_int_frac DIW],"",0)</f>
        <v>#REF!</v>
      </c>
      <c r="AH1630" s="69" t="e" cm="1">
        <f t="array" ref="AH1630">_xlfn.XLOOKUP(Table1[[#This Row],[5 cm2 cell test code]:[5 cm2 cell test code]],[1]!Table1[[Test code]:[Test code]],[1]!Table1[Ionic resistance 10 mM KOH/Ohm cm2],"",0)</f>
        <v>#REF!</v>
      </c>
      <c r="AI1630" s="69" t="e" cm="1">
        <f t="array" ref="AI1630">_xlfn.XLOOKUP(Table1[[#This Row],[5 cm2 cell test code]:[5 cm2 cell test code]],[1]!Table1[[Test code]:[Test code]],[1]!Table1[Q_int_frac DIW 10 mM KOH],"",0)</f>
        <v>#REF!</v>
      </c>
      <c r="AJ1630" s="69" t="e" cm="1">
        <f t="array" ref="AJ1630">_xlfn.XLOOKUP(Table1[[#This Row],[5 cm2 cell test code]:[5 cm2 cell test code]],[1]!Table1[[Test code]:[Test code]],[1]!Table1[DIW conductivity (µS/cm)],"",0)</f>
        <v>#REF!</v>
      </c>
    </row>
    <row r="1631" spans="1:36">
      <c r="A1631" s="81"/>
      <c r="U1631" s="101"/>
      <c r="V1631" s="101"/>
      <c r="W1631" s="69" t="e" cm="1">
        <f t="array" ref="W1631">_xlfn.XLOOKUP(Table1[[#This Row],[5 cm2 cell test code]:[5 cm2 cell test code]],[1]!Table1[[Test code]:[Test code]],[1]!Table1[i @ 1.8 V DIW (A/cm2)],"",0)</f>
        <v>#REF!</v>
      </c>
      <c r="X1631" s="69" t="e" cm="1">
        <f t="array" ref="X1631">_xlfn.XLOOKUP(Table1[[#This Row],[5 cm2 cell test code]:[5 cm2 cell test code]],[1]!Table1[[Test code]:[Test code]],[1]!Table1[i @ 1.8 V 10 mM KOH (A/cm2)],"",0)</f>
        <v>#REF!</v>
      </c>
      <c r="Y1631" s="69" t="e" cm="1">
        <f t="array" ref="Y1631">_xlfn.XLOOKUP(Table1[[#This Row],[5 cm2 cell test code]:[5 cm2 cell test code]],[1]!Table1[[Test code]:[Test code]],[1]!Table1[3-E ƞ at 20mAcm-2 (mV)],"",0)</f>
        <v>#REF!</v>
      </c>
      <c r="Z1631" s="69" t="e" cm="1">
        <f t="array" ref="Z1631">_xlfn.XLOOKUP(Table1[[#This Row],[5 cm2 cell test code]:[5 cm2 cell test code]],[1]!Table1[[Test code]:[Test code]],[1]!Table1[3-E Tafel slope (mV/dec)],"",0)</f>
        <v>#REF!</v>
      </c>
      <c r="AA1631" s="69" t="e" cm="1">
        <f t="array" ref="AA1631">_xlfn.XLOOKUP(Table1[[#This Row],[5 cm2 cell test code]:[5 cm2 cell test code]],[1]!Table1[[Test code]:[Test code]],[1]!Table1[E @ 100 mA/cm2 DIW/V],"",0)</f>
        <v>#REF!</v>
      </c>
      <c r="AB1631" s="69" t="e" cm="1">
        <f t="array" ref="AB1631">_xlfn.XLOOKUP(Table1[[#This Row],[5 cm2 cell test code]:[5 cm2 cell test code]],[1]!Table1[[Test code]:[Test code]],[1]!Table1[E @ 100 mA/cm2 10 mM KOH/V],"",0)</f>
        <v>#REF!</v>
      </c>
      <c r="AC1631" s="69" t="e" cm="1">
        <f t="array" ref="AC1631">_xlfn.XLOOKUP(Table1[[#This Row],[5 cm2 cell test code]:[5 cm2 cell test code]],[1]!Table1[[Test code]:[Test code]],[1]!Table1[Anode ICR/mOhm],"",0)</f>
        <v>#REF!</v>
      </c>
      <c r="AD1631" s="69" t="e" cm="1">
        <f t="array" ref="AD1631">_xlfn.XLOOKUP(Table1[[#This Row],[5 cm2 cell test code]:[5 cm2 cell test code]],[1]!Table1[[Test code]:[Test code]],[1]!Table1[HFR DIW/ mOhm cm2],"",0)</f>
        <v>#REF!</v>
      </c>
      <c r="AE1631" s="69" t="e" cm="1">
        <f t="array" ref="AE1631">_xlfn.XLOOKUP(Table1[[#This Row],[5 cm2 cell test code]:[5 cm2 cell test code]],[1]!Table1[[Test code]:[Test code]],[1]!Table1[HFR 10 mM KOH/ mOhm cm2],"",0)</f>
        <v>#REF!</v>
      </c>
      <c r="AF1631" s="69" t="e" cm="1">
        <f t="array" ref="AF1631">_xlfn.XLOOKUP(Table1[[#This Row],[5 cm2 cell test code]:[5 cm2 cell test code]],[1]!Table1[[Test code]:[Test code]],[1]!Table1[Ionic resistance DIW/Ohm cm2],"",0)</f>
        <v>#REF!</v>
      </c>
      <c r="AG1631" s="69" t="e" cm="1">
        <f t="array" ref="AG1631">_xlfn.XLOOKUP(Table1[[#This Row],[5 cm2 cell test code]:[5 cm2 cell test code]],[1]!Table1[[Test code]:[Test code]],[1]!Table1[Q_int_frac DIW],"",0)</f>
        <v>#REF!</v>
      </c>
      <c r="AH1631" s="69" t="e" cm="1">
        <f t="array" ref="AH1631">_xlfn.XLOOKUP(Table1[[#This Row],[5 cm2 cell test code]:[5 cm2 cell test code]],[1]!Table1[[Test code]:[Test code]],[1]!Table1[Ionic resistance 10 mM KOH/Ohm cm2],"",0)</f>
        <v>#REF!</v>
      </c>
      <c r="AI1631" s="69" t="e" cm="1">
        <f t="array" ref="AI1631">_xlfn.XLOOKUP(Table1[[#This Row],[5 cm2 cell test code]:[5 cm2 cell test code]],[1]!Table1[[Test code]:[Test code]],[1]!Table1[Q_int_frac DIW 10 mM KOH],"",0)</f>
        <v>#REF!</v>
      </c>
      <c r="AJ1631" s="69" t="e" cm="1">
        <f t="array" ref="AJ1631">_xlfn.XLOOKUP(Table1[[#This Row],[5 cm2 cell test code]:[5 cm2 cell test code]],[1]!Table1[[Test code]:[Test code]],[1]!Table1[DIW conductivity (µS/cm)],"",0)</f>
        <v>#REF!</v>
      </c>
    </row>
    <row r="1632" spans="1:36">
      <c r="A1632" s="81"/>
      <c r="U1632" s="101"/>
      <c r="V1632" s="101"/>
      <c r="W1632" s="69" t="e" cm="1">
        <f t="array" ref="W1632">_xlfn.XLOOKUP(Table1[[#This Row],[5 cm2 cell test code]:[5 cm2 cell test code]],[1]!Table1[[Test code]:[Test code]],[1]!Table1[i @ 1.8 V DIW (A/cm2)],"",0)</f>
        <v>#REF!</v>
      </c>
      <c r="X1632" s="69" t="e" cm="1">
        <f t="array" ref="X1632">_xlfn.XLOOKUP(Table1[[#This Row],[5 cm2 cell test code]:[5 cm2 cell test code]],[1]!Table1[[Test code]:[Test code]],[1]!Table1[i @ 1.8 V 10 mM KOH (A/cm2)],"",0)</f>
        <v>#REF!</v>
      </c>
      <c r="Y1632" s="69" t="e" cm="1">
        <f t="array" ref="Y1632">_xlfn.XLOOKUP(Table1[[#This Row],[5 cm2 cell test code]:[5 cm2 cell test code]],[1]!Table1[[Test code]:[Test code]],[1]!Table1[3-E ƞ at 20mAcm-2 (mV)],"",0)</f>
        <v>#REF!</v>
      </c>
      <c r="Z1632" s="69" t="e" cm="1">
        <f t="array" ref="Z1632">_xlfn.XLOOKUP(Table1[[#This Row],[5 cm2 cell test code]:[5 cm2 cell test code]],[1]!Table1[[Test code]:[Test code]],[1]!Table1[3-E Tafel slope (mV/dec)],"",0)</f>
        <v>#REF!</v>
      </c>
      <c r="AA1632" s="69" t="e" cm="1">
        <f t="array" ref="AA1632">_xlfn.XLOOKUP(Table1[[#This Row],[5 cm2 cell test code]:[5 cm2 cell test code]],[1]!Table1[[Test code]:[Test code]],[1]!Table1[E @ 100 mA/cm2 DIW/V],"",0)</f>
        <v>#REF!</v>
      </c>
      <c r="AB1632" s="69" t="e" cm="1">
        <f t="array" ref="AB1632">_xlfn.XLOOKUP(Table1[[#This Row],[5 cm2 cell test code]:[5 cm2 cell test code]],[1]!Table1[[Test code]:[Test code]],[1]!Table1[E @ 100 mA/cm2 10 mM KOH/V],"",0)</f>
        <v>#REF!</v>
      </c>
      <c r="AC1632" s="69" t="e" cm="1">
        <f t="array" ref="AC1632">_xlfn.XLOOKUP(Table1[[#This Row],[5 cm2 cell test code]:[5 cm2 cell test code]],[1]!Table1[[Test code]:[Test code]],[1]!Table1[Anode ICR/mOhm],"",0)</f>
        <v>#REF!</v>
      </c>
      <c r="AD1632" s="69" t="e" cm="1">
        <f t="array" ref="AD1632">_xlfn.XLOOKUP(Table1[[#This Row],[5 cm2 cell test code]:[5 cm2 cell test code]],[1]!Table1[[Test code]:[Test code]],[1]!Table1[HFR DIW/ mOhm cm2],"",0)</f>
        <v>#REF!</v>
      </c>
      <c r="AE1632" s="69" t="e" cm="1">
        <f t="array" ref="AE1632">_xlfn.XLOOKUP(Table1[[#This Row],[5 cm2 cell test code]:[5 cm2 cell test code]],[1]!Table1[[Test code]:[Test code]],[1]!Table1[HFR 10 mM KOH/ mOhm cm2],"",0)</f>
        <v>#REF!</v>
      </c>
      <c r="AF1632" s="69" t="e" cm="1">
        <f t="array" ref="AF1632">_xlfn.XLOOKUP(Table1[[#This Row],[5 cm2 cell test code]:[5 cm2 cell test code]],[1]!Table1[[Test code]:[Test code]],[1]!Table1[Ionic resistance DIW/Ohm cm2],"",0)</f>
        <v>#REF!</v>
      </c>
      <c r="AG1632" s="69" t="e" cm="1">
        <f t="array" ref="AG1632">_xlfn.XLOOKUP(Table1[[#This Row],[5 cm2 cell test code]:[5 cm2 cell test code]],[1]!Table1[[Test code]:[Test code]],[1]!Table1[Q_int_frac DIW],"",0)</f>
        <v>#REF!</v>
      </c>
      <c r="AH1632" s="69" t="e" cm="1">
        <f t="array" ref="AH1632">_xlfn.XLOOKUP(Table1[[#This Row],[5 cm2 cell test code]:[5 cm2 cell test code]],[1]!Table1[[Test code]:[Test code]],[1]!Table1[Ionic resistance 10 mM KOH/Ohm cm2],"",0)</f>
        <v>#REF!</v>
      </c>
      <c r="AI1632" s="69" t="e" cm="1">
        <f t="array" ref="AI1632">_xlfn.XLOOKUP(Table1[[#This Row],[5 cm2 cell test code]:[5 cm2 cell test code]],[1]!Table1[[Test code]:[Test code]],[1]!Table1[Q_int_frac DIW 10 mM KOH],"",0)</f>
        <v>#REF!</v>
      </c>
      <c r="AJ1632" s="69" t="e" cm="1">
        <f t="array" ref="AJ1632">_xlfn.XLOOKUP(Table1[[#This Row],[5 cm2 cell test code]:[5 cm2 cell test code]],[1]!Table1[[Test code]:[Test code]],[1]!Table1[DIW conductivity (µS/cm)],"",0)</f>
        <v>#REF!</v>
      </c>
    </row>
    <row r="1633" spans="1:36">
      <c r="A1633" s="81"/>
      <c r="U1633" s="101"/>
      <c r="V1633" s="101"/>
      <c r="W1633" s="69" t="e" cm="1">
        <f t="array" ref="W1633">_xlfn.XLOOKUP(Table1[[#This Row],[5 cm2 cell test code]:[5 cm2 cell test code]],[1]!Table1[[Test code]:[Test code]],[1]!Table1[i @ 1.8 V DIW (A/cm2)],"",0)</f>
        <v>#REF!</v>
      </c>
      <c r="X1633" s="69" t="e" cm="1">
        <f t="array" ref="X1633">_xlfn.XLOOKUP(Table1[[#This Row],[5 cm2 cell test code]:[5 cm2 cell test code]],[1]!Table1[[Test code]:[Test code]],[1]!Table1[i @ 1.8 V 10 mM KOH (A/cm2)],"",0)</f>
        <v>#REF!</v>
      </c>
      <c r="Y1633" s="69" t="e" cm="1">
        <f t="array" ref="Y1633">_xlfn.XLOOKUP(Table1[[#This Row],[5 cm2 cell test code]:[5 cm2 cell test code]],[1]!Table1[[Test code]:[Test code]],[1]!Table1[3-E ƞ at 20mAcm-2 (mV)],"",0)</f>
        <v>#REF!</v>
      </c>
      <c r="Z1633" s="69" t="e" cm="1">
        <f t="array" ref="Z1633">_xlfn.XLOOKUP(Table1[[#This Row],[5 cm2 cell test code]:[5 cm2 cell test code]],[1]!Table1[[Test code]:[Test code]],[1]!Table1[3-E Tafel slope (mV/dec)],"",0)</f>
        <v>#REF!</v>
      </c>
      <c r="AA1633" s="69" t="e" cm="1">
        <f t="array" ref="AA1633">_xlfn.XLOOKUP(Table1[[#This Row],[5 cm2 cell test code]:[5 cm2 cell test code]],[1]!Table1[[Test code]:[Test code]],[1]!Table1[E @ 100 mA/cm2 DIW/V],"",0)</f>
        <v>#REF!</v>
      </c>
      <c r="AB1633" s="69" t="e" cm="1">
        <f t="array" ref="AB1633">_xlfn.XLOOKUP(Table1[[#This Row],[5 cm2 cell test code]:[5 cm2 cell test code]],[1]!Table1[[Test code]:[Test code]],[1]!Table1[E @ 100 mA/cm2 10 mM KOH/V],"",0)</f>
        <v>#REF!</v>
      </c>
      <c r="AC1633" s="69" t="e" cm="1">
        <f t="array" ref="AC1633">_xlfn.XLOOKUP(Table1[[#This Row],[5 cm2 cell test code]:[5 cm2 cell test code]],[1]!Table1[[Test code]:[Test code]],[1]!Table1[Anode ICR/mOhm],"",0)</f>
        <v>#REF!</v>
      </c>
      <c r="AD1633" s="69" t="e" cm="1">
        <f t="array" ref="AD1633">_xlfn.XLOOKUP(Table1[[#This Row],[5 cm2 cell test code]:[5 cm2 cell test code]],[1]!Table1[[Test code]:[Test code]],[1]!Table1[HFR DIW/ mOhm cm2],"",0)</f>
        <v>#REF!</v>
      </c>
      <c r="AE1633" s="69" t="e" cm="1">
        <f t="array" ref="AE1633">_xlfn.XLOOKUP(Table1[[#This Row],[5 cm2 cell test code]:[5 cm2 cell test code]],[1]!Table1[[Test code]:[Test code]],[1]!Table1[HFR 10 mM KOH/ mOhm cm2],"",0)</f>
        <v>#REF!</v>
      </c>
      <c r="AF1633" s="69" t="e" cm="1">
        <f t="array" ref="AF1633">_xlfn.XLOOKUP(Table1[[#This Row],[5 cm2 cell test code]:[5 cm2 cell test code]],[1]!Table1[[Test code]:[Test code]],[1]!Table1[Ionic resistance DIW/Ohm cm2],"",0)</f>
        <v>#REF!</v>
      </c>
      <c r="AG1633" s="69" t="e" cm="1">
        <f t="array" ref="AG1633">_xlfn.XLOOKUP(Table1[[#This Row],[5 cm2 cell test code]:[5 cm2 cell test code]],[1]!Table1[[Test code]:[Test code]],[1]!Table1[Q_int_frac DIW],"",0)</f>
        <v>#REF!</v>
      </c>
      <c r="AH1633" s="69" t="e" cm="1">
        <f t="array" ref="AH1633">_xlfn.XLOOKUP(Table1[[#This Row],[5 cm2 cell test code]:[5 cm2 cell test code]],[1]!Table1[[Test code]:[Test code]],[1]!Table1[Ionic resistance 10 mM KOH/Ohm cm2],"",0)</f>
        <v>#REF!</v>
      </c>
      <c r="AI1633" s="69" t="e" cm="1">
        <f t="array" ref="AI1633">_xlfn.XLOOKUP(Table1[[#This Row],[5 cm2 cell test code]:[5 cm2 cell test code]],[1]!Table1[[Test code]:[Test code]],[1]!Table1[Q_int_frac DIW 10 mM KOH],"",0)</f>
        <v>#REF!</v>
      </c>
      <c r="AJ1633" s="69" t="e" cm="1">
        <f t="array" ref="AJ1633">_xlfn.XLOOKUP(Table1[[#This Row],[5 cm2 cell test code]:[5 cm2 cell test code]],[1]!Table1[[Test code]:[Test code]],[1]!Table1[DIW conductivity (µS/cm)],"",0)</f>
        <v>#REF!</v>
      </c>
    </row>
    <row r="1634" spans="1:36">
      <c r="A1634" s="81"/>
      <c r="U1634" s="101"/>
      <c r="V1634" s="101"/>
      <c r="W1634" s="69" t="e" cm="1">
        <f t="array" ref="W1634">_xlfn.XLOOKUP(Table1[[#This Row],[5 cm2 cell test code]:[5 cm2 cell test code]],[1]!Table1[[Test code]:[Test code]],[1]!Table1[i @ 1.8 V DIW (A/cm2)],"",0)</f>
        <v>#REF!</v>
      </c>
      <c r="X1634" s="69" t="e" cm="1">
        <f t="array" ref="X1634">_xlfn.XLOOKUP(Table1[[#This Row],[5 cm2 cell test code]:[5 cm2 cell test code]],[1]!Table1[[Test code]:[Test code]],[1]!Table1[i @ 1.8 V 10 mM KOH (A/cm2)],"",0)</f>
        <v>#REF!</v>
      </c>
      <c r="Y1634" s="69" t="e" cm="1">
        <f t="array" ref="Y1634">_xlfn.XLOOKUP(Table1[[#This Row],[5 cm2 cell test code]:[5 cm2 cell test code]],[1]!Table1[[Test code]:[Test code]],[1]!Table1[3-E ƞ at 20mAcm-2 (mV)],"",0)</f>
        <v>#REF!</v>
      </c>
      <c r="Z1634" s="69" t="e" cm="1">
        <f t="array" ref="Z1634">_xlfn.XLOOKUP(Table1[[#This Row],[5 cm2 cell test code]:[5 cm2 cell test code]],[1]!Table1[[Test code]:[Test code]],[1]!Table1[3-E Tafel slope (mV/dec)],"",0)</f>
        <v>#REF!</v>
      </c>
      <c r="AA1634" s="69" t="e" cm="1">
        <f t="array" ref="AA1634">_xlfn.XLOOKUP(Table1[[#This Row],[5 cm2 cell test code]:[5 cm2 cell test code]],[1]!Table1[[Test code]:[Test code]],[1]!Table1[E @ 100 mA/cm2 DIW/V],"",0)</f>
        <v>#REF!</v>
      </c>
      <c r="AB1634" s="69" t="e" cm="1">
        <f t="array" ref="AB1634">_xlfn.XLOOKUP(Table1[[#This Row],[5 cm2 cell test code]:[5 cm2 cell test code]],[1]!Table1[[Test code]:[Test code]],[1]!Table1[E @ 100 mA/cm2 10 mM KOH/V],"",0)</f>
        <v>#REF!</v>
      </c>
      <c r="AC1634" s="69" t="e" cm="1">
        <f t="array" ref="AC1634">_xlfn.XLOOKUP(Table1[[#This Row],[5 cm2 cell test code]:[5 cm2 cell test code]],[1]!Table1[[Test code]:[Test code]],[1]!Table1[Anode ICR/mOhm],"",0)</f>
        <v>#REF!</v>
      </c>
      <c r="AD1634" s="69" t="e" cm="1">
        <f t="array" ref="AD1634">_xlfn.XLOOKUP(Table1[[#This Row],[5 cm2 cell test code]:[5 cm2 cell test code]],[1]!Table1[[Test code]:[Test code]],[1]!Table1[HFR DIW/ mOhm cm2],"",0)</f>
        <v>#REF!</v>
      </c>
      <c r="AE1634" s="69" t="e" cm="1">
        <f t="array" ref="AE1634">_xlfn.XLOOKUP(Table1[[#This Row],[5 cm2 cell test code]:[5 cm2 cell test code]],[1]!Table1[[Test code]:[Test code]],[1]!Table1[HFR 10 mM KOH/ mOhm cm2],"",0)</f>
        <v>#REF!</v>
      </c>
      <c r="AF1634" s="69" t="e" cm="1">
        <f t="array" ref="AF1634">_xlfn.XLOOKUP(Table1[[#This Row],[5 cm2 cell test code]:[5 cm2 cell test code]],[1]!Table1[[Test code]:[Test code]],[1]!Table1[Ionic resistance DIW/Ohm cm2],"",0)</f>
        <v>#REF!</v>
      </c>
      <c r="AG1634" s="69" t="e" cm="1">
        <f t="array" ref="AG1634">_xlfn.XLOOKUP(Table1[[#This Row],[5 cm2 cell test code]:[5 cm2 cell test code]],[1]!Table1[[Test code]:[Test code]],[1]!Table1[Q_int_frac DIW],"",0)</f>
        <v>#REF!</v>
      </c>
      <c r="AH1634" s="69" t="e" cm="1">
        <f t="array" ref="AH1634">_xlfn.XLOOKUP(Table1[[#This Row],[5 cm2 cell test code]:[5 cm2 cell test code]],[1]!Table1[[Test code]:[Test code]],[1]!Table1[Ionic resistance 10 mM KOH/Ohm cm2],"",0)</f>
        <v>#REF!</v>
      </c>
      <c r="AI1634" s="69" t="e" cm="1">
        <f t="array" ref="AI1634">_xlfn.XLOOKUP(Table1[[#This Row],[5 cm2 cell test code]:[5 cm2 cell test code]],[1]!Table1[[Test code]:[Test code]],[1]!Table1[Q_int_frac DIW 10 mM KOH],"",0)</f>
        <v>#REF!</v>
      </c>
      <c r="AJ1634" s="69" t="e" cm="1">
        <f t="array" ref="AJ1634">_xlfn.XLOOKUP(Table1[[#This Row],[5 cm2 cell test code]:[5 cm2 cell test code]],[1]!Table1[[Test code]:[Test code]],[1]!Table1[DIW conductivity (µS/cm)],"",0)</f>
        <v>#REF!</v>
      </c>
    </row>
    <row r="1635" spans="1:36">
      <c r="A1635" s="81"/>
      <c r="U1635" s="101"/>
      <c r="V1635" s="101"/>
      <c r="W1635" s="69" t="e" cm="1">
        <f t="array" ref="W1635">_xlfn.XLOOKUP(Table1[[#This Row],[5 cm2 cell test code]:[5 cm2 cell test code]],[1]!Table1[[Test code]:[Test code]],[1]!Table1[i @ 1.8 V DIW (A/cm2)],"",0)</f>
        <v>#REF!</v>
      </c>
      <c r="X1635" s="69" t="e" cm="1">
        <f t="array" ref="X1635">_xlfn.XLOOKUP(Table1[[#This Row],[5 cm2 cell test code]:[5 cm2 cell test code]],[1]!Table1[[Test code]:[Test code]],[1]!Table1[i @ 1.8 V 10 mM KOH (A/cm2)],"",0)</f>
        <v>#REF!</v>
      </c>
      <c r="Y1635" s="69" t="e" cm="1">
        <f t="array" ref="Y1635">_xlfn.XLOOKUP(Table1[[#This Row],[5 cm2 cell test code]:[5 cm2 cell test code]],[1]!Table1[[Test code]:[Test code]],[1]!Table1[3-E ƞ at 20mAcm-2 (mV)],"",0)</f>
        <v>#REF!</v>
      </c>
      <c r="Z1635" s="69" t="e" cm="1">
        <f t="array" ref="Z1635">_xlfn.XLOOKUP(Table1[[#This Row],[5 cm2 cell test code]:[5 cm2 cell test code]],[1]!Table1[[Test code]:[Test code]],[1]!Table1[3-E Tafel slope (mV/dec)],"",0)</f>
        <v>#REF!</v>
      </c>
      <c r="AA1635" s="69" t="e" cm="1">
        <f t="array" ref="AA1635">_xlfn.XLOOKUP(Table1[[#This Row],[5 cm2 cell test code]:[5 cm2 cell test code]],[1]!Table1[[Test code]:[Test code]],[1]!Table1[E @ 100 mA/cm2 DIW/V],"",0)</f>
        <v>#REF!</v>
      </c>
      <c r="AB1635" s="69" t="e" cm="1">
        <f t="array" ref="AB1635">_xlfn.XLOOKUP(Table1[[#This Row],[5 cm2 cell test code]:[5 cm2 cell test code]],[1]!Table1[[Test code]:[Test code]],[1]!Table1[E @ 100 mA/cm2 10 mM KOH/V],"",0)</f>
        <v>#REF!</v>
      </c>
      <c r="AC1635" s="69" t="e" cm="1">
        <f t="array" ref="AC1635">_xlfn.XLOOKUP(Table1[[#This Row],[5 cm2 cell test code]:[5 cm2 cell test code]],[1]!Table1[[Test code]:[Test code]],[1]!Table1[Anode ICR/mOhm],"",0)</f>
        <v>#REF!</v>
      </c>
      <c r="AD1635" s="69" t="e" cm="1">
        <f t="array" ref="AD1635">_xlfn.XLOOKUP(Table1[[#This Row],[5 cm2 cell test code]:[5 cm2 cell test code]],[1]!Table1[[Test code]:[Test code]],[1]!Table1[HFR DIW/ mOhm cm2],"",0)</f>
        <v>#REF!</v>
      </c>
      <c r="AE1635" s="69" t="e" cm="1">
        <f t="array" ref="AE1635">_xlfn.XLOOKUP(Table1[[#This Row],[5 cm2 cell test code]:[5 cm2 cell test code]],[1]!Table1[[Test code]:[Test code]],[1]!Table1[HFR 10 mM KOH/ mOhm cm2],"",0)</f>
        <v>#REF!</v>
      </c>
      <c r="AF1635" s="69" t="e" cm="1">
        <f t="array" ref="AF1635">_xlfn.XLOOKUP(Table1[[#This Row],[5 cm2 cell test code]:[5 cm2 cell test code]],[1]!Table1[[Test code]:[Test code]],[1]!Table1[Ionic resistance DIW/Ohm cm2],"",0)</f>
        <v>#REF!</v>
      </c>
      <c r="AG1635" s="69" t="e" cm="1">
        <f t="array" ref="AG1635">_xlfn.XLOOKUP(Table1[[#This Row],[5 cm2 cell test code]:[5 cm2 cell test code]],[1]!Table1[[Test code]:[Test code]],[1]!Table1[Q_int_frac DIW],"",0)</f>
        <v>#REF!</v>
      </c>
      <c r="AH1635" s="69" t="e" cm="1">
        <f t="array" ref="AH1635">_xlfn.XLOOKUP(Table1[[#This Row],[5 cm2 cell test code]:[5 cm2 cell test code]],[1]!Table1[[Test code]:[Test code]],[1]!Table1[Ionic resistance 10 mM KOH/Ohm cm2],"",0)</f>
        <v>#REF!</v>
      </c>
      <c r="AI1635" s="69" t="e" cm="1">
        <f t="array" ref="AI1635">_xlfn.XLOOKUP(Table1[[#This Row],[5 cm2 cell test code]:[5 cm2 cell test code]],[1]!Table1[[Test code]:[Test code]],[1]!Table1[Q_int_frac DIW 10 mM KOH],"",0)</f>
        <v>#REF!</v>
      </c>
      <c r="AJ1635" s="69" t="e" cm="1">
        <f t="array" ref="AJ1635">_xlfn.XLOOKUP(Table1[[#This Row],[5 cm2 cell test code]:[5 cm2 cell test code]],[1]!Table1[[Test code]:[Test code]],[1]!Table1[DIW conductivity (µS/cm)],"",0)</f>
        <v>#REF!</v>
      </c>
    </row>
    <row r="1636" spans="1:36">
      <c r="A1636" s="81"/>
      <c r="U1636" s="101"/>
      <c r="V1636" s="101"/>
      <c r="W1636" s="69" t="e" cm="1">
        <f t="array" ref="W1636">_xlfn.XLOOKUP(Table1[[#This Row],[5 cm2 cell test code]:[5 cm2 cell test code]],[1]!Table1[[Test code]:[Test code]],[1]!Table1[i @ 1.8 V DIW (A/cm2)],"",0)</f>
        <v>#REF!</v>
      </c>
      <c r="X1636" s="69" t="e" cm="1">
        <f t="array" ref="X1636">_xlfn.XLOOKUP(Table1[[#This Row],[5 cm2 cell test code]:[5 cm2 cell test code]],[1]!Table1[[Test code]:[Test code]],[1]!Table1[i @ 1.8 V 10 mM KOH (A/cm2)],"",0)</f>
        <v>#REF!</v>
      </c>
      <c r="Y1636" s="69" t="e" cm="1">
        <f t="array" ref="Y1636">_xlfn.XLOOKUP(Table1[[#This Row],[5 cm2 cell test code]:[5 cm2 cell test code]],[1]!Table1[[Test code]:[Test code]],[1]!Table1[3-E ƞ at 20mAcm-2 (mV)],"",0)</f>
        <v>#REF!</v>
      </c>
      <c r="Z1636" s="69" t="e" cm="1">
        <f t="array" ref="Z1636">_xlfn.XLOOKUP(Table1[[#This Row],[5 cm2 cell test code]:[5 cm2 cell test code]],[1]!Table1[[Test code]:[Test code]],[1]!Table1[3-E Tafel slope (mV/dec)],"",0)</f>
        <v>#REF!</v>
      </c>
      <c r="AA1636" s="69" t="e" cm="1">
        <f t="array" ref="AA1636">_xlfn.XLOOKUP(Table1[[#This Row],[5 cm2 cell test code]:[5 cm2 cell test code]],[1]!Table1[[Test code]:[Test code]],[1]!Table1[E @ 100 mA/cm2 DIW/V],"",0)</f>
        <v>#REF!</v>
      </c>
      <c r="AB1636" s="69" t="e" cm="1">
        <f t="array" ref="AB1636">_xlfn.XLOOKUP(Table1[[#This Row],[5 cm2 cell test code]:[5 cm2 cell test code]],[1]!Table1[[Test code]:[Test code]],[1]!Table1[E @ 100 mA/cm2 10 mM KOH/V],"",0)</f>
        <v>#REF!</v>
      </c>
      <c r="AC1636" s="69" t="e" cm="1">
        <f t="array" ref="AC1636">_xlfn.XLOOKUP(Table1[[#This Row],[5 cm2 cell test code]:[5 cm2 cell test code]],[1]!Table1[[Test code]:[Test code]],[1]!Table1[Anode ICR/mOhm],"",0)</f>
        <v>#REF!</v>
      </c>
      <c r="AD1636" s="69" t="e" cm="1">
        <f t="array" ref="AD1636">_xlfn.XLOOKUP(Table1[[#This Row],[5 cm2 cell test code]:[5 cm2 cell test code]],[1]!Table1[[Test code]:[Test code]],[1]!Table1[HFR DIW/ mOhm cm2],"",0)</f>
        <v>#REF!</v>
      </c>
      <c r="AE1636" s="69" t="e" cm="1">
        <f t="array" ref="AE1636">_xlfn.XLOOKUP(Table1[[#This Row],[5 cm2 cell test code]:[5 cm2 cell test code]],[1]!Table1[[Test code]:[Test code]],[1]!Table1[HFR 10 mM KOH/ mOhm cm2],"",0)</f>
        <v>#REF!</v>
      </c>
      <c r="AF1636" s="69" t="e" cm="1">
        <f t="array" ref="AF1636">_xlfn.XLOOKUP(Table1[[#This Row],[5 cm2 cell test code]:[5 cm2 cell test code]],[1]!Table1[[Test code]:[Test code]],[1]!Table1[Ionic resistance DIW/Ohm cm2],"",0)</f>
        <v>#REF!</v>
      </c>
      <c r="AG1636" s="69" t="e" cm="1">
        <f t="array" ref="AG1636">_xlfn.XLOOKUP(Table1[[#This Row],[5 cm2 cell test code]:[5 cm2 cell test code]],[1]!Table1[[Test code]:[Test code]],[1]!Table1[Q_int_frac DIW],"",0)</f>
        <v>#REF!</v>
      </c>
      <c r="AH1636" s="69" t="e" cm="1">
        <f t="array" ref="AH1636">_xlfn.XLOOKUP(Table1[[#This Row],[5 cm2 cell test code]:[5 cm2 cell test code]],[1]!Table1[[Test code]:[Test code]],[1]!Table1[Ionic resistance 10 mM KOH/Ohm cm2],"",0)</f>
        <v>#REF!</v>
      </c>
      <c r="AI1636" s="69" t="e" cm="1">
        <f t="array" ref="AI1636">_xlfn.XLOOKUP(Table1[[#This Row],[5 cm2 cell test code]:[5 cm2 cell test code]],[1]!Table1[[Test code]:[Test code]],[1]!Table1[Q_int_frac DIW 10 mM KOH],"",0)</f>
        <v>#REF!</v>
      </c>
      <c r="AJ1636" s="69" t="e" cm="1">
        <f t="array" ref="AJ1636">_xlfn.XLOOKUP(Table1[[#This Row],[5 cm2 cell test code]:[5 cm2 cell test code]],[1]!Table1[[Test code]:[Test code]],[1]!Table1[DIW conductivity (µS/cm)],"",0)</f>
        <v>#REF!</v>
      </c>
    </row>
    <row r="1637" spans="1:36">
      <c r="A1637" s="81"/>
      <c r="U1637" s="101"/>
      <c r="V1637" s="101"/>
      <c r="W1637" s="69" t="e" cm="1">
        <f t="array" ref="W1637">_xlfn.XLOOKUP(Table1[[#This Row],[5 cm2 cell test code]:[5 cm2 cell test code]],[1]!Table1[[Test code]:[Test code]],[1]!Table1[i @ 1.8 V DIW (A/cm2)],"",0)</f>
        <v>#REF!</v>
      </c>
      <c r="X1637" s="69" t="e" cm="1">
        <f t="array" ref="X1637">_xlfn.XLOOKUP(Table1[[#This Row],[5 cm2 cell test code]:[5 cm2 cell test code]],[1]!Table1[[Test code]:[Test code]],[1]!Table1[i @ 1.8 V 10 mM KOH (A/cm2)],"",0)</f>
        <v>#REF!</v>
      </c>
      <c r="Y1637" s="69" t="e" cm="1">
        <f t="array" ref="Y1637">_xlfn.XLOOKUP(Table1[[#This Row],[5 cm2 cell test code]:[5 cm2 cell test code]],[1]!Table1[[Test code]:[Test code]],[1]!Table1[3-E ƞ at 20mAcm-2 (mV)],"",0)</f>
        <v>#REF!</v>
      </c>
      <c r="Z1637" s="69" t="e" cm="1">
        <f t="array" ref="Z1637">_xlfn.XLOOKUP(Table1[[#This Row],[5 cm2 cell test code]:[5 cm2 cell test code]],[1]!Table1[[Test code]:[Test code]],[1]!Table1[3-E Tafel slope (mV/dec)],"",0)</f>
        <v>#REF!</v>
      </c>
      <c r="AA1637" s="69" t="e" cm="1">
        <f t="array" ref="AA1637">_xlfn.XLOOKUP(Table1[[#This Row],[5 cm2 cell test code]:[5 cm2 cell test code]],[1]!Table1[[Test code]:[Test code]],[1]!Table1[E @ 100 mA/cm2 DIW/V],"",0)</f>
        <v>#REF!</v>
      </c>
      <c r="AB1637" s="69" t="e" cm="1">
        <f t="array" ref="AB1637">_xlfn.XLOOKUP(Table1[[#This Row],[5 cm2 cell test code]:[5 cm2 cell test code]],[1]!Table1[[Test code]:[Test code]],[1]!Table1[E @ 100 mA/cm2 10 mM KOH/V],"",0)</f>
        <v>#REF!</v>
      </c>
      <c r="AC1637" s="69" t="e" cm="1">
        <f t="array" ref="AC1637">_xlfn.XLOOKUP(Table1[[#This Row],[5 cm2 cell test code]:[5 cm2 cell test code]],[1]!Table1[[Test code]:[Test code]],[1]!Table1[Anode ICR/mOhm],"",0)</f>
        <v>#REF!</v>
      </c>
      <c r="AD1637" s="69" t="e" cm="1">
        <f t="array" ref="AD1637">_xlfn.XLOOKUP(Table1[[#This Row],[5 cm2 cell test code]:[5 cm2 cell test code]],[1]!Table1[[Test code]:[Test code]],[1]!Table1[HFR DIW/ mOhm cm2],"",0)</f>
        <v>#REF!</v>
      </c>
      <c r="AE1637" s="69" t="e" cm="1">
        <f t="array" ref="AE1637">_xlfn.XLOOKUP(Table1[[#This Row],[5 cm2 cell test code]:[5 cm2 cell test code]],[1]!Table1[[Test code]:[Test code]],[1]!Table1[HFR 10 mM KOH/ mOhm cm2],"",0)</f>
        <v>#REF!</v>
      </c>
      <c r="AF1637" s="69" t="e" cm="1">
        <f t="array" ref="AF1637">_xlfn.XLOOKUP(Table1[[#This Row],[5 cm2 cell test code]:[5 cm2 cell test code]],[1]!Table1[[Test code]:[Test code]],[1]!Table1[Ionic resistance DIW/Ohm cm2],"",0)</f>
        <v>#REF!</v>
      </c>
      <c r="AG1637" s="69" t="e" cm="1">
        <f t="array" ref="AG1637">_xlfn.XLOOKUP(Table1[[#This Row],[5 cm2 cell test code]:[5 cm2 cell test code]],[1]!Table1[[Test code]:[Test code]],[1]!Table1[Q_int_frac DIW],"",0)</f>
        <v>#REF!</v>
      </c>
      <c r="AH1637" s="69" t="e" cm="1">
        <f t="array" ref="AH1637">_xlfn.XLOOKUP(Table1[[#This Row],[5 cm2 cell test code]:[5 cm2 cell test code]],[1]!Table1[[Test code]:[Test code]],[1]!Table1[Ionic resistance 10 mM KOH/Ohm cm2],"",0)</f>
        <v>#REF!</v>
      </c>
      <c r="AI1637" s="69" t="e" cm="1">
        <f t="array" ref="AI1637">_xlfn.XLOOKUP(Table1[[#This Row],[5 cm2 cell test code]:[5 cm2 cell test code]],[1]!Table1[[Test code]:[Test code]],[1]!Table1[Q_int_frac DIW 10 mM KOH],"",0)</f>
        <v>#REF!</v>
      </c>
      <c r="AJ1637" s="69" t="e" cm="1">
        <f t="array" ref="AJ1637">_xlfn.XLOOKUP(Table1[[#This Row],[5 cm2 cell test code]:[5 cm2 cell test code]],[1]!Table1[[Test code]:[Test code]],[1]!Table1[DIW conductivity (µS/cm)],"",0)</f>
        <v>#REF!</v>
      </c>
    </row>
    <row r="1638" spans="1:36">
      <c r="A1638" s="81"/>
      <c r="U1638" s="101"/>
      <c r="V1638" s="101"/>
      <c r="W1638" s="69" t="e" cm="1">
        <f t="array" ref="W1638">_xlfn.XLOOKUP(Table1[[#This Row],[5 cm2 cell test code]:[5 cm2 cell test code]],[1]!Table1[[Test code]:[Test code]],[1]!Table1[i @ 1.8 V DIW (A/cm2)],"",0)</f>
        <v>#REF!</v>
      </c>
      <c r="X1638" s="69" t="e" cm="1">
        <f t="array" ref="X1638">_xlfn.XLOOKUP(Table1[[#This Row],[5 cm2 cell test code]:[5 cm2 cell test code]],[1]!Table1[[Test code]:[Test code]],[1]!Table1[i @ 1.8 V 10 mM KOH (A/cm2)],"",0)</f>
        <v>#REF!</v>
      </c>
      <c r="Y1638" s="69" t="e" cm="1">
        <f t="array" ref="Y1638">_xlfn.XLOOKUP(Table1[[#This Row],[5 cm2 cell test code]:[5 cm2 cell test code]],[1]!Table1[[Test code]:[Test code]],[1]!Table1[3-E ƞ at 20mAcm-2 (mV)],"",0)</f>
        <v>#REF!</v>
      </c>
      <c r="Z1638" s="69" t="e" cm="1">
        <f t="array" ref="Z1638">_xlfn.XLOOKUP(Table1[[#This Row],[5 cm2 cell test code]:[5 cm2 cell test code]],[1]!Table1[[Test code]:[Test code]],[1]!Table1[3-E Tafel slope (mV/dec)],"",0)</f>
        <v>#REF!</v>
      </c>
      <c r="AA1638" s="69" t="e" cm="1">
        <f t="array" ref="AA1638">_xlfn.XLOOKUP(Table1[[#This Row],[5 cm2 cell test code]:[5 cm2 cell test code]],[1]!Table1[[Test code]:[Test code]],[1]!Table1[E @ 100 mA/cm2 DIW/V],"",0)</f>
        <v>#REF!</v>
      </c>
      <c r="AB1638" s="69" t="e" cm="1">
        <f t="array" ref="AB1638">_xlfn.XLOOKUP(Table1[[#This Row],[5 cm2 cell test code]:[5 cm2 cell test code]],[1]!Table1[[Test code]:[Test code]],[1]!Table1[E @ 100 mA/cm2 10 mM KOH/V],"",0)</f>
        <v>#REF!</v>
      </c>
      <c r="AC1638" s="69" t="e" cm="1">
        <f t="array" ref="AC1638">_xlfn.XLOOKUP(Table1[[#This Row],[5 cm2 cell test code]:[5 cm2 cell test code]],[1]!Table1[[Test code]:[Test code]],[1]!Table1[Anode ICR/mOhm],"",0)</f>
        <v>#REF!</v>
      </c>
      <c r="AD1638" s="69" t="e" cm="1">
        <f t="array" ref="AD1638">_xlfn.XLOOKUP(Table1[[#This Row],[5 cm2 cell test code]:[5 cm2 cell test code]],[1]!Table1[[Test code]:[Test code]],[1]!Table1[HFR DIW/ mOhm cm2],"",0)</f>
        <v>#REF!</v>
      </c>
      <c r="AE1638" s="69" t="e" cm="1">
        <f t="array" ref="AE1638">_xlfn.XLOOKUP(Table1[[#This Row],[5 cm2 cell test code]:[5 cm2 cell test code]],[1]!Table1[[Test code]:[Test code]],[1]!Table1[HFR 10 mM KOH/ mOhm cm2],"",0)</f>
        <v>#REF!</v>
      </c>
      <c r="AF1638" s="69" t="e" cm="1">
        <f t="array" ref="AF1638">_xlfn.XLOOKUP(Table1[[#This Row],[5 cm2 cell test code]:[5 cm2 cell test code]],[1]!Table1[[Test code]:[Test code]],[1]!Table1[Ionic resistance DIW/Ohm cm2],"",0)</f>
        <v>#REF!</v>
      </c>
      <c r="AG1638" s="69" t="e" cm="1">
        <f t="array" ref="AG1638">_xlfn.XLOOKUP(Table1[[#This Row],[5 cm2 cell test code]:[5 cm2 cell test code]],[1]!Table1[[Test code]:[Test code]],[1]!Table1[Q_int_frac DIW],"",0)</f>
        <v>#REF!</v>
      </c>
      <c r="AH1638" s="69" t="e" cm="1">
        <f t="array" ref="AH1638">_xlfn.XLOOKUP(Table1[[#This Row],[5 cm2 cell test code]:[5 cm2 cell test code]],[1]!Table1[[Test code]:[Test code]],[1]!Table1[Ionic resistance 10 mM KOH/Ohm cm2],"",0)</f>
        <v>#REF!</v>
      </c>
      <c r="AI1638" s="69" t="e" cm="1">
        <f t="array" ref="AI1638">_xlfn.XLOOKUP(Table1[[#This Row],[5 cm2 cell test code]:[5 cm2 cell test code]],[1]!Table1[[Test code]:[Test code]],[1]!Table1[Q_int_frac DIW 10 mM KOH],"",0)</f>
        <v>#REF!</v>
      </c>
      <c r="AJ1638" s="69" t="e" cm="1">
        <f t="array" ref="AJ1638">_xlfn.XLOOKUP(Table1[[#This Row],[5 cm2 cell test code]:[5 cm2 cell test code]],[1]!Table1[[Test code]:[Test code]],[1]!Table1[DIW conductivity (µS/cm)],"",0)</f>
        <v>#REF!</v>
      </c>
    </row>
    <row r="1639" spans="1:36">
      <c r="A1639" s="81"/>
      <c r="U1639" s="101"/>
      <c r="V1639" s="101"/>
      <c r="W1639" s="69" t="e" cm="1">
        <f t="array" ref="W1639">_xlfn.XLOOKUP(Table1[[#This Row],[5 cm2 cell test code]:[5 cm2 cell test code]],[1]!Table1[[Test code]:[Test code]],[1]!Table1[i @ 1.8 V DIW (A/cm2)],"",0)</f>
        <v>#REF!</v>
      </c>
      <c r="X1639" s="69" t="e" cm="1">
        <f t="array" ref="X1639">_xlfn.XLOOKUP(Table1[[#This Row],[5 cm2 cell test code]:[5 cm2 cell test code]],[1]!Table1[[Test code]:[Test code]],[1]!Table1[i @ 1.8 V 10 mM KOH (A/cm2)],"",0)</f>
        <v>#REF!</v>
      </c>
      <c r="Y1639" s="69" t="e" cm="1">
        <f t="array" ref="Y1639">_xlfn.XLOOKUP(Table1[[#This Row],[5 cm2 cell test code]:[5 cm2 cell test code]],[1]!Table1[[Test code]:[Test code]],[1]!Table1[3-E ƞ at 20mAcm-2 (mV)],"",0)</f>
        <v>#REF!</v>
      </c>
      <c r="Z1639" s="69" t="e" cm="1">
        <f t="array" ref="Z1639">_xlfn.XLOOKUP(Table1[[#This Row],[5 cm2 cell test code]:[5 cm2 cell test code]],[1]!Table1[[Test code]:[Test code]],[1]!Table1[3-E Tafel slope (mV/dec)],"",0)</f>
        <v>#REF!</v>
      </c>
      <c r="AA1639" s="69" t="e" cm="1">
        <f t="array" ref="AA1639">_xlfn.XLOOKUP(Table1[[#This Row],[5 cm2 cell test code]:[5 cm2 cell test code]],[1]!Table1[[Test code]:[Test code]],[1]!Table1[E @ 100 mA/cm2 DIW/V],"",0)</f>
        <v>#REF!</v>
      </c>
      <c r="AB1639" s="69" t="e" cm="1">
        <f t="array" ref="AB1639">_xlfn.XLOOKUP(Table1[[#This Row],[5 cm2 cell test code]:[5 cm2 cell test code]],[1]!Table1[[Test code]:[Test code]],[1]!Table1[E @ 100 mA/cm2 10 mM KOH/V],"",0)</f>
        <v>#REF!</v>
      </c>
      <c r="AC1639" s="69" t="e" cm="1">
        <f t="array" ref="AC1639">_xlfn.XLOOKUP(Table1[[#This Row],[5 cm2 cell test code]:[5 cm2 cell test code]],[1]!Table1[[Test code]:[Test code]],[1]!Table1[Anode ICR/mOhm],"",0)</f>
        <v>#REF!</v>
      </c>
      <c r="AD1639" s="69" t="e" cm="1">
        <f t="array" ref="AD1639">_xlfn.XLOOKUP(Table1[[#This Row],[5 cm2 cell test code]:[5 cm2 cell test code]],[1]!Table1[[Test code]:[Test code]],[1]!Table1[HFR DIW/ mOhm cm2],"",0)</f>
        <v>#REF!</v>
      </c>
      <c r="AE1639" s="69" t="e" cm="1">
        <f t="array" ref="AE1639">_xlfn.XLOOKUP(Table1[[#This Row],[5 cm2 cell test code]:[5 cm2 cell test code]],[1]!Table1[[Test code]:[Test code]],[1]!Table1[HFR 10 mM KOH/ mOhm cm2],"",0)</f>
        <v>#REF!</v>
      </c>
      <c r="AF1639" s="69" t="e" cm="1">
        <f t="array" ref="AF1639">_xlfn.XLOOKUP(Table1[[#This Row],[5 cm2 cell test code]:[5 cm2 cell test code]],[1]!Table1[[Test code]:[Test code]],[1]!Table1[Ionic resistance DIW/Ohm cm2],"",0)</f>
        <v>#REF!</v>
      </c>
      <c r="AG1639" s="69" t="e" cm="1">
        <f t="array" ref="AG1639">_xlfn.XLOOKUP(Table1[[#This Row],[5 cm2 cell test code]:[5 cm2 cell test code]],[1]!Table1[[Test code]:[Test code]],[1]!Table1[Q_int_frac DIW],"",0)</f>
        <v>#REF!</v>
      </c>
      <c r="AH1639" s="69" t="e" cm="1">
        <f t="array" ref="AH1639">_xlfn.XLOOKUP(Table1[[#This Row],[5 cm2 cell test code]:[5 cm2 cell test code]],[1]!Table1[[Test code]:[Test code]],[1]!Table1[Ionic resistance 10 mM KOH/Ohm cm2],"",0)</f>
        <v>#REF!</v>
      </c>
      <c r="AI1639" s="69" t="e" cm="1">
        <f t="array" ref="AI1639">_xlfn.XLOOKUP(Table1[[#This Row],[5 cm2 cell test code]:[5 cm2 cell test code]],[1]!Table1[[Test code]:[Test code]],[1]!Table1[Q_int_frac DIW 10 mM KOH],"",0)</f>
        <v>#REF!</v>
      </c>
      <c r="AJ1639" s="69" t="e" cm="1">
        <f t="array" ref="AJ1639">_xlfn.XLOOKUP(Table1[[#This Row],[5 cm2 cell test code]:[5 cm2 cell test code]],[1]!Table1[[Test code]:[Test code]],[1]!Table1[DIW conductivity (µS/cm)],"",0)</f>
        <v>#REF!</v>
      </c>
    </row>
    <row r="1640" spans="1:36">
      <c r="A1640" s="81"/>
      <c r="U1640" s="101"/>
      <c r="V1640" s="101"/>
      <c r="W1640" s="69" t="e" cm="1">
        <f t="array" ref="W1640">_xlfn.XLOOKUP(Table1[[#This Row],[5 cm2 cell test code]:[5 cm2 cell test code]],[1]!Table1[[Test code]:[Test code]],[1]!Table1[i @ 1.8 V DIW (A/cm2)],"",0)</f>
        <v>#REF!</v>
      </c>
      <c r="X1640" s="69" t="e" cm="1">
        <f t="array" ref="X1640">_xlfn.XLOOKUP(Table1[[#This Row],[5 cm2 cell test code]:[5 cm2 cell test code]],[1]!Table1[[Test code]:[Test code]],[1]!Table1[i @ 1.8 V 10 mM KOH (A/cm2)],"",0)</f>
        <v>#REF!</v>
      </c>
      <c r="Y1640" s="69" t="e" cm="1">
        <f t="array" ref="Y1640">_xlfn.XLOOKUP(Table1[[#This Row],[5 cm2 cell test code]:[5 cm2 cell test code]],[1]!Table1[[Test code]:[Test code]],[1]!Table1[3-E ƞ at 20mAcm-2 (mV)],"",0)</f>
        <v>#REF!</v>
      </c>
      <c r="Z1640" s="69" t="e" cm="1">
        <f t="array" ref="Z1640">_xlfn.XLOOKUP(Table1[[#This Row],[5 cm2 cell test code]:[5 cm2 cell test code]],[1]!Table1[[Test code]:[Test code]],[1]!Table1[3-E Tafel slope (mV/dec)],"",0)</f>
        <v>#REF!</v>
      </c>
      <c r="AA1640" s="69" t="e" cm="1">
        <f t="array" ref="AA1640">_xlfn.XLOOKUP(Table1[[#This Row],[5 cm2 cell test code]:[5 cm2 cell test code]],[1]!Table1[[Test code]:[Test code]],[1]!Table1[E @ 100 mA/cm2 DIW/V],"",0)</f>
        <v>#REF!</v>
      </c>
      <c r="AB1640" s="69" t="e" cm="1">
        <f t="array" ref="AB1640">_xlfn.XLOOKUP(Table1[[#This Row],[5 cm2 cell test code]:[5 cm2 cell test code]],[1]!Table1[[Test code]:[Test code]],[1]!Table1[E @ 100 mA/cm2 10 mM KOH/V],"",0)</f>
        <v>#REF!</v>
      </c>
      <c r="AC1640" s="69" t="e" cm="1">
        <f t="array" ref="AC1640">_xlfn.XLOOKUP(Table1[[#This Row],[5 cm2 cell test code]:[5 cm2 cell test code]],[1]!Table1[[Test code]:[Test code]],[1]!Table1[Anode ICR/mOhm],"",0)</f>
        <v>#REF!</v>
      </c>
      <c r="AD1640" s="69" t="e" cm="1">
        <f t="array" ref="AD1640">_xlfn.XLOOKUP(Table1[[#This Row],[5 cm2 cell test code]:[5 cm2 cell test code]],[1]!Table1[[Test code]:[Test code]],[1]!Table1[HFR DIW/ mOhm cm2],"",0)</f>
        <v>#REF!</v>
      </c>
      <c r="AE1640" s="69" t="e" cm="1">
        <f t="array" ref="AE1640">_xlfn.XLOOKUP(Table1[[#This Row],[5 cm2 cell test code]:[5 cm2 cell test code]],[1]!Table1[[Test code]:[Test code]],[1]!Table1[HFR 10 mM KOH/ mOhm cm2],"",0)</f>
        <v>#REF!</v>
      </c>
      <c r="AF1640" s="69" t="e" cm="1">
        <f t="array" ref="AF1640">_xlfn.XLOOKUP(Table1[[#This Row],[5 cm2 cell test code]:[5 cm2 cell test code]],[1]!Table1[[Test code]:[Test code]],[1]!Table1[Ionic resistance DIW/Ohm cm2],"",0)</f>
        <v>#REF!</v>
      </c>
      <c r="AG1640" s="69" t="e" cm="1">
        <f t="array" ref="AG1640">_xlfn.XLOOKUP(Table1[[#This Row],[5 cm2 cell test code]:[5 cm2 cell test code]],[1]!Table1[[Test code]:[Test code]],[1]!Table1[Q_int_frac DIW],"",0)</f>
        <v>#REF!</v>
      </c>
      <c r="AH1640" s="69" t="e" cm="1">
        <f t="array" ref="AH1640">_xlfn.XLOOKUP(Table1[[#This Row],[5 cm2 cell test code]:[5 cm2 cell test code]],[1]!Table1[[Test code]:[Test code]],[1]!Table1[Ionic resistance 10 mM KOH/Ohm cm2],"",0)</f>
        <v>#REF!</v>
      </c>
      <c r="AI1640" s="69" t="e" cm="1">
        <f t="array" ref="AI1640">_xlfn.XLOOKUP(Table1[[#This Row],[5 cm2 cell test code]:[5 cm2 cell test code]],[1]!Table1[[Test code]:[Test code]],[1]!Table1[Q_int_frac DIW 10 mM KOH],"",0)</f>
        <v>#REF!</v>
      </c>
      <c r="AJ1640" s="69" t="e" cm="1">
        <f t="array" ref="AJ1640">_xlfn.XLOOKUP(Table1[[#This Row],[5 cm2 cell test code]:[5 cm2 cell test code]],[1]!Table1[[Test code]:[Test code]],[1]!Table1[DIW conductivity (µS/cm)],"",0)</f>
        <v>#REF!</v>
      </c>
    </row>
    <row r="1641" spans="1:36">
      <c r="A1641" s="81"/>
      <c r="U1641" s="101"/>
      <c r="V1641" s="101"/>
      <c r="W1641" s="69" t="e" cm="1">
        <f t="array" ref="W1641">_xlfn.XLOOKUP(Table1[[#This Row],[5 cm2 cell test code]:[5 cm2 cell test code]],[1]!Table1[[Test code]:[Test code]],[1]!Table1[i @ 1.8 V DIW (A/cm2)],"",0)</f>
        <v>#REF!</v>
      </c>
      <c r="X1641" s="69" t="e" cm="1">
        <f t="array" ref="X1641">_xlfn.XLOOKUP(Table1[[#This Row],[5 cm2 cell test code]:[5 cm2 cell test code]],[1]!Table1[[Test code]:[Test code]],[1]!Table1[i @ 1.8 V 10 mM KOH (A/cm2)],"",0)</f>
        <v>#REF!</v>
      </c>
      <c r="Y1641" s="69" t="e" cm="1">
        <f t="array" ref="Y1641">_xlfn.XLOOKUP(Table1[[#This Row],[5 cm2 cell test code]:[5 cm2 cell test code]],[1]!Table1[[Test code]:[Test code]],[1]!Table1[3-E ƞ at 20mAcm-2 (mV)],"",0)</f>
        <v>#REF!</v>
      </c>
      <c r="Z1641" s="69" t="e" cm="1">
        <f t="array" ref="Z1641">_xlfn.XLOOKUP(Table1[[#This Row],[5 cm2 cell test code]:[5 cm2 cell test code]],[1]!Table1[[Test code]:[Test code]],[1]!Table1[3-E Tafel slope (mV/dec)],"",0)</f>
        <v>#REF!</v>
      </c>
      <c r="AA1641" s="69" t="e" cm="1">
        <f t="array" ref="AA1641">_xlfn.XLOOKUP(Table1[[#This Row],[5 cm2 cell test code]:[5 cm2 cell test code]],[1]!Table1[[Test code]:[Test code]],[1]!Table1[E @ 100 mA/cm2 DIW/V],"",0)</f>
        <v>#REF!</v>
      </c>
      <c r="AB1641" s="69" t="e" cm="1">
        <f t="array" ref="AB1641">_xlfn.XLOOKUP(Table1[[#This Row],[5 cm2 cell test code]:[5 cm2 cell test code]],[1]!Table1[[Test code]:[Test code]],[1]!Table1[E @ 100 mA/cm2 10 mM KOH/V],"",0)</f>
        <v>#REF!</v>
      </c>
      <c r="AC1641" s="69" t="e" cm="1">
        <f t="array" ref="AC1641">_xlfn.XLOOKUP(Table1[[#This Row],[5 cm2 cell test code]:[5 cm2 cell test code]],[1]!Table1[[Test code]:[Test code]],[1]!Table1[Anode ICR/mOhm],"",0)</f>
        <v>#REF!</v>
      </c>
      <c r="AD1641" s="69" t="e" cm="1">
        <f t="array" ref="AD1641">_xlfn.XLOOKUP(Table1[[#This Row],[5 cm2 cell test code]:[5 cm2 cell test code]],[1]!Table1[[Test code]:[Test code]],[1]!Table1[HFR DIW/ mOhm cm2],"",0)</f>
        <v>#REF!</v>
      </c>
      <c r="AE1641" s="69" t="e" cm="1">
        <f t="array" ref="AE1641">_xlfn.XLOOKUP(Table1[[#This Row],[5 cm2 cell test code]:[5 cm2 cell test code]],[1]!Table1[[Test code]:[Test code]],[1]!Table1[HFR 10 mM KOH/ mOhm cm2],"",0)</f>
        <v>#REF!</v>
      </c>
      <c r="AF1641" s="69" t="e" cm="1">
        <f t="array" ref="AF1641">_xlfn.XLOOKUP(Table1[[#This Row],[5 cm2 cell test code]:[5 cm2 cell test code]],[1]!Table1[[Test code]:[Test code]],[1]!Table1[Ionic resistance DIW/Ohm cm2],"",0)</f>
        <v>#REF!</v>
      </c>
      <c r="AG1641" s="69" t="e" cm="1">
        <f t="array" ref="AG1641">_xlfn.XLOOKUP(Table1[[#This Row],[5 cm2 cell test code]:[5 cm2 cell test code]],[1]!Table1[[Test code]:[Test code]],[1]!Table1[Q_int_frac DIW],"",0)</f>
        <v>#REF!</v>
      </c>
      <c r="AH1641" s="69" t="e" cm="1">
        <f t="array" ref="AH1641">_xlfn.XLOOKUP(Table1[[#This Row],[5 cm2 cell test code]:[5 cm2 cell test code]],[1]!Table1[[Test code]:[Test code]],[1]!Table1[Ionic resistance 10 mM KOH/Ohm cm2],"",0)</f>
        <v>#REF!</v>
      </c>
      <c r="AI1641" s="69" t="e" cm="1">
        <f t="array" ref="AI1641">_xlfn.XLOOKUP(Table1[[#This Row],[5 cm2 cell test code]:[5 cm2 cell test code]],[1]!Table1[[Test code]:[Test code]],[1]!Table1[Q_int_frac DIW 10 mM KOH],"",0)</f>
        <v>#REF!</v>
      </c>
      <c r="AJ1641" s="69" t="e" cm="1">
        <f t="array" ref="AJ1641">_xlfn.XLOOKUP(Table1[[#This Row],[5 cm2 cell test code]:[5 cm2 cell test code]],[1]!Table1[[Test code]:[Test code]],[1]!Table1[DIW conductivity (µS/cm)],"",0)</f>
        <v>#REF!</v>
      </c>
    </row>
    <row r="1642" spans="1:36">
      <c r="A1642" s="81"/>
      <c r="U1642" s="101"/>
      <c r="V1642" s="101"/>
      <c r="W1642" s="69" t="e" cm="1">
        <f t="array" ref="W1642">_xlfn.XLOOKUP(Table1[[#This Row],[5 cm2 cell test code]:[5 cm2 cell test code]],[1]!Table1[[Test code]:[Test code]],[1]!Table1[i @ 1.8 V DIW (A/cm2)],"",0)</f>
        <v>#REF!</v>
      </c>
      <c r="X1642" s="69" t="e" cm="1">
        <f t="array" ref="X1642">_xlfn.XLOOKUP(Table1[[#This Row],[5 cm2 cell test code]:[5 cm2 cell test code]],[1]!Table1[[Test code]:[Test code]],[1]!Table1[i @ 1.8 V 10 mM KOH (A/cm2)],"",0)</f>
        <v>#REF!</v>
      </c>
      <c r="Y1642" s="69" t="e" cm="1">
        <f t="array" ref="Y1642">_xlfn.XLOOKUP(Table1[[#This Row],[5 cm2 cell test code]:[5 cm2 cell test code]],[1]!Table1[[Test code]:[Test code]],[1]!Table1[3-E ƞ at 20mAcm-2 (mV)],"",0)</f>
        <v>#REF!</v>
      </c>
      <c r="Z1642" s="69" t="e" cm="1">
        <f t="array" ref="Z1642">_xlfn.XLOOKUP(Table1[[#This Row],[5 cm2 cell test code]:[5 cm2 cell test code]],[1]!Table1[[Test code]:[Test code]],[1]!Table1[3-E Tafel slope (mV/dec)],"",0)</f>
        <v>#REF!</v>
      </c>
      <c r="AA1642" s="69" t="e" cm="1">
        <f t="array" ref="AA1642">_xlfn.XLOOKUP(Table1[[#This Row],[5 cm2 cell test code]:[5 cm2 cell test code]],[1]!Table1[[Test code]:[Test code]],[1]!Table1[E @ 100 mA/cm2 DIW/V],"",0)</f>
        <v>#REF!</v>
      </c>
      <c r="AB1642" s="69" t="e" cm="1">
        <f t="array" ref="AB1642">_xlfn.XLOOKUP(Table1[[#This Row],[5 cm2 cell test code]:[5 cm2 cell test code]],[1]!Table1[[Test code]:[Test code]],[1]!Table1[E @ 100 mA/cm2 10 mM KOH/V],"",0)</f>
        <v>#REF!</v>
      </c>
      <c r="AC1642" s="69" t="e" cm="1">
        <f t="array" ref="AC1642">_xlfn.XLOOKUP(Table1[[#This Row],[5 cm2 cell test code]:[5 cm2 cell test code]],[1]!Table1[[Test code]:[Test code]],[1]!Table1[Anode ICR/mOhm],"",0)</f>
        <v>#REF!</v>
      </c>
      <c r="AD1642" s="69" t="e" cm="1">
        <f t="array" ref="AD1642">_xlfn.XLOOKUP(Table1[[#This Row],[5 cm2 cell test code]:[5 cm2 cell test code]],[1]!Table1[[Test code]:[Test code]],[1]!Table1[HFR DIW/ mOhm cm2],"",0)</f>
        <v>#REF!</v>
      </c>
      <c r="AE1642" s="69" t="e" cm="1">
        <f t="array" ref="AE1642">_xlfn.XLOOKUP(Table1[[#This Row],[5 cm2 cell test code]:[5 cm2 cell test code]],[1]!Table1[[Test code]:[Test code]],[1]!Table1[HFR 10 mM KOH/ mOhm cm2],"",0)</f>
        <v>#REF!</v>
      </c>
      <c r="AF1642" s="69" t="e" cm="1">
        <f t="array" ref="AF1642">_xlfn.XLOOKUP(Table1[[#This Row],[5 cm2 cell test code]:[5 cm2 cell test code]],[1]!Table1[[Test code]:[Test code]],[1]!Table1[Ionic resistance DIW/Ohm cm2],"",0)</f>
        <v>#REF!</v>
      </c>
      <c r="AG1642" s="69" t="e" cm="1">
        <f t="array" ref="AG1642">_xlfn.XLOOKUP(Table1[[#This Row],[5 cm2 cell test code]:[5 cm2 cell test code]],[1]!Table1[[Test code]:[Test code]],[1]!Table1[Q_int_frac DIW],"",0)</f>
        <v>#REF!</v>
      </c>
      <c r="AH1642" s="69" t="e" cm="1">
        <f t="array" ref="AH1642">_xlfn.XLOOKUP(Table1[[#This Row],[5 cm2 cell test code]:[5 cm2 cell test code]],[1]!Table1[[Test code]:[Test code]],[1]!Table1[Ionic resistance 10 mM KOH/Ohm cm2],"",0)</f>
        <v>#REF!</v>
      </c>
      <c r="AI1642" s="69" t="e" cm="1">
        <f t="array" ref="AI1642">_xlfn.XLOOKUP(Table1[[#This Row],[5 cm2 cell test code]:[5 cm2 cell test code]],[1]!Table1[[Test code]:[Test code]],[1]!Table1[Q_int_frac DIW 10 mM KOH],"",0)</f>
        <v>#REF!</v>
      </c>
      <c r="AJ1642" s="69" t="e" cm="1">
        <f t="array" ref="AJ1642">_xlfn.XLOOKUP(Table1[[#This Row],[5 cm2 cell test code]:[5 cm2 cell test code]],[1]!Table1[[Test code]:[Test code]],[1]!Table1[DIW conductivity (µS/cm)],"",0)</f>
        <v>#REF!</v>
      </c>
    </row>
    <row r="1643" spans="1:36">
      <c r="A1643" s="81"/>
      <c r="U1643" s="101"/>
      <c r="V1643" s="101"/>
      <c r="W1643" s="69" t="e" cm="1">
        <f t="array" ref="W1643">_xlfn.XLOOKUP(Table1[[#This Row],[5 cm2 cell test code]:[5 cm2 cell test code]],[1]!Table1[[Test code]:[Test code]],[1]!Table1[i @ 1.8 V DIW (A/cm2)],"",0)</f>
        <v>#REF!</v>
      </c>
      <c r="X1643" s="69" t="e" cm="1">
        <f t="array" ref="X1643">_xlfn.XLOOKUP(Table1[[#This Row],[5 cm2 cell test code]:[5 cm2 cell test code]],[1]!Table1[[Test code]:[Test code]],[1]!Table1[i @ 1.8 V 10 mM KOH (A/cm2)],"",0)</f>
        <v>#REF!</v>
      </c>
      <c r="Y1643" s="69" t="e" cm="1">
        <f t="array" ref="Y1643">_xlfn.XLOOKUP(Table1[[#This Row],[5 cm2 cell test code]:[5 cm2 cell test code]],[1]!Table1[[Test code]:[Test code]],[1]!Table1[3-E ƞ at 20mAcm-2 (mV)],"",0)</f>
        <v>#REF!</v>
      </c>
      <c r="Z1643" s="69" t="e" cm="1">
        <f t="array" ref="Z1643">_xlfn.XLOOKUP(Table1[[#This Row],[5 cm2 cell test code]:[5 cm2 cell test code]],[1]!Table1[[Test code]:[Test code]],[1]!Table1[3-E Tafel slope (mV/dec)],"",0)</f>
        <v>#REF!</v>
      </c>
      <c r="AA1643" s="69" t="e" cm="1">
        <f t="array" ref="AA1643">_xlfn.XLOOKUP(Table1[[#This Row],[5 cm2 cell test code]:[5 cm2 cell test code]],[1]!Table1[[Test code]:[Test code]],[1]!Table1[E @ 100 mA/cm2 DIW/V],"",0)</f>
        <v>#REF!</v>
      </c>
      <c r="AB1643" s="69" t="e" cm="1">
        <f t="array" ref="AB1643">_xlfn.XLOOKUP(Table1[[#This Row],[5 cm2 cell test code]:[5 cm2 cell test code]],[1]!Table1[[Test code]:[Test code]],[1]!Table1[E @ 100 mA/cm2 10 mM KOH/V],"",0)</f>
        <v>#REF!</v>
      </c>
      <c r="AC1643" s="69" t="e" cm="1">
        <f t="array" ref="AC1643">_xlfn.XLOOKUP(Table1[[#This Row],[5 cm2 cell test code]:[5 cm2 cell test code]],[1]!Table1[[Test code]:[Test code]],[1]!Table1[Anode ICR/mOhm],"",0)</f>
        <v>#REF!</v>
      </c>
      <c r="AD1643" s="69" t="e" cm="1">
        <f t="array" ref="AD1643">_xlfn.XLOOKUP(Table1[[#This Row],[5 cm2 cell test code]:[5 cm2 cell test code]],[1]!Table1[[Test code]:[Test code]],[1]!Table1[HFR DIW/ mOhm cm2],"",0)</f>
        <v>#REF!</v>
      </c>
      <c r="AE1643" s="69" t="e" cm="1">
        <f t="array" ref="AE1643">_xlfn.XLOOKUP(Table1[[#This Row],[5 cm2 cell test code]:[5 cm2 cell test code]],[1]!Table1[[Test code]:[Test code]],[1]!Table1[HFR 10 mM KOH/ mOhm cm2],"",0)</f>
        <v>#REF!</v>
      </c>
      <c r="AF1643" s="69" t="e" cm="1">
        <f t="array" ref="AF1643">_xlfn.XLOOKUP(Table1[[#This Row],[5 cm2 cell test code]:[5 cm2 cell test code]],[1]!Table1[[Test code]:[Test code]],[1]!Table1[Ionic resistance DIW/Ohm cm2],"",0)</f>
        <v>#REF!</v>
      </c>
      <c r="AG1643" s="69" t="e" cm="1">
        <f t="array" ref="AG1643">_xlfn.XLOOKUP(Table1[[#This Row],[5 cm2 cell test code]:[5 cm2 cell test code]],[1]!Table1[[Test code]:[Test code]],[1]!Table1[Q_int_frac DIW],"",0)</f>
        <v>#REF!</v>
      </c>
      <c r="AH1643" s="69" t="e" cm="1">
        <f t="array" ref="AH1643">_xlfn.XLOOKUP(Table1[[#This Row],[5 cm2 cell test code]:[5 cm2 cell test code]],[1]!Table1[[Test code]:[Test code]],[1]!Table1[Ionic resistance 10 mM KOH/Ohm cm2],"",0)</f>
        <v>#REF!</v>
      </c>
      <c r="AI1643" s="69" t="e" cm="1">
        <f t="array" ref="AI1643">_xlfn.XLOOKUP(Table1[[#This Row],[5 cm2 cell test code]:[5 cm2 cell test code]],[1]!Table1[[Test code]:[Test code]],[1]!Table1[Q_int_frac DIW 10 mM KOH],"",0)</f>
        <v>#REF!</v>
      </c>
      <c r="AJ1643" s="69" t="e" cm="1">
        <f t="array" ref="AJ1643">_xlfn.XLOOKUP(Table1[[#This Row],[5 cm2 cell test code]:[5 cm2 cell test code]],[1]!Table1[[Test code]:[Test code]],[1]!Table1[DIW conductivity (µS/cm)],"",0)</f>
        <v>#REF!</v>
      </c>
    </row>
    <row r="1644" spans="1:36">
      <c r="A1644" s="81"/>
      <c r="U1644" s="101"/>
      <c r="V1644" s="101"/>
      <c r="W1644" s="69" t="e" cm="1">
        <f t="array" ref="W1644">_xlfn.XLOOKUP(Table1[[#This Row],[5 cm2 cell test code]:[5 cm2 cell test code]],[1]!Table1[[Test code]:[Test code]],[1]!Table1[i @ 1.8 V DIW (A/cm2)],"",0)</f>
        <v>#REF!</v>
      </c>
      <c r="X1644" s="69" t="e" cm="1">
        <f t="array" ref="X1644">_xlfn.XLOOKUP(Table1[[#This Row],[5 cm2 cell test code]:[5 cm2 cell test code]],[1]!Table1[[Test code]:[Test code]],[1]!Table1[i @ 1.8 V 10 mM KOH (A/cm2)],"",0)</f>
        <v>#REF!</v>
      </c>
      <c r="Y1644" s="69" t="e" cm="1">
        <f t="array" ref="Y1644">_xlfn.XLOOKUP(Table1[[#This Row],[5 cm2 cell test code]:[5 cm2 cell test code]],[1]!Table1[[Test code]:[Test code]],[1]!Table1[3-E ƞ at 20mAcm-2 (mV)],"",0)</f>
        <v>#REF!</v>
      </c>
      <c r="Z1644" s="69" t="e" cm="1">
        <f t="array" ref="Z1644">_xlfn.XLOOKUP(Table1[[#This Row],[5 cm2 cell test code]:[5 cm2 cell test code]],[1]!Table1[[Test code]:[Test code]],[1]!Table1[3-E Tafel slope (mV/dec)],"",0)</f>
        <v>#REF!</v>
      </c>
      <c r="AA1644" s="69" t="e" cm="1">
        <f t="array" ref="AA1644">_xlfn.XLOOKUP(Table1[[#This Row],[5 cm2 cell test code]:[5 cm2 cell test code]],[1]!Table1[[Test code]:[Test code]],[1]!Table1[E @ 100 mA/cm2 DIW/V],"",0)</f>
        <v>#REF!</v>
      </c>
      <c r="AB1644" s="69" t="e" cm="1">
        <f t="array" ref="AB1644">_xlfn.XLOOKUP(Table1[[#This Row],[5 cm2 cell test code]:[5 cm2 cell test code]],[1]!Table1[[Test code]:[Test code]],[1]!Table1[E @ 100 mA/cm2 10 mM KOH/V],"",0)</f>
        <v>#REF!</v>
      </c>
      <c r="AC1644" s="69" t="e" cm="1">
        <f t="array" ref="AC1644">_xlfn.XLOOKUP(Table1[[#This Row],[5 cm2 cell test code]:[5 cm2 cell test code]],[1]!Table1[[Test code]:[Test code]],[1]!Table1[Anode ICR/mOhm],"",0)</f>
        <v>#REF!</v>
      </c>
      <c r="AD1644" s="69" t="e" cm="1">
        <f t="array" ref="AD1644">_xlfn.XLOOKUP(Table1[[#This Row],[5 cm2 cell test code]:[5 cm2 cell test code]],[1]!Table1[[Test code]:[Test code]],[1]!Table1[HFR DIW/ mOhm cm2],"",0)</f>
        <v>#REF!</v>
      </c>
      <c r="AE1644" s="69" t="e" cm="1">
        <f t="array" ref="AE1644">_xlfn.XLOOKUP(Table1[[#This Row],[5 cm2 cell test code]:[5 cm2 cell test code]],[1]!Table1[[Test code]:[Test code]],[1]!Table1[HFR 10 mM KOH/ mOhm cm2],"",0)</f>
        <v>#REF!</v>
      </c>
      <c r="AF1644" s="69" t="e" cm="1">
        <f t="array" ref="AF1644">_xlfn.XLOOKUP(Table1[[#This Row],[5 cm2 cell test code]:[5 cm2 cell test code]],[1]!Table1[[Test code]:[Test code]],[1]!Table1[Ionic resistance DIW/Ohm cm2],"",0)</f>
        <v>#REF!</v>
      </c>
      <c r="AG1644" s="69" t="e" cm="1">
        <f t="array" ref="AG1644">_xlfn.XLOOKUP(Table1[[#This Row],[5 cm2 cell test code]:[5 cm2 cell test code]],[1]!Table1[[Test code]:[Test code]],[1]!Table1[Q_int_frac DIW],"",0)</f>
        <v>#REF!</v>
      </c>
      <c r="AH1644" s="69" t="e" cm="1">
        <f t="array" ref="AH1644">_xlfn.XLOOKUP(Table1[[#This Row],[5 cm2 cell test code]:[5 cm2 cell test code]],[1]!Table1[[Test code]:[Test code]],[1]!Table1[Ionic resistance 10 mM KOH/Ohm cm2],"",0)</f>
        <v>#REF!</v>
      </c>
      <c r="AI1644" s="69" t="e" cm="1">
        <f t="array" ref="AI1644">_xlfn.XLOOKUP(Table1[[#This Row],[5 cm2 cell test code]:[5 cm2 cell test code]],[1]!Table1[[Test code]:[Test code]],[1]!Table1[Q_int_frac DIW 10 mM KOH],"",0)</f>
        <v>#REF!</v>
      </c>
      <c r="AJ1644" s="69" t="e" cm="1">
        <f t="array" ref="AJ1644">_xlfn.XLOOKUP(Table1[[#This Row],[5 cm2 cell test code]:[5 cm2 cell test code]],[1]!Table1[[Test code]:[Test code]],[1]!Table1[DIW conductivity (µS/cm)],"",0)</f>
        <v>#REF!</v>
      </c>
    </row>
    <row r="1645" spans="1:36">
      <c r="A1645" s="81"/>
      <c r="U1645" s="101"/>
      <c r="V1645" s="101"/>
      <c r="W1645" s="69" t="e" cm="1">
        <f t="array" ref="W1645">_xlfn.XLOOKUP(Table1[[#This Row],[5 cm2 cell test code]:[5 cm2 cell test code]],[1]!Table1[[Test code]:[Test code]],[1]!Table1[i @ 1.8 V DIW (A/cm2)],"",0)</f>
        <v>#REF!</v>
      </c>
      <c r="X1645" s="69" t="e" cm="1">
        <f t="array" ref="X1645">_xlfn.XLOOKUP(Table1[[#This Row],[5 cm2 cell test code]:[5 cm2 cell test code]],[1]!Table1[[Test code]:[Test code]],[1]!Table1[i @ 1.8 V 10 mM KOH (A/cm2)],"",0)</f>
        <v>#REF!</v>
      </c>
      <c r="Y1645" s="69" t="e" cm="1">
        <f t="array" ref="Y1645">_xlfn.XLOOKUP(Table1[[#This Row],[5 cm2 cell test code]:[5 cm2 cell test code]],[1]!Table1[[Test code]:[Test code]],[1]!Table1[3-E ƞ at 20mAcm-2 (mV)],"",0)</f>
        <v>#REF!</v>
      </c>
      <c r="Z1645" s="69" t="e" cm="1">
        <f t="array" ref="Z1645">_xlfn.XLOOKUP(Table1[[#This Row],[5 cm2 cell test code]:[5 cm2 cell test code]],[1]!Table1[[Test code]:[Test code]],[1]!Table1[3-E Tafel slope (mV/dec)],"",0)</f>
        <v>#REF!</v>
      </c>
      <c r="AA1645" s="69" t="e" cm="1">
        <f t="array" ref="AA1645">_xlfn.XLOOKUP(Table1[[#This Row],[5 cm2 cell test code]:[5 cm2 cell test code]],[1]!Table1[[Test code]:[Test code]],[1]!Table1[E @ 100 mA/cm2 DIW/V],"",0)</f>
        <v>#REF!</v>
      </c>
      <c r="AB1645" s="69" t="e" cm="1">
        <f t="array" ref="AB1645">_xlfn.XLOOKUP(Table1[[#This Row],[5 cm2 cell test code]:[5 cm2 cell test code]],[1]!Table1[[Test code]:[Test code]],[1]!Table1[E @ 100 mA/cm2 10 mM KOH/V],"",0)</f>
        <v>#REF!</v>
      </c>
      <c r="AC1645" s="69" t="e" cm="1">
        <f t="array" ref="AC1645">_xlfn.XLOOKUP(Table1[[#This Row],[5 cm2 cell test code]:[5 cm2 cell test code]],[1]!Table1[[Test code]:[Test code]],[1]!Table1[Anode ICR/mOhm],"",0)</f>
        <v>#REF!</v>
      </c>
      <c r="AD1645" s="69" t="e" cm="1">
        <f t="array" ref="AD1645">_xlfn.XLOOKUP(Table1[[#This Row],[5 cm2 cell test code]:[5 cm2 cell test code]],[1]!Table1[[Test code]:[Test code]],[1]!Table1[HFR DIW/ mOhm cm2],"",0)</f>
        <v>#REF!</v>
      </c>
      <c r="AE1645" s="69" t="e" cm="1">
        <f t="array" ref="AE1645">_xlfn.XLOOKUP(Table1[[#This Row],[5 cm2 cell test code]:[5 cm2 cell test code]],[1]!Table1[[Test code]:[Test code]],[1]!Table1[HFR 10 mM KOH/ mOhm cm2],"",0)</f>
        <v>#REF!</v>
      </c>
      <c r="AF1645" s="69" t="e" cm="1">
        <f t="array" ref="AF1645">_xlfn.XLOOKUP(Table1[[#This Row],[5 cm2 cell test code]:[5 cm2 cell test code]],[1]!Table1[[Test code]:[Test code]],[1]!Table1[Ionic resistance DIW/Ohm cm2],"",0)</f>
        <v>#REF!</v>
      </c>
      <c r="AG1645" s="69" t="e" cm="1">
        <f t="array" ref="AG1645">_xlfn.XLOOKUP(Table1[[#This Row],[5 cm2 cell test code]:[5 cm2 cell test code]],[1]!Table1[[Test code]:[Test code]],[1]!Table1[Q_int_frac DIW],"",0)</f>
        <v>#REF!</v>
      </c>
      <c r="AH1645" s="69" t="e" cm="1">
        <f t="array" ref="AH1645">_xlfn.XLOOKUP(Table1[[#This Row],[5 cm2 cell test code]:[5 cm2 cell test code]],[1]!Table1[[Test code]:[Test code]],[1]!Table1[Ionic resistance 10 mM KOH/Ohm cm2],"",0)</f>
        <v>#REF!</v>
      </c>
      <c r="AI1645" s="69" t="e" cm="1">
        <f t="array" ref="AI1645">_xlfn.XLOOKUP(Table1[[#This Row],[5 cm2 cell test code]:[5 cm2 cell test code]],[1]!Table1[[Test code]:[Test code]],[1]!Table1[Q_int_frac DIW 10 mM KOH],"",0)</f>
        <v>#REF!</v>
      </c>
      <c r="AJ1645" s="69" t="e" cm="1">
        <f t="array" ref="AJ1645">_xlfn.XLOOKUP(Table1[[#This Row],[5 cm2 cell test code]:[5 cm2 cell test code]],[1]!Table1[[Test code]:[Test code]],[1]!Table1[DIW conductivity (µS/cm)],"",0)</f>
        <v>#REF!</v>
      </c>
    </row>
    <row r="1646" spans="1:36">
      <c r="A1646" s="81"/>
      <c r="U1646" s="101"/>
      <c r="V1646" s="101"/>
      <c r="W1646" s="69" t="e" cm="1">
        <f t="array" ref="W1646">_xlfn.XLOOKUP(Table1[[#This Row],[5 cm2 cell test code]:[5 cm2 cell test code]],[1]!Table1[[Test code]:[Test code]],[1]!Table1[i @ 1.8 V DIW (A/cm2)],"",0)</f>
        <v>#REF!</v>
      </c>
      <c r="X1646" s="69" t="e" cm="1">
        <f t="array" ref="X1646">_xlfn.XLOOKUP(Table1[[#This Row],[5 cm2 cell test code]:[5 cm2 cell test code]],[1]!Table1[[Test code]:[Test code]],[1]!Table1[i @ 1.8 V 10 mM KOH (A/cm2)],"",0)</f>
        <v>#REF!</v>
      </c>
      <c r="Y1646" s="69" t="e" cm="1">
        <f t="array" ref="Y1646">_xlfn.XLOOKUP(Table1[[#This Row],[5 cm2 cell test code]:[5 cm2 cell test code]],[1]!Table1[[Test code]:[Test code]],[1]!Table1[3-E ƞ at 20mAcm-2 (mV)],"",0)</f>
        <v>#REF!</v>
      </c>
      <c r="Z1646" s="69" t="e" cm="1">
        <f t="array" ref="Z1646">_xlfn.XLOOKUP(Table1[[#This Row],[5 cm2 cell test code]:[5 cm2 cell test code]],[1]!Table1[[Test code]:[Test code]],[1]!Table1[3-E Tafel slope (mV/dec)],"",0)</f>
        <v>#REF!</v>
      </c>
      <c r="AA1646" s="69" t="e" cm="1">
        <f t="array" ref="AA1646">_xlfn.XLOOKUP(Table1[[#This Row],[5 cm2 cell test code]:[5 cm2 cell test code]],[1]!Table1[[Test code]:[Test code]],[1]!Table1[E @ 100 mA/cm2 DIW/V],"",0)</f>
        <v>#REF!</v>
      </c>
      <c r="AB1646" s="69" t="e" cm="1">
        <f t="array" ref="AB1646">_xlfn.XLOOKUP(Table1[[#This Row],[5 cm2 cell test code]:[5 cm2 cell test code]],[1]!Table1[[Test code]:[Test code]],[1]!Table1[E @ 100 mA/cm2 10 mM KOH/V],"",0)</f>
        <v>#REF!</v>
      </c>
      <c r="AC1646" s="69" t="e" cm="1">
        <f t="array" ref="AC1646">_xlfn.XLOOKUP(Table1[[#This Row],[5 cm2 cell test code]:[5 cm2 cell test code]],[1]!Table1[[Test code]:[Test code]],[1]!Table1[Anode ICR/mOhm],"",0)</f>
        <v>#REF!</v>
      </c>
      <c r="AD1646" s="69" t="e" cm="1">
        <f t="array" ref="AD1646">_xlfn.XLOOKUP(Table1[[#This Row],[5 cm2 cell test code]:[5 cm2 cell test code]],[1]!Table1[[Test code]:[Test code]],[1]!Table1[HFR DIW/ mOhm cm2],"",0)</f>
        <v>#REF!</v>
      </c>
      <c r="AE1646" s="69" t="e" cm="1">
        <f t="array" ref="AE1646">_xlfn.XLOOKUP(Table1[[#This Row],[5 cm2 cell test code]:[5 cm2 cell test code]],[1]!Table1[[Test code]:[Test code]],[1]!Table1[HFR 10 mM KOH/ mOhm cm2],"",0)</f>
        <v>#REF!</v>
      </c>
      <c r="AF1646" s="69" t="e" cm="1">
        <f t="array" ref="AF1646">_xlfn.XLOOKUP(Table1[[#This Row],[5 cm2 cell test code]:[5 cm2 cell test code]],[1]!Table1[[Test code]:[Test code]],[1]!Table1[Ionic resistance DIW/Ohm cm2],"",0)</f>
        <v>#REF!</v>
      </c>
      <c r="AG1646" s="69" t="e" cm="1">
        <f t="array" ref="AG1646">_xlfn.XLOOKUP(Table1[[#This Row],[5 cm2 cell test code]:[5 cm2 cell test code]],[1]!Table1[[Test code]:[Test code]],[1]!Table1[Q_int_frac DIW],"",0)</f>
        <v>#REF!</v>
      </c>
      <c r="AH1646" s="69" t="e" cm="1">
        <f t="array" ref="AH1646">_xlfn.XLOOKUP(Table1[[#This Row],[5 cm2 cell test code]:[5 cm2 cell test code]],[1]!Table1[[Test code]:[Test code]],[1]!Table1[Ionic resistance 10 mM KOH/Ohm cm2],"",0)</f>
        <v>#REF!</v>
      </c>
      <c r="AI1646" s="69" t="e" cm="1">
        <f t="array" ref="AI1646">_xlfn.XLOOKUP(Table1[[#This Row],[5 cm2 cell test code]:[5 cm2 cell test code]],[1]!Table1[[Test code]:[Test code]],[1]!Table1[Q_int_frac DIW 10 mM KOH],"",0)</f>
        <v>#REF!</v>
      </c>
      <c r="AJ1646" s="69" t="e" cm="1">
        <f t="array" ref="AJ1646">_xlfn.XLOOKUP(Table1[[#This Row],[5 cm2 cell test code]:[5 cm2 cell test code]],[1]!Table1[[Test code]:[Test code]],[1]!Table1[DIW conductivity (µS/cm)],"",0)</f>
        <v>#REF!</v>
      </c>
    </row>
    <row r="1647" spans="1:36">
      <c r="A1647" s="81"/>
      <c r="U1647" s="101"/>
      <c r="V1647" s="101"/>
      <c r="W1647" s="69" t="e" cm="1">
        <f t="array" ref="W1647">_xlfn.XLOOKUP(Table1[[#This Row],[5 cm2 cell test code]:[5 cm2 cell test code]],[1]!Table1[[Test code]:[Test code]],[1]!Table1[i @ 1.8 V DIW (A/cm2)],"",0)</f>
        <v>#REF!</v>
      </c>
      <c r="X1647" s="69" t="e" cm="1">
        <f t="array" ref="X1647">_xlfn.XLOOKUP(Table1[[#This Row],[5 cm2 cell test code]:[5 cm2 cell test code]],[1]!Table1[[Test code]:[Test code]],[1]!Table1[i @ 1.8 V 10 mM KOH (A/cm2)],"",0)</f>
        <v>#REF!</v>
      </c>
      <c r="Y1647" s="69" t="e" cm="1">
        <f t="array" ref="Y1647">_xlfn.XLOOKUP(Table1[[#This Row],[5 cm2 cell test code]:[5 cm2 cell test code]],[1]!Table1[[Test code]:[Test code]],[1]!Table1[3-E ƞ at 20mAcm-2 (mV)],"",0)</f>
        <v>#REF!</v>
      </c>
      <c r="Z1647" s="69" t="e" cm="1">
        <f t="array" ref="Z1647">_xlfn.XLOOKUP(Table1[[#This Row],[5 cm2 cell test code]:[5 cm2 cell test code]],[1]!Table1[[Test code]:[Test code]],[1]!Table1[3-E Tafel slope (mV/dec)],"",0)</f>
        <v>#REF!</v>
      </c>
      <c r="AA1647" s="69" t="e" cm="1">
        <f t="array" ref="AA1647">_xlfn.XLOOKUP(Table1[[#This Row],[5 cm2 cell test code]:[5 cm2 cell test code]],[1]!Table1[[Test code]:[Test code]],[1]!Table1[E @ 100 mA/cm2 DIW/V],"",0)</f>
        <v>#REF!</v>
      </c>
      <c r="AB1647" s="69" t="e" cm="1">
        <f t="array" ref="AB1647">_xlfn.XLOOKUP(Table1[[#This Row],[5 cm2 cell test code]:[5 cm2 cell test code]],[1]!Table1[[Test code]:[Test code]],[1]!Table1[E @ 100 mA/cm2 10 mM KOH/V],"",0)</f>
        <v>#REF!</v>
      </c>
      <c r="AC1647" s="69" t="e" cm="1">
        <f t="array" ref="AC1647">_xlfn.XLOOKUP(Table1[[#This Row],[5 cm2 cell test code]:[5 cm2 cell test code]],[1]!Table1[[Test code]:[Test code]],[1]!Table1[Anode ICR/mOhm],"",0)</f>
        <v>#REF!</v>
      </c>
      <c r="AD1647" s="69" t="e" cm="1">
        <f t="array" ref="AD1647">_xlfn.XLOOKUP(Table1[[#This Row],[5 cm2 cell test code]:[5 cm2 cell test code]],[1]!Table1[[Test code]:[Test code]],[1]!Table1[HFR DIW/ mOhm cm2],"",0)</f>
        <v>#REF!</v>
      </c>
      <c r="AE1647" s="69" t="e" cm="1">
        <f t="array" ref="AE1647">_xlfn.XLOOKUP(Table1[[#This Row],[5 cm2 cell test code]:[5 cm2 cell test code]],[1]!Table1[[Test code]:[Test code]],[1]!Table1[HFR 10 mM KOH/ mOhm cm2],"",0)</f>
        <v>#REF!</v>
      </c>
      <c r="AF1647" s="69" t="e" cm="1">
        <f t="array" ref="AF1647">_xlfn.XLOOKUP(Table1[[#This Row],[5 cm2 cell test code]:[5 cm2 cell test code]],[1]!Table1[[Test code]:[Test code]],[1]!Table1[Ionic resistance DIW/Ohm cm2],"",0)</f>
        <v>#REF!</v>
      </c>
      <c r="AG1647" s="69" t="e" cm="1">
        <f t="array" ref="AG1647">_xlfn.XLOOKUP(Table1[[#This Row],[5 cm2 cell test code]:[5 cm2 cell test code]],[1]!Table1[[Test code]:[Test code]],[1]!Table1[Q_int_frac DIW],"",0)</f>
        <v>#REF!</v>
      </c>
      <c r="AH1647" s="69" t="e" cm="1">
        <f t="array" ref="AH1647">_xlfn.XLOOKUP(Table1[[#This Row],[5 cm2 cell test code]:[5 cm2 cell test code]],[1]!Table1[[Test code]:[Test code]],[1]!Table1[Ionic resistance 10 mM KOH/Ohm cm2],"",0)</f>
        <v>#REF!</v>
      </c>
      <c r="AI1647" s="69" t="e" cm="1">
        <f t="array" ref="AI1647">_xlfn.XLOOKUP(Table1[[#This Row],[5 cm2 cell test code]:[5 cm2 cell test code]],[1]!Table1[[Test code]:[Test code]],[1]!Table1[Q_int_frac DIW 10 mM KOH],"",0)</f>
        <v>#REF!</v>
      </c>
      <c r="AJ1647" s="69" t="e" cm="1">
        <f t="array" ref="AJ1647">_xlfn.XLOOKUP(Table1[[#This Row],[5 cm2 cell test code]:[5 cm2 cell test code]],[1]!Table1[[Test code]:[Test code]],[1]!Table1[DIW conductivity (µS/cm)],"",0)</f>
        <v>#REF!</v>
      </c>
    </row>
    <row r="1648" spans="1:36">
      <c r="A1648" s="81"/>
      <c r="U1648" s="101"/>
      <c r="V1648" s="101"/>
      <c r="W1648" s="69" t="e" cm="1">
        <f t="array" ref="W1648">_xlfn.XLOOKUP(Table1[[#This Row],[5 cm2 cell test code]:[5 cm2 cell test code]],[1]!Table1[[Test code]:[Test code]],[1]!Table1[i @ 1.8 V DIW (A/cm2)],"",0)</f>
        <v>#REF!</v>
      </c>
      <c r="X1648" s="69" t="e" cm="1">
        <f t="array" ref="X1648">_xlfn.XLOOKUP(Table1[[#This Row],[5 cm2 cell test code]:[5 cm2 cell test code]],[1]!Table1[[Test code]:[Test code]],[1]!Table1[i @ 1.8 V 10 mM KOH (A/cm2)],"",0)</f>
        <v>#REF!</v>
      </c>
      <c r="Y1648" s="69" t="e" cm="1">
        <f t="array" ref="Y1648">_xlfn.XLOOKUP(Table1[[#This Row],[5 cm2 cell test code]:[5 cm2 cell test code]],[1]!Table1[[Test code]:[Test code]],[1]!Table1[3-E ƞ at 20mAcm-2 (mV)],"",0)</f>
        <v>#REF!</v>
      </c>
      <c r="Z1648" s="69" t="e" cm="1">
        <f t="array" ref="Z1648">_xlfn.XLOOKUP(Table1[[#This Row],[5 cm2 cell test code]:[5 cm2 cell test code]],[1]!Table1[[Test code]:[Test code]],[1]!Table1[3-E Tafel slope (mV/dec)],"",0)</f>
        <v>#REF!</v>
      </c>
      <c r="AA1648" s="69" t="e" cm="1">
        <f t="array" ref="AA1648">_xlfn.XLOOKUP(Table1[[#This Row],[5 cm2 cell test code]:[5 cm2 cell test code]],[1]!Table1[[Test code]:[Test code]],[1]!Table1[E @ 100 mA/cm2 DIW/V],"",0)</f>
        <v>#REF!</v>
      </c>
      <c r="AB1648" s="69" t="e" cm="1">
        <f t="array" ref="AB1648">_xlfn.XLOOKUP(Table1[[#This Row],[5 cm2 cell test code]:[5 cm2 cell test code]],[1]!Table1[[Test code]:[Test code]],[1]!Table1[E @ 100 mA/cm2 10 mM KOH/V],"",0)</f>
        <v>#REF!</v>
      </c>
      <c r="AC1648" s="69" t="e" cm="1">
        <f t="array" ref="AC1648">_xlfn.XLOOKUP(Table1[[#This Row],[5 cm2 cell test code]:[5 cm2 cell test code]],[1]!Table1[[Test code]:[Test code]],[1]!Table1[Anode ICR/mOhm],"",0)</f>
        <v>#REF!</v>
      </c>
      <c r="AD1648" s="69" t="e" cm="1">
        <f t="array" ref="AD1648">_xlfn.XLOOKUP(Table1[[#This Row],[5 cm2 cell test code]:[5 cm2 cell test code]],[1]!Table1[[Test code]:[Test code]],[1]!Table1[HFR DIW/ mOhm cm2],"",0)</f>
        <v>#REF!</v>
      </c>
      <c r="AE1648" s="69" t="e" cm="1">
        <f t="array" ref="AE1648">_xlfn.XLOOKUP(Table1[[#This Row],[5 cm2 cell test code]:[5 cm2 cell test code]],[1]!Table1[[Test code]:[Test code]],[1]!Table1[HFR 10 mM KOH/ mOhm cm2],"",0)</f>
        <v>#REF!</v>
      </c>
      <c r="AF1648" s="69" t="e" cm="1">
        <f t="array" ref="AF1648">_xlfn.XLOOKUP(Table1[[#This Row],[5 cm2 cell test code]:[5 cm2 cell test code]],[1]!Table1[[Test code]:[Test code]],[1]!Table1[Ionic resistance DIW/Ohm cm2],"",0)</f>
        <v>#REF!</v>
      </c>
      <c r="AG1648" s="69" t="e" cm="1">
        <f t="array" ref="AG1648">_xlfn.XLOOKUP(Table1[[#This Row],[5 cm2 cell test code]:[5 cm2 cell test code]],[1]!Table1[[Test code]:[Test code]],[1]!Table1[Q_int_frac DIW],"",0)</f>
        <v>#REF!</v>
      </c>
      <c r="AH1648" s="69" t="e" cm="1">
        <f t="array" ref="AH1648">_xlfn.XLOOKUP(Table1[[#This Row],[5 cm2 cell test code]:[5 cm2 cell test code]],[1]!Table1[[Test code]:[Test code]],[1]!Table1[Ionic resistance 10 mM KOH/Ohm cm2],"",0)</f>
        <v>#REF!</v>
      </c>
      <c r="AI1648" s="69" t="e" cm="1">
        <f t="array" ref="AI1648">_xlfn.XLOOKUP(Table1[[#This Row],[5 cm2 cell test code]:[5 cm2 cell test code]],[1]!Table1[[Test code]:[Test code]],[1]!Table1[Q_int_frac DIW 10 mM KOH],"",0)</f>
        <v>#REF!</v>
      </c>
      <c r="AJ1648" s="69" t="e" cm="1">
        <f t="array" ref="AJ1648">_xlfn.XLOOKUP(Table1[[#This Row],[5 cm2 cell test code]:[5 cm2 cell test code]],[1]!Table1[[Test code]:[Test code]],[1]!Table1[DIW conductivity (µS/cm)],"",0)</f>
        <v>#REF!</v>
      </c>
    </row>
    <row r="1649" spans="1:36">
      <c r="A1649" s="81"/>
      <c r="U1649" s="101"/>
      <c r="V1649" s="101"/>
      <c r="W1649" s="69" t="e" cm="1">
        <f t="array" ref="W1649">_xlfn.XLOOKUP(Table1[[#This Row],[5 cm2 cell test code]:[5 cm2 cell test code]],[1]!Table1[[Test code]:[Test code]],[1]!Table1[i @ 1.8 V DIW (A/cm2)],"",0)</f>
        <v>#REF!</v>
      </c>
      <c r="X1649" s="69" t="e" cm="1">
        <f t="array" ref="X1649">_xlfn.XLOOKUP(Table1[[#This Row],[5 cm2 cell test code]:[5 cm2 cell test code]],[1]!Table1[[Test code]:[Test code]],[1]!Table1[i @ 1.8 V 10 mM KOH (A/cm2)],"",0)</f>
        <v>#REF!</v>
      </c>
      <c r="Y1649" s="69" t="e" cm="1">
        <f t="array" ref="Y1649">_xlfn.XLOOKUP(Table1[[#This Row],[5 cm2 cell test code]:[5 cm2 cell test code]],[1]!Table1[[Test code]:[Test code]],[1]!Table1[3-E ƞ at 20mAcm-2 (mV)],"",0)</f>
        <v>#REF!</v>
      </c>
      <c r="Z1649" s="69" t="e" cm="1">
        <f t="array" ref="Z1649">_xlfn.XLOOKUP(Table1[[#This Row],[5 cm2 cell test code]:[5 cm2 cell test code]],[1]!Table1[[Test code]:[Test code]],[1]!Table1[3-E Tafel slope (mV/dec)],"",0)</f>
        <v>#REF!</v>
      </c>
      <c r="AA1649" s="69" t="e" cm="1">
        <f t="array" ref="AA1649">_xlfn.XLOOKUP(Table1[[#This Row],[5 cm2 cell test code]:[5 cm2 cell test code]],[1]!Table1[[Test code]:[Test code]],[1]!Table1[E @ 100 mA/cm2 DIW/V],"",0)</f>
        <v>#REF!</v>
      </c>
      <c r="AB1649" s="69" t="e" cm="1">
        <f t="array" ref="AB1649">_xlfn.XLOOKUP(Table1[[#This Row],[5 cm2 cell test code]:[5 cm2 cell test code]],[1]!Table1[[Test code]:[Test code]],[1]!Table1[E @ 100 mA/cm2 10 mM KOH/V],"",0)</f>
        <v>#REF!</v>
      </c>
      <c r="AC1649" s="69" t="e" cm="1">
        <f t="array" ref="AC1649">_xlfn.XLOOKUP(Table1[[#This Row],[5 cm2 cell test code]:[5 cm2 cell test code]],[1]!Table1[[Test code]:[Test code]],[1]!Table1[Anode ICR/mOhm],"",0)</f>
        <v>#REF!</v>
      </c>
      <c r="AD1649" s="69" t="e" cm="1">
        <f t="array" ref="AD1649">_xlfn.XLOOKUP(Table1[[#This Row],[5 cm2 cell test code]:[5 cm2 cell test code]],[1]!Table1[[Test code]:[Test code]],[1]!Table1[HFR DIW/ mOhm cm2],"",0)</f>
        <v>#REF!</v>
      </c>
      <c r="AE1649" s="69" t="e" cm="1">
        <f t="array" ref="AE1649">_xlfn.XLOOKUP(Table1[[#This Row],[5 cm2 cell test code]:[5 cm2 cell test code]],[1]!Table1[[Test code]:[Test code]],[1]!Table1[HFR 10 mM KOH/ mOhm cm2],"",0)</f>
        <v>#REF!</v>
      </c>
      <c r="AF1649" s="69" t="e" cm="1">
        <f t="array" ref="AF1649">_xlfn.XLOOKUP(Table1[[#This Row],[5 cm2 cell test code]:[5 cm2 cell test code]],[1]!Table1[[Test code]:[Test code]],[1]!Table1[Ionic resistance DIW/Ohm cm2],"",0)</f>
        <v>#REF!</v>
      </c>
      <c r="AG1649" s="69" t="e" cm="1">
        <f t="array" ref="AG1649">_xlfn.XLOOKUP(Table1[[#This Row],[5 cm2 cell test code]:[5 cm2 cell test code]],[1]!Table1[[Test code]:[Test code]],[1]!Table1[Q_int_frac DIW],"",0)</f>
        <v>#REF!</v>
      </c>
      <c r="AH1649" s="69" t="e" cm="1">
        <f t="array" ref="AH1649">_xlfn.XLOOKUP(Table1[[#This Row],[5 cm2 cell test code]:[5 cm2 cell test code]],[1]!Table1[[Test code]:[Test code]],[1]!Table1[Ionic resistance 10 mM KOH/Ohm cm2],"",0)</f>
        <v>#REF!</v>
      </c>
      <c r="AI1649" s="69" t="e" cm="1">
        <f t="array" ref="AI1649">_xlfn.XLOOKUP(Table1[[#This Row],[5 cm2 cell test code]:[5 cm2 cell test code]],[1]!Table1[[Test code]:[Test code]],[1]!Table1[Q_int_frac DIW 10 mM KOH],"",0)</f>
        <v>#REF!</v>
      </c>
      <c r="AJ1649" s="69" t="e" cm="1">
        <f t="array" ref="AJ1649">_xlfn.XLOOKUP(Table1[[#This Row],[5 cm2 cell test code]:[5 cm2 cell test code]],[1]!Table1[[Test code]:[Test code]],[1]!Table1[DIW conductivity (µS/cm)],"",0)</f>
        <v>#REF!</v>
      </c>
    </row>
    <row r="1650" spans="1:36">
      <c r="A1650" s="81"/>
      <c r="U1650" s="101"/>
      <c r="V1650" s="101"/>
      <c r="W1650" s="69" t="e" cm="1">
        <f t="array" ref="W1650">_xlfn.XLOOKUP(Table1[[#This Row],[5 cm2 cell test code]:[5 cm2 cell test code]],[1]!Table1[[Test code]:[Test code]],[1]!Table1[i @ 1.8 V DIW (A/cm2)],"",0)</f>
        <v>#REF!</v>
      </c>
      <c r="X1650" s="69" t="e" cm="1">
        <f t="array" ref="X1650">_xlfn.XLOOKUP(Table1[[#This Row],[5 cm2 cell test code]:[5 cm2 cell test code]],[1]!Table1[[Test code]:[Test code]],[1]!Table1[i @ 1.8 V 10 mM KOH (A/cm2)],"",0)</f>
        <v>#REF!</v>
      </c>
      <c r="Y1650" s="69" t="e" cm="1">
        <f t="array" ref="Y1650">_xlfn.XLOOKUP(Table1[[#This Row],[5 cm2 cell test code]:[5 cm2 cell test code]],[1]!Table1[[Test code]:[Test code]],[1]!Table1[3-E ƞ at 20mAcm-2 (mV)],"",0)</f>
        <v>#REF!</v>
      </c>
      <c r="Z1650" s="69" t="e" cm="1">
        <f t="array" ref="Z1650">_xlfn.XLOOKUP(Table1[[#This Row],[5 cm2 cell test code]:[5 cm2 cell test code]],[1]!Table1[[Test code]:[Test code]],[1]!Table1[3-E Tafel slope (mV/dec)],"",0)</f>
        <v>#REF!</v>
      </c>
      <c r="AA1650" s="69" t="e" cm="1">
        <f t="array" ref="AA1650">_xlfn.XLOOKUP(Table1[[#This Row],[5 cm2 cell test code]:[5 cm2 cell test code]],[1]!Table1[[Test code]:[Test code]],[1]!Table1[E @ 100 mA/cm2 DIW/V],"",0)</f>
        <v>#REF!</v>
      </c>
      <c r="AB1650" s="69" t="e" cm="1">
        <f t="array" ref="AB1650">_xlfn.XLOOKUP(Table1[[#This Row],[5 cm2 cell test code]:[5 cm2 cell test code]],[1]!Table1[[Test code]:[Test code]],[1]!Table1[E @ 100 mA/cm2 10 mM KOH/V],"",0)</f>
        <v>#REF!</v>
      </c>
      <c r="AC1650" s="69" t="e" cm="1">
        <f t="array" ref="AC1650">_xlfn.XLOOKUP(Table1[[#This Row],[5 cm2 cell test code]:[5 cm2 cell test code]],[1]!Table1[[Test code]:[Test code]],[1]!Table1[Anode ICR/mOhm],"",0)</f>
        <v>#REF!</v>
      </c>
      <c r="AD1650" s="69" t="e" cm="1">
        <f t="array" ref="AD1650">_xlfn.XLOOKUP(Table1[[#This Row],[5 cm2 cell test code]:[5 cm2 cell test code]],[1]!Table1[[Test code]:[Test code]],[1]!Table1[HFR DIW/ mOhm cm2],"",0)</f>
        <v>#REF!</v>
      </c>
      <c r="AE1650" s="69" t="e" cm="1">
        <f t="array" ref="AE1650">_xlfn.XLOOKUP(Table1[[#This Row],[5 cm2 cell test code]:[5 cm2 cell test code]],[1]!Table1[[Test code]:[Test code]],[1]!Table1[HFR 10 mM KOH/ mOhm cm2],"",0)</f>
        <v>#REF!</v>
      </c>
      <c r="AF1650" s="69" t="e" cm="1">
        <f t="array" ref="AF1650">_xlfn.XLOOKUP(Table1[[#This Row],[5 cm2 cell test code]:[5 cm2 cell test code]],[1]!Table1[[Test code]:[Test code]],[1]!Table1[Ionic resistance DIW/Ohm cm2],"",0)</f>
        <v>#REF!</v>
      </c>
      <c r="AG1650" s="69" t="e" cm="1">
        <f t="array" ref="AG1650">_xlfn.XLOOKUP(Table1[[#This Row],[5 cm2 cell test code]:[5 cm2 cell test code]],[1]!Table1[[Test code]:[Test code]],[1]!Table1[Q_int_frac DIW],"",0)</f>
        <v>#REF!</v>
      </c>
      <c r="AH1650" s="69" t="e" cm="1">
        <f t="array" ref="AH1650">_xlfn.XLOOKUP(Table1[[#This Row],[5 cm2 cell test code]:[5 cm2 cell test code]],[1]!Table1[[Test code]:[Test code]],[1]!Table1[Ionic resistance 10 mM KOH/Ohm cm2],"",0)</f>
        <v>#REF!</v>
      </c>
      <c r="AI1650" s="69" t="e" cm="1">
        <f t="array" ref="AI1650">_xlfn.XLOOKUP(Table1[[#This Row],[5 cm2 cell test code]:[5 cm2 cell test code]],[1]!Table1[[Test code]:[Test code]],[1]!Table1[Q_int_frac DIW 10 mM KOH],"",0)</f>
        <v>#REF!</v>
      </c>
      <c r="AJ1650" s="69" t="e" cm="1">
        <f t="array" ref="AJ1650">_xlfn.XLOOKUP(Table1[[#This Row],[5 cm2 cell test code]:[5 cm2 cell test code]],[1]!Table1[[Test code]:[Test code]],[1]!Table1[DIW conductivity (µS/cm)],"",0)</f>
        <v>#REF!</v>
      </c>
    </row>
    <row r="1651" spans="1:36">
      <c r="A1651" s="81"/>
      <c r="U1651" s="101"/>
      <c r="V1651" s="101"/>
      <c r="W1651" s="69" t="e" cm="1">
        <f t="array" ref="W1651">_xlfn.XLOOKUP(Table1[[#This Row],[5 cm2 cell test code]:[5 cm2 cell test code]],[1]!Table1[[Test code]:[Test code]],[1]!Table1[i @ 1.8 V DIW (A/cm2)],"",0)</f>
        <v>#REF!</v>
      </c>
      <c r="X1651" s="69" t="e" cm="1">
        <f t="array" ref="X1651">_xlfn.XLOOKUP(Table1[[#This Row],[5 cm2 cell test code]:[5 cm2 cell test code]],[1]!Table1[[Test code]:[Test code]],[1]!Table1[i @ 1.8 V 10 mM KOH (A/cm2)],"",0)</f>
        <v>#REF!</v>
      </c>
      <c r="Y1651" s="69" t="e" cm="1">
        <f t="array" ref="Y1651">_xlfn.XLOOKUP(Table1[[#This Row],[5 cm2 cell test code]:[5 cm2 cell test code]],[1]!Table1[[Test code]:[Test code]],[1]!Table1[3-E ƞ at 20mAcm-2 (mV)],"",0)</f>
        <v>#REF!</v>
      </c>
      <c r="Z1651" s="69" t="e" cm="1">
        <f t="array" ref="Z1651">_xlfn.XLOOKUP(Table1[[#This Row],[5 cm2 cell test code]:[5 cm2 cell test code]],[1]!Table1[[Test code]:[Test code]],[1]!Table1[3-E Tafel slope (mV/dec)],"",0)</f>
        <v>#REF!</v>
      </c>
      <c r="AA1651" s="69" t="e" cm="1">
        <f t="array" ref="AA1651">_xlfn.XLOOKUP(Table1[[#This Row],[5 cm2 cell test code]:[5 cm2 cell test code]],[1]!Table1[[Test code]:[Test code]],[1]!Table1[E @ 100 mA/cm2 DIW/V],"",0)</f>
        <v>#REF!</v>
      </c>
      <c r="AB1651" s="69" t="e" cm="1">
        <f t="array" ref="AB1651">_xlfn.XLOOKUP(Table1[[#This Row],[5 cm2 cell test code]:[5 cm2 cell test code]],[1]!Table1[[Test code]:[Test code]],[1]!Table1[E @ 100 mA/cm2 10 mM KOH/V],"",0)</f>
        <v>#REF!</v>
      </c>
      <c r="AC1651" s="69" t="e" cm="1">
        <f t="array" ref="AC1651">_xlfn.XLOOKUP(Table1[[#This Row],[5 cm2 cell test code]:[5 cm2 cell test code]],[1]!Table1[[Test code]:[Test code]],[1]!Table1[Anode ICR/mOhm],"",0)</f>
        <v>#REF!</v>
      </c>
      <c r="AD1651" s="69" t="e" cm="1">
        <f t="array" ref="AD1651">_xlfn.XLOOKUP(Table1[[#This Row],[5 cm2 cell test code]:[5 cm2 cell test code]],[1]!Table1[[Test code]:[Test code]],[1]!Table1[HFR DIW/ mOhm cm2],"",0)</f>
        <v>#REF!</v>
      </c>
      <c r="AE1651" s="69" t="e" cm="1">
        <f t="array" ref="AE1651">_xlfn.XLOOKUP(Table1[[#This Row],[5 cm2 cell test code]:[5 cm2 cell test code]],[1]!Table1[[Test code]:[Test code]],[1]!Table1[HFR 10 mM KOH/ mOhm cm2],"",0)</f>
        <v>#REF!</v>
      </c>
      <c r="AF1651" s="69" t="e" cm="1">
        <f t="array" ref="AF1651">_xlfn.XLOOKUP(Table1[[#This Row],[5 cm2 cell test code]:[5 cm2 cell test code]],[1]!Table1[[Test code]:[Test code]],[1]!Table1[Ionic resistance DIW/Ohm cm2],"",0)</f>
        <v>#REF!</v>
      </c>
      <c r="AG1651" s="69" t="e" cm="1">
        <f t="array" ref="AG1651">_xlfn.XLOOKUP(Table1[[#This Row],[5 cm2 cell test code]:[5 cm2 cell test code]],[1]!Table1[[Test code]:[Test code]],[1]!Table1[Q_int_frac DIW],"",0)</f>
        <v>#REF!</v>
      </c>
      <c r="AH1651" s="69" t="e" cm="1">
        <f t="array" ref="AH1651">_xlfn.XLOOKUP(Table1[[#This Row],[5 cm2 cell test code]:[5 cm2 cell test code]],[1]!Table1[[Test code]:[Test code]],[1]!Table1[Ionic resistance 10 mM KOH/Ohm cm2],"",0)</f>
        <v>#REF!</v>
      </c>
      <c r="AI1651" s="69" t="e" cm="1">
        <f t="array" ref="AI1651">_xlfn.XLOOKUP(Table1[[#This Row],[5 cm2 cell test code]:[5 cm2 cell test code]],[1]!Table1[[Test code]:[Test code]],[1]!Table1[Q_int_frac DIW 10 mM KOH],"",0)</f>
        <v>#REF!</v>
      </c>
      <c r="AJ1651" s="69" t="e" cm="1">
        <f t="array" ref="AJ1651">_xlfn.XLOOKUP(Table1[[#This Row],[5 cm2 cell test code]:[5 cm2 cell test code]],[1]!Table1[[Test code]:[Test code]],[1]!Table1[DIW conductivity (µS/cm)],"",0)</f>
        <v>#REF!</v>
      </c>
    </row>
    <row r="1652" spans="1:36">
      <c r="A1652" s="81"/>
      <c r="U1652" s="101"/>
      <c r="V1652" s="101"/>
      <c r="W1652" s="69" t="e" cm="1">
        <f t="array" ref="W1652">_xlfn.XLOOKUP(Table1[[#This Row],[5 cm2 cell test code]:[5 cm2 cell test code]],[1]!Table1[[Test code]:[Test code]],[1]!Table1[i @ 1.8 V DIW (A/cm2)],"",0)</f>
        <v>#REF!</v>
      </c>
      <c r="X1652" s="69" t="e" cm="1">
        <f t="array" ref="X1652">_xlfn.XLOOKUP(Table1[[#This Row],[5 cm2 cell test code]:[5 cm2 cell test code]],[1]!Table1[[Test code]:[Test code]],[1]!Table1[i @ 1.8 V 10 mM KOH (A/cm2)],"",0)</f>
        <v>#REF!</v>
      </c>
      <c r="Y1652" s="69" t="e" cm="1">
        <f t="array" ref="Y1652">_xlfn.XLOOKUP(Table1[[#This Row],[5 cm2 cell test code]:[5 cm2 cell test code]],[1]!Table1[[Test code]:[Test code]],[1]!Table1[3-E ƞ at 20mAcm-2 (mV)],"",0)</f>
        <v>#REF!</v>
      </c>
      <c r="Z1652" s="69" t="e" cm="1">
        <f t="array" ref="Z1652">_xlfn.XLOOKUP(Table1[[#This Row],[5 cm2 cell test code]:[5 cm2 cell test code]],[1]!Table1[[Test code]:[Test code]],[1]!Table1[3-E Tafel slope (mV/dec)],"",0)</f>
        <v>#REF!</v>
      </c>
      <c r="AA1652" s="69" t="e" cm="1">
        <f t="array" ref="AA1652">_xlfn.XLOOKUP(Table1[[#This Row],[5 cm2 cell test code]:[5 cm2 cell test code]],[1]!Table1[[Test code]:[Test code]],[1]!Table1[E @ 100 mA/cm2 DIW/V],"",0)</f>
        <v>#REF!</v>
      </c>
      <c r="AB1652" s="69" t="e" cm="1">
        <f t="array" ref="AB1652">_xlfn.XLOOKUP(Table1[[#This Row],[5 cm2 cell test code]:[5 cm2 cell test code]],[1]!Table1[[Test code]:[Test code]],[1]!Table1[E @ 100 mA/cm2 10 mM KOH/V],"",0)</f>
        <v>#REF!</v>
      </c>
      <c r="AC1652" s="69" t="e" cm="1">
        <f t="array" ref="AC1652">_xlfn.XLOOKUP(Table1[[#This Row],[5 cm2 cell test code]:[5 cm2 cell test code]],[1]!Table1[[Test code]:[Test code]],[1]!Table1[Anode ICR/mOhm],"",0)</f>
        <v>#REF!</v>
      </c>
      <c r="AD1652" s="69" t="e" cm="1">
        <f t="array" ref="AD1652">_xlfn.XLOOKUP(Table1[[#This Row],[5 cm2 cell test code]:[5 cm2 cell test code]],[1]!Table1[[Test code]:[Test code]],[1]!Table1[HFR DIW/ mOhm cm2],"",0)</f>
        <v>#REF!</v>
      </c>
      <c r="AE1652" s="69" t="e" cm="1">
        <f t="array" ref="AE1652">_xlfn.XLOOKUP(Table1[[#This Row],[5 cm2 cell test code]:[5 cm2 cell test code]],[1]!Table1[[Test code]:[Test code]],[1]!Table1[HFR 10 mM KOH/ mOhm cm2],"",0)</f>
        <v>#REF!</v>
      </c>
      <c r="AF1652" s="69" t="e" cm="1">
        <f t="array" ref="AF1652">_xlfn.XLOOKUP(Table1[[#This Row],[5 cm2 cell test code]:[5 cm2 cell test code]],[1]!Table1[[Test code]:[Test code]],[1]!Table1[Ionic resistance DIW/Ohm cm2],"",0)</f>
        <v>#REF!</v>
      </c>
      <c r="AG1652" s="69" t="e" cm="1">
        <f t="array" ref="AG1652">_xlfn.XLOOKUP(Table1[[#This Row],[5 cm2 cell test code]:[5 cm2 cell test code]],[1]!Table1[[Test code]:[Test code]],[1]!Table1[Q_int_frac DIW],"",0)</f>
        <v>#REF!</v>
      </c>
      <c r="AH1652" s="69" t="e" cm="1">
        <f t="array" ref="AH1652">_xlfn.XLOOKUP(Table1[[#This Row],[5 cm2 cell test code]:[5 cm2 cell test code]],[1]!Table1[[Test code]:[Test code]],[1]!Table1[Ionic resistance 10 mM KOH/Ohm cm2],"",0)</f>
        <v>#REF!</v>
      </c>
      <c r="AI1652" s="69" t="e" cm="1">
        <f t="array" ref="AI1652">_xlfn.XLOOKUP(Table1[[#This Row],[5 cm2 cell test code]:[5 cm2 cell test code]],[1]!Table1[[Test code]:[Test code]],[1]!Table1[Q_int_frac DIW 10 mM KOH],"",0)</f>
        <v>#REF!</v>
      </c>
      <c r="AJ1652" s="69" t="e" cm="1">
        <f t="array" ref="AJ1652">_xlfn.XLOOKUP(Table1[[#This Row],[5 cm2 cell test code]:[5 cm2 cell test code]],[1]!Table1[[Test code]:[Test code]],[1]!Table1[DIW conductivity (µS/cm)],"",0)</f>
        <v>#REF!</v>
      </c>
    </row>
    <row r="1653" spans="1:36">
      <c r="A1653" s="81"/>
      <c r="U1653" s="101"/>
      <c r="V1653" s="101"/>
      <c r="W1653" s="69" t="e" cm="1">
        <f t="array" ref="W1653">_xlfn.XLOOKUP(Table1[[#This Row],[5 cm2 cell test code]:[5 cm2 cell test code]],[1]!Table1[[Test code]:[Test code]],[1]!Table1[i @ 1.8 V DIW (A/cm2)],"",0)</f>
        <v>#REF!</v>
      </c>
      <c r="X1653" s="69" t="e" cm="1">
        <f t="array" ref="X1653">_xlfn.XLOOKUP(Table1[[#This Row],[5 cm2 cell test code]:[5 cm2 cell test code]],[1]!Table1[[Test code]:[Test code]],[1]!Table1[i @ 1.8 V 10 mM KOH (A/cm2)],"",0)</f>
        <v>#REF!</v>
      </c>
      <c r="Y1653" s="69" t="e" cm="1">
        <f t="array" ref="Y1653">_xlfn.XLOOKUP(Table1[[#This Row],[5 cm2 cell test code]:[5 cm2 cell test code]],[1]!Table1[[Test code]:[Test code]],[1]!Table1[3-E ƞ at 20mAcm-2 (mV)],"",0)</f>
        <v>#REF!</v>
      </c>
      <c r="Z1653" s="69" t="e" cm="1">
        <f t="array" ref="Z1653">_xlfn.XLOOKUP(Table1[[#This Row],[5 cm2 cell test code]:[5 cm2 cell test code]],[1]!Table1[[Test code]:[Test code]],[1]!Table1[3-E Tafel slope (mV/dec)],"",0)</f>
        <v>#REF!</v>
      </c>
      <c r="AA1653" s="69" t="e" cm="1">
        <f t="array" ref="AA1653">_xlfn.XLOOKUP(Table1[[#This Row],[5 cm2 cell test code]:[5 cm2 cell test code]],[1]!Table1[[Test code]:[Test code]],[1]!Table1[E @ 100 mA/cm2 DIW/V],"",0)</f>
        <v>#REF!</v>
      </c>
      <c r="AB1653" s="69" t="e" cm="1">
        <f t="array" ref="AB1653">_xlfn.XLOOKUP(Table1[[#This Row],[5 cm2 cell test code]:[5 cm2 cell test code]],[1]!Table1[[Test code]:[Test code]],[1]!Table1[E @ 100 mA/cm2 10 mM KOH/V],"",0)</f>
        <v>#REF!</v>
      </c>
      <c r="AC1653" s="69" t="e" cm="1">
        <f t="array" ref="AC1653">_xlfn.XLOOKUP(Table1[[#This Row],[5 cm2 cell test code]:[5 cm2 cell test code]],[1]!Table1[[Test code]:[Test code]],[1]!Table1[Anode ICR/mOhm],"",0)</f>
        <v>#REF!</v>
      </c>
      <c r="AD1653" s="69" t="e" cm="1">
        <f t="array" ref="AD1653">_xlfn.XLOOKUP(Table1[[#This Row],[5 cm2 cell test code]:[5 cm2 cell test code]],[1]!Table1[[Test code]:[Test code]],[1]!Table1[HFR DIW/ mOhm cm2],"",0)</f>
        <v>#REF!</v>
      </c>
      <c r="AE1653" s="69" t="e" cm="1">
        <f t="array" ref="AE1653">_xlfn.XLOOKUP(Table1[[#This Row],[5 cm2 cell test code]:[5 cm2 cell test code]],[1]!Table1[[Test code]:[Test code]],[1]!Table1[HFR 10 mM KOH/ mOhm cm2],"",0)</f>
        <v>#REF!</v>
      </c>
      <c r="AF1653" s="69" t="e" cm="1">
        <f t="array" ref="AF1653">_xlfn.XLOOKUP(Table1[[#This Row],[5 cm2 cell test code]:[5 cm2 cell test code]],[1]!Table1[[Test code]:[Test code]],[1]!Table1[Ionic resistance DIW/Ohm cm2],"",0)</f>
        <v>#REF!</v>
      </c>
      <c r="AG1653" s="69" t="e" cm="1">
        <f t="array" ref="AG1653">_xlfn.XLOOKUP(Table1[[#This Row],[5 cm2 cell test code]:[5 cm2 cell test code]],[1]!Table1[[Test code]:[Test code]],[1]!Table1[Q_int_frac DIW],"",0)</f>
        <v>#REF!</v>
      </c>
      <c r="AH1653" s="69" t="e" cm="1">
        <f t="array" ref="AH1653">_xlfn.XLOOKUP(Table1[[#This Row],[5 cm2 cell test code]:[5 cm2 cell test code]],[1]!Table1[[Test code]:[Test code]],[1]!Table1[Ionic resistance 10 mM KOH/Ohm cm2],"",0)</f>
        <v>#REF!</v>
      </c>
      <c r="AI1653" s="69" t="e" cm="1">
        <f t="array" ref="AI1653">_xlfn.XLOOKUP(Table1[[#This Row],[5 cm2 cell test code]:[5 cm2 cell test code]],[1]!Table1[[Test code]:[Test code]],[1]!Table1[Q_int_frac DIW 10 mM KOH],"",0)</f>
        <v>#REF!</v>
      </c>
      <c r="AJ1653" s="69" t="e" cm="1">
        <f t="array" ref="AJ1653">_xlfn.XLOOKUP(Table1[[#This Row],[5 cm2 cell test code]:[5 cm2 cell test code]],[1]!Table1[[Test code]:[Test code]],[1]!Table1[DIW conductivity (µS/cm)],"",0)</f>
        <v>#REF!</v>
      </c>
    </row>
    <row r="1654" spans="1:36">
      <c r="A1654" s="81"/>
      <c r="U1654" s="101"/>
      <c r="V1654" s="101"/>
      <c r="W1654" s="69" t="e" cm="1">
        <f t="array" ref="W1654">_xlfn.XLOOKUP(Table1[[#This Row],[5 cm2 cell test code]:[5 cm2 cell test code]],[1]!Table1[[Test code]:[Test code]],[1]!Table1[i @ 1.8 V DIW (A/cm2)],"",0)</f>
        <v>#REF!</v>
      </c>
      <c r="X1654" s="69" t="e" cm="1">
        <f t="array" ref="X1654">_xlfn.XLOOKUP(Table1[[#This Row],[5 cm2 cell test code]:[5 cm2 cell test code]],[1]!Table1[[Test code]:[Test code]],[1]!Table1[i @ 1.8 V 10 mM KOH (A/cm2)],"",0)</f>
        <v>#REF!</v>
      </c>
      <c r="Y1654" s="69" t="e" cm="1">
        <f t="array" ref="Y1654">_xlfn.XLOOKUP(Table1[[#This Row],[5 cm2 cell test code]:[5 cm2 cell test code]],[1]!Table1[[Test code]:[Test code]],[1]!Table1[3-E ƞ at 20mAcm-2 (mV)],"",0)</f>
        <v>#REF!</v>
      </c>
      <c r="Z1654" s="69" t="e" cm="1">
        <f t="array" ref="Z1654">_xlfn.XLOOKUP(Table1[[#This Row],[5 cm2 cell test code]:[5 cm2 cell test code]],[1]!Table1[[Test code]:[Test code]],[1]!Table1[3-E Tafel slope (mV/dec)],"",0)</f>
        <v>#REF!</v>
      </c>
      <c r="AA1654" s="69" t="e" cm="1">
        <f t="array" ref="AA1654">_xlfn.XLOOKUP(Table1[[#This Row],[5 cm2 cell test code]:[5 cm2 cell test code]],[1]!Table1[[Test code]:[Test code]],[1]!Table1[E @ 100 mA/cm2 DIW/V],"",0)</f>
        <v>#REF!</v>
      </c>
      <c r="AB1654" s="69" t="e" cm="1">
        <f t="array" ref="AB1654">_xlfn.XLOOKUP(Table1[[#This Row],[5 cm2 cell test code]:[5 cm2 cell test code]],[1]!Table1[[Test code]:[Test code]],[1]!Table1[E @ 100 mA/cm2 10 mM KOH/V],"",0)</f>
        <v>#REF!</v>
      </c>
      <c r="AC1654" s="69" t="e" cm="1">
        <f t="array" ref="AC1654">_xlfn.XLOOKUP(Table1[[#This Row],[5 cm2 cell test code]:[5 cm2 cell test code]],[1]!Table1[[Test code]:[Test code]],[1]!Table1[Anode ICR/mOhm],"",0)</f>
        <v>#REF!</v>
      </c>
      <c r="AD1654" s="69" t="e" cm="1">
        <f t="array" ref="AD1654">_xlfn.XLOOKUP(Table1[[#This Row],[5 cm2 cell test code]:[5 cm2 cell test code]],[1]!Table1[[Test code]:[Test code]],[1]!Table1[HFR DIW/ mOhm cm2],"",0)</f>
        <v>#REF!</v>
      </c>
      <c r="AE1654" s="69" t="e" cm="1">
        <f t="array" ref="AE1654">_xlfn.XLOOKUP(Table1[[#This Row],[5 cm2 cell test code]:[5 cm2 cell test code]],[1]!Table1[[Test code]:[Test code]],[1]!Table1[HFR 10 mM KOH/ mOhm cm2],"",0)</f>
        <v>#REF!</v>
      </c>
      <c r="AF1654" s="69" t="e" cm="1">
        <f t="array" ref="AF1654">_xlfn.XLOOKUP(Table1[[#This Row],[5 cm2 cell test code]:[5 cm2 cell test code]],[1]!Table1[[Test code]:[Test code]],[1]!Table1[Ionic resistance DIW/Ohm cm2],"",0)</f>
        <v>#REF!</v>
      </c>
      <c r="AG1654" s="69" t="e" cm="1">
        <f t="array" ref="AG1654">_xlfn.XLOOKUP(Table1[[#This Row],[5 cm2 cell test code]:[5 cm2 cell test code]],[1]!Table1[[Test code]:[Test code]],[1]!Table1[Q_int_frac DIW],"",0)</f>
        <v>#REF!</v>
      </c>
      <c r="AH1654" s="69" t="e" cm="1">
        <f t="array" ref="AH1654">_xlfn.XLOOKUP(Table1[[#This Row],[5 cm2 cell test code]:[5 cm2 cell test code]],[1]!Table1[[Test code]:[Test code]],[1]!Table1[Ionic resistance 10 mM KOH/Ohm cm2],"",0)</f>
        <v>#REF!</v>
      </c>
      <c r="AI1654" s="69" t="e" cm="1">
        <f t="array" ref="AI1654">_xlfn.XLOOKUP(Table1[[#This Row],[5 cm2 cell test code]:[5 cm2 cell test code]],[1]!Table1[[Test code]:[Test code]],[1]!Table1[Q_int_frac DIW 10 mM KOH],"",0)</f>
        <v>#REF!</v>
      </c>
      <c r="AJ1654" s="69" t="e" cm="1">
        <f t="array" ref="AJ1654">_xlfn.XLOOKUP(Table1[[#This Row],[5 cm2 cell test code]:[5 cm2 cell test code]],[1]!Table1[[Test code]:[Test code]],[1]!Table1[DIW conductivity (µS/cm)],"",0)</f>
        <v>#REF!</v>
      </c>
    </row>
    <row r="1655" spans="1:36">
      <c r="A1655" s="81"/>
      <c r="U1655" s="101"/>
      <c r="V1655" s="101"/>
      <c r="W1655" s="69" t="e" cm="1">
        <f t="array" ref="W1655">_xlfn.XLOOKUP(Table1[[#This Row],[5 cm2 cell test code]:[5 cm2 cell test code]],[1]!Table1[[Test code]:[Test code]],[1]!Table1[i @ 1.8 V DIW (A/cm2)],"",0)</f>
        <v>#REF!</v>
      </c>
      <c r="X1655" s="69" t="e" cm="1">
        <f t="array" ref="X1655">_xlfn.XLOOKUP(Table1[[#This Row],[5 cm2 cell test code]:[5 cm2 cell test code]],[1]!Table1[[Test code]:[Test code]],[1]!Table1[i @ 1.8 V 10 mM KOH (A/cm2)],"",0)</f>
        <v>#REF!</v>
      </c>
      <c r="Y1655" s="69" t="e" cm="1">
        <f t="array" ref="Y1655">_xlfn.XLOOKUP(Table1[[#This Row],[5 cm2 cell test code]:[5 cm2 cell test code]],[1]!Table1[[Test code]:[Test code]],[1]!Table1[3-E ƞ at 20mAcm-2 (mV)],"",0)</f>
        <v>#REF!</v>
      </c>
      <c r="Z1655" s="69" t="e" cm="1">
        <f t="array" ref="Z1655">_xlfn.XLOOKUP(Table1[[#This Row],[5 cm2 cell test code]:[5 cm2 cell test code]],[1]!Table1[[Test code]:[Test code]],[1]!Table1[3-E Tafel slope (mV/dec)],"",0)</f>
        <v>#REF!</v>
      </c>
      <c r="AA1655" s="69" t="e" cm="1">
        <f t="array" ref="AA1655">_xlfn.XLOOKUP(Table1[[#This Row],[5 cm2 cell test code]:[5 cm2 cell test code]],[1]!Table1[[Test code]:[Test code]],[1]!Table1[E @ 100 mA/cm2 DIW/V],"",0)</f>
        <v>#REF!</v>
      </c>
      <c r="AB1655" s="69" t="e" cm="1">
        <f t="array" ref="AB1655">_xlfn.XLOOKUP(Table1[[#This Row],[5 cm2 cell test code]:[5 cm2 cell test code]],[1]!Table1[[Test code]:[Test code]],[1]!Table1[E @ 100 mA/cm2 10 mM KOH/V],"",0)</f>
        <v>#REF!</v>
      </c>
      <c r="AC1655" s="69" t="e" cm="1">
        <f t="array" ref="AC1655">_xlfn.XLOOKUP(Table1[[#This Row],[5 cm2 cell test code]:[5 cm2 cell test code]],[1]!Table1[[Test code]:[Test code]],[1]!Table1[Anode ICR/mOhm],"",0)</f>
        <v>#REF!</v>
      </c>
      <c r="AD1655" s="69" t="e" cm="1">
        <f t="array" ref="AD1655">_xlfn.XLOOKUP(Table1[[#This Row],[5 cm2 cell test code]:[5 cm2 cell test code]],[1]!Table1[[Test code]:[Test code]],[1]!Table1[HFR DIW/ mOhm cm2],"",0)</f>
        <v>#REF!</v>
      </c>
      <c r="AE1655" s="69" t="e" cm="1">
        <f t="array" ref="AE1655">_xlfn.XLOOKUP(Table1[[#This Row],[5 cm2 cell test code]:[5 cm2 cell test code]],[1]!Table1[[Test code]:[Test code]],[1]!Table1[HFR 10 mM KOH/ mOhm cm2],"",0)</f>
        <v>#REF!</v>
      </c>
      <c r="AF1655" s="69" t="e" cm="1">
        <f t="array" ref="AF1655">_xlfn.XLOOKUP(Table1[[#This Row],[5 cm2 cell test code]:[5 cm2 cell test code]],[1]!Table1[[Test code]:[Test code]],[1]!Table1[Ionic resistance DIW/Ohm cm2],"",0)</f>
        <v>#REF!</v>
      </c>
      <c r="AG1655" s="69" t="e" cm="1">
        <f t="array" ref="AG1655">_xlfn.XLOOKUP(Table1[[#This Row],[5 cm2 cell test code]:[5 cm2 cell test code]],[1]!Table1[[Test code]:[Test code]],[1]!Table1[Q_int_frac DIW],"",0)</f>
        <v>#REF!</v>
      </c>
      <c r="AH1655" s="69" t="e" cm="1">
        <f t="array" ref="AH1655">_xlfn.XLOOKUP(Table1[[#This Row],[5 cm2 cell test code]:[5 cm2 cell test code]],[1]!Table1[[Test code]:[Test code]],[1]!Table1[Ionic resistance 10 mM KOH/Ohm cm2],"",0)</f>
        <v>#REF!</v>
      </c>
      <c r="AI1655" s="69" t="e" cm="1">
        <f t="array" ref="AI1655">_xlfn.XLOOKUP(Table1[[#This Row],[5 cm2 cell test code]:[5 cm2 cell test code]],[1]!Table1[[Test code]:[Test code]],[1]!Table1[Q_int_frac DIW 10 mM KOH],"",0)</f>
        <v>#REF!</v>
      </c>
      <c r="AJ1655" s="69" t="e" cm="1">
        <f t="array" ref="AJ1655">_xlfn.XLOOKUP(Table1[[#This Row],[5 cm2 cell test code]:[5 cm2 cell test code]],[1]!Table1[[Test code]:[Test code]],[1]!Table1[DIW conductivity (µS/cm)],"",0)</f>
        <v>#REF!</v>
      </c>
    </row>
    <row r="1656" spans="1:36">
      <c r="A1656" s="81"/>
      <c r="U1656" s="101"/>
      <c r="V1656" s="101"/>
      <c r="W1656" s="69" t="e" cm="1">
        <f t="array" ref="W1656">_xlfn.XLOOKUP(Table1[[#This Row],[5 cm2 cell test code]:[5 cm2 cell test code]],[1]!Table1[[Test code]:[Test code]],[1]!Table1[i @ 1.8 V DIW (A/cm2)],"",0)</f>
        <v>#REF!</v>
      </c>
      <c r="X1656" s="69" t="e" cm="1">
        <f t="array" ref="X1656">_xlfn.XLOOKUP(Table1[[#This Row],[5 cm2 cell test code]:[5 cm2 cell test code]],[1]!Table1[[Test code]:[Test code]],[1]!Table1[i @ 1.8 V 10 mM KOH (A/cm2)],"",0)</f>
        <v>#REF!</v>
      </c>
      <c r="Y1656" s="69" t="e" cm="1">
        <f t="array" ref="Y1656">_xlfn.XLOOKUP(Table1[[#This Row],[5 cm2 cell test code]:[5 cm2 cell test code]],[1]!Table1[[Test code]:[Test code]],[1]!Table1[3-E ƞ at 20mAcm-2 (mV)],"",0)</f>
        <v>#REF!</v>
      </c>
      <c r="Z1656" s="69" t="e" cm="1">
        <f t="array" ref="Z1656">_xlfn.XLOOKUP(Table1[[#This Row],[5 cm2 cell test code]:[5 cm2 cell test code]],[1]!Table1[[Test code]:[Test code]],[1]!Table1[3-E Tafel slope (mV/dec)],"",0)</f>
        <v>#REF!</v>
      </c>
      <c r="AA1656" s="69" t="e" cm="1">
        <f t="array" ref="AA1656">_xlfn.XLOOKUP(Table1[[#This Row],[5 cm2 cell test code]:[5 cm2 cell test code]],[1]!Table1[[Test code]:[Test code]],[1]!Table1[E @ 100 mA/cm2 DIW/V],"",0)</f>
        <v>#REF!</v>
      </c>
      <c r="AB1656" s="69" t="e" cm="1">
        <f t="array" ref="AB1656">_xlfn.XLOOKUP(Table1[[#This Row],[5 cm2 cell test code]:[5 cm2 cell test code]],[1]!Table1[[Test code]:[Test code]],[1]!Table1[E @ 100 mA/cm2 10 mM KOH/V],"",0)</f>
        <v>#REF!</v>
      </c>
      <c r="AC1656" s="69" t="e" cm="1">
        <f t="array" ref="AC1656">_xlfn.XLOOKUP(Table1[[#This Row],[5 cm2 cell test code]:[5 cm2 cell test code]],[1]!Table1[[Test code]:[Test code]],[1]!Table1[Anode ICR/mOhm],"",0)</f>
        <v>#REF!</v>
      </c>
      <c r="AD1656" s="69" t="e" cm="1">
        <f t="array" ref="AD1656">_xlfn.XLOOKUP(Table1[[#This Row],[5 cm2 cell test code]:[5 cm2 cell test code]],[1]!Table1[[Test code]:[Test code]],[1]!Table1[HFR DIW/ mOhm cm2],"",0)</f>
        <v>#REF!</v>
      </c>
      <c r="AE1656" s="69" t="e" cm="1">
        <f t="array" ref="AE1656">_xlfn.XLOOKUP(Table1[[#This Row],[5 cm2 cell test code]:[5 cm2 cell test code]],[1]!Table1[[Test code]:[Test code]],[1]!Table1[HFR 10 mM KOH/ mOhm cm2],"",0)</f>
        <v>#REF!</v>
      </c>
      <c r="AF1656" s="69" t="e" cm="1">
        <f t="array" ref="AF1656">_xlfn.XLOOKUP(Table1[[#This Row],[5 cm2 cell test code]:[5 cm2 cell test code]],[1]!Table1[[Test code]:[Test code]],[1]!Table1[Ionic resistance DIW/Ohm cm2],"",0)</f>
        <v>#REF!</v>
      </c>
      <c r="AG1656" s="69" t="e" cm="1">
        <f t="array" ref="AG1656">_xlfn.XLOOKUP(Table1[[#This Row],[5 cm2 cell test code]:[5 cm2 cell test code]],[1]!Table1[[Test code]:[Test code]],[1]!Table1[Q_int_frac DIW],"",0)</f>
        <v>#REF!</v>
      </c>
      <c r="AH1656" s="69" t="e" cm="1">
        <f t="array" ref="AH1656">_xlfn.XLOOKUP(Table1[[#This Row],[5 cm2 cell test code]:[5 cm2 cell test code]],[1]!Table1[[Test code]:[Test code]],[1]!Table1[Ionic resistance 10 mM KOH/Ohm cm2],"",0)</f>
        <v>#REF!</v>
      </c>
      <c r="AI1656" s="69" t="e" cm="1">
        <f t="array" ref="AI1656">_xlfn.XLOOKUP(Table1[[#This Row],[5 cm2 cell test code]:[5 cm2 cell test code]],[1]!Table1[[Test code]:[Test code]],[1]!Table1[Q_int_frac DIW 10 mM KOH],"",0)</f>
        <v>#REF!</v>
      </c>
      <c r="AJ1656" s="69" t="e" cm="1">
        <f t="array" ref="AJ1656">_xlfn.XLOOKUP(Table1[[#This Row],[5 cm2 cell test code]:[5 cm2 cell test code]],[1]!Table1[[Test code]:[Test code]],[1]!Table1[DIW conductivity (µS/cm)],"",0)</f>
        <v>#REF!</v>
      </c>
    </row>
    <row r="1657" spans="1:36">
      <c r="A1657" s="81"/>
      <c r="U1657" s="101"/>
      <c r="V1657" s="101"/>
      <c r="W1657" s="69" t="e" cm="1">
        <f t="array" ref="W1657">_xlfn.XLOOKUP(Table1[[#This Row],[5 cm2 cell test code]:[5 cm2 cell test code]],[1]!Table1[[Test code]:[Test code]],[1]!Table1[i @ 1.8 V DIW (A/cm2)],"",0)</f>
        <v>#REF!</v>
      </c>
      <c r="X1657" s="69" t="e" cm="1">
        <f t="array" ref="X1657">_xlfn.XLOOKUP(Table1[[#This Row],[5 cm2 cell test code]:[5 cm2 cell test code]],[1]!Table1[[Test code]:[Test code]],[1]!Table1[i @ 1.8 V 10 mM KOH (A/cm2)],"",0)</f>
        <v>#REF!</v>
      </c>
      <c r="Y1657" s="69" t="e" cm="1">
        <f t="array" ref="Y1657">_xlfn.XLOOKUP(Table1[[#This Row],[5 cm2 cell test code]:[5 cm2 cell test code]],[1]!Table1[[Test code]:[Test code]],[1]!Table1[3-E ƞ at 20mAcm-2 (mV)],"",0)</f>
        <v>#REF!</v>
      </c>
      <c r="Z1657" s="69" t="e" cm="1">
        <f t="array" ref="Z1657">_xlfn.XLOOKUP(Table1[[#This Row],[5 cm2 cell test code]:[5 cm2 cell test code]],[1]!Table1[[Test code]:[Test code]],[1]!Table1[3-E Tafel slope (mV/dec)],"",0)</f>
        <v>#REF!</v>
      </c>
      <c r="AA1657" s="69" t="e" cm="1">
        <f t="array" ref="AA1657">_xlfn.XLOOKUP(Table1[[#This Row],[5 cm2 cell test code]:[5 cm2 cell test code]],[1]!Table1[[Test code]:[Test code]],[1]!Table1[E @ 100 mA/cm2 DIW/V],"",0)</f>
        <v>#REF!</v>
      </c>
      <c r="AB1657" s="69" t="e" cm="1">
        <f t="array" ref="AB1657">_xlfn.XLOOKUP(Table1[[#This Row],[5 cm2 cell test code]:[5 cm2 cell test code]],[1]!Table1[[Test code]:[Test code]],[1]!Table1[E @ 100 mA/cm2 10 mM KOH/V],"",0)</f>
        <v>#REF!</v>
      </c>
      <c r="AC1657" s="69" t="e" cm="1">
        <f t="array" ref="AC1657">_xlfn.XLOOKUP(Table1[[#This Row],[5 cm2 cell test code]:[5 cm2 cell test code]],[1]!Table1[[Test code]:[Test code]],[1]!Table1[Anode ICR/mOhm],"",0)</f>
        <v>#REF!</v>
      </c>
      <c r="AD1657" s="69" t="e" cm="1">
        <f t="array" ref="AD1657">_xlfn.XLOOKUP(Table1[[#This Row],[5 cm2 cell test code]:[5 cm2 cell test code]],[1]!Table1[[Test code]:[Test code]],[1]!Table1[HFR DIW/ mOhm cm2],"",0)</f>
        <v>#REF!</v>
      </c>
      <c r="AE1657" s="69" t="e" cm="1">
        <f t="array" ref="AE1657">_xlfn.XLOOKUP(Table1[[#This Row],[5 cm2 cell test code]:[5 cm2 cell test code]],[1]!Table1[[Test code]:[Test code]],[1]!Table1[HFR 10 mM KOH/ mOhm cm2],"",0)</f>
        <v>#REF!</v>
      </c>
      <c r="AF1657" s="69" t="e" cm="1">
        <f t="array" ref="AF1657">_xlfn.XLOOKUP(Table1[[#This Row],[5 cm2 cell test code]:[5 cm2 cell test code]],[1]!Table1[[Test code]:[Test code]],[1]!Table1[Ionic resistance DIW/Ohm cm2],"",0)</f>
        <v>#REF!</v>
      </c>
      <c r="AG1657" s="69" t="e" cm="1">
        <f t="array" ref="AG1657">_xlfn.XLOOKUP(Table1[[#This Row],[5 cm2 cell test code]:[5 cm2 cell test code]],[1]!Table1[[Test code]:[Test code]],[1]!Table1[Q_int_frac DIW],"",0)</f>
        <v>#REF!</v>
      </c>
      <c r="AH1657" s="69" t="e" cm="1">
        <f t="array" ref="AH1657">_xlfn.XLOOKUP(Table1[[#This Row],[5 cm2 cell test code]:[5 cm2 cell test code]],[1]!Table1[[Test code]:[Test code]],[1]!Table1[Ionic resistance 10 mM KOH/Ohm cm2],"",0)</f>
        <v>#REF!</v>
      </c>
      <c r="AI1657" s="69" t="e" cm="1">
        <f t="array" ref="AI1657">_xlfn.XLOOKUP(Table1[[#This Row],[5 cm2 cell test code]:[5 cm2 cell test code]],[1]!Table1[[Test code]:[Test code]],[1]!Table1[Q_int_frac DIW 10 mM KOH],"",0)</f>
        <v>#REF!</v>
      </c>
      <c r="AJ1657" s="69" t="e" cm="1">
        <f t="array" ref="AJ1657">_xlfn.XLOOKUP(Table1[[#This Row],[5 cm2 cell test code]:[5 cm2 cell test code]],[1]!Table1[[Test code]:[Test code]],[1]!Table1[DIW conductivity (µS/cm)],"",0)</f>
        <v>#REF!</v>
      </c>
    </row>
    <row r="1658" spans="1:36">
      <c r="A1658" s="81"/>
      <c r="U1658" s="101"/>
      <c r="V1658" s="101"/>
      <c r="W1658" s="69" t="e" cm="1">
        <f t="array" ref="W1658">_xlfn.XLOOKUP(Table1[[#This Row],[5 cm2 cell test code]:[5 cm2 cell test code]],[1]!Table1[[Test code]:[Test code]],[1]!Table1[i @ 1.8 V DIW (A/cm2)],"",0)</f>
        <v>#REF!</v>
      </c>
      <c r="X1658" s="69" t="e" cm="1">
        <f t="array" ref="X1658">_xlfn.XLOOKUP(Table1[[#This Row],[5 cm2 cell test code]:[5 cm2 cell test code]],[1]!Table1[[Test code]:[Test code]],[1]!Table1[i @ 1.8 V 10 mM KOH (A/cm2)],"",0)</f>
        <v>#REF!</v>
      </c>
      <c r="Y1658" s="69" t="e" cm="1">
        <f t="array" ref="Y1658">_xlfn.XLOOKUP(Table1[[#This Row],[5 cm2 cell test code]:[5 cm2 cell test code]],[1]!Table1[[Test code]:[Test code]],[1]!Table1[3-E ƞ at 20mAcm-2 (mV)],"",0)</f>
        <v>#REF!</v>
      </c>
      <c r="Z1658" s="69" t="e" cm="1">
        <f t="array" ref="Z1658">_xlfn.XLOOKUP(Table1[[#This Row],[5 cm2 cell test code]:[5 cm2 cell test code]],[1]!Table1[[Test code]:[Test code]],[1]!Table1[3-E Tafel slope (mV/dec)],"",0)</f>
        <v>#REF!</v>
      </c>
      <c r="AA1658" s="69" t="e" cm="1">
        <f t="array" ref="AA1658">_xlfn.XLOOKUP(Table1[[#This Row],[5 cm2 cell test code]:[5 cm2 cell test code]],[1]!Table1[[Test code]:[Test code]],[1]!Table1[E @ 100 mA/cm2 DIW/V],"",0)</f>
        <v>#REF!</v>
      </c>
      <c r="AB1658" s="69" t="e" cm="1">
        <f t="array" ref="AB1658">_xlfn.XLOOKUP(Table1[[#This Row],[5 cm2 cell test code]:[5 cm2 cell test code]],[1]!Table1[[Test code]:[Test code]],[1]!Table1[E @ 100 mA/cm2 10 mM KOH/V],"",0)</f>
        <v>#REF!</v>
      </c>
      <c r="AC1658" s="69" t="e" cm="1">
        <f t="array" ref="AC1658">_xlfn.XLOOKUP(Table1[[#This Row],[5 cm2 cell test code]:[5 cm2 cell test code]],[1]!Table1[[Test code]:[Test code]],[1]!Table1[Anode ICR/mOhm],"",0)</f>
        <v>#REF!</v>
      </c>
      <c r="AD1658" s="69" t="e" cm="1">
        <f t="array" ref="AD1658">_xlfn.XLOOKUP(Table1[[#This Row],[5 cm2 cell test code]:[5 cm2 cell test code]],[1]!Table1[[Test code]:[Test code]],[1]!Table1[HFR DIW/ mOhm cm2],"",0)</f>
        <v>#REF!</v>
      </c>
      <c r="AE1658" s="69" t="e" cm="1">
        <f t="array" ref="AE1658">_xlfn.XLOOKUP(Table1[[#This Row],[5 cm2 cell test code]:[5 cm2 cell test code]],[1]!Table1[[Test code]:[Test code]],[1]!Table1[HFR 10 mM KOH/ mOhm cm2],"",0)</f>
        <v>#REF!</v>
      </c>
      <c r="AF1658" s="69" t="e" cm="1">
        <f t="array" ref="AF1658">_xlfn.XLOOKUP(Table1[[#This Row],[5 cm2 cell test code]:[5 cm2 cell test code]],[1]!Table1[[Test code]:[Test code]],[1]!Table1[Ionic resistance DIW/Ohm cm2],"",0)</f>
        <v>#REF!</v>
      </c>
      <c r="AG1658" s="69" t="e" cm="1">
        <f t="array" ref="AG1658">_xlfn.XLOOKUP(Table1[[#This Row],[5 cm2 cell test code]:[5 cm2 cell test code]],[1]!Table1[[Test code]:[Test code]],[1]!Table1[Q_int_frac DIW],"",0)</f>
        <v>#REF!</v>
      </c>
      <c r="AH1658" s="69" t="e" cm="1">
        <f t="array" ref="AH1658">_xlfn.XLOOKUP(Table1[[#This Row],[5 cm2 cell test code]:[5 cm2 cell test code]],[1]!Table1[[Test code]:[Test code]],[1]!Table1[Ionic resistance 10 mM KOH/Ohm cm2],"",0)</f>
        <v>#REF!</v>
      </c>
      <c r="AI1658" s="69" t="e" cm="1">
        <f t="array" ref="AI1658">_xlfn.XLOOKUP(Table1[[#This Row],[5 cm2 cell test code]:[5 cm2 cell test code]],[1]!Table1[[Test code]:[Test code]],[1]!Table1[Q_int_frac DIW 10 mM KOH],"",0)</f>
        <v>#REF!</v>
      </c>
      <c r="AJ1658" s="69" t="e" cm="1">
        <f t="array" ref="AJ1658">_xlfn.XLOOKUP(Table1[[#This Row],[5 cm2 cell test code]:[5 cm2 cell test code]],[1]!Table1[[Test code]:[Test code]],[1]!Table1[DIW conductivity (µS/cm)],"",0)</f>
        <v>#REF!</v>
      </c>
    </row>
    <row r="1659" spans="1:36">
      <c r="A1659" s="81"/>
      <c r="U1659" s="101"/>
      <c r="V1659" s="101"/>
      <c r="W1659" s="69" t="e" cm="1">
        <f t="array" ref="W1659">_xlfn.XLOOKUP(Table1[[#This Row],[5 cm2 cell test code]:[5 cm2 cell test code]],[1]!Table1[[Test code]:[Test code]],[1]!Table1[i @ 1.8 V DIW (A/cm2)],"",0)</f>
        <v>#REF!</v>
      </c>
      <c r="X1659" s="69" t="e" cm="1">
        <f t="array" ref="X1659">_xlfn.XLOOKUP(Table1[[#This Row],[5 cm2 cell test code]:[5 cm2 cell test code]],[1]!Table1[[Test code]:[Test code]],[1]!Table1[i @ 1.8 V 10 mM KOH (A/cm2)],"",0)</f>
        <v>#REF!</v>
      </c>
      <c r="Y1659" s="69" t="e" cm="1">
        <f t="array" ref="Y1659">_xlfn.XLOOKUP(Table1[[#This Row],[5 cm2 cell test code]:[5 cm2 cell test code]],[1]!Table1[[Test code]:[Test code]],[1]!Table1[3-E ƞ at 20mAcm-2 (mV)],"",0)</f>
        <v>#REF!</v>
      </c>
      <c r="Z1659" s="69" t="e" cm="1">
        <f t="array" ref="Z1659">_xlfn.XLOOKUP(Table1[[#This Row],[5 cm2 cell test code]:[5 cm2 cell test code]],[1]!Table1[[Test code]:[Test code]],[1]!Table1[3-E Tafel slope (mV/dec)],"",0)</f>
        <v>#REF!</v>
      </c>
      <c r="AA1659" s="69" t="e" cm="1">
        <f t="array" ref="AA1659">_xlfn.XLOOKUP(Table1[[#This Row],[5 cm2 cell test code]:[5 cm2 cell test code]],[1]!Table1[[Test code]:[Test code]],[1]!Table1[E @ 100 mA/cm2 DIW/V],"",0)</f>
        <v>#REF!</v>
      </c>
      <c r="AB1659" s="69" t="e" cm="1">
        <f t="array" ref="AB1659">_xlfn.XLOOKUP(Table1[[#This Row],[5 cm2 cell test code]:[5 cm2 cell test code]],[1]!Table1[[Test code]:[Test code]],[1]!Table1[E @ 100 mA/cm2 10 mM KOH/V],"",0)</f>
        <v>#REF!</v>
      </c>
      <c r="AC1659" s="69" t="e" cm="1">
        <f t="array" ref="AC1659">_xlfn.XLOOKUP(Table1[[#This Row],[5 cm2 cell test code]:[5 cm2 cell test code]],[1]!Table1[[Test code]:[Test code]],[1]!Table1[Anode ICR/mOhm],"",0)</f>
        <v>#REF!</v>
      </c>
      <c r="AD1659" s="69" t="e" cm="1">
        <f t="array" ref="AD1659">_xlfn.XLOOKUP(Table1[[#This Row],[5 cm2 cell test code]:[5 cm2 cell test code]],[1]!Table1[[Test code]:[Test code]],[1]!Table1[HFR DIW/ mOhm cm2],"",0)</f>
        <v>#REF!</v>
      </c>
      <c r="AE1659" s="69" t="e" cm="1">
        <f t="array" ref="AE1659">_xlfn.XLOOKUP(Table1[[#This Row],[5 cm2 cell test code]:[5 cm2 cell test code]],[1]!Table1[[Test code]:[Test code]],[1]!Table1[HFR 10 mM KOH/ mOhm cm2],"",0)</f>
        <v>#REF!</v>
      </c>
      <c r="AF1659" s="69" t="e" cm="1">
        <f t="array" ref="AF1659">_xlfn.XLOOKUP(Table1[[#This Row],[5 cm2 cell test code]:[5 cm2 cell test code]],[1]!Table1[[Test code]:[Test code]],[1]!Table1[Ionic resistance DIW/Ohm cm2],"",0)</f>
        <v>#REF!</v>
      </c>
      <c r="AG1659" s="69" t="e" cm="1">
        <f t="array" ref="AG1659">_xlfn.XLOOKUP(Table1[[#This Row],[5 cm2 cell test code]:[5 cm2 cell test code]],[1]!Table1[[Test code]:[Test code]],[1]!Table1[Q_int_frac DIW],"",0)</f>
        <v>#REF!</v>
      </c>
      <c r="AH1659" s="69" t="e" cm="1">
        <f t="array" ref="AH1659">_xlfn.XLOOKUP(Table1[[#This Row],[5 cm2 cell test code]:[5 cm2 cell test code]],[1]!Table1[[Test code]:[Test code]],[1]!Table1[Ionic resistance 10 mM KOH/Ohm cm2],"",0)</f>
        <v>#REF!</v>
      </c>
      <c r="AI1659" s="69" t="e" cm="1">
        <f t="array" ref="AI1659">_xlfn.XLOOKUP(Table1[[#This Row],[5 cm2 cell test code]:[5 cm2 cell test code]],[1]!Table1[[Test code]:[Test code]],[1]!Table1[Q_int_frac DIW 10 mM KOH],"",0)</f>
        <v>#REF!</v>
      </c>
      <c r="AJ1659" s="69" t="e" cm="1">
        <f t="array" ref="AJ1659">_xlfn.XLOOKUP(Table1[[#This Row],[5 cm2 cell test code]:[5 cm2 cell test code]],[1]!Table1[[Test code]:[Test code]],[1]!Table1[DIW conductivity (µS/cm)],"",0)</f>
        <v>#REF!</v>
      </c>
    </row>
    <row r="1660" spans="1:36">
      <c r="A1660" s="81"/>
      <c r="U1660" s="101"/>
      <c r="V1660" s="101"/>
      <c r="W1660" s="69" t="e" cm="1">
        <f t="array" ref="W1660">_xlfn.XLOOKUP(Table1[[#This Row],[5 cm2 cell test code]:[5 cm2 cell test code]],[1]!Table1[[Test code]:[Test code]],[1]!Table1[i @ 1.8 V DIW (A/cm2)],"",0)</f>
        <v>#REF!</v>
      </c>
      <c r="X1660" s="69" t="e" cm="1">
        <f t="array" ref="X1660">_xlfn.XLOOKUP(Table1[[#This Row],[5 cm2 cell test code]:[5 cm2 cell test code]],[1]!Table1[[Test code]:[Test code]],[1]!Table1[i @ 1.8 V 10 mM KOH (A/cm2)],"",0)</f>
        <v>#REF!</v>
      </c>
      <c r="Y1660" s="69" t="e" cm="1">
        <f t="array" ref="Y1660">_xlfn.XLOOKUP(Table1[[#This Row],[5 cm2 cell test code]:[5 cm2 cell test code]],[1]!Table1[[Test code]:[Test code]],[1]!Table1[3-E ƞ at 20mAcm-2 (mV)],"",0)</f>
        <v>#REF!</v>
      </c>
      <c r="Z1660" s="69" t="e" cm="1">
        <f t="array" ref="Z1660">_xlfn.XLOOKUP(Table1[[#This Row],[5 cm2 cell test code]:[5 cm2 cell test code]],[1]!Table1[[Test code]:[Test code]],[1]!Table1[3-E Tafel slope (mV/dec)],"",0)</f>
        <v>#REF!</v>
      </c>
      <c r="AA1660" s="69" t="e" cm="1">
        <f t="array" ref="AA1660">_xlfn.XLOOKUP(Table1[[#This Row],[5 cm2 cell test code]:[5 cm2 cell test code]],[1]!Table1[[Test code]:[Test code]],[1]!Table1[E @ 100 mA/cm2 DIW/V],"",0)</f>
        <v>#REF!</v>
      </c>
      <c r="AB1660" s="69" t="e" cm="1">
        <f t="array" ref="AB1660">_xlfn.XLOOKUP(Table1[[#This Row],[5 cm2 cell test code]:[5 cm2 cell test code]],[1]!Table1[[Test code]:[Test code]],[1]!Table1[E @ 100 mA/cm2 10 mM KOH/V],"",0)</f>
        <v>#REF!</v>
      </c>
      <c r="AC1660" s="69" t="e" cm="1">
        <f t="array" ref="AC1660">_xlfn.XLOOKUP(Table1[[#This Row],[5 cm2 cell test code]:[5 cm2 cell test code]],[1]!Table1[[Test code]:[Test code]],[1]!Table1[Anode ICR/mOhm],"",0)</f>
        <v>#REF!</v>
      </c>
      <c r="AD1660" s="69" t="e" cm="1">
        <f t="array" ref="AD1660">_xlfn.XLOOKUP(Table1[[#This Row],[5 cm2 cell test code]:[5 cm2 cell test code]],[1]!Table1[[Test code]:[Test code]],[1]!Table1[HFR DIW/ mOhm cm2],"",0)</f>
        <v>#REF!</v>
      </c>
      <c r="AE1660" s="69" t="e" cm="1">
        <f t="array" ref="AE1660">_xlfn.XLOOKUP(Table1[[#This Row],[5 cm2 cell test code]:[5 cm2 cell test code]],[1]!Table1[[Test code]:[Test code]],[1]!Table1[HFR 10 mM KOH/ mOhm cm2],"",0)</f>
        <v>#REF!</v>
      </c>
      <c r="AF1660" s="69" t="e" cm="1">
        <f t="array" ref="AF1660">_xlfn.XLOOKUP(Table1[[#This Row],[5 cm2 cell test code]:[5 cm2 cell test code]],[1]!Table1[[Test code]:[Test code]],[1]!Table1[Ionic resistance DIW/Ohm cm2],"",0)</f>
        <v>#REF!</v>
      </c>
      <c r="AG1660" s="69" t="e" cm="1">
        <f t="array" ref="AG1660">_xlfn.XLOOKUP(Table1[[#This Row],[5 cm2 cell test code]:[5 cm2 cell test code]],[1]!Table1[[Test code]:[Test code]],[1]!Table1[Q_int_frac DIW],"",0)</f>
        <v>#REF!</v>
      </c>
      <c r="AH1660" s="69" t="e" cm="1">
        <f t="array" ref="AH1660">_xlfn.XLOOKUP(Table1[[#This Row],[5 cm2 cell test code]:[5 cm2 cell test code]],[1]!Table1[[Test code]:[Test code]],[1]!Table1[Ionic resistance 10 mM KOH/Ohm cm2],"",0)</f>
        <v>#REF!</v>
      </c>
      <c r="AI1660" s="69" t="e" cm="1">
        <f t="array" ref="AI1660">_xlfn.XLOOKUP(Table1[[#This Row],[5 cm2 cell test code]:[5 cm2 cell test code]],[1]!Table1[[Test code]:[Test code]],[1]!Table1[Q_int_frac DIW 10 mM KOH],"",0)</f>
        <v>#REF!</v>
      </c>
      <c r="AJ1660" s="69" t="e" cm="1">
        <f t="array" ref="AJ1660">_xlfn.XLOOKUP(Table1[[#This Row],[5 cm2 cell test code]:[5 cm2 cell test code]],[1]!Table1[[Test code]:[Test code]],[1]!Table1[DIW conductivity (µS/cm)],"",0)</f>
        <v>#REF!</v>
      </c>
    </row>
    <row r="1661" spans="1:36">
      <c r="A1661" s="81"/>
      <c r="U1661" s="101"/>
      <c r="V1661" s="101"/>
      <c r="W1661" s="69" t="e" cm="1">
        <f t="array" ref="W1661">_xlfn.XLOOKUP(Table1[[#This Row],[5 cm2 cell test code]:[5 cm2 cell test code]],[1]!Table1[[Test code]:[Test code]],[1]!Table1[i @ 1.8 V DIW (A/cm2)],"",0)</f>
        <v>#REF!</v>
      </c>
      <c r="X1661" s="69" t="e" cm="1">
        <f t="array" ref="X1661">_xlfn.XLOOKUP(Table1[[#This Row],[5 cm2 cell test code]:[5 cm2 cell test code]],[1]!Table1[[Test code]:[Test code]],[1]!Table1[i @ 1.8 V 10 mM KOH (A/cm2)],"",0)</f>
        <v>#REF!</v>
      </c>
      <c r="Y1661" s="69" t="e" cm="1">
        <f t="array" ref="Y1661">_xlfn.XLOOKUP(Table1[[#This Row],[5 cm2 cell test code]:[5 cm2 cell test code]],[1]!Table1[[Test code]:[Test code]],[1]!Table1[3-E ƞ at 20mAcm-2 (mV)],"",0)</f>
        <v>#REF!</v>
      </c>
      <c r="Z1661" s="69" t="e" cm="1">
        <f t="array" ref="Z1661">_xlfn.XLOOKUP(Table1[[#This Row],[5 cm2 cell test code]:[5 cm2 cell test code]],[1]!Table1[[Test code]:[Test code]],[1]!Table1[3-E Tafel slope (mV/dec)],"",0)</f>
        <v>#REF!</v>
      </c>
      <c r="AA1661" s="69" t="e" cm="1">
        <f t="array" ref="AA1661">_xlfn.XLOOKUP(Table1[[#This Row],[5 cm2 cell test code]:[5 cm2 cell test code]],[1]!Table1[[Test code]:[Test code]],[1]!Table1[E @ 100 mA/cm2 DIW/V],"",0)</f>
        <v>#REF!</v>
      </c>
      <c r="AB1661" s="69" t="e" cm="1">
        <f t="array" ref="AB1661">_xlfn.XLOOKUP(Table1[[#This Row],[5 cm2 cell test code]:[5 cm2 cell test code]],[1]!Table1[[Test code]:[Test code]],[1]!Table1[E @ 100 mA/cm2 10 mM KOH/V],"",0)</f>
        <v>#REF!</v>
      </c>
      <c r="AC1661" s="69" t="e" cm="1">
        <f t="array" ref="AC1661">_xlfn.XLOOKUP(Table1[[#This Row],[5 cm2 cell test code]:[5 cm2 cell test code]],[1]!Table1[[Test code]:[Test code]],[1]!Table1[Anode ICR/mOhm],"",0)</f>
        <v>#REF!</v>
      </c>
      <c r="AD1661" s="69" t="e" cm="1">
        <f t="array" ref="AD1661">_xlfn.XLOOKUP(Table1[[#This Row],[5 cm2 cell test code]:[5 cm2 cell test code]],[1]!Table1[[Test code]:[Test code]],[1]!Table1[HFR DIW/ mOhm cm2],"",0)</f>
        <v>#REF!</v>
      </c>
      <c r="AE1661" s="69" t="e" cm="1">
        <f t="array" ref="AE1661">_xlfn.XLOOKUP(Table1[[#This Row],[5 cm2 cell test code]:[5 cm2 cell test code]],[1]!Table1[[Test code]:[Test code]],[1]!Table1[HFR 10 mM KOH/ mOhm cm2],"",0)</f>
        <v>#REF!</v>
      </c>
      <c r="AF1661" s="69" t="e" cm="1">
        <f t="array" ref="AF1661">_xlfn.XLOOKUP(Table1[[#This Row],[5 cm2 cell test code]:[5 cm2 cell test code]],[1]!Table1[[Test code]:[Test code]],[1]!Table1[Ionic resistance DIW/Ohm cm2],"",0)</f>
        <v>#REF!</v>
      </c>
      <c r="AG1661" s="69" t="e" cm="1">
        <f t="array" ref="AG1661">_xlfn.XLOOKUP(Table1[[#This Row],[5 cm2 cell test code]:[5 cm2 cell test code]],[1]!Table1[[Test code]:[Test code]],[1]!Table1[Q_int_frac DIW],"",0)</f>
        <v>#REF!</v>
      </c>
      <c r="AH1661" s="69" t="e" cm="1">
        <f t="array" ref="AH1661">_xlfn.XLOOKUP(Table1[[#This Row],[5 cm2 cell test code]:[5 cm2 cell test code]],[1]!Table1[[Test code]:[Test code]],[1]!Table1[Ionic resistance 10 mM KOH/Ohm cm2],"",0)</f>
        <v>#REF!</v>
      </c>
      <c r="AI1661" s="69" t="e" cm="1">
        <f t="array" ref="AI1661">_xlfn.XLOOKUP(Table1[[#This Row],[5 cm2 cell test code]:[5 cm2 cell test code]],[1]!Table1[[Test code]:[Test code]],[1]!Table1[Q_int_frac DIW 10 mM KOH],"",0)</f>
        <v>#REF!</v>
      </c>
      <c r="AJ1661" s="69" t="e" cm="1">
        <f t="array" ref="AJ1661">_xlfn.XLOOKUP(Table1[[#This Row],[5 cm2 cell test code]:[5 cm2 cell test code]],[1]!Table1[[Test code]:[Test code]],[1]!Table1[DIW conductivity (µS/cm)],"",0)</f>
        <v>#REF!</v>
      </c>
    </row>
    <row r="1662" spans="1:36">
      <c r="A1662" s="81"/>
      <c r="U1662" s="101"/>
      <c r="V1662" s="101"/>
      <c r="W1662" s="69" t="e" cm="1">
        <f t="array" ref="W1662">_xlfn.XLOOKUP(Table1[[#This Row],[5 cm2 cell test code]:[5 cm2 cell test code]],[1]!Table1[[Test code]:[Test code]],[1]!Table1[i @ 1.8 V DIW (A/cm2)],"",0)</f>
        <v>#REF!</v>
      </c>
      <c r="X1662" s="69" t="e" cm="1">
        <f t="array" ref="X1662">_xlfn.XLOOKUP(Table1[[#This Row],[5 cm2 cell test code]:[5 cm2 cell test code]],[1]!Table1[[Test code]:[Test code]],[1]!Table1[i @ 1.8 V 10 mM KOH (A/cm2)],"",0)</f>
        <v>#REF!</v>
      </c>
      <c r="Y1662" s="69" t="e" cm="1">
        <f t="array" ref="Y1662">_xlfn.XLOOKUP(Table1[[#This Row],[5 cm2 cell test code]:[5 cm2 cell test code]],[1]!Table1[[Test code]:[Test code]],[1]!Table1[3-E ƞ at 20mAcm-2 (mV)],"",0)</f>
        <v>#REF!</v>
      </c>
      <c r="Z1662" s="69" t="e" cm="1">
        <f t="array" ref="Z1662">_xlfn.XLOOKUP(Table1[[#This Row],[5 cm2 cell test code]:[5 cm2 cell test code]],[1]!Table1[[Test code]:[Test code]],[1]!Table1[3-E Tafel slope (mV/dec)],"",0)</f>
        <v>#REF!</v>
      </c>
      <c r="AA1662" s="69" t="e" cm="1">
        <f t="array" ref="AA1662">_xlfn.XLOOKUP(Table1[[#This Row],[5 cm2 cell test code]:[5 cm2 cell test code]],[1]!Table1[[Test code]:[Test code]],[1]!Table1[E @ 100 mA/cm2 DIW/V],"",0)</f>
        <v>#REF!</v>
      </c>
      <c r="AB1662" s="69" t="e" cm="1">
        <f t="array" ref="AB1662">_xlfn.XLOOKUP(Table1[[#This Row],[5 cm2 cell test code]:[5 cm2 cell test code]],[1]!Table1[[Test code]:[Test code]],[1]!Table1[E @ 100 mA/cm2 10 mM KOH/V],"",0)</f>
        <v>#REF!</v>
      </c>
      <c r="AC1662" s="69" t="e" cm="1">
        <f t="array" ref="AC1662">_xlfn.XLOOKUP(Table1[[#This Row],[5 cm2 cell test code]:[5 cm2 cell test code]],[1]!Table1[[Test code]:[Test code]],[1]!Table1[Anode ICR/mOhm],"",0)</f>
        <v>#REF!</v>
      </c>
      <c r="AD1662" s="69" t="e" cm="1">
        <f t="array" ref="AD1662">_xlfn.XLOOKUP(Table1[[#This Row],[5 cm2 cell test code]:[5 cm2 cell test code]],[1]!Table1[[Test code]:[Test code]],[1]!Table1[HFR DIW/ mOhm cm2],"",0)</f>
        <v>#REF!</v>
      </c>
      <c r="AE1662" s="69" t="e" cm="1">
        <f t="array" ref="AE1662">_xlfn.XLOOKUP(Table1[[#This Row],[5 cm2 cell test code]:[5 cm2 cell test code]],[1]!Table1[[Test code]:[Test code]],[1]!Table1[HFR 10 mM KOH/ mOhm cm2],"",0)</f>
        <v>#REF!</v>
      </c>
      <c r="AF1662" s="69" t="e" cm="1">
        <f t="array" ref="AF1662">_xlfn.XLOOKUP(Table1[[#This Row],[5 cm2 cell test code]:[5 cm2 cell test code]],[1]!Table1[[Test code]:[Test code]],[1]!Table1[Ionic resistance DIW/Ohm cm2],"",0)</f>
        <v>#REF!</v>
      </c>
      <c r="AG1662" s="69" t="e" cm="1">
        <f t="array" ref="AG1662">_xlfn.XLOOKUP(Table1[[#This Row],[5 cm2 cell test code]:[5 cm2 cell test code]],[1]!Table1[[Test code]:[Test code]],[1]!Table1[Q_int_frac DIW],"",0)</f>
        <v>#REF!</v>
      </c>
      <c r="AH1662" s="69" t="e" cm="1">
        <f t="array" ref="AH1662">_xlfn.XLOOKUP(Table1[[#This Row],[5 cm2 cell test code]:[5 cm2 cell test code]],[1]!Table1[[Test code]:[Test code]],[1]!Table1[Ionic resistance 10 mM KOH/Ohm cm2],"",0)</f>
        <v>#REF!</v>
      </c>
      <c r="AI1662" s="69" t="e" cm="1">
        <f t="array" ref="AI1662">_xlfn.XLOOKUP(Table1[[#This Row],[5 cm2 cell test code]:[5 cm2 cell test code]],[1]!Table1[[Test code]:[Test code]],[1]!Table1[Q_int_frac DIW 10 mM KOH],"",0)</f>
        <v>#REF!</v>
      </c>
      <c r="AJ1662" s="69" t="e" cm="1">
        <f t="array" ref="AJ1662">_xlfn.XLOOKUP(Table1[[#This Row],[5 cm2 cell test code]:[5 cm2 cell test code]],[1]!Table1[[Test code]:[Test code]],[1]!Table1[DIW conductivity (µS/cm)],"",0)</f>
        <v>#REF!</v>
      </c>
    </row>
    <row r="1663" spans="1:36">
      <c r="A1663" s="81"/>
      <c r="U1663" s="101"/>
      <c r="V1663" s="101"/>
      <c r="W1663" s="69" t="e" cm="1">
        <f t="array" ref="W1663">_xlfn.XLOOKUP(Table1[[#This Row],[5 cm2 cell test code]:[5 cm2 cell test code]],[1]!Table1[[Test code]:[Test code]],[1]!Table1[i @ 1.8 V DIW (A/cm2)],"",0)</f>
        <v>#REF!</v>
      </c>
      <c r="X1663" s="69" t="e" cm="1">
        <f t="array" ref="X1663">_xlfn.XLOOKUP(Table1[[#This Row],[5 cm2 cell test code]:[5 cm2 cell test code]],[1]!Table1[[Test code]:[Test code]],[1]!Table1[i @ 1.8 V 10 mM KOH (A/cm2)],"",0)</f>
        <v>#REF!</v>
      </c>
      <c r="Y1663" s="69" t="e" cm="1">
        <f t="array" ref="Y1663">_xlfn.XLOOKUP(Table1[[#This Row],[5 cm2 cell test code]:[5 cm2 cell test code]],[1]!Table1[[Test code]:[Test code]],[1]!Table1[3-E ƞ at 20mAcm-2 (mV)],"",0)</f>
        <v>#REF!</v>
      </c>
      <c r="Z1663" s="69" t="e" cm="1">
        <f t="array" ref="Z1663">_xlfn.XLOOKUP(Table1[[#This Row],[5 cm2 cell test code]:[5 cm2 cell test code]],[1]!Table1[[Test code]:[Test code]],[1]!Table1[3-E Tafel slope (mV/dec)],"",0)</f>
        <v>#REF!</v>
      </c>
      <c r="AA1663" s="69" t="e" cm="1">
        <f t="array" ref="AA1663">_xlfn.XLOOKUP(Table1[[#This Row],[5 cm2 cell test code]:[5 cm2 cell test code]],[1]!Table1[[Test code]:[Test code]],[1]!Table1[E @ 100 mA/cm2 DIW/V],"",0)</f>
        <v>#REF!</v>
      </c>
      <c r="AB1663" s="69" t="e" cm="1">
        <f t="array" ref="AB1663">_xlfn.XLOOKUP(Table1[[#This Row],[5 cm2 cell test code]:[5 cm2 cell test code]],[1]!Table1[[Test code]:[Test code]],[1]!Table1[E @ 100 mA/cm2 10 mM KOH/V],"",0)</f>
        <v>#REF!</v>
      </c>
      <c r="AC1663" s="69" t="e" cm="1">
        <f t="array" ref="AC1663">_xlfn.XLOOKUP(Table1[[#This Row],[5 cm2 cell test code]:[5 cm2 cell test code]],[1]!Table1[[Test code]:[Test code]],[1]!Table1[Anode ICR/mOhm],"",0)</f>
        <v>#REF!</v>
      </c>
      <c r="AD1663" s="69" t="e" cm="1">
        <f t="array" ref="AD1663">_xlfn.XLOOKUP(Table1[[#This Row],[5 cm2 cell test code]:[5 cm2 cell test code]],[1]!Table1[[Test code]:[Test code]],[1]!Table1[HFR DIW/ mOhm cm2],"",0)</f>
        <v>#REF!</v>
      </c>
      <c r="AE1663" s="69" t="e" cm="1">
        <f t="array" ref="AE1663">_xlfn.XLOOKUP(Table1[[#This Row],[5 cm2 cell test code]:[5 cm2 cell test code]],[1]!Table1[[Test code]:[Test code]],[1]!Table1[HFR 10 mM KOH/ mOhm cm2],"",0)</f>
        <v>#REF!</v>
      </c>
      <c r="AF1663" s="69" t="e" cm="1">
        <f t="array" ref="AF1663">_xlfn.XLOOKUP(Table1[[#This Row],[5 cm2 cell test code]:[5 cm2 cell test code]],[1]!Table1[[Test code]:[Test code]],[1]!Table1[Ionic resistance DIW/Ohm cm2],"",0)</f>
        <v>#REF!</v>
      </c>
      <c r="AG1663" s="69" t="e" cm="1">
        <f t="array" ref="AG1663">_xlfn.XLOOKUP(Table1[[#This Row],[5 cm2 cell test code]:[5 cm2 cell test code]],[1]!Table1[[Test code]:[Test code]],[1]!Table1[Q_int_frac DIW],"",0)</f>
        <v>#REF!</v>
      </c>
      <c r="AH1663" s="69" t="e" cm="1">
        <f t="array" ref="AH1663">_xlfn.XLOOKUP(Table1[[#This Row],[5 cm2 cell test code]:[5 cm2 cell test code]],[1]!Table1[[Test code]:[Test code]],[1]!Table1[Ionic resistance 10 mM KOH/Ohm cm2],"",0)</f>
        <v>#REF!</v>
      </c>
      <c r="AI1663" s="69" t="e" cm="1">
        <f t="array" ref="AI1663">_xlfn.XLOOKUP(Table1[[#This Row],[5 cm2 cell test code]:[5 cm2 cell test code]],[1]!Table1[[Test code]:[Test code]],[1]!Table1[Q_int_frac DIW 10 mM KOH],"",0)</f>
        <v>#REF!</v>
      </c>
      <c r="AJ1663" s="69" t="e" cm="1">
        <f t="array" ref="AJ1663">_xlfn.XLOOKUP(Table1[[#This Row],[5 cm2 cell test code]:[5 cm2 cell test code]],[1]!Table1[[Test code]:[Test code]],[1]!Table1[DIW conductivity (µS/cm)],"",0)</f>
        <v>#REF!</v>
      </c>
    </row>
    <row r="1664" spans="1:36">
      <c r="A1664" s="81"/>
      <c r="U1664" s="101"/>
      <c r="V1664" s="101"/>
      <c r="W1664" s="69" t="e" cm="1">
        <f t="array" ref="W1664">_xlfn.XLOOKUP(Table1[[#This Row],[5 cm2 cell test code]:[5 cm2 cell test code]],[1]!Table1[[Test code]:[Test code]],[1]!Table1[i @ 1.8 V DIW (A/cm2)],"",0)</f>
        <v>#REF!</v>
      </c>
      <c r="X1664" s="69" t="e" cm="1">
        <f t="array" ref="X1664">_xlfn.XLOOKUP(Table1[[#This Row],[5 cm2 cell test code]:[5 cm2 cell test code]],[1]!Table1[[Test code]:[Test code]],[1]!Table1[i @ 1.8 V 10 mM KOH (A/cm2)],"",0)</f>
        <v>#REF!</v>
      </c>
      <c r="Y1664" s="69" t="e" cm="1">
        <f t="array" ref="Y1664">_xlfn.XLOOKUP(Table1[[#This Row],[5 cm2 cell test code]:[5 cm2 cell test code]],[1]!Table1[[Test code]:[Test code]],[1]!Table1[3-E ƞ at 20mAcm-2 (mV)],"",0)</f>
        <v>#REF!</v>
      </c>
      <c r="Z1664" s="69" t="e" cm="1">
        <f t="array" ref="Z1664">_xlfn.XLOOKUP(Table1[[#This Row],[5 cm2 cell test code]:[5 cm2 cell test code]],[1]!Table1[[Test code]:[Test code]],[1]!Table1[3-E Tafel slope (mV/dec)],"",0)</f>
        <v>#REF!</v>
      </c>
      <c r="AA1664" s="69" t="e" cm="1">
        <f t="array" ref="AA1664">_xlfn.XLOOKUP(Table1[[#This Row],[5 cm2 cell test code]:[5 cm2 cell test code]],[1]!Table1[[Test code]:[Test code]],[1]!Table1[E @ 100 mA/cm2 DIW/V],"",0)</f>
        <v>#REF!</v>
      </c>
      <c r="AB1664" s="69" t="e" cm="1">
        <f t="array" ref="AB1664">_xlfn.XLOOKUP(Table1[[#This Row],[5 cm2 cell test code]:[5 cm2 cell test code]],[1]!Table1[[Test code]:[Test code]],[1]!Table1[E @ 100 mA/cm2 10 mM KOH/V],"",0)</f>
        <v>#REF!</v>
      </c>
      <c r="AC1664" s="69" t="e" cm="1">
        <f t="array" ref="AC1664">_xlfn.XLOOKUP(Table1[[#This Row],[5 cm2 cell test code]:[5 cm2 cell test code]],[1]!Table1[[Test code]:[Test code]],[1]!Table1[Anode ICR/mOhm],"",0)</f>
        <v>#REF!</v>
      </c>
      <c r="AD1664" s="69" t="e" cm="1">
        <f t="array" ref="AD1664">_xlfn.XLOOKUP(Table1[[#This Row],[5 cm2 cell test code]:[5 cm2 cell test code]],[1]!Table1[[Test code]:[Test code]],[1]!Table1[HFR DIW/ mOhm cm2],"",0)</f>
        <v>#REF!</v>
      </c>
      <c r="AE1664" s="69" t="e" cm="1">
        <f t="array" ref="AE1664">_xlfn.XLOOKUP(Table1[[#This Row],[5 cm2 cell test code]:[5 cm2 cell test code]],[1]!Table1[[Test code]:[Test code]],[1]!Table1[HFR 10 mM KOH/ mOhm cm2],"",0)</f>
        <v>#REF!</v>
      </c>
      <c r="AF1664" s="69" t="e" cm="1">
        <f t="array" ref="AF1664">_xlfn.XLOOKUP(Table1[[#This Row],[5 cm2 cell test code]:[5 cm2 cell test code]],[1]!Table1[[Test code]:[Test code]],[1]!Table1[Ionic resistance DIW/Ohm cm2],"",0)</f>
        <v>#REF!</v>
      </c>
      <c r="AG1664" s="69" t="e" cm="1">
        <f t="array" ref="AG1664">_xlfn.XLOOKUP(Table1[[#This Row],[5 cm2 cell test code]:[5 cm2 cell test code]],[1]!Table1[[Test code]:[Test code]],[1]!Table1[Q_int_frac DIW],"",0)</f>
        <v>#REF!</v>
      </c>
      <c r="AH1664" s="69" t="e" cm="1">
        <f t="array" ref="AH1664">_xlfn.XLOOKUP(Table1[[#This Row],[5 cm2 cell test code]:[5 cm2 cell test code]],[1]!Table1[[Test code]:[Test code]],[1]!Table1[Ionic resistance 10 mM KOH/Ohm cm2],"",0)</f>
        <v>#REF!</v>
      </c>
      <c r="AI1664" s="69" t="e" cm="1">
        <f t="array" ref="AI1664">_xlfn.XLOOKUP(Table1[[#This Row],[5 cm2 cell test code]:[5 cm2 cell test code]],[1]!Table1[[Test code]:[Test code]],[1]!Table1[Q_int_frac DIW 10 mM KOH],"",0)</f>
        <v>#REF!</v>
      </c>
      <c r="AJ1664" s="69" t="e" cm="1">
        <f t="array" ref="AJ1664">_xlfn.XLOOKUP(Table1[[#This Row],[5 cm2 cell test code]:[5 cm2 cell test code]],[1]!Table1[[Test code]:[Test code]],[1]!Table1[DIW conductivity (µS/cm)],"",0)</f>
        <v>#REF!</v>
      </c>
    </row>
    <row r="1665" spans="1:36">
      <c r="A1665" s="81"/>
      <c r="U1665" s="101"/>
      <c r="V1665" s="101"/>
      <c r="W1665" s="69" t="e" cm="1">
        <f t="array" ref="W1665">_xlfn.XLOOKUP(Table1[[#This Row],[5 cm2 cell test code]:[5 cm2 cell test code]],[1]!Table1[[Test code]:[Test code]],[1]!Table1[i @ 1.8 V DIW (A/cm2)],"",0)</f>
        <v>#REF!</v>
      </c>
      <c r="X1665" s="69" t="e" cm="1">
        <f t="array" ref="X1665">_xlfn.XLOOKUP(Table1[[#This Row],[5 cm2 cell test code]:[5 cm2 cell test code]],[1]!Table1[[Test code]:[Test code]],[1]!Table1[i @ 1.8 V 10 mM KOH (A/cm2)],"",0)</f>
        <v>#REF!</v>
      </c>
      <c r="Y1665" s="69" t="e" cm="1">
        <f t="array" ref="Y1665">_xlfn.XLOOKUP(Table1[[#This Row],[5 cm2 cell test code]:[5 cm2 cell test code]],[1]!Table1[[Test code]:[Test code]],[1]!Table1[3-E ƞ at 20mAcm-2 (mV)],"",0)</f>
        <v>#REF!</v>
      </c>
      <c r="Z1665" s="69" t="e" cm="1">
        <f t="array" ref="Z1665">_xlfn.XLOOKUP(Table1[[#This Row],[5 cm2 cell test code]:[5 cm2 cell test code]],[1]!Table1[[Test code]:[Test code]],[1]!Table1[3-E Tafel slope (mV/dec)],"",0)</f>
        <v>#REF!</v>
      </c>
      <c r="AA1665" s="69" t="e" cm="1">
        <f t="array" ref="AA1665">_xlfn.XLOOKUP(Table1[[#This Row],[5 cm2 cell test code]:[5 cm2 cell test code]],[1]!Table1[[Test code]:[Test code]],[1]!Table1[E @ 100 mA/cm2 DIW/V],"",0)</f>
        <v>#REF!</v>
      </c>
      <c r="AB1665" s="69" t="e" cm="1">
        <f t="array" ref="AB1665">_xlfn.XLOOKUP(Table1[[#This Row],[5 cm2 cell test code]:[5 cm2 cell test code]],[1]!Table1[[Test code]:[Test code]],[1]!Table1[E @ 100 mA/cm2 10 mM KOH/V],"",0)</f>
        <v>#REF!</v>
      </c>
      <c r="AC1665" s="69" t="e" cm="1">
        <f t="array" ref="AC1665">_xlfn.XLOOKUP(Table1[[#This Row],[5 cm2 cell test code]:[5 cm2 cell test code]],[1]!Table1[[Test code]:[Test code]],[1]!Table1[Anode ICR/mOhm],"",0)</f>
        <v>#REF!</v>
      </c>
      <c r="AD1665" s="69" t="e" cm="1">
        <f t="array" ref="AD1665">_xlfn.XLOOKUP(Table1[[#This Row],[5 cm2 cell test code]:[5 cm2 cell test code]],[1]!Table1[[Test code]:[Test code]],[1]!Table1[HFR DIW/ mOhm cm2],"",0)</f>
        <v>#REF!</v>
      </c>
      <c r="AE1665" s="69" t="e" cm="1">
        <f t="array" ref="AE1665">_xlfn.XLOOKUP(Table1[[#This Row],[5 cm2 cell test code]:[5 cm2 cell test code]],[1]!Table1[[Test code]:[Test code]],[1]!Table1[HFR 10 mM KOH/ mOhm cm2],"",0)</f>
        <v>#REF!</v>
      </c>
      <c r="AF1665" s="69" t="e" cm="1">
        <f t="array" ref="AF1665">_xlfn.XLOOKUP(Table1[[#This Row],[5 cm2 cell test code]:[5 cm2 cell test code]],[1]!Table1[[Test code]:[Test code]],[1]!Table1[Ionic resistance DIW/Ohm cm2],"",0)</f>
        <v>#REF!</v>
      </c>
      <c r="AG1665" s="69" t="e" cm="1">
        <f t="array" ref="AG1665">_xlfn.XLOOKUP(Table1[[#This Row],[5 cm2 cell test code]:[5 cm2 cell test code]],[1]!Table1[[Test code]:[Test code]],[1]!Table1[Q_int_frac DIW],"",0)</f>
        <v>#REF!</v>
      </c>
      <c r="AH1665" s="69" t="e" cm="1">
        <f t="array" ref="AH1665">_xlfn.XLOOKUP(Table1[[#This Row],[5 cm2 cell test code]:[5 cm2 cell test code]],[1]!Table1[[Test code]:[Test code]],[1]!Table1[Ionic resistance 10 mM KOH/Ohm cm2],"",0)</f>
        <v>#REF!</v>
      </c>
      <c r="AI1665" s="69" t="e" cm="1">
        <f t="array" ref="AI1665">_xlfn.XLOOKUP(Table1[[#This Row],[5 cm2 cell test code]:[5 cm2 cell test code]],[1]!Table1[[Test code]:[Test code]],[1]!Table1[Q_int_frac DIW 10 mM KOH],"",0)</f>
        <v>#REF!</v>
      </c>
      <c r="AJ1665" s="69" t="e" cm="1">
        <f t="array" ref="AJ1665">_xlfn.XLOOKUP(Table1[[#This Row],[5 cm2 cell test code]:[5 cm2 cell test code]],[1]!Table1[[Test code]:[Test code]],[1]!Table1[DIW conductivity (µS/cm)],"",0)</f>
        <v>#REF!</v>
      </c>
    </row>
    <row r="1666" spans="1:36">
      <c r="A1666" s="81"/>
      <c r="U1666" s="101"/>
      <c r="V1666" s="101"/>
      <c r="W1666" s="69" t="e" cm="1">
        <f t="array" ref="W1666">_xlfn.XLOOKUP(Table1[[#This Row],[5 cm2 cell test code]:[5 cm2 cell test code]],[1]!Table1[[Test code]:[Test code]],[1]!Table1[i @ 1.8 V DIW (A/cm2)],"",0)</f>
        <v>#REF!</v>
      </c>
      <c r="X1666" s="69" t="e" cm="1">
        <f t="array" ref="X1666">_xlfn.XLOOKUP(Table1[[#This Row],[5 cm2 cell test code]:[5 cm2 cell test code]],[1]!Table1[[Test code]:[Test code]],[1]!Table1[i @ 1.8 V 10 mM KOH (A/cm2)],"",0)</f>
        <v>#REF!</v>
      </c>
      <c r="Y1666" s="69" t="e" cm="1">
        <f t="array" ref="Y1666">_xlfn.XLOOKUP(Table1[[#This Row],[5 cm2 cell test code]:[5 cm2 cell test code]],[1]!Table1[[Test code]:[Test code]],[1]!Table1[3-E ƞ at 20mAcm-2 (mV)],"",0)</f>
        <v>#REF!</v>
      </c>
      <c r="Z1666" s="69" t="e" cm="1">
        <f t="array" ref="Z1666">_xlfn.XLOOKUP(Table1[[#This Row],[5 cm2 cell test code]:[5 cm2 cell test code]],[1]!Table1[[Test code]:[Test code]],[1]!Table1[3-E Tafel slope (mV/dec)],"",0)</f>
        <v>#REF!</v>
      </c>
      <c r="AA1666" s="69" t="e" cm="1">
        <f t="array" ref="AA1666">_xlfn.XLOOKUP(Table1[[#This Row],[5 cm2 cell test code]:[5 cm2 cell test code]],[1]!Table1[[Test code]:[Test code]],[1]!Table1[E @ 100 mA/cm2 DIW/V],"",0)</f>
        <v>#REF!</v>
      </c>
      <c r="AB1666" s="69" t="e" cm="1">
        <f t="array" ref="AB1666">_xlfn.XLOOKUP(Table1[[#This Row],[5 cm2 cell test code]:[5 cm2 cell test code]],[1]!Table1[[Test code]:[Test code]],[1]!Table1[E @ 100 mA/cm2 10 mM KOH/V],"",0)</f>
        <v>#REF!</v>
      </c>
      <c r="AC1666" s="69" t="e" cm="1">
        <f t="array" ref="AC1666">_xlfn.XLOOKUP(Table1[[#This Row],[5 cm2 cell test code]:[5 cm2 cell test code]],[1]!Table1[[Test code]:[Test code]],[1]!Table1[Anode ICR/mOhm],"",0)</f>
        <v>#REF!</v>
      </c>
      <c r="AD1666" s="69" t="e" cm="1">
        <f t="array" ref="AD1666">_xlfn.XLOOKUP(Table1[[#This Row],[5 cm2 cell test code]:[5 cm2 cell test code]],[1]!Table1[[Test code]:[Test code]],[1]!Table1[HFR DIW/ mOhm cm2],"",0)</f>
        <v>#REF!</v>
      </c>
      <c r="AE1666" s="69" t="e" cm="1">
        <f t="array" ref="AE1666">_xlfn.XLOOKUP(Table1[[#This Row],[5 cm2 cell test code]:[5 cm2 cell test code]],[1]!Table1[[Test code]:[Test code]],[1]!Table1[HFR 10 mM KOH/ mOhm cm2],"",0)</f>
        <v>#REF!</v>
      </c>
      <c r="AF1666" s="69" t="e" cm="1">
        <f t="array" ref="AF1666">_xlfn.XLOOKUP(Table1[[#This Row],[5 cm2 cell test code]:[5 cm2 cell test code]],[1]!Table1[[Test code]:[Test code]],[1]!Table1[Ionic resistance DIW/Ohm cm2],"",0)</f>
        <v>#REF!</v>
      </c>
      <c r="AG1666" s="69" t="e" cm="1">
        <f t="array" ref="AG1666">_xlfn.XLOOKUP(Table1[[#This Row],[5 cm2 cell test code]:[5 cm2 cell test code]],[1]!Table1[[Test code]:[Test code]],[1]!Table1[Q_int_frac DIW],"",0)</f>
        <v>#REF!</v>
      </c>
      <c r="AH1666" s="69" t="e" cm="1">
        <f t="array" ref="AH1666">_xlfn.XLOOKUP(Table1[[#This Row],[5 cm2 cell test code]:[5 cm2 cell test code]],[1]!Table1[[Test code]:[Test code]],[1]!Table1[Ionic resistance 10 mM KOH/Ohm cm2],"",0)</f>
        <v>#REF!</v>
      </c>
      <c r="AI1666" s="69" t="e" cm="1">
        <f t="array" ref="AI1666">_xlfn.XLOOKUP(Table1[[#This Row],[5 cm2 cell test code]:[5 cm2 cell test code]],[1]!Table1[[Test code]:[Test code]],[1]!Table1[Q_int_frac DIW 10 mM KOH],"",0)</f>
        <v>#REF!</v>
      </c>
      <c r="AJ1666" s="69" t="e" cm="1">
        <f t="array" ref="AJ1666">_xlfn.XLOOKUP(Table1[[#This Row],[5 cm2 cell test code]:[5 cm2 cell test code]],[1]!Table1[[Test code]:[Test code]],[1]!Table1[DIW conductivity (µS/cm)],"",0)</f>
        <v>#REF!</v>
      </c>
    </row>
    <row r="1667" spans="1:36">
      <c r="A1667" s="81"/>
      <c r="U1667" s="101"/>
      <c r="V1667" s="101"/>
      <c r="W1667" s="69" t="e" cm="1">
        <f t="array" ref="W1667">_xlfn.XLOOKUP(Table1[[#This Row],[5 cm2 cell test code]:[5 cm2 cell test code]],[1]!Table1[[Test code]:[Test code]],[1]!Table1[i @ 1.8 V DIW (A/cm2)],"",0)</f>
        <v>#REF!</v>
      </c>
      <c r="X1667" s="69" t="e" cm="1">
        <f t="array" ref="X1667">_xlfn.XLOOKUP(Table1[[#This Row],[5 cm2 cell test code]:[5 cm2 cell test code]],[1]!Table1[[Test code]:[Test code]],[1]!Table1[i @ 1.8 V 10 mM KOH (A/cm2)],"",0)</f>
        <v>#REF!</v>
      </c>
      <c r="Y1667" s="69" t="e" cm="1">
        <f t="array" ref="Y1667">_xlfn.XLOOKUP(Table1[[#This Row],[5 cm2 cell test code]:[5 cm2 cell test code]],[1]!Table1[[Test code]:[Test code]],[1]!Table1[3-E ƞ at 20mAcm-2 (mV)],"",0)</f>
        <v>#REF!</v>
      </c>
      <c r="Z1667" s="69" t="e" cm="1">
        <f t="array" ref="Z1667">_xlfn.XLOOKUP(Table1[[#This Row],[5 cm2 cell test code]:[5 cm2 cell test code]],[1]!Table1[[Test code]:[Test code]],[1]!Table1[3-E Tafel slope (mV/dec)],"",0)</f>
        <v>#REF!</v>
      </c>
      <c r="AA1667" s="69" t="e" cm="1">
        <f t="array" ref="AA1667">_xlfn.XLOOKUP(Table1[[#This Row],[5 cm2 cell test code]:[5 cm2 cell test code]],[1]!Table1[[Test code]:[Test code]],[1]!Table1[E @ 100 mA/cm2 DIW/V],"",0)</f>
        <v>#REF!</v>
      </c>
      <c r="AB1667" s="69" t="e" cm="1">
        <f t="array" ref="AB1667">_xlfn.XLOOKUP(Table1[[#This Row],[5 cm2 cell test code]:[5 cm2 cell test code]],[1]!Table1[[Test code]:[Test code]],[1]!Table1[E @ 100 mA/cm2 10 mM KOH/V],"",0)</f>
        <v>#REF!</v>
      </c>
      <c r="AC1667" s="69" t="e" cm="1">
        <f t="array" ref="AC1667">_xlfn.XLOOKUP(Table1[[#This Row],[5 cm2 cell test code]:[5 cm2 cell test code]],[1]!Table1[[Test code]:[Test code]],[1]!Table1[Anode ICR/mOhm],"",0)</f>
        <v>#REF!</v>
      </c>
      <c r="AD1667" s="69" t="e" cm="1">
        <f t="array" ref="AD1667">_xlfn.XLOOKUP(Table1[[#This Row],[5 cm2 cell test code]:[5 cm2 cell test code]],[1]!Table1[[Test code]:[Test code]],[1]!Table1[HFR DIW/ mOhm cm2],"",0)</f>
        <v>#REF!</v>
      </c>
      <c r="AE1667" s="69" t="e" cm="1">
        <f t="array" ref="AE1667">_xlfn.XLOOKUP(Table1[[#This Row],[5 cm2 cell test code]:[5 cm2 cell test code]],[1]!Table1[[Test code]:[Test code]],[1]!Table1[HFR 10 mM KOH/ mOhm cm2],"",0)</f>
        <v>#REF!</v>
      </c>
      <c r="AF1667" s="69" t="e" cm="1">
        <f t="array" ref="AF1667">_xlfn.XLOOKUP(Table1[[#This Row],[5 cm2 cell test code]:[5 cm2 cell test code]],[1]!Table1[[Test code]:[Test code]],[1]!Table1[Ionic resistance DIW/Ohm cm2],"",0)</f>
        <v>#REF!</v>
      </c>
      <c r="AG1667" s="69" t="e" cm="1">
        <f t="array" ref="AG1667">_xlfn.XLOOKUP(Table1[[#This Row],[5 cm2 cell test code]:[5 cm2 cell test code]],[1]!Table1[[Test code]:[Test code]],[1]!Table1[Q_int_frac DIW],"",0)</f>
        <v>#REF!</v>
      </c>
      <c r="AH1667" s="69" t="e" cm="1">
        <f t="array" ref="AH1667">_xlfn.XLOOKUP(Table1[[#This Row],[5 cm2 cell test code]:[5 cm2 cell test code]],[1]!Table1[[Test code]:[Test code]],[1]!Table1[Ionic resistance 10 mM KOH/Ohm cm2],"",0)</f>
        <v>#REF!</v>
      </c>
      <c r="AI1667" s="69" t="e" cm="1">
        <f t="array" ref="AI1667">_xlfn.XLOOKUP(Table1[[#This Row],[5 cm2 cell test code]:[5 cm2 cell test code]],[1]!Table1[[Test code]:[Test code]],[1]!Table1[Q_int_frac DIW 10 mM KOH],"",0)</f>
        <v>#REF!</v>
      </c>
      <c r="AJ1667" s="69" t="e" cm="1">
        <f t="array" ref="AJ1667">_xlfn.XLOOKUP(Table1[[#This Row],[5 cm2 cell test code]:[5 cm2 cell test code]],[1]!Table1[[Test code]:[Test code]],[1]!Table1[DIW conductivity (µS/cm)],"",0)</f>
        <v>#REF!</v>
      </c>
    </row>
    <row r="1668" spans="1:36">
      <c r="A1668" s="81"/>
      <c r="U1668" s="101"/>
      <c r="V1668" s="101"/>
      <c r="W1668" s="69" t="e" cm="1">
        <f t="array" ref="W1668">_xlfn.XLOOKUP(Table1[[#This Row],[5 cm2 cell test code]:[5 cm2 cell test code]],[1]!Table1[[Test code]:[Test code]],[1]!Table1[i @ 1.8 V DIW (A/cm2)],"",0)</f>
        <v>#REF!</v>
      </c>
      <c r="X1668" s="69" t="e" cm="1">
        <f t="array" ref="X1668">_xlfn.XLOOKUP(Table1[[#This Row],[5 cm2 cell test code]:[5 cm2 cell test code]],[1]!Table1[[Test code]:[Test code]],[1]!Table1[i @ 1.8 V 10 mM KOH (A/cm2)],"",0)</f>
        <v>#REF!</v>
      </c>
      <c r="Y1668" s="69" t="e" cm="1">
        <f t="array" ref="Y1668">_xlfn.XLOOKUP(Table1[[#This Row],[5 cm2 cell test code]:[5 cm2 cell test code]],[1]!Table1[[Test code]:[Test code]],[1]!Table1[3-E ƞ at 20mAcm-2 (mV)],"",0)</f>
        <v>#REF!</v>
      </c>
      <c r="Z1668" s="69" t="e" cm="1">
        <f t="array" ref="Z1668">_xlfn.XLOOKUP(Table1[[#This Row],[5 cm2 cell test code]:[5 cm2 cell test code]],[1]!Table1[[Test code]:[Test code]],[1]!Table1[3-E Tafel slope (mV/dec)],"",0)</f>
        <v>#REF!</v>
      </c>
      <c r="AA1668" s="69" t="e" cm="1">
        <f t="array" ref="AA1668">_xlfn.XLOOKUP(Table1[[#This Row],[5 cm2 cell test code]:[5 cm2 cell test code]],[1]!Table1[[Test code]:[Test code]],[1]!Table1[E @ 100 mA/cm2 DIW/V],"",0)</f>
        <v>#REF!</v>
      </c>
      <c r="AB1668" s="69" t="e" cm="1">
        <f t="array" ref="AB1668">_xlfn.XLOOKUP(Table1[[#This Row],[5 cm2 cell test code]:[5 cm2 cell test code]],[1]!Table1[[Test code]:[Test code]],[1]!Table1[E @ 100 mA/cm2 10 mM KOH/V],"",0)</f>
        <v>#REF!</v>
      </c>
      <c r="AC1668" s="69" t="e" cm="1">
        <f t="array" ref="AC1668">_xlfn.XLOOKUP(Table1[[#This Row],[5 cm2 cell test code]:[5 cm2 cell test code]],[1]!Table1[[Test code]:[Test code]],[1]!Table1[Anode ICR/mOhm],"",0)</f>
        <v>#REF!</v>
      </c>
      <c r="AD1668" s="69" t="e" cm="1">
        <f t="array" ref="AD1668">_xlfn.XLOOKUP(Table1[[#This Row],[5 cm2 cell test code]:[5 cm2 cell test code]],[1]!Table1[[Test code]:[Test code]],[1]!Table1[HFR DIW/ mOhm cm2],"",0)</f>
        <v>#REF!</v>
      </c>
      <c r="AE1668" s="69" t="e" cm="1">
        <f t="array" ref="AE1668">_xlfn.XLOOKUP(Table1[[#This Row],[5 cm2 cell test code]:[5 cm2 cell test code]],[1]!Table1[[Test code]:[Test code]],[1]!Table1[HFR 10 mM KOH/ mOhm cm2],"",0)</f>
        <v>#REF!</v>
      </c>
      <c r="AF1668" s="69" t="e" cm="1">
        <f t="array" ref="AF1668">_xlfn.XLOOKUP(Table1[[#This Row],[5 cm2 cell test code]:[5 cm2 cell test code]],[1]!Table1[[Test code]:[Test code]],[1]!Table1[Ionic resistance DIW/Ohm cm2],"",0)</f>
        <v>#REF!</v>
      </c>
      <c r="AG1668" s="69" t="e" cm="1">
        <f t="array" ref="AG1668">_xlfn.XLOOKUP(Table1[[#This Row],[5 cm2 cell test code]:[5 cm2 cell test code]],[1]!Table1[[Test code]:[Test code]],[1]!Table1[Q_int_frac DIW],"",0)</f>
        <v>#REF!</v>
      </c>
      <c r="AH1668" s="69" t="e" cm="1">
        <f t="array" ref="AH1668">_xlfn.XLOOKUP(Table1[[#This Row],[5 cm2 cell test code]:[5 cm2 cell test code]],[1]!Table1[[Test code]:[Test code]],[1]!Table1[Ionic resistance 10 mM KOH/Ohm cm2],"",0)</f>
        <v>#REF!</v>
      </c>
      <c r="AI1668" s="69" t="e" cm="1">
        <f t="array" ref="AI1668">_xlfn.XLOOKUP(Table1[[#This Row],[5 cm2 cell test code]:[5 cm2 cell test code]],[1]!Table1[[Test code]:[Test code]],[1]!Table1[Q_int_frac DIW 10 mM KOH],"",0)</f>
        <v>#REF!</v>
      </c>
      <c r="AJ1668" s="69" t="e" cm="1">
        <f t="array" ref="AJ1668">_xlfn.XLOOKUP(Table1[[#This Row],[5 cm2 cell test code]:[5 cm2 cell test code]],[1]!Table1[[Test code]:[Test code]],[1]!Table1[DIW conductivity (µS/cm)],"",0)</f>
        <v>#REF!</v>
      </c>
    </row>
    <row r="1669" spans="1:36">
      <c r="A1669" s="81"/>
      <c r="U1669" s="101"/>
      <c r="V1669" s="101"/>
      <c r="W1669" s="69" t="e" cm="1">
        <f t="array" ref="W1669">_xlfn.XLOOKUP(Table1[[#This Row],[5 cm2 cell test code]:[5 cm2 cell test code]],[1]!Table1[[Test code]:[Test code]],[1]!Table1[i @ 1.8 V DIW (A/cm2)],"",0)</f>
        <v>#REF!</v>
      </c>
      <c r="X1669" s="69" t="e" cm="1">
        <f t="array" ref="X1669">_xlfn.XLOOKUP(Table1[[#This Row],[5 cm2 cell test code]:[5 cm2 cell test code]],[1]!Table1[[Test code]:[Test code]],[1]!Table1[i @ 1.8 V 10 mM KOH (A/cm2)],"",0)</f>
        <v>#REF!</v>
      </c>
      <c r="Y1669" s="69" t="e" cm="1">
        <f t="array" ref="Y1669">_xlfn.XLOOKUP(Table1[[#This Row],[5 cm2 cell test code]:[5 cm2 cell test code]],[1]!Table1[[Test code]:[Test code]],[1]!Table1[3-E ƞ at 20mAcm-2 (mV)],"",0)</f>
        <v>#REF!</v>
      </c>
      <c r="Z1669" s="69" t="e" cm="1">
        <f t="array" ref="Z1669">_xlfn.XLOOKUP(Table1[[#This Row],[5 cm2 cell test code]:[5 cm2 cell test code]],[1]!Table1[[Test code]:[Test code]],[1]!Table1[3-E Tafel slope (mV/dec)],"",0)</f>
        <v>#REF!</v>
      </c>
      <c r="AA1669" s="69" t="e" cm="1">
        <f t="array" ref="AA1669">_xlfn.XLOOKUP(Table1[[#This Row],[5 cm2 cell test code]:[5 cm2 cell test code]],[1]!Table1[[Test code]:[Test code]],[1]!Table1[E @ 100 mA/cm2 DIW/V],"",0)</f>
        <v>#REF!</v>
      </c>
      <c r="AB1669" s="69" t="e" cm="1">
        <f t="array" ref="AB1669">_xlfn.XLOOKUP(Table1[[#This Row],[5 cm2 cell test code]:[5 cm2 cell test code]],[1]!Table1[[Test code]:[Test code]],[1]!Table1[E @ 100 mA/cm2 10 mM KOH/V],"",0)</f>
        <v>#REF!</v>
      </c>
      <c r="AC1669" s="69" t="e" cm="1">
        <f t="array" ref="AC1669">_xlfn.XLOOKUP(Table1[[#This Row],[5 cm2 cell test code]:[5 cm2 cell test code]],[1]!Table1[[Test code]:[Test code]],[1]!Table1[Anode ICR/mOhm],"",0)</f>
        <v>#REF!</v>
      </c>
      <c r="AD1669" s="69" t="e" cm="1">
        <f t="array" ref="AD1669">_xlfn.XLOOKUP(Table1[[#This Row],[5 cm2 cell test code]:[5 cm2 cell test code]],[1]!Table1[[Test code]:[Test code]],[1]!Table1[HFR DIW/ mOhm cm2],"",0)</f>
        <v>#REF!</v>
      </c>
      <c r="AE1669" s="69" t="e" cm="1">
        <f t="array" ref="AE1669">_xlfn.XLOOKUP(Table1[[#This Row],[5 cm2 cell test code]:[5 cm2 cell test code]],[1]!Table1[[Test code]:[Test code]],[1]!Table1[HFR 10 mM KOH/ mOhm cm2],"",0)</f>
        <v>#REF!</v>
      </c>
      <c r="AF1669" s="69" t="e" cm="1">
        <f t="array" ref="AF1669">_xlfn.XLOOKUP(Table1[[#This Row],[5 cm2 cell test code]:[5 cm2 cell test code]],[1]!Table1[[Test code]:[Test code]],[1]!Table1[Ionic resistance DIW/Ohm cm2],"",0)</f>
        <v>#REF!</v>
      </c>
      <c r="AG1669" s="69" t="e" cm="1">
        <f t="array" ref="AG1669">_xlfn.XLOOKUP(Table1[[#This Row],[5 cm2 cell test code]:[5 cm2 cell test code]],[1]!Table1[[Test code]:[Test code]],[1]!Table1[Q_int_frac DIW],"",0)</f>
        <v>#REF!</v>
      </c>
      <c r="AH1669" s="69" t="e" cm="1">
        <f t="array" ref="AH1669">_xlfn.XLOOKUP(Table1[[#This Row],[5 cm2 cell test code]:[5 cm2 cell test code]],[1]!Table1[[Test code]:[Test code]],[1]!Table1[Ionic resistance 10 mM KOH/Ohm cm2],"",0)</f>
        <v>#REF!</v>
      </c>
      <c r="AI1669" s="69" t="e" cm="1">
        <f t="array" ref="AI1669">_xlfn.XLOOKUP(Table1[[#This Row],[5 cm2 cell test code]:[5 cm2 cell test code]],[1]!Table1[[Test code]:[Test code]],[1]!Table1[Q_int_frac DIW 10 mM KOH],"",0)</f>
        <v>#REF!</v>
      </c>
      <c r="AJ1669" s="69" t="e" cm="1">
        <f t="array" ref="AJ1669">_xlfn.XLOOKUP(Table1[[#This Row],[5 cm2 cell test code]:[5 cm2 cell test code]],[1]!Table1[[Test code]:[Test code]],[1]!Table1[DIW conductivity (µS/cm)],"",0)</f>
        <v>#REF!</v>
      </c>
    </row>
    <row r="1670" spans="1:36">
      <c r="A1670" s="81"/>
      <c r="U1670" s="101"/>
      <c r="V1670" s="101"/>
      <c r="W1670" s="69" t="e" cm="1">
        <f t="array" ref="W1670">_xlfn.XLOOKUP(Table1[[#This Row],[5 cm2 cell test code]:[5 cm2 cell test code]],[1]!Table1[[Test code]:[Test code]],[1]!Table1[i @ 1.8 V DIW (A/cm2)],"",0)</f>
        <v>#REF!</v>
      </c>
      <c r="X1670" s="69" t="e" cm="1">
        <f t="array" ref="X1670">_xlfn.XLOOKUP(Table1[[#This Row],[5 cm2 cell test code]:[5 cm2 cell test code]],[1]!Table1[[Test code]:[Test code]],[1]!Table1[i @ 1.8 V 10 mM KOH (A/cm2)],"",0)</f>
        <v>#REF!</v>
      </c>
      <c r="Y1670" s="69" t="e" cm="1">
        <f t="array" ref="Y1670">_xlfn.XLOOKUP(Table1[[#This Row],[5 cm2 cell test code]:[5 cm2 cell test code]],[1]!Table1[[Test code]:[Test code]],[1]!Table1[3-E ƞ at 20mAcm-2 (mV)],"",0)</f>
        <v>#REF!</v>
      </c>
      <c r="Z1670" s="69" t="e" cm="1">
        <f t="array" ref="Z1670">_xlfn.XLOOKUP(Table1[[#This Row],[5 cm2 cell test code]:[5 cm2 cell test code]],[1]!Table1[[Test code]:[Test code]],[1]!Table1[3-E Tafel slope (mV/dec)],"",0)</f>
        <v>#REF!</v>
      </c>
      <c r="AA1670" s="69" t="e" cm="1">
        <f t="array" ref="AA1670">_xlfn.XLOOKUP(Table1[[#This Row],[5 cm2 cell test code]:[5 cm2 cell test code]],[1]!Table1[[Test code]:[Test code]],[1]!Table1[E @ 100 mA/cm2 DIW/V],"",0)</f>
        <v>#REF!</v>
      </c>
      <c r="AB1670" s="69" t="e" cm="1">
        <f t="array" ref="AB1670">_xlfn.XLOOKUP(Table1[[#This Row],[5 cm2 cell test code]:[5 cm2 cell test code]],[1]!Table1[[Test code]:[Test code]],[1]!Table1[E @ 100 mA/cm2 10 mM KOH/V],"",0)</f>
        <v>#REF!</v>
      </c>
      <c r="AC1670" s="69" t="e" cm="1">
        <f t="array" ref="AC1670">_xlfn.XLOOKUP(Table1[[#This Row],[5 cm2 cell test code]:[5 cm2 cell test code]],[1]!Table1[[Test code]:[Test code]],[1]!Table1[Anode ICR/mOhm],"",0)</f>
        <v>#REF!</v>
      </c>
      <c r="AD1670" s="69" t="e" cm="1">
        <f t="array" ref="AD1670">_xlfn.XLOOKUP(Table1[[#This Row],[5 cm2 cell test code]:[5 cm2 cell test code]],[1]!Table1[[Test code]:[Test code]],[1]!Table1[HFR DIW/ mOhm cm2],"",0)</f>
        <v>#REF!</v>
      </c>
      <c r="AE1670" s="69" t="e" cm="1">
        <f t="array" ref="AE1670">_xlfn.XLOOKUP(Table1[[#This Row],[5 cm2 cell test code]:[5 cm2 cell test code]],[1]!Table1[[Test code]:[Test code]],[1]!Table1[HFR 10 mM KOH/ mOhm cm2],"",0)</f>
        <v>#REF!</v>
      </c>
      <c r="AF1670" s="69" t="e" cm="1">
        <f t="array" ref="AF1670">_xlfn.XLOOKUP(Table1[[#This Row],[5 cm2 cell test code]:[5 cm2 cell test code]],[1]!Table1[[Test code]:[Test code]],[1]!Table1[Ionic resistance DIW/Ohm cm2],"",0)</f>
        <v>#REF!</v>
      </c>
      <c r="AG1670" s="69" t="e" cm="1">
        <f t="array" ref="AG1670">_xlfn.XLOOKUP(Table1[[#This Row],[5 cm2 cell test code]:[5 cm2 cell test code]],[1]!Table1[[Test code]:[Test code]],[1]!Table1[Q_int_frac DIW],"",0)</f>
        <v>#REF!</v>
      </c>
      <c r="AH1670" s="69" t="e" cm="1">
        <f t="array" ref="AH1670">_xlfn.XLOOKUP(Table1[[#This Row],[5 cm2 cell test code]:[5 cm2 cell test code]],[1]!Table1[[Test code]:[Test code]],[1]!Table1[Ionic resistance 10 mM KOH/Ohm cm2],"",0)</f>
        <v>#REF!</v>
      </c>
      <c r="AI1670" s="69" t="e" cm="1">
        <f t="array" ref="AI1670">_xlfn.XLOOKUP(Table1[[#This Row],[5 cm2 cell test code]:[5 cm2 cell test code]],[1]!Table1[[Test code]:[Test code]],[1]!Table1[Q_int_frac DIW 10 mM KOH],"",0)</f>
        <v>#REF!</v>
      </c>
      <c r="AJ1670" s="69" t="e" cm="1">
        <f t="array" ref="AJ1670">_xlfn.XLOOKUP(Table1[[#This Row],[5 cm2 cell test code]:[5 cm2 cell test code]],[1]!Table1[[Test code]:[Test code]],[1]!Table1[DIW conductivity (µS/cm)],"",0)</f>
        <v>#REF!</v>
      </c>
    </row>
    <row r="1671" spans="1:36">
      <c r="A1671" s="81"/>
      <c r="U1671" s="101"/>
      <c r="V1671" s="101"/>
      <c r="W1671" s="69" t="e" cm="1">
        <f t="array" ref="W1671">_xlfn.XLOOKUP(Table1[[#This Row],[5 cm2 cell test code]:[5 cm2 cell test code]],[1]!Table1[[Test code]:[Test code]],[1]!Table1[i @ 1.8 V DIW (A/cm2)],"",0)</f>
        <v>#REF!</v>
      </c>
      <c r="X1671" s="69" t="e" cm="1">
        <f t="array" ref="X1671">_xlfn.XLOOKUP(Table1[[#This Row],[5 cm2 cell test code]:[5 cm2 cell test code]],[1]!Table1[[Test code]:[Test code]],[1]!Table1[i @ 1.8 V 10 mM KOH (A/cm2)],"",0)</f>
        <v>#REF!</v>
      </c>
      <c r="Y1671" s="69" t="e" cm="1">
        <f t="array" ref="Y1671">_xlfn.XLOOKUP(Table1[[#This Row],[5 cm2 cell test code]:[5 cm2 cell test code]],[1]!Table1[[Test code]:[Test code]],[1]!Table1[3-E ƞ at 20mAcm-2 (mV)],"",0)</f>
        <v>#REF!</v>
      </c>
      <c r="Z1671" s="69" t="e" cm="1">
        <f t="array" ref="Z1671">_xlfn.XLOOKUP(Table1[[#This Row],[5 cm2 cell test code]:[5 cm2 cell test code]],[1]!Table1[[Test code]:[Test code]],[1]!Table1[3-E Tafel slope (mV/dec)],"",0)</f>
        <v>#REF!</v>
      </c>
      <c r="AA1671" s="69" t="e" cm="1">
        <f t="array" ref="AA1671">_xlfn.XLOOKUP(Table1[[#This Row],[5 cm2 cell test code]:[5 cm2 cell test code]],[1]!Table1[[Test code]:[Test code]],[1]!Table1[E @ 100 mA/cm2 DIW/V],"",0)</f>
        <v>#REF!</v>
      </c>
      <c r="AB1671" s="69" t="e" cm="1">
        <f t="array" ref="AB1671">_xlfn.XLOOKUP(Table1[[#This Row],[5 cm2 cell test code]:[5 cm2 cell test code]],[1]!Table1[[Test code]:[Test code]],[1]!Table1[E @ 100 mA/cm2 10 mM KOH/V],"",0)</f>
        <v>#REF!</v>
      </c>
      <c r="AC1671" s="69" t="e" cm="1">
        <f t="array" ref="AC1671">_xlfn.XLOOKUP(Table1[[#This Row],[5 cm2 cell test code]:[5 cm2 cell test code]],[1]!Table1[[Test code]:[Test code]],[1]!Table1[Anode ICR/mOhm],"",0)</f>
        <v>#REF!</v>
      </c>
      <c r="AD1671" s="69" t="e" cm="1">
        <f t="array" ref="AD1671">_xlfn.XLOOKUP(Table1[[#This Row],[5 cm2 cell test code]:[5 cm2 cell test code]],[1]!Table1[[Test code]:[Test code]],[1]!Table1[HFR DIW/ mOhm cm2],"",0)</f>
        <v>#REF!</v>
      </c>
      <c r="AE1671" s="69" t="e" cm="1">
        <f t="array" ref="AE1671">_xlfn.XLOOKUP(Table1[[#This Row],[5 cm2 cell test code]:[5 cm2 cell test code]],[1]!Table1[[Test code]:[Test code]],[1]!Table1[HFR 10 mM KOH/ mOhm cm2],"",0)</f>
        <v>#REF!</v>
      </c>
      <c r="AF1671" s="69" t="e" cm="1">
        <f t="array" ref="AF1671">_xlfn.XLOOKUP(Table1[[#This Row],[5 cm2 cell test code]:[5 cm2 cell test code]],[1]!Table1[[Test code]:[Test code]],[1]!Table1[Ionic resistance DIW/Ohm cm2],"",0)</f>
        <v>#REF!</v>
      </c>
      <c r="AG1671" s="69" t="e" cm="1">
        <f t="array" ref="AG1671">_xlfn.XLOOKUP(Table1[[#This Row],[5 cm2 cell test code]:[5 cm2 cell test code]],[1]!Table1[[Test code]:[Test code]],[1]!Table1[Q_int_frac DIW],"",0)</f>
        <v>#REF!</v>
      </c>
      <c r="AH1671" s="69" t="e" cm="1">
        <f t="array" ref="AH1671">_xlfn.XLOOKUP(Table1[[#This Row],[5 cm2 cell test code]:[5 cm2 cell test code]],[1]!Table1[[Test code]:[Test code]],[1]!Table1[Ionic resistance 10 mM KOH/Ohm cm2],"",0)</f>
        <v>#REF!</v>
      </c>
      <c r="AI1671" s="69" t="e" cm="1">
        <f t="array" ref="AI1671">_xlfn.XLOOKUP(Table1[[#This Row],[5 cm2 cell test code]:[5 cm2 cell test code]],[1]!Table1[[Test code]:[Test code]],[1]!Table1[Q_int_frac DIW 10 mM KOH],"",0)</f>
        <v>#REF!</v>
      </c>
      <c r="AJ1671" s="69" t="e" cm="1">
        <f t="array" ref="AJ1671">_xlfn.XLOOKUP(Table1[[#This Row],[5 cm2 cell test code]:[5 cm2 cell test code]],[1]!Table1[[Test code]:[Test code]],[1]!Table1[DIW conductivity (µS/cm)],"",0)</f>
        <v>#REF!</v>
      </c>
    </row>
    <row r="1672" spans="1:36">
      <c r="A1672" s="81"/>
      <c r="U1672" s="101"/>
      <c r="V1672" s="101"/>
      <c r="W1672" s="69" t="e" cm="1">
        <f t="array" ref="W1672">_xlfn.XLOOKUP(Table1[[#This Row],[5 cm2 cell test code]:[5 cm2 cell test code]],[1]!Table1[[Test code]:[Test code]],[1]!Table1[i @ 1.8 V DIW (A/cm2)],"",0)</f>
        <v>#REF!</v>
      </c>
      <c r="X1672" s="69" t="e" cm="1">
        <f t="array" ref="X1672">_xlfn.XLOOKUP(Table1[[#This Row],[5 cm2 cell test code]:[5 cm2 cell test code]],[1]!Table1[[Test code]:[Test code]],[1]!Table1[i @ 1.8 V 10 mM KOH (A/cm2)],"",0)</f>
        <v>#REF!</v>
      </c>
      <c r="Y1672" s="69" t="e" cm="1">
        <f t="array" ref="Y1672">_xlfn.XLOOKUP(Table1[[#This Row],[5 cm2 cell test code]:[5 cm2 cell test code]],[1]!Table1[[Test code]:[Test code]],[1]!Table1[3-E ƞ at 20mAcm-2 (mV)],"",0)</f>
        <v>#REF!</v>
      </c>
      <c r="Z1672" s="69" t="e" cm="1">
        <f t="array" ref="Z1672">_xlfn.XLOOKUP(Table1[[#This Row],[5 cm2 cell test code]:[5 cm2 cell test code]],[1]!Table1[[Test code]:[Test code]],[1]!Table1[3-E Tafel slope (mV/dec)],"",0)</f>
        <v>#REF!</v>
      </c>
      <c r="AA1672" s="69" t="e" cm="1">
        <f t="array" ref="AA1672">_xlfn.XLOOKUP(Table1[[#This Row],[5 cm2 cell test code]:[5 cm2 cell test code]],[1]!Table1[[Test code]:[Test code]],[1]!Table1[E @ 100 mA/cm2 DIW/V],"",0)</f>
        <v>#REF!</v>
      </c>
      <c r="AB1672" s="69" t="e" cm="1">
        <f t="array" ref="AB1672">_xlfn.XLOOKUP(Table1[[#This Row],[5 cm2 cell test code]:[5 cm2 cell test code]],[1]!Table1[[Test code]:[Test code]],[1]!Table1[E @ 100 mA/cm2 10 mM KOH/V],"",0)</f>
        <v>#REF!</v>
      </c>
      <c r="AC1672" s="69" t="e" cm="1">
        <f t="array" ref="AC1672">_xlfn.XLOOKUP(Table1[[#This Row],[5 cm2 cell test code]:[5 cm2 cell test code]],[1]!Table1[[Test code]:[Test code]],[1]!Table1[Anode ICR/mOhm],"",0)</f>
        <v>#REF!</v>
      </c>
      <c r="AD1672" s="69" t="e" cm="1">
        <f t="array" ref="AD1672">_xlfn.XLOOKUP(Table1[[#This Row],[5 cm2 cell test code]:[5 cm2 cell test code]],[1]!Table1[[Test code]:[Test code]],[1]!Table1[HFR DIW/ mOhm cm2],"",0)</f>
        <v>#REF!</v>
      </c>
      <c r="AE1672" s="69" t="e" cm="1">
        <f t="array" ref="AE1672">_xlfn.XLOOKUP(Table1[[#This Row],[5 cm2 cell test code]:[5 cm2 cell test code]],[1]!Table1[[Test code]:[Test code]],[1]!Table1[HFR 10 mM KOH/ mOhm cm2],"",0)</f>
        <v>#REF!</v>
      </c>
      <c r="AF1672" s="69" t="e" cm="1">
        <f t="array" ref="AF1672">_xlfn.XLOOKUP(Table1[[#This Row],[5 cm2 cell test code]:[5 cm2 cell test code]],[1]!Table1[[Test code]:[Test code]],[1]!Table1[Ionic resistance DIW/Ohm cm2],"",0)</f>
        <v>#REF!</v>
      </c>
      <c r="AG1672" s="69" t="e" cm="1">
        <f t="array" ref="AG1672">_xlfn.XLOOKUP(Table1[[#This Row],[5 cm2 cell test code]:[5 cm2 cell test code]],[1]!Table1[[Test code]:[Test code]],[1]!Table1[Q_int_frac DIW],"",0)</f>
        <v>#REF!</v>
      </c>
      <c r="AH1672" s="69" t="e" cm="1">
        <f t="array" ref="AH1672">_xlfn.XLOOKUP(Table1[[#This Row],[5 cm2 cell test code]:[5 cm2 cell test code]],[1]!Table1[[Test code]:[Test code]],[1]!Table1[Ionic resistance 10 mM KOH/Ohm cm2],"",0)</f>
        <v>#REF!</v>
      </c>
      <c r="AI1672" s="69" t="e" cm="1">
        <f t="array" ref="AI1672">_xlfn.XLOOKUP(Table1[[#This Row],[5 cm2 cell test code]:[5 cm2 cell test code]],[1]!Table1[[Test code]:[Test code]],[1]!Table1[Q_int_frac DIW 10 mM KOH],"",0)</f>
        <v>#REF!</v>
      </c>
      <c r="AJ1672" s="69" t="e" cm="1">
        <f t="array" ref="AJ1672">_xlfn.XLOOKUP(Table1[[#This Row],[5 cm2 cell test code]:[5 cm2 cell test code]],[1]!Table1[[Test code]:[Test code]],[1]!Table1[DIW conductivity (µS/cm)],"",0)</f>
        <v>#REF!</v>
      </c>
    </row>
    <row r="1673" spans="1:36">
      <c r="A1673" s="81"/>
      <c r="U1673" s="101"/>
      <c r="V1673" s="101"/>
      <c r="W1673" s="69" t="e" cm="1">
        <f t="array" ref="W1673">_xlfn.XLOOKUP(Table1[[#This Row],[5 cm2 cell test code]:[5 cm2 cell test code]],[1]!Table1[[Test code]:[Test code]],[1]!Table1[i @ 1.8 V DIW (A/cm2)],"",0)</f>
        <v>#REF!</v>
      </c>
      <c r="X1673" s="69" t="e" cm="1">
        <f t="array" ref="X1673">_xlfn.XLOOKUP(Table1[[#This Row],[5 cm2 cell test code]:[5 cm2 cell test code]],[1]!Table1[[Test code]:[Test code]],[1]!Table1[i @ 1.8 V 10 mM KOH (A/cm2)],"",0)</f>
        <v>#REF!</v>
      </c>
      <c r="Y1673" s="69" t="e" cm="1">
        <f t="array" ref="Y1673">_xlfn.XLOOKUP(Table1[[#This Row],[5 cm2 cell test code]:[5 cm2 cell test code]],[1]!Table1[[Test code]:[Test code]],[1]!Table1[3-E ƞ at 20mAcm-2 (mV)],"",0)</f>
        <v>#REF!</v>
      </c>
      <c r="Z1673" s="69" t="e" cm="1">
        <f t="array" ref="Z1673">_xlfn.XLOOKUP(Table1[[#This Row],[5 cm2 cell test code]:[5 cm2 cell test code]],[1]!Table1[[Test code]:[Test code]],[1]!Table1[3-E Tafel slope (mV/dec)],"",0)</f>
        <v>#REF!</v>
      </c>
      <c r="AA1673" s="69" t="e" cm="1">
        <f t="array" ref="AA1673">_xlfn.XLOOKUP(Table1[[#This Row],[5 cm2 cell test code]:[5 cm2 cell test code]],[1]!Table1[[Test code]:[Test code]],[1]!Table1[E @ 100 mA/cm2 DIW/V],"",0)</f>
        <v>#REF!</v>
      </c>
      <c r="AB1673" s="69" t="e" cm="1">
        <f t="array" ref="AB1673">_xlfn.XLOOKUP(Table1[[#This Row],[5 cm2 cell test code]:[5 cm2 cell test code]],[1]!Table1[[Test code]:[Test code]],[1]!Table1[E @ 100 mA/cm2 10 mM KOH/V],"",0)</f>
        <v>#REF!</v>
      </c>
      <c r="AC1673" s="69" t="e" cm="1">
        <f t="array" ref="AC1673">_xlfn.XLOOKUP(Table1[[#This Row],[5 cm2 cell test code]:[5 cm2 cell test code]],[1]!Table1[[Test code]:[Test code]],[1]!Table1[Anode ICR/mOhm],"",0)</f>
        <v>#REF!</v>
      </c>
      <c r="AD1673" s="69" t="e" cm="1">
        <f t="array" ref="AD1673">_xlfn.XLOOKUP(Table1[[#This Row],[5 cm2 cell test code]:[5 cm2 cell test code]],[1]!Table1[[Test code]:[Test code]],[1]!Table1[HFR DIW/ mOhm cm2],"",0)</f>
        <v>#REF!</v>
      </c>
      <c r="AE1673" s="69" t="e" cm="1">
        <f t="array" ref="AE1673">_xlfn.XLOOKUP(Table1[[#This Row],[5 cm2 cell test code]:[5 cm2 cell test code]],[1]!Table1[[Test code]:[Test code]],[1]!Table1[HFR 10 mM KOH/ mOhm cm2],"",0)</f>
        <v>#REF!</v>
      </c>
      <c r="AF1673" s="69" t="e" cm="1">
        <f t="array" ref="AF1673">_xlfn.XLOOKUP(Table1[[#This Row],[5 cm2 cell test code]:[5 cm2 cell test code]],[1]!Table1[[Test code]:[Test code]],[1]!Table1[Ionic resistance DIW/Ohm cm2],"",0)</f>
        <v>#REF!</v>
      </c>
      <c r="AG1673" s="69" t="e" cm="1">
        <f t="array" ref="AG1673">_xlfn.XLOOKUP(Table1[[#This Row],[5 cm2 cell test code]:[5 cm2 cell test code]],[1]!Table1[[Test code]:[Test code]],[1]!Table1[Q_int_frac DIW],"",0)</f>
        <v>#REF!</v>
      </c>
      <c r="AH1673" s="69" t="e" cm="1">
        <f t="array" ref="AH1673">_xlfn.XLOOKUP(Table1[[#This Row],[5 cm2 cell test code]:[5 cm2 cell test code]],[1]!Table1[[Test code]:[Test code]],[1]!Table1[Ionic resistance 10 mM KOH/Ohm cm2],"",0)</f>
        <v>#REF!</v>
      </c>
      <c r="AI1673" s="69" t="e" cm="1">
        <f t="array" ref="AI1673">_xlfn.XLOOKUP(Table1[[#This Row],[5 cm2 cell test code]:[5 cm2 cell test code]],[1]!Table1[[Test code]:[Test code]],[1]!Table1[Q_int_frac DIW 10 mM KOH],"",0)</f>
        <v>#REF!</v>
      </c>
      <c r="AJ1673" s="69" t="e" cm="1">
        <f t="array" ref="AJ1673">_xlfn.XLOOKUP(Table1[[#This Row],[5 cm2 cell test code]:[5 cm2 cell test code]],[1]!Table1[[Test code]:[Test code]],[1]!Table1[DIW conductivity (µS/cm)],"",0)</f>
        <v>#REF!</v>
      </c>
    </row>
    <row r="1674" spans="1:36">
      <c r="A1674" s="81"/>
      <c r="U1674" s="101"/>
      <c r="V1674" s="101"/>
      <c r="W1674" s="69" t="e" cm="1">
        <f t="array" ref="W1674">_xlfn.XLOOKUP(Table1[[#This Row],[5 cm2 cell test code]:[5 cm2 cell test code]],[1]!Table1[[Test code]:[Test code]],[1]!Table1[i @ 1.8 V DIW (A/cm2)],"",0)</f>
        <v>#REF!</v>
      </c>
      <c r="X1674" s="69" t="e" cm="1">
        <f t="array" ref="X1674">_xlfn.XLOOKUP(Table1[[#This Row],[5 cm2 cell test code]:[5 cm2 cell test code]],[1]!Table1[[Test code]:[Test code]],[1]!Table1[i @ 1.8 V 10 mM KOH (A/cm2)],"",0)</f>
        <v>#REF!</v>
      </c>
      <c r="Y1674" s="69" t="e" cm="1">
        <f t="array" ref="Y1674">_xlfn.XLOOKUP(Table1[[#This Row],[5 cm2 cell test code]:[5 cm2 cell test code]],[1]!Table1[[Test code]:[Test code]],[1]!Table1[3-E ƞ at 20mAcm-2 (mV)],"",0)</f>
        <v>#REF!</v>
      </c>
      <c r="Z1674" s="69" t="e" cm="1">
        <f t="array" ref="Z1674">_xlfn.XLOOKUP(Table1[[#This Row],[5 cm2 cell test code]:[5 cm2 cell test code]],[1]!Table1[[Test code]:[Test code]],[1]!Table1[3-E Tafel slope (mV/dec)],"",0)</f>
        <v>#REF!</v>
      </c>
      <c r="AA1674" s="69" t="e" cm="1">
        <f t="array" ref="AA1674">_xlfn.XLOOKUP(Table1[[#This Row],[5 cm2 cell test code]:[5 cm2 cell test code]],[1]!Table1[[Test code]:[Test code]],[1]!Table1[E @ 100 mA/cm2 DIW/V],"",0)</f>
        <v>#REF!</v>
      </c>
      <c r="AB1674" s="69" t="e" cm="1">
        <f t="array" ref="AB1674">_xlfn.XLOOKUP(Table1[[#This Row],[5 cm2 cell test code]:[5 cm2 cell test code]],[1]!Table1[[Test code]:[Test code]],[1]!Table1[E @ 100 mA/cm2 10 mM KOH/V],"",0)</f>
        <v>#REF!</v>
      </c>
      <c r="AC1674" s="69" t="e" cm="1">
        <f t="array" ref="AC1674">_xlfn.XLOOKUP(Table1[[#This Row],[5 cm2 cell test code]:[5 cm2 cell test code]],[1]!Table1[[Test code]:[Test code]],[1]!Table1[Anode ICR/mOhm],"",0)</f>
        <v>#REF!</v>
      </c>
      <c r="AD1674" s="69" t="e" cm="1">
        <f t="array" ref="AD1674">_xlfn.XLOOKUP(Table1[[#This Row],[5 cm2 cell test code]:[5 cm2 cell test code]],[1]!Table1[[Test code]:[Test code]],[1]!Table1[HFR DIW/ mOhm cm2],"",0)</f>
        <v>#REF!</v>
      </c>
      <c r="AE1674" s="69" t="e" cm="1">
        <f t="array" ref="AE1674">_xlfn.XLOOKUP(Table1[[#This Row],[5 cm2 cell test code]:[5 cm2 cell test code]],[1]!Table1[[Test code]:[Test code]],[1]!Table1[HFR 10 mM KOH/ mOhm cm2],"",0)</f>
        <v>#REF!</v>
      </c>
      <c r="AF1674" s="69" t="e" cm="1">
        <f t="array" ref="AF1674">_xlfn.XLOOKUP(Table1[[#This Row],[5 cm2 cell test code]:[5 cm2 cell test code]],[1]!Table1[[Test code]:[Test code]],[1]!Table1[Ionic resistance DIW/Ohm cm2],"",0)</f>
        <v>#REF!</v>
      </c>
      <c r="AG1674" s="69" t="e" cm="1">
        <f t="array" ref="AG1674">_xlfn.XLOOKUP(Table1[[#This Row],[5 cm2 cell test code]:[5 cm2 cell test code]],[1]!Table1[[Test code]:[Test code]],[1]!Table1[Q_int_frac DIW],"",0)</f>
        <v>#REF!</v>
      </c>
      <c r="AH1674" s="69" t="e" cm="1">
        <f t="array" ref="AH1674">_xlfn.XLOOKUP(Table1[[#This Row],[5 cm2 cell test code]:[5 cm2 cell test code]],[1]!Table1[[Test code]:[Test code]],[1]!Table1[Ionic resistance 10 mM KOH/Ohm cm2],"",0)</f>
        <v>#REF!</v>
      </c>
      <c r="AI1674" s="69" t="e" cm="1">
        <f t="array" ref="AI1674">_xlfn.XLOOKUP(Table1[[#This Row],[5 cm2 cell test code]:[5 cm2 cell test code]],[1]!Table1[[Test code]:[Test code]],[1]!Table1[Q_int_frac DIW 10 mM KOH],"",0)</f>
        <v>#REF!</v>
      </c>
      <c r="AJ1674" s="69" t="e" cm="1">
        <f t="array" ref="AJ1674">_xlfn.XLOOKUP(Table1[[#This Row],[5 cm2 cell test code]:[5 cm2 cell test code]],[1]!Table1[[Test code]:[Test code]],[1]!Table1[DIW conductivity (µS/cm)],"",0)</f>
        <v>#REF!</v>
      </c>
    </row>
    <row r="1675" spans="1:36">
      <c r="A1675" s="81"/>
      <c r="U1675" s="101"/>
      <c r="V1675" s="101"/>
      <c r="W1675" s="69" t="e" cm="1">
        <f t="array" ref="W1675">_xlfn.XLOOKUP(Table1[[#This Row],[5 cm2 cell test code]:[5 cm2 cell test code]],[1]!Table1[[Test code]:[Test code]],[1]!Table1[i @ 1.8 V DIW (A/cm2)],"",0)</f>
        <v>#REF!</v>
      </c>
      <c r="X1675" s="69" t="e" cm="1">
        <f t="array" ref="X1675">_xlfn.XLOOKUP(Table1[[#This Row],[5 cm2 cell test code]:[5 cm2 cell test code]],[1]!Table1[[Test code]:[Test code]],[1]!Table1[i @ 1.8 V 10 mM KOH (A/cm2)],"",0)</f>
        <v>#REF!</v>
      </c>
      <c r="Y1675" s="69" t="e" cm="1">
        <f t="array" ref="Y1675">_xlfn.XLOOKUP(Table1[[#This Row],[5 cm2 cell test code]:[5 cm2 cell test code]],[1]!Table1[[Test code]:[Test code]],[1]!Table1[3-E ƞ at 20mAcm-2 (mV)],"",0)</f>
        <v>#REF!</v>
      </c>
      <c r="Z1675" s="69" t="e" cm="1">
        <f t="array" ref="Z1675">_xlfn.XLOOKUP(Table1[[#This Row],[5 cm2 cell test code]:[5 cm2 cell test code]],[1]!Table1[[Test code]:[Test code]],[1]!Table1[3-E Tafel slope (mV/dec)],"",0)</f>
        <v>#REF!</v>
      </c>
      <c r="AA1675" s="69" t="e" cm="1">
        <f t="array" ref="AA1675">_xlfn.XLOOKUP(Table1[[#This Row],[5 cm2 cell test code]:[5 cm2 cell test code]],[1]!Table1[[Test code]:[Test code]],[1]!Table1[E @ 100 mA/cm2 DIW/V],"",0)</f>
        <v>#REF!</v>
      </c>
      <c r="AB1675" s="69" t="e" cm="1">
        <f t="array" ref="AB1675">_xlfn.XLOOKUP(Table1[[#This Row],[5 cm2 cell test code]:[5 cm2 cell test code]],[1]!Table1[[Test code]:[Test code]],[1]!Table1[E @ 100 mA/cm2 10 mM KOH/V],"",0)</f>
        <v>#REF!</v>
      </c>
      <c r="AC1675" s="69" t="e" cm="1">
        <f t="array" ref="AC1675">_xlfn.XLOOKUP(Table1[[#This Row],[5 cm2 cell test code]:[5 cm2 cell test code]],[1]!Table1[[Test code]:[Test code]],[1]!Table1[Anode ICR/mOhm],"",0)</f>
        <v>#REF!</v>
      </c>
      <c r="AD1675" s="69" t="e" cm="1">
        <f t="array" ref="AD1675">_xlfn.XLOOKUP(Table1[[#This Row],[5 cm2 cell test code]:[5 cm2 cell test code]],[1]!Table1[[Test code]:[Test code]],[1]!Table1[HFR DIW/ mOhm cm2],"",0)</f>
        <v>#REF!</v>
      </c>
      <c r="AE1675" s="69" t="e" cm="1">
        <f t="array" ref="AE1675">_xlfn.XLOOKUP(Table1[[#This Row],[5 cm2 cell test code]:[5 cm2 cell test code]],[1]!Table1[[Test code]:[Test code]],[1]!Table1[HFR 10 mM KOH/ mOhm cm2],"",0)</f>
        <v>#REF!</v>
      </c>
      <c r="AF1675" s="69" t="e" cm="1">
        <f t="array" ref="AF1675">_xlfn.XLOOKUP(Table1[[#This Row],[5 cm2 cell test code]:[5 cm2 cell test code]],[1]!Table1[[Test code]:[Test code]],[1]!Table1[Ionic resistance DIW/Ohm cm2],"",0)</f>
        <v>#REF!</v>
      </c>
      <c r="AG1675" s="69" t="e" cm="1">
        <f t="array" ref="AG1675">_xlfn.XLOOKUP(Table1[[#This Row],[5 cm2 cell test code]:[5 cm2 cell test code]],[1]!Table1[[Test code]:[Test code]],[1]!Table1[Q_int_frac DIW],"",0)</f>
        <v>#REF!</v>
      </c>
      <c r="AH1675" s="69" t="e" cm="1">
        <f t="array" ref="AH1675">_xlfn.XLOOKUP(Table1[[#This Row],[5 cm2 cell test code]:[5 cm2 cell test code]],[1]!Table1[[Test code]:[Test code]],[1]!Table1[Ionic resistance 10 mM KOH/Ohm cm2],"",0)</f>
        <v>#REF!</v>
      </c>
      <c r="AI1675" s="69" t="e" cm="1">
        <f t="array" ref="AI1675">_xlfn.XLOOKUP(Table1[[#This Row],[5 cm2 cell test code]:[5 cm2 cell test code]],[1]!Table1[[Test code]:[Test code]],[1]!Table1[Q_int_frac DIW 10 mM KOH],"",0)</f>
        <v>#REF!</v>
      </c>
      <c r="AJ1675" s="69" t="e" cm="1">
        <f t="array" ref="AJ1675">_xlfn.XLOOKUP(Table1[[#This Row],[5 cm2 cell test code]:[5 cm2 cell test code]],[1]!Table1[[Test code]:[Test code]],[1]!Table1[DIW conductivity (µS/cm)],"",0)</f>
        <v>#REF!</v>
      </c>
    </row>
    <row r="1676" spans="1:36">
      <c r="A1676" s="81"/>
      <c r="U1676" s="101"/>
      <c r="V1676" s="101"/>
      <c r="W1676" s="69" t="e" cm="1">
        <f t="array" ref="W1676">_xlfn.XLOOKUP(Table1[[#This Row],[5 cm2 cell test code]:[5 cm2 cell test code]],[1]!Table1[[Test code]:[Test code]],[1]!Table1[i @ 1.8 V DIW (A/cm2)],"",0)</f>
        <v>#REF!</v>
      </c>
      <c r="X1676" s="69" t="e" cm="1">
        <f t="array" ref="X1676">_xlfn.XLOOKUP(Table1[[#This Row],[5 cm2 cell test code]:[5 cm2 cell test code]],[1]!Table1[[Test code]:[Test code]],[1]!Table1[i @ 1.8 V 10 mM KOH (A/cm2)],"",0)</f>
        <v>#REF!</v>
      </c>
      <c r="Y1676" s="69" t="e" cm="1">
        <f t="array" ref="Y1676">_xlfn.XLOOKUP(Table1[[#This Row],[5 cm2 cell test code]:[5 cm2 cell test code]],[1]!Table1[[Test code]:[Test code]],[1]!Table1[3-E ƞ at 20mAcm-2 (mV)],"",0)</f>
        <v>#REF!</v>
      </c>
      <c r="Z1676" s="69" t="e" cm="1">
        <f t="array" ref="Z1676">_xlfn.XLOOKUP(Table1[[#This Row],[5 cm2 cell test code]:[5 cm2 cell test code]],[1]!Table1[[Test code]:[Test code]],[1]!Table1[3-E Tafel slope (mV/dec)],"",0)</f>
        <v>#REF!</v>
      </c>
      <c r="AA1676" s="69" t="e" cm="1">
        <f t="array" ref="AA1676">_xlfn.XLOOKUP(Table1[[#This Row],[5 cm2 cell test code]:[5 cm2 cell test code]],[1]!Table1[[Test code]:[Test code]],[1]!Table1[E @ 100 mA/cm2 DIW/V],"",0)</f>
        <v>#REF!</v>
      </c>
      <c r="AB1676" s="69" t="e" cm="1">
        <f t="array" ref="AB1676">_xlfn.XLOOKUP(Table1[[#This Row],[5 cm2 cell test code]:[5 cm2 cell test code]],[1]!Table1[[Test code]:[Test code]],[1]!Table1[E @ 100 mA/cm2 10 mM KOH/V],"",0)</f>
        <v>#REF!</v>
      </c>
      <c r="AC1676" s="69" t="e" cm="1">
        <f t="array" ref="AC1676">_xlfn.XLOOKUP(Table1[[#This Row],[5 cm2 cell test code]:[5 cm2 cell test code]],[1]!Table1[[Test code]:[Test code]],[1]!Table1[Anode ICR/mOhm],"",0)</f>
        <v>#REF!</v>
      </c>
      <c r="AD1676" s="69" t="e" cm="1">
        <f t="array" ref="AD1676">_xlfn.XLOOKUP(Table1[[#This Row],[5 cm2 cell test code]:[5 cm2 cell test code]],[1]!Table1[[Test code]:[Test code]],[1]!Table1[HFR DIW/ mOhm cm2],"",0)</f>
        <v>#REF!</v>
      </c>
      <c r="AE1676" s="69" t="e" cm="1">
        <f t="array" ref="AE1676">_xlfn.XLOOKUP(Table1[[#This Row],[5 cm2 cell test code]:[5 cm2 cell test code]],[1]!Table1[[Test code]:[Test code]],[1]!Table1[HFR 10 mM KOH/ mOhm cm2],"",0)</f>
        <v>#REF!</v>
      </c>
      <c r="AF1676" s="69" t="e" cm="1">
        <f t="array" ref="AF1676">_xlfn.XLOOKUP(Table1[[#This Row],[5 cm2 cell test code]:[5 cm2 cell test code]],[1]!Table1[[Test code]:[Test code]],[1]!Table1[Ionic resistance DIW/Ohm cm2],"",0)</f>
        <v>#REF!</v>
      </c>
      <c r="AG1676" s="69" t="e" cm="1">
        <f t="array" ref="AG1676">_xlfn.XLOOKUP(Table1[[#This Row],[5 cm2 cell test code]:[5 cm2 cell test code]],[1]!Table1[[Test code]:[Test code]],[1]!Table1[Q_int_frac DIW],"",0)</f>
        <v>#REF!</v>
      </c>
      <c r="AH1676" s="69" t="e" cm="1">
        <f t="array" ref="AH1676">_xlfn.XLOOKUP(Table1[[#This Row],[5 cm2 cell test code]:[5 cm2 cell test code]],[1]!Table1[[Test code]:[Test code]],[1]!Table1[Ionic resistance 10 mM KOH/Ohm cm2],"",0)</f>
        <v>#REF!</v>
      </c>
      <c r="AI1676" s="69" t="e" cm="1">
        <f t="array" ref="AI1676">_xlfn.XLOOKUP(Table1[[#This Row],[5 cm2 cell test code]:[5 cm2 cell test code]],[1]!Table1[[Test code]:[Test code]],[1]!Table1[Q_int_frac DIW 10 mM KOH],"",0)</f>
        <v>#REF!</v>
      </c>
      <c r="AJ1676" s="69" t="e" cm="1">
        <f t="array" ref="AJ1676">_xlfn.XLOOKUP(Table1[[#This Row],[5 cm2 cell test code]:[5 cm2 cell test code]],[1]!Table1[[Test code]:[Test code]],[1]!Table1[DIW conductivity (µS/cm)],"",0)</f>
        <v>#REF!</v>
      </c>
    </row>
    <row r="1677" spans="1:36">
      <c r="A1677" s="81"/>
      <c r="U1677" s="101"/>
      <c r="V1677" s="101"/>
      <c r="W1677" s="69" t="e" cm="1">
        <f t="array" ref="W1677">_xlfn.XLOOKUP(Table1[[#This Row],[5 cm2 cell test code]:[5 cm2 cell test code]],[1]!Table1[[Test code]:[Test code]],[1]!Table1[i @ 1.8 V DIW (A/cm2)],"",0)</f>
        <v>#REF!</v>
      </c>
      <c r="X1677" s="69" t="e" cm="1">
        <f t="array" ref="X1677">_xlfn.XLOOKUP(Table1[[#This Row],[5 cm2 cell test code]:[5 cm2 cell test code]],[1]!Table1[[Test code]:[Test code]],[1]!Table1[i @ 1.8 V 10 mM KOH (A/cm2)],"",0)</f>
        <v>#REF!</v>
      </c>
      <c r="Y1677" s="69" t="e" cm="1">
        <f t="array" ref="Y1677">_xlfn.XLOOKUP(Table1[[#This Row],[5 cm2 cell test code]:[5 cm2 cell test code]],[1]!Table1[[Test code]:[Test code]],[1]!Table1[3-E ƞ at 20mAcm-2 (mV)],"",0)</f>
        <v>#REF!</v>
      </c>
      <c r="Z1677" s="69" t="e" cm="1">
        <f t="array" ref="Z1677">_xlfn.XLOOKUP(Table1[[#This Row],[5 cm2 cell test code]:[5 cm2 cell test code]],[1]!Table1[[Test code]:[Test code]],[1]!Table1[3-E Tafel slope (mV/dec)],"",0)</f>
        <v>#REF!</v>
      </c>
      <c r="AA1677" s="69" t="e" cm="1">
        <f t="array" ref="AA1677">_xlfn.XLOOKUP(Table1[[#This Row],[5 cm2 cell test code]:[5 cm2 cell test code]],[1]!Table1[[Test code]:[Test code]],[1]!Table1[E @ 100 mA/cm2 DIW/V],"",0)</f>
        <v>#REF!</v>
      </c>
      <c r="AB1677" s="69" t="e" cm="1">
        <f t="array" ref="AB1677">_xlfn.XLOOKUP(Table1[[#This Row],[5 cm2 cell test code]:[5 cm2 cell test code]],[1]!Table1[[Test code]:[Test code]],[1]!Table1[E @ 100 mA/cm2 10 mM KOH/V],"",0)</f>
        <v>#REF!</v>
      </c>
      <c r="AC1677" s="69" t="e" cm="1">
        <f t="array" ref="AC1677">_xlfn.XLOOKUP(Table1[[#This Row],[5 cm2 cell test code]:[5 cm2 cell test code]],[1]!Table1[[Test code]:[Test code]],[1]!Table1[Anode ICR/mOhm],"",0)</f>
        <v>#REF!</v>
      </c>
      <c r="AD1677" s="69" t="e" cm="1">
        <f t="array" ref="AD1677">_xlfn.XLOOKUP(Table1[[#This Row],[5 cm2 cell test code]:[5 cm2 cell test code]],[1]!Table1[[Test code]:[Test code]],[1]!Table1[HFR DIW/ mOhm cm2],"",0)</f>
        <v>#REF!</v>
      </c>
      <c r="AE1677" s="69" t="e" cm="1">
        <f t="array" ref="AE1677">_xlfn.XLOOKUP(Table1[[#This Row],[5 cm2 cell test code]:[5 cm2 cell test code]],[1]!Table1[[Test code]:[Test code]],[1]!Table1[HFR 10 mM KOH/ mOhm cm2],"",0)</f>
        <v>#REF!</v>
      </c>
      <c r="AF1677" s="69" t="e" cm="1">
        <f t="array" ref="AF1677">_xlfn.XLOOKUP(Table1[[#This Row],[5 cm2 cell test code]:[5 cm2 cell test code]],[1]!Table1[[Test code]:[Test code]],[1]!Table1[Ionic resistance DIW/Ohm cm2],"",0)</f>
        <v>#REF!</v>
      </c>
      <c r="AG1677" s="69" t="e" cm="1">
        <f t="array" ref="AG1677">_xlfn.XLOOKUP(Table1[[#This Row],[5 cm2 cell test code]:[5 cm2 cell test code]],[1]!Table1[[Test code]:[Test code]],[1]!Table1[Q_int_frac DIW],"",0)</f>
        <v>#REF!</v>
      </c>
      <c r="AH1677" s="69" t="e" cm="1">
        <f t="array" ref="AH1677">_xlfn.XLOOKUP(Table1[[#This Row],[5 cm2 cell test code]:[5 cm2 cell test code]],[1]!Table1[[Test code]:[Test code]],[1]!Table1[Ionic resistance 10 mM KOH/Ohm cm2],"",0)</f>
        <v>#REF!</v>
      </c>
      <c r="AI1677" s="69" t="e" cm="1">
        <f t="array" ref="AI1677">_xlfn.XLOOKUP(Table1[[#This Row],[5 cm2 cell test code]:[5 cm2 cell test code]],[1]!Table1[[Test code]:[Test code]],[1]!Table1[Q_int_frac DIW 10 mM KOH],"",0)</f>
        <v>#REF!</v>
      </c>
      <c r="AJ1677" s="69" t="e" cm="1">
        <f t="array" ref="AJ1677">_xlfn.XLOOKUP(Table1[[#This Row],[5 cm2 cell test code]:[5 cm2 cell test code]],[1]!Table1[[Test code]:[Test code]],[1]!Table1[DIW conductivity (µS/cm)],"",0)</f>
        <v>#REF!</v>
      </c>
    </row>
    <row r="1678" spans="1:36">
      <c r="A1678" s="81"/>
      <c r="U1678" s="101"/>
      <c r="V1678" s="101"/>
      <c r="W1678" s="69" t="e" cm="1">
        <f t="array" ref="W1678">_xlfn.XLOOKUP(Table1[[#This Row],[5 cm2 cell test code]:[5 cm2 cell test code]],[1]!Table1[[Test code]:[Test code]],[1]!Table1[i @ 1.8 V DIW (A/cm2)],"",0)</f>
        <v>#REF!</v>
      </c>
      <c r="X1678" s="69" t="e" cm="1">
        <f t="array" ref="X1678">_xlfn.XLOOKUP(Table1[[#This Row],[5 cm2 cell test code]:[5 cm2 cell test code]],[1]!Table1[[Test code]:[Test code]],[1]!Table1[i @ 1.8 V 10 mM KOH (A/cm2)],"",0)</f>
        <v>#REF!</v>
      </c>
      <c r="Y1678" s="69" t="e" cm="1">
        <f t="array" ref="Y1678">_xlfn.XLOOKUP(Table1[[#This Row],[5 cm2 cell test code]:[5 cm2 cell test code]],[1]!Table1[[Test code]:[Test code]],[1]!Table1[3-E ƞ at 20mAcm-2 (mV)],"",0)</f>
        <v>#REF!</v>
      </c>
      <c r="Z1678" s="69" t="e" cm="1">
        <f t="array" ref="Z1678">_xlfn.XLOOKUP(Table1[[#This Row],[5 cm2 cell test code]:[5 cm2 cell test code]],[1]!Table1[[Test code]:[Test code]],[1]!Table1[3-E Tafel slope (mV/dec)],"",0)</f>
        <v>#REF!</v>
      </c>
      <c r="AA1678" s="69" t="e" cm="1">
        <f t="array" ref="AA1678">_xlfn.XLOOKUP(Table1[[#This Row],[5 cm2 cell test code]:[5 cm2 cell test code]],[1]!Table1[[Test code]:[Test code]],[1]!Table1[E @ 100 mA/cm2 DIW/V],"",0)</f>
        <v>#REF!</v>
      </c>
      <c r="AB1678" s="69" t="e" cm="1">
        <f t="array" ref="AB1678">_xlfn.XLOOKUP(Table1[[#This Row],[5 cm2 cell test code]:[5 cm2 cell test code]],[1]!Table1[[Test code]:[Test code]],[1]!Table1[E @ 100 mA/cm2 10 mM KOH/V],"",0)</f>
        <v>#REF!</v>
      </c>
      <c r="AC1678" s="69" t="e" cm="1">
        <f t="array" ref="AC1678">_xlfn.XLOOKUP(Table1[[#This Row],[5 cm2 cell test code]:[5 cm2 cell test code]],[1]!Table1[[Test code]:[Test code]],[1]!Table1[Anode ICR/mOhm],"",0)</f>
        <v>#REF!</v>
      </c>
      <c r="AD1678" s="69" t="e" cm="1">
        <f t="array" ref="AD1678">_xlfn.XLOOKUP(Table1[[#This Row],[5 cm2 cell test code]:[5 cm2 cell test code]],[1]!Table1[[Test code]:[Test code]],[1]!Table1[HFR DIW/ mOhm cm2],"",0)</f>
        <v>#REF!</v>
      </c>
      <c r="AE1678" s="69" t="e" cm="1">
        <f t="array" ref="AE1678">_xlfn.XLOOKUP(Table1[[#This Row],[5 cm2 cell test code]:[5 cm2 cell test code]],[1]!Table1[[Test code]:[Test code]],[1]!Table1[HFR 10 mM KOH/ mOhm cm2],"",0)</f>
        <v>#REF!</v>
      </c>
      <c r="AF1678" s="69" t="e" cm="1">
        <f t="array" ref="AF1678">_xlfn.XLOOKUP(Table1[[#This Row],[5 cm2 cell test code]:[5 cm2 cell test code]],[1]!Table1[[Test code]:[Test code]],[1]!Table1[Ionic resistance DIW/Ohm cm2],"",0)</f>
        <v>#REF!</v>
      </c>
      <c r="AG1678" s="69" t="e" cm="1">
        <f t="array" ref="AG1678">_xlfn.XLOOKUP(Table1[[#This Row],[5 cm2 cell test code]:[5 cm2 cell test code]],[1]!Table1[[Test code]:[Test code]],[1]!Table1[Q_int_frac DIW],"",0)</f>
        <v>#REF!</v>
      </c>
      <c r="AH1678" s="69" t="e" cm="1">
        <f t="array" ref="AH1678">_xlfn.XLOOKUP(Table1[[#This Row],[5 cm2 cell test code]:[5 cm2 cell test code]],[1]!Table1[[Test code]:[Test code]],[1]!Table1[Ionic resistance 10 mM KOH/Ohm cm2],"",0)</f>
        <v>#REF!</v>
      </c>
      <c r="AI1678" s="69" t="e" cm="1">
        <f t="array" ref="AI1678">_xlfn.XLOOKUP(Table1[[#This Row],[5 cm2 cell test code]:[5 cm2 cell test code]],[1]!Table1[[Test code]:[Test code]],[1]!Table1[Q_int_frac DIW 10 mM KOH],"",0)</f>
        <v>#REF!</v>
      </c>
      <c r="AJ1678" s="69" t="e" cm="1">
        <f t="array" ref="AJ1678">_xlfn.XLOOKUP(Table1[[#This Row],[5 cm2 cell test code]:[5 cm2 cell test code]],[1]!Table1[[Test code]:[Test code]],[1]!Table1[DIW conductivity (µS/cm)],"",0)</f>
        <v>#REF!</v>
      </c>
    </row>
    <row r="1679" spans="1:36">
      <c r="A1679" s="81"/>
      <c r="U1679" s="101"/>
      <c r="V1679" s="101"/>
      <c r="W1679" s="69" t="e" cm="1">
        <f t="array" ref="W1679">_xlfn.XLOOKUP(Table1[[#This Row],[5 cm2 cell test code]:[5 cm2 cell test code]],[1]!Table1[[Test code]:[Test code]],[1]!Table1[i @ 1.8 V DIW (A/cm2)],"",0)</f>
        <v>#REF!</v>
      </c>
      <c r="X1679" s="69" t="e" cm="1">
        <f t="array" ref="X1679">_xlfn.XLOOKUP(Table1[[#This Row],[5 cm2 cell test code]:[5 cm2 cell test code]],[1]!Table1[[Test code]:[Test code]],[1]!Table1[i @ 1.8 V 10 mM KOH (A/cm2)],"",0)</f>
        <v>#REF!</v>
      </c>
      <c r="Y1679" s="69" t="e" cm="1">
        <f t="array" ref="Y1679">_xlfn.XLOOKUP(Table1[[#This Row],[5 cm2 cell test code]:[5 cm2 cell test code]],[1]!Table1[[Test code]:[Test code]],[1]!Table1[3-E ƞ at 20mAcm-2 (mV)],"",0)</f>
        <v>#REF!</v>
      </c>
      <c r="Z1679" s="69" t="e" cm="1">
        <f t="array" ref="Z1679">_xlfn.XLOOKUP(Table1[[#This Row],[5 cm2 cell test code]:[5 cm2 cell test code]],[1]!Table1[[Test code]:[Test code]],[1]!Table1[3-E Tafel slope (mV/dec)],"",0)</f>
        <v>#REF!</v>
      </c>
      <c r="AA1679" s="69" t="e" cm="1">
        <f t="array" ref="AA1679">_xlfn.XLOOKUP(Table1[[#This Row],[5 cm2 cell test code]:[5 cm2 cell test code]],[1]!Table1[[Test code]:[Test code]],[1]!Table1[E @ 100 mA/cm2 DIW/V],"",0)</f>
        <v>#REF!</v>
      </c>
      <c r="AB1679" s="69" t="e" cm="1">
        <f t="array" ref="AB1679">_xlfn.XLOOKUP(Table1[[#This Row],[5 cm2 cell test code]:[5 cm2 cell test code]],[1]!Table1[[Test code]:[Test code]],[1]!Table1[E @ 100 mA/cm2 10 mM KOH/V],"",0)</f>
        <v>#REF!</v>
      </c>
      <c r="AC1679" s="69" t="e" cm="1">
        <f t="array" ref="AC1679">_xlfn.XLOOKUP(Table1[[#This Row],[5 cm2 cell test code]:[5 cm2 cell test code]],[1]!Table1[[Test code]:[Test code]],[1]!Table1[Anode ICR/mOhm],"",0)</f>
        <v>#REF!</v>
      </c>
      <c r="AD1679" s="69" t="e" cm="1">
        <f t="array" ref="AD1679">_xlfn.XLOOKUP(Table1[[#This Row],[5 cm2 cell test code]:[5 cm2 cell test code]],[1]!Table1[[Test code]:[Test code]],[1]!Table1[HFR DIW/ mOhm cm2],"",0)</f>
        <v>#REF!</v>
      </c>
      <c r="AE1679" s="69" t="e" cm="1">
        <f t="array" ref="AE1679">_xlfn.XLOOKUP(Table1[[#This Row],[5 cm2 cell test code]:[5 cm2 cell test code]],[1]!Table1[[Test code]:[Test code]],[1]!Table1[HFR 10 mM KOH/ mOhm cm2],"",0)</f>
        <v>#REF!</v>
      </c>
      <c r="AF1679" s="69" t="e" cm="1">
        <f t="array" ref="AF1679">_xlfn.XLOOKUP(Table1[[#This Row],[5 cm2 cell test code]:[5 cm2 cell test code]],[1]!Table1[[Test code]:[Test code]],[1]!Table1[Ionic resistance DIW/Ohm cm2],"",0)</f>
        <v>#REF!</v>
      </c>
      <c r="AG1679" s="69" t="e" cm="1">
        <f t="array" ref="AG1679">_xlfn.XLOOKUP(Table1[[#This Row],[5 cm2 cell test code]:[5 cm2 cell test code]],[1]!Table1[[Test code]:[Test code]],[1]!Table1[Q_int_frac DIW],"",0)</f>
        <v>#REF!</v>
      </c>
      <c r="AH1679" s="69" t="e" cm="1">
        <f t="array" ref="AH1679">_xlfn.XLOOKUP(Table1[[#This Row],[5 cm2 cell test code]:[5 cm2 cell test code]],[1]!Table1[[Test code]:[Test code]],[1]!Table1[Ionic resistance 10 mM KOH/Ohm cm2],"",0)</f>
        <v>#REF!</v>
      </c>
      <c r="AI1679" s="69" t="e" cm="1">
        <f t="array" ref="AI1679">_xlfn.XLOOKUP(Table1[[#This Row],[5 cm2 cell test code]:[5 cm2 cell test code]],[1]!Table1[[Test code]:[Test code]],[1]!Table1[Q_int_frac DIW 10 mM KOH],"",0)</f>
        <v>#REF!</v>
      </c>
      <c r="AJ1679" s="69" t="e" cm="1">
        <f t="array" ref="AJ1679">_xlfn.XLOOKUP(Table1[[#This Row],[5 cm2 cell test code]:[5 cm2 cell test code]],[1]!Table1[[Test code]:[Test code]],[1]!Table1[DIW conductivity (µS/cm)],"",0)</f>
        <v>#REF!</v>
      </c>
    </row>
    <row r="1680" spans="1:36">
      <c r="A1680" s="81"/>
      <c r="U1680" s="101"/>
      <c r="V1680" s="101"/>
      <c r="W1680" s="69" t="e" cm="1">
        <f t="array" ref="W1680">_xlfn.XLOOKUP(Table1[[#This Row],[5 cm2 cell test code]:[5 cm2 cell test code]],[1]!Table1[[Test code]:[Test code]],[1]!Table1[i @ 1.8 V DIW (A/cm2)],"",0)</f>
        <v>#REF!</v>
      </c>
      <c r="X1680" s="69" t="e" cm="1">
        <f t="array" ref="X1680">_xlfn.XLOOKUP(Table1[[#This Row],[5 cm2 cell test code]:[5 cm2 cell test code]],[1]!Table1[[Test code]:[Test code]],[1]!Table1[i @ 1.8 V 10 mM KOH (A/cm2)],"",0)</f>
        <v>#REF!</v>
      </c>
      <c r="Y1680" s="69" t="e" cm="1">
        <f t="array" ref="Y1680">_xlfn.XLOOKUP(Table1[[#This Row],[5 cm2 cell test code]:[5 cm2 cell test code]],[1]!Table1[[Test code]:[Test code]],[1]!Table1[3-E ƞ at 20mAcm-2 (mV)],"",0)</f>
        <v>#REF!</v>
      </c>
      <c r="Z1680" s="69" t="e" cm="1">
        <f t="array" ref="Z1680">_xlfn.XLOOKUP(Table1[[#This Row],[5 cm2 cell test code]:[5 cm2 cell test code]],[1]!Table1[[Test code]:[Test code]],[1]!Table1[3-E Tafel slope (mV/dec)],"",0)</f>
        <v>#REF!</v>
      </c>
      <c r="AA1680" s="69" t="e" cm="1">
        <f t="array" ref="AA1680">_xlfn.XLOOKUP(Table1[[#This Row],[5 cm2 cell test code]:[5 cm2 cell test code]],[1]!Table1[[Test code]:[Test code]],[1]!Table1[E @ 100 mA/cm2 DIW/V],"",0)</f>
        <v>#REF!</v>
      </c>
      <c r="AB1680" s="69" t="e" cm="1">
        <f t="array" ref="AB1680">_xlfn.XLOOKUP(Table1[[#This Row],[5 cm2 cell test code]:[5 cm2 cell test code]],[1]!Table1[[Test code]:[Test code]],[1]!Table1[E @ 100 mA/cm2 10 mM KOH/V],"",0)</f>
        <v>#REF!</v>
      </c>
      <c r="AC1680" s="69" t="e" cm="1">
        <f t="array" ref="AC1680">_xlfn.XLOOKUP(Table1[[#This Row],[5 cm2 cell test code]:[5 cm2 cell test code]],[1]!Table1[[Test code]:[Test code]],[1]!Table1[Anode ICR/mOhm],"",0)</f>
        <v>#REF!</v>
      </c>
      <c r="AD1680" s="69" t="e" cm="1">
        <f t="array" ref="AD1680">_xlfn.XLOOKUP(Table1[[#This Row],[5 cm2 cell test code]:[5 cm2 cell test code]],[1]!Table1[[Test code]:[Test code]],[1]!Table1[HFR DIW/ mOhm cm2],"",0)</f>
        <v>#REF!</v>
      </c>
      <c r="AE1680" s="69" t="e" cm="1">
        <f t="array" ref="AE1680">_xlfn.XLOOKUP(Table1[[#This Row],[5 cm2 cell test code]:[5 cm2 cell test code]],[1]!Table1[[Test code]:[Test code]],[1]!Table1[HFR 10 mM KOH/ mOhm cm2],"",0)</f>
        <v>#REF!</v>
      </c>
      <c r="AF1680" s="69" t="e" cm="1">
        <f t="array" ref="AF1680">_xlfn.XLOOKUP(Table1[[#This Row],[5 cm2 cell test code]:[5 cm2 cell test code]],[1]!Table1[[Test code]:[Test code]],[1]!Table1[Ionic resistance DIW/Ohm cm2],"",0)</f>
        <v>#REF!</v>
      </c>
      <c r="AG1680" s="69" t="e" cm="1">
        <f t="array" ref="AG1680">_xlfn.XLOOKUP(Table1[[#This Row],[5 cm2 cell test code]:[5 cm2 cell test code]],[1]!Table1[[Test code]:[Test code]],[1]!Table1[Q_int_frac DIW],"",0)</f>
        <v>#REF!</v>
      </c>
      <c r="AH1680" s="69" t="e" cm="1">
        <f t="array" ref="AH1680">_xlfn.XLOOKUP(Table1[[#This Row],[5 cm2 cell test code]:[5 cm2 cell test code]],[1]!Table1[[Test code]:[Test code]],[1]!Table1[Ionic resistance 10 mM KOH/Ohm cm2],"",0)</f>
        <v>#REF!</v>
      </c>
      <c r="AI1680" s="69" t="e" cm="1">
        <f t="array" ref="AI1680">_xlfn.XLOOKUP(Table1[[#This Row],[5 cm2 cell test code]:[5 cm2 cell test code]],[1]!Table1[[Test code]:[Test code]],[1]!Table1[Q_int_frac DIW 10 mM KOH],"",0)</f>
        <v>#REF!</v>
      </c>
      <c r="AJ1680" s="69" t="e" cm="1">
        <f t="array" ref="AJ1680">_xlfn.XLOOKUP(Table1[[#This Row],[5 cm2 cell test code]:[5 cm2 cell test code]],[1]!Table1[[Test code]:[Test code]],[1]!Table1[DIW conductivity (µS/cm)],"",0)</f>
        <v>#REF!</v>
      </c>
    </row>
    <row r="1681" spans="1:36">
      <c r="A1681" s="81"/>
      <c r="U1681" s="101"/>
      <c r="V1681" s="101"/>
      <c r="W1681" s="69" t="e" cm="1">
        <f t="array" ref="W1681">_xlfn.XLOOKUP(Table1[[#This Row],[5 cm2 cell test code]:[5 cm2 cell test code]],[1]!Table1[[Test code]:[Test code]],[1]!Table1[i @ 1.8 V DIW (A/cm2)],"",0)</f>
        <v>#REF!</v>
      </c>
      <c r="X1681" s="69" t="e" cm="1">
        <f t="array" ref="X1681">_xlfn.XLOOKUP(Table1[[#This Row],[5 cm2 cell test code]:[5 cm2 cell test code]],[1]!Table1[[Test code]:[Test code]],[1]!Table1[i @ 1.8 V 10 mM KOH (A/cm2)],"",0)</f>
        <v>#REF!</v>
      </c>
      <c r="Y1681" s="69" t="e" cm="1">
        <f t="array" ref="Y1681">_xlfn.XLOOKUP(Table1[[#This Row],[5 cm2 cell test code]:[5 cm2 cell test code]],[1]!Table1[[Test code]:[Test code]],[1]!Table1[3-E ƞ at 20mAcm-2 (mV)],"",0)</f>
        <v>#REF!</v>
      </c>
      <c r="Z1681" s="69" t="e" cm="1">
        <f t="array" ref="Z1681">_xlfn.XLOOKUP(Table1[[#This Row],[5 cm2 cell test code]:[5 cm2 cell test code]],[1]!Table1[[Test code]:[Test code]],[1]!Table1[3-E Tafel slope (mV/dec)],"",0)</f>
        <v>#REF!</v>
      </c>
      <c r="AA1681" s="69" t="e" cm="1">
        <f t="array" ref="AA1681">_xlfn.XLOOKUP(Table1[[#This Row],[5 cm2 cell test code]:[5 cm2 cell test code]],[1]!Table1[[Test code]:[Test code]],[1]!Table1[E @ 100 mA/cm2 DIW/V],"",0)</f>
        <v>#REF!</v>
      </c>
      <c r="AB1681" s="69" t="e" cm="1">
        <f t="array" ref="AB1681">_xlfn.XLOOKUP(Table1[[#This Row],[5 cm2 cell test code]:[5 cm2 cell test code]],[1]!Table1[[Test code]:[Test code]],[1]!Table1[E @ 100 mA/cm2 10 mM KOH/V],"",0)</f>
        <v>#REF!</v>
      </c>
      <c r="AC1681" s="69" t="e" cm="1">
        <f t="array" ref="AC1681">_xlfn.XLOOKUP(Table1[[#This Row],[5 cm2 cell test code]:[5 cm2 cell test code]],[1]!Table1[[Test code]:[Test code]],[1]!Table1[Anode ICR/mOhm],"",0)</f>
        <v>#REF!</v>
      </c>
      <c r="AD1681" s="69" t="e" cm="1">
        <f t="array" ref="AD1681">_xlfn.XLOOKUP(Table1[[#This Row],[5 cm2 cell test code]:[5 cm2 cell test code]],[1]!Table1[[Test code]:[Test code]],[1]!Table1[HFR DIW/ mOhm cm2],"",0)</f>
        <v>#REF!</v>
      </c>
      <c r="AE1681" s="69" t="e" cm="1">
        <f t="array" ref="AE1681">_xlfn.XLOOKUP(Table1[[#This Row],[5 cm2 cell test code]:[5 cm2 cell test code]],[1]!Table1[[Test code]:[Test code]],[1]!Table1[HFR 10 mM KOH/ mOhm cm2],"",0)</f>
        <v>#REF!</v>
      </c>
      <c r="AF1681" s="69" t="e" cm="1">
        <f t="array" ref="AF1681">_xlfn.XLOOKUP(Table1[[#This Row],[5 cm2 cell test code]:[5 cm2 cell test code]],[1]!Table1[[Test code]:[Test code]],[1]!Table1[Ionic resistance DIW/Ohm cm2],"",0)</f>
        <v>#REF!</v>
      </c>
      <c r="AG1681" s="69" t="e" cm="1">
        <f t="array" ref="AG1681">_xlfn.XLOOKUP(Table1[[#This Row],[5 cm2 cell test code]:[5 cm2 cell test code]],[1]!Table1[[Test code]:[Test code]],[1]!Table1[Q_int_frac DIW],"",0)</f>
        <v>#REF!</v>
      </c>
      <c r="AH1681" s="69" t="e" cm="1">
        <f t="array" ref="AH1681">_xlfn.XLOOKUP(Table1[[#This Row],[5 cm2 cell test code]:[5 cm2 cell test code]],[1]!Table1[[Test code]:[Test code]],[1]!Table1[Ionic resistance 10 mM KOH/Ohm cm2],"",0)</f>
        <v>#REF!</v>
      </c>
      <c r="AI1681" s="69" t="e" cm="1">
        <f t="array" ref="AI1681">_xlfn.XLOOKUP(Table1[[#This Row],[5 cm2 cell test code]:[5 cm2 cell test code]],[1]!Table1[[Test code]:[Test code]],[1]!Table1[Q_int_frac DIW 10 mM KOH],"",0)</f>
        <v>#REF!</v>
      </c>
      <c r="AJ1681" s="69" t="e" cm="1">
        <f t="array" ref="AJ1681">_xlfn.XLOOKUP(Table1[[#This Row],[5 cm2 cell test code]:[5 cm2 cell test code]],[1]!Table1[[Test code]:[Test code]],[1]!Table1[DIW conductivity (µS/cm)],"",0)</f>
        <v>#REF!</v>
      </c>
    </row>
    <row r="1682" spans="1:36">
      <c r="A1682" s="81"/>
      <c r="U1682" s="101"/>
      <c r="V1682" s="101"/>
      <c r="W1682" s="69" t="e" cm="1">
        <f t="array" ref="W1682">_xlfn.XLOOKUP(Table1[[#This Row],[5 cm2 cell test code]:[5 cm2 cell test code]],[1]!Table1[[Test code]:[Test code]],[1]!Table1[i @ 1.8 V DIW (A/cm2)],"",0)</f>
        <v>#REF!</v>
      </c>
      <c r="X1682" s="69" t="e" cm="1">
        <f t="array" ref="X1682">_xlfn.XLOOKUP(Table1[[#This Row],[5 cm2 cell test code]:[5 cm2 cell test code]],[1]!Table1[[Test code]:[Test code]],[1]!Table1[i @ 1.8 V 10 mM KOH (A/cm2)],"",0)</f>
        <v>#REF!</v>
      </c>
      <c r="Y1682" s="69" t="e" cm="1">
        <f t="array" ref="Y1682">_xlfn.XLOOKUP(Table1[[#This Row],[5 cm2 cell test code]:[5 cm2 cell test code]],[1]!Table1[[Test code]:[Test code]],[1]!Table1[3-E ƞ at 20mAcm-2 (mV)],"",0)</f>
        <v>#REF!</v>
      </c>
      <c r="Z1682" s="69" t="e" cm="1">
        <f t="array" ref="Z1682">_xlfn.XLOOKUP(Table1[[#This Row],[5 cm2 cell test code]:[5 cm2 cell test code]],[1]!Table1[[Test code]:[Test code]],[1]!Table1[3-E Tafel slope (mV/dec)],"",0)</f>
        <v>#REF!</v>
      </c>
      <c r="AA1682" s="69" t="e" cm="1">
        <f t="array" ref="AA1682">_xlfn.XLOOKUP(Table1[[#This Row],[5 cm2 cell test code]:[5 cm2 cell test code]],[1]!Table1[[Test code]:[Test code]],[1]!Table1[E @ 100 mA/cm2 DIW/V],"",0)</f>
        <v>#REF!</v>
      </c>
      <c r="AB1682" s="69" t="e" cm="1">
        <f t="array" ref="AB1682">_xlfn.XLOOKUP(Table1[[#This Row],[5 cm2 cell test code]:[5 cm2 cell test code]],[1]!Table1[[Test code]:[Test code]],[1]!Table1[E @ 100 mA/cm2 10 mM KOH/V],"",0)</f>
        <v>#REF!</v>
      </c>
      <c r="AC1682" s="69" t="e" cm="1">
        <f t="array" ref="AC1682">_xlfn.XLOOKUP(Table1[[#This Row],[5 cm2 cell test code]:[5 cm2 cell test code]],[1]!Table1[[Test code]:[Test code]],[1]!Table1[Anode ICR/mOhm],"",0)</f>
        <v>#REF!</v>
      </c>
      <c r="AD1682" s="69" t="e" cm="1">
        <f t="array" ref="AD1682">_xlfn.XLOOKUP(Table1[[#This Row],[5 cm2 cell test code]:[5 cm2 cell test code]],[1]!Table1[[Test code]:[Test code]],[1]!Table1[HFR DIW/ mOhm cm2],"",0)</f>
        <v>#REF!</v>
      </c>
      <c r="AE1682" s="69" t="e" cm="1">
        <f t="array" ref="AE1682">_xlfn.XLOOKUP(Table1[[#This Row],[5 cm2 cell test code]:[5 cm2 cell test code]],[1]!Table1[[Test code]:[Test code]],[1]!Table1[HFR 10 mM KOH/ mOhm cm2],"",0)</f>
        <v>#REF!</v>
      </c>
      <c r="AF1682" s="69" t="e" cm="1">
        <f t="array" ref="AF1682">_xlfn.XLOOKUP(Table1[[#This Row],[5 cm2 cell test code]:[5 cm2 cell test code]],[1]!Table1[[Test code]:[Test code]],[1]!Table1[Ionic resistance DIW/Ohm cm2],"",0)</f>
        <v>#REF!</v>
      </c>
      <c r="AG1682" s="69" t="e" cm="1">
        <f t="array" ref="AG1682">_xlfn.XLOOKUP(Table1[[#This Row],[5 cm2 cell test code]:[5 cm2 cell test code]],[1]!Table1[[Test code]:[Test code]],[1]!Table1[Q_int_frac DIW],"",0)</f>
        <v>#REF!</v>
      </c>
      <c r="AH1682" s="69" t="e" cm="1">
        <f t="array" ref="AH1682">_xlfn.XLOOKUP(Table1[[#This Row],[5 cm2 cell test code]:[5 cm2 cell test code]],[1]!Table1[[Test code]:[Test code]],[1]!Table1[Ionic resistance 10 mM KOH/Ohm cm2],"",0)</f>
        <v>#REF!</v>
      </c>
      <c r="AI1682" s="69" t="e" cm="1">
        <f t="array" ref="AI1682">_xlfn.XLOOKUP(Table1[[#This Row],[5 cm2 cell test code]:[5 cm2 cell test code]],[1]!Table1[[Test code]:[Test code]],[1]!Table1[Q_int_frac DIW 10 mM KOH],"",0)</f>
        <v>#REF!</v>
      </c>
      <c r="AJ1682" s="69" t="e" cm="1">
        <f t="array" ref="AJ1682">_xlfn.XLOOKUP(Table1[[#This Row],[5 cm2 cell test code]:[5 cm2 cell test code]],[1]!Table1[[Test code]:[Test code]],[1]!Table1[DIW conductivity (µS/cm)],"",0)</f>
        <v>#REF!</v>
      </c>
    </row>
    <row r="1683" spans="1:36">
      <c r="A1683" s="81"/>
      <c r="U1683" s="101"/>
      <c r="V1683" s="101"/>
      <c r="W1683" s="69" t="e" cm="1">
        <f t="array" ref="W1683">_xlfn.XLOOKUP(Table1[[#This Row],[5 cm2 cell test code]:[5 cm2 cell test code]],[1]!Table1[[Test code]:[Test code]],[1]!Table1[i @ 1.8 V DIW (A/cm2)],"",0)</f>
        <v>#REF!</v>
      </c>
      <c r="X1683" s="69" t="e" cm="1">
        <f t="array" ref="X1683">_xlfn.XLOOKUP(Table1[[#This Row],[5 cm2 cell test code]:[5 cm2 cell test code]],[1]!Table1[[Test code]:[Test code]],[1]!Table1[i @ 1.8 V 10 mM KOH (A/cm2)],"",0)</f>
        <v>#REF!</v>
      </c>
      <c r="Y1683" s="69" t="e" cm="1">
        <f t="array" ref="Y1683">_xlfn.XLOOKUP(Table1[[#This Row],[5 cm2 cell test code]:[5 cm2 cell test code]],[1]!Table1[[Test code]:[Test code]],[1]!Table1[3-E ƞ at 20mAcm-2 (mV)],"",0)</f>
        <v>#REF!</v>
      </c>
      <c r="Z1683" s="69" t="e" cm="1">
        <f t="array" ref="Z1683">_xlfn.XLOOKUP(Table1[[#This Row],[5 cm2 cell test code]:[5 cm2 cell test code]],[1]!Table1[[Test code]:[Test code]],[1]!Table1[3-E Tafel slope (mV/dec)],"",0)</f>
        <v>#REF!</v>
      </c>
      <c r="AA1683" s="69" t="e" cm="1">
        <f t="array" ref="AA1683">_xlfn.XLOOKUP(Table1[[#This Row],[5 cm2 cell test code]:[5 cm2 cell test code]],[1]!Table1[[Test code]:[Test code]],[1]!Table1[E @ 100 mA/cm2 DIW/V],"",0)</f>
        <v>#REF!</v>
      </c>
      <c r="AB1683" s="69" t="e" cm="1">
        <f t="array" ref="AB1683">_xlfn.XLOOKUP(Table1[[#This Row],[5 cm2 cell test code]:[5 cm2 cell test code]],[1]!Table1[[Test code]:[Test code]],[1]!Table1[E @ 100 mA/cm2 10 mM KOH/V],"",0)</f>
        <v>#REF!</v>
      </c>
      <c r="AC1683" s="69" t="e" cm="1">
        <f t="array" ref="AC1683">_xlfn.XLOOKUP(Table1[[#This Row],[5 cm2 cell test code]:[5 cm2 cell test code]],[1]!Table1[[Test code]:[Test code]],[1]!Table1[Anode ICR/mOhm],"",0)</f>
        <v>#REF!</v>
      </c>
      <c r="AD1683" s="69" t="e" cm="1">
        <f t="array" ref="AD1683">_xlfn.XLOOKUP(Table1[[#This Row],[5 cm2 cell test code]:[5 cm2 cell test code]],[1]!Table1[[Test code]:[Test code]],[1]!Table1[HFR DIW/ mOhm cm2],"",0)</f>
        <v>#REF!</v>
      </c>
      <c r="AE1683" s="69" t="e" cm="1">
        <f t="array" ref="AE1683">_xlfn.XLOOKUP(Table1[[#This Row],[5 cm2 cell test code]:[5 cm2 cell test code]],[1]!Table1[[Test code]:[Test code]],[1]!Table1[HFR 10 mM KOH/ mOhm cm2],"",0)</f>
        <v>#REF!</v>
      </c>
      <c r="AF1683" s="69" t="e" cm="1">
        <f t="array" ref="AF1683">_xlfn.XLOOKUP(Table1[[#This Row],[5 cm2 cell test code]:[5 cm2 cell test code]],[1]!Table1[[Test code]:[Test code]],[1]!Table1[Ionic resistance DIW/Ohm cm2],"",0)</f>
        <v>#REF!</v>
      </c>
      <c r="AG1683" s="69" t="e" cm="1">
        <f t="array" ref="AG1683">_xlfn.XLOOKUP(Table1[[#This Row],[5 cm2 cell test code]:[5 cm2 cell test code]],[1]!Table1[[Test code]:[Test code]],[1]!Table1[Q_int_frac DIW],"",0)</f>
        <v>#REF!</v>
      </c>
      <c r="AH1683" s="69" t="e" cm="1">
        <f t="array" ref="AH1683">_xlfn.XLOOKUP(Table1[[#This Row],[5 cm2 cell test code]:[5 cm2 cell test code]],[1]!Table1[[Test code]:[Test code]],[1]!Table1[Ionic resistance 10 mM KOH/Ohm cm2],"",0)</f>
        <v>#REF!</v>
      </c>
      <c r="AI1683" s="69" t="e" cm="1">
        <f t="array" ref="AI1683">_xlfn.XLOOKUP(Table1[[#This Row],[5 cm2 cell test code]:[5 cm2 cell test code]],[1]!Table1[[Test code]:[Test code]],[1]!Table1[Q_int_frac DIW 10 mM KOH],"",0)</f>
        <v>#REF!</v>
      </c>
      <c r="AJ1683" s="69" t="e" cm="1">
        <f t="array" ref="AJ1683">_xlfn.XLOOKUP(Table1[[#This Row],[5 cm2 cell test code]:[5 cm2 cell test code]],[1]!Table1[[Test code]:[Test code]],[1]!Table1[DIW conductivity (µS/cm)],"",0)</f>
        <v>#REF!</v>
      </c>
    </row>
    <row r="1684" spans="1:36">
      <c r="A1684" s="81"/>
      <c r="U1684" s="101"/>
      <c r="V1684" s="101"/>
      <c r="W1684" s="69" t="e" cm="1">
        <f t="array" ref="W1684">_xlfn.XLOOKUP(Table1[[#This Row],[5 cm2 cell test code]:[5 cm2 cell test code]],[1]!Table1[[Test code]:[Test code]],[1]!Table1[i @ 1.8 V DIW (A/cm2)],"",0)</f>
        <v>#REF!</v>
      </c>
      <c r="X1684" s="69" t="e" cm="1">
        <f t="array" ref="X1684">_xlfn.XLOOKUP(Table1[[#This Row],[5 cm2 cell test code]:[5 cm2 cell test code]],[1]!Table1[[Test code]:[Test code]],[1]!Table1[i @ 1.8 V 10 mM KOH (A/cm2)],"",0)</f>
        <v>#REF!</v>
      </c>
      <c r="Y1684" s="69" t="e" cm="1">
        <f t="array" ref="Y1684">_xlfn.XLOOKUP(Table1[[#This Row],[5 cm2 cell test code]:[5 cm2 cell test code]],[1]!Table1[[Test code]:[Test code]],[1]!Table1[3-E ƞ at 20mAcm-2 (mV)],"",0)</f>
        <v>#REF!</v>
      </c>
      <c r="Z1684" s="69" t="e" cm="1">
        <f t="array" ref="Z1684">_xlfn.XLOOKUP(Table1[[#This Row],[5 cm2 cell test code]:[5 cm2 cell test code]],[1]!Table1[[Test code]:[Test code]],[1]!Table1[3-E Tafel slope (mV/dec)],"",0)</f>
        <v>#REF!</v>
      </c>
      <c r="AA1684" s="69" t="e" cm="1">
        <f t="array" ref="AA1684">_xlfn.XLOOKUP(Table1[[#This Row],[5 cm2 cell test code]:[5 cm2 cell test code]],[1]!Table1[[Test code]:[Test code]],[1]!Table1[E @ 100 mA/cm2 DIW/V],"",0)</f>
        <v>#REF!</v>
      </c>
      <c r="AB1684" s="69" t="e" cm="1">
        <f t="array" ref="AB1684">_xlfn.XLOOKUP(Table1[[#This Row],[5 cm2 cell test code]:[5 cm2 cell test code]],[1]!Table1[[Test code]:[Test code]],[1]!Table1[E @ 100 mA/cm2 10 mM KOH/V],"",0)</f>
        <v>#REF!</v>
      </c>
      <c r="AC1684" s="69" t="e" cm="1">
        <f t="array" ref="AC1684">_xlfn.XLOOKUP(Table1[[#This Row],[5 cm2 cell test code]:[5 cm2 cell test code]],[1]!Table1[[Test code]:[Test code]],[1]!Table1[Anode ICR/mOhm],"",0)</f>
        <v>#REF!</v>
      </c>
      <c r="AD1684" s="69" t="e" cm="1">
        <f t="array" ref="AD1684">_xlfn.XLOOKUP(Table1[[#This Row],[5 cm2 cell test code]:[5 cm2 cell test code]],[1]!Table1[[Test code]:[Test code]],[1]!Table1[HFR DIW/ mOhm cm2],"",0)</f>
        <v>#REF!</v>
      </c>
      <c r="AE1684" s="69" t="e" cm="1">
        <f t="array" ref="AE1684">_xlfn.XLOOKUP(Table1[[#This Row],[5 cm2 cell test code]:[5 cm2 cell test code]],[1]!Table1[[Test code]:[Test code]],[1]!Table1[HFR 10 mM KOH/ mOhm cm2],"",0)</f>
        <v>#REF!</v>
      </c>
      <c r="AF1684" s="69" t="e" cm="1">
        <f t="array" ref="AF1684">_xlfn.XLOOKUP(Table1[[#This Row],[5 cm2 cell test code]:[5 cm2 cell test code]],[1]!Table1[[Test code]:[Test code]],[1]!Table1[Ionic resistance DIW/Ohm cm2],"",0)</f>
        <v>#REF!</v>
      </c>
      <c r="AG1684" s="69" t="e" cm="1">
        <f t="array" ref="AG1684">_xlfn.XLOOKUP(Table1[[#This Row],[5 cm2 cell test code]:[5 cm2 cell test code]],[1]!Table1[[Test code]:[Test code]],[1]!Table1[Q_int_frac DIW],"",0)</f>
        <v>#REF!</v>
      </c>
      <c r="AH1684" s="69" t="e" cm="1">
        <f t="array" ref="AH1684">_xlfn.XLOOKUP(Table1[[#This Row],[5 cm2 cell test code]:[5 cm2 cell test code]],[1]!Table1[[Test code]:[Test code]],[1]!Table1[Ionic resistance 10 mM KOH/Ohm cm2],"",0)</f>
        <v>#REF!</v>
      </c>
      <c r="AI1684" s="69" t="e" cm="1">
        <f t="array" ref="AI1684">_xlfn.XLOOKUP(Table1[[#This Row],[5 cm2 cell test code]:[5 cm2 cell test code]],[1]!Table1[[Test code]:[Test code]],[1]!Table1[Q_int_frac DIW 10 mM KOH],"",0)</f>
        <v>#REF!</v>
      </c>
      <c r="AJ1684" s="69" t="e" cm="1">
        <f t="array" ref="AJ1684">_xlfn.XLOOKUP(Table1[[#This Row],[5 cm2 cell test code]:[5 cm2 cell test code]],[1]!Table1[[Test code]:[Test code]],[1]!Table1[DIW conductivity (µS/cm)],"",0)</f>
        <v>#REF!</v>
      </c>
    </row>
    <row r="1685" spans="1:36">
      <c r="A1685" s="81"/>
      <c r="U1685" s="101"/>
      <c r="V1685" s="101"/>
      <c r="W1685" s="69" t="e" cm="1">
        <f t="array" ref="W1685">_xlfn.XLOOKUP(Table1[[#This Row],[5 cm2 cell test code]:[5 cm2 cell test code]],[1]!Table1[[Test code]:[Test code]],[1]!Table1[i @ 1.8 V DIW (A/cm2)],"",0)</f>
        <v>#REF!</v>
      </c>
      <c r="X1685" s="69" t="e" cm="1">
        <f t="array" ref="X1685">_xlfn.XLOOKUP(Table1[[#This Row],[5 cm2 cell test code]:[5 cm2 cell test code]],[1]!Table1[[Test code]:[Test code]],[1]!Table1[i @ 1.8 V 10 mM KOH (A/cm2)],"",0)</f>
        <v>#REF!</v>
      </c>
      <c r="Y1685" s="69" t="e" cm="1">
        <f t="array" ref="Y1685">_xlfn.XLOOKUP(Table1[[#This Row],[5 cm2 cell test code]:[5 cm2 cell test code]],[1]!Table1[[Test code]:[Test code]],[1]!Table1[3-E ƞ at 20mAcm-2 (mV)],"",0)</f>
        <v>#REF!</v>
      </c>
      <c r="Z1685" s="69" t="e" cm="1">
        <f t="array" ref="Z1685">_xlfn.XLOOKUP(Table1[[#This Row],[5 cm2 cell test code]:[5 cm2 cell test code]],[1]!Table1[[Test code]:[Test code]],[1]!Table1[3-E Tafel slope (mV/dec)],"",0)</f>
        <v>#REF!</v>
      </c>
      <c r="AA1685" s="69" t="e" cm="1">
        <f t="array" ref="AA1685">_xlfn.XLOOKUP(Table1[[#This Row],[5 cm2 cell test code]:[5 cm2 cell test code]],[1]!Table1[[Test code]:[Test code]],[1]!Table1[E @ 100 mA/cm2 DIW/V],"",0)</f>
        <v>#REF!</v>
      </c>
      <c r="AB1685" s="69" t="e" cm="1">
        <f t="array" ref="AB1685">_xlfn.XLOOKUP(Table1[[#This Row],[5 cm2 cell test code]:[5 cm2 cell test code]],[1]!Table1[[Test code]:[Test code]],[1]!Table1[E @ 100 mA/cm2 10 mM KOH/V],"",0)</f>
        <v>#REF!</v>
      </c>
      <c r="AC1685" s="69" t="e" cm="1">
        <f t="array" ref="AC1685">_xlfn.XLOOKUP(Table1[[#This Row],[5 cm2 cell test code]:[5 cm2 cell test code]],[1]!Table1[[Test code]:[Test code]],[1]!Table1[Anode ICR/mOhm],"",0)</f>
        <v>#REF!</v>
      </c>
      <c r="AD1685" s="69" t="e" cm="1">
        <f t="array" ref="AD1685">_xlfn.XLOOKUP(Table1[[#This Row],[5 cm2 cell test code]:[5 cm2 cell test code]],[1]!Table1[[Test code]:[Test code]],[1]!Table1[HFR DIW/ mOhm cm2],"",0)</f>
        <v>#REF!</v>
      </c>
      <c r="AE1685" s="69" t="e" cm="1">
        <f t="array" ref="AE1685">_xlfn.XLOOKUP(Table1[[#This Row],[5 cm2 cell test code]:[5 cm2 cell test code]],[1]!Table1[[Test code]:[Test code]],[1]!Table1[HFR 10 mM KOH/ mOhm cm2],"",0)</f>
        <v>#REF!</v>
      </c>
      <c r="AF1685" s="69" t="e" cm="1">
        <f t="array" ref="AF1685">_xlfn.XLOOKUP(Table1[[#This Row],[5 cm2 cell test code]:[5 cm2 cell test code]],[1]!Table1[[Test code]:[Test code]],[1]!Table1[Ionic resistance DIW/Ohm cm2],"",0)</f>
        <v>#REF!</v>
      </c>
      <c r="AG1685" s="69" t="e" cm="1">
        <f t="array" ref="AG1685">_xlfn.XLOOKUP(Table1[[#This Row],[5 cm2 cell test code]:[5 cm2 cell test code]],[1]!Table1[[Test code]:[Test code]],[1]!Table1[Q_int_frac DIW],"",0)</f>
        <v>#REF!</v>
      </c>
      <c r="AH1685" s="69" t="e" cm="1">
        <f t="array" ref="AH1685">_xlfn.XLOOKUP(Table1[[#This Row],[5 cm2 cell test code]:[5 cm2 cell test code]],[1]!Table1[[Test code]:[Test code]],[1]!Table1[Ionic resistance 10 mM KOH/Ohm cm2],"",0)</f>
        <v>#REF!</v>
      </c>
      <c r="AI1685" s="69" t="e" cm="1">
        <f t="array" ref="AI1685">_xlfn.XLOOKUP(Table1[[#This Row],[5 cm2 cell test code]:[5 cm2 cell test code]],[1]!Table1[[Test code]:[Test code]],[1]!Table1[Q_int_frac DIW 10 mM KOH],"",0)</f>
        <v>#REF!</v>
      </c>
      <c r="AJ1685" s="69" t="e" cm="1">
        <f t="array" ref="AJ1685">_xlfn.XLOOKUP(Table1[[#This Row],[5 cm2 cell test code]:[5 cm2 cell test code]],[1]!Table1[[Test code]:[Test code]],[1]!Table1[DIW conductivity (µS/cm)],"",0)</f>
        <v>#REF!</v>
      </c>
    </row>
    <row r="1686" spans="1:36">
      <c r="A1686" s="81"/>
      <c r="U1686" s="101"/>
      <c r="V1686" s="101"/>
      <c r="W1686" s="69" t="e" cm="1">
        <f t="array" ref="W1686">_xlfn.XLOOKUP(Table1[[#This Row],[5 cm2 cell test code]:[5 cm2 cell test code]],[1]!Table1[[Test code]:[Test code]],[1]!Table1[i @ 1.8 V DIW (A/cm2)],"",0)</f>
        <v>#REF!</v>
      </c>
      <c r="X1686" s="69" t="e" cm="1">
        <f t="array" ref="X1686">_xlfn.XLOOKUP(Table1[[#This Row],[5 cm2 cell test code]:[5 cm2 cell test code]],[1]!Table1[[Test code]:[Test code]],[1]!Table1[i @ 1.8 V 10 mM KOH (A/cm2)],"",0)</f>
        <v>#REF!</v>
      </c>
      <c r="Y1686" s="69" t="e" cm="1">
        <f t="array" ref="Y1686">_xlfn.XLOOKUP(Table1[[#This Row],[5 cm2 cell test code]:[5 cm2 cell test code]],[1]!Table1[[Test code]:[Test code]],[1]!Table1[3-E ƞ at 20mAcm-2 (mV)],"",0)</f>
        <v>#REF!</v>
      </c>
      <c r="Z1686" s="69" t="e" cm="1">
        <f t="array" ref="Z1686">_xlfn.XLOOKUP(Table1[[#This Row],[5 cm2 cell test code]:[5 cm2 cell test code]],[1]!Table1[[Test code]:[Test code]],[1]!Table1[3-E Tafel slope (mV/dec)],"",0)</f>
        <v>#REF!</v>
      </c>
      <c r="AA1686" s="69" t="e" cm="1">
        <f t="array" ref="AA1686">_xlfn.XLOOKUP(Table1[[#This Row],[5 cm2 cell test code]:[5 cm2 cell test code]],[1]!Table1[[Test code]:[Test code]],[1]!Table1[E @ 100 mA/cm2 DIW/V],"",0)</f>
        <v>#REF!</v>
      </c>
      <c r="AB1686" s="69" t="e" cm="1">
        <f t="array" ref="AB1686">_xlfn.XLOOKUP(Table1[[#This Row],[5 cm2 cell test code]:[5 cm2 cell test code]],[1]!Table1[[Test code]:[Test code]],[1]!Table1[E @ 100 mA/cm2 10 mM KOH/V],"",0)</f>
        <v>#REF!</v>
      </c>
      <c r="AC1686" s="69" t="e" cm="1">
        <f t="array" ref="AC1686">_xlfn.XLOOKUP(Table1[[#This Row],[5 cm2 cell test code]:[5 cm2 cell test code]],[1]!Table1[[Test code]:[Test code]],[1]!Table1[Anode ICR/mOhm],"",0)</f>
        <v>#REF!</v>
      </c>
      <c r="AD1686" s="69" t="e" cm="1">
        <f t="array" ref="AD1686">_xlfn.XLOOKUP(Table1[[#This Row],[5 cm2 cell test code]:[5 cm2 cell test code]],[1]!Table1[[Test code]:[Test code]],[1]!Table1[HFR DIW/ mOhm cm2],"",0)</f>
        <v>#REF!</v>
      </c>
      <c r="AE1686" s="69" t="e" cm="1">
        <f t="array" ref="AE1686">_xlfn.XLOOKUP(Table1[[#This Row],[5 cm2 cell test code]:[5 cm2 cell test code]],[1]!Table1[[Test code]:[Test code]],[1]!Table1[HFR 10 mM KOH/ mOhm cm2],"",0)</f>
        <v>#REF!</v>
      </c>
      <c r="AF1686" s="69" t="e" cm="1">
        <f t="array" ref="AF1686">_xlfn.XLOOKUP(Table1[[#This Row],[5 cm2 cell test code]:[5 cm2 cell test code]],[1]!Table1[[Test code]:[Test code]],[1]!Table1[Ionic resistance DIW/Ohm cm2],"",0)</f>
        <v>#REF!</v>
      </c>
      <c r="AG1686" s="69" t="e" cm="1">
        <f t="array" ref="AG1686">_xlfn.XLOOKUP(Table1[[#This Row],[5 cm2 cell test code]:[5 cm2 cell test code]],[1]!Table1[[Test code]:[Test code]],[1]!Table1[Q_int_frac DIW],"",0)</f>
        <v>#REF!</v>
      </c>
      <c r="AH1686" s="69" t="e" cm="1">
        <f t="array" ref="AH1686">_xlfn.XLOOKUP(Table1[[#This Row],[5 cm2 cell test code]:[5 cm2 cell test code]],[1]!Table1[[Test code]:[Test code]],[1]!Table1[Ionic resistance 10 mM KOH/Ohm cm2],"",0)</f>
        <v>#REF!</v>
      </c>
      <c r="AI1686" s="69" t="e" cm="1">
        <f t="array" ref="AI1686">_xlfn.XLOOKUP(Table1[[#This Row],[5 cm2 cell test code]:[5 cm2 cell test code]],[1]!Table1[[Test code]:[Test code]],[1]!Table1[Q_int_frac DIW 10 mM KOH],"",0)</f>
        <v>#REF!</v>
      </c>
      <c r="AJ1686" s="69" t="e" cm="1">
        <f t="array" ref="AJ1686">_xlfn.XLOOKUP(Table1[[#This Row],[5 cm2 cell test code]:[5 cm2 cell test code]],[1]!Table1[[Test code]:[Test code]],[1]!Table1[DIW conductivity (µS/cm)],"",0)</f>
        <v>#REF!</v>
      </c>
    </row>
    <row r="1687" spans="1:36">
      <c r="A1687" s="81"/>
      <c r="U1687" s="101"/>
      <c r="V1687" s="101"/>
      <c r="W1687" s="69" t="e" cm="1">
        <f t="array" ref="W1687">_xlfn.XLOOKUP(Table1[[#This Row],[5 cm2 cell test code]:[5 cm2 cell test code]],[1]!Table1[[Test code]:[Test code]],[1]!Table1[i @ 1.8 V DIW (A/cm2)],"",0)</f>
        <v>#REF!</v>
      </c>
      <c r="X1687" s="69" t="e" cm="1">
        <f t="array" ref="X1687">_xlfn.XLOOKUP(Table1[[#This Row],[5 cm2 cell test code]:[5 cm2 cell test code]],[1]!Table1[[Test code]:[Test code]],[1]!Table1[i @ 1.8 V 10 mM KOH (A/cm2)],"",0)</f>
        <v>#REF!</v>
      </c>
      <c r="Y1687" s="69" t="e" cm="1">
        <f t="array" ref="Y1687">_xlfn.XLOOKUP(Table1[[#This Row],[5 cm2 cell test code]:[5 cm2 cell test code]],[1]!Table1[[Test code]:[Test code]],[1]!Table1[3-E ƞ at 20mAcm-2 (mV)],"",0)</f>
        <v>#REF!</v>
      </c>
      <c r="Z1687" s="69" t="e" cm="1">
        <f t="array" ref="Z1687">_xlfn.XLOOKUP(Table1[[#This Row],[5 cm2 cell test code]:[5 cm2 cell test code]],[1]!Table1[[Test code]:[Test code]],[1]!Table1[3-E Tafel slope (mV/dec)],"",0)</f>
        <v>#REF!</v>
      </c>
      <c r="AA1687" s="69" t="e" cm="1">
        <f t="array" ref="AA1687">_xlfn.XLOOKUP(Table1[[#This Row],[5 cm2 cell test code]:[5 cm2 cell test code]],[1]!Table1[[Test code]:[Test code]],[1]!Table1[E @ 100 mA/cm2 DIW/V],"",0)</f>
        <v>#REF!</v>
      </c>
      <c r="AB1687" s="69" t="e" cm="1">
        <f t="array" ref="AB1687">_xlfn.XLOOKUP(Table1[[#This Row],[5 cm2 cell test code]:[5 cm2 cell test code]],[1]!Table1[[Test code]:[Test code]],[1]!Table1[E @ 100 mA/cm2 10 mM KOH/V],"",0)</f>
        <v>#REF!</v>
      </c>
      <c r="AC1687" s="69" t="e" cm="1">
        <f t="array" ref="AC1687">_xlfn.XLOOKUP(Table1[[#This Row],[5 cm2 cell test code]:[5 cm2 cell test code]],[1]!Table1[[Test code]:[Test code]],[1]!Table1[Anode ICR/mOhm],"",0)</f>
        <v>#REF!</v>
      </c>
      <c r="AD1687" s="69" t="e" cm="1">
        <f t="array" ref="AD1687">_xlfn.XLOOKUP(Table1[[#This Row],[5 cm2 cell test code]:[5 cm2 cell test code]],[1]!Table1[[Test code]:[Test code]],[1]!Table1[HFR DIW/ mOhm cm2],"",0)</f>
        <v>#REF!</v>
      </c>
      <c r="AE1687" s="69" t="e" cm="1">
        <f t="array" ref="AE1687">_xlfn.XLOOKUP(Table1[[#This Row],[5 cm2 cell test code]:[5 cm2 cell test code]],[1]!Table1[[Test code]:[Test code]],[1]!Table1[HFR 10 mM KOH/ mOhm cm2],"",0)</f>
        <v>#REF!</v>
      </c>
      <c r="AF1687" s="69" t="e" cm="1">
        <f t="array" ref="AF1687">_xlfn.XLOOKUP(Table1[[#This Row],[5 cm2 cell test code]:[5 cm2 cell test code]],[1]!Table1[[Test code]:[Test code]],[1]!Table1[Ionic resistance DIW/Ohm cm2],"",0)</f>
        <v>#REF!</v>
      </c>
      <c r="AG1687" s="69" t="e" cm="1">
        <f t="array" ref="AG1687">_xlfn.XLOOKUP(Table1[[#This Row],[5 cm2 cell test code]:[5 cm2 cell test code]],[1]!Table1[[Test code]:[Test code]],[1]!Table1[Q_int_frac DIW],"",0)</f>
        <v>#REF!</v>
      </c>
      <c r="AH1687" s="69" t="e" cm="1">
        <f t="array" ref="AH1687">_xlfn.XLOOKUP(Table1[[#This Row],[5 cm2 cell test code]:[5 cm2 cell test code]],[1]!Table1[[Test code]:[Test code]],[1]!Table1[Ionic resistance 10 mM KOH/Ohm cm2],"",0)</f>
        <v>#REF!</v>
      </c>
      <c r="AI1687" s="69" t="e" cm="1">
        <f t="array" ref="AI1687">_xlfn.XLOOKUP(Table1[[#This Row],[5 cm2 cell test code]:[5 cm2 cell test code]],[1]!Table1[[Test code]:[Test code]],[1]!Table1[Q_int_frac DIW 10 mM KOH],"",0)</f>
        <v>#REF!</v>
      </c>
      <c r="AJ1687" s="69" t="e" cm="1">
        <f t="array" ref="AJ1687">_xlfn.XLOOKUP(Table1[[#This Row],[5 cm2 cell test code]:[5 cm2 cell test code]],[1]!Table1[[Test code]:[Test code]],[1]!Table1[DIW conductivity (µS/cm)],"",0)</f>
        <v>#REF!</v>
      </c>
    </row>
    <row r="1688" spans="1:36">
      <c r="A1688" s="81"/>
      <c r="U1688" s="101"/>
      <c r="V1688" s="101"/>
      <c r="W1688" s="69" t="e" cm="1">
        <f t="array" ref="W1688">_xlfn.XLOOKUP(Table1[[#This Row],[5 cm2 cell test code]:[5 cm2 cell test code]],[1]!Table1[[Test code]:[Test code]],[1]!Table1[i @ 1.8 V DIW (A/cm2)],"",0)</f>
        <v>#REF!</v>
      </c>
      <c r="X1688" s="69" t="e" cm="1">
        <f t="array" ref="X1688">_xlfn.XLOOKUP(Table1[[#This Row],[5 cm2 cell test code]:[5 cm2 cell test code]],[1]!Table1[[Test code]:[Test code]],[1]!Table1[i @ 1.8 V 10 mM KOH (A/cm2)],"",0)</f>
        <v>#REF!</v>
      </c>
      <c r="Y1688" s="69" t="e" cm="1">
        <f t="array" ref="Y1688">_xlfn.XLOOKUP(Table1[[#This Row],[5 cm2 cell test code]:[5 cm2 cell test code]],[1]!Table1[[Test code]:[Test code]],[1]!Table1[3-E ƞ at 20mAcm-2 (mV)],"",0)</f>
        <v>#REF!</v>
      </c>
      <c r="Z1688" s="69" t="e" cm="1">
        <f t="array" ref="Z1688">_xlfn.XLOOKUP(Table1[[#This Row],[5 cm2 cell test code]:[5 cm2 cell test code]],[1]!Table1[[Test code]:[Test code]],[1]!Table1[3-E Tafel slope (mV/dec)],"",0)</f>
        <v>#REF!</v>
      </c>
      <c r="AA1688" s="69" t="e" cm="1">
        <f t="array" ref="AA1688">_xlfn.XLOOKUP(Table1[[#This Row],[5 cm2 cell test code]:[5 cm2 cell test code]],[1]!Table1[[Test code]:[Test code]],[1]!Table1[E @ 100 mA/cm2 DIW/V],"",0)</f>
        <v>#REF!</v>
      </c>
      <c r="AB1688" s="69" t="e" cm="1">
        <f t="array" ref="AB1688">_xlfn.XLOOKUP(Table1[[#This Row],[5 cm2 cell test code]:[5 cm2 cell test code]],[1]!Table1[[Test code]:[Test code]],[1]!Table1[E @ 100 mA/cm2 10 mM KOH/V],"",0)</f>
        <v>#REF!</v>
      </c>
      <c r="AC1688" s="69" t="e" cm="1">
        <f t="array" ref="AC1688">_xlfn.XLOOKUP(Table1[[#This Row],[5 cm2 cell test code]:[5 cm2 cell test code]],[1]!Table1[[Test code]:[Test code]],[1]!Table1[Anode ICR/mOhm],"",0)</f>
        <v>#REF!</v>
      </c>
      <c r="AD1688" s="69" t="e" cm="1">
        <f t="array" ref="AD1688">_xlfn.XLOOKUP(Table1[[#This Row],[5 cm2 cell test code]:[5 cm2 cell test code]],[1]!Table1[[Test code]:[Test code]],[1]!Table1[HFR DIW/ mOhm cm2],"",0)</f>
        <v>#REF!</v>
      </c>
      <c r="AE1688" s="69" t="e" cm="1">
        <f t="array" ref="AE1688">_xlfn.XLOOKUP(Table1[[#This Row],[5 cm2 cell test code]:[5 cm2 cell test code]],[1]!Table1[[Test code]:[Test code]],[1]!Table1[HFR 10 mM KOH/ mOhm cm2],"",0)</f>
        <v>#REF!</v>
      </c>
      <c r="AF1688" s="69" t="e" cm="1">
        <f t="array" ref="AF1688">_xlfn.XLOOKUP(Table1[[#This Row],[5 cm2 cell test code]:[5 cm2 cell test code]],[1]!Table1[[Test code]:[Test code]],[1]!Table1[Ionic resistance DIW/Ohm cm2],"",0)</f>
        <v>#REF!</v>
      </c>
      <c r="AG1688" s="69" t="e" cm="1">
        <f t="array" ref="AG1688">_xlfn.XLOOKUP(Table1[[#This Row],[5 cm2 cell test code]:[5 cm2 cell test code]],[1]!Table1[[Test code]:[Test code]],[1]!Table1[Q_int_frac DIW],"",0)</f>
        <v>#REF!</v>
      </c>
      <c r="AH1688" s="69" t="e" cm="1">
        <f t="array" ref="AH1688">_xlfn.XLOOKUP(Table1[[#This Row],[5 cm2 cell test code]:[5 cm2 cell test code]],[1]!Table1[[Test code]:[Test code]],[1]!Table1[Ionic resistance 10 mM KOH/Ohm cm2],"",0)</f>
        <v>#REF!</v>
      </c>
      <c r="AI1688" s="69" t="e" cm="1">
        <f t="array" ref="AI1688">_xlfn.XLOOKUP(Table1[[#This Row],[5 cm2 cell test code]:[5 cm2 cell test code]],[1]!Table1[[Test code]:[Test code]],[1]!Table1[Q_int_frac DIW 10 mM KOH],"",0)</f>
        <v>#REF!</v>
      </c>
      <c r="AJ1688" s="69" t="e" cm="1">
        <f t="array" ref="AJ1688">_xlfn.XLOOKUP(Table1[[#This Row],[5 cm2 cell test code]:[5 cm2 cell test code]],[1]!Table1[[Test code]:[Test code]],[1]!Table1[DIW conductivity (µS/cm)],"",0)</f>
        <v>#REF!</v>
      </c>
    </row>
    <row r="1689" spans="1:36">
      <c r="A1689" s="81"/>
      <c r="U1689" s="101"/>
      <c r="V1689" s="101"/>
      <c r="W1689" s="69" t="e" cm="1">
        <f t="array" ref="W1689">_xlfn.XLOOKUP(Table1[[#This Row],[5 cm2 cell test code]:[5 cm2 cell test code]],[1]!Table1[[Test code]:[Test code]],[1]!Table1[i @ 1.8 V DIW (A/cm2)],"",0)</f>
        <v>#REF!</v>
      </c>
      <c r="X1689" s="69" t="e" cm="1">
        <f t="array" ref="X1689">_xlfn.XLOOKUP(Table1[[#This Row],[5 cm2 cell test code]:[5 cm2 cell test code]],[1]!Table1[[Test code]:[Test code]],[1]!Table1[i @ 1.8 V 10 mM KOH (A/cm2)],"",0)</f>
        <v>#REF!</v>
      </c>
      <c r="Y1689" s="69" t="e" cm="1">
        <f t="array" ref="Y1689">_xlfn.XLOOKUP(Table1[[#This Row],[5 cm2 cell test code]:[5 cm2 cell test code]],[1]!Table1[[Test code]:[Test code]],[1]!Table1[3-E ƞ at 20mAcm-2 (mV)],"",0)</f>
        <v>#REF!</v>
      </c>
      <c r="Z1689" s="69" t="e" cm="1">
        <f t="array" ref="Z1689">_xlfn.XLOOKUP(Table1[[#This Row],[5 cm2 cell test code]:[5 cm2 cell test code]],[1]!Table1[[Test code]:[Test code]],[1]!Table1[3-E Tafel slope (mV/dec)],"",0)</f>
        <v>#REF!</v>
      </c>
      <c r="AA1689" s="69" t="e" cm="1">
        <f t="array" ref="AA1689">_xlfn.XLOOKUP(Table1[[#This Row],[5 cm2 cell test code]:[5 cm2 cell test code]],[1]!Table1[[Test code]:[Test code]],[1]!Table1[E @ 100 mA/cm2 DIW/V],"",0)</f>
        <v>#REF!</v>
      </c>
      <c r="AB1689" s="69" t="e" cm="1">
        <f t="array" ref="AB1689">_xlfn.XLOOKUP(Table1[[#This Row],[5 cm2 cell test code]:[5 cm2 cell test code]],[1]!Table1[[Test code]:[Test code]],[1]!Table1[E @ 100 mA/cm2 10 mM KOH/V],"",0)</f>
        <v>#REF!</v>
      </c>
      <c r="AC1689" s="69" t="e" cm="1">
        <f t="array" ref="AC1689">_xlfn.XLOOKUP(Table1[[#This Row],[5 cm2 cell test code]:[5 cm2 cell test code]],[1]!Table1[[Test code]:[Test code]],[1]!Table1[Anode ICR/mOhm],"",0)</f>
        <v>#REF!</v>
      </c>
      <c r="AD1689" s="69" t="e" cm="1">
        <f t="array" ref="AD1689">_xlfn.XLOOKUP(Table1[[#This Row],[5 cm2 cell test code]:[5 cm2 cell test code]],[1]!Table1[[Test code]:[Test code]],[1]!Table1[HFR DIW/ mOhm cm2],"",0)</f>
        <v>#REF!</v>
      </c>
      <c r="AE1689" s="69" t="e" cm="1">
        <f t="array" ref="AE1689">_xlfn.XLOOKUP(Table1[[#This Row],[5 cm2 cell test code]:[5 cm2 cell test code]],[1]!Table1[[Test code]:[Test code]],[1]!Table1[HFR 10 mM KOH/ mOhm cm2],"",0)</f>
        <v>#REF!</v>
      </c>
      <c r="AF1689" s="69" t="e" cm="1">
        <f t="array" ref="AF1689">_xlfn.XLOOKUP(Table1[[#This Row],[5 cm2 cell test code]:[5 cm2 cell test code]],[1]!Table1[[Test code]:[Test code]],[1]!Table1[Ionic resistance DIW/Ohm cm2],"",0)</f>
        <v>#REF!</v>
      </c>
      <c r="AG1689" s="69" t="e" cm="1">
        <f t="array" ref="AG1689">_xlfn.XLOOKUP(Table1[[#This Row],[5 cm2 cell test code]:[5 cm2 cell test code]],[1]!Table1[[Test code]:[Test code]],[1]!Table1[Q_int_frac DIW],"",0)</f>
        <v>#REF!</v>
      </c>
      <c r="AH1689" s="69" t="e" cm="1">
        <f t="array" ref="AH1689">_xlfn.XLOOKUP(Table1[[#This Row],[5 cm2 cell test code]:[5 cm2 cell test code]],[1]!Table1[[Test code]:[Test code]],[1]!Table1[Ionic resistance 10 mM KOH/Ohm cm2],"",0)</f>
        <v>#REF!</v>
      </c>
      <c r="AI1689" s="69" t="e" cm="1">
        <f t="array" ref="AI1689">_xlfn.XLOOKUP(Table1[[#This Row],[5 cm2 cell test code]:[5 cm2 cell test code]],[1]!Table1[[Test code]:[Test code]],[1]!Table1[Q_int_frac DIW 10 mM KOH],"",0)</f>
        <v>#REF!</v>
      </c>
      <c r="AJ1689" s="69" t="e" cm="1">
        <f t="array" ref="AJ1689">_xlfn.XLOOKUP(Table1[[#This Row],[5 cm2 cell test code]:[5 cm2 cell test code]],[1]!Table1[[Test code]:[Test code]],[1]!Table1[DIW conductivity (µS/cm)],"",0)</f>
        <v>#REF!</v>
      </c>
    </row>
    <row r="1690" spans="1:36">
      <c r="A1690" s="81"/>
      <c r="U1690" s="101"/>
      <c r="V1690" s="101"/>
      <c r="W1690" s="69" t="e" cm="1">
        <f t="array" ref="W1690">_xlfn.XLOOKUP(Table1[[#This Row],[5 cm2 cell test code]:[5 cm2 cell test code]],[1]!Table1[[Test code]:[Test code]],[1]!Table1[i @ 1.8 V DIW (A/cm2)],"",0)</f>
        <v>#REF!</v>
      </c>
      <c r="X1690" s="69" t="e" cm="1">
        <f t="array" ref="X1690">_xlfn.XLOOKUP(Table1[[#This Row],[5 cm2 cell test code]:[5 cm2 cell test code]],[1]!Table1[[Test code]:[Test code]],[1]!Table1[i @ 1.8 V 10 mM KOH (A/cm2)],"",0)</f>
        <v>#REF!</v>
      </c>
      <c r="Y1690" s="69" t="e" cm="1">
        <f t="array" ref="Y1690">_xlfn.XLOOKUP(Table1[[#This Row],[5 cm2 cell test code]:[5 cm2 cell test code]],[1]!Table1[[Test code]:[Test code]],[1]!Table1[3-E ƞ at 20mAcm-2 (mV)],"",0)</f>
        <v>#REF!</v>
      </c>
      <c r="Z1690" s="69" t="e" cm="1">
        <f t="array" ref="Z1690">_xlfn.XLOOKUP(Table1[[#This Row],[5 cm2 cell test code]:[5 cm2 cell test code]],[1]!Table1[[Test code]:[Test code]],[1]!Table1[3-E Tafel slope (mV/dec)],"",0)</f>
        <v>#REF!</v>
      </c>
      <c r="AA1690" s="69" t="e" cm="1">
        <f t="array" ref="AA1690">_xlfn.XLOOKUP(Table1[[#This Row],[5 cm2 cell test code]:[5 cm2 cell test code]],[1]!Table1[[Test code]:[Test code]],[1]!Table1[E @ 100 mA/cm2 DIW/V],"",0)</f>
        <v>#REF!</v>
      </c>
      <c r="AB1690" s="69" t="e" cm="1">
        <f t="array" ref="AB1690">_xlfn.XLOOKUP(Table1[[#This Row],[5 cm2 cell test code]:[5 cm2 cell test code]],[1]!Table1[[Test code]:[Test code]],[1]!Table1[E @ 100 mA/cm2 10 mM KOH/V],"",0)</f>
        <v>#REF!</v>
      </c>
      <c r="AC1690" s="69" t="e" cm="1">
        <f t="array" ref="AC1690">_xlfn.XLOOKUP(Table1[[#This Row],[5 cm2 cell test code]:[5 cm2 cell test code]],[1]!Table1[[Test code]:[Test code]],[1]!Table1[Anode ICR/mOhm],"",0)</f>
        <v>#REF!</v>
      </c>
      <c r="AD1690" s="69" t="e" cm="1">
        <f t="array" ref="AD1690">_xlfn.XLOOKUP(Table1[[#This Row],[5 cm2 cell test code]:[5 cm2 cell test code]],[1]!Table1[[Test code]:[Test code]],[1]!Table1[HFR DIW/ mOhm cm2],"",0)</f>
        <v>#REF!</v>
      </c>
      <c r="AE1690" s="69" t="e" cm="1">
        <f t="array" ref="AE1690">_xlfn.XLOOKUP(Table1[[#This Row],[5 cm2 cell test code]:[5 cm2 cell test code]],[1]!Table1[[Test code]:[Test code]],[1]!Table1[HFR 10 mM KOH/ mOhm cm2],"",0)</f>
        <v>#REF!</v>
      </c>
      <c r="AF1690" s="69" t="e" cm="1">
        <f t="array" ref="AF1690">_xlfn.XLOOKUP(Table1[[#This Row],[5 cm2 cell test code]:[5 cm2 cell test code]],[1]!Table1[[Test code]:[Test code]],[1]!Table1[Ionic resistance DIW/Ohm cm2],"",0)</f>
        <v>#REF!</v>
      </c>
      <c r="AG1690" s="69" t="e" cm="1">
        <f t="array" ref="AG1690">_xlfn.XLOOKUP(Table1[[#This Row],[5 cm2 cell test code]:[5 cm2 cell test code]],[1]!Table1[[Test code]:[Test code]],[1]!Table1[Q_int_frac DIW],"",0)</f>
        <v>#REF!</v>
      </c>
      <c r="AH1690" s="69" t="e" cm="1">
        <f t="array" ref="AH1690">_xlfn.XLOOKUP(Table1[[#This Row],[5 cm2 cell test code]:[5 cm2 cell test code]],[1]!Table1[[Test code]:[Test code]],[1]!Table1[Ionic resistance 10 mM KOH/Ohm cm2],"",0)</f>
        <v>#REF!</v>
      </c>
      <c r="AI1690" s="69" t="e" cm="1">
        <f t="array" ref="AI1690">_xlfn.XLOOKUP(Table1[[#This Row],[5 cm2 cell test code]:[5 cm2 cell test code]],[1]!Table1[[Test code]:[Test code]],[1]!Table1[Q_int_frac DIW 10 mM KOH],"",0)</f>
        <v>#REF!</v>
      </c>
      <c r="AJ1690" s="69" t="e" cm="1">
        <f t="array" ref="AJ1690">_xlfn.XLOOKUP(Table1[[#This Row],[5 cm2 cell test code]:[5 cm2 cell test code]],[1]!Table1[[Test code]:[Test code]],[1]!Table1[DIW conductivity (µS/cm)],"",0)</f>
        <v>#REF!</v>
      </c>
    </row>
    <row r="1691" spans="1:36">
      <c r="A1691" s="81"/>
      <c r="U1691" s="101"/>
      <c r="V1691" s="101"/>
      <c r="W1691" s="69" t="e" cm="1">
        <f t="array" ref="W1691">_xlfn.XLOOKUP(Table1[[#This Row],[5 cm2 cell test code]:[5 cm2 cell test code]],[1]!Table1[[Test code]:[Test code]],[1]!Table1[i @ 1.8 V DIW (A/cm2)],"",0)</f>
        <v>#REF!</v>
      </c>
      <c r="X1691" s="69" t="e" cm="1">
        <f t="array" ref="X1691">_xlfn.XLOOKUP(Table1[[#This Row],[5 cm2 cell test code]:[5 cm2 cell test code]],[1]!Table1[[Test code]:[Test code]],[1]!Table1[i @ 1.8 V 10 mM KOH (A/cm2)],"",0)</f>
        <v>#REF!</v>
      </c>
      <c r="Y1691" s="69" t="e" cm="1">
        <f t="array" ref="Y1691">_xlfn.XLOOKUP(Table1[[#This Row],[5 cm2 cell test code]:[5 cm2 cell test code]],[1]!Table1[[Test code]:[Test code]],[1]!Table1[3-E ƞ at 20mAcm-2 (mV)],"",0)</f>
        <v>#REF!</v>
      </c>
      <c r="Z1691" s="69" t="e" cm="1">
        <f t="array" ref="Z1691">_xlfn.XLOOKUP(Table1[[#This Row],[5 cm2 cell test code]:[5 cm2 cell test code]],[1]!Table1[[Test code]:[Test code]],[1]!Table1[3-E Tafel slope (mV/dec)],"",0)</f>
        <v>#REF!</v>
      </c>
      <c r="AA1691" s="69" t="e" cm="1">
        <f t="array" ref="AA1691">_xlfn.XLOOKUP(Table1[[#This Row],[5 cm2 cell test code]:[5 cm2 cell test code]],[1]!Table1[[Test code]:[Test code]],[1]!Table1[E @ 100 mA/cm2 DIW/V],"",0)</f>
        <v>#REF!</v>
      </c>
      <c r="AB1691" s="69" t="e" cm="1">
        <f t="array" ref="AB1691">_xlfn.XLOOKUP(Table1[[#This Row],[5 cm2 cell test code]:[5 cm2 cell test code]],[1]!Table1[[Test code]:[Test code]],[1]!Table1[E @ 100 mA/cm2 10 mM KOH/V],"",0)</f>
        <v>#REF!</v>
      </c>
      <c r="AC1691" s="69" t="e" cm="1">
        <f t="array" ref="AC1691">_xlfn.XLOOKUP(Table1[[#This Row],[5 cm2 cell test code]:[5 cm2 cell test code]],[1]!Table1[[Test code]:[Test code]],[1]!Table1[Anode ICR/mOhm],"",0)</f>
        <v>#REF!</v>
      </c>
      <c r="AD1691" s="69" t="e" cm="1">
        <f t="array" ref="AD1691">_xlfn.XLOOKUP(Table1[[#This Row],[5 cm2 cell test code]:[5 cm2 cell test code]],[1]!Table1[[Test code]:[Test code]],[1]!Table1[HFR DIW/ mOhm cm2],"",0)</f>
        <v>#REF!</v>
      </c>
      <c r="AE1691" s="69" t="e" cm="1">
        <f t="array" ref="AE1691">_xlfn.XLOOKUP(Table1[[#This Row],[5 cm2 cell test code]:[5 cm2 cell test code]],[1]!Table1[[Test code]:[Test code]],[1]!Table1[HFR 10 mM KOH/ mOhm cm2],"",0)</f>
        <v>#REF!</v>
      </c>
      <c r="AF1691" s="69" t="e" cm="1">
        <f t="array" ref="AF1691">_xlfn.XLOOKUP(Table1[[#This Row],[5 cm2 cell test code]:[5 cm2 cell test code]],[1]!Table1[[Test code]:[Test code]],[1]!Table1[Ionic resistance DIW/Ohm cm2],"",0)</f>
        <v>#REF!</v>
      </c>
      <c r="AG1691" s="69" t="e" cm="1">
        <f t="array" ref="AG1691">_xlfn.XLOOKUP(Table1[[#This Row],[5 cm2 cell test code]:[5 cm2 cell test code]],[1]!Table1[[Test code]:[Test code]],[1]!Table1[Q_int_frac DIW],"",0)</f>
        <v>#REF!</v>
      </c>
      <c r="AH1691" s="69" t="e" cm="1">
        <f t="array" ref="AH1691">_xlfn.XLOOKUP(Table1[[#This Row],[5 cm2 cell test code]:[5 cm2 cell test code]],[1]!Table1[[Test code]:[Test code]],[1]!Table1[Ionic resistance 10 mM KOH/Ohm cm2],"",0)</f>
        <v>#REF!</v>
      </c>
      <c r="AI1691" s="69" t="e" cm="1">
        <f t="array" ref="AI1691">_xlfn.XLOOKUP(Table1[[#This Row],[5 cm2 cell test code]:[5 cm2 cell test code]],[1]!Table1[[Test code]:[Test code]],[1]!Table1[Q_int_frac DIW 10 mM KOH],"",0)</f>
        <v>#REF!</v>
      </c>
      <c r="AJ1691" s="69" t="e" cm="1">
        <f t="array" ref="AJ1691">_xlfn.XLOOKUP(Table1[[#This Row],[5 cm2 cell test code]:[5 cm2 cell test code]],[1]!Table1[[Test code]:[Test code]],[1]!Table1[DIW conductivity (µS/cm)],"",0)</f>
        <v>#REF!</v>
      </c>
    </row>
    <row r="1692" spans="1:36">
      <c r="A1692" s="81"/>
      <c r="U1692" s="101"/>
      <c r="V1692" s="101"/>
      <c r="W1692" s="69" t="e" cm="1">
        <f t="array" ref="W1692">_xlfn.XLOOKUP(Table1[[#This Row],[5 cm2 cell test code]:[5 cm2 cell test code]],[1]!Table1[[Test code]:[Test code]],[1]!Table1[i @ 1.8 V DIW (A/cm2)],"",0)</f>
        <v>#REF!</v>
      </c>
      <c r="X1692" s="69" t="e" cm="1">
        <f t="array" ref="X1692">_xlfn.XLOOKUP(Table1[[#This Row],[5 cm2 cell test code]:[5 cm2 cell test code]],[1]!Table1[[Test code]:[Test code]],[1]!Table1[i @ 1.8 V 10 mM KOH (A/cm2)],"",0)</f>
        <v>#REF!</v>
      </c>
      <c r="Y1692" s="69" t="e" cm="1">
        <f t="array" ref="Y1692">_xlfn.XLOOKUP(Table1[[#This Row],[5 cm2 cell test code]:[5 cm2 cell test code]],[1]!Table1[[Test code]:[Test code]],[1]!Table1[3-E ƞ at 20mAcm-2 (mV)],"",0)</f>
        <v>#REF!</v>
      </c>
      <c r="Z1692" s="69" t="e" cm="1">
        <f t="array" ref="Z1692">_xlfn.XLOOKUP(Table1[[#This Row],[5 cm2 cell test code]:[5 cm2 cell test code]],[1]!Table1[[Test code]:[Test code]],[1]!Table1[3-E Tafel slope (mV/dec)],"",0)</f>
        <v>#REF!</v>
      </c>
      <c r="AA1692" s="69" t="e" cm="1">
        <f t="array" ref="AA1692">_xlfn.XLOOKUP(Table1[[#This Row],[5 cm2 cell test code]:[5 cm2 cell test code]],[1]!Table1[[Test code]:[Test code]],[1]!Table1[E @ 100 mA/cm2 DIW/V],"",0)</f>
        <v>#REF!</v>
      </c>
      <c r="AB1692" s="69" t="e" cm="1">
        <f t="array" ref="AB1692">_xlfn.XLOOKUP(Table1[[#This Row],[5 cm2 cell test code]:[5 cm2 cell test code]],[1]!Table1[[Test code]:[Test code]],[1]!Table1[E @ 100 mA/cm2 10 mM KOH/V],"",0)</f>
        <v>#REF!</v>
      </c>
      <c r="AC1692" s="69" t="e" cm="1">
        <f t="array" ref="AC1692">_xlfn.XLOOKUP(Table1[[#This Row],[5 cm2 cell test code]:[5 cm2 cell test code]],[1]!Table1[[Test code]:[Test code]],[1]!Table1[Anode ICR/mOhm],"",0)</f>
        <v>#REF!</v>
      </c>
      <c r="AD1692" s="69" t="e" cm="1">
        <f t="array" ref="AD1692">_xlfn.XLOOKUP(Table1[[#This Row],[5 cm2 cell test code]:[5 cm2 cell test code]],[1]!Table1[[Test code]:[Test code]],[1]!Table1[HFR DIW/ mOhm cm2],"",0)</f>
        <v>#REF!</v>
      </c>
      <c r="AE1692" s="69" t="e" cm="1">
        <f t="array" ref="AE1692">_xlfn.XLOOKUP(Table1[[#This Row],[5 cm2 cell test code]:[5 cm2 cell test code]],[1]!Table1[[Test code]:[Test code]],[1]!Table1[HFR 10 mM KOH/ mOhm cm2],"",0)</f>
        <v>#REF!</v>
      </c>
      <c r="AF1692" s="69" t="e" cm="1">
        <f t="array" ref="AF1692">_xlfn.XLOOKUP(Table1[[#This Row],[5 cm2 cell test code]:[5 cm2 cell test code]],[1]!Table1[[Test code]:[Test code]],[1]!Table1[Ionic resistance DIW/Ohm cm2],"",0)</f>
        <v>#REF!</v>
      </c>
      <c r="AG1692" s="69" t="e" cm="1">
        <f t="array" ref="AG1692">_xlfn.XLOOKUP(Table1[[#This Row],[5 cm2 cell test code]:[5 cm2 cell test code]],[1]!Table1[[Test code]:[Test code]],[1]!Table1[Q_int_frac DIW],"",0)</f>
        <v>#REF!</v>
      </c>
      <c r="AH1692" s="69" t="e" cm="1">
        <f t="array" ref="AH1692">_xlfn.XLOOKUP(Table1[[#This Row],[5 cm2 cell test code]:[5 cm2 cell test code]],[1]!Table1[[Test code]:[Test code]],[1]!Table1[Ionic resistance 10 mM KOH/Ohm cm2],"",0)</f>
        <v>#REF!</v>
      </c>
      <c r="AI1692" s="69" t="e" cm="1">
        <f t="array" ref="AI1692">_xlfn.XLOOKUP(Table1[[#This Row],[5 cm2 cell test code]:[5 cm2 cell test code]],[1]!Table1[[Test code]:[Test code]],[1]!Table1[Q_int_frac DIW 10 mM KOH],"",0)</f>
        <v>#REF!</v>
      </c>
      <c r="AJ1692" s="69" t="e" cm="1">
        <f t="array" ref="AJ1692">_xlfn.XLOOKUP(Table1[[#This Row],[5 cm2 cell test code]:[5 cm2 cell test code]],[1]!Table1[[Test code]:[Test code]],[1]!Table1[DIW conductivity (µS/cm)],"",0)</f>
        <v>#REF!</v>
      </c>
    </row>
    <row r="1693" spans="1:36">
      <c r="A1693" s="81"/>
      <c r="U1693" s="101"/>
      <c r="V1693" s="101"/>
      <c r="W1693" s="69" t="e" cm="1">
        <f t="array" ref="W1693">_xlfn.XLOOKUP(Table1[[#This Row],[5 cm2 cell test code]:[5 cm2 cell test code]],[1]!Table1[[Test code]:[Test code]],[1]!Table1[i @ 1.8 V DIW (A/cm2)],"",0)</f>
        <v>#REF!</v>
      </c>
      <c r="X1693" s="69" t="e" cm="1">
        <f t="array" ref="X1693">_xlfn.XLOOKUP(Table1[[#This Row],[5 cm2 cell test code]:[5 cm2 cell test code]],[1]!Table1[[Test code]:[Test code]],[1]!Table1[i @ 1.8 V 10 mM KOH (A/cm2)],"",0)</f>
        <v>#REF!</v>
      </c>
      <c r="Y1693" s="69" t="e" cm="1">
        <f t="array" ref="Y1693">_xlfn.XLOOKUP(Table1[[#This Row],[5 cm2 cell test code]:[5 cm2 cell test code]],[1]!Table1[[Test code]:[Test code]],[1]!Table1[3-E ƞ at 20mAcm-2 (mV)],"",0)</f>
        <v>#REF!</v>
      </c>
      <c r="Z1693" s="69" t="e" cm="1">
        <f t="array" ref="Z1693">_xlfn.XLOOKUP(Table1[[#This Row],[5 cm2 cell test code]:[5 cm2 cell test code]],[1]!Table1[[Test code]:[Test code]],[1]!Table1[3-E Tafel slope (mV/dec)],"",0)</f>
        <v>#REF!</v>
      </c>
      <c r="AA1693" s="69" t="e" cm="1">
        <f t="array" ref="AA1693">_xlfn.XLOOKUP(Table1[[#This Row],[5 cm2 cell test code]:[5 cm2 cell test code]],[1]!Table1[[Test code]:[Test code]],[1]!Table1[E @ 100 mA/cm2 DIW/V],"",0)</f>
        <v>#REF!</v>
      </c>
      <c r="AB1693" s="69" t="e" cm="1">
        <f t="array" ref="AB1693">_xlfn.XLOOKUP(Table1[[#This Row],[5 cm2 cell test code]:[5 cm2 cell test code]],[1]!Table1[[Test code]:[Test code]],[1]!Table1[E @ 100 mA/cm2 10 mM KOH/V],"",0)</f>
        <v>#REF!</v>
      </c>
      <c r="AC1693" s="69" t="e" cm="1">
        <f t="array" ref="AC1693">_xlfn.XLOOKUP(Table1[[#This Row],[5 cm2 cell test code]:[5 cm2 cell test code]],[1]!Table1[[Test code]:[Test code]],[1]!Table1[Anode ICR/mOhm],"",0)</f>
        <v>#REF!</v>
      </c>
      <c r="AD1693" s="69" t="e" cm="1">
        <f t="array" ref="AD1693">_xlfn.XLOOKUP(Table1[[#This Row],[5 cm2 cell test code]:[5 cm2 cell test code]],[1]!Table1[[Test code]:[Test code]],[1]!Table1[HFR DIW/ mOhm cm2],"",0)</f>
        <v>#REF!</v>
      </c>
      <c r="AE1693" s="69" t="e" cm="1">
        <f t="array" ref="AE1693">_xlfn.XLOOKUP(Table1[[#This Row],[5 cm2 cell test code]:[5 cm2 cell test code]],[1]!Table1[[Test code]:[Test code]],[1]!Table1[HFR 10 mM KOH/ mOhm cm2],"",0)</f>
        <v>#REF!</v>
      </c>
      <c r="AF1693" s="69" t="e" cm="1">
        <f t="array" ref="AF1693">_xlfn.XLOOKUP(Table1[[#This Row],[5 cm2 cell test code]:[5 cm2 cell test code]],[1]!Table1[[Test code]:[Test code]],[1]!Table1[Ionic resistance DIW/Ohm cm2],"",0)</f>
        <v>#REF!</v>
      </c>
      <c r="AG1693" s="69" t="e" cm="1">
        <f t="array" ref="AG1693">_xlfn.XLOOKUP(Table1[[#This Row],[5 cm2 cell test code]:[5 cm2 cell test code]],[1]!Table1[[Test code]:[Test code]],[1]!Table1[Q_int_frac DIW],"",0)</f>
        <v>#REF!</v>
      </c>
      <c r="AH1693" s="69" t="e" cm="1">
        <f t="array" ref="AH1693">_xlfn.XLOOKUP(Table1[[#This Row],[5 cm2 cell test code]:[5 cm2 cell test code]],[1]!Table1[[Test code]:[Test code]],[1]!Table1[Ionic resistance 10 mM KOH/Ohm cm2],"",0)</f>
        <v>#REF!</v>
      </c>
      <c r="AI1693" s="69" t="e" cm="1">
        <f t="array" ref="AI1693">_xlfn.XLOOKUP(Table1[[#This Row],[5 cm2 cell test code]:[5 cm2 cell test code]],[1]!Table1[[Test code]:[Test code]],[1]!Table1[Q_int_frac DIW 10 mM KOH],"",0)</f>
        <v>#REF!</v>
      </c>
      <c r="AJ1693" s="69" t="e" cm="1">
        <f t="array" ref="AJ1693">_xlfn.XLOOKUP(Table1[[#This Row],[5 cm2 cell test code]:[5 cm2 cell test code]],[1]!Table1[[Test code]:[Test code]],[1]!Table1[DIW conductivity (µS/cm)],"",0)</f>
        <v>#REF!</v>
      </c>
    </row>
    <row r="1694" spans="1:36">
      <c r="A1694" s="81"/>
      <c r="U1694" s="101"/>
      <c r="V1694" s="101"/>
      <c r="W1694" s="69" t="e" cm="1">
        <f t="array" ref="W1694">_xlfn.XLOOKUP(Table1[[#This Row],[5 cm2 cell test code]:[5 cm2 cell test code]],[1]!Table1[[Test code]:[Test code]],[1]!Table1[i @ 1.8 V DIW (A/cm2)],"",0)</f>
        <v>#REF!</v>
      </c>
      <c r="X1694" s="69" t="e" cm="1">
        <f t="array" ref="X1694">_xlfn.XLOOKUP(Table1[[#This Row],[5 cm2 cell test code]:[5 cm2 cell test code]],[1]!Table1[[Test code]:[Test code]],[1]!Table1[i @ 1.8 V 10 mM KOH (A/cm2)],"",0)</f>
        <v>#REF!</v>
      </c>
      <c r="Y1694" s="69" t="e" cm="1">
        <f t="array" ref="Y1694">_xlfn.XLOOKUP(Table1[[#This Row],[5 cm2 cell test code]:[5 cm2 cell test code]],[1]!Table1[[Test code]:[Test code]],[1]!Table1[3-E ƞ at 20mAcm-2 (mV)],"",0)</f>
        <v>#REF!</v>
      </c>
      <c r="Z1694" s="69" t="e" cm="1">
        <f t="array" ref="Z1694">_xlfn.XLOOKUP(Table1[[#This Row],[5 cm2 cell test code]:[5 cm2 cell test code]],[1]!Table1[[Test code]:[Test code]],[1]!Table1[3-E Tafel slope (mV/dec)],"",0)</f>
        <v>#REF!</v>
      </c>
      <c r="AA1694" s="69" t="e" cm="1">
        <f t="array" ref="AA1694">_xlfn.XLOOKUP(Table1[[#This Row],[5 cm2 cell test code]:[5 cm2 cell test code]],[1]!Table1[[Test code]:[Test code]],[1]!Table1[E @ 100 mA/cm2 DIW/V],"",0)</f>
        <v>#REF!</v>
      </c>
      <c r="AB1694" s="69" t="e" cm="1">
        <f t="array" ref="AB1694">_xlfn.XLOOKUP(Table1[[#This Row],[5 cm2 cell test code]:[5 cm2 cell test code]],[1]!Table1[[Test code]:[Test code]],[1]!Table1[E @ 100 mA/cm2 10 mM KOH/V],"",0)</f>
        <v>#REF!</v>
      </c>
      <c r="AC1694" s="69" t="e" cm="1">
        <f t="array" ref="AC1694">_xlfn.XLOOKUP(Table1[[#This Row],[5 cm2 cell test code]:[5 cm2 cell test code]],[1]!Table1[[Test code]:[Test code]],[1]!Table1[Anode ICR/mOhm],"",0)</f>
        <v>#REF!</v>
      </c>
      <c r="AD1694" s="69" t="e" cm="1">
        <f t="array" ref="AD1694">_xlfn.XLOOKUP(Table1[[#This Row],[5 cm2 cell test code]:[5 cm2 cell test code]],[1]!Table1[[Test code]:[Test code]],[1]!Table1[HFR DIW/ mOhm cm2],"",0)</f>
        <v>#REF!</v>
      </c>
      <c r="AE1694" s="69" t="e" cm="1">
        <f t="array" ref="AE1694">_xlfn.XLOOKUP(Table1[[#This Row],[5 cm2 cell test code]:[5 cm2 cell test code]],[1]!Table1[[Test code]:[Test code]],[1]!Table1[HFR 10 mM KOH/ mOhm cm2],"",0)</f>
        <v>#REF!</v>
      </c>
      <c r="AF1694" s="69" t="e" cm="1">
        <f t="array" ref="AF1694">_xlfn.XLOOKUP(Table1[[#This Row],[5 cm2 cell test code]:[5 cm2 cell test code]],[1]!Table1[[Test code]:[Test code]],[1]!Table1[Ionic resistance DIW/Ohm cm2],"",0)</f>
        <v>#REF!</v>
      </c>
      <c r="AG1694" s="69" t="e" cm="1">
        <f t="array" ref="AG1694">_xlfn.XLOOKUP(Table1[[#This Row],[5 cm2 cell test code]:[5 cm2 cell test code]],[1]!Table1[[Test code]:[Test code]],[1]!Table1[Q_int_frac DIW],"",0)</f>
        <v>#REF!</v>
      </c>
      <c r="AH1694" s="69" t="e" cm="1">
        <f t="array" ref="AH1694">_xlfn.XLOOKUP(Table1[[#This Row],[5 cm2 cell test code]:[5 cm2 cell test code]],[1]!Table1[[Test code]:[Test code]],[1]!Table1[Ionic resistance 10 mM KOH/Ohm cm2],"",0)</f>
        <v>#REF!</v>
      </c>
      <c r="AI1694" s="69" t="e" cm="1">
        <f t="array" ref="AI1694">_xlfn.XLOOKUP(Table1[[#This Row],[5 cm2 cell test code]:[5 cm2 cell test code]],[1]!Table1[[Test code]:[Test code]],[1]!Table1[Q_int_frac DIW 10 mM KOH],"",0)</f>
        <v>#REF!</v>
      </c>
      <c r="AJ1694" s="69" t="e" cm="1">
        <f t="array" ref="AJ1694">_xlfn.XLOOKUP(Table1[[#This Row],[5 cm2 cell test code]:[5 cm2 cell test code]],[1]!Table1[[Test code]:[Test code]],[1]!Table1[DIW conductivity (µS/cm)],"",0)</f>
        <v>#REF!</v>
      </c>
    </row>
    <row r="1695" spans="1:36">
      <c r="A1695" s="81"/>
      <c r="U1695" s="101"/>
      <c r="V1695" s="101"/>
      <c r="W1695" s="69" t="e" cm="1">
        <f t="array" ref="W1695">_xlfn.XLOOKUP(Table1[[#This Row],[5 cm2 cell test code]:[5 cm2 cell test code]],[1]!Table1[[Test code]:[Test code]],[1]!Table1[i @ 1.8 V DIW (A/cm2)],"",0)</f>
        <v>#REF!</v>
      </c>
      <c r="X1695" s="69" t="e" cm="1">
        <f t="array" ref="X1695">_xlfn.XLOOKUP(Table1[[#This Row],[5 cm2 cell test code]:[5 cm2 cell test code]],[1]!Table1[[Test code]:[Test code]],[1]!Table1[i @ 1.8 V 10 mM KOH (A/cm2)],"",0)</f>
        <v>#REF!</v>
      </c>
      <c r="Y1695" s="69" t="e" cm="1">
        <f t="array" ref="Y1695">_xlfn.XLOOKUP(Table1[[#This Row],[5 cm2 cell test code]:[5 cm2 cell test code]],[1]!Table1[[Test code]:[Test code]],[1]!Table1[3-E ƞ at 20mAcm-2 (mV)],"",0)</f>
        <v>#REF!</v>
      </c>
      <c r="Z1695" s="69" t="e" cm="1">
        <f t="array" ref="Z1695">_xlfn.XLOOKUP(Table1[[#This Row],[5 cm2 cell test code]:[5 cm2 cell test code]],[1]!Table1[[Test code]:[Test code]],[1]!Table1[3-E Tafel slope (mV/dec)],"",0)</f>
        <v>#REF!</v>
      </c>
      <c r="AA1695" s="69" t="e" cm="1">
        <f t="array" ref="AA1695">_xlfn.XLOOKUP(Table1[[#This Row],[5 cm2 cell test code]:[5 cm2 cell test code]],[1]!Table1[[Test code]:[Test code]],[1]!Table1[E @ 100 mA/cm2 DIW/V],"",0)</f>
        <v>#REF!</v>
      </c>
      <c r="AB1695" s="69" t="e" cm="1">
        <f t="array" ref="AB1695">_xlfn.XLOOKUP(Table1[[#This Row],[5 cm2 cell test code]:[5 cm2 cell test code]],[1]!Table1[[Test code]:[Test code]],[1]!Table1[E @ 100 mA/cm2 10 mM KOH/V],"",0)</f>
        <v>#REF!</v>
      </c>
      <c r="AC1695" s="69" t="e" cm="1">
        <f t="array" ref="AC1695">_xlfn.XLOOKUP(Table1[[#This Row],[5 cm2 cell test code]:[5 cm2 cell test code]],[1]!Table1[[Test code]:[Test code]],[1]!Table1[Anode ICR/mOhm],"",0)</f>
        <v>#REF!</v>
      </c>
      <c r="AD1695" s="69" t="e" cm="1">
        <f t="array" ref="AD1695">_xlfn.XLOOKUP(Table1[[#This Row],[5 cm2 cell test code]:[5 cm2 cell test code]],[1]!Table1[[Test code]:[Test code]],[1]!Table1[HFR DIW/ mOhm cm2],"",0)</f>
        <v>#REF!</v>
      </c>
      <c r="AE1695" s="69" t="e" cm="1">
        <f t="array" ref="AE1695">_xlfn.XLOOKUP(Table1[[#This Row],[5 cm2 cell test code]:[5 cm2 cell test code]],[1]!Table1[[Test code]:[Test code]],[1]!Table1[HFR 10 mM KOH/ mOhm cm2],"",0)</f>
        <v>#REF!</v>
      </c>
      <c r="AF1695" s="69" t="e" cm="1">
        <f t="array" ref="AF1695">_xlfn.XLOOKUP(Table1[[#This Row],[5 cm2 cell test code]:[5 cm2 cell test code]],[1]!Table1[[Test code]:[Test code]],[1]!Table1[Ionic resistance DIW/Ohm cm2],"",0)</f>
        <v>#REF!</v>
      </c>
      <c r="AG1695" s="69" t="e" cm="1">
        <f t="array" ref="AG1695">_xlfn.XLOOKUP(Table1[[#This Row],[5 cm2 cell test code]:[5 cm2 cell test code]],[1]!Table1[[Test code]:[Test code]],[1]!Table1[Q_int_frac DIW],"",0)</f>
        <v>#REF!</v>
      </c>
      <c r="AH1695" s="69" t="e" cm="1">
        <f t="array" ref="AH1695">_xlfn.XLOOKUP(Table1[[#This Row],[5 cm2 cell test code]:[5 cm2 cell test code]],[1]!Table1[[Test code]:[Test code]],[1]!Table1[Ionic resistance 10 mM KOH/Ohm cm2],"",0)</f>
        <v>#REF!</v>
      </c>
      <c r="AI1695" s="69" t="e" cm="1">
        <f t="array" ref="AI1695">_xlfn.XLOOKUP(Table1[[#This Row],[5 cm2 cell test code]:[5 cm2 cell test code]],[1]!Table1[[Test code]:[Test code]],[1]!Table1[Q_int_frac DIW 10 mM KOH],"",0)</f>
        <v>#REF!</v>
      </c>
      <c r="AJ1695" s="69" t="e" cm="1">
        <f t="array" ref="AJ1695">_xlfn.XLOOKUP(Table1[[#This Row],[5 cm2 cell test code]:[5 cm2 cell test code]],[1]!Table1[[Test code]:[Test code]],[1]!Table1[DIW conductivity (µS/cm)],"",0)</f>
        <v>#REF!</v>
      </c>
    </row>
    <row r="1696" spans="1:36">
      <c r="A1696" s="81"/>
      <c r="U1696" s="101"/>
      <c r="V1696" s="101"/>
      <c r="W1696" s="69" t="e" cm="1">
        <f t="array" ref="W1696">_xlfn.XLOOKUP(Table1[[#This Row],[5 cm2 cell test code]:[5 cm2 cell test code]],[1]!Table1[[Test code]:[Test code]],[1]!Table1[i @ 1.8 V DIW (A/cm2)],"",0)</f>
        <v>#REF!</v>
      </c>
      <c r="X1696" s="69" t="e" cm="1">
        <f t="array" ref="X1696">_xlfn.XLOOKUP(Table1[[#This Row],[5 cm2 cell test code]:[5 cm2 cell test code]],[1]!Table1[[Test code]:[Test code]],[1]!Table1[i @ 1.8 V 10 mM KOH (A/cm2)],"",0)</f>
        <v>#REF!</v>
      </c>
      <c r="Y1696" s="69" t="e" cm="1">
        <f t="array" ref="Y1696">_xlfn.XLOOKUP(Table1[[#This Row],[5 cm2 cell test code]:[5 cm2 cell test code]],[1]!Table1[[Test code]:[Test code]],[1]!Table1[3-E ƞ at 20mAcm-2 (mV)],"",0)</f>
        <v>#REF!</v>
      </c>
      <c r="Z1696" s="69" t="e" cm="1">
        <f t="array" ref="Z1696">_xlfn.XLOOKUP(Table1[[#This Row],[5 cm2 cell test code]:[5 cm2 cell test code]],[1]!Table1[[Test code]:[Test code]],[1]!Table1[3-E Tafel slope (mV/dec)],"",0)</f>
        <v>#REF!</v>
      </c>
      <c r="AA1696" s="69" t="e" cm="1">
        <f t="array" ref="AA1696">_xlfn.XLOOKUP(Table1[[#This Row],[5 cm2 cell test code]:[5 cm2 cell test code]],[1]!Table1[[Test code]:[Test code]],[1]!Table1[E @ 100 mA/cm2 DIW/V],"",0)</f>
        <v>#REF!</v>
      </c>
      <c r="AB1696" s="69" t="e" cm="1">
        <f t="array" ref="AB1696">_xlfn.XLOOKUP(Table1[[#This Row],[5 cm2 cell test code]:[5 cm2 cell test code]],[1]!Table1[[Test code]:[Test code]],[1]!Table1[E @ 100 mA/cm2 10 mM KOH/V],"",0)</f>
        <v>#REF!</v>
      </c>
      <c r="AC1696" s="69" t="e" cm="1">
        <f t="array" ref="AC1696">_xlfn.XLOOKUP(Table1[[#This Row],[5 cm2 cell test code]:[5 cm2 cell test code]],[1]!Table1[[Test code]:[Test code]],[1]!Table1[Anode ICR/mOhm],"",0)</f>
        <v>#REF!</v>
      </c>
      <c r="AD1696" s="69" t="e" cm="1">
        <f t="array" ref="AD1696">_xlfn.XLOOKUP(Table1[[#This Row],[5 cm2 cell test code]:[5 cm2 cell test code]],[1]!Table1[[Test code]:[Test code]],[1]!Table1[HFR DIW/ mOhm cm2],"",0)</f>
        <v>#REF!</v>
      </c>
      <c r="AE1696" s="69" t="e" cm="1">
        <f t="array" ref="AE1696">_xlfn.XLOOKUP(Table1[[#This Row],[5 cm2 cell test code]:[5 cm2 cell test code]],[1]!Table1[[Test code]:[Test code]],[1]!Table1[HFR 10 mM KOH/ mOhm cm2],"",0)</f>
        <v>#REF!</v>
      </c>
      <c r="AF1696" s="69" t="e" cm="1">
        <f t="array" ref="AF1696">_xlfn.XLOOKUP(Table1[[#This Row],[5 cm2 cell test code]:[5 cm2 cell test code]],[1]!Table1[[Test code]:[Test code]],[1]!Table1[Ionic resistance DIW/Ohm cm2],"",0)</f>
        <v>#REF!</v>
      </c>
      <c r="AG1696" s="69" t="e" cm="1">
        <f t="array" ref="AG1696">_xlfn.XLOOKUP(Table1[[#This Row],[5 cm2 cell test code]:[5 cm2 cell test code]],[1]!Table1[[Test code]:[Test code]],[1]!Table1[Q_int_frac DIW],"",0)</f>
        <v>#REF!</v>
      </c>
      <c r="AH1696" s="69" t="e" cm="1">
        <f t="array" ref="AH1696">_xlfn.XLOOKUP(Table1[[#This Row],[5 cm2 cell test code]:[5 cm2 cell test code]],[1]!Table1[[Test code]:[Test code]],[1]!Table1[Ionic resistance 10 mM KOH/Ohm cm2],"",0)</f>
        <v>#REF!</v>
      </c>
      <c r="AI1696" s="69" t="e" cm="1">
        <f t="array" ref="AI1696">_xlfn.XLOOKUP(Table1[[#This Row],[5 cm2 cell test code]:[5 cm2 cell test code]],[1]!Table1[[Test code]:[Test code]],[1]!Table1[Q_int_frac DIW 10 mM KOH],"",0)</f>
        <v>#REF!</v>
      </c>
      <c r="AJ1696" s="69" t="e" cm="1">
        <f t="array" ref="AJ1696">_xlfn.XLOOKUP(Table1[[#This Row],[5 cm2 cell test code]:[5 cm2 cell test code]],[1]!Table1[[Test code]:[Test code]],[1]!Table1[DIW conductivity (µS/cm)],"",0)</f>
        <v>#REF!</v>
      </c>
    </row>
    <row r="1697" spans="1:36">
      <c r="A1697" s="81"/>
      <c r="U1697" s="101"/>
      <c r="V1697" s="101"/>
      <c r="W1697" s="69" t="e" cm="1">
        <f t="array" ref="W1697">_xlfn.XLOOKUP(Table1[[#This Row],[5 cm2 cell test code]:[5 cm2 cell test code]],[1]!Table1[[Test code]:[Test code]],[1]!Table1[i @ 1.8 V DIW (A/cm2)],"",0)</f>
        <v>#REF!</v>
      </c>
      <c r="X1697" s="69" t="e" cm="1">
        <f t="array" ref="X1697">_xlfn.XLOOKUP(Table1[[#This Row],[5 cm2 cell test code]:[5 cm2 cell test code]],[1]!Table1[[Test code]:[Test code]],[1]!Table1[i @ 1.8 V 10 mM KOH (A/cm2)],"",0)</f>
        <v>#REF!</v>
      </c>
      <c r="Y1697" s="69" t="e" cm="1">
        <f t="array" ref="Y1697">_xlfn.XLOOKUP(Table1[[#This Row],[5 cm2 cell test code]:[5 cm2 cell test code]],[1]!Table1[[Test code]:[Test code]],[1]!Table1[3-E ƞ at 20mAcm-2 (mV)],"",0)</f>
        <v>#REF!</v>
      </c>
      <c r="Z1697" s="69" t="e" cm="1">
        <f t="array" ref="Z1697">_xlfn.XLOOKUP(Table1[[#This Row],[5 cm2 cell test code]:[5 cm2 cell test code]],[1]!Table1[[Test code]:[Test code]],[1]!Table1[3-E Tafel slope (mV/dec)],"",0)</f>
        <v>#REF!</v>
      </c>
      <c r="AA1697" s="69" t="e" cm="1">
        <f t="array" ref="AA1697">_xlfn.XLOOKUP(Table1[[#This Row],[5 cm2 cell test code]:[5 cm2 cell test code]],[1]!Table1[[Test code]:[Test code]],[1]!Table1[E @ 100 mA/cm2 DIW/V],"",0)</f>
        <v>#REF!</v>
      </c>
      <c r="AB1697" s="69" t="e" cm="1">
        <f t="array" ref="AB1697">_xlfn.XLOOKUP(Table1[[#This Row],[5 cm2 cell test code]:[5 cm2 cell test code]],[1]!Table1[[Test code]:[Test code]],[1]!Table1[E @ 100 mA/cm2 10 mM KOH/V],"",0)</f>
        <v>#REF!</v>
      </c>
      <c r="AC1697" s="69" t="e" cm="1">
        <f t="array" ref="AC1697">_xlfn.XLOOKUP(Table1[[#This Row],[5 cm2 cell test code]:[5 cm2 cell test code]],[1]!Table1[[Test code]:[Test code]],[1]!Table1[Anode ICR/mOhm],"",0)</f>
        <v>#REF!</v>
      </c>
      <c r="AD1697" s="69" t="e" cm="1">
        <f t="array" ref="AD1697">_xlfn.XLOOKUP(Table1[[#This Row],[5 cm2 cell test code]:[5 cm2 cell test code]],[1]!Table1[[Test code]:[Test code]],[1]!Table1[HFR DIW/ mOhm cm2],"",0)</f>
        <v>#REF!</v>
      </c>
      <c r="AE1697" s="69" t="e" cm="1">
        <f t="array" ref="AE1697">_xlfn.XLOOKUP(Table1[[#This Row],[5 cm2 cell test code]:[5 cm2 cell test code]],[1]!Table1[[Test code]:[Test code]],[1]!Table1[HFR 10 mM KOH/ mOhm cm2],"",0)</f>
        <v>#REF!</v>
      </c>
      <c r="AF1697" s="69" t="e" cm="1">
        <f t="array" ref="AF1697">_xlfn.XLOOKUP(Table1[[#This Row],[5 cm2 cell test code]:[5 cm2 cell test code]],[1]!Table1[[Test code]:[Test code]],[1]!Table1[Ionic resistance DIW/Ohm cm2],"",0)</f>
        <v>#REF!</v>
      </c>
      <c r="AG1697" s="69" t="e" cm="1">
        <f t="array" ref="AG1697">_xlfn.XLOOKUP(Table1[[#This Row],[5 cm2 cell test code]:[5 cm2 cell test code]],[1]!Table1[[Test code]:[Test code]],[1]!Table1[Q_int_frac DIW],"",0)</f>
        <v>#REF!</v>
      </c>
      <c r="AH1697" s="69" t="e" cm="1">
        <f t="array" ref="AH1697">_xlfn.XLOOKUP(Table1[[#This Row],[5 cm2 cell test code]:[5 cm2 cell test code]],[1]!Table1[[Test code]:[Test code]],[1]!Table1[Ionic resistance 10 mM KOH/Ohm cm2],"",0)</f>
        <v>#REF!</v>
      </c>
      <c r="AI1697" s="69" t="e" cm="1">
        <f t="array" ref="AI1697">_xlfn.XLOOKUP(Table1[[#This Row],[5 cm2 cell test code]:[5 cm2 cell test code]],[1]!Table1[[Test code]:[Test code]],[1]!Table1[Q_int_frac DIW 10 mM KOH],"",0)</f>
        <v>#REF!</v>
      </c>
      <c r="AJ1697" s="69" t="e" cm="1">
        <f t="array" ref="AJ1697">_xlfn.XLOOKUP(Table1[[#This Row],[5 cm2 cell test code]:[5 cm2 cell test code]],[1]!Table1[[Test code]:[Test code]],[1]!Table1[DIW conductivity (µS/cm)],"",0)</f>
        <v>#REF!</v>
      </c>
    </row>
    <row r="1698" spans="1:36">
      <c r="A1698" s="81"/>
      <c r="U1698" s="101"/>
      <c r="V1698" s="101"/>
      <c r="W1698" s="69" t="e" cm="1">
        <f t="array" ref="W1698">_xlfn.XLOOKUP(Table1[[#This Row],[5 cm2 cell test code]:[5 cm2 cell test code]],[1]!Table1[[Test code]:[Test code]],[1]!Table1[i @ 1.8 V DIW (A/cm2)],"",0)</f>
        <v>#REF!</v>
      </c>
      <c r="X1698" s="69" t="e" cm="1">
        <f t="array" ref="X1698">_xlfn.XLOOKUP(Table1[[#This Row],[5 cm2 cell test code]:[5 cm2 cell test code]],[1]!Table1[[Test code]:[Test code]],[1]!Table1[i @ 1.8 V 10 mM KOH (A/cm2)],"",0)</f>
        <v>#REF!</v>
      </c>
      <c r="Y1698" s="69" t="e" cm="1">
        <f t="array" ref="Y1698">_xlfn.XLOOKUP(Table1[[#This Row],[5 cm2 cell test code]:[5 cm2 cell test code]],[1]!Table1[[Test code]:[Test code]],[1]!Table1[3-E ƞ at 20mAcm-2 (mV)],"",0)</f>
        <v>#REF!</v>
      </c>
      <c r="Z1698" s="69" t="e" cm="1">
        <f t="array" ref="Z1698">_xlfn.XLOOKUP(Table1[[#This Row],[5 cm2 cell test code]:[5 cm2 cell test code]],[1]!Table1[[Test code]:[Test code]],[1]!Table1[3-E Tafel slope (mV/dec)],"",0)</f>
        <v>#REF!</v>
      </c>
      <c r="AA1698" s="69" t="e" cm="1">
        <f t="array" ref="AA1698">_xlfn.XLOOKUP(Table1[[#This Row],[5 cm2 cell test code]:[5 cm2 cell test code]],[1]!Table1[[Test code]:[Test code]],[1]!Table1[E @ 100 mA/cm2 DIW/V],"",0)</f>
        <v>#REF!</v>
      </c>
      <c r="AB1698" s="69" t="e" cm="1">
        <f t="array" ref="AB1698">_xlfn.XLOOKUP(Table1[[#This Row],[5 cm2 cell test code]:[5 cm2 cell test code]],[1]!Table1[[Test code]:[Test code]],[1]!Table1[E @ 100 mA/cm2 10 mM KOH/V],"",0)</f>
        <v>#REF!</v>
      </c>
      <c r="AC1698" s="69" t="e" cm="1">
        <f t="array" ref="AC1698">_xlfn.XLOOKUP(Table1[[#This Row],[5 cm2 cell test code]:[5 cm2 cell test code]],[1]!Table1[[Test code]:[Test code]],[1]!Table1[Anode ICR/mOhm],"",0)</f>
        <v>#REF!</v>
      </c>
      <c r="AD1698" s="69" t="e" cm="1">
        <f t="array" ref="AD1698">_xlfn.XLOOKUP(Table1[[#This Row],[5 cm2 cell test code]:[5 cm2 cell test code]],[1]!Table1[[Test code]:[Test code]],[1]!Table1[HFR DIW/ mOhm cm2],"",0)</f>
        <v>#REF!</v>
      </c>
      <c r="AE1698" s="69" t="e" cm="1">
        <f t="array" ref="AE1698">_xlfn.XLOOKUP(Table1[[#This Row],[5 cm2 cell test code]:[5 cm2 cell test code]],[1]!Table1[[Test code]:[Test code]],[1]!Table1[HFR 10 mM KOH/ mOhm cm2],"",0)</f>
        <v>#REF!</v>
      </c>
      <c r="AF1698" s="69" t="e" cm="1">
        <f t="array" ref="AF1698">_xlfn.XLOOKUP(Table1[[#This Row],[5 cm2 cell test code]:[5 cm2 cell test code]],[1]!Table1[[Test code]:[Test code]],[1]!Table1[Ionic resistance DIW/Ohm cm2],"",0)</f>
        <v>#REF!</v>
      </c>
      <c r="AG1698" s="69" t="e" cm="1">
        <f t="array" ref="AG1698">_xlfn.XLOOKUP(Table1[[#This Row],[5 cm2 cell test code]:[5 cm2 cell test code]],[1]!Table1[[Test code]:[Test code]],[1]!Table1[Q_int_frac DIW],"",0)</f>
        <v>#REF!</v>
      </c>
      <c r="AH1698" s="69" t="e" cm="1">
        <f t="array" ref="AH1698">_xlfn.XLOOKUP(Table1[[#This Row],[5 cm2 cell test code]:[5 cm2 cell test code]],[1]!Table1[[Test code]:[Test code]],[1]!Table1[Ionic resistance 10 mM KOH/Ohm cm2],"",0)</f>
        <v>#REF!</v>
      </c>
      <c r="AI1698" s="69" t="e" cm="1">
        <f t="array" ref="AI1698">_xlfn.XLOOKUP(Table1[[#This Row],[5 cm2 cell test code]:[5 cm2 cell test code]],[1]!Table1[[Test code]:[Test code]],[1]!Table1[Q_int_frac DIW 10 mM KOH],"",0)</f>
        <v>#REF!</v>
      </c>
      <c r="AJ1698" s="69" t="e" cm="1">
        <f t="array" ref="AJ1698">_xlfn.XLOOKUP(Table1[[#This Row],[5 cm2 cell test code]:[5 cm2 cell test code]],[1]!Table1[[Test code]:[Test code]],[1]!Table1[DIW conductivity (µS/cm)],"",0)</f>
        <v>#REF!</v>
      </c>
    </row>
    <row r="1699" spans="1:36">
      <c r="A1699" s="81"/>
      <c r="U1699" s="101"/>
      <c r="V1699" s="101"/>
      <c r="W1699" s="69" t="e" cm="1">
        <f t="array" ref="W1699">_xlfn.XLOOKUP(Table1[[#This Row],[5 cm2 cell test code]:[5 cm2 cell test code]],[1]!Table1[[Test code]:[Test code]],[1]!Table1[i @ 1.8 V DIW (A/cm2)],"",0)</f>
        <v>#REF!</v>
      </c>
      <c r="X1699" s="69" t="e" cm="1">
        <f t="array" ref="X1699">_xlfn.XLOOKUP(Table1[[#This Row],[5 cm2 cell test code]:[5 cm2 cell test code]],[1]!Table1[[Test code]:[Test code]],[1]!Table1[i @ 1.8 V 10 mM KOH (A/cm2)],"",0)</f>
        <v>#REF!</v>
      </c>
      <c r="Y1699" s="69" t="e" cm="1">
        <f t="array" ref="Y1699">_xlfn.XLOOKUP(Table1[[#This Row],[5 cm2 cell test code]:[5 cm2 cell test code]],[1]!Table1[[Test code]:[Test code]],[1]!Table1[3-E ƞ at 20mAcm-2 (mV)],"",0)</f>
        <v>#REF!</v>
      </c>
      <c r="Z1699" s="69" t="e" cm="1">
        <f t="array" ref="Z1699">_xlfn.XLOOKUP(Table1[[#This Row],[5 cm2 cell test code]:[5 cm2 cell test code]],[1]!Table1[[Test code]:[Test code]],[1]!Table1[3-E Tafel slope (mV/dec)],"",0)</f>
        <v>#REF!</v>
      </c>
      <c r="AA1699" s="69" t="e" cm="1">
        <f t="array" ref="AA1699">_xlfn.XLOOKUP(Table1[[#This Row],[5 cm2 cell test code]:[5 cm2 cell test code]],[1]!Table1[[Test code]:[Test code]],[1]!Table1[E @ 100 mA/cm2 DIW/V],"",0)</f>
        <v>#REF!</v>
      </c>
      <c r="AB1699" s="69" t="e" cm="1">
        <f t="array" ref="AB1699">_xlfn.XLOOKUP(Table1[[#This Row],[5 cm2 cell test code]:[5 cm2 cell test code]],[1]!Table1[[Test code]:[Test code]],[1]!Table1[E @ 100 mA/cm2 10 mM KOH/V],"",0)</f>
        <v>#REF!</v>
      </c>
      <c r="AC1699" s="69" t="e" cm="1">
        <f t="array" ref="AC1699">_xlfn.XLOOKUP(Table1[[#This Row],[5 cm2 cell test code]:[5 cm2 cell test code]],[1]!Table1[[Test code]:[Test code]],[1]!Table1[Anode ICR/mOhm],"",0)</f>
        <v>#REF!</v>
      </c>
      <c r="AD1699" s="69" t="e" cm="1">
        <f t="array" ref="AD1699">_xlfn.XLOOKUP(Table1[[#This Row],[5 cm2 cell test code]:[5 cm2 cell test code]],[1]!Table1[[Test code]:[Test code]],[1]!Table1[HFR DIW/ mOhm cm2],"",0)</f>
        <v>#REF!</v>
      </c>
      <c r="AE1699" s="69" t="e" cm="1">
        <f t="array" ref="AE1699">_xlfn.XLOOKUP(Table1[[#This Row],[5 cm2 cell test code]:[5 cm2 cell test code]],[1]!Table1[[Test code]:[Test code]],[1]!Table1[HFR 10 mM KOH/ mOhm cm2],"",0)</f>
        <v>#REF!</v>
      </c>
      <c r="AF1699" s="69" t="e" cm="1">
        <f t="array" ref="AF1699">_xlfn.XLOOKUP(Table1[[#This Row],[5 cm2 cell test code]:[5 cm2 cell test code]],[1]!Table1[[Test code]:[Test code]],[1]!Table1[Ionic resistance DIW/Ohm cm2],"",0)</f>
        <v>#REF!</v>
      </c>
      <c r="AG1699" s="69" t="e" cm="1">
        <f t="array" ref="AG1699">_xlfn.XLOOKUP(Table1[[#This Row],[5 cm2 cell test code]:[5 cm2 cell test code]],[1]!Table1[[Test code]:[Test code]],[1]!Table1[Q_int_frac DIW],"",0)</f>
        <v>#REF!</v>
      </c>
      <c r="AH1699" s="69" t="e" cm="1">
        <f t="array" ref="AH1699">_xlfn.XLOOKUP(Table1[[#This Row],[5 cm2 cell test code]:[5 cm2 cell test code]],[1]!Table1[[Test code]:[Test code]],[1]!Table1[Ionic resistance 10 mM KOH/Ohm cm2],"",0)</f>
        <v>#REF!</v>
      </c>
      <c r="AI1699" s="69" t="e" cm="1">
        <f t="array" ref="AI1699">_xlfn.XLOOKUP(Table1[[#This Row],[5 cm2 cell test code]:[5 cm2 cell test code]],[1]!Table1[[Test code]:[Test code]],[1]!Table1[Q_int_frac DIW 10 mM KOH],"",0)</f>
        <v>#REF!</v>
      </c>
      <c r="AJ1699" s="69" t="e" cm="1">
        <f t="array" ref="AJ1699">_xlfn.XLOOKUP(Table1[[#This Row],[5 cm2 cell test code]:[5 cm2 cell test code]],[1]!Table1[[Test code]:[Test code]],[1]!Table1[DIW conductivity (µS/cm)],"",0)</f>
        <v>#REF!</v>
      </c>
    </row>
    <row r="1700" spans="1:36">
      <c r="A1700" s="81"/>
      <c r="U1700" s="101"/>
      <c r="V1700" s="101"/>
      <c r="W1700" s="69" t="e" cm="1">
        <f t="array" ref="W1700">_xlfn.XLOOKUP(Table1[[#This Row],[5 cm2 cell test code]:[5 cm2 cell test code]],[1]!Table1[[Test code]:[Test code]],[1]!Table1[i @ 1.8 V DIW (A/cm2)],"",0)</f>
        <v>#REF!</v>
      </c>
      <c r="X1700" s="69" t="e" cm="1">
        <f t="array" ref="X1700">_xlfn.XLOOKUP(Table1[[#This Row],[5 cm2 cell test code]:[5 cm2 cell test code]],[1]!Table1[[Test code]:[Test code]],[1]!Table1[i @ 1.8 V 10 mM KOH (A/cm2)],"",0)</f>
        <v>#REF!</v>
      </c>
      <c r="Y1700" s="69" t="e" cm="1">
        <f t="array" ref="Y1700">_xlfn.XLOOKUP(Table1[[#This Row],[5 cm2 cell test code]:[5 cm2 cell test code]],[1]!Table1[[Test code]:[Test code]],[1]!Table1[3-E ƞ at 20mAcm-2 (mV)],"",0)</f>
        <v>#REF!</v>
      </c>
      <c r="Z1700" s="69" t="e" cm="1">
        <f t="array" ref="Z1700">_xlfn.XLOOKUP(Table1[[#This Row],[5 cm2 cell test code]:[5 cm2 cell test code]],[1]!Table1[[Test code]:[Test code]],[1]!Table1[3-E Tafel slope (mV/dec)],"",0)</f>
        <v>#REF!</v>
      </c>
      <c r="AA1700" s="69" t="e" cm="1">
        <f t="array" ref="AA1700">_xlfn.XLOOKUP(Table1[[#This Row],[5 cm2 cell test code]:[5 cm2 cell test code]],[1]!Table1[[Test code]:[Test code]],[1]!Table1[E @ 100 mA/cm2 DIW/V],"",0)</f>
        <v>#REF!</v>
      </c>
      <c r="AB1700" s="69" t="e" cm="1">
        <f t="array" ref="AB1700">_xlfn.XLOOKUP(Table1[[#This Row],[5 cm2 cell test code]:[5 cm2 cell test code]],[1]!Table1[[Test code]:[Test code]],[1]!Table1[E @ 100 mA/cm2 10 mM KOH/V],"",0)</f>
        <v>#REF!</v>
      </c>
      <c r="AC1700" s="69" t="e" cm="1">
        <f t="array" ref="AC1700">_xlfn.XLOOKUP(Table1[[#This Row],[5 cm2 cell test code]:[5 cm2 cell test code]],[1]!Table1[[Test code]:[Test code]],[1]!Table1[Anode ICR/mOhm],"",0)</f>
        <v>#REF!</v>
      </c>
      <c r="AD1700" s="69" t="e" cm="1">
        <f t="array" ref="AD1700">_xlfn.XLOOKUP(Table1[[#This Row],[5 cm2 cell test code]:[5 cm2 cell test code]],[1]!Table1[[Test code]:[Test code]],[1]!Table1[HFR DIW/ mOhm cm2],"",0)</f>
        <v>#REF!</v>
      </c>
      <c r="AE1700" s="69" t="e" cm="1">
        <f t="array" ref="AE1700">_xlfn.XLOOKUP(Table1[[#This Row],[5 cm2 cell test code]:[5 cm2 cell test code]],[1]!Table1[[Test code]:[Test code]],[1]!Table1[HFR 10 mM KOH/ mOhm cm2],"",0)</f>
        <v>#REF!</v>
      </c>
      <c r="AF1700" s="69" t="e" cm="1">
        <f t="array" ref="AF1700">_xlfn.XLOOKUP(Table1[[#This Row],[5 cm2 cell test code]:[5 cm2 cell test code]],[1]!Table1[[Test code]:[Test code]],[1]!Table1[Ionic resistance DIW/Ohm cm2],"",0)</f>
        <v>#REF!</v>
      </c>
      <c r="AG1700" s="69" t="e" cm="1">
        <f t="array" ref="AG1700">_xlfn.XLOOKUP(Table1[[#This Row],[5 cm2 cell test code]:[5 cm2 cell test code]],[1]!Table1[[Test code]:[Test code]],[1]!Table1[Q_int_frac DIW],"",0)</f>
        <v>#REF!</v>
      </c>
      <c r="AH1700" s="69" t="e" cm="1">
        <f t="array" ref="AH1700">_xlfn.XLOOKUP(Table1[[#This Row],[5 cm2 cell test code]:[5 cm2 cell test code]],[1]!Table1[[Test code]:[Test code]],[1]!Table1[Ionic resistance 10 mM KOH/Ohm cm2],"",0)</f>
        <v>#REF!</v>
      </c>
      <c r="AI1700" s="69" t="e" cm="1">
        <f t="array" ref="AI1700">_xlfn.XLOOKUP(Table1[[#This Row],[5 cm2 cell test code]:[5 cm2 cell test code]],[1]!Table1[[Test code]:[Test code]],[1]!Table1[Q_int_frac DIW 10 mM KOH],"",0)</f>
        <v>#REF!</v>
      </c>
      <c r="AJ1700" s="69" t="e" cm="1">
        <f t="array" ref="AJ1700">_xlfn.XLOOKUP(Table1[[#This Row],[5 cm2 cell test code]:[5 cm2 cell test code]],[1]!Table1[[Test code]:[Test code]],[1]!Table1[DIW conductivity (µS/cm)],"",0)</f>
        <v>#REF!</v>
      </c>
    </row>
    <row r="1701" spans="1:36">
      <c r="A1701" s="81"/>
      <c r="U1701" s="101"/>
      <c r="V1701" s="101"/>
      <c r="W1701" s="69" t="e" cm="1">
        <f t="array" ref="W1701">_xlfn.XLOOKUP(Table1[[#This Row],[5 cm2 cell test code]:[5 cm2 cell test code]],[1]!Table1[[Test code]:[Test code]],[1]!Table1[i @ 1.8 V DIW (A/cm2)],"",0)</f>
        <v>#REF!</v>
      </c>
      <c r="X1701" s="69" t="e" cm="1">
        <f t="array" ref="X1701">_xlfn.XLOOKUP(Table1[[#This Row],[5 cm2 cell test code]:[5 cm2 cell test code]],[1]!Table1[[Test code]:[Test code]],[1]!Table1[i @ 1.8 V 10 mM KOH (A/cm2)],"",0)</f>
        <v>#REF!</v>
      </c>
      <c r="Y1701" s="69" t="e" cm="1">
        <f t="array" ref="Y1701">_xlfn.XLOOKUP(Table1[[#This Row],[5 cm2 cell test code]:[5 cm2 cell test code]],[1]!Table1[[Test code]:[Test code]],[1]!Table1[3-E ƞ at 20mAcm-2 (mV)],"",0)</f>
        <v>#REF!</v>
      </c>
      <c r="Z1701" s="69" t="e" cm="1">
        <f t="array" ref="Z1701">_xlfn.XLOOKUP(Table1[[#This Row],[5 cm2 cell test code]:[5 cm2 cell test code]],[1]!Table1[[Test code]:[Test code]],[1]!Table1[3-E Tafel slope (mV/dec)],"",0)</f>
        <v>#REF!</v>
      </c>
      <c r="AA1701" s="69" t="e" cm="1">
        <f t="array" ref="AA1701">_xlfn.XLOOKUP(Table1[[#This Row],[5 cm2 cell test code]:[5 cm2 cell test code]],[1]!Table1[[Test code]:[Test code]],[1]!Table1[E @ 100 mA/cm2 DIW/V],"",0)</f>
        <v>#REF!</v>
      </c>
      <c r="AB1701" s="69" t="e" cm="1">
        <f t="array" ref="AB1701">_xlfn.XLOOKUP(Table1[[#This Row],[5 cm2 cell test code]:[5 cm2 cell test code]],[1]!Table1[[Test code]:[Test code]],[1]!Table1[E @ 100 mA/cm2 10 mM KOH/V],"",0)</f>
        <v>#REF!</v>
      </c>
      <c r="AC1701" s="69" t="e" cm="1">
        <f t="array" ref="AC1701">_xlfn.XLOOKUP(Table1[[#This Row],[5 cm2 cell test code]:[5 cm2 cell test code]],[1]!Table1[[Test code]:[Test code]],[1]!Table1[Anode ICR/mOhm],"",0)</f>
        <v>#REF!</v>
      </c>
      <c r="AD1701" s="69" t="e" cm="1">
        <f t="array" ref="AD1701">_xlfn.XLOOKUP(Table1[[#This Row],[5 cm2 cell test code]:[5 cm2 cell test code]],[1]!Table1[[Test code]:[Test code]],[1]!Table1[HFR DIW/ mOhm cm2],"",0)</f>
        <v>#REF!</v>
      </c>
      <c r="AE1701" s="69" t="e" cm="1">
        <f t="array" ref="AE1701">_xlfn.XLOOKUP(Table1[[#This Row],[5 cm2 cell test code]:[5 cm2 cell test code]],[1]!Table1[[Test code]:[Test code]],[1]!Table1[HFR 10 mM KOH/ mOhm cm2],"",0)</f>
        <v>#REF!</v>
      </c>
      <c r="AF1701" s="69" t="e" cm="1">
        <f t="array" ref="AF1701">_xlfn.XLOOKUP(Table1[[#This Row],[5 cm2 cell test code]:[5 cm2 cell test code]],[1]!Table1[[Test code]:[Test code]],[1]!Table1[Ionic resistance DIW/Ohm cm2],"",0)</f>
        <v>#REF!</v>
      </c>
      <c r="AG1701" s="69" t="e" cm="1">
        <f t="array" ref="AG1701">_xlfn.XLOOKUP(Table1[[#This Row],[5 cm2 cell test code]:[5 cm2 cell test code]],[1]!Table1[[Test code]:[Test code]],[1]!Table1[Q_int_frac DIW],"",0)</f>
        <v>#REF!</v>
      </c>
      <c r="AH1701" s="69" t="e" cm="1">
        <f t="array" ref="AH1701">_xlfn.XLOOKUP(Table1[[#This Row],[5 cm2 cell test code]:[5 cm2 cell test code]],[1]!Table1[[Test code]:[Test code]],[1]!Table1[Ionic resistance 10 mM KOH/Ohm cm2],"",0)</f>
        <v>#REF!</v>
      </c>
      <c r="AI1701" s="69" t="e" cm="1">
        <f t="array" ref="AI1701">_xlfn.XLOOKUP(Table1[[#This Row],[5 cm2 cell test code]:[5 cm2 cell test code]],[1]!Table1[[Test code]:[Test code]],[1]!Table1[Q_int_frac DIW 10 mM KOH],"",0)</f>
        <v>#REF!</v>
      </c>
      <c r="AJ1701" s="69" t="e" cm="1">
        <f t="array" ref="AJ1701">_xlfn.XLOOKUP(Table1[[#This Row],[5 cm2 cell test code]:[5 cm2 cell test code]],[1]!Table1[[Test code]:[Test code]],[1]!Table1[DIW conductivity (µS/cm)],"",0)</f>
        <v>#REF!</v>
      </c>
    </row>
    <row r="1702" spans="1:36">
      <c r="A1702" s="81"/>
      <c r="U1702" s="101"/>
      <c r="V1702" s="101"/>
      <c r="W1702" s="69" t="e" cm="1">
        <f t="array" ref="W1702">_xlfn.XLOOKUP(Table1[[#This Row],[5 cm2 cell test code]:[5 cm2 cell test code]],[1]!Table1[[Test code]:[Test code]],[1]!Table1[i @ 1.8 V DIW (A/cm2)],"",0)</f>
        <v>#REF!</v>
      </c>
      <c r="X1702" s="69" t="e" cm="1">
        <f t="array" ref="X1702">_xlfn.XLOOKUP(Table1[[#This Row],[5 cm2 cell test code]:[5 cm2 cell test code]],[1]!Table1[[Test code]:[Test code]],[1]!Table1[i @ 1.8 V 10 mM KOH (A/cm2)],"",0)</f>
        <v>#REF!</v>
      </c>
      <c r="Y1702" s="69" t="e" cm="1">
        <f t="array" ref="Y1702">_xlfn.XLOOKUP(Table1[[#This Row],[5 cm2 cell test code]:[5 cm2 cell test code]],[1]!Table1[[Test code]:[Test code]],[1]!Table1[3-E ƞ at 20mAcm-2 (mV)],"",0)</f>
        <v>#REF!</v>
      </c>
      <c r="Z1702" s="69" t="e" cm="1">
        <f t="array" ref="Z1702">_xlfn.XLOOKUP(Table1[[#This Row],[5 cm2 cell test code]:[5 cm2 cell test code]],[1]!Table1[[Test code]:[Test code]],[1]!Table1[3-E Tafel slope (mV/dec)],"",0)</f>
        <v>#REF!</v>
      </c>
      <c r="AA1702" s="69" t="e" cm="1">
        <f t="array" ref="AA1702">_xlfn.XLOOKUP(Table1[[#This Row],[5 cm2 cell test code]:[5 cm2 cell test code]],[1]!Table1[[Test code]:[Test code]],[1]!Table1[E @ 100 mA/cm2 DIW/V],"",0)</f>
        <v>#REF!</v>
      </c>
      <c r="AB1702" s="69" t="e" cm="1">
        <f t="array" ref="AB1702">_xlfn.XLOOKUP(Table1[[#This Row],[5 cm2 cell test code]:[5 cm2 cell test code]],[1]!Table1[[Test code]:[Test code]],[1]!Table1[E @ 100 mA/cm2 10 mM KOH/V],"",0)</f>
        <v>#REF!</v>
      </c>
      <c r="AC1702" s="69" t="e" cm="1">
        <f t="array" ref="AC1702">_xlfn.XLOOKUP(Table1[[#This Row],[5 cm2 cell test code]:[5 cm2 cell test code]],[1]!Table1[[Test code]:[Test code]],[1]!Table1[Anode ICR/mOhm],"",0)</f>
        <v>#REF!</v>
      </c>
      <c r="AD1702" s="69" t="e" cm="1">
        <f t="array" ref="AD1702">_xlfn.XLOOKUP(Table1[[#This Row],[5 cm2 cell test code]:[5 cm2 cell test code]],[1]!Table1[[Test code]:[Test code]],[1]!Table1[HFR DIW/ mOhm cm2],"",0)</f>
        <v>#REF!</v>
      </c>
      <c r="AE1702" s="69" t="e" cm="1">
        <f t="array" ref="AE1702">_xlfn.XLOOKUP(Table1[[#This Row],[5 cm2 cell test code]:[5 cm2 cell test code]],[1]!Table1[[Test code]:[Test code]],[1]!Table1[HFR 10 mM KOH/ mOhm cm2],"",0)</f>
        <v>#REF!</v>
      </c>
      <c r="AF1702" s="69" t="e" cm="1">
        <f t="array" ref="AF1702">_xlfn.XLOOKUP(Table1[[#This Row],[5 cm2 cell test code]:[5 cm2 cell test code]],[1]!Table1[[Test code]:[Test code]],[1]!Table1[Ionic resistance DIW/Ohm cm2],"",0)</f>
        <v>#REF!</v>
      </c>
      <c r="AG1702" s="69" t="e" cm="1">
        <f t="array" ref="AG1702">_xlfn.XLOOKUP(Table1[[#This Row],[5 cm2 cell test code]:[5 cm2 cell test code]],[1]!Table1[[Test code]:[Test code]],[1]!Table1[Q_int_frac DIW],"",0)</f>
        <v>#REF!</v>
      </c>
      <c r="AH1702" s="69" t="e" cm="1">
        <f t="array" ref="AH1702">_xlfn.XLOOKUP(Table1[[#This Row],[5 cm2 cell test code]:[5 cm2 cell test code]],[1]!Table1[[Test code]:[Test code]],[1]!Table1[Ionic resistance 10 mM KOH/Ohm cm2],"",0)</f>
        <v>#REF!</v>
      </c>
      <c r="AI1702" s="69" t="e" cm="1">
        <f t="array" ref="AI1702">_xlfn.XLOOKUP(Table1[[#This Row],[5 cm2 cell test code]:[5 cm2 cell test code]],[1]!Table1[[Test code]:[Test code]],[1]!Table1[Q_int_frac DIW 10 mM KOH],"",0)</f>
        <v>#REF!</v>
      </c>
      <c r="AJ1702" s="69" t="e" cm="1">
        <f t="array" ref="AJ1702">_xlfn.XLOOKUP(Table1[[#This Row],[5 cm2 cell test code]:[5 cm2 cell test code]],[1]!Table1[[Test code]:[Test code]],[1]!Table1[DIW conductivity (µS/cm)],"",0)</f>
        <v>#REF!</v>
      </c>
    </row>
    <row r="1703" spans="1:36">
      <c r="A1703" s="81"/>
      <c r="U1703" s="101"/>
      <c r="V1703" s="101"/>
      <c r="W1703" s="69" t="e" cm="1">
        <f t="array" ref="W1703">_xlfn.XLOOKUP(Table1[[#This Row],[5 cm2 cell test code]:[5 cm2 cell test code]],[1]!Table1[[Test code]:[Test code]],[1]!Table1[i @ 1.8 V DIW (A/cm2)],"",0)</f>
        <v>#REF!</v>
      </c>
      <c r="X1703" s="69" t="e" cm="1">
        <f t="array" ref="X1703">_xlfn.XLOOKUP(Table1[[#This Row],[5 cm2 cell test code]:[5 cm2 cell test code]],[1]!Table1[[Test code]:[Test code]],[1]!Table1[i @ 1.8 V 10 mM KOH (A/cm2)],"",0)</f>
        <v>#REF!</v>
      </c>
      <c r="Y1703" s="69" t="e" cm="1">
        <f t="array" ref="Y1703">_xlfn.XLOOKUP(Table1[[#This Row],[5 cm2 cell test code]:[5 cm2 cell test code]],[1]!Table1[[Test code]:[Test code]],[1]!Table1[3-E ƞ at 20mAcm-2 (mV)],"",0)</f>
        <v>#REF!</v>
      </c>
      <c r="Z1703" s="69" t="e" cm="1">
        <f t="array" ref="Z1703">_xlfn.XLOOKUP(Table1[[#This Row],[5 cm2 cell test code]:[5 cm2 cell test code]],[1]!Table1[[Test code]:[Test code]],[1]!Table1[3-E Tafel slope (mV/dec)],"",0)</f>
        <v>#REF!</v>
      </c>
      <c r="AA1703" s="69" t="e" cm="1">
        <f t="array" ref="AA1703">_xlfn.XLOOKUP(Table1[[#This Row],[5 cm2 cell test code]:[5 cm2 cell test code]],[1]!Table1[[Test code]:[Test code]],[1]!Table1[E @ 100 mA/cm2 DIW/V],"",0)</f>
        <v>#REF!</v>
      </c>
      <c r="AB1703" s="69" t="e" cm="1">
        <f t="array" ref="AB1703">_xlfn.XLOOKUP(Table1[[#This Row],[5 cm2 cell test code]:[5 cm2 cell test code]],[1]!Table1[[Test code]:[Test code]],[1]!Table1[E @ 100 mA/cm2 10 mM KOH/V],"",0)</f>
        <v>#REF!</v>
      </c>
      <c r="AC1703" s="69" t="e" cm="1">
        <f t="array" ref="AC1703">_xlfn.XLOOKUP(Table1[[#This Row],[5 cm2 cell test code]:[5 cm2 cell test code]],[1]!Table1[[Test code]:[Test code]],[1]!Table1[Anode ICR/mOhm],"",0)</f>
        <v>#REF!</v>
      </c>
      <c r="AD1703" s="69" t="e" cm="1">
        <f t="array" ref="AD1703">_xlfn.XLOOKUP(Table1[[#This Row],[5 cm2 cell test code]:[5 cm2 cell test code]],[1]!Table1[[Test code]:[Test code]],[1]!Table1[HFR DIW/ mOhm cm2],"",0)</f>
        <v>#REF!</v>
      </c>
      <c r="AE1703" s="69" t="e" cm="1">
        <f t="array" ref="AE1703">_xlfn.XLOOKUP(Table1[[#This Row],[5 cm2 cell test code]:[5 cm2 cell test code]],[1]!Table1[[Test code]:[Test code]],[1]!Table1[HFR 10 mM KOH/ mOhm cm2],"",0)</f>
        <v>#REF!</v>
      </c>
      <c r="AF1703" s="69" t="e" cm="1">
        <f t="array" ref="AF1703">_xlfn.XLOOKUP(Table1[[#This Row],[5 cm2 cell test code]:[5 cm2 cell test code]],[1]!Table1[[Test code]:[Test code]],[1]!Table1[Ionic resistance DIW/Ohm cm2],"",0)</f>
        <v>#REF!</v>
      </c>
      <c r="AG1703" s="69" t="e" cm="1">
        <f t="array" ref="AG1703">_xlfn.XLOOKUP(Table1[[#This Row],[5 cm2 cell test code]:[5 cm2 cell test code]],[1]!Table1[[Test code]:[Test code]],[1]!Table1[Q_int_frac DIW],"",0)</f>
        <v>#REF!</v>
      </c>
      <c r="AH1703" s="69" t="e" cm="1">
        <f t="array" ref="AH1703">_xlfn.XLOOKUP(Table1[[#This Row],[5 cm2 cell test code]:[5 cm2 cell test code]],[1]!Table1[[Test code]:[Test code]],[1]!Table1[Ionic resistance 10 mM KOH/Ohm cm2],"",0)</f>
        <v>#REF!</v>
      </c>
      <c r="AI1703" s="69" t="e" cm="1">
        <f t="array" ref="AI1703">_xlfn.XLOOKUP(Table1[[#This Row],[5 cm2 cell test code]:[5 cm2 cell test code]],[1]!Table1[[Test code]:[Test code]],[1]!Table1[Q_int_frac DIW 10 mM KOH],"",0)</f>
        <v>#REF!</v>
      </c>
      <c r="AJ1703" s="69" t="e" cm="1">
        <f t="array" ref="AJ1703">_xlfn.XLOOKUP(Table1[[#This Row],[5 cm2 cell test code]:[5 cm2 cell test code]],[1]!Table1[[Test code]:[Test code]],[1]!Table1[DIW conductivity (µS/cm)],"",0)</f>
        <v>#REF!</v>
      </c>
    </row>
    <row r="1704" spans="1:36">
      <c r="A1704" s="81"/>
      <c r="U1704" s="101"/>
      <c r="V1704" s="101"/>
      <c r="W1704" s="69" t="e" cm="1">
        <f t="array" ref="W1704">_xlfn.XLOOKUP(Table1[[#This Row],[5 cm2 cell test code]:[5 cm2 cell test code]],[1]!Table1[[Test code]:[Test code]],[1]!Table1[i @ 1.8 V DIW (A/cm2)],"",0)</f>
        <v>#REF!</v>
      </c>
      <c r="X1704" s="69" t="e" cm="1">
        <f t="array" ref="X1704">_xlfn.XLOOKUP(Table1[[#This Row],[5 cm2 cell test code]:[5 cm2 cell test code]],[1]!Table1[[Test code]:[Test code]],[1]!Table1[i @ 1.8 V 10 mM KOH (A/cm2)],"",0)</f>
        <v>#REF!</v>
      </c>
      <c r="Y1704" s="69" t="e" cm="1">
        <f t="array" ref="Y1704">_xlfn.XLOOKUP(Table1[[#This Row],[5 cm2 cell test code]:[5 cm2 cell test code]],[1]!Table1[[Test code]:[Test code]],[1]!Table1[3-E ƞ at 20mAcm-2 (mV)],"",0)</f>
        <v>#REF!</v>
      </c>
      <c r="Z1704" s="69" t="e" cm="1">
        <f t="array" ref="Z1704">_xlfn.XLOOKUP(Table1[[#This Row],[5 cm2 cell test code]:[5 cm2 cell test code]],[1]!Table1[[Test code]:[Test code]],[1]!Table1[3-E Tafel slope (mV/dec)],"",0)</f>
        <v>#REF!</v>
      </c>
      <c r="AA1704" s="69" t="e" cm="1">
        <f t="array" ref="AA1704">_xlfn.XLOOKUP(Table1[[#This Row],[5 cm2 cell test code]:[5 cm2 cell test code]],[1]!Table1[[Test code]:[Test code]],[1]!Table1[E @ 100 mA/cm2 DIW/V],"",0)</f>
        <v>#REF!</v>
      </c>
      <c r="AB1704" s="69" t="e" cm="1">
        <f t="array" ref="AB1704">_xlfn.XLOOKUP(Table1[[#This Row],[5 cm2 cell test code]:[5 cm2 cell test code]],[1]!Table1[[Test code]:[Test code]],[1]!Table1[E @ 100 mA/cm2 10 mM KOH/V],"",0)</f>
        <v>#REF!</v>
      </c>
      <c r="AC1704" s="69" t="e" cm="1">
        <f t="array" ref="AC1704">_xlfn.XLOOKUP(Table1[[#This Row],[5 cm2 cell test code]:[5 cm2 cell test code]],[1]!Table1[[Test code]:[Test code]],[1]!Table1[Anode ICR/mOhm],"",0)</f>
        <v>#REF!</v>
      </c>
      <c r="AD1704" s="69" t="e" cm="1">
        <f t="array" ref="AD1704">_xlfn.XLOOKUP(Table1[[#This Row],[5 cm2 cell test code]:[5 cm2 cell test code]],[1]!Table1[[Test code]:[Test code]],[1]!Table1[HFR DIW/ mOhm cm2],"",0)</f>
        <v>#REF!</v>
      </c>
      <c r="AE1704" s="69" t="e" cm="1">
        <f t="array" ref="AE1704">_xlfn.XLOOKUP(Table1[[#This Row],[5 cm2 cell test code]:[5 cm2 cell test code]],[1]!Table1[[Test code]:[Test code]],[1]!Table1[HFR 10 mM KOH/ mOhm cm2],"",0)</f>
        <v>#REF!</v>
      </c>
      <c r="AF1704" s="69" t="e" cm="1">
        <f t="array" ref="AF1704">_xlfn.XLOOKUP(Table1[[#This Row],[5 cm2 cell test code]:[5 cm2 cell test code]],[1]!Table1[[Test code]:[Test code]],[1]!Table1[Ionic resistance DIW/Ohm cm2],"",0)</f>
        <v>#REF!</v>
      </c>
      <c r="AG1704" s="69" t="e" cm="1">
        <f t="array" ref="AG1704">_xlfn.XLOOKUP(Table1[[#This Row],[5 cm2 cell test code]:[5 cm2 cell test code]],[1]!Table1[[Test code]:[Test code]],[1]!Table1[Q_int_frac DIW],"",0)</f>
        <v>#REF!</v>
      </c>
      <c r="AH1704" s="69" t="e" cm="1">
        <f t="array" ref="AH1704">_xlfn.XLOOKUP(Table1[[#This Row],[5 cm2 cell test code]:[5 cm2 cell test code]],[1]!Table1[[Test code]:[Test code]],[1]!Table1[Ionic resistance 10 mM KOH/Ohm cm2],"",0)</f>
        <v>#REF!</v>
      </c>
      <c r="AI1704" s="69" t="e" cm="1">
        <f t="array" ref="AI1704">_xlfn.XLOOKUP(Table1[[#This Row],[5 cm2 cell test code]:[5 cm2 cell test code]],[1]!Table1[[Test code]:[Test code]],[1]!Table1[Q_int_frac DIW 10 mM KOH],"",0)</f>
        <v>#REF!</v>
      </c>
      <c r="AJ1704" s="69" t="e" cm="1">
        <f t="array" ref="AJ1704">_xlfn.XLOOKUP(Table1[[#This Row],[5 cm2 cell test code]:[5 cm2 cell test code]],[1]!Table1[[Test code]:[Test code]],[1]!Table1[DIW conductivity (µS/cm)],"",0)</f>
        <v>#REF!</v>
      </c>
    </row>
    <row r="1705" spans="1:36">
      <c r="A1705" s="81"/>
      <c r="U1705" s="101"/>
      <c r="V1705" s="101"/>
      <c r="W1705" s="69" t="e" cm="1">
        <f t="array" ref="W1705">_xlfn.XLOOKUP(Table1[[#This Row],[5 cm2 cell test code]:[5 cm2 cell test code]],[1]!Table1[[Test code]:[Test code]],[1]!Table1[i @ 1.8 V DIW (A/cm2)],"",0)</f>
        <v>#REF!</v>
      </c>
      <c r="X1705" s="69" t="e" cm="1">
        <f t="array" ref="X1705">_xlfn.XLOOKUP(Table1[[#This Row],[5 cm2 cell test code]:[5 cm2 cell test code]],[1]!Table1[[Test code]:[Test code]],[1]!Table1[i @ 1.8 V 10 mM KOH (A/cm2)],"",0)</f>
        <v>#REF!</v>
      </c>
      <c r="Y1705" s="69" t="e" cm="1">
        <f t="array" ref="Y1705">_xlfn.XLOOKUP(Table1[[#This Row],[5 cm2 cell test code]:[5 cm2 cell test code]],[1]!Table1[[Test code]:[Test code]],[1]!Table1[3-E ƞ at 20mAcm-2 (mV)],"",0)</f>
        <v>#REF!</v>
      </c>
      <c r="Z1705" s="69" t="e" cm="1">
        <f t="array" ref="Z1705">_xlfn.XLOOKUP(Table1[[#This Row],[5 cm2 cell test code]:[5 cm2 cell test code]],[1]!Table1[[Test code]:[Test code]],[1]!Table1[3-E Tafel slope (mV/dec)],"",0)</f>
        <v>#REF!</v>
      </c>
      <c r="AA1705" s="69" t="e" cm="1">
        <f t="array" ref="AA1705">_xlfn.XLOOKUP(Table1[[#This Row],[5 cm2 cell test code]:[5 cm2 cell test code]],[1]!Table1[[Test code]:[Test code]],[1]!Table1[E @ 100 mA/cm2 DIW/V],"",0)</f>
        <v>#REF!</v>
      </c>
      <c r="AB1705" s="69" t="e" cm="1">
        <f t="array" ref="AB1705">_xlfn.XLOOKUP(Table1[[#This Row],[5 cm2 cell test code]:[5 cm2 cell test code]],[1]!Table1[[Test code]:[Test code]],[1]!Table1[E @ 100 mA/cm2 10 mM KOH/V],"",0)</f>
        <v>#REF!</v>
      </c>
      <c r="AC1705" s="69" t="e" cm="1">
        <f t="array" ref="AC1705">_xlfn.XLOOKUP(Table1[[#This Row],[5 cm2 cell test code]:[5 cm2 cell test code]],[1]!Table1[[Test code]:[Test code]],[1]!Table1[Anode ICR/mOhm],"",0)</f>
        <v>#REF!</v>
      </c>
      <c r="AD1705" s="69" t="e" cm="1">
        <f t="array" ref="AD1705">_xlfn.XLOOKUP(Table1[[#This Row],[5 cm2 cell test code]:[5 cm2 cell test code]],[1]!Table1[[Test code]:[Test code]],[1]!Table1[HFR DIW/ mOhm cm2],"",0)</f>
        <v>#REF!</v>
      </c>
      <c r="AE1705" s="69" t="e" cm="1">
        <f t="array" ref="AE1705">_xlfn.XLOOKUP(Table1[[#This Row],[5 cm2 cell test code]:[5 cm2 cell test code]],[1]!Table1[[Test code]:[Test code]],[1]!Table1[HFR 10 mM KOH/ mOhm cm2],"",0)</f>
        <v>#REF!</v>
      </c>
      <c r="AF1705" s="69" t="e" cm="1">
        <f t="array" ref="AF1705">_xlfn.XLOOKUP(Table1[[#This Row],[5 cm2 cell test code]:[5 cm2 cell test code]],[1]!Table1[[Test code]:[Test code]],[1]!Table1[Ionic resistance DIW/Ohm cm2],"",0)</f>
        <v>#REF!</v>
      </c>
      <c r="AG1705" s="69" t="e" cm="1">
        <f t="array" ref="AG1705">_xlfn.XLOOKUP(Table1[[#This Row],[5 cm2 cell test code]:[5 cm2 cell test code]],[1]!Table1[[Test code]:[Test code]],[1]!Table1[Q_int_frac DIW],"",0)</f>
        <v>#REF!</v>
      </c>
      <c r="AH1705" s="69" t="e" cm="1">
        <f t="array" ref="AH1705">_xlfn.XLOOKUP(Table1[[#This Row],[5 cm2 cell test code]:[5 cm2 cell test code]],[1]!Table1[[Test code]:[Test code]],[1]!Table1[Ionic resistance 10 mM KOH/Ohm cm2],"",0)</f>
        <v>#REF!</v>
      </c>
      <c r="AI1705" s="69" t="e" cm="1">
        <f t="array" ref="AI1705">_xlfn.XLOOKUP(Table1[[#This Row],[5 cm2 cell test code]:[5 cm2 cell test code]],[1]!Table1[[Test code]:[Test code]],[1]!Table1[Q_int_frac DIW 10 mM KOH],"",0)</f>
        <v>#REF!</v>
      </c>
      <c r="AJ1705" s="69" t="e" cm="1">
        <f t="array" ref="AJ1705">_xlfn.XLOOKUP(Table1[[#This Row],[5 cm2 cell test code]:[5 cm2 cell test code]],[1]!Table1[[Test code]:[Test code]],[1]!Table1[DIW conductivity (µS/cm)],"",0)</f>
        <v>#REF!</v>
      </c>
    </row>
    <row r="1706" spans="1:36">
      <c r="A1706" s="81"/>
      <c r="U1706" s="101"/>
      <c r="V1706" s="101"/>
      <c r="W1706" s="69" t="e" cm="1">
        <f t="array" ref="W1706">_xlfn.XLOOKUP(Table1[[#This Row],[5 cm2 cell test code]:[5 cm2 cell test code]],[1]!Table1[[Test code]:[Test code]],[1]!Table1[i @ 1.8 V DIW (A/cm2)],"",0)</f>
        <v>#REF!</v>
      </c>
      <c r="X1706" s="69" t="e" cm="1">
        <f t="array" ref="X1706">_xlfn.XLOOKUP(Table1[[#This Row],[5 cm2 cell test code]:[5 cm2 cell test code]],[1]!Table1[[Test code]:[Test code]],[1]!Table1[i @ 1.8 V 10 mM KOH (A/cm2)],"",0)</f>
        <v>#REF!</v>
      </c>
      <c r="Y1706" s="69" t="e" cm="1">
        <f t="array" ref="Y1706">_xlfn.XLOOKUP(Table1[[#This Row],[5 cm2 cell test code]:[5 cm2 cell test code]],[1]!Table1[[Test code]:[Test code]],[1]!Table1[3-E ƞ at 20mAcm-2 (mV)],"",0)</f>
        <v>#REF!</v>
      </c>
      <c r="Z1706" s="69" t="e" cm="1">
        <f t="array" ref="Z1706">_xlfn.XLOOKUP(Table1[[#This Row],[5 cm2 cell test code]:[5 cm2 cell test code]],[1]!Table1[[Test code]:[Test code]],[1]!Table1[3-E Tafel slope (mV/dec)],"",0)</f>
        <v>#REF!</v>
      </c>
      <c r="AA1706" s="69" t="e" cm="1">
        <f t="array" ref="AA1706">_xlfn.XLOOKUP(Table1[[#This Row],[5 cm2 cell test code]:[5 cm2 cell test code]],[1]!Table1[[Test code]:[Test code]],[1]!Table1[E @ 100 mA/cm2 DIW/V],"",0)</f>
        <v>#REF!</v>
      </c>
      <c r="AB1706" s="69" t="e" cm="1">
        <f t="array" ref="AB1706">_xlfn.XLOOKUP(Table1[[#This Row],[5 cm2 cell test code]:[5 cm2 cell test code]],[1]!Table1[[Test code]:[Test code]],[1]!Table1[E @ 100 mA/cm2 10 mM KOH/V],"",0)</f>
        <v>#REF!</v>
      </c>
      <c r="AC1706" s="69" t="e" cm="1">
        <f t="array" ref="AC1706">_xlfn.XLOOKUP(Table1[[#This Row],[5 cm2 cell test code]:[5 cm2 cell test code]],[1]!Table1[[Test code]:[Test code]],[1]!Table1[Anode ICR/mOhm],"",0)</f>
        <v>#REF!</v>
      </c>
      <c r="AD1706" s="69" t="e" cm="1">
        <f t="array" ref="AD1706">_xlfn.XLOOKUP(Table1[[#This Row],[5 cm2 cell test code]:[5 cm2 cell test code]],[1]!Table1[[Test code]:[Test code]],[1]!Table1[HFR DIW/ mOhm cm2],"",0)</f>
        <v>#REF!</v>
      </c>
      <c r="AE1706" s="69" t="e" cm="1">
        <f t="array" ref="AE1706">_xlfn.XLOOKUP(Table1[[#This Row],[5 cm2 cell test code]:[5 cm2 cell test code]],[1]!Table1[[Test code]:[Test code]],[1]!Table1[HFR 10 mM KOH/ mOhm cm2],"",0)</f>
        <v>#REF!</v>
      </c>
      <c r="AF1706" s="69" t="e" cm="1">
        <f t="array" ref="AF1706">_xlfn.XLOOKUP(Table1[[#This Row],[5 cm2 cell test code]:[5 cm2 cell test code]],[1]!Table1[[Test code]:[Test code]],[1]!Table1[Ionic resistance DIW/Ohm cm2],"",0)</f>
        <v>#REF!</v>
      </c>
      <c r="AG1706" s="69" t="e" cm="1">
        <f t="array" ref="AG1706">_xlfn.XLOOKUP(Table1[[#This Row],[5 cm2 cell test code]:[5 cm2 cell test code]],[1]!Table1[[Test code]:[Test code]],[1]!Table1[Q_int_frac DIW],"",0)</f>
        <v>#REF!</v>
      </c>
      <c r="AH1706" s="69" t="e" cm="1">
        <f t="array" ref="AH1706">_xlfn.XLOOKUP(Table1[[#This Row],[5 cm2 cell test code]:[5 cm2 cell test code]],[1]!Table1[[Test code]:[Test code]],[1]!Table1[Ionic resistance 10 mM KOH/Ohm cm2],"",0)</f>
        <v>#REF!</v>
      </c>
      <c r="AI1706" s="69" t="e" cm="1">
        <f t="array" ref="AI1706">_xlfn.XLOOKUP(Table1[[#This Row],[5 cm2 cell test code]:[5 cm2 cell test code]],[1]!Table1[[Test code]:[Test code]],[1]!Table1[Q_int_frac DIW 10 mM KOH],"",0)</f>
        <v>#REF!</v>
      </c>
      <c r="AJ1706" s="69" t="e" cm="1">
        <f t="array" ref="AJ1706">_xlfn.XLOOKUP(Table1[[#This Row],[5 cm2 cell test code]:[5 cm2 cell test code]],[1]!Table1[[Test code]:[Test code]],[1]!Table1[DIW conductivity (µS/cm)],"",0)</f>
        <v>#REF!</v>
      </c>
    </row>
    <row r="1707" spans="1:36">
      <c r="A1707" s="81"/>
      <c r="U1707" s="101"/>
      <c r="V1707" s="101"/>
      <c r="W1707" s="69" t="e" cm="1">
        <f t="array" ref="W1707">_xlfn.XLOOKUP(Table1[[#This Row],[5 cm2 cell test code]:[5 cm2 cell test code]],[1]!Table1[[Test code]:[Test code]],[1]!Table1[i @ 1.8 V DIW (A/cm2)],"",0)</f>
        <v>#REF!</v>
      </c>
      <c r="X1707" s="69" t="e" cm="1">
        <f t="array" ref="X1707">_xlfn.XLOOKUP(Table1[[#This Row],[5 cm2 cell test code]:[5 cm2 cell test code]],[1]!Table1[[Test code]:[Test code]],[1]!Table1[i @ 1.8 V 10 mM KOH (A/cm2)],"",0)</f>
        <v>#REF!</v>
      </c>
      <c r="Y1707" s="69" t="e" cm="1">
        <f t="array" ref="Y1707">_xlfn.XLOOKUP(Table1[[#This Row],[5 cm2 cell test code]:[5 cm2 cell test code]],[1]!Table1[[Test code]:[Test code]],[1]!Table1[3-E ƞ at 20mAcm-2 (mV)],"",0)</f>
        <v>#REF!</v>
      </c>
      <c r="Z1707" s="69" t="e" cm="1">
        <f t="array" ref="Z1707">_xlfn.XLOOKUP(Table1[[#This Row],[5 cm2 cell test code]:[5 cm2 cell test code]],[1]!Table1[[Test code]:[Test code]],[1]!Table1[3-E Tafel slope (mV/dec)],"",0)</f>
        <v>#REF!</v>
      </c>
      <c r="AA1707" s="69" t="e" cm="1">
        <f t="array" ref="AA1707">_xlfn.XLOOKUP(Table1[[#This Row],[5 cm2 cell test code]:[5 cm2 cell test code]],[1]!Table1[[Test code]:[Test code]],[1]!Table1[E @ 100 mA/cm2 DIW/V],"",0)</f>
        <v>#REF!</v>
      </c>
      <c r="AB1707" s="69" t="e" cm="1">
        <f t="array" ref="AB1707">_xlfn.XLOOKUP(Table1[[#This Row],[5 cm2 cell test code]:[5 cm2 cell test code]],[1]!Table1[[Test code]:[Test code]],[1]!Table1[E @ 100 mA/cm2 10 mM KOH/V],"",0)</f>
        <v>#REF!</v>
      </c>
      <c r="AC1707" s="69" t="e" cm="1">
        <f t="array" ref="AC1707">_xlfn.XLOOKUP(Table1[[#This Row],[5 cm2 cell test code]:[5 cm2 cell test code]],[1]!Table1[[Test code]:[Test code]],[1]!Table1[Anode ICR/mOhm],"",0)</f>
        <v>#REF!</v>
      </c>
      <c r="AD1707" s="69" t="e" cm="1">
        <f t="array" ref="AD1707">_xlfn.XLOOKUP(Table1[[#This Row],[5 cm2 cell test code]:[5 cm2 cell test code]],[1]!Table1[[Test code]:[Test code]],[1]!Table1[HFR DIW/ mOhm cm2],"",0)</f>
        <v>#REF!</v>
      </c>
      <c r="AE1707" s="69" t="e" cm="1">
        <f t="array" ref="AE1707">_xlfn.XLOOKUP(Table1[[#This Row],[5 cm2 cell test code]:[5 cm2 cell test code]],[1]!Table1[[Test code]:[Test code]],[1]!Table1[HFR 10 mM KOH/ mOhm cm2],"",0)</f>
        <v>#REF!</v>
      </c>
      <c r="AF1707" s="69" t="e" cm="1">
        <f t="array" ref="AF1707">_xlfn.XLOOKUP(Table1[[#This Row],[5 cm2 cell test code]:[5 cm2 cell test code]],[1]!Table1[[Test code]:[Test code]],[1]!Table1[Ionic resistance DIW/Ohm cm2],"",0)</f>
        <v>#REF!</v>
      </c>
      <c r="AG1707" s="69" t="e" cm="1">
        <f t="array" ref="AG1707">_xlfn.XLOOKUP(Table1[[#This Row],[5 cm2 cell test code]:[5 cm2 cell test code]],[1]!Table1[[Test code]:[Test code]],[1]!Table1[Q_int_frac DIW],"",0)</f>
        <v>#REF!</v>
      </c>
      <c r="AH1707" s="69" t="e" cm="1">
        <f t="array" ref="AH1707">_xlfn.XLOOKUP(Table1[[#This Row],[5 cm2 cell test code]:[5 cm2 cell test code]],[1]!Table1[[Test code]:[Test code]],[1]!Table1[Ionic resistance 10 mM KOH/Ohm cm2],"",0)</f>
        <v>#REF!</v>
      </c>
      <c r="AI1707" s="69" t="e" cm="1">
        <f t="array" ref="AI1707">_xlfn.XLOOKUP(Table1[[#This Row],[5 cm2 cell test code]:[5 cm2 cell test code]],[1]!Table1[[Test code]:[Test code]],[1]!Table1[Q_int_frac DIW 10 mM KOH],"",0)</f>
        <v>#REF!</v>
      </c>
      <c r="AJ1707" s="69" t="e" cm="1">
        <f t="array" ref="AJ1707">_xlfn.XLOOKUP(Table1[[#This Row],[5 cm2 cell test code]:[5 cm2 cell test code]],[1]!Table1[[Test code]:[Test code]],[1]!Table1[DIW conductivity (µS/cm)],"",0)</f>
        <v>#REF!</v>
      </c>
    </row>
    <row r="1708" spans="1:36">
      <c r="A1708" s="81"/>
      <c r="U1708" s="101"/>
      <c r="V1708" s="101"/>
      <c r="W1708" s="69" t="e" cm="1">
        <f t="array" ref="W1708">_xlfn.XLOOKUP(Table1[[#This Row],[5 cm2 cell test code]:[5 cm2 cell test code]],[1]!Table1[[Test code]:[Test code]],[1]!Table1[i @ 1.8 V DIW (A/cm2)],"",0)</f>
        <v>#REF!</v>
      </c>
      <c r="X1708" s="69" t="e" cm="1">
        <f t="array" ref="X1708">_xlfn.XLOOKUP(Table1[[#This Row],[5 cm2 cell test code]:[5 cm2 cell test code]],[1]!Table1[[Test code]:[Test code]],[1]!Table1[i @ 1.8 V 10 mM KOH (A/cm2)],"",0)</f>
        <v>#REF!</v>
      </c>
      <c r="Y1708" s="69" t="e" cm="1">
        <f t="array" ref="Y1708">_xlfn.XLOOKUP(Table1[[#This Row],[5 cm2 cell test code]:[5 cm2 cell test code]],[1]!Table1[[Test code]:[Test code]],[1]!Table1[3-E ƞ at 20mAcm-2 (mV)],"",0)</f>
        <v>#REF!</v>
      </c>
      <c r="Z1708" s="69" t="e" cm="1">
        <f t="array" ref="Z1708">_xlfn.XLOOKUP(Table1[[#This Row],[5 cm2 cell test code]:[5 cm2 cell test code]],[1]!Table1[[Test code]:[Test code]],[1]!Table1[3-E Tafel slope (mV/dec)],"",0)</f>
        <v>#REF!</v>
      </c>
      <c r="AA1708" s="69" t="e" cm="1">
        <f t="array" ref="AA1708">_xlfn.XLOOKUP(Table1[[#This Row],[5 cm2 cell test code]:[5 cm2 cell test code]],[1]!Table1[[Test code]:[Test code]],[1]!Table1[E @ 100 mA/cm2 DIW/V],"",0)</f>
        <v>#REF!</v>
      </c>
      <c r="AB1708" s="69" t="e" cm="1">
        <f t="array" ref="AB1708">_xlfn.XLOOKUP(Table1[[#This Row],[5 cm2 cell test code]:[5 cm2 cell test code]],[1]!Table1[[Test code]:[Test code]],[1]!Table1[E @ 100 mA/cm2 10 mM KOH/V],"",0)</f>
        <v>#REF!</v>
      </c>
      <c r="AC1708" s="69" t="e" cm="1">
        <f t="array" ref="AC1708">_xlfn.XLOOKUP(Table1[[#This Row],[5 cm2 cell test code]:[5 cm2 cell test code]],[1]!Table1[[Test code]:[Test code]],[1]!Table1[Anode ICR/mOhm],"",0)</f>
        <v>#REF!</v>
      </c>
      <c r="AD1708" s="69" t="e" cm="1">
        <f t="array" ref="AD1708">_xlfn.XLOOKUP(Table1[[#This Row],[5 cm2 cell test code]:[5 cm2 cell test code]],[1]!Table1[[Test code]:[Test code]],[1]!Table1[HFR DIW/ mOhm cm2],"",0)</f>
        <v>#REF!</v>
      </c>
      <c r="AE1708" s="69" t="e" cm="1">
        <f t="array" ref="AE1708">_xlfn.XLOOKUP(Table1[[#This Row],[5 cm2 cell test code]:[5 cm2 cell test code]],[1]!Table1[[Test code]:[Test code]],[1]!Table1[HFR 10 mM KOH/ mOhm cm2],"",0)</f>
        <v>#REF!</v>
      </c>
      <c r="AF1708" s="69" t="e" cm="1">
        <f t="array" ref="AF1708">_xlfn.XLOOKUP(Table1[[#This Row],[5 cm2 cell test code]:[5 cm2 cell test code]],[1]!Table1[[Test code]:[Test code]],[1]!Table1[Ionic resistance DIW/Ohm cm2],"",0)</f>
        <v>#REF!</v>
      </c>
      <c r="AG1708" s="69" t="e" cm="1">
        <f t="array" ref="AG1708">_xlfn.XLOOKUP(Table1[[#This Row],[5 cm2 cell test code]:[5 cm2 cell test code]],[1]!Table1[[Test code]:[Test code]],[1]!Table1[Q_int_frac DIW],"",0)</f>
        <v>#REF!</v>
      </c>
      <c r="AH1708" s="69" t="e" cm="1">
        <f t="array" ref="AH1708">_xlfn.XLOOKUP(Table1[[#This Row],[5 cm2 cell test code]:[5 cm2 cell test code]],[1]!Table1[[Test code]:[Test code]],[1]!Table1[Ionic resistance 10 mM KOH/Ohm cm2],"",0)</f>
        <v>#REF!</v>
      </c>
      <c r="AI1708" s="69" t="e" cm="1">
        <f t="array" ref="AI1708">_xlfn.XLOOKUP(Table1[[#This Row],[5 cm2 cell test code]:[5 cm2 cell test code]],[1]!Table1[[Test code]:[Test code]],[1]!Table1[Q_int_frac DIW 10 mM KOH],"",0)</f>
        <v>#REF!</v>
      </c>
      <c r="AJ1708" s="69" t="e" cm="1">
        <f t="array" ref="AJ1708">_xlfn.XLOOKUP(Table1[[#This Row],[5 cm2 cell test code]:[5 cm2 cell test code]],[1]!Table1[[Test code]:[Test code]],[1]!Table1[DIW conductivity (µS/cm)],"",0)</f>
        <v>#REF!</v>
      </c>
    </row>
    <row r="1709" spans="1:36">
      <c r="A1709" s="81"/>
      <c r="U1709" s="101"/>
      <c r="V1709" s="101"/>
      <c r="W1709" s="69" t="e" cm="1">
        <f t="array" ref="W1709">_xlfn.XLOOKUP(Table1[[#This Row],[5 cm2 cell test code]:[5 cm2 cell test code]],[1]!Table1[[Test code]:[Test code]],[1]!Table1[i @ 1.8 V DIW (A/cm2)],"",0)</f>
        <v>#REF!</v>
      </c>
      <c r="X1709" s="69" t="e" cm="1">
        <f t="array" ref="X1709">_xlfn.XLOOKUP(Table1[[#This Row],[5 cm2 cell test code]:[5 cm2 cell test code]],[1]!Table1[[Test code]:[Test code]],[1]!Table1[i @ 1.8 V 10 mM KOH (A/cm2)],"",0)</f>
        <v>#REF!</v>
      </c>
      <c r="Y1709" s="69" t="e" cm="1">
        <f t="array" ref="Y1709">_xlfn.XLOOKUP(Table1[[#This Row],[5 cm2 cell test code]:[5 cm2 cell test code]],[1]!Table1[[Test code]:[Test code]],[1]!Table1[3-E ƞ at 20mAcm-2 (mV)],"",0)</f>
        <v>#REF!</v>
      </c>
      <c r="Z1709" s="69" t="e" cm="1">
        <f t="array" ref="Z1709">_xlfn.XLOOKUP(Table1[[#This Row],[5 cm2 cell test code]:[5 cm2 cell test code]],[1]!Table1[[Test code]:[Test code]],[1]!Table1[3-E Tafel slope (mV/dec)],"",0)</f>
        <v>#REF!</v>
      </c>
      <c r="AA1709" s="69" t="e" cm="1">
        <f t="array" ref="AA1709">_xlfn.XLOOKUP(Table1[[#This Row],[5 cm2 cell test code]:[5 cm2 cell test code]],[1]!Table1[[Test code]:[Test code]],[1]!Table1[E @ 100 mA/cm2 DIW/V],"",0)</f>
        <v>#REF!</v>
      </c>
      <c r="AB1709" s="69" t="e" cm="1">
        <f t="array" ref="AB1709">_xlfn.XLOOKUP(Table1[[#This Row],[5 cm2 cell test code]:[5 cm2 cell test code]],[1]!Table1[[Test code]:[Test code]],[1]!Table1[E @ 100 mA/cm2 10 mM KOH/V],"",0)</f>
        <v>#REF!</v>
      </c>
      <c r="AC1709" s="69" t="e" cm="1">
        <f t="array" ref="AC1709">_xlfn.XLOOKUP(Table1[[#This Row],[5 cm2 cell test code]:[5 cm2 cell test code]],[1]!Table1[[Test code]:[Test code]],[1]!Table1[Anode ICR/mOhm],"",0)</f>
        <v>#REF!</v>
      </c>
      <c r="AD1709" s="69" t="e" cm="1">
        <f t="array" ref="AD1709">_xlfn.XLOOKUP(Table1[[#This Row],[5 cm2 cell test code]:[5 cm2 cell test code]],[1]!Table1[[Test code]:[Test code]],[1]!Table1[HFR DIW/ mOhm cm2],"",0)</f>
        <v>#REF!</v>
      </c>
      <c r="AE1709" s="69" t="e" cm="1">
        <f t="array" ref="AE1709">_xlfn.XLOOKUP(Table1[[#This Row],[5 cm2 cell test code]:[5 cm2 cell test code]],[1]!Table1[[Test code]:[Test code]],[1]!Table1[HFR 10 mM KOH/ mOhm cm2],"",0)</f>
        <v>#REF!</v>
      </c>
      <c r="AF1709" s="69" t="e" cm="1">
        <f t="array" ref="AF1709">_xlfn.XLOOKUP(Table1[[#This Row],[5 cm2 cell test code]:[5 cm2 cell test code]],[1]!Table1[[Test code]:[Test code]],[1]!Table1[Ionic resistance DIW/Ohm cm2],"",0)</f>
        <v>#REF!</v>
      </c>
      <c r="AG1709" s="69" t="e" cm="1">
        <f t="array" ref="AG1709">_xlfn.XLOOKUP(Table1[[#This Row],[5 cm2 cell test code]:[5 cm2 cell test code]],[1]!Table1[[Test code]:[Test code]],[1]!Table1[Q_int_frac DIW],"",0)</f>
        <v>#REF!</v>
      </c>
      <c r="AH1709" s="69" t="e" cm="1">
        <f t="array" ref="AH1709">_xlfn.XLOOKUP(Table1[[#This Row],[5 cm2 cell test code]:[5 cm2 cell test code]],[1]!Table1[[Test code]:[Test code]],[1]!Table1[Ionic resistance 10 mM KOH/Ohm cm2],"",0)</f>
        <v>#REF!</v>
      </c>
      <c r="AI1709" s="69" t="e" cm="1">
        <f t="array" ref="AI1709">_xlfn.XLOOKUP(Table1[[#This Row],[5 cm2 cell test code]:[5 cm2 cell test code]],[1]!Table1[[Test code]:[Test code]],[1]!Table1[Q_int_frac DIW 10 mM KOH],"",0)</f>
        <v>#REF!</v>
      </c>
      <c r="AJ1709" s="69" t="e" cm="1">
        <f t="array" ref="AJ1709">_xlfn.XLOOKUP(Table1[[#This Row],[5 cm2 cell test code]:[5 cm2 cell test code]],[1]!Table1[[Test code]:[Test code]],[1]!Table1[DIW conductivity (µS/cm)],"",0)</f>
        <v>#REF!</v>
      </c>
    </row>
    <row r="1710" spans="1:36">
      <c r="A1710" s="81"/>
      <c r="U1710" s="101"/>
      <c r="V1710" s="101"/>
      <c r="W1710" s="69" t="e" cm="1">
        <f t="array" ref="W1710">_xlfn.XLOOKUP(Table1[[#This Row],[5 cm2 cell test code]:[5 cm2 cell test code]],[1]!Table1[[Test code]:[Test code]],[1]!Table1[i @ 1.8 V DIW (A/cm2)],"",0)</f>
        <v>#REF!</v>
      </c>
      <c r="X1710" s="69" t="e" cm="1">
        <f t="array" ref="X1710">_xlfn.XLOOKUP(Table1[[#This Row],[5 cm2 cell test code]:[5 cm2 cell test code]],[1]!Table1[[Test code]:[Test code]],[1]!Table1[i @ 1.8 V 10 mM KOH (A/cm2)],"",0)</f>
        <v>#REF!</v>
      </c>
      <c r="Y1710" s="69" t="e" cm="1">
        <f t="array" ref="Y1710">_xlfn.XLOOKUP(Table1[[#This Row],[5 cm2 cell test code]:[5 cm2 cell test code]],[1]!Table1[[Test code]:[Test code]],[1]!Table1[3-E ƞ at 20mAcm-2 (mV)],"",0)</f>
        <v>#REF!</v>
      </c>
      <c r="Z1710" s="69" t="e" cm="1">
        <f t="array" ref="Z1710">_xlfn.XLOOKUP(Table1[[#This Row],[5 cm2 cell test code]:[5 cm2 cell test code]],[1]!Table1[[Test code]:[Test code]],[1]!Table1[3-E Tafel slope (mV/dec)],"",0)</f>
        <v>#REF!</v>
      </c>
      <c r="AA1710" s="69" t="e" cm="1">
        <f t="array" ref="AA1710">_xlfn.XLOOKUP(Table1[[#This Row],[5 cm2 cell test code]:[5 cm2 cell test code]],[1]!Table1[[Test code]:[Test code]],[1]!Table1[E @ 100 mA/cm2 DIW/V],"",0)</f>
        <v>#REF!</v>
      </c>
      <c r="AB1710" s="69" t="e" cm="1">
        <f t="array" ref="AB1710">_xlfn.XLOOKUP(Table1[[#This Row],[5 cm2 cell test code]:[5 cm2 cell test code]],[1]!Table1[[Test code]:[Test code]],[1]!Table1[E @ 100 mA/cm2 10 mM KOH/V],"",0)</f>
        <v>#REF!</v>
      </c>
      <c r="AC1710" s="69" t="e" cm="1">
        <f t="array" ref="AC1710">_xlfn.XLOOKUP(Table1[[#This Row],[5 cm2 cell test code]:[5 cm2 cell test code]],[1]!Table1[[Test code]:[Test code]],[1]!Table1[Anode ICR/mOhm],"",0)</f>
        <v>#REF!</v>
      </c>
      <c r="AD1710" s="69" t="e" cm="1">
        <f t="array" ref="AD1710">_xlfn.XLOOKUP(Table1[[#This Row],[5 cm2 cell test code]:[5 cm2 cell test code]],[1]!Table1[[Test code]:[Test code]],[1]!Table1[HFR DIW/ mOhm cm2],"",0)</f>
        <v>#REF!</v>
      </c>
      <c r="AE1710" s="69" t="e" cm="1">
        <f t="array" ref="AE1710">_xlfn.XLOOKUP(Table1[[#This Row],[5 cm2 cell test code]:[5 cm2 cell test code]],[1]!Table1[[Test code]:[Test code]],[1]!Table1[HFR 10 mM KOH/ mOhm cm2],"",0)</f>
        <v>#REF!</v>
      </c>
      <c r="AF1710" s="69" t="e" cm="1">
        <f t="array" ref="AF1710">_xlfn.XLOOKUP(Table1[[#This Row],[5 cm2 cell test code]:[5 cm2 cell test code]],[1]!Table1[[Test code]:[Test code]],[1]!Table1[Ionic resistance DIW/Ohm cm2],"",0)</f>
        <v>#REF!</v>
      </c>
      <c r="AG1710" s="69" t="e" cm="1">
        <f t="array" ref="AG1710">_xlfn.XLOOKUP(Table1[[#This Row],[5 cm2 cell test code]:[5 cm2 cell test code]],[1]!Table1[[Test code]:[Test code]],[1]!Table1[Q_int_frac DIW],"",0)</f>
        <v>#REF!</v>
      </c>
      <c r="AH1710" s="69" t="e" cm="1">
        <f t="array" ref="AH1710">_xlfn.XLOOKUP(Table1[[#This Row],[5 cm2 cell test code]:[5 cm2 cell test code]],[1]!Table1[[Test code]:[Test code]],[1]!Table1[Ionic resistance 10 mM KOH/Ohm cm2],"",0)</f>
        <v>#REF!</v>
      </c>
      <c r="AI1710" s="69" t="e" cm="1">
        <f t="array" ref="AI1710">_xlfn.XLOOKUP(Table1[[#This Row],[5 cm2 cell test code]:[5 cm2 cell test code]],[1]!Table1[[Test code]:[Test code]],[1]!Table1[Q_int_frac DIW 10 mM KOH],"",0)</f>
        <v>#REF!</v>
      </c>
      <c r="AJ1710" s="69" t="e" cm="1">
        <f t="array" ref="AJ1710">_xlfn.XLOOKUP(Table1[[#This Row],[5 cm2 cell test code]:[5 cm2 cell test code]],[1]!Table1[[Test code]:[Test code]],[1]!Table1[DIW conductivity (µS/cm)],"",0)</f>
        <v>#REF!</v>
      </c>
    </row>
    <row r="1711" spans="1:36">
      <c r="A1711" s="81"/>
      <c r="U1711" s="101"/>
      <c r="V1711" s="101"/>
      <c r="W1711" s="69" t="e" cm="1">
        <f t="array" ref="W1711">_xlfn.XLOOKUP(Table1[[#This Row],[5 cm2 cell test code]:[5 cm2 cell test code]],[1]!Table1[[Test code]:[Test code]],[1]!Table1[i @ 1.8 V DIW (A/cm2)],"",0)</f>
        <v>#REF!</v>
      </c>
      <c r="X1711" s="69" t="e" cm="1">
        <f t="array" ref="X1711">_xlfn.XLOOKUP(Table1[[#This Row],[5 cm2 cell test code]:[5 cm2 cell test code]],[1]!Table1[[Test code]:[Test code]],[1]!Table1[i @ 1.8 V 10 mM KOH (A/cm2)],"",0)</f>
        <v>#REF!</v>
      </c>
      <c r="Y1711" s="69" t="e" cm="1">
        <f t="array" ref="Y1711">_xlfn.XLOOKUP(Table1[[#This Row],[5 cm2 cell test code]:[5 cm2 cell test code]],[1]!Table1[[Test code]:[Test code]],[1]!Table1[3-E ƞ at 20mAcm-2 (mV)],"",0)</f>
        <v>#REF!</v>
      </c>
      <c r="Z1711" s="69" t="e" cm="1">
        <f t="array" ref="Z1711">_xlfn.XLOOKUP(Table1[[#This Row],[5 cm2 cell test code]:[5 cm2 cell test code]],[1]!Table1[[Test code]:[Test code]],[1]!Table1[3-E Tafel slope (mV/dec)],"",0)</f>
        <v>#REF!</v>
      </c>
      <c r="AA1711" s="69" t="e" cm="1">
        <f t="array" ref="AA1711">_xlfn.XLOOKUP(Table1[[#This Row],[5 cm2 cell test code]:[5 cm2 cell test code]],[1]!Table1[[Test code]:[Test code]],[1]!Table1[E @ 100 mA/cm2 DIW/V],"",0)</f>
        <v>#REF!</v>
      </c>
      <c r="AB1711" s="69" t="e" cm="1">
        <f t="array" ref="AB1711">_xlfn.XLOOKUP(Table1[[#This Row],[5 cm2 cell test code]:[5 cm2 cell test code]],[1]!Table1[[Test code]:[Test code]],[1]!Table1[E @ 100 mA/cm2 10 mM KOH/V],"",0)</f>
        <v>#REF!</v>
      </c>
      <c r="AC1711" s="69" t="e" cm="1">
        <f t="array" ref="AC1711">_xlfn.XLOOKUP(Table1[[#This Row],[5 cm2 cell test code]:[5 cm2 cell test code]],[1]!Table1[[Test code]:[Test code]],[1]!Table1[Anode ICR/mOhm],"",0)</f>
        <v>#REF!</v>
      </c>
      <c r="AD1711" s="69" t="e" cm="1">
        <f t="array" ref="AD1711">_xlfn.XLOOKUP(Table1[[#This Row],[5 cm2 cell test code]:[5 cm2 cell test code]],[1]!Table1[[Test code]:[Test code]],[1]!Table1[HFR DIW/ mOhm cm2],"",0)</f>
        <v>#REF!</v>
      </c>
      <c r="AE1711" s="69" t="e" cm="1">
        <f t="array" ref="AE1711">_xlfn.XLOOKUP(Table1[[#This Row],[5 cm2 cell test code]:[5 cm2 cell test code]],[1]!Table1[[Test code]:[Test code]],[1]!Table1[HFR 10 mM KOH/ mOhm cm2],"",0)</f>
        <v>#REF!</v>
      </c>
      <c r="AF1711" s="69" t="e" cm="1">
        <f t="array" ref="AF1711">_xlfn.XLOOKUP(Table1[[#This Row],[5 cm2 cell test code]:[5 cm2 cell test code]],[1]!Table1[[Test code]:[Test code]],[1]!Table1[Ionic resistance DIW/Ohm cm2],"",0)</f>
        <v>#REF!</v>
      </c>
      <c r="AG1711" s="69" t="e" cm="1">
        <f t="array" ref="AG1711">_xlfn.XLOOKUP(Table1[[#This Row],[5 cm2 cell test code]:[5 cm2 cell test code]],[1]!Table1[[Test code]:[Test code]],[1]!Table1[Q_int_frac DIW],"",0)</f>
        <v>#REF!</v>
      </c>
      <c r="AH1711" s="69" t="e" cm="1">
        <f t="array" ref="AH1711">_xlfn.XLOOKUP(Table1[[#This Row],[5 cm2 cell test code]:[5 cm2 cell test code]],[1]!Table1[[Test code]:[Test code]],[1]!Table1[Ionic resistance 10 mM KOH/Ohm cm2],"",0)</f>
        <v>#REF!</v>
      </c>
      <c r="AI1711" s="69" t="e" cm="1">
        <f t="array" ref="AI1711">_xlfn.XLOOKUP(Table1[[#This Row],[5 cm2 cell test code]:[5 cm2 cell test code]],[1]!Table1[[Test code]:[Test code]],[1]!Table1[Q_int_frac DIW 10 mM KOH],"",0)</f>
        <v>#REF!</v>
      </c>
      <c r="AJ1711" s="69" t="e" cm="1">
        <f t="array" ref="AJ1711">_xlfn.XLOOKUP(Table1[[#This Row],[5 cm2 cell test code]:[5 cm2 cell test code]],[1]!Table1[[Test code]:[Test code]],[1]!Table1[DIW conductivity (µS/cm)],"",0)</f>
        <v>#REF!</v>
      </c>
    </row>
    <row r="1712" spans="1:36">
      <c r="A1712" s="81"/>
      <c r="U1712" s="101"/>
      <c r="V1712" s="101"/>
      <c r="W1712" s="69" t="e" cm="1">
        <f t="array" ref="W1712">_xlfn.XLOOKUP(Table1[[#This Row],[5 cm2 cell test code]:[5 cm2 cell test code]],[1]!Table1[[Test code]:[Test code]],[1]!Table1[i @ 1.8 V DIW (A/cm2)],"",0)</f>
        <v>#REF!</v>
      </c>
      <c r="X1712" s="69" t="e" cm="1">
        <f t="array" ref="X1712">_xlfn.XLOOKUP(Table1[[#This Row],[5 cm2 cell test code]:[5 cm2 cell test code]],[1]!Table1[[Test code]:[Test code]],[1]!Table1[i @ 1.8 V 10 mM KOH (A/cm2)],"",0)</f>
        <v>#REF!</v>
      </c>
      <c r="Y1712" s="69" t="e" cm="1">
        <f t="array" ref="Y1712">_xlfn.XLOOKUP(Table1[[#This Row],[5 cm2 cell test code]:[5 cm2 cell test code]],[1]!Table1[[Test code]:[Test code]],[1]!Table1[3-E ƞ at 20mAcm-2 (mV)],"",0)</f>
        <v>#REF!</v>
      </c>
      <c r="Z1712" s="69" t="e" cm="1">
        <f t="array" ref="Z1712">_xlfn.XLOOKUP(Table1[[#This Row],[5 cm2 cell test code]:[5 cm2 cell test code]],[1]!Table1[[Test code]:[Test code]],[1]!Table1[3-E Tafel slope (mV/dec)],"",0)</f>
        <v>#REF!</v>
      </c>
      <c r="AA1712" s="69" t="e" cm="1">
        <f t="array" ref="AA1712">_xlfn.XLOOKUP(Table1[[#This Row],[5 cm2 cell test code]:[5 cm2 cell test code]],[1]!Table1[[Test code]:[Test code]],[1]!Table1[E @ 100 mA/cm2 DIW/V],"",0)</f>
        <v>#REF!</v>
      </c>
      <c r="AB1712" s="69" t="e" cm="1">
        <f t="array" ref="AB1712">_xlfn.XLOOKUP(Table1[[#This Row],[5 cm2 cell test code]:[5 cm2 cell test code]],[1]!Table1[[Test code]:[Test code]],[1]!Table1[E @ 100 mA/cm2 10 mM KOH/V],"",0)</f>
        <v>#REF!</v>
      </c>
      <c r="AC1712" s="69" t="e" cm="1">
        <f t="array" ref="AC1712">_xlfn.XLOOKUP(Table1[[#This Row],[5 cm2 cell test code]:[5 cm2 cell test code]],[1]!Table1[[Test code]:[Test code]],[1]!Table1[Anode ICR/mOhm],"",0)</f>
        <v>#REF!</v>
      </c>
      <c r="AD1712" s="69" t="e" cm="1">
        <f t="array" ref="AD1712">_xlfn.XLOOKUP(Table1[[#This Row],[5 cm2 cell test code]:[5 cm2 cell test code]],[1]!Table1[[Test code]:[Test code]],[1]!Table1[HFR DIW/ mOhm cm2],"",0)</f>
        <v>#REF!</v>
      </c>
      <c r="AE1712" s="69" t="e" cm="1">
        <f t="array" ref="AE1712">_xlfn.XLOOKUP(Table1[[#This Row],[5 cm2 cell test code]:[5 cm2 cell test code]],[1]!Table1[[Test code]:[Test code]],[1]!Table1[HFR 10 mM KOH/ mOhm cm2],"",0)</f>
        <v>#REF!</v>
      </c>
      <c r="AF1712" s="69" t="e" cm="1">
        <f t="array" ref="AF1712">_xlfn.XLOOKUP(Table1[[#This Row],[5 cm2 cell test code]:[5 cm2 cell test code]],[1]!Table1[[Test code]:[Test code]],[1]!Table1[Ionic resistance DIW/Ohm cm2],"",0)</f>
        <v>#REF!</v>
      </c>
      <c r="AG1712" s="69" t="e" cm="1">
        <f t="array" ref="AG1712">_xlfn.XLOOKUP(Table1[[#This Row],[5 cm2 cell test code]:[5 cm2 cell test code]],[1]!Table1[[Test code]:[Test code]],[1]!Table1[Q_int_frac DIW],"",0)</f>
        <v>#REF!</v>
      </c>
      <c r="AH1712" s="69" t="e" cm="1">
        <f t="array" ref="AH1712">_xlfn.XLOOKUP(Table1[[#This Row],[5 cm2 cell test code]:[5 cm2 cell test code]],[1]!Table1[[Test code]:[Test code]],[1]!Table1[Ionic resistance 10 mM KOH/Ohm cm2],"",0)</f>
        <v>#REF!</v>
      </c>
      <c r="AI1712" s="69" t="e" cm="1">
        <f t="array" ref="AI1712">_xlfn.XLOOKUP(Table1[[#This Row],[5 cm2 cell test code]:[5 cm2 cell test code]],[1]!Table1[[Test code]:[Test code]],[1]!Table1[Q_int_frac DIW 10 mM KOH],"",0)</f>
        <v>#REF!</v>
      </c>
      <c r="AJ1712" s="69" t="e" cm="1">
        <f t="array" ref="AJ1712">_xlfn.XLOOKUP(Table1[[#This Row],[5 cm2 cell test code]:[5 cm2 cell test code]],[1]!Table1[[Test code]:[Test code]],[1]!Table1[DIW conductivity (µS/cm)],"",0)</f>
        <v>#REF!</v>
      </c>
    </row>
    <row r="1713" spans="1:36">
      <c r="A1713" s="81"/>
      <c r="U1713" s="101"/>
      <c r="V1713" s="101"/>
      <c r="W1713" s="69" t="e" cm="1">
        <f t="array" ref="W1713">_xlfn.XLOOKUP(Table1[[#This Row],[5 cm2 cell test code]:[5 cm2 cell test code]],[1]!Table1[[Test code]:[Test code]],[1]!Table1[i @ 1.8 V DIW (A/cm2)],"",0)</f>
        <v>#REF!</v>
      </c>
      <c r="X1713" s="69" t="e" cm="1">
        <f t="array" ref="X1713">_xlfn.XLOOKUP(Table1[[#This Row],[5 cm2 cell test code]:[5 cm2 cell test code]],[1]!Table1[[Test code]:[Test code]],[1]!Table1[i @ 1.8 V 10 mM KOH (A/cm2)],"",0)</f>
        <v>#REF!</v>
      </c>
      <c r="Y1713" s="69" t="e" cm="1">
        <f t="array" ref="Y1713">_xlfn.XLOOKUP(Table1[[#This Row],[5 cm2 cell test code]:[5 cm2 cell test code]],[1]!Table1[[Test code]:[Test code]],[1]!Table1[3-E ƞ at 20mAcm-2 (mV)],"",0)</f>
        <v>#REF!</v>
      </c>
      <c r="Z1713" s="69" t="e" cm="1">
        <f t="array" ref="Z1713">_xlfn.XLOOKUP(Table1[[#This Row],[5 cm2 cell test code]:[5 cm2 cell test code]],[1]!Table1[[Test code]:[Test code]],[1]!Table1[3-E Tafel slope (mV/dec)],"",0)</f>
        <v>#REF!</v>
      </c>
      <c r="AA1713" s="69" t="e" cm="1">
        <f t="array" ref="AA1713">_xlfn.XLOOKUP(Table1[[#This Row],[5 cm2 cell test code]:[5 cm2 cell test code]],[1]!Table1[[Test code]:[Test code]],[1]!Table1[E @ 100 mA/cm2 DIW/V],"",0)</f>
        <v>#REF!</v>
      </c>
      <c r="AB1713" s="69" t="e" cm="1">
        <f t="array" ref="AB1713">_xlfn.XLOOKUP(Table1[[#This Row],[5 cm2 cell test code]:[5 cm2 cell test code]],[1]!Table1[[Test code]:[Test code]],[1]!Table1[E @ 100 mA/cm2 10 mM KOH/V],"",0)</f>
        <v>#REF!</v>
      </c>
      <c r="AC1713" s="69" t="e" cm="1">
        <f t="array" ref="AC1713">_xlfn.XLOOKUP(Table1[[#This Row],[5 cm2 cell test code]:[5 cm2 cell test code]],[1]!Table1[[Test code]:[Test code]],[1]!Table1[Anode ICR/mOhm],"",0)</f>
        <v>#REF!</v>
      </c>
      <c r="AD1713" s="69" t="e" cm="1">
        <f t="array" ref="AD1713">_xlfn.XLOOKUP(Table1[[#This Row],[5 cm2 cell test code]:[5 cm2 cell test code]],[1]!Table1[[Test code]:[Test code]],[1]!Table1[HFR DIW/ mOhm cm2],"",0)</f>
        <v>#REF!</v>
      </c>
      <c r="AE1713" s="69" t="e" cm="1">
        <f t="array" ref="AE1713">_xlfn.XLOOKUP(Table1[[#This Row],[5 cm2 cell test code]:[5 cm2 cell test code]],[1]!Table1[[Test code]:[Test code]],[1]!Table1[HFR 10 mM KOH/ mOhm cm2],"",0)</f>
        <v>#REF!</v>
      </c>
      <c r="AF1713" s="69" t="e" cm="1">
        <f t="array" ref="AF1713">_xlfn.XLOOKUP(Table1[[#This Row],[5 cm2 cell test code]:[5 cm2 cell test code]],[1]!Table1[[Test code]:[Test code]],[1]!Table1[Ionic resistance DIW/Ohm cm2],"",0)</f>
        <v>#REF!</v>
      </c>
      <c r="AG1713" s="69" t="e" cm="1">
        <f t="array" ref="AG1713">_xlfn.XLOOKUP(Table1[[#This Row],[5 cm2 cell test code]:[5 cm2 cell test code]],[1]!Table1[[Test code]:[Test code]],[1]!Table1[Q_int_frac DIW],"",0)</f>
        <v>#REF!</v>
      </c>
      <c r="AH1713" s="69" t="e" cm="1">
        <f t="array" ref="AH1713">_xlfn.XLOOKUP(Table1[[#This Row],[5 cm2 cell test code]:[5 cm2 cell test code]],[1]!Table1[[Test code]:[Test code]],[1]!Table1[Ionic resistance 10 mM KOH/Ohm cm2],"",0)</f>
        <v>#REF!</v>
      </c>
      <c r="AI1713" s="69" t="e" cm="1">
        <f t="array" ref="AI1713">_xlfn.XLOOKUP(Table1[[#This Row],[5 cm2 cell test code]:[5 cm2 cell test code]],[1]!Table1[[Test code]:[Test code]],[1]!Table1[Q_int_frac DIW 10 mM KOH],"",0)</f>
        <v>#REF!</v>
      </c>
      <c r="AJ1713" s="69" t="e" cm="1">
        <f t="array" ref="AJ1713">_xlfn.XLOOKUP(Table1[[#This Row],[5 cm2 cell test code]:[5 cm2 cell test code]],[1]!Table1[[Test code]:[Test code]],[1]!Table1[DIW conductivity (µS/cm)],"",0)</f>
        <v>#REF!</v>
      </c>
    </row>
    <row r="1714" spans="1:36">
      <c r="A1714" s="81"/>
      <c r="U1714" s="101"/>
      <c r="V1714" s="101"/>
      <c r="W1714" s="69" t="e" cm="1">
        <f t="array" ref="W1714">_xlfn.XLOOKUP(Table1[[#This Row],[5 cm2 cell test code]:[5 cm2 cell test code]],[1]!Table1[[Test code]:[Test code]],[1]!Table1[i @ 1.8 V DIW (A/cm2)],"",0)</f>
        <v>#REF!</v>
      </c>
      <c r="X1714" s="69" t="e" cm="1">
        <f t="array" ref="X1714">_xlfn.XLOOKUP(Table1[[#This Row],[5 cm2 cell test code]:[5 cm2 cell test code]],[1]!Table1[[Test code]:[Test code]],[1]!Table1[i @ 1.8 V 10 mM KOH (A/cm2)],"",0)</f>
        <v>#REF!</v>
      </c>
      <c r="Y1714" s="69" t="e" cm="1">
        <f t="array" ref="Y1714">_xlfn.XLOOKUP(Table1[[#This Row],[5 cm2 cell test code]:[5 cm2 cell test code]],[1]!Table1[[Test code]:[Test code]],[1]!Table1[3-E ƞ at 20mAcm-2 (mV)],"",0)</f>
        <v>#REF!</v>
      </c>
      <c r="Z1714" s="69" t="e" cm="1">
        <f t="array" ref="Z1714">_xlfn.XLOOKUP(Table1[[#This Row],[5 cm2 cell test code]:[5 cm2 cell test code]],[1]!Table1[[Test code]:[Test code]],[1]!Table1[3-E Tafel slope (mV/dec)],"",0)</f>
        <v>#REF!</v>
      </c>
      <c r="AA1714" s="69" t="e" cm="1">
        <f t="array" ref="AA1714">_xlfn.XLOOKUP(Table1[[#This Row],[5 cm2 cell test code]:[5 cm2 cell test code]],[1]!Table1[[Test code]:[Test code]],[1]!Table1[E @ 100 mA/cm2 DIW/V],"",0)</f>
        <v>#REF!</v>
      </c>
      <c r="AB1714" s="69" t="e" cm="1">
        <f t="array" ref="AB1714">_xlfn.XLOOKUP(Table1[[#This Row],[5 cm2 cell test code]:[5 cm2 cell test code]],[1]!Table1[[Test code]:[Test code]],[1]!Table1[E @ 100 mA/cm2 10 mM KOH/V],"",0)</f>
        <v>#REF!</v>
      </c>
      <c r="AC1714" s="69" t="e" cm="1">
        <f t="array" ref="AC1714">_xlfn.XLOOKUP(Table1[[#This Row],[5 cm2 cell test code]:[5 cm2 cell test code]],[1]!Table1[[Test code]:[Test code]],[1]!Table1[Anode ICR/mOhm],"",0)</f>
        <v>#REF!</v>
      </c>
      <c r="AD1714" s="69" t="e" cm="1">
        <f t="array" ref="AD1714">_xlfn.XLOOKUP(Table1[[#This Row],[5 cm2 cell test code]:[5 cm2 cell test code]],[1]!Table1[[Test code]:[Test code]],[1]!Table1[HFR DIW/ mOhm cm2],"",0)</f>
        <v>#REF!</v>
      </c>
      <c r="AE1714" s="69" t="e" cm="1">
        <f t="array" ref="AE1714">_xlfn.XLOOKUP(Table1[[#This Row],[5 cm2 cell test code]:[5 cm2 cell test code]],[1]!Table1[[Test code]:[Test code]],[1]!Table1[HFR 10 mM KOH/ mOhm cm2],"",0)</f>
        <v>#REF!</v>
      </c>
      <c r="AF1714" s="69" t="e" cm="1">
        <f t="array" ref="AF1714">_xlfn.XLOOKUP(Table1[[#This Row],[5 cm2 cell test code]:[5 cm2 cell test code]],[1]!Table1[[Test code]:[Test code]],[1]!Table1[Ionic resistance DIW/Ohm cm2],"",0)</f>
        <v>#REF!</v>
      </c>
      <c r="AG1714" s="69" t="e" cm="1">
        <f t="array" ref="AG1714">_xlfn.XLOOKUP(Table1[[#This Row],[5 cm2 cell test code]:[5 cm2 cell test code]],[1]!Table1[[Test code]:[Test code]],[1]!Table1[Q_int_frac DIW],"",0)</f>
        <v>#REF!</v>
      </c>
      <c r="AH1714" s="69" t="e" cm="1">
        <f t="array" ref="AH1714">_xlfn.XLOOKUP(Table1[[#This Row],[5 cm2 cell test code]:[5 cm2 cell test code]],[1]!Table1[[Test code]:[Test code]],[1]!Table1[Ionic resistance 10 mM KOH/Ohm cm2],"",0)</f>
        <v>#REF!</v>
      </c>
      <c r="AI1714" s="69" t="e" cm="1">
        <f t="array" ref="AI1714">_xlfn.XLOOKUP(Table1[[#This Row],[5 cm2 cell test code]:[5 cm2 cell test code]],[1]!Table1[[Test code]:[Test code]],[1]!Table1[Q_int_frac DIW 10 mM KOH],"",0)</f>
        <v>#REF!</v>
      </c>
      <c r="AJ1714" s="69" t="e" cm="1">
        <f t="array" ref="AJ1714">_xlfn.XLOOKUP(Table1[[#This Row],[5 cm2 cell test code]:[5 cm2 cell test code]],[1]!Table1[[Test code]:[Test code]],[1]!Table1[DIW conductivity (µS/cm)],"",0)</f>
        <v>#REF!</v>
      </c>
    </row>
    <row r="1715" spans="1:36">
      <c r="A1715" s="81"/>
      <c r="U1715" s="101"/>
      <c r="V1715" s="101"/>
      <c r="W1715" s="69" t="e" cm="1">
        <f t="array" ref="W1715">_xlfn.XLOOKUP(Table1[[#This Row],[5 cm2 cell test code]:[5 cm2 cell test code]],[1]!Table1[[Test code]:[Test code]],[1]!Table1[i @ 1.8 V DIW (A/cm2)],"",0)</f>
        <v>#REF!</v>
      </c>
      <c r="X1715" s="69" t="e" cm="1">
        <f t="array" ref="X1715">_xlfn.XLOOKUP(Table1[[#This Row],[5 cm2 cell test code]:[5 cm2 cell test code]],[1]!Table1[[Test code]:[Test code]],[1]!Table1[i @ 1.8 V 10 mM KOH (A/cm2)],"",0)</f>
        <v>#REF!</v>
      </c>
      <c r="Y1715" s="69" t="e" cm="1">
        <f t="array" ref="Y1715">_xlfn.XLOOKUP(Table1[[#This Row],[5 cm2 cell test code]:[5 cm2 cell test code]],[1]!Table1[[Test code]:[Test code]],[1]!Table1[3-E ƞ at 20mAcm-2 (mV)],"",0)</f>
        <v>#REF!</v>
      </c>
      <c r="Z1715" s="69" t="e" cm="1">
        <f t="array" ref="Z1715">_xlfn.XLOOKUP(Table1[[#This Row],[5 cm2 cell test code]:[5 cm2 cell test code]],[1]!Table1[[Test code]:[Test code]],[1]!Table1[3-E Tafel slope (mV/dec)],"",0)</f>
        <v>#REF!</v>
      </c>
      <c r="AA1715" s="69" t="e" cm="1">
        <f t="array" ref="AA1715">_xlfn.XLOOKUP(Table1[[#This Row],[5 cm2 cell test code]:[5 cm2 cell test code]],[1]!Table1[[Test code]:[Test code]],[1]!Table1[E @ 100 mA/cm2 DIW/V],"",0)</f>
        <v>#REF!</v>
      </c>
      <c r="AB1715" s="69" t="e" cm="1">
        <f t="array" ref="AB1715">_xlfn.XLOOKUP(Table1[[#This Row],[5 cm2 cell test code]:[5 cm2 cell test code]],[1]!Table1[[Test code]:[Test code]],[1]!Table1[E @ 100 mA/cm2 10 mM KOH/V],"",0)</f>
        <v>#REF!</v>
      </c>
      <c r="AC1715" s="69" t="e" cm="1">
        <f t="array" ref="AC1715">_xlfn.XLOOKUP(Table1[[#This Row],[5 cm2 cell test code]:[5 cm2 cell test code]],[1]!Table1[[Test code]:[Test code]],[1]!Table1[Anode ICR/mOhm],"",0)</f>
        <v>#REF!</v>
      </c>
      <c r="AD1715" s="69" t="e" cm="1">
        <f t="array" ref="AD1715">_xlfn.XLOOKUP(Table1[[#This Row],[5 cm2 cell test code]:[5 cm2 cell test code]],[1]!Table1[[Test code]:[Test code]],[1]!Table1[HFR DIW/ mOhm cm2],"",0)</f>
        <v>#REF!</v>
      </c>
      <c r="AE1715" s="69" t="e" cm="1">
        <f t="array" ref="AE1715">_xlfn.XLOOKUP(Table1[[#This Row],[5 cm2 cell test code]:[5 cm2 cell test code]],[1]!Table1[[Test code]:[Test code]],[1]!Table1[HFR 10 mM KOH/ mOhm cm2],"",0)</f>
        <v>#REF!</v>
      </c>
      <c r="AF1715" s="69" t="e" cm="1">
        <f t="array" ref="AF1715">_xlfn.XLOOKUP(Table1[[#This Row],[5 cm2 cell test code]:[5 cm2 cell test code]],[1]!Table1[[Test code]:[Test code]],[1]!Table1[Ionic resistance DIW/Ohm cm2],"",0)</f>
        <v>#REF!</v>
      </c>
      <c r="AG1715" s="69" t="e" cm="1">
        <f t="array" ref="AG1715">_xlfn.XLOOKUP(Table1[[#This Row],[5 cm2 cell test code]:[5 cm2 cell test code]],[1]!Table1[[Test code]:[Test code]],[1]!Table1[Q_int_frac DIW],"",0)</f>
        <v>#REF!</v>
      </c>
      <c r="AH1715" s="69" t="e" cm="1">
        <f t="array" ref="AH1715">_xlfn.XLOOKUP(Table1[[#This Row],[5 cm2 cell test code]:[5 cm2 cell test code]],[1]!Table1[[Test code]:[Test code]],[1]!Table1[Ionic resistance 10 mM KOH/Ohm cm2],"",0)</f>
        <v>#REF!</v>
      </c>
      <c r="AI1715" s="69" t="e" cm="1">
        <f t="array" ref="AI1715">_xlfn.XLOOKUP(Table1[[#This Row],[5 cm2 cell test code]:[5 cm2 cell test code]],[1]!Table1[[Test code]:[Test code]],[1]!Table1[Q_int_frac DIW 10 mM KOH],"",0)</f>
        <v>#REF!</v>
      </c>
      <c r="AJ1715" s="69" t="e" cm="1">
        <f t="array" ref="AJ1715">_xlfn.XLOOKUP(Table1[[#This Row],[5 cm2 cell test code]:[5 cm2 cell test code]],[1]!Table1[[Test code]:[Test code]],[1]!Table1[DIW conductivity (µS/cm)],"",0)</f>
        <v>#REF!</v>
      </c>
    </row>
    <row r="1716" spans="1:36">
      <c r="A1716" s="81"/>
      <c r="U1716" s="101"/>
      <c r="V1716" s="101"/>
      <c r="W1716" s="69" t="e" cm="1">
        <f t="array" ref="W1716">_xlfn.XLOOKUP(Table1[[#This Row],[5 cm2 cell test code]:[5 cm2 cell test code]],[1]!Table1[[Test code]:[Test code]],[1]!Table1[i @ 1.8 V DIW (A/cm2)],"",0)</f>
        <v>#REF!</v>
      </c>
      <c r="X1716" s="69" t="e" cm="1">
        <f t="array" ref="X1716">_xlfn.XLOOKUP(Table1[[#This Row],[5 cm2 cell test code]:[5 cm2 cell test code]],[1]!Table1[[Test code]:[Test code]],[1]!Table1[i @ 1.8 V 10 mM KOH (A/cm2)],"",0)</f>
        <v>#REF!</v>
      </c>
      <c r="Y1716" s="69" t="e" cm="1">
        <f t="array" ref="Y1716">_xlfn.XLOOKUP(Table1[[#This Row],[5 cm2 cell test code]:[5 cm2 cell test code]],[1]!Table1[[Test code]:[Test code]],[1]!Table1[3-E ƞ at 20mAcm-2 (mV)],"",0)</f>
        <v>#REF!</v>
      </c>
      <c r="Z1716" s="69" t="e" cm="1">
        <f t="array" ref="Z1716">_xlfn.XLOOKUP(Table1[[#This Row],[5 cm2 cell test code]:[5 cm2 cell test code]],[1]!Table1[[Test code]:[Test code]],[1]!Table1[3-E Tafel slope (mV/dec)],"",0)</f>
        <v>#REF!</v>
      </c>
      <c r="AA1716" s="69" t="e" cm="1">
        <f t="array" ref="AA1716">_xlfn.XLOOKUP(Table1[[#This Row],[5 cm2 cell test code]:[5 cm2 cell test code]],[1]!Table1[[Test code]:[Test code]],[1]!Table1[E @ 100 mA/cm2 DIW/V],"",0)</f>
        <v>#REF!</v>
      </c>
      <c r="AB1716" s="69" t="e" cm="1">
        <f t="array" ref="AB1716">_xlfn.XLOOKUP(Table1[[#This Row],[5 cm2 cell test code]:[5 cm2 cell test code]],[1]!Table1[[Test code]:[Test code]],[1]!Table1[E @ 100 mA/cm2 10 mM KOH/V],"",0)</f>
        <v>#REF!</v>
      </c>
      <c r="AC1716" s="69" t="e" cm="1">
        <f t="array" ref="AC1716">_xlfn.XLOOKUP(Table1[[#This Row],[5 cm2 cell test code]:[5 cm2 cell test code]],[1]!Table1[[Test code]:[Test code]],[1]!Table1[Anode ICR/mOhm],"",0)</f>
        <v>#REF!</v>
      </c>
      <c r="AD1716" s="69" t="e" cm="1">
        <f t="array" ref="AD1716">_xlfn.XLOOKUP(Table1[[#This Row],[5 cm2 cell test code]:[5 cm2 cell test code]],[1]!Table1[[Test code]:[Test code]],[1]!Table1[HFR DIW/ mOhm cm2],"",0)</f>
        <v>#REF!</v>
      </c>
      <c r="AE1716" s="69" t="e" cm="1">
        <f t="array" ref="AE1716">_xlfn.XLOOKUP(Table1[[#This Row],[5 cm2 cell test code]:[5 cm2 cell test code]],[1]!Table1[[Test code]:[Test code]],[1]!Table1[HFR 10 mM KOH/ mOhm cm2],"",0)</f>
        <v>#REF!</v>
      </c>
      <c r="AF1716" s="69" t="e" cm="1">
        <f t="array" ref="AF1716">_xlfn.XLOOKUP(Table1[[#This Row],[5 cm2 cell test code]:[5 cm2 cell test code]],[1]!Table1[[Test code]:[Test code]],[1]!Table1[Ionic resistance DIW/Ohm cm2],"",0)</f>
        <v>#REF!</v>
      </c>
      <c r="AG1716" s="69" t="e" cm="1">
        <f t="array" ref="AG1716">_xlfn.XLOOKUP(Table1[[#This Row],[5 cm2 cell test code]:[5 cm2 cell test code]],[1]!Table1[[Test code]:[Test code]],[1]!Table1[Q_int_frac DIW],"",0)</f>
        <v>#REF!</v>
      </c>
      <c r="AH1716" s="69" t="e" cm="1">
        <f t="array" ref="AH1716">_xlfn.XLOOKUP(Table1[[#This Row],[5 cm2 cell test code]:[5 cm2 cell test code]],[1]!Table1[[Test code]:[Test code]],[1]!Table1[Ionic resistance 10 mM KOH/Ohm cm2],"",0)</f>
        <v>#REF!</v>
      </c>
      <c r="AI1716" s="69" t="e" cm="1">
        <f t="array" ref="AI1716">_xlfn.XLOOKUP(Table1[[#This Row],[5 cm2 cell test code]:[5 cm2 cell test code]],[1]!Table1[[Test code]:[Test code]],[1]!Table1[Q_int_frac DIW 10 mM KOH],"",0)</f>
        <v>#REF!</v>
      </c>
      <c r="AJ1716" s="69" t="e" cm="1">
        <f t="array" ref="AJ1716">_xlfn.XLOOKUP(Table1[[#This Row],[5 cm2 cell test code]:[5 cm2 cell test code]],[1]!Table1[[Test code]:[Test code]],[1]!Table1[DIW conductivity (µS/cm)],"",0)</f>
        <v>#REF!</v>
      </c>
    </row>
    <row r="1717" spans="1:36">
      <c r="A1717" s="81"/>
      <c r="U1717" s="101"/>
      <c r="V1717" s="101"/>
      <c r="W1717" s="69" t="e" cm="1">
        <f t="array" ref="W1717">_xlfn.XLOOKUP(Table1[[#This Row],[5 cm2 cell test code]:[5 cm2 cell test code]],[1]!Table1[[Test code]:[Test code]],[1]!Table1[i @ 1.8 V DIW (A/cm2)],"",0)</f>
        <v>#REF!</v>
      </c>
      <c r="X1717" s="69" t="e" cm="1">
        <f t="array" ref="X1717">_xlfn.XLOOKUP(Table1[[#This Row],[5 cm2 cell test code]:[5 cm2 cell test code]],[1]!Table1[[Test code]:[Test code]],[1]!Table1[i @ 1.8 V 10 mM KOH (A/cm2)],"",0)</f>
        <v>#REF!</v>
      </c>
      <c r="Y1717" s="69" t="e" cm="1">
        <f t="array" ref="Y1717">_xlfn.XLOOKUP(Table1[[#This Row],[5 cm2 cell test code]:[5 cm2 cell test code]],[1]!Table1[[Test code]:[Test code]],[1]!Table1[3-E ƞ at 20mAcm-2 (mV)],"",0)</f>
        <v>#REF!</v>
      </c>
      <c r="Z1717" s="69" t="e" cm="1">
        <f t="array" ref="Z1717">_xlfn.XLOOKUP(Table1[[#This Row],[5 cm2 cell test code]:[5 cm2 cell test code]],[1]!Table1[[Test code]:[Test code]],[1]!Table1[3-E Tafel slope (mV/dec)],"",0)</f>
        <v>#REF!</v>
      </c>
      <c r="AA1717" s="69" t="e" cm="1">
        <f t="array" ref="AA1717">_xlfn.XLOOKUP(Table1[[#This Row],[5 cm2 cell test code]:[5 cm2 cell test code]],[1]!Table1[[Test code]:[Test code]],[1]!Table1[E @ 100 mA/cm2 DIW/V],"",0)</f>
        <v>#REF!</v>
      </c>
      <c r="AB1717" s="69" t="e" cm="1">
        <f t="array" ref="AB1717">_xlfn.XLOOKUP(Table1[[#This Row],[5 cm2 cell test code]:[5 cm2 cell test code]],[1]!Table1[[Test code]:[Test code]],[1]!Table1[E @ 100 mA/cm2 10 mM KOH/V],"",0)</f>
        <v>#REF!</v>
      </c>
      <c r="AC1717" s="69" t="e" cm="1">
        <f t="array" ref="AC1717">_xlfn.XLOOKUP(Table1[[#This Row],[5 cm2 cell test code]:[5 cm2 cell test code]],[1]!Table1[[Test code]:[Test code]],[1]!Table1[Anode ICR/mOhm],"",0)</f>
        <v>#REF!</v>
      </c>
      <c r="AD1717" s="69" t="e" cm="1">
        <f t="array" ref="AD1717">_xlfn.XLOOKUP(Table1[[#This Row],[5 cm2 cell test code]:[5 cm2 cell test code]],[1]!Table1[[Test code]:[Test code]],[1]!Table1[HFR DIW/ mOhm cm2],"",0)</f>
        <v>#REF!</v>
      </c>
      <c r="AE1717" s="69" t="e" cm="1">
        <f t="array" ref="AE1717">_xlfn.XLOOKUP(Table1[[#This Row],[5 cm2 cell test code]:[5 cm2 cell test code]],[1]!Table1[[Test code]:[Test code]],[1]!Table1[HFR 10 mM KOH/ mOhm cm2],"",0)</f>
        <v>#REF!</v>
      </c>
      <c r="AF1717" s="69" t="e" cm="1">
        <f t="array" ref="AF1717">_xlfn.XLOOKUP(Table1[[#This Row],[5 cm2 cell test code]:[5 cm2 cell test code]],[1]!Table1[[Test code]:[Test code]],[1]!Table1[Ionic resistance DIW/Ohm cm2],"",0)</f>
        <v>#REF!</v>
      </c>
      <c r="AG1717" s="69" t="e" cm="1">
        <f t="array" ref="AG1717">_xlfn.XLOOKUP(Table1[[#This Row],[5 cm2 cell test code]:[5 cm2 cell test code]],[1]!Table1[[Test code]:[Test code]],[1]!Table1[Q_int_frac DIW],"",0)</f>
        <v>#REF!</v>
      </c>
      <c r="AH1717" s="69" t="e" cm="1">
        <f t="array" ref="AH1717">_xlfn.XLOOKUP(Table1[[#This Row],[5 cm2 cell test code]:[5 cm2 cell test code]],[1]!Table1[[Test code]:[Test code]],[1]!Table1[Ionic resistance 10 mM KOH/Ohm cm2],"",0)</f>
        <v>#REF!</v>
      </c>
      <c r="AI1717" s="69" t="e" cm="1">
        <f t="array" ref="AI1717">_xlfn.XLOOKUP(Table1[[#This Row],[5 cm2 cell test code]:[5 cm2 cell test code]],[1]!Table1[[Test code]:[Test code]],[1]!Table1[Q_int_frac DIW 10 mM KOH],"",0)</f>
        <v>#REF!</v>
      </c>
      <c r="AJ1717" s="69" t="e" cm="1">
        <f t="array" ref="AJ1717">_xlfn.XLOOKUP(Table1[[#This Row],[5 cm2 cell test code]:[5 cm2 cell test code]],[1]!Table1[[Test code]:[Test code]],[1]!Table1[DIW conductivity (µS/cm)],"",0)</f>
        <v>#REF!</v>
      </c>
    </row>
    <row r="1718" spans="1:36">
      <c r="A1718" s="81"/>
      <c r="U1718" s="101"/>
      <c r="V1718" s="101"/>
      <c r="W1718" s="69" t="e" cm="1">
        <f t="array" ref="W1718">_xlfn.XLOOKUP(Table1[[#This Row],[5 cm2 cell test code]:[5 cm2 cell test code]],[1]!Table1[[Test code]:[Test code]],[1]!Table1[i @ 1.8 V DIW (A/cm2)],"",0)</f>
        <v>#REF!</v>
      </c>
      <c r="X1718" s="69" t="e" cm="1">
        <f t="array" ref="X1718">_xlfn.XLOOKUP(Table1[[#This Row],[5 cm2 cell test code]:[5 cm2 cell test code]],[1]!Table1[[Test code]:[Test code]],[1]!Table1[i @ 1.8 V 10 mM KOH (A/cm2)],"",0)</f>
        <v>#REF!</v>
      </c>
      <c r="Y1718" s="69" t="e" cm="1">
        <f t="array" ref="Y1718">_xlfn.XLOOKUP(Table1[[#This Row],[5 cm2 cell test code]:[5 cm2 cell test code]],[1]!Table1[[Test code]:[Test code]],[1]!Table1[3-E ƞ at 20mAcm-2 (mV)],"",0)</f>
        <v>#REF!</v>
      </c>
      <c r="Z1718" s="69" t="e" cm="1">
        <f t="array" ref="Z1718">_xlfn.XLOOKUP(Table1[[#This Row],[5 cm2 cell test code]:[5 cm2 cell test code]],[1]!Table1[[Test code]:[Test code]],[1]!Table1[3-E Tafel slope (mV/dec)],"",0)</f>
        <v>#REF!</v>
      </c>
      <c r="AA1718" s="69" t="e" cm="1">
        <f t="array" ref="AA1718">_xlfn.XLOOKUP(Table1[[#This Row],[5 cm2 cell test code]:[5 cm2 cell test code]],[1]!Table1[[Test code]:[Test code]],[1]!Table1[E @ 100 mA/cm2 DIW/V],"",0)</f>
        <v>#REF!</v>
      </c>
      <c r="AB1718" s="69" t="e" cm="1">
        <f t="array" ref="AB1718">_xlfn.XLOOKUP(Table1[[#This Row],[5 cm2 cell test code]:[5 cm2 cell test code]],[1]!Table1[[Test code]:[Test code]],[1]!Table1[E @ 100 mA/cm2 10 mM KOH/V],"",0)</f>
        <v>#REF!</v>
      </c>
      <c r="AC1718" s="69" t="e" cm="1">
        <f t="array" ref="AC1718">_xlfn.XLOOKUP(Table1[[#This Row],[5 cm2 cell test code]:[5 cm2 cell test code]],[1]!Table1[[Test code]:[Test code]],[1]!Table1[Anode ICR/mOhm],"",0)</f>
        <v>#REF!</v>
      </c>
      <c r="AD1718" s="69" t="e" cm="1">
        <f t="array" ref="AD1718">_xlfn.XLOOKUP(Table1[[#This Row],[5 cm2 cell test code]:[5 cm2 cell test code]],[1]!Table1[[Test code]:[Test code]],[1]!Table1[HFR DIW/ mOhm cm2],"",0)</f>
        <v>#REF!</v>
      </c>
      <c r="AE1718" s="69" t="e" cm="1">
        <f t="array" ref="AE1718">_xlfn.XLOOKUP(Table1[[#This Row],[5 cm2 cell test code]:[5 cm2 cell test code]],[1]!Table1[[Test code]:[Test code]],[1]!Table1[HFR 10 mM KOH/ mOhm cm2],"",0)</f>
        <v>#REF!</v>
      </c>
      <c r="AF1718" s="69" t="e" cm="1">
        <f t="array" ref="AF1718">_xlfn.XLOOKUP(Table1[[#This Row],[5 cm2 cell test code]:[5 cm2 cell test code]],[1]!Table1[[Test code]:[Test code]],[1]!Table1[Ionic resistance DIW/Ohm cm2],"",0)</f>
        <v>#REF!</v>
      </c>
      <c r="AG1718" s="69" t="e" cm="1">
        <f t="array" ref="AG1718">_xlfn.XLOOKUP(Table1[[#This Row],[5 cm2 cell test code]:[5 cm2 cell test code]],[1]!Table1[[Test code]:[Test code]],[1]!Table1[Q_int_frac DIW],"",0)</f>
        <v>#REF!</v>
      </c>
      <c r="AH1718" s="69" t="e" cm="1">
        <f t="array" ref="AH1718">_xlfn.XLOOKUP(Table1[[#This Row],[5 cm2 cell test code]:[5 cm2 cell test code]],[1]!Table1[[Test code]:[Test code]],[1]!Table1[Ionic resistance 10 mM KOH/Ohm cm2],"",0)</f>
        <v>#REF!</v>
      </c>
      <c r="AI1718" s="69" t="e" cm="1">
        <f t="array" ref="AI1718">_xlfn.XLOOKUP(Table1[[#This Row],[5 cm2 cell test code]:[5 cm2 cell test code]],[1]!Table1[[Test code]:[Test code]],[1]!Table1[Q_int_frac DIW 10 mM KOH],"",0)</f>
        <v>#REF!</v>
      </c>
      <c r="AJ1718" s="69" t="e" cm="1">
        <f t="array" ref="AJ1718">_xlfn.XLOOKUP(Table1[[#This Row],[5 cm2 cell test code]:[5 cm2 cell test code]],[1]!Table1[[Test code]:[Test code]],[1]!Table1[DIW conductivity (µS/cm)],"",0)</f>
        <v>#REF!</v>
      </c>
    </row>
    <row r="1719" spans="1:36">
      <c r="A1719" s="81"/>
      <c r="U1719" s="101"/>
      <c r="V1719" s="101"/>
      <c r="W1719" s="69" t="e" cm="1">
        <f t="array" ref="W1719">_xlfn.XLOOKUP(Table1[[#This Row],[5 cm2 cell test code]:[5 cm2 cell test code]],[1]!Table1[[Test code]:[Test code]],[1]!Table1[i @ 1.8 V DIW (A/cm2)],"",0)</f>
        <v>#REF!</v>
      </c>
      <c r="X1719" s="69" t="e" cm="1">
        <f t="array" ref="X1719">_xlfn.XLOOKUP(Table1[[#This Row],[5 cm2 cell test code]:[5 cm2 cell test code]],[1]!Table1[[Test code]:[Test code]],[1]!Table1[i @ 1.8 V 10 mM KOH (A/cm2)],"",0)</f>
        <v>#REF!</v>
      </c>
      <c r="Y1719" s="69" t="e" cm="1">
        <f t="array" ref="Y1719">_xlfn.XLOOKUP(Table1[[#This Row],[5 cm2 cell test code]:[5 cm2 cell test code]],[1]!Table1[[Test code]:[Test code]],[1]!Table1[3-E ƞ at 20mAcm-2 (mV)],"",0)</f>
        <v>#REF!</v>
      </c>
      <c r="Z1719" s="69" t="e" cm="1">
        <f t="array" ref="Z1719">_xlfn.XLOOKUP(Table1[[#This Row],[5 cm2 cell test code]:[5 cm2 cell test code]],[1]!Table1[[Test code]:[Test code]],[1]!Table1[3-E Tafel slope (mV/dec)],"",0)</f>
        <v>#REF!</v>
      </c>
      <c r="AA1719" s="69" t="e" cm="1">
        <f t="array" ref="AA1719">_xlfn.XLOOKUP(Table1[[#This Row],[5 cm2 cell test code]:[5 cm2 cell test code]],[1]!Table1[[Test code]:[Test code]],[1]!Table1[E @ 100 mA/cm2 DIW/V],"",0)</f>
        <v>#REF!</v>
      </c>
      <c r="AB1719" s="69" t="e" cm="1">
        <f t="array" ref="AB1719">_xlfn.XLOOKUP(Table1[[#This Row],[5 cm2 cell test code]:[5 cm2 cell test code]],[1]!Table1[[Test code]:[Test code]],[1]!Table1[E @ 100 mA/cm2 10 mM KOH/V],"",0)</f>
        <v>#REF!</v>
      </c>
      <c r="AC1719" s="69" t="e" cm="1">
        <f t="array" ref="AC1719">_xlfn.XLOOKUP(Table1[[#This Row],[5 cm2 cell test code]:[5 cm2 cell test code]],[1]!Table1[[Test code]:[Test code]],[1]!Table1[Anode ICR/mOhm],"",0)</f>
        <v>#REF!</v>
      </c>
      <c r="AD1719" s="69" t="e" cm="1">
        <f t="array" ref="AD1719">_xlfn.XLOOKUP(Table1[[#This Row],[5 cm2 cell test code]:[5 cm2 cell test code]],[1]!Table1[[Test code]:[Test code]],[1]!Table1[HFR DIW/ mOhm cm2],"",0)</f>
        <v>#REF!</v>
      </c>
      <c r="AE1719" s="69" t="e" cm="1">
        <f t="array" ref="AE1719">_xlfn.XLOOKUP(Table1[[#This Row],[5 cm2 cell test code]:[5 cm2 cell test code]],[1]!Table1[[Test code]:[Test code]],[1]!Table1[HFR 10 mM KOH/ mOhm cm2],"",0)</f>
        <v>#REF!</v>
      </c>
      <c r="AF1719" s="69" t="e" cm="1">
        <f t="array" ref="AF1719">_xlfn.XLOOKUP(Table1[[#This Row],[5 cm2 cell test code]:[5 cm2 cell test code]],[1]!Table1[[Test code]:[Test code]],[1]!Table1[Ionic resistance DIW/Ohm cm2],"",0)</f>
        <v>#REF!</v>
      </c>
      <c r="AG1719" s="69" t="e" cm="1">
        <f t="array" ref="AG1719">_xlfn.XLOOKUP(Table1[[#This Row],[5 cm2 cell test code]:[5 cm2 cell test code]],[1]!Table1[[Test code]:[Test code]],[1]!Table1[Q_int_frac DIW],"",0)</f>
        <v>#REF!</v>
      </c>
      <c r="AH1719" s="69" t="e" cm="1">
        <f t="array" ref="AH1719">_xlfn.XLOOKUP(Table1[[#This Row],[5 cm2 cell test code]:[5 cm2 cell test code]],[1]!Table1[[Test code]:[Test code]],[1]!Table1[Ionic resistance 10 mM KOH/Ohm cm2],"",0)</f>
        <v>#REF!</v>
      </c>
      <c r="AI1719" s="69" t="e" cm="1">
        <f t="array" ref="AI1719">_xlfn.XLOOKUP(Table1[[#This Row],[5 cm2 cell test code]:[5 cm2 cell test code]],[1]!Table1[[Test code]:[Test code]],[1]!Table1[Q_int_frac DIW 10 mM KOH],"",0)</f>
        <v>#REF!</v>
      </c>
      <c r="AJ1719" s="69" t="e" cm="1">
        <f t="array" ref="AJ1719">_xlfn.XLOOKUP(Table1[[#This Row],[5 cm2 cell test code]:[5 cm2 cell test code]],[1]!Table1[[Test code]:[Test code]],[1]!Table1[DIW conductivity (µS/cm)],"",0)</f>
        <v>#REF!</v>
      </c>
    </row>
    <row r="1720" spans="1:36">
      <c r="A1720" s="81"/>
      <c r="U1720" s="101"/>
      <c r="V1720" s="101"/>
      <c r="W1720" s="69" t="e" cm="1">
        <f t="array" ref="W1720">_xlfn.XLOOKUP(Table1[[#This Row],[5 cm2 cell test code]:[5 cm2 cell test code]],[1]!Table1[[Test code]:[Test code]],[1]!Table1[i @ 1.8 V DIW (A/cm2)],"",0)</f>
        <v>#REF!</v>
      </c>
      <c r="X1720" s="69" t="e" cm="1">
        <f t="array" ref="X1720">_xlfn.XLOOKUP(Table1[[#This Row],[5 cm2 cell test code]:[5 cm2 cell test code]],[1]!Table1[[Test code]:[Test code]],[1]!Table1[i @ 1.8 V 10 mM KOH (A/cm2)],"",0)</f>
        <v>#REF!</v>
      </c>
      <c r="Y1720" s="69" t="e" cm="1">
        <f t="array" ref="Y1720">_xlfn.XLOOKUP(Table1[[#This Row],[5 cm2 cell test code]:[5 cm2 cell test code]],[1]!Table1[[Test code]:[Test code]],[1]!Table1[3-E ƞ at 20mAcm-2 (mV)],"",0)</f>
        <v>#REF!</v>
      </c>
      <c r="Z1720" s="69" t="e" cm="1">
        <f t="array" ref="Z1720">_xlfn.XLOOKUP(Table1[[#This Row],[5 cm2 cell test code]:[5 cm2 cell test code]],[1]!Table1[[Test code]:[Test code]],[1]!Table1[3-E Tafel slope (mV/dec)],"",0)</f>
        <v>#REF!</v>
      </c>
      <c r="AA1720" s="69" t="e" cm="1">
        <f t="array" ref="AA1720">_xlfn.XLOOKUP(Table1[[#This Row],[5 cm2 cell test code]:[5 cm2 cell test code]],[1]!Table1[[Test code]:[Test code]],[1]!Table1[E @ 100 mA/cm2 DIW/V],"",0)</f>
        <v>#REF!</v>
      </c>
      <c r="AB1720" s="69" t="e" cm="1">
        <f t="array" ref="AB1720">_xlfn.XLOOKUP(Table1[[#This Row],[5 cm2 cell test code]:[5 cm2 cell test code]],[1]!Table1[[Test code]:[Test code]],[1]!Table1[E @ 100 mA/cm2 10 mM KOH/V],"",0)</f>
        <v>#REF!</v>
      </c>
      <c r="AC1720" s="69" t="e" cm="1">
        <f t="array" ref="AC1720">_xlfn.XLOOKUP(Table1[[#This Row],[5 cm2 cell test code]:[5 cm2 cell test code]],[1]!Table1[[Test code]:[Test code]],[1]!Table1[Anode ICR/mOhm],"",0)</f>
        <v>#REF!</v>
      </c>
      <c r="AD1720" s="69" t="e" cm="1">
        <f t="array" ref="AD1720">_xlfn.XLOOKUP(Table1[[#This Row],[5 cm2 cell test code]:[5 cm2 cell test code]],[1]!Table1[[Test code]:[Test code]],[1]!Table1[HFR DIW/ mOhm cm2],"",0)</f>
        <v>#REF!</v>
      </c>
      <c r="AE1720" s="69" t="e" cm="1">
        <f t="array" ref="AE1720">_xlfn.XLOOKUP(Table1[[#This Row],[5 cm2 cell test code]:[5 cm2 cell test code]],[1]!Table1[[Test code]:[Test code]],[1]!Table1[HFR 10 mM KOH/ mOhm cm2],"",0)</f>
        <v>#REF!</v>
      </c>
      <c r="AF1720" s="69" t="e" cm="1">
        <f t="array" ref="AF1720">_xlfn.XLOOKUP(Table1[[#This Row],[5 cm2 cell test code]:[5 cm2 cell test code]],[1]!Table1[[Test code]:[Test code]],[1]!Table1[Ionic resistance DIW/Ohm cm2],"",0)</f>
        <v>#REF!</v>
      </c>
      <c r="AG1720" s="69" t="e" cm="1">
        <f t="array" ref="AG1720">_xlfn.XLOOKUP(Table1[[#This Row],[5 cm2 cell test code]:[5 cm2 cell test code]],[1]!Table1[[Test code]:[Test code]],[1]!Table1[Q_int_frac DIW],"",0)</f>
        <v>#REF!</v>
      </c>
      <c r="AH1720" s="69" t="e" cm="1">
        <f t="array" ref="AH1720">_xlfn.XLOOKUP(Table1[[#This Row],[5 cm2 cell test code]:[5 cm2 cell test code]],[1]!Table1[[Test code]:[Test code]],[1]!Table1[Ionic resistance 10 mM KOH/Ohm cm2],"",0)</f>
        <v>#REF!</v>
      </c>
      <c r="AI1720" s="69" t="e" cm="1">
        <f t="array" ref="AI1720">_xlfn.XLOOKUP(Table1[[#This Row],[5 cm2 cell test code]:[5 cm2 cell test code]],[1]!Table1[[Test code]:[Test code]],[1]!Table1[Q_int_frac DIW 10 mM KOH],"",0)</f>
        <v>#REF!</v>
      </c>
      <c r="AJ1720" s="69" t="e" cm="1">
        <f t="array" ref="AJ1720">_xlfn.XLOOKUP(Table1[[#This Row],[5 cm2 cell test code]:[5 cm2 cell test code]],[1]!Table1[[Test code]:[Test code]],[1]!Table1[DIW conductivity (µS/cm)],"",0)</f>
        <v>#REF!</v>
      </c>
    </row>
    <row r="1721" spans="1:36">
      <c r="A1721" s="81"/>
      <c r="U1721" s="101"/>
      <c r="V1721" s="101"/>
      <c r="W1721" s="69" t="e" cm="1">
        <f t="array" ref="W1721">_xlfn.XLOOKUP(Table1[[#This Row],[5 cm2 cell test code]:[5 cm2 cell test code]],[1]!Table1[[Test code]:[Test code]],[1]!Table1[i @ 1.8 V DIW (A/cm2)],"",0)</f>
        <v>#REF!</v>
      </c>
      <c r="X1721" s="69" t="e" cm="1">
        <f t="array" ref="X1721">_xlfn.XLOOKUP(Table1[[#This Row],[5 cm2 cell test code]:[5 cm2 cell test code]],[1]!Table1[[Test code]:[Test code]],[1]!Table1[i @ 1.8 V 10 mM KOH (A/cm2)],"",0)</f>
        <v>#REF!</v>
      </c>
      <c r="Y1721" s="69" t="e" cm="1">
        <f t="array" ref="Y1721">_xlfn.XLOOKUP(Table1[[#This Row],[5 cm2 cell test code]:[5 cm2 cell test code]],[1]!Table1[[Test code]:[Test code]],[1]!Table1[3-E ƞ at 20mAcm-2 (mV)],"",0)</f>
        <v>#REF!</v>
      </c>
      <c r="Z1721" s="69" t="e" cm="1">
        <f t="array" ref="Z1721">_xlfn.XLOOKUP(Table1[[#This Row],[5 cm2 cell test code]:[5 cm2 cell test code]],[1]!Table1[[Test code]:[Test code]],[1]!Table1[3-E Tafel slope (mV/dec)],"",0)</f>
        <v>#REF!</v>
      </c>
      <c r="AA1721" s="69" t="e" cm="1">
        <f t="array" ref="AA1721">_xlfn.XLOOKUP(Table1[[#This Row],[5 cm2 cell test code]:[5 cm2 cell test code]],[1]!Table1[[Test code]:[Test code]],[1]!Table1[E @ 100 mA/cm2 DIW/V],"",0)</f>
        <v>#REF!</v>
      </c>
      <c r="AB1721" s="69" t="e" cm="1">
        <f t="array" ref="AB1721">_xlfn.XLOOKUP(Table1[[#This Row],[5 cm2 cell test code]:[5 cm2 cell test code]],[1]!Table1[[Test code]:[Test code]],[1]!Table1[E @ 100 mA/cm2 10 mM KOH/V],"",0)</f>
        <v>#REF!</v>
      </c>
      <c r="AC1721" s="69" t="e" cm="1">
        <f t="array" ref="AC1721">_xlfn.XLOOKUP(Table1[[#This Row],[5 cm2 cell test code]:[5 cm2 cell test code]],[1]!Table1[[Test code]:[Test code]],[1]!Table1[Anode ICR/mOhm],"",0)</f>
        <v>#REF!</v>
      </c>
      <c r="AD1721" s="69" t="e" cm="1">
        <f t="array" ref="AD1721">_xlfn.XLOOKUP(Table1[[#This Row],[5 cm2 cell test code]:[5 cm2 cell test code]],[1]!Table1[[Test code]:[Test code]],[1]!Table1[HFR DIW/ mOhm cm2],"",0)</f>
        <v>#REF!</v>
      </c>
      <c r="AE1721" s="69" t="e" cm="1">
        <f t="array" ref="AE1721">_xlfn.XLOOKUP(Table1[[#This Row],[5 cm2 cell test code]:[5 cm2 cell test code]],[1]!Table1[[Test code]:[Test code]],[1]!Table1[HFR 10 mM KOH/ mOhm cm2],"",0)</f>
        <v>#REF!</v>
      </c>
      <c r="AF1721" s="69" t="e" cm="1">
        <f t="array" ref="AF1721">_xlfn.XLOOKUP(Table1[[#This Row],[5 cm2 cell test code]:[5 cm2 cell test code]],[1]!Table1[[Test code]:[Test code]],[1]!Table1[Ionic resistance DIW/Ohm cm2],"",0)</f>
        <v>#REF!</v>
      </c>
      <c r="AG1721" s="69" t="e" cm="1">
        <f t="array" ref="AG1721">_xlfn.XLOOKUP(Table1[[#This Row],[5 cm2 cell test code]:[5 cm2 cell test code]],[1]!Table1[[Test code]:[Test code]],[1]!Table1[Q_int_frac DIW],"",0)</f>
        <v>#REF!</v>
      </c>
      <c r="AH1721" s="69" t="e" cm="1">
        <f t="array" ref="AH1721">_xlfn.XLOOKUP(Table1[[#This Row],[5 cm2 cell test code]:[5 cm2 cell test code]],[1]!Table1[[Test code]:[Test code]],[1]!Table1[Ionic resistance 10 mM KOH/Ohm cm2],"",0)</f>
        <v>#REF!</v>
      </c>
      <c r="AI1721" s="69" t="e" cm="1">
        <f t="array" ref="AI1721">_xlfn.XLOOKUP(Table1[[#This Row],[5 cm2 cell test code]:[5 cm2 cell test code]],[1]!Table1[[Test code]:[Test code]],[1]!Table1[Q_int_frac DIW 10 mM KOH],"",0)</f>
        <v>#REF!</v>
      </c>
      <c r="AJ1721" s="69" t="e" cm="1">
        <f t="array" ref="AJ1721">_xlfn.XLOOKUP(Table1[[#This Row],[5 cm2 cell test code]:[5 cm2 cell test code]],[1]!Table1[[Test code]:[Test code]],[1]!Table1[DIW conductivity (µS/cm)],"",0)</f>
        <v>#REF!</v>
      </c>
    </row>
    <row r="1722" spans="1:36">
      <c r="A1722" s="81"/>
      <c r="U1722" s="101"/>
      <c r="V1722" s="101"/>
      <c r="W1722" s="69" t="e" cm="1">
        <f t="array" ref="W1722">_xlfn.XLOOKUP(Table1[[#This Row],[5 cm2 cell test code]:[5 cm2 cell test code]],[1]!Table1[[Test code]:[Test code]],[1]!Table1[i @ 1.8 V DIW (A/cm2)],"",0)</f>
        <v>#REF!</v>
      </c>
      <c r="X1722" s="69" t="e" cm="1">
        <f t="array" ref="X1722">_xlfn.XLOOKUP(Table1[[#This Row],[5 cm2 cell test code]:[5 cm2 cell test code]],[1]!Table1[[Test code]:[Test code]],[1]!Table1[i @ 1.8 V 10 mM KOH (A/cm2)],"",0)</f>
        <v>#REF!</v>
      </c>
      <c r="Y1722" s="69" t="e" cm="1">
        <f t="array" ref="Y1722">_xlfn.XLOOKUP(Table1[[#This Row],[5 cm2 cell test code]:[5 cm2 cell test code]],[1]!Table1[[Test code]:[Test code]],[1]!Table1[3-E ƞ at 20mAcm-2 (mV)],"",0)</f>
        <v>#REF!</v>
      </c>
      <c r="Z1722" s="69" t="e" cm="1">
        <f t="array" ref="Z1722">_xlfn.XLOOKUP(Table1[[#This Row],[5 cm2 cell test code]:[5 cm2 cell test code]],[1]!Table1[[Test code]:[Test code]],[1]!Table1[3-E Tafel slope (mV/dec)],"",0)</f>
        <v>#REF!</v>
      </c>
      <c r="AA1722" s="69" t="e" cm="1">
        <f t="array" ref="AA1722">_xlfn.XLOOKUP(Table1[[#This Row],[5 cm2 cell test code]:[5 cm2 cell test code]],[1]!Table1[[Test code]:[Test code]],[1]!Table1[E @ 100 mA/cm2 DIW/V],"",0)</f>
        <v>#REF!</v>
      </c>
      <c r="AB1722" s="69" t="e" cm="1">
        <f t="array" ref="AB1722">_xlfn.XLOOKUP(Table1[[#This Row],[5 cm2 cell test code]:[5 cm2 cell test code]],[1]!Table1[[Test code]:[Test code]],[1]!Table1[E @ 100 mA/cm2 10 mM KOH/V],"",0)</f>
        <v>#REF!</v>
      </c>
      <c r="AC1722" s="69" t="e" cm="1">
        <f t="array" ref="AC1722">_xlfn.XLOOKUP(Table1[[#This Row],[5 cm2 cell test code]:[5 cm2 cell test code]],[1]!Table1[[Test code]:[Test code]],[1]!Table1[Anode ICR/mOhm],"",0)</f>
        <v>#REF!</v>
      </c>
      <c r="AD1722" s="69" t="e" cm="1">
        <f t="array" ref="AD1722">_xlfn.XLOOKUP(Table1[[#This Row],[5 cm2 cell test code]:[5 cm2 cell test code]],[1]!Table1[[Test code]:[Test code]],[1]!Table1[HFR DIW/ mOhm cm2],"",0)</f>
        <v>#REF!</v>
      </c>
      <c r="AE1722" s="69" t="e" cm="1">
        <f t="array" ref="AE1722">_xlfn.XLOOKUP(Table1[[#This Row],[5 cm2 cell test code]:[5 cm2 cell test code]],[1]!Table1[[Test code]:[Test code]],[1]!Table1[HFR 10 mM KOH/ mOhm cm2],"",0)</f>
        <v>#REF!</v>
      </c>
      <c r="AF1722" s="69" t="e" cm="1">
        <f t="array" ref="AF1722">_xlfn.XLOOKUP(Table1[[#This Row],[5 cm2 cell test code]:[5 cm2 cell test code]],[1]!Table1[[Test code]:[Test code]],[1]!Table1[Ionic resistance DIW/Ohm cm2],"",0)</f>
        <v>#REF!</v>
      </c>
      <c r="AG1722" s="69" t="e" cm="1">
        <f t="array" ref="AG1722">_xlfn.XLOOKUP(Table1[[#This Row],[5 cm2 cell test code]:[5 cm2 cell test code]],[1]!Table1[[Test code]:[Test code]],[1]!Table1[Q_int_frac DIW],"",0)</f>
        <v>#REF!</v>
      </c>
      <c r="AH1722" s="69" t="e" cm="1">
        <f t="array" ref="AH1722">_xlfn.XLOOKUP(Table1[[#This Row],[5 cm2 cell test code]:[5 cm2 cell test code]],[1]!Table1[[Test code]:[Test code]],[1]!Table1[Ionic resistance 10 mM KOH/Ohm cm2],"",0)</f>
        <v>#REF!</v>
      </c>
      <c r="AI1722" s="69" t="e" cm="1">
        <f t="array" ref="AI1722">_xlfn.XLOOKUP(Table1[[#This Row],[5 cm2 cell test code]:[5 cm2 cell test code]],[1]!Table1[[Test code]:[Test code]],[1]!Table1[Q_int_frac DIW 10 mM KOH],"",0)</f>
        <v>#REF!</v>
      </c>
      <c r="AJ1722" s="69" t="e" cm="1">
        <f t="array" ref="AJ1722">_xlfn.XLOOKUP(Table1[[#This Row],[5 cm2 cell test code]:[5 cm2 cell test code]],[1]!Table1[[Test code]:[Test code]],[1]!Table1[DIW conductivity (µS/cm)],"",0)</f>
        <v>#REF!</v>
      </c>
    </row>
    <row r="1723" spans="1:36">
      <c r="A1723" s="81"/>
      <c r="U1723" s="101"/>
      <c r="V1723" s="101"/>
      <c r="W1723" s="69" t="e" cm="1">
        <f t="array" ref="W1723">_xlfn.XLOOKUP(Table1[[#This Row],[5 cm2 cell test code]:[5 cm2 cell test code]],[1]!Table1[[Test code]:[Test code]],[1]!Table1[i @ 1.8 V DIW (A/cm2)],"",0)</f>
        <v>#REF!</v>
      </c>
      <c r="X1723" s="69" t="e" cm="1">
        <f t="array" ref="X1723">_xlfn.XLOOKUP(Table1[[#This Row],[5 cm2 cell test code]:[5 cm2 cell test code]],[1]!Table1[[Test code]:[Test code]],[1]!Table1[i @ 1.8 V 10 mM KOH (A/cm2)],"",0)</f>
        <v>#REF!</v>
      </c>
      <c r="Y1723" s="69" t="e" cm="1">
        <f t="array" ref="Y1723">_xlfn.XLOOKUP(Table1[[#This Row],[5 cm2 cell test code]:[5 cm2 cell test code]],[1]!Table1[[Test code]:[Test code]],[1]!Table1[3-E ƞ at 20mAcm-2 (mV)],"",0)</f>
        <v>#REF!</v>
      </c>
      <c r="Z1723" s="69" t="e" cm="1">
        <f t="array" ref="Z1723">_xlfn.XLOOKUP(Table1[[#This Row],[5 cm2 cell test code]:[5 cm2 cell test code]],[1]!Table1[[Test code]:[Test code]],[1]!Table1[3-E Tafel slope (mV/dec)],"",0)</f>
        <v>#REF!</v>
      </c>
      <c r="AA1723" s="69" t="e" cm="1">
        <f t="array" ref="AA1723">_xlfn.XLOOKUP(Table1[[#This Row],[5 cm2 cell test code]:[5 cm2 cell test code]],[1]!Table1[[Test code]:[Test code]],[1]!Table1[E @ 100 mA/cm2 DIW/V],"",0)</f>
        <v>#REF!</v>
      </c>
      <c r="AB1723" s="69" t="e" cm="1">
        <f t="array" ref="AB1723">_xlfn.XLOOKUP(Table1[[#This Row],[5 cm2 cell test code]:[5 cm2 cell test code]],[1]!Table1[[Test code]:[Test code]],[1]!Table1[E @ 100 mA/cm2 10 mM KOH/V],"",0)</f>
        <v>#REF!</v>
      </c>
      <c r="AC1723" s="69" t="e" cm="1">
        <f t="array" ref="AC1723">_xlfn.XLOOKUP(Table1[[#This Row],[5 cm2 cell test code]:[5 cm2 cell test code]],[1]!Table1[[Test code]:[Test code]],[1]!Table1[Anode ICR/mOhm],"",0)</f>
        <v>#REF!</v>
      </c>
      <c r="AD1723" s="69" t="e" cm="1">
        <f t="array" ref="AD1723">_xlfn.XLOOKUP(Table1[[#This Row],[5 cm2 cell test code]:[5 cm2 cell test code]],[1]!Table1[[Test code]:[Test code]],[1]!Table1[HFR DIW/ mOhm cm2],"",0)</f>
        <v>#REF!</v>
      </c>
      <c r="AE1723" s="69" t="e" cm="1">
        <f t="array" ref="AE1723">_xlfn.XLOOKUP(Table1[[#This Row],[5 cm2 cell test code]:[5 cm2 cell test code]],[1]!Table1[[Test code]:[Test code]],[1]!Table1[HFR 10 mM KOH/ mOhm cm2],"",0)</f>
        <v>#REF!</v>
      </c>
      <c r="AF1723" s="69" t="e" cm="1">
        <f t="array" ref="AF1723">_xlfn.XLOOKUP(Table1[[#This Row],[5 cm2 cell test code]:[5 cm2 cell test code]],[1]!Table1[[Test code]:[Test code]],[1]!Table1[Ionic resistance DIW/Ohm cm2],"",0)</f>
        <v>#REF!</v>
      </c>
      <c r="AG1723" s="69" t="e" cm="1">
        <f t="array" ref="AG1723">_xlfn.XLOOKUP(Table1[[#This Row],[5 cm2 cell test code]:[5 cm2 cell test code]],[1]!Table1[[Test code]:[Test code]],[1]!Table1[Q_int_frac DIW],"",0)</f>
        <v>#REF!</v>
      </c>
      <c r="AH1723" s="69" t="e" cm="1">
        <f t="array" ref="AH1723">_xlfn.XLOOKUP(Table1[[#This Row],[5 cm2 cell test code]:[5 cm2 cell test code]],[1]!Table1[[Test code]:[Test code]],[1]!Table1[Ionic resistance 10 mM KOH/Ohm cm2],"",0)</f>
        <v>#REF!</v>
      </c>
      <c r="AI1723" s="69" t="e" cm="1">
        <f t="array" ref="AI1723">_xlfn.XLOOKUP(Table1[[#This Row],[5 cm2 cell test code]:[5 cm2 cell test code]],[1]!Table1[[Test code]:[Test code]],[1]!Table1[Q_int_frac DIW 10 mM KOH],"",0)</f>
        <v>#REF!</v>
      </c>
      <c r="AJ1723" s="69" t="e" cm="1">
        <f t="array" ref="AJ1723">_xlfn.XLOOKUP(Table1[[#This Row],[5 cm2 cell test code]:[5 cm2 cell test code]],[1]!Table1[[Test code]:[Test code]],[1]!Table1[DIW conductivity (µS/cm)],"",0)</f>
        <v>#REF!</v>
      </c>
    </row>
    <row r="1724" spans="1:36">
      <c r="A1724" s="81"/>
      <c r="U1724" s="101"/>
      <c r="V1724" s="101"/>
      <c r="W1724" s="69" t="e" cm="1">
        <f t="array" ref="W1724">_xlfn.XLOOKUP(Table1[[#This Row],[5 cm2 cell test code]:[5 cm2 cell test code]],[1]!Table1[[Test code]:[Test code]],[1]!Table1[i @ 1.8 V DIW (A/cm2)],"",0)</f>
        <v>#REF!</v>
      </c>
      <c r="X1724" s="69" t="e" cm="1">
        <f t="array" ref="X1724">_xlfn.XLOOKUP(Table1[[#This Row],[5 cm2 cell test code]:[5 cm2 cell test code]],[1]!Table1[[Test code]:[Test code]],[1]!Table1[i @ 1.8 V 10 mM KOH (A/cm2)],"",0)</f>
        <v>#REF!</v>
      </c>
      <c r="Y1724" s="69" t="e" cm="1">
        <f t="array" ref="Y1724">_xlfn.XLOOKUP(Table1[[#This Row],[5 cm2 cell test code]:[5 cm2 cell test code]],[1]!Table1[[Test code]:[Test code]],[1]!Table1[3-E ƞ at 20mAcm-2 (mV)],"",0)</f>
        <v>#REF!</v>
      </c>
      <c r="Z1724" s="69" t="e" cm="1">
        <f t="array" ref="Z1724">_xlfn.XLOOKUP(Table1[[#This Row],[5 cm2 cell test code]:[5 cm2 cell test code]],[1]!Table1[[Test code]:[Test code]],[1]!Table1[3-E Tafel slope (mV/dec)],"",0)</f>
        <v>#REF!</v>
      </c>
      <c r="AA1724" s="69" t="e" cm="1">
        <f t="array" ref="AA1724">_xlfn.XLOOKUP(Table1[[#This Row],[5 cm2 cell test code]:[5 cm2 cell test code]],[1]!Table1[[Test code]:[Test code]],[1]!Table1[E @ 100 mA/cm2 DIW/V],"",0)</f>
        <v>#REF!</v>
      </c>
      <c r="AB1724" s="69" t="e" cm="1">
        <f t="array" ref="AB1724">_xlfn.XLOOKUP(Table1[[#This Row],[5 cm2 cell test code]:[5 cm2 cell test code]],[1]!Table1[[Test code]:[Test code]],[1]!Table1[E @ 100 mA/cm2 10 mM KOH/V],"",0)</f>
        <v>#REF!</v>
      </c>
      <c r="AC1724" s="69" t="e" cm="1">
        <f t="array" ref="AC1724">_xlfn.XLOOKUP(Table1[[#This Row],[5 cm2 cell test code]:[5 cm2 cell test code]],[1]!Table1[[Test code]:[Test code]],[1]!Table1[Anode ICR/mOhm],"",0)</f>
        <v>#REF!</v>
      </c>
      <c r="AD1724" s="69" t="e" cm="1">
        <f t="array" ref="AD1724">_xlfn.XLOOKUP(Table1[[#This Row],[5 cm2 cell test code]:[5 cm2 cell test code]],[1]!Table1[[Test code]:[Test code]],[1]!Table1[HFR DIW/ mOhm cm2],"",0)</f>
        <v>#REF!</v>
      </c>
      <c r="AE1724" s="69" t="e" cm="1">
        <f t="array" ref="AE1724">_xlfn.XLOOKUP(Table1[[#This Row],[5 cm2 cell test code]:[5 cm2 cell test code]],[1]!Table1[[Test code]:[Test code]],[1]!Table1[HFR 10 mM KOH/ mOhm cm2],"",0)</f>
        <v>#REF!</v>
      </c>
      <c r="AF1724" s="69" t="e" cm="1">
        <f t="array" ref="AF1724">_xlfn.XLOOKUP(Table1[[#This Row],[5 cm2 cell test code]:[5 cm2 cell test code]],[1]!Table1[[Test code]:[Test code]],[1]!Table1[Ionic resistance DIW/Ohm cm2],"",0)</f>
        <v>#REF!</v>
      </c>
      <c r="AG1724" s="69" t="e" cm="1">
        <f t="array" ref="AG1724">_xlfn.XLOOKUP(Table1[[#This Row],[5 cm2 cell test code]:[5 cm2 cell test code]],[1]!Table1[[Test code]:[Test code]],[1]!Table1[Q_int_frac DIW],"",0)</f>
        <v>#REF!</v>
      </c>
      <c r="AH1724" s="69" t="e" cm="1">
        <f t="array" ref="AH1724">_xlfn.XLOOKUP(Table1[[#This Row],[5 cm2 cell test code]:[5 cm2 cell test code]],[1]!Table1[[Test code]:[Test code]],[1]!Table1[Ionic resistance 10 mM KOH/Ohm cm2],"",0)</f>
        <v>#REF!</v>
      </c>
      <c r="AI1724" s="69" t="e" cm="1">
        <f t="array" ref="AI1724">_xlfn.XLOOKUP(Table1[[#This Row],[5 cm2 cell test code]:[5 cm2 cell test code]],[1]!Table1[[Test code]:[Test code]],[1]!Table1[Q_int_frac DIW 10 mM KOH],"",0)</f>
        <v>#REF!</v>
      </c>
      <c r="AJ1724" s="69" t="e" cm="1">
        <f t="array" ref="AJ1724">_xlfn.XLOOKUP(Table1[[#This Row],[5 cm2 cell test code]:[5 cm2 cell test code]],[1]!Table1[[Test code]:[Test code]],[1]!Table1[DIW conductivity (µS/cm)],"",0)</f>
        <v>#REF!</v>
      </c>
    </row>
    <row r="1725" spans="1:36">
      <c r="A1725" s="81"/>
      <c r="U1725" s="101"/>
      <c r="V1725" s="101"/>
      <c r="W1725" s="69" t="e" cm="1">
        <f t="array" ref="W1725">_xlfn.XLOOKUP(Table1[[#This Row],[5 cm2 cell test code]:[5 cm2 cell test code]],[1]!Table1[[Test code]:[Test code]],[1]!Table1[i @ 1.8 V DIW (A/cm2)],"",0)</f>
        <v>#REF!</v>
      </c>
      <c r="X1725" s="69" t="e" cm="1">
        <f t="array" ref="X1725">_xlfn.XLOOKUP(Table1[[#This Row],[5 cm2 cell test code]:[5 cm2 cell test code]],[1]!Table1[[Test code]:[Test code]],[1]!Table1[i @ 1.8 V 10 mM KOH (A/cm2)],"",0)</f>
        <v>#REF!</v>
      </c>
      <c r="Y1725" s="69" t="e" cm="1">
        <f t="array" ref="Y1725">_xlfn.XLOOKUP(Table1[[#This Row],[5 cm2 cell test code]:[5 cm2 cell test code]],[1]!Table1[[Test code]:[Test code]],[1]!Table1[3-E ƞ at 20mAcm-2 (mV)],"",0)</f>
        <v>#REF!</v>
      </c>
      <c r="Z1725" s="69" t="e" cm="1">
        <f t="array" ref="Z1725">_xlfn.XLOOKUP(Table1[[#This Row],[5 cm2 cell test code]:[5 cm2 cell test code]],[1]!Table1[[Test code]:[Test code]],[1]!Table1[3-E Tafel slope (mV/dec)],"",0)</f>
        <v>#REF!</v>
      </c>
      <c r="AA1725" s="69" t="e" cm="1">
        <f t="array" ref="AA1725">_xlfn.XLOOKUP(Table1[[#This Row],[5 cm2 cell test code]:[5 cm2 cell test code]],[1]!Table1[[Test code]:[Test code]],[1]!Table1[E @ 100 mA/cm2 DIW/V],"",0)</f>
        <v>#REF!</v>
      </c>
      <c r="AB1725" s="69" t="e" cm="1">
        <f t="array" ref="AB1725">_xlfn.XLOOKUP(Table1[[#This Row],[5 cm2 cell test code]:[5 cm2 cell test code]],[1]!Table1[[Test code]:[Test code]],[1]!Table1[E @ 100 mA/cm2 10 mM KOH/V],"",0)</f>
        <v>#REF!</v>
      </c>
      <c r="AC1725" s="69" t="e" cm="1">
        <f t="array" ref="AC1725">_xlfn.XLOOKUP(Table1[[#This Row],[5 cm2 cell test code]:[5 cm2 cell test code]],[1]!Table1[[Test code]:[Test code]],[1]!Table1[Anode ICR/mOhm],"",0)</f>
        <v>#REF!</v>
      </c>
      <c r="AD1725" s="69" t="e" cm="1">
        <f t="array" ref="AD1725">_xlfn.XLOOKUP(Table1[[#This Row],[5 cm2 cell test code]:[5 cm2 cell test code]],[1]!Table1[[Test code]:[Test code]],[1]!Table1[HFR DIW/ mOhm cm2],"",0)</f>
        <v>#REF!</v>
      </c>
      <c r="AE1725" s="69" t="e" cm="1">
        <f t="array" ref="AE1725">_xlfn.XLOOKUP(Table1[[#This Row],[5 cm2 cell test code]:[5 cm2 cell test code]],[1]!Table1[[Test code]:[Test code]],[1]!Table1[HFR 10 mM KOH/ mOhm cm2],"",0)</f>
        <v>#REF!</v>
      </c>
      <c r="AF1725" s="69" t="e" cm="1">
        <f t="array" ref="AF1725">_xlfn.XLOOKUP(Table1[[#This Row],[5 cm2 cell test code]:[5 cm2 cell test code]],[1]!Table1[[Test code]:[Test code]],[1]!Table1[Ionic resistance DIW/Ohm cm2],"",0)</f>
        <v>#REF!</v>
      </c>
      <c r="AG1725" s="69" t="e" cm="1">
        <f t="array" ref="AG1725">_xlfn.XLOOKUP(Table1[[#This Row],[5 cm2 cell test code]:[5 cm2 cell test code]],[1]!Table1[[Test code]:[Test code]],[1]!Table1[Q_int_frac DIW],"",0)</f>
        <v>#REF!</v>
      </c>
      <c r="AH1725" s="69" t="e" cm="1">
        <f t="array" ref="AH1725">_xlfn.XLOOKUP(Table1[[#This Row],[5 cm2 cell test code]:[5 cm2 cell test code]],[1]!Table1[[Test code]:[Test code]],[1]!Table1[Ionic resistance 10 mM KOH/Ohm cm2],"",0)</f>
        <v>#REF!</v>
      </c>
      <c r="AI1725" s="69" t="e" cm="1">
        <f t="array" ref="AI1725">_xlfn.XLOOKUP(Table1[[#This Row],[5 cm2 cell test code]:[5 cm2 cell test code]],[1]!Table1[[Test code]:[Test code]],[1]!Table1[Q_int_frac DIW 10 mM KOH],"",0)</f>
        <v>#REF!</v>
      </c>
      <c r="AJ1725" s="69" t="e" cm="1">
        <f t="array" ref="AJ1725">_xlfn.XLOOKUP(Table1[[#This Row],[5 cm2 cell test code]:[5 cm2 cell test code]],[1]!Table1[[Test code]:[Test code]],[1]!Table1[DIW conductivity (µS/cm)],"",0)</f>
        <v>#REF!</v>
      </c>
    </row>
    <row r="1726" spans="1:36">
      <c r="A1726" s="81"/>
      <c r="U1726" s="101"/>
      <c r="V1726" s="101"/>
      <c r="W1726" s="69" t="e" cm="1">
        <f t="array" ref="W1726">_xlfn.XLOOKUP(Table1[[#This Row],[5 cm2 cell test code]:[5 cm2 cell test code]],[1]!Table1[[Test code]:[Test code]],[1]!Table1[i @ 1.8 V DIW (A/cm2)],"",0)</f>
        <v>#REF!</v>
      </c>
      <c r="X1726" s="69" t="e" cm="1">
        <f t="array" ref="X1726">_xlfn.XLOOKUP(Table1[[#This Row],[5 cm2 cell test code]:[5 cm2 cell test code]],[1]!Table1[[Test code]:[Test code]],[1]!Table1[i @ 1.8 V 10 mM KOH (A/cm2)],"",0)</f>
        <v>#REF!</v>
      </c>
      <c r="Y1726" s="69" t="e" cm="1">
        <f t="array" ref="Y1726">_xlfn.XLOOKUP(Table1[[#This Row],[5 cm2 cell test code]:[5 cm2 cell test code]],[1]!Table1[[Test code]:[Test code]],[1]!Table1[3-E ƞ at 20mAcm-2 (mV)],"",0)</f>
        <v>#REF!</v>
      </c>
      <c r="Z1726" s="69" t="e" cm="1">
        <f t="array" ref="Z1726">_xlfn.XLOOKUP(Table1[[#This Row],[5 cm2 cell test code]:[5 cm2 cell test code]],[1]!Table1[[Test code]:[Test code]],[1]!Table1[3-E Tafel slope (mV/dec)],"",0)</f>
        <v>#REF!</v>
      </c>
      <c r="AA1726" s="69" t="e" cm="1">
        <f t="array" ref="AA1726">_xlfn.XLOOKUP(Table1[[#This Row],[5 cm2 cell test code]:[5 cm2 cell test code]],[1]!Table1[[Test code]:[Test code]],[1]!Table1[E @ 100 mA/cm2 DIW/V],"",0)</f>
        <v>#REF!</v>
      </c>
      <c r="AB1726" s="69" t="e" cm="1">
        <f t="array" ref="AB1726">_xlfn.XLOOKUP(Table1[[#This Row],[5 cm2 cell test code]:[5 cm2 cell test code]],[1]!Table1[[Test code]:[Test code]],[1]!Table1[E @ 100 mA/cm2 10 mM KOH/V],"",0)</f>
        <v>#REF!</v>
      </c>
      <c r="AC1726" s="69" t="e" cm="1">
        <f t="array" ref="AC1726">_xlfn.XLOOKUP(Table1[[#This Row],[5 cm2 cell test code]:[5 cm2 cell test code]],[1]!Table1[[Test code]:[Test code]],[1]!Table1[Anode ICR/mOhm],"",0)</f>
        <v>#REF!</v>
      </c>
      <c r="AD1726" s="69" t="e" cm="1">
        <f t="array" ref="AD1726">_xlfn.XLOOKUP(Table1[[#This Row],[5 cm2 cell test code]:[5 cm2 cell test code]],[1]!Table1[[Test code]:[Test code]],[1]!Table1[HFR DIW/ mOhm cm2],"",0)</f>
        <v>#REF!</v>
      </c>
      <c r="AE1726" s="69" t="e" cm="1">
        <f t="array" ref="AE1726">_xlfn.XLOOKUP(Table1[[#This Row],[5 cm2 cell test code]:[5 cm2 cell test code]],[1]!Table1[[Test code]:[Test code]],[1]!Table1[HFR 10 mM KOH/ mOhm cm2],"",0)</f>
        <v>#REF!</v>
      </c>
      <c r="AF1726" s="69" t="e" cm="1">
        <f t="array" ref="AF1726">_xlfn.XLOOKUP(Table1[[#This Row],[5 cm2 cell test code]:[5 cm2 cell test code]],[1]!Table1[[Test code]:[Test code]],[1]!Table1[Ionic resistance DIW/Ohm cm2],"",0)</f>
        <v>#REF!</v>
      </c>
      <c r="AG1726" s="69" t="e" cm="1">
        <f t="array" ref="AG1726">_xlfn.XLOOKUP(Table1[[#This Row],[5 cm2 cell test code]:[5 cm2 cell test code]],[1]!Table1[[Test code]:[Test code]],[1]!Table1[Q_int_frac DIW],"",0)</f>
        <v>#REF!</v>
      </c>
      <c r="AH1726" s="69" t="e" cm="1">
        <f t="array" ref="AH1726">_xlfn.XLOOKUP(Table1[[#This Row],[5 cm2 cell test code]:[5 cm2 cell test code]],[1]!Table1[[Test code]:[Test code]],[1]!Table1[Ionic resistance 10 mM KOH/Ohm cm2],"",0)</f>
        <v>#REF!</v>
      </c>
      <c r="AI1726" s="69" t="e" cm="1">
        <f t="array" ref="AI1726">_xlfn.XLOOKUP(Table1[[#This Row],[5 cm2 cell test code]:[5 cm2 cell test code]],[1]!Table1[[Test code]:[Test code]],[1]!Table1[Q_int_frac DIW 10 mM KOH],"",0)</f>
        <v>#REF!</v>
      </c>
      <c r="AJ1726" s="69" t="e" cm="1">
        <f t="array" ref="AJ1726">_xlfn.XLOOKUP(Table1[[#This Row],[5 cm2 cell test code]:[5 cm2 cell test code]],[1]!Table1[[Test code]:[Test code]],[1]!Table1[DIW conductivity (µS/cm)],"",0)</f>
        <v>#REF!</v>
      </c>
    </row>
    <row r="1727" spans="1:36">
      <c r="A1727" s="81"/>
      <c r="U1727" s="101"/>
      <c r="V1727" s="101"/>
      <c r="W1727" s="69" t="e" cm="1">
        <f t="array" ref="W1727">_xlfn.XLOOKUP(Table1[[#This Row],[5 cm2 cell test code]:[5 cm2 cell test code]],[1]!Table1[[Test code]:[Test code]],[1]!Table1[i @ 1.8 V DIW (A/cm2)],"",0)</f>
        <v>#REF!</v>
      </c>
      <c r="X1727" s="69" t="e" cm="1">
        <f t="array" ref="X1727">_xlfn.XLOOKUP(Table1[[#This Row],[5 cm2 cell test code]:[5 cm2 cell test code]],[1]!Table1[[Test code]:[Test code]],[1]!Table1[i @ 1.8 V 10 mM KOH (A/cm2)],"",0)</f>
        <v>#REF!</v>
      </c>
      <c r="Y1727" s="69" t="e" cm="1">
        <f t="array" ref="Y1727">_xlfn.XLOOKUP(Table1[[#This Row],[5 cm2 cell test code]:[5 cm2 cell test code]],[1]!Table1[[Test code]:[Test code]],[1]!Table1[3-E ƞ at 20mAcm-2 (mV)],"",0)</f>
        <v>#REF!</v>
      </c>
      <c r="Z1727" s="69" t="e" cm="1">
        <f t="array" ref="Z1727">_xlfn.XLOOKUP(Table1[[#This Row],[5 cm2 cell test code]:[5 cm2 cell test code]],[1]!Table1[[Test code]:[Test code]],[1]!Table1[3-E Tafel slope (mV/dec)],"",0)</f>
        <v>#REF!</v>
      </c>
      <c r="AA1727" s="69" t="e" cm="1">
        <f t="array" ref="AA1727">_xlfn.XLOOKUP(Table1[[#This Row],[5 cm2 cell test code]:[5 cm2 cell test code]],[1]!Table1[[Test code]:[Test code]],[1]!Table1[E @ 100 mA/cm2 DIW/V],"",0)</f>
        <v>#REF!</v>
      </c>
      <c r="AB1727" s="69" t="e" cm="1">
        <f t="array" ref="AB1727">_xlfn.XLOOKUP(Table1[[#This Row],[5 cm2 cell test code]:[5 cm2 cell test code]],[1]!Table1[[Test code]:[Test code]],[1]!Table1[E @ 100 mA/cm2 10 mM KOH/V],"",0)</f>
        <v>#REF!</v>
      </c>
      <c r="AC1727" s="69" t="e" cm="1">
        <f t="array" ref="AC1727">_xlfn.XLOOKUP(Table1[[#This Row],[5 cm2 cell test code]:[5 cm2 cell test code]],[1]!Table1[[Test code]:[Test code]],[1]!Table1[Anode ICR/mOhm],"",0)</f>
        <v>#REF!</v>
      </c>
      <c r="AD1727" s="69" t="e" cm="1">
        <f t="array" ref="AD1727">_xlfn.XLOOKUP(Table1[[#This Row],[5 cm2 cell test code]:[5 cm2 cell test code]],[1]!Table1[[Test code]:[Test code]],[1]!Table1[HFR DIW/ mOhm cm2],"",0)</f>
        <v>#REF!</v>
      </c>
      <c r="AE1727" s="69" t="e" cm="1">
        <f t="array" ref="AE1727">_xlfn.XLOOKUP(Table1[[#This Row],[5 cm2 cell test code]:[5 cm2 cell test code]],[1]!Table1[[Test code]:[Test code]],[1]!Table1[HFR 10 mM KOH/ mOhm cm2],"",0)</f>
        <v>#REF!</v>
      </c>
      <c r="AF1727" s="69" t="e" cm="1">
        <f t="array" ref="AF1727">_xlfn.XLOOKUP(Table1[[#This Row],[5 cm2 cell test code]:[5 cm2 cell test code]],[1]!Table1[[Test code]:[Test code]],[1]!Table1[Ionic resistance DIW/Ohm cm2],"",0)</f>
        <v>#REF!</v>
      </c>
      <c r="AG1727" s="69" t="e" cm="1">
        <f t="array" ref="AG1727">_xlfn.XLOOKUP(Table1[[#This Row],[5 cm2 cell test code]:[5 cm2 cell test code]],[1]!Table1[[Test code]:[Test code]],[1]!Table1[Q_int_frac DIW],"",0)</f>
        <v>#REF!</v>
      </c>
      <c r="AH1727" s="69" t="e" cm="1">
        <f t="array" ref="AH1727">_xlfn.XLOOKUP(Table1[[#This Row],[5 cm2 cell test code]:[5 cm2 cell test code]],[1]!Table1[[Test code]:[Test code]],[1]!Table1[Ionic resistance 10 mM KOH/Ohm cm2],"",0)</f>
        <v>#REF!</v>
      </c>
      <c r="AI1727" s="69" t="e" cm="1">
        <f t="array" ref="AI1727">_xlfn.XLOOKUP(Table1[[#This Row],[5 cm2 cell test code]:[5 cm2 cell test code]],[1]!Table1[[Test code]:[Test code]],[1]!Table1[Q_int_frac DIW 10 mM KOH],"",0)</f>
        <v>#REF!</v>
      </c>
      <c r="AJ1727" s="69" t="e" cm="1">
        <f t="array" ref="AJ1727">_xlfn.XLOOKUP(Table1[[#This Row],[5 cm2 cell test code]:[5 cm2 cell test code]],[1]!Table1[[Test code]:[Test code]],[1]!Table1[DIW conductivity (µS/cm)],"",0)</f>
        <v>#REF!</v>
      </c>
    </row>
    <row r="1728" spans="1:36">
      <c r="A1728" s="81"/>
      <c r="U1728" s="101"/>
      <c r="V1728" s="101"/>
      <c r="W1728" s="69" t="e" cm="1">
        <f t="array" ref="W1728">_xlfn.XLOOKUP(Table1[[#This Row],[5 cm2 cell test code]:[5 cm2 cell test code]],[1]!Table1[[Test code]:[Test code]],[1]!Table1[i @ 1.8 V DIW (A/cm2)],"",0)</f>
        <v>#REF!</v>
      </c>
      <c r="X1728" s="69" t="e" cm="1">
        <f t="array" ref="X1728">_xlfn.XLOOKUP(Table1[[#This Row],[5 cm2 cell test code]:[5 cm2 cell test code]],[1]!Table1[[Test code]:[Test code]],[1]!Table1[i @ 1.8 V 10 mM KOH (A/cm2)],"",0)</f>
        <v>#REF!</v>
      </c>
      <c r="Y1728" s="69" t="e" cm="1">
        <f t="array" ref="Y1728">_xlfn.XLOOKUP(Table1[[#This Row],[5 cm2 cell test code]:[5 cm2 cell test code]],[1]!Table1[[Test code]:[Test code]],[1]!Table1[3-E ƞ at 20mAcm-2 (mV)],"",0)</f>
        <v>#REF!</v>
      </c>
      <c r="Z1728" s="69" t="e" cm="1">
        <f t="array" ref="Z1728">_xlfn.XLOOKUP(Table1[[#This Row],[5 cm2 cell test code]:[5 cm2 cell test code]],[1]!Table1[[Test code]:[Test code]],[1]!Table1[3-E Tafel slope (mV/dec)],"",0)</f>
        <v>#REF!</v>
      </c>
      <c r="AA1728" s="69" t="e" cm="1">
        <f t="array" ref="AA1728">_xlfn.XLOOKUP(Table1[[#This Row],[5 cm2 cell test code]:[5 cm2 cell test code]],[1]!Table1[[Test code]:[Test code]],[1]!Table1[E @ 100 mA/cm2 DIW/V],"",0)</f>
        <v>#REF!</v>
      </c>
      <c r="AB1728" s="69" t="e" cm="1">
        <f t="array" ref="AB1728">_xlfn.XLOOKUP(Table1[[#This Row],[5 cm2 cell test code]:[5 cm2 cell test code]],[1]!Table1[[Test code]:[Test code]],[1]!Table1[E @ 100 mA/cm2 10 mM KOH/V],"",0)</f>
        <v>#REF!</v>
      </c>
      <c r="AC1728" s="69" t="e" cm="1">
        <f t="array" ref="AC1728">_xlfn.XLOOKUP(Table1[[#This Row],[5 cm2 cell test code]:[5 cm2 cell test code]],[1]!Table1[[Test code]:[Test code]],[1]!Table1[Anode ICR/mOhm],"",0)</f>
        <v>#REF!</v>
      </c>
      <c r="AD1728" s="69" t="e" cm="1">
        <f t="array" ref="AD1728">_xlfn.XLOOKUP(Table1[[#This Row],[5 cm2 cell test code]:[5 cm2 cell test code]],[1]!Table1[[Test code]:[Test code]],[1]!Table1[HFR DIW/ mOhm cm2],"",0)</f>
        <v>#REF!</v>
      </c>
      <c r="AE1728" s="69" t="e" cm="1">
        <f t="array" ref="AE1728">_xlfn.XLOOKUP(Table1[[#This Row],[5 cm2 cell test code]:[5 cm2 cell test code]],[1]!Table1[[Test code]:[Test code]],[1]!Table1[HFR 10 mM KOH/ mOhm cm2],"",0)</f>
        <v>#REF!</v>
      </c>
      <c r="AF1728" s="69" t="e" cm="1">
        <f t="array" ref="AF1728">_xlfn.XLOOKUP(Table1[[#This Row],[5 cm2 cell test code]:[5 cm2 cell test code]],[1]!Table1[[Test code]:[Test code]],[1]!Table1[Ionic resistance DIW/Ohm cm2],"",0)</f>
        <v>#REF!</v>
      </c>
      <c r="AG1728" s="69" t="e" cm="1">
        <f t="array" ref="AG1728">_xlfn.XLOOKUP(Table1[[#This Row],[5 cm2 cell test code]:[5 cm2 cell test code]],[1]!Table1[[Test code]:[Test code]],[1]!Table1[Q_int_frac DIW],"",0)</f>
        <v>#REF!</v>
      </c>
      <c r="AH1728" s="69" t="e" cm="1">
        <f t="array" ref="AH1728">_xlfn.XLOOKUP(Table1[[#This Row],[5 cm2 cell test code]:[5 cm2 cell test code]],[1]!Table1[[Test code]:[Test code]],[1]!Table1[Ionic resistance 10 mM KOH/Ohm cm2],"",0)</f>
        <v>#REF!</v>
      </c>
      <c r="AI1728" s="69" t="e" cm="1">
        <f t="array" ref="AI1728">_xlfn.XLOOKUP(Table1[[#This Row],[5 cm2 cell test code]:[5 cm2 cell test code]],[1]!Table1[[Test code]:[Test code]],[1]!Table1[Q_int_frac DIW 10 mM KOH],"",0)</f>
        <v>#REF!</v>
      </c>
      <c r="AJ1728" s="69" t="e" cm="1">
        <f t="array" ref="AJ1728">_xlfn.XLOOKUP(Table1[[#This Row],[5 cm2 cell test code]:[5 cm2 cell test code]],[1]!Table1[[Test code]:[Test code]],[1]!Table1[DIW conductivity (µS/cm)],"",0)</f>
        <v>#REF!</v>
      </c>
    </row>
    <row r="1729" spans="1:36">
      <c r="A1729" s="81"/>
      <c r="U1729" s="101"/>
      <c r="V1729" s="101"/>
      <c r="W1729" s="69" t="e" cm="1">
        <f t="array" ref="W1729">_xlfn.XLOOKUP(Table1[[#This Row],[5 cm2 cell test code]:[5 cm2 cell test code]],[1]!Table1[[Test code]:[Test code]],[1]!Table1[i @ 1.8 V DIW (A/cm2)],"",0)</f>
        <v>#REF!</v>
      </c>
      <c r="X1729" s="69" t="e" cm="1">
        <f t="array" ref="X1729">_xlfn.XLOOKUP(Table1[[#This Row],[5 cm2 cell test code]:[5 cm2 cell test code]],[1]!Table1[[Test code]:[Test code]],[1]!Table1[i @ 1.8 V 10 mM KOH (A/cm2)],"",0)</f>
        <v>#REF!</v>
      </c>
      <c r="Y1729" s="69" t="e" cm="1">
        <f t="array" ref="Y1729">_xlfn.XLOOKUP(Table1[[#This Row],[5 cm2 cell test code]:[5 cm2 cell test code]],[1]!Table1[[Test code]:[Test code]],[1]!Table1[3-E ƞ at 20mAcm-2 (mV)],"",0)</f>
        <v>#REF!</v>
      </c>
      <c r="Z1729" s="69" t="e" cm="1">
        <f t="array" ref="Z1729">_xlfn.XLOOKUP(Table1[[#This Row],[5 cm2 cell test code]:[5 cm2 cell test code]],[1]!Table1[[Test code]:[Test code]],[1]!Table1[3-E Tafel slope (mV/dec)],"",0)</f>
        <v>#REF!</v>
      </c>
      <c r="AA1729" s="69" t="e" cm="1">
        <f t="array" ref="AA1729">_xlfn.XLOOKUP(Table1[[#This Row],[5 cm2 cell test code]:[5 cm2 cell test code]],[1]!Table1[[Test code]:[Test code]],[1]!Table1[E @ 100 mA/cm2 DIW/V],"",0)</f>
        <v>#REF!</v>
      </c>
      <c r="AB1729" s="69" t="e" cm="1">
        <f t="array" ref="AB1729">_xlfn.XLOOKUP(Table1[[#This Row],[5 cm2 cell test code]:[5 cm2 cell test code]],[1]!Table1[[Test code]:[Test code]],[1]!Table1[E @ 100 mA/cm2 10 mM KOH/V],"",0)</f>
        <v>#REF!</v>
      </c>
      <c r="AC1729" s="69" t="e" cm="1">
        <f t="array" ref="AC1729">_xlfn.XLOOKUP(Table1[[#This Row],[5 cm2 cell test code]:[5 cm2 cell test code]],[1]!Table1[[Test code]:[Test code]],[1]!Table1[Anode ICR/mOhm],"",0)</f>
        <v>#REF!</v>
      </c>
      <c r="AD1729" s="69" t="e" cm="1">
        <f t="array" ref="AD1729">_xlfn.XLOOKUP(Table1[[#This Row],[5 cm2 cell test code]:[5 cm2 cell test code]],[1]!Table1[[Test code]:[Test code]],[1]!Table1[HFR DIW/ mOhm cm2],"",0)</f>
        <v>#REF!</v>
      </c>
      <c r="AE1729" s="69" t="e" cm="1">
        <f t="array" ref="AE1729">_xlfn.XLOOKUP(Table1[[#This Row],[5 cm2 cell test code]:[5 cm2 cell test code]],[1]!Table1[[Test code]:[Test code]],[1]!Table1[HFR 10 mM KOH/ mOhm cm2],"",0)</f>
        <v>#REF!</v>
      </c>
      <c r="AF1729" s="69" t="e" cm="1">
        <f t="array" ref="AF1729">_xlfn.XLOOKUP(Table1[[#This Row],[5 cm2 cell test code]:[5 cm2 cell test code]],[1]!Table1[[Test code]:[Test code]],[1]!Table1[Ionic resistance DIW/Ohm cm2],"",0)</f>
        <v>#REF!</v>
      </c>
      <c r="AG1729" s="69" t="e" cm="1">
        <f t="array" ref="AG1729">_xlfn.XLOOKUP(Table1[[#This Row],[5 cm2 cell test code]:[5 cm2 cell test code]],[1]!Table1[[Test code]:[Test code]],[1]!Table1[Q_int_frac DIW],"",0)</f>
        <v>#REF!</v>
      </c>
      <c r="AH1729" s="69" t="e" cm="1">
        <f t="array" ref="AH1729">_xlfn.XLOOKUP(Table1[[#This Row],[5 cm2 cell test code]:[5 cm2 cell test code]],[1]!Table1[[Test code]:[Test code]],[1]!Table1[Ionic resistance 10 mM KOH/Ohm cm2],"",0)</f>
        <v>#REF!</v>
      </c>
      <c r="AI1729" s="69" t="e" cm="1">
        <f t="array" ref="AI1729">_xlfn.XLOOKUP(Table1[[#This Row],[5 cm2 cell test code]:[5 cm2 cell test code]],[1]!Table1[[Test code]:[Test code]],[1]!Table1[Q_int_frac DIW 10 mM KOH],"",0)</f>
        <v>#REF!</v>
      </c>
      <c r="AJ1729" s="69" t="e" cm="1">
        <f t="array" ref="AJ1729">_xlfn.XLOOKUP(Table1[[#This Row],[5 cm2 cell test code]:[5 cm2 cell test code]],[1]!Table1[[Test code]:[Test code]],[1]!Table1[DIW conductivity (µS/cm)],"",0)</f>
        <v>#REF!</v>
      </c>
    </row>
    <row r="1730" spans="1:36">
      <c r="A1730" s="81"/>
      <c r="U1730" s="101"/>
      <c r="V1730" s="101"/>
      <c r="W1730" s="69" t="e" cm="1">
        <f t="array" ref="W1730">_xlfn.XLOOKUP(Table1[[#This Row],[5 cm2 cell test code]:[5 cm2 cell test code]],[1]!Table1[[Test code]:[Test code]],[1]!Table1[i @ 1.8 V DIW (A/cm2)],"",0)</f>
        <v>#REF!</v>
      </c>
      <c r="X1730" s="69" t="e" cm="1">
        <f t="array" ref="X1730">_xlfn.XLOOKUP(Table1[[#This Row],[5 cm2 cell test code]:[5 cm2 cell test code]],[1]!Table1[[Test code]:[Test code]],[1]!Table1[i @ 1.8 V 10 mM KOH (A/cm2)],"",0)</f>
        <v>#REF!</v>
      </c>
      <c r="Y1730" s="69" t="e" cm="1">
        <f t="array" ref="Y1730">_xlfn.XLOOKUP(Table1[[#This Row],[5 cm2 cell test code]:[5 cm2 cell test code]],[1]!Table1[[Test code]:[Test code]],[1]!Table1[3-E ƞ at 20mAcm-2 (mV)],"",0)</f>
        <v>#REF!</v>
      </c>
      <c r="Z1730" s="69" t="e" cm="1">
        <f t="array" ref="Z1730">_xlfn.XLOOKUP(Table1[[#This Row],[5 cm2 cell test code]:[5 cm2 cell test code]],[1]!Table1[[Test code]:[Test code]],[1]!Table1[3-E Tafel slope (mV/dec)],"",0)</f>
        <v>#REF!</v>
      </c>
      <c r="AA1730" s="69" t="e" cm="1">
        <f t="array" ref="AA1730">_xlfn.XLOOKUP(Table1[[#This Row],[5 cm2 cell test code]:[5 cm2 cell test code]],[1]!Table1[[Test code]:[Test code]],[1]!Table1[E @ 100 mA/cm2 DIW/V],"",0)</f>
        <v>#REF!</v>
      </c>
      <c r="AB1730" s="69" t="e" cm="1">
        <f t="array" ref="AB1730">_xlfn.XLOOKUP(Table1[[#This Row],[5 cm2 cell test code]:[5 cm2 cell test code]],[1]!Table1[[Test code]:[Test code]],[1]!Table1[E @ 100 mA/cm2 10 mM KOH/V],"",0)</f>
        <v>#REF!</v>
      </c>
      <c r="AC1730" s="69" t="e" cm="1">
        <f t="array" ref="AC1730">_xlfn.XLOOKUP(Table1[[#This Row],[5 cm2 cell test code]:[5 cm2 cell test code]],[1]!Table1[[Test code]:[Test code]],[1]!Table1[Anode ICR/mOhm],"",0)</f>
        <v>#REF!</v>
      </c>
      <c r="AD1730" s="69" t="e" cm="1">
        <f t="array" ref="AD1730">_xlfn.XLOOKUP(Table1[[#This Row],[5 cm2 cell test code]:[5 cm2 cell test code]],[1]!Table1[[Test code]:[Test code]],[1]!Table1[HFR DIW/ mOhm cm2],"",0)</f>
        <v>#REF!</v>
      </c>
      <c r="AE1730" s="69" t="e" cm="1">
        <f t="array" ref="AE1730">_xlfn.XLOOKUP(Table1[[#This Row],[5 cm2 cell test code]:[5 cm2 cell test code]],[1]!Table1[[Test code]:[Test code]],[1]!Table1[HFR 10 mM KOH/ mOhm cm2],"",0)</f>
        <v>#REF!</v>
      </c>
      <c r="AF1730" s="69" t="e" cm="1">
        <f t="array" ref="AF1730">_xlfn.XLOOKUP(Table1[[#This Row],[5 cm2 cell test code]:[5 cm2 cell test code]],[1]!Table1[[Test code]:[Test code]],[1]!Table1[Ionic resistance DIW/Ohm cm2],"",0)</f>
        <v>#REF!</v>
      </c>
      <c r="AG1730" s="69" t="e" cm="1">
        <f t="array" ref="AG1730">_xlfn.XLOOKUP(Table1[[#This Row],[5 cm2 cell test code]:[5 cm2 cell test code]],[1]!Table1[[Test code]:[Test code]],[1]!Table1[Q_int_frac DIW],"",0)</f>
        <v>#REF!</v>
      </c>
      <c r="AH1730" s="69" t="e" cm="1">
        <f t="array" ref="AH1730">_xlfn.XLOOKUP(Table1[[#This Row],[5 cm2 cell test code]:[5 cm2 cell test code]],[1]!Table1[[Test code]:[Test code]],[1]!Table1[Ionic resistance 10 mM KOH/Ohm cm2],"",0)</f>
        <v>#REF!</v>
      </c>
      <c r="AI1730" s="69" t="e" cm="1">
        <f t="array" ref="AI1730">_xlfn.XLOOKUP(Table1[[#This Row],[5 cm2 cell test code]:[5 cm2 cell test code]],[1]!Table1[[Test code]:[Test code]],[1]!Table1[Q_int_frac DIW 10 mM KOH],"",0)</f>
        <v>#REF!</v>
      </c>
      <c r="AJ1730" s="69" t="e" cm="1">
        <f t="array" ref="AJ1730">_xlfn.XLOOKUP(Table1[[#This Row],[5 cm2 cell test code]:[5 cm2 cell test code]],[1]!Table1[[Test code]:[Test code]],[1]!Table1[DIW conductivity (µS/cm)],"",0)</f>
        <v>#REF!</v>
      </c>
    </row>
    <row r="1731" spans="1:36">
      <c r="A1731" s="81"/>
      <c r="U1731" s="101"/>
      <c r="V1731" s="101"/>
      <c r="W1731" s="69" t="e" cm="1">
        <f t="array" ref="W1731">_xlfn.XLOOKUP(Table1[[#This Row],[5 cm2 cell test code]:[5 cm2 cell test code]],[1]!Table1[[Test code]:[Test code]],[1]!Table1[i @ 1.8 V DIW (A/cm2)],"",0)</f>
        <v>#REF!</v>
      </c>
      <c r="X1731" s="69" t="e" cm="1">
        <f t="array" ref="X1731">_xlfn.XLOOKUP(Table1[[#This Row],[5 cm2 cell test code]:[5 cm2 cell test code]],[1]!Table1[[Test code]:[Test code]],[1]!Table1[i @ 1.8 V 10 mM KOH (A/cm2)],"",0)</f>
        <v>#REF!</v>
      </c>
      <c r="Y1731" s="69" t="e" cm="1">
        <f t="array" ref="Y1731">_xlfn.XLOOKUP(Table1[[#This Row],[5 cm2 cell test code]:[5 cm2 cell test code]],[1]!Table1[[Test code]:[Test code]],[1]!Table1[3-E ƞ at 20mAcm-2 (mV)],"",0)</f>
        <v>#REF!</v>
      </c>
      <c r="Z1731" s="69" t="e" cm="1">
        <f t="array" ref="Z1731">_xlfn.XLOOKUP(Table1[[#This Row],[5 cm2 cell test code]:[5 cm2 cell test code]],[1]!Table1[[Test code]:[Test code]],[1]!Table1[3-E Tafel slope (mV/dec)],"",0)</f>
        <v>#REF!</v>
      </c>
      <c r="AA1731" s="69" t="e" cm="1">
        <f t="array" ref="AA1731">_xlfn.XLOOKUP(Table1[[#This Row],[5 cm2 cell test code]:[5 cm2 cell test code]],[1]!Table1[[Test code]:[Test code]],[1]!Table1[E @ 100 mA/cm2 DIW/V],"",0)</f>
        <v>#REF!</v>
      </c>
      <c r="AB1731" s="69" t="e" cm="1">
        <f t="array" ref="AB1731">_xlfn.XLOOKUP(Table1[[#This Row],[5 cm2 cell test code]:[5 cm2 cell test code]],[1]!Table1[[Test code]:[Test code]],[1]!Table1[E @ 100 mA/cm2 10 mM KOH/V],"",0)</f>
        <v>#REF!</v>
      </c>
      <c r="AC1731" s="69" t="e" cm="1">
        <f t="array" ref="AC1731">_xlfn.XLOOKUP(Table1[[#This Row],[5 cm2 cell test code]:[5 cm2 cell test code]],[1]!Table1[[Test code]:[Test code]],[1]!Table1[Anode ICR/mOhm],"",0)</f>
        <v>#REF!</v>
      </c>
      <c r="AD1731" s="69" t="e" cm="1">
        <f t="array" ref="AD1731">_xlfn.XLOOKUP(Table1[[#This Row],[5 cm2 cell test code]:[5 cm2 cell test code]],[1]!Table1[[Test code]:[Test code]],[1]!Table1[HFR DIW/ mOhm cm2],"",0)</f>
        <v>#REF!</v>
      </c>
      <c r="AE1731" s="69" t="e" cm="1">
        <f t="array" ref="AE1731">_xlfn.XLOOKUP(Table1[[#This Row],[5 cm2 cell test code]:[5 cm2 cell test code]],[1]!Table1[[Test code]:[Test code]],[1]!Table1[HFR 10 mM KOH/ mOhm cm2],"",0)</f>
        <v>#REF!</v>
      </c>
      <c r="AF1731" s="69" t="e" cm="1">
        <f t="array" ref="AF1731">_xlfn.XLOOKUP(Table1[[#This Row],[5 cm2 cell test code]:[5 cm2 cell test code]],[1]!Table1[[Test code]:[Test code]],[1]!Table1[Ionic resistance DIW/Ohm cm2],"",0)</f>
        <v>#REF!</v>
      </c>
      <c r="AG1731" s="69" t="e" cm="1">
        <f t="array" ref="AG1731">_xlfn.XLOOKUP(Table1[[#This Row],[5 cm2 cell test code]:[5 cm2 cell test code]],[1]!Table1[[Test code]:[Test code]],[1]!Table1[Q_int_frac DIW],"",0)</f>
        <v>#REF!</v>
      </c>
      <c r="AH1731" s="69" t="e" cm="1">
        <f t="array" ref="AH1731">_xlfn.XLOOKUP(Table1[[#This Row],[5 cm2 cell test code]:[5 cm2 cell test code]],[1]!Table1[[Test code]:[Test code]],[1]!Table1[Ionic resistance 10 mM KOH/Ohm cm2],"",0)</f>
        <v>#REF!</v>
      </c>
      <c r="AI1731" s="69" t="e" cm="1">
        <f t="array" ref="AI1731">_xlfn.XLOOKUP(Table1[[#This Row],[5 cm2 cell test code]:[5 cm2 cell test code]],[1]!Table1[[Test code]:[Test code]],[1]!Table1[Q_int_frac DIW 10 mM KOH],"",0)</f>
        <v>#REF!</v>
      </c>
      <c r="AJ1731" s="69" t="e" cm="1">
        <f t="array" ref="AJ1731">_xlfn.XLOOKUP(Table1[[#This Row],[5 cm2 cell test code]:[5 cm2 cell test code]],[1]!Table1[[Test code]:[Test code]],[1]!Table1[DIW conductivity (µS/cm)],"",0)</f>
        <v>#REF!</v>
      </c>
    </row>
    <row r="1732" spans="1:36">
      <c r="A1732" s="81"/>
      <c r="U1732" s="101"/>
      <c r="V1732" s="101"/>
      <c r="W1732" s="69" t="e" cm="1">
        <f t="array" ref="W1732">_xlfn.XLOOKUP(Table1[[#This Row],[5 cm2 cell test code]:[5 cm2 cell test code]],[1]!Table1[[Test code]:[Test code]],[1]!Table1[i @ 1.8 V DIW (A/cm2)],"",0)</f>
        <v>#REF!</v>
      </c>
      <c r="X1732" s="69" t="e" cm="1">
        <f t="array" ref="X1732">_xlfn.XLOOKUP(Table1[[#This Row],[5 cm2 cell test code]:[5 cm2 cell test code]],[1]!Table1[[Test code]:[Test code]],[1]!Table1[i @ 1.8 V 10 mM KOH (A/cm2)],"",0)</f>
        <v>#REF!</v>
      </c>
      <c r="Y1732" s="69" t="e" cm="1">
        <f t="array" ref="Y1732">_xlfn.XLOOKUP(Table1[[#This Row],[5 cm2 cell test code]:[5 cm2 cell test code]],[1]!Table1[[Test code]:[Test code]],[1]!Table1[3-E ƞ at 20mAcm-2 (mV)],"",0)</f>
        <v>#REF!</v>
      </c>
      <c r="Z1732" s="69" t="e" cm="1">
        <f t="array" ref="Z1732">_xlfn.XLOOKUP(Table1[[#This Row],[5 cm2 cell test code]:[5 cm2 cell test code]],[1]!Table1[[Test code]:[Test code]],[1]!Table1[3-E Tafel slope (mV/dec)],"",0)</f>
        <v>#REF!</v>
      </c>
      <c r="AA1732" s="69" t="e" cm="1">
        <f t="array" ref="AA1732">_xlfn.XLOOKUP(Table1[[#This Row],[5 cm2 cell test code]:[5 cm2 cell test code]],[1]!Table1[[Test code]:[Test code]],[1]!Table1[E @ 100 mA/cm2 DIW/V],"",0)</f>
        <v>#REF!</v>
      </c>
      <c r="AB1732" s="69" t="e" cm="1">
        <f t="array" ref="AB1732">_xlfn.XLOOKUP(Table1[[#This Row],[5 cm2 cell test code]:[5 cm2 cell test code]],[1]!Table1[[Test code]:[Test code]],[1]!Table1[E @ 100 mA/cm2 10 mM KOH/V],"",0)</f>
        <v>#REF!</v>
      </c>
      <c r="AC1732" s="69" t="e" cm="1">
        <f t="array" ref="AC1732">_xlfn.XLOOKUP(Table1[[#This Row],[5 cm2 cell test code]:[5 cm2 cell test code]],[1]!Table1[[Test code]:[Test code]],[1]!Table1[Anode ICR/mOhm],"",0)</f>
        <v>#REF!</v>
      </c>
      <c r="AD1732" s="69" t="e" cm="1">
        <f t="array" ref="AD1732">_xlfn.XLOOKUP(Table1[[#This Row],[5 cm2 cell test code]:[5 cm2 cell test code]],[1]!Table1[[Test code]:[Test code]],[1]!Table1[HFR DIW/ mOhm cm2],"",0)</f>
        <v>#REF!</v>
      </c>
      <c r="AE1732" s="69" t="e" cm="1">
        <f t="array" ref="AE1732">_xlfn.XLOOKUP(Table1[[#This Row],[5 cm2 cell test code]:[5 cm2 cell test code]],[1]!Table1[[Test code]:[Test code]],[1]!Table1[HFR 10 mM KOH/ mOhm cm2],"",0)</f>
        <v>#REF!</v>
      </c>
      <c r="AF1732" s="69" t="e" cm="1">
        <f t="array" ref="AF1732">_xlfn.XLOOKUP(Table1[[#This Row],[5 cm2 cell test code]:[5 cm2 cell test code]],[1]!Table1[[Test code]:[Test code]],[1]!Table1[Ionic resistance DIW/Ohm cm2],"",0)</f>
        <v>#REF!</v>
      </c>
      <c r="AG1732" s="69" t="e" cm="1">
        <f t="array" ref="AG1732">_xlfn.XLOOKUP(Table1[[#This Row],[5 cm2 cell test code]:[5 cm2 cell test code]],[1]!Table1[[Test code]:[Test code]],[1]!Table1[Q_int_frac DIW],"",0)</f>
        <v>#REF!</v>
      </c>
      <c r="AH1732" s="69" t="e" cm="1">
        <f t="array" ref="AH1732">_xlfn.XLOOKUP(Table1[[#This Row],[5 cm2 cell test code]:[5 cm2 cell test code]],[1]!Table1[[Test code]:[Test code]],[1]!Table1[Ionic resistance 10 mM KOH/Ohm cm2],"",0)</f>
        <v>#REF!</v>
      </c>
      <c r="AI1732" s="69" t="e" cm="1">
        <f t="array" ref="AI1732">_xlfn.XLOOKUP(Table1[[#This Row],[5 cm2 cell test code]:[5 cm2 cell test code]],[1]!Table1[[Test code]:[Test code]],[1]!Table1[Q_int_frac DIW 10 mM KOH],"",0)</f>
        <v>#REF!</v>
      </c>
      <c r="AJ1732" s="69" t="e" cm="1">
        <f t="array" ref="AJ1732">_xlfn.XLOOKUP(Table1[[#This Row],[5 cm2 cell test code]:[5 cm2 cell test code]],[1]!Table1[[Test code]:[Test code]],[1]!Table1[DIW conductivity (µS/cm)],"",0)</f>
        <v>#REF!</v>
      </c>
    </row>
    <row r="1733" spans="1:36">
      <c r="A1733" s="81"/>
      <c r="U1733" s="101"/>
      <c r="V1733" s="101"/>
      <c r="W1733" s="69" t="e" cm="1">
        <f t="array" ref="W1733">_xlfn.XLOOKUP(Table1[[#This Row],[5 cm2 cell test code]:[5 cm2 cell test code]],[1]!Table1[[Test code]:[Test code]],[1]!Table1[i @ 1.8 V DIW (A/cm2)],"",0)</f>
        <v>#REF!</v>
      </c>
      <c r="X1733" s="69" t="e" cm="1">
        <f t="array" ref="X1733">_xlfn.XLOOKUP(Table1[[#This Row],[5 cm2 cell test code]:[5 cm2 cell test code]],[1]!Table1[[Test code]:[Test code]],[1]!Table1[i @ 1.8 V 10 mM KOH (A/cm2)],"",0)</f>
        <v>#REF!</v>
      </c>
      <c r="Y1733" s="69" t="e" cm="1">
        <f t="array" ref="Y1733">_xlfn.XLOOKUP(Table1[[#This Row],[5 cm2 cell test code]:[5 cm2 cell test code]],[1]!Table1[[Test code]:[Test code]],[1]!Table1[3-E ƞ at 20mAcm-2 (mV)],"",0)</f>
        <v>#REF!</v>
      </c>
      <c r="Z1733" s="69" t="e" cm="1">
        <f t="array" ref="Z1733">_xlfn.XLOOKUP(Table1[[#This Row],[5 cm2 cell test code]:[5 cm2 cell test code]],[1]!Table1[[Test code]:[Test code]],[1]!Table1[3-E Tafel slope (mV/dec)],"",0)</f>
        <v>#REF!</v>
      </c>
      <c r="AA1733" s="69" t="e" cm="1">
        <f t="array" ref="AA1733">_xlfn.XLOOKUP(Table1[[#This Row],[5 cm2 cell test code]:[5 cm2 cell test code]],[1]!Table1[[Test code]:[Test code]],[1]!Table1[E @ 100 mA/cm2 DIW/V],"",0)</f>
        <v>#REF!</v>
      </c>
      <c r="AB1733" s="69" t="e" cm="1">
        <f t="array" ref="AB1733">_xlfn.XLOOKUP(Table1[[#This Row],[5 cm2 cell test code]:[5 cm2 cell test code]],[1]!Table1[[Test code]:[Test code]],[1]!Table1[E @ 100 mA/cm2 10 mM KOH/V],"",0)</f>
        <v>#REF!</v>
      </c>
      <c r="AC1733" s="69" t="e" cm="1">
        <f t="array" ref="AC1733">_xlfn.XLOOKUP(Table1[[#This Row],[5 cm2 cell test code]:[5 cm2 cell test code]],[1]!Table1[[Test code]:[Test code]],[1]!Table1[Anode ICR/mOhm],"",0)</f>
        <v>#REF!</v>
      </c>
      <c r="AD1733" s="69" t="e" cm="1">
        <f t="array" ref="AD1733">_xlfn.XLOOKUP(Table1[[#This Row],[5 cm2 cell test code]:[5 cm2 cell test code]],[1]!Table1[[Test code]:[Test code]],[1]!Table1[HFR DIW/ mOhm cm2],"",0)</f>
        <v>#REF!</v>
      </c>
      <c r="AE1733" s="69" t="e" cm="1">
        <f t="array" ref="AE1733">_xlfn.XLOOKUP(Table1[[#This Row],[5 cm2 cell test code]:[5 cm2 cell test code]],[1]!Table1[[Test code]:[Test code]],[1]!Table1[HFR 10 mM KOH/ mOhm cm2],"",0)</f>
        <v>#REF!</v>
      </c>
      <c r="AF1733" s="69" t="e" cm="1">
        <f t="array" ref="AF1733">_xlfn.XLOOKUP(Table1[[#This Row],[5 cm2 cell test code]:[5 cm2 cell test code]],[1]!Table1[[Test code]:[Test code]],[1]!Table1[Ionic resistance DIW/Ohm cm2],"",0)</f>
        <v>#REF!</v>
      </c>
      <c r="AG1733" s="69" t="e" cm="1">
        <f t="array" ref="AG1733">_xlfn.XLOOKUP(Table1[[#This Row],[5 cm2 cell test code]:[5 cm2 cell test code]],[1]!Table1[[Test code]:[Test code]],[1]!Table1[Q_int_frac DIW],"",0)</f>
        <v>#REF!</v>
      </c>
      <c r="AH1733" s="69" t="e" cm="1">
        <f t="array" ref="AH1733">_xlfn.XLOOKUP(Table1[[#This Row],[5 cm2 cell test code]:[5 cm2 cell test code]],[1]!Table1[[Test code]:[Test code]],[1]!Table1[Ionic resistance 10 mM KOH/Ohm cm2],"",0)</f>
        <v>#REF!</v>
      </c>
      <c r="AI1733" s="69" t="e" cm="1">
        <f t="array" ref="AI1733">_xlfn.XLOOKUP(Table1[[#This Row],[5 cm2 cell test code]:[5 cm2 cell test code]],[1]!Table1[[Test code]:[Test code]],[1]!Table1[Q_int_frac DIW 10 mM KOH],"",0)</f>
        <v>#REF!</v>
      </c>
      <c r="AJ1733" s="69" t="e" cm="1">
        <f t="array" ref="AJ1733">_xlfn.XLOOKUP(Table1[[#This Row],[5 cm2 cell test code]:[5 cm2 cell test code]],[1]!Table1[[Test code]:[Test code]],[1]!Table1[DIW conductivity (µS/cm)],"",0)</f>
        <v>#REF!</v>
      </c>
    </row>
    <row r="1734" spans="1:36">
      <c r="A1734" s="81"/>
      <c r="U1734" s="101"/>
      <c r="V1734" s="101"/>
      <c r="W1734" s="69" t="e" cm="1">
        <f t="array" ref="W1734">_xlfn.XLOOKUP(Table1[[#This Row],[5 cm2 cell test code]:[5 cm2 cell test code]],[1]!Table1[[Test code]:[Test code]],[1]!Table1[i @ 1.8 V DIW (A/cm2)],"",0)</f>
        <v>#REF!</v>
      </c>
      <c r="X1734" s="69" t="e" cm="1">
        <f t="array" ref="X1734">_xlfn.XLOOKUP(Table1[[#This Row],[5 cm2 cell test code]:[5 cm2 cell test code]],[1]!Table1[[Test code]:[Test code]],[1]!Table1[i @ 1.8 V 10 mM KOH (A/cm2)],"",0)</f>
        <v>#REF!</v>
      </c>
      <c r="Y1734" s="69" t="e" cm="1">
        <f t="array" ref="Y1734">_xlfn.XLOOKUP(Table1[[#This Row],[5 cm2 cell test code]:[5 cm2 cell test code]],[1]!Table1[[Test code]:[Test code]],[1]!Table1[3-E ƞ at 20mAcm-2 (mV)],"",0)</f>
        <v>#REF!</v>
      </c>
      <c r="Z1734" s="69" t="e" cm="1">
        <f t="array" ref="Z1734">_xlfn.XLOOKUP(Table1[[#This Row],[5 cm2 cell test code]:[5 cm2 cell test code]],[1]!Table1[[Test code]:[Test code]],[1]!Table1[3-E Tafel slope (mV/dec)],"",0)</f>
        <v>#REF!</v>
      </c>
      <c r="AA1734" s="69" t="e" cm="1">
        <f t="array" ref="AA1734">_xlfn.XLOOKUP(Table1[[#This Row],[5 cm2 cell test code]:[5 cm2 cell test code]],[1]!Table1[[Test code]:[Test code]],[1]!Table1[E @ 100 mA/cm2 DIW/V],"",0)</f>
        <v>#REF!</v>
      </c>
      <c r="AB1734" s="69" t="e" cm="1">
        <f t="array" ref="AB1734">_xlfn.XLOOKUP(Table1[[#This Row],[5 cm2 cell test code]:[5 cm2 cell test code]],[1]!Table1[[Test code]:[Test code]],[1]!Table1[E @ 100 mA/cm2 10 mM KOH/V],"",0)</f>
        <v>#REF!</v>
      </c>
      <c r="AC1734" s="69" t="e" cm="1">
        <f t="array" ref="AC1734">_xlfn.XLOOKUP(Table1[[#This Row],[5 cm2 cell test code]:[5 cm2 cell test code]],[1]!Table1[[Test code]:[Test code]],[1]!Table1[Anode ICR/mOhm],"",0)</f>
        <v>#REF!</v>
      </c>
      <c r="AD1734" s="69" t="e" cm="1">
        <f t="array" ref="AD1734">_xlfn.XLOOKUP(Table1[[#This Row],[5 cm2 cell test code]:[5 cm2 cell test code]],[1]!Table1[[Test code]:[Test code]],[1]!Table1[HFR DIW/ mOhm cm2],"",0)</f>
        <v>#REF!</v>
      </c>
      <c r="AE1734" s="69" t="e" cm="1">
        <f t="array" ref="AE1734">_xlfn.XLOOKUP(Table1[[#This Row],[5 cm2 cell test code]:[5 cm2 cell test code]],[1]!Table1[[Test code]:[Test code]],[1]!Table1[HFR 10 mM KOH/ mOhm cm2],"",0)</f>
        <v>#REF!</v>
      </c>
      <c r="AF1734" s="69" t="e" cm="1">
        <f t="array" ref="AF1734">_xlfn.XLOOKUP(Table1[[#This Row],[5 cm2 cell test code]:[5 cm2 cell test code]],[1]!Table1[[Test code]:[Test code]],[1]!Table1[Ionic resistance DIW/Ohm cm2],"",0)</f>
        <v>#REF!</v>
      </c>
      <c r="AG1734" s="69" t="e" cm="1">
        <f t="array" ref="AG1734">_xlfn.XLOOKUP(Table1[[#This Row],[5 cm2 cell test code]:[5 cm2 cell test code]],[1]!Table1[[Test code]:[Test code]],[1]!Table1[Q_int_frac DIW],"",0)</f>
        <v>#REF!</v>
      </c>
      <c r="AH1734" s="69" t="e" cm="1">
        <f t="array" ref="AH1734">_xlfn.XLOOKUP(Table1[[#This Row],[5 cm2 cell test code]:[5 cm2 cell test code]],[1]!Table1[[Test code]:[Test code]],[1]!Table1[Ionic resistance 10 mM KOH/Ohm cm2],"",0)</f>
        <v>#REF!</v>
      </c>
      <c r="AI1734" s="69" t="e" cm="1">
        <f t="array" ref="AI1734">_xlfn.XLOOKUP(Table1[[#This Row],[5 cm2 cell test code]:[5 cm2 cell test code]],[1]!Table1[[Test code]:[Test code]],[1]!Table1[Q_int_frac DIW 10 mM KOH],"",0)</f>
        <v>#REF!</v>
      </c>
      <c r="AJ1734" s="69" t="e" cm="1">
        <f t="array" ref="AJ1734">_xlfn.XLOOKUP(Table1[[#This Row],[5 cm2 cell test code]:[5 cm2 cell test code]],[1]!Table1[[Test code]:[Test code]],[1]!Table1[DIW conductivity (µS/cm)],"",0)</f>
        <v>#REF!</v>
      </c>
    </row>
    <row r="1735" spans="1:36">
      <c r="A1735" s="81"/>
      <c r="U1735" s="101"/>
      <c r="V1735" s="101"/>
      <c r="W1735" s="69" t="e" cm="1">
        <f t="array" ref="W1735">_xlfn.XLOOKUP(Table1[[#This Row],[5 cm2 cell test code]:[5 cm2 cell test code]],[1]!Table1[[Test code]:[Test code]],[1]!Table1[i @ 1.8 V DIW (A/cm2)],"",0)</f>
        <v>#REF!</v>
      </c>
      <c r="X1735" s="69" t="e" cm="1">
        <f t="array" ref="X1735">_xlfn.XLOOKUP(Table1[[#This Row],[5 cm2 cell test code]:[5 cm2 cell test code]],[1]!Table1[[Test code]:[Test code]],[1]!Table1[i @ 1.8 V 10 mM KOH (A/cm2)],"",0)</f>
        <v>#REF!</v>
      </c>
      <c r="Y1735" s="69" t="e" cm="1">
        <f t="array" ref="Y1735">_xlfn.XLOOKUP(Table1[[#This Row],[5 cm2 cell test code]:[5 cm2 cell test code]],[1]!Table1[[Test code]:[Test code]],[1]!Table1[3-E ƞ at 20mAcm-2 (mV)],"",0)</f>
        <v>#REF!</v>
      </c>
      <c r="Z1735" s="69" t="e" cm="1">
        <f t="array" ref="Z1735">_xlfn.XLOOKUP(Table1[[#This Row],[5 cm2 cell test code]:[5 cm2 cell test code]],[1]!Table1[[Test code]:[Test code]],[1]!Table1[3-E Tafel slope (mV/dec)],"",0)</f>
        <v>#REF!</v>
      </c>
      <c r="AA1735" s="69" t="e" cm="1">
        <f t="array" ref="AA1735">_xlfn.XLOOKUP(Table1[[#This Row],[5 cm2 cell test code]:[5 cm2 cell test code]],[1]!Table1[[Test code]:[Test code]],[1]!Table1[E @ 100 mA/cm2 DIW/V],"",0)</f>
        <v>#REF!</v>
      </c>
      <c r="AB1735" s="69" t="e" cm="1">
        <f t="array" ref="AB1735">_xlfn.XLOOKUP(Table1[[#This Row],[5 cm2 cell test code]:[5 cm2 cell test code]],[1]!Table1[[Test code]:[Test code]],[1]!Table1[E @ 100 mA/cm2 10 mM KOH/V],"",0)</f>
        <v>#REF!</v>
      </c>
      <c r="AC1735" s="69" t="e" cm="1">
        <f t="array" ref="AC1735">_xlfn.XLOOKUP(Table1[[#This Row],[5 cm2 cell test code]:[5 cm2 cell test code]],[1]!Table1[[Test code]:[Test code]],[1]!Table1[Anode ICR/mOhm],"",0)</f>
        <v>#REF!</v>
      </c>
      <c r="AD1735" s="69" t="e" cm="1">
        <f t="array" ref="AD1735">_xlfn.XLOOKUP(Table1[[#This Row],[5 cm2 cell test code]:[5 cm2 cell test code]],[1]!Table1[[Test code]:[Test code]],[1]!Table1[HFR DIW/ mOhm cm2],"",0)</f>
        <v>#REF!</v>
      </c>
      <c r="AE1735" s="69" t="e" cm="1">
        <f t="array" ref="AE1735">_xlfn.XLOOKUP(Table1[[#This Row],[5 cm2 cell test code]:[5 cm2 cell test code]],[1]!Table1[[Test code]:[Test code]],[1]!Table1[HFR 10 mM KOH/ mOhm cm2],"",0)</f>
        <v>#REF!</v>
      </c>
      <c r="AF1735" s="69" t="e" cm="1">
        <f t="array" ref="AF1735">_xlfn.XLOOKUP(Table1[[#This Row],[5 cm2 cell test code]:[5 cm2 cell test code]],[1]!Table1[[Test code]:[Test code]],[1]!Table1[Ionic resistance DIW/Ohm cm2],"",0)</f>
        <v>#REF!</v>
      </c>
      <c r="AG1735" s="69" t="e" cm="1">
        <f t="array" ref="AG1735">_xlfn.XLOOKUP(Table1[[#This Row],[5 cm2 cell test code]:[5 cm2 cell test code]],[1]!Table1[[Test code]:[Test code]],[1]!Table1[Q_int_frac DIW],"",0)</f>
        <v>#REF!</v>
      </c>
      <c r="AH1735" s="69" t="e" cm="1">
        <f t="array" ref="AH1735">_xlfn.XLOOKUP(Table1[[#This Row],[5 cm2 cell test code]:[5 cm2 cell test code]],[1]!Table1[[Test code]:[Test code]],[1]!Table1[Ionic resistance 10 mM KOH/Ohm cm2],"",0)</f>
        <v>#REF!</v>
      </c>
      <c r="AI1735" s="69" t="e" cm="1">
        <f t="array" ref="AI1735">_xlfn.XLOOKUP(Table1[[#This Row],[5 cm2 cell test code]:[5 cm2 cell test code]],[1]!Table1[[Test code]:[Test code]],[1]!Table1[Q_int_frac DIW 10 mM KOH],"",0)</f>
        <v>#REF!</v>
      </c>
      <c r="AJ1735" s="69" t="e" cm="1">
        <f t="array" ref="AJ1735">_xlfn.XLOOKUP(Table1[[#This Row],[5 cm2 cell test code]:[5 cm2 cell test code]],[1]!Table1[[Test code]:[Test code]],[1]!Table1[DIW conductivity (µS/cm)],"",0)</f>
        <v>#REF!</v>
      </c>
    </row>
    <row r="1736" spans="1:36">
      <c r="A1736" s="81"/>
      <c r="U1736" s="101"/>
      <c r="V1736" s="101"/>
      <c r="W1736" s="69" t="e" cm="1">
        <f t="array" ref="W1736">_xlfn.XLOOKUP(Table1[[#This Row],[5 cm2 cell test code]:[5 cm2 cell test code]],[1]!Table1[[Test code]:[Test code]],[1]!Table1[i @ 1.8 V DIW (A/cm2)],"",0)</f>
        <v>#REF!</v>
      </c>
      <c r="X1736" s="69" t="e" cm="1">
        <f t="array" ref="X1736">_xlfn.XLOOKUP(Table1[[#This Row],[5 cm2 cell test code]:[5 cm2 cell test code]],[1]!Table1[[Test code]:[Test code]],[1]!Table1[i @ 1.8 V 10 mM KOH (A/cm2)],"",0)</f>
        <v>#REF!</v>
      </c>
      <c r="Y1736" s="69" t="e" cm="1">
        <f t="array" ref="Y1736">_xlfn.XLOOKUP(Table1[[#This Row],[5 cm2 cell test code]:[5 cm2 cell test code]],[1]!Table1[[Test code]:[Test code]],[1]!Table1[3-E ƞ at 20mAcm-2 (mV)],"",0)</f>
        <v>#REF!</v>
      </c>
      <c r="Z1736" s="69" t="e" cm="1">
        <f t="array" ref="Z1736">_xlfn.XLOOKUP(Table1[[#This Row],[5 cm2 cell test code]:[5 cm2 cell test code]],[1]!Table1[[Test code]:[Test code]],[1]!Table1[3-E Tafel slope (mV/dec)],"",0)</f>
        <v>#REF!</v>
      </c>
      <c r="AA1736" s="69" t="e" cm="1">
        <f t="array" ref="AA1736">_xlfn.XLOOKUP(Table1[[#This Row],[5 cm2 cell test code]:[5 cm2 cell test code]],[1]!Table1[[Test code]:[Test code]],[1]!Table1[E @ 100 mA/cm2 DIW/V],"",0)</f>
        <v>#REF!</v>
      </c>
      <c r="AB1736" s="69" t="e" cm="1">
        <f t="array" ref="AB1736">_xlfn.XLOOKUP(Table1[[#This Row],[5 cm2 cell test code]:[5 cm2 cell test code]],[1]!Table1[[Test code]:[Test code]],[1]!Table1[E @ 100 mA/cm2 10 mM KOH/V],"",0)</f>
        <v>#REF!</v>
      </c>
      <c r="AC1736" s="69" t="e" cm="1">
        <f t="array" ref="AC1736">_xlfn.XLOOKUP(Table1[[#This Row],[5 cm2 cell test code]:[5 cm2 cell test code]],[1]!Table1[[Test code]:[Test code]],[1]!Table1[Anode ICR/mOhm],"",0)</f>
        <v>#REF!</v>
      </c>
      <c r="AD1736" s="69" t="e" cm="1">
        <f t="array" ref="AD1736">_xlfn.XLOOKUP(Table1[[#This Row],[5 cm2 cell test code]:[5 cm2 cell test code]],[1]!Table1[[Test code]:[Test code]],[1]!Table1[HFR DIW/ mOhm cm2],"",0)</f>
        <v>#REF!</v>
      </c>
      <c r="AE1736" s="69" t="e" cm="1">
        <f t="array" ref="AE1736">_xlfn.XLOOKUP(Table1[[#This Row],[5 cm2 cell test code]:[5 cm2 cell test code]],[1]!Table1[[Test code]:[Test code]],[1]!Table1[HFR 10 mM KOH/ mOhm cm2],"",0)</f>
        <v>#REF!</v>
      </c>
      <c r="AF1736" s="69" t="e" cm="1">
        <f t="array" ref="AF1736">_xlfn.XLOOKUP(Table1[[#This Row],[5 cm2 cell test code]:[5 cm2 cell test code]],[1]!Table1[[Test code]:[Test code]],[1]!Table1[Ionic resistance DIW/Ohm cm2],"",0)</f>
        <v>#REF!</v>
      </c>
      <c r="AG1736" s="69" t="e" cm="1">
        <f t="array" ref="AG1736">_xlfn.XLOOKUP(Table1[[#This Row],[5 cm2 cell test code]:[5 cm2 cell test code]],[1]!Table1[[Test code]:[Test code]],[1]!Table1[Q_int_frac DIW],"",0)</f>
        <v>#REF!</v>
      </c>
      <c r="AH1736" s="69" t="e" cm="1">
        <f t="array" ref="AH1736">_xlfn.XLOOKUP(Table1[[#This Row],[5 cm2 cell test code]:[5 cm2 cell test code]],[1]!Table1[[Test code]:[Test code]],[1]!Table1[Ionic resistance 10 mM KOH/Ohm cm2],"",0)</f>
        <v>#REF!</v>
      </c>
      <c r="AI1736" s="69" t="e" cm="1">
        <f t="array" ref="AI1736">_xlfn.XLOOKUP(Table1[[#This Row],[5 cm2 cell test code]:[5 cm2 cell test code]],[1]!Table1[[Test code]:[Test code]],[1]!Table1[Q_int_frac DIW 10 mM KOH],"",0)</f>
        <v>#REF!</v>
      </c>
      <c r="AJ1736" s="69" t="e" cm="1">
        <f t="array" ref="AJ1736">_xlfn.XLOOKUP(Table1[[#This Row],[5 cm2 cell test code]:[5 cm2 cell test code]],[1]!Table1[[Test code]:[Test code]],[1]!Table1[DIW conductivity (µS/cm)],"",0)</f>
        <v>#REF!</v>
      </c>
    </row>
    <row r="1737" spans="1:36">
      <c r="A1737" s="81"/>
      <c r="U1737" s="101"/>
      <c r="V1737" s="101"/>
      <c r="W1737" s="69" t="e" cm="1">
        <f t="array" ref="W1737">_xlfn.XLOOKUP(Table1[[#This Row],[5 cm2 cell test code]:[5 cm2 cell test code]],[1]!Table1[[Test code]:[Test code]],[1]!Table1[i @ 1.8 V DIW (A/cm2)],"",0)</f>
        <v>#REF!</v>
      </c>
      <c r="X1737" s="69" t="e" cm="1">
        <f t="array" ref="X1737">_xlfn.XLOOKUP(Table1[[#This Row],[5 cm2 cell test code]:[5 cm2 cell test code]],[1]!Table1[[Test code]:[Test code]],[1]!Table1[i @ 1.8 V 10 mM KOH (A/cm2)],"",0)</f>
        <v>#REF!</v>
      </c>
      <c r="Y1737" s="69" t="e" cm="1">
        <f t="array" ref="Y1737">_xlfn.XLOOKUP(Table1[[#This Row],[5 cm2 cell test code]:[5 cm2 cell test code]],[1]!Table1[[Test code]:[Test code]],[1]!Table1[3-E ƞ at 20mAcm-2 (mV)],"",0)</f>
        <v>#REF!</v>
      </c>
      <c r="Z1737" s="69" t="e" cm="1">
        <f t="array" ref="Z1737">_xlfn.XLOOKUP(Table1[[#This Row],[5 cm2 cell test code]:[5 cm2 cell test code]],[1]!Table1[[Test code]:[Test code]],[1]!Table1[3-E Tafel slope (mV/dec)],"",0)</f>
        <v>#REF!</v>
      </c>
      <c r="AA1737" s="69" t="e" cm="1">
        <f t="array" ref="AA1737">_xlfn.XLOOKUP(Table1[[#This Row],[5 cm2 cell test code]:[5 cm2 cell test code]],[1]!Table1[[Test code]:[Test code]],[1]!Table1[E @ 100 mA/cm2 DIW/V],"",0)</f>
        <v>#REF!</v>
      </c>
      <c r="AB1737" s="69" t="e" cm="1">
        <f t="array" ref="AB1737">_xlfn.XLOOKUP(Table1[[#This Row],[5 cm2 cell test code]:[5 cm2 cell test code]],[1]!Table1[[Test code]:[Test code]],[1]!Table1[E @ 100 mA/cm2 10 mM KOH/V],"",0)</f>
        <v>#REF!</v>
      </c>
      <c r="AC1737" s="69" t="e" cm="1">
        <f t="array" ref="AC1737">_xlfn.XLOOKUP(Table1[[#This Row],[5 cm2 cell test code]:[5 cm2 cell test code]],[1]!Table1[[Test code]:[Test code]],[1]!Table1[Anode ICR/mOhm],"",0)</f>
        <v>#REF!</v>
      </c>
      <c r="AD1737" s="69" t="e" cm="1">
        <f t="array" ref="AD1737">_xlfn.XLOOKUP(Table1[[#This Row],[5 cm2 cell test code]:[5 cm2 cell test code]],[1]!Table1[[Test code]:[Test code]],[1]!Table1[HFR DIW/ mOhm cm2],"",0)</f>
        <v>#REF!</v>
      </c>
      <c r="AE1737" s="69" t="e" cm="1">
        <f t="array" ref="AE1737">_xlfn.XLOOKUP(Table1[[#This Row],[5 cm2 cell test code]:[5 cm2 cell test code]],[1]!Table1[[Test code]:[Test code]],[1]!Table1[HFR 10 mM KOH/ mOhm cm2],"",0)</f>
        <v>#REF!</v>
      </c>
      <c r="AF1737" s="69" t="e" cm="1">
        <f t="array" ref="AF1737">_xlfn.XLOOKUP(Table1[[#This Row],[5 cm2 cell test code]:[5 cm2 cell test code]],[1]!Table1[[Test code]:[Test code]],[1]!Table1[Ionic resistance DIW/Ohm cm2],"",0)</f>
        <v>#REF!</v>
      </c>
      <c r="AG1737" s="69" t="e" cm="1">
        <f t="array" ref="AG1737">_xlfn.XLOOKUP(Table1[[#This Row],[5 cm2 cell test code]:[5 cm2 cell test code]],[1]!Table1[[Test code]:[Test code]],[1]!Table1[Q_int_frac DIW],"",0)</f>
        <v>#REF!</v>
      </c>
      <c r="AH1737" s="69" t="e" cm="1">
        <f t="array" ref="AH1737">_xlfn.XLOOKUP(Table1[[#This Row],[5 cm2 cell test code]:[5 cm2 cell test code]],[1]!Table1[[Test code]:[Test code]],[1]!Table1[Ionic resistance 10 mM KOH/Ohm cm2],"",0)</f>
        <v>#REF!</v>
      </c>
      <c r="AI1737" s="69" t="e" cm="1">
        <f t="array" ref="AI1737">_xlfn.XLOOKUP(Table1[[#This Row],[5 cm2 cell test code]:[5 cm2 cell test code]],[1]!Table1[[Test code]:[Test code]],[1]!Table1[Q_int_frac DIW 10 mM KOH],"",0)</f>
        <v>#REF!</v>
      </c>
      <c r="AJ1737" s="69" t="e" cm="1">
        <f t="array" ref="AJ1737">_xlfn.XLOOKUP(Table1[[#This Row],[5 cm2 cell test code]:[5 cm2 cell test code]],[1]!Table1[[Test code]:[Test code]],[1]!Table1[DIW conductivity (µS/cm)],"",0)</f>
        <v>#REF!</v>
      </c>
    </row>
    <row r="1738" spans="1:36">
      <c r="A1738" s="81"/>
      <c r="U1738" s="101"/>
      <c r="V1738" s="101"/>
      <c r="W1738" s="69" t="e" cm="1">
        <f t="array" ref="W1738">_xlfn.XLOOKUP(Table1[[#This Row],[5 cm2 cell test code]:[5 cm2 cell test code]],[1]!Table1[[Test code]:[Test code]],[1]!Table1[i @ 1.8 V DIW (A/cm2)],"",0)</f>
        <v>#REF!</v>
      </c>
      <c r="X1738" s="69" t="e" cm="1">
        <f t="array" ref="X1738">_xlfn.XLOOKUP(Table1[[#This Row],[5 cm2 cell test code]:[5 cm2 cell test code]],[1]!Table1[[Test code]:[Test code]],[1]!Table1[i @ 1.8 V 10 mM KOH (A/cm2)],"",0)</f>
        <v>#REF!</v>
      </c>
      <c r="Y1738" s="69" t="e" cm="1">
        <f t="array" ref="Y1738">_xlfn.XLOOKUP(Table1[[#This Row],[5 cm2 cell test code]:[5 cm2 cell test code]],[1]!Table1[[Test code]:[Test code]],[1]!Table1[3-E ƞ at 20mAcm-2 (mV)],"",0)</f>
        <v>#REF!</v>
      </c>
      <c r="Z1738" s="69" t="e" cm="1">
        <f t="array" ref="Z1738">_xlfn.XLOOKUP(Table1[[#This Row],[5 cm2 cell test code]:[5 cm2 cell test code]],[1]!Table1[[Test code]:[Test code]],[1]!Table1[3-E Tafel slope (mV/dec)],"",0)</f>
        <v>#REF!</v>
      </c>
      <c r="AA1738" s="69" t="e" cm="1">
        <f t="array" ref="AA1738">_xlfn.XLOOKUP(Table1[[#This Row],[5 cm2 cell test code]:[5 cm2 cell test code]],[1]!Table1[[Test code]:[Test code]],[1]!Table1[E @ 100 mA/cm2 DIW/V],"",0)</f>
        <v>#REF!</v>
      </c>
      <c r="AB1738" s="69" t="e" cm="1">
        <f t="array" ref="AB1738">_xlfn.XLOOKUP(Table1[[#This Row],[5 cm2 cell test code]:[5 cm2 cell test code]],[1]!Table1[[Test code]:[Test code]],[1]!Table1[E @ 100 mA/cm2 10 mM KOH/V],"",0)</f>
        <v>#REF!</v>
      </c>
      <c r="AC1738" s="69" t="e" cm="1">
        <f t="array" ref="AC1738">_xlfn.XLOOKUP(Table1[[#This Row],[5 cm2 cell test code]:[5 cm2 cell test code]],[1]!Table1[[Test code]:[Test code]],[1]!Table1[Anode ICR/mOhm],"",0)</f>
        <v>#REF!</v>
      </c>
      <c r="AD1738" s="69" t="e" cm="1">
        <f t="array" ref="AD1738">_xlfn.XLOOKUP(Table1[[#This Row],[5 cm2 cell test code]:[5 cm2 cell test code]],[1]!Table1[[Test code]:[Test code]],[1]!Table1[HFR DIW/ mOhm cm2],"",0)</f>
        <v>#REF!</v>
      </c>
      <c r="AE1738" s="69" t="e" cm="1">
        <f t="array" ref="AE1738">_xlfn.XLOOKUP(Table1[[#This Row],[5 cm2 cell test code]:[5 cm2 cell test code]],[1]!Table1[[Test code]:[Test code]],[1]!Table1[HFR 10 mM KOH/ mOhm cm2],"",0)</f>
        <v>#REF!</v>
      </c>
      <c r="AF1738" s="69" t="e" cm="1">
        <f t="array" ref="AF1738">_xlfn.XLOOKUP(Table1[[#This Row],[5 cm2 cell test code]:[5 cm2 cell test code]],[1]!Table1[[Test code]:[Test code]],[1]!Table1[Ionic resistance DIW/Ohm cm2],"",0)</f>
        <v>#REF!</v>
      </c>
      <c r="AG1738" s="69" t="e" cm="1">
        <f t="array" ref="AG1738">_xlfn.XLOOKUP(Table1[[#This Row],[5 cm2 cell test code]:[5 cm2 cell test code]],[1]!Table1[[Test code]:[Test code]],[1]!Table1[Q_int_frac DIW],"",0)</f>
        <v>#REF!</v>
      </c>
      <c r="AH1738" s="69" t="e" cm="1">
        <f t="array" ref="AH1738">_xlfn.XLOOKUP(Table1[[#This Row],[5 cm2 cell test code]:[5 cm2 cell test code]],[1]!Table1[[Test code]:[Test code]],[1]!Table1[Ionic resistance 10 mM KOH/Ohm cm2],"",0)</f>
        <v>#REF!</v>
      </c>
      <c r="AI1738" s="69" t="e" cm="1">
        <f t="array" ref="AI1738">_xlfn.XLOOKUP(Table1[[#This Row],[5 cm2 cell test code]:[5 cm2 cell test code]],[1]!Table1[[Test code]:[Test code]],[1]!Table1[Q_int_frac DIW 10 mM KOH],"",0)</f>
        <v>#REF!</v>
      </c>
      <c r="AJ1738" s="69" t="e" cm="1">
        <f t="array" ref="AJ1738">_xlfn.XLOOKUP(Table1[[#This Row],[5 cm2 cell test code]:[5 cm2 cell test code]],[1]!Table1[[Test code]:[Test code]],[1]!Table1[DIW conductivity (µS/cm)],"",0)</f>
        <v>#REF!</v>
      </c>
    </row>
    <row r="1739" spans="1:36">
      <c r="A1739" s="81"/>
      <c r="U1739" s="101"/>
      <c r="V1739" s="101"/>
      <c r="W1739" s="69" t="e" cm="1">
        <f t="array" ref="W1739">_xlfn.XLOOKUP(Table1[[#This Row],[5 cm2 cell test code]:[5 cm2 cell test code]],[1]!Table1[[Test code]:[Test code]],[1]!Table1[i @ 1.8 V DIW (A/cm2)],"",0)</f>
        <v>#REF!</v>
      </c>
      <c r="X1739" s="69" t="e" cm="1">
        <f t="array" ref="X1739">_xlfn.XLOOKUP(Table1[[#This Row],[5 cm2 cell test code]:[5 cm2 cell test code]],[1]!Table1[[Test code]:[Test code]],[1]!Table1[i @ 1.8 V 10 mM KOH (A/cm2)],"",0)</f>
        <v>#REF!</v>
      </c>
      <c r="Y1739" s="69" t="e" cm="1">
        <f t="array" ref="Y1739">_xlfn.XLOOKUP(Table1[[#This Row],[5 cm2 cell test code]:[5 cm2 cell test code]],[1]!Table1[[Test code]:[Test code]],[1]!Table1[3-E ƞ at 20mAcm-2 (mV)],"",0)</f>
        <v>#REF!</v>
      </c>
      <c r="Z1739" s="69" t="e" cm="1">
        <f t="array" ref="Z1739">_xlfn.XLOOKUP(Table1[[#This Row],[5 cm2 cell test code]:[5 cm2 cell test code]],[1]!Table1[[Test code]:[Test code]],[1]!Table1[3-E Tafel slope (mV/dec)],"",0)</f>
        <v>#REF!</v>
      </c>
      <c r="AA1739" s="69" t="e" cm="1">
        <f t="array" ref="AA1739">_xlfn.XLOOKUP(Table1[[#This Row],[5 cm2 cell test code]:[5 cm2 cell test code]],[1]!Table1[[Test code]:[Test code]],[1]!Table1[E @ 100 mA/cm2 DIW/V],"",0)</f>
        <v>#REF!</v>
      </c>
      <c r="AB1739" s="69" t="e" cm="1">
        <f t="array" ref="AB1739">_xlfn.XLOOKUP(Table1[[#This Row],[5 cm2 cell test code]:[5 cm2 cell test code]],[1]!Table1[[Test code]:[Test code]],[1]!Table1[E @ 100 mA/cm2 10 mM KOH/V],"",0)</f>
        <v>#REF!</v>
      </c>
      <c r="AC1739" s="69" t="e" cm="1">
        <f t="array" ref="AC1739">_xlfn.XLOOKUP(Table1[[#This Row],[5 cm2 cell test code]:[5 cm2 cell test code]],[1]!Table1[[Test code]:[Test code]],[1]!Table1[Anode ICR/mOhm],"",0)</f>
        <v>#REF!</v>
      </c>
      <c r="AD1739" s="69" t="e" cm="1">
        <f t="array" ref="AD1739">_xlfn.XLOOKUP(Table1[[#This Row],[5 cm2 cell test code]:[5 cm2 cell test code]],[1]!Table1[[Test code]:[Test code]],[1]!Table1[HFR DIW/ mOhm cm2],"",0)</f>
        <v>#REF!</v>
      </c>
      <c r="AE1739" s="69" t="e" cm="1">
        <f t="array" ref="AE1739">_xlfn.XLOOKUP(Table1[[#This Row],[5 cm2 cell test code]:[5 cm2 cell test code]],[1]!Table1[[Test code]:[Test code]],[1]!Table1[HFR 10 mM KOH/ mOhm cm2],"",0)</f>
        <v>#REF!</v>
      </c>
      <c r="AF1739" s="69" t="e" cm="1">
        <f t="array" ref="AF1739">_xlfn.XLOOKUP(Table1[[#This Row],[5 cm2 cell test code]:[5 cm2 cell test code]],[1]!Table1[[Test code]:[Test code]],[1]!Table1[Ionic resistance DIW/Ohm cm2],"",0)</f>
        <v>#REF!</v>
      </c>
      <c r="AG1739" s="69" t="e" cm="1">
        <f t="array" ref="AG1739">_xlfn.XLOOKUP(Table1[[#This Row],[5 cm2 cell test code]:[5 cm2 cell test code]],[1]!Table1[[Test code]:[Test code]],[1]!Table1[Q_int_frac DIW],"",0)</f>
        <v>#REF!</v>
      </c>
      <c r="AH1739" s="69" t="e" cm="1">
        <f t="array" ref="AH1739">_xlfn.XLOOKUP(Table1[[#This Row],[5 cm2 cell test code]:[5 cm2 cell test code]],[1]!Table1[[Test code]:[Test code]],[1]!Table1[Ionic resistance 10 mM KOH/Ohm cm2],"",0)</f>
        <v>#REF!</v>
      </c>
      <c r="AI1739" s="69" t="e" cm="1">
        <f t="array" ref="AI1739">_xlfn.XLOOKUP(Table1[[#This Row],[5 cm2 cell test code]:[5 cm2 cell test code]],[1]!Table1[[Test code]:[Test code]],[1]!Table1[Q_int_frac DIW 10 mM KOH],"",0)</f>
        <v>#REF!</v>
      </c>
      <c r="AJ1739" s="69" t="e" cm="1">
        <f t="array" ref="AJ1739">_xlfn.XLOOKUP(Table1[[#This Row],[5 cm2 cell test code]:[5 cm2 cell test code]],[1]!Table1[[Test code]:[Test code]],[1]!Table1[DIW conductivity (µS/cm)],"",0)</f>
        <v>#REF!</v>
      </c>
    </row>
    <row r="1740" spans="1:36">
      <c r="A1740" s="81"/>
      <c r="U1740" s="101"/>
      <c r="V1740" s="101"/>
      <c r="W1740" s="69" t="e" cm="1">
        <f t="array" ref="W1740">_xlfn.XLOOKUP(Table1[[#This Row],[5 cm2 cell test code]:[5 cm2 cell test code]],[1]!Table1[[Test code]:[Test code]],[1]!Table1[i @ 1.8 V DIW (A/cm2)],"",0)</f>
        <v>#REF!</v>
      </c>
      <c r="X1740" s="69" t="e" cm="1">
        <f t="array" ref="X1740">_xlfn.XLOOKUP(Table1[[#This Row],[5 cm2 cell test code]:[5 cm2 cell test code]],[1]!Table1[[Test code]:[Test code]],[1]!Table1[i @ 1.8 V 10 mM KOH (A/cm2)],"",0)</f>
        <v>#REF!</v>
      </c>
      <c r="Y1740" s="69" t="e" cm="1">
        <f t="array" ref="Y1740">_xlfn.XLOOKUP(Table1[[#This Row],[5 cm2 cell test code]:[5 cm2 cell test code]],[1]!Table1[[Test code]:[Test code]],[1]!Table1[3-E ƞ at 20mAcm-2 (mV)],"",0)</f>
        <v>#REF!</v>
      </c>
      <c r="Z1740" s="69" t="e" cm="1">
        <f t="array" ref="Z1740">_xlfn.XLOOKUP(Table1[[#This Row],[5 cm2 cell test code]:[5 cm2 cell test code]],[1]!Table1[[Test code]:[Test code]],[1]!Table1[3-E Tafel slope (mV/dec)],"",0)</f>
        <v>#REF!</v>
      </c>
      <c r="AA1740" s="69" t="e" cm="1">
        <f t="array" ref="AA1740">_xlfn.XLOOKUP(Table1[[#This Row],[5 cm2 cell test code]:[5 cm2 cell test code]],[1]!Table1[[Test code]:[Test code]],[1]!Table1[E @ 100 mA/cm2 DIW/V],"",0)</f>
        <v>#REF!</v>
      </c>
      <c r="AB1740" s="69" t="e" cm="1">
        <f t="array" ref="AB1740">_xlfn.XLOOKUP(Table1[[#This Row],[5 cm2 cell test code]:[5 cm2 cell test code]],[1]!Table1[[Test code]:[Test code]],[1]!Table1[E @ 100 mA/cm2 10 mM KOH/V],"",0)</f>
        <v>#REF!</v>
      </c>
      <c r="AC1740" s="69" t="e" cm="1">
        <f t="array" ref="AC1740">_xlfn.XLOOKUP(Table1[[#This Row],[5 cm2 cell test code]:[5 cm2 cell test code]],[1]!Table1[[Test code]:[Test code]],[1]!Table1[Anode ICR/mOhm],"",0)</f>
        <v>#REF!</v>
      </c>
      <c r="AD1740" s="69" t="e" cm="1">
        <f t="array" ref="AD1740">_xlfn.XLOOKUP(Table1[[#This Row],[5 cm2 cell test code]:[5 cm2 cell test code]],[1]!Table1[[Test code]:[Test code]],[1]!Table1[HFR DIW/ mOhm cm2],"",0)</f>
        <v>#REF!</v>
      </c>
      <c r="AE1740" s="69" t="e" cm="1">
        <f t="array" ref="AE1740">_xlfn.XLOOKUP(Table1[[#This Row],[5 cm2 cell test code]:[5 cm2 cell test code]],[1]!Table1[[Test code]:[Test code]],[1]!Table1[HFR 10 mM KOH/ mOhm cm2],"",0)</f>
        <v>#REF!</v>
      </c>
      <c r="AF1740" s="69" t="e" cm="1">
        <f t="array" ref="AF1740">_xlfn.XLOOKUP(Table1[[#This Row],[5 cm2 cell test code]:[5 cm2 cell test code]],[1]!Table1[[Test code]:[Test code]],[1]!Table1[Ionic resistance DIW/Ohm cm2],"",0)</f>
        <v>#REF!</v>
      </c>
      <c r="AG1740" s="69" t="e" cm="1">
        <f t="array" ref="AG1740">_xlfn.XLOOKUP(Table1[[#This Row],[5 cm2 cell test code]:[5 cm2 cell test code]],[1]!Table1[[Test code]:[Test code]],[1]!Table1[Q_int_frac DIW],"",0)</f>
        <v>#REF!</v>
      </c>
      <c r="AH1740" s="69" t="e" cm="1">
        <f t="array" ref="AH1740">_xlfn.XLOOKUP(Table1[[#This Row],[5 cm2 cell test code]:[5 cm2 cell test code]],[1]!Table1[[Test code]:[Test code]],[1]!Table1[Ionic resistance 10 mM KOH/Ohm cm2],"",0)</f>
        <v>#REF!</v>
      </c>
      <c r="AI1740" s="69" t="e" cm="1">
        <f t="array" ref="AI1740">_xlfn.XLOOKUP(Table1[[#This Row],[5 cm2 cell test code]:[5 cm2 cell test code]],[1]!Table1[[Test code]:[Test code]],[1]!Table1[Q_int_frac DIW 10 mM KOH],"",0)</f>
        <v>#REF!</v>
      </c>
      <c r="AJ1740" s="69" t="e" cm="1">
        <f t="array" ref="AJ1740">_xlfn.XLOOKUP(Table1[[#This Row],[5 cm2 cell test code]:[5 cm2 cell test code]],[1]!Table1[[Test code]:[Test code]],[1]!Table1[DIW conductivity (µS/cm)],"",0)</f>
        <v>#REF!</v>
      </c>
    </row>
    <row r="1741" spans="1:36">
      <c r="A1741" s="81"/>
      <c r="U1741" s="101"/>
      <c r="V1741" s="101"/>
      <c r="W1741" s="69" t="e" cm="1">
        <f t="array" ref="W1741">_xlfn.XLOOKUP(Table1[[#This Row],[5 cm2 cell test code]:[5 cm2 cell test code]],[1]!Table1[[Test code]:[Test code]],[1]!Table1[i @ 1.8 V DIW (A/cm2)],"",0)</f>
        <v>#REF!</v>
      </c>
      <c r="X1741" s="69" t="e" cm="1">
        <f t="array" ref="X1741">_xlfn.XLOOKUP(Table1[[#This Row],[5 cm2 cell test code]:[5 cm2 cell test code]],[1]!Table1[[Test code]:[Test code]],[1]!Table1[i @ 1.8 V 10 mM KOH (A/cm2)],"",0)</f>
        <v>#REF!</v>
      </c>
      <c r="Y1741" s="69" t="e" cm="1">
        <f t="array" ref="Y1741">_xlfn.XLOOKUP(Table1[[#This Row],[5 cm2 cell test code]:[5 cm2 cell test code]],[1]!Table1[[Test code]:[Test code]],[1]!Table1[3-E ƞ at 20mAcm-2 (mV)],"",0)</f>
        <v>#REF!</v>
      </c>
      <c r="Z1741" s="69" t="e" cm="1">
        <f t="array" ref="Z1741">_xlfn.XLOOKUP(Table1[[#This Row],[5 cm2 cell test code]:[5 cm2 cell test code]],[1]!Table1[[Test code]:[Test code]],[1]!Table1[3-E Tafel slope (mV/dec)],"",0)</f>
        <v>#REF!</v>
      </c>
      <c r="AA1741" s="69" t="e" cm="1">
        <f t="array" ref="AA1741">_xlfn.XLOOKUP(Table1[[#This Row],[5 cm2 cell test code]:[5 cm2 cell test code]],[1]!Table1[[Test code]:[Test code]],[1]!Table1[E @ 100 mA/cm2 DIW/V],"",0)</f>
        <v>#REF!</v>
      </c>
      <c r="AB1741" s="69" t="e" cm="1">
        <f t="array" ref="AB1741">_xlfn.XLOOKUP(Table1[[#This Row],[5 cm2 cell test code]:[5 cm2 cell test code]],[1]!Table1[[Test code]:[Test code]],[1]!Table1[E @ 100 mA/cm2 10 mM KOH/V],"",0)</f>
        <v>#REF!</v>
      </c>
      <c r="AC1741" s="69" t="e" cm="1">
        <f t="array" ref="AC1741">_xlfn.XLOOKUP(Table1[[#This Row],[5 cm2 cell test code]:[5 cm2 cell test code]],[1]!Table1[[Test code]:[Test code]],[1]!Table1[Anode ICR/mOhm],"",0)</f>
        <v>#REF!</v>
      </c>
      <c r="AD1741" s="69" t="e" cm="1">
        <f t="array" ref="AD1741">_xlfn.XLOOKUP(Table1[[#This Row],[5 cm2 cell test code]:[5 cm2 cell test code]],[1]!Table1[[Test code]:[Test code]],[1]!Table1[HFR DIW/ mOhm cm2],"",0)</f>
        <v>#REF!</v>
      </c>
      <c r="AE1741" s="69" t="e" cm="1">
        <f t="array" ref="AE1741">_xlfn.XLOOKUP(Table1[[#This Row],[5 cm2 cell test code]:[5 cm2 cell test code]],[1]!Table1[[Test code]:[Test code]],[1]!Table1[HFR 10 mM KOH/ mOhm cm2],"",0)</f>
        <v>#REF!</v>
      </c>
      <c r="AF1741" s="69" t="e" cm="1">
        <f t="array" ref="AF1741">_xlfn.XLOOKUP(Table1[[#This Row],[5 cm2 cell test code]:[5 cm2 cell test code]],[1]!Table1[[Test code]:[Test code]],[1]!Table1[Ionic resistance DIW/Ohm cm2],"",0)</f>
        <v>#REF!</v>
      </c>
      <c r="AG1741" s="69" t="e" cm="1">
        <f t="array" ref="AG1741">_xlfn.XLOOKUP(Table1[[#This Row],[5 cm2 cell test code]:[5 cm2 cell test code]],[1]!Table1[[Test code]:[Test code]],[1]!Table1[Q_int_frac DIW],"",0)</f>
        <v>#REF!</v>
      </c>
      <c r="AH1741" s="69" t="e" cm="1">
        <f t="array" ref="AH1741">_xlfn.XLOOKUP(Table1[[#This Row],[5 cm2 cell test code]:[5 cm2 cell test code]],[1]!Table1[[Test code]:[Test code]],[1]!Table1[Ionic resistance 10 mM KOH/Ohm cm2],"",0)</f>
        <v>#REF!</v>
      </c>
      <c r="AI1741" s="69" t="e" cm="1">
        <f t="array" ref="AI1741">_xlfn.XLOOKUP(Table1[[#This Row],[5 cm2 cell test code]:[5 cm2 cell test code]],[1]!Table1[[Test code]:[Test code]],[1]!Table1[Q_int_frac DIW 10 mM KOH],"",0)</f>
        <v>#REF!</v>
      </c>
      <c r="AJ1741" s="69" t="e" cm="1">
        <f t="array" ref="AJ1741">_xlfn.XLOOKUP(Table1[[#This Row],[5 cm2 cell test code]:[5 cm2 cell test code]],[1]!Table1[[Test code]:[Test code]],[1]!Table1[DIW conductivity (µS/cm)],"",0)</f>
        <v>#REF!</v>
      </c>
    </row>
    <row r="1742" spans="1:36">
      <c r="A1742" s="81"/>
      <c r="U1742" s="101"/>
      <c r="V1742" s="101"/>
      <c r="W1742" s="69" t="e" cm="1">
        <f t="array" ref="W1742">_xlfn.XLOOKUP(Table1[[#This Row],[5 cm2 cell test code]:[5 cm2 cell test code]],[1]!Table1[[Test code]:[Test code]],[1]!Table1[i @ 1.8 V DIW (A/cm2)],"",0)</f>
        <v>#REF!</v>
      </c>
      <c r="X1742" s="69" t="e" cm="1">
        <f t="array" ref="X1742">_xlfn.XLOOKUP(Table1[[#This Row],[5 cm2 cell test code]:[5 cm2 cell test code]],[1]!Table1[[Test code]:[Test code]],[1]!Table1[i @ 1.8 V 10 mM KOH (A/cm2)],"",0)</f>
        <v>#REF!</v>
      </c>
      <c r="Y1742" s="69" t="e" cm="1">
        <f t="array" ref="Y1742">_xlfn.XLOOKUP(Table1[[#This Row],[5 cm2 cell test code]:[5 cm2 cell test code]],[1]!Table1[[Test code]:[Test code]],[1]!Table1[3-E ƞ at 20mAcm-2 (mV)],"",0)</f>
        <v>#REF!</v>
      </c>
      <c r="Z1742" s="69" t="e" cm="1">
        <f t="array" ref="Z1742">_xlfn.XLOOKUP(Table1[[#This Row],[5 cm2 cell test code]:[5 cm2 cell test code]],[1]!Table1[[Test code]:[Test code]],[1]!Table1[3-E Tafel slope (mV/dec)],"",0)</f>
        <v>#REF!</v>
      </c>
      <c r="AA1742" s="69" t="e" cm="1">
        <f t="array" ref="AA1742">_xlfn.XLOOKUP(Table1[[#This Row],[5 cm2 cell test code]:[5 cm2 cell test code]],[1]!Table1[[Test code]:[Test code]],[1]!Table1[E @ 100 mA/cm2 DIW/V],"",0)</f>
        <v>#REF!</v>
      </c>
      <c r="AB1742" s="69" t="e" cm="1">
        <f t="array" ref="AB1742">_xlfn.XLOOKUP(Table1[[#This Row],[5 cm2 cell test code]:[5 cm2 cell test code]],[1]!Table1[[Test code]:[Test code]],[1]!Table1[E @ 100 mA/cm2 10 mM KOH/V],"",0)</f>
        <v>#REF!</v>
      </c>
      <c r="AC1742" s="69" t="e" cm="1">
        <f t="array" ref="AC1742">_xlfn.XLOOKUP(Table1[[#This Row],[5 cm2 cell test code]:[5 cm2 cell test code]],[1]!Table1[[Test code]:[Test code]],[1]!Table1[Anode ICR/mOhm],"",0)</f>
        <v>#REF!</v>
      </c>
      <c r="AD1742" s="69" t="e" cm="1">
        <f t="array" ref="AD1742">_xlfn.XLOOKUP(Table1[[#This Row],[5 cm2 cell test code]:[5 cm2 cell test code]],[1]!Table1[[Test code]:[Test code]],[1]!Table1[HFR DIW/ mOhm cm2],"",0)</f>
        <v>#REF!</v>
      </c>
      <c r="AE1742" s="69" t="e" cm="1">
        <f t="array" ref="AE1742">_xlfn.XLOOKUP(Table1[[#This Row],[5 cm2 cell test code]:[5 cm2 cell test code]],[1]!Table1[[Test code]:[Test code]],[1]!Table1[HFR 10 mM KOH/ mOhm cm2],"",0)</f>
        <v>#REF!</v>
      </c>
      <c r="AF1742" s="69" t="e" cm="1">
        <f t="array" ref="AF1742">_xlfn.XLOOKUP(Table1[[#This Row],[5 cm2 cell test code]:[5 cm2 cell test code]],[1]!Table1[[Test code]:[Test code]],[1]!Table1[Ionic resistance DIW/Ohm cm2],"",0)</f>
        <v>#REF!</v>
      </c>
      <c r="AG1742" s="69" t="e" cm="1">
        <f t="array" ref="AG1742">_xlfn.XLOOKUP(Table1[[#This Row],[5 cm2 cell test code]:[5 cm2 cell test code]],[1]!Table1[[Test code]:[Test code]],[1]!Table1[Q_int_frac DIW],"",0)</f>
        <v>#REF!</v>
      </c>
      <c r="AH1742" s="69" t="e" cm="1">
        <f t="array" ref="AH1742">_xlfn.XLOOKUP(Table1[[#This Row],[5 cm2 cell test code]:[5 cm2 cell test code]],[1]!Table1[[Test code]:[Test code]],[1]!Table1[Ionic resistance 10 mM KOH/Ohm cm2],"",0)</f>
        <v>#REF!</v>
      </c>
      <c r="AI1742" s="69" t="e" cm="1">
        <f t="array" ref="AI1742">_xlfn.XLOOKUP(Table1[[#This Row],[5 cm2 cell test code]:[5 cm2 cell test code]],[1]!Table1[[Test code]:[Test code]],[1]!Table1[Q_int_frac DIW 10 mM KOH],"",0)</f>
        <v>#REF!</v>
      </c>
      <c r="AJ1742" s="69" t="e" cm="1">
        <f t="array" ref="AJ1742">_xlfn.XLOOKUP(Table1[[#This Row],[5 cm2 cell test code]:[5 cm2 cell test code]],[1]!Table1[[Test code]:[Test code]],[1]!Table1[DIW conductivity (µS/cm)],"",0)</f>
        <v>#REF!</v>
      </c>
    </row>
    <row r="1743" spans="1:36">
      <c r="A1743" s="81"/>
      <c r="U1743" s="101"/>
      <c r="V1743" s="101"/>
      <c r="W1743" s="69" t="e" cm="1">
        <f t="array" ref="W1743">_xlfn.XLOOKUP(Table1[[#This Row],[5 cm2 cell test code]:[5 cm2 cell test code]],[1]!Table1[[Test code]:[Test code]],[1]!Table1[i @ 1.8 V DIW (A/cm2)],"",0)</f>
        <v>#REF!</v>
      </c>
      <c r="X1743" s="69" t="e" cm="1">
        <f t="array" ref="X1743">_xlfn.XLOOKUP(Table1[[#This Row],[5 cm2 cell test code]:[5 cm2 cell test code]],[1]!Table1[[Test code]:[Test code]],[1]!Table1[i @ 1.8 V 10 mM KOH (A/cm2)],"",0)</f>
        <v>#REF!</v>
      </c>
      <c r="Y1743" s="69" t="e" cm="1">
        <f t="array" ref="Y1743">_xlfn.XLOOKUP(Table1[[#This Row],[5 cm2 cell test code]:[5 cm2 cell test code]],[1]!Table1[[Test code]:[Test code]],[1]!Table1[3-E ƞ at 20mAcm-2 (mV)],"",0)</f>
        <v>#REF!</v>
      </c>
      <c r="Z1743" s="69" t="e" cm="1">
        <f t="array" ref="Z1743">_xlfn.XLOOKUP(Table1[[#This Row],[5 cm2 cell test code]:[5 cm2 cell test code]],[1]!Table1[[Test code]:[Test code]],[1]!Table1[3-E Tafel slope (mV/dec)],"",0)</f>
        <v>#REF!</v>
      </c>
      <c r="AA1743" s="69" t="e" cm="1">
        <f t="array" ref="AA1743">_xlfn.XLOOKUP(Table1[[#This Row],[5 cm2 cell test code]:[5 cm2 cell test code]],[1]!Table1[[Test code]:[Test code]],[1]!Table1[E @ 100 mA/cm2 DIW/V],"",0)</f>
        <v>#REF!</v>
      </c>
      <c r="AB1743" s="69" t="e" cm="1">
        <f t="array" ref="AB1743">_xlfn.XLOOKUP(Table1[[#This Row],[5 cm2 cell test code]:[5 cm2 cell test code]],[1]!Table1[[Test code]:[Test code]],[1]!Table1[E @ 100 mA/cm2 10 mM KOH/V],"",0)</f>
        <v>#REF!</v>
      </c>
      <c r="AC1743" s="69" t="e" cm="1">
        <f t="array" ref="AC1743">_xlfn.XLOOKUP(Table1[[#This Row],[5 cm2 cell test code]:[5 cm2 cell test code]],[1]!Table1[[Test code]:[Test code]],[1]!Table1[Anode ICR/mOhm],"",0)</f>
        <v>#REF!</v>
      </c>
      <c r="AD1743" s="69" t="e" cm="1">
        <f t="array" ref="AD1743">_xlfn.XLOOKUP(Table1[[#This Row],[5 cm2 cell test code]:[5 cm2 cell test code]],[1]!Table1[[Test code]:[Test code]],[1]!Table1[HFR DIW/ mOhm cm2],"",0)</f>
        <v>#REF!</v>
      </c>
      <c r="AE1743" s="69" t="e" cm="1">
        <f t="array" ref="AE1743">_xlfn.XLOOKUP(Table1[[#This Row],[5 cm2 cell test code]:[5 cm2 cell test code]],[1]!Table1[[Test code]:[Test code]],[1]!Table1[HFR 10 mM KOH/ mOhm cm2],"",0)</f>
        <v>#REF!</v>
      </c>
      <c r="AF1743" s="69" t="e" cm="1">
        <f t="array" ref="AF1743">_xlfn.XLOOKUP(Table1[[#This Row],[5 cm2 cell test code]:[5 cm2 cell test code]],[1]!Table1[[Test code]:[Test code]],[1]!Table1[Ionic resistance DIW/Ohm cm2],"",0)</f>
        <v>#REF!</v>
      </c>
      <c r="AG1743" s="69" t="e" cm="1">
        <f t="array" ref="AG1743">_xlfn.XLOOKUP(Table1[[#This Row],[5 cm2 cell test code]:[5 cm2 cell test code]],[1]!Table1[[Test code]:[Test code]],[1]!Table1[Q_int_frac DIW],"",0)</f>
        <v>#REF!</v>
      </c>
      <c r="AH1743" s="69" t="e" cm="1">
        <f t="array" ref="AH1743">_xlfn.XLOOKUP(Table1[[#This Row],[5 cm2 cell test code]:[5 cm2 cell test code]],[1]!Table1[[Test code]:[Test code]],[1]!Table1[Ionic resistance 10 mM KOH/Ohm cm2],"",0)</f>
        <v>#REF!</v>
      </c>
      <c r="AI1743" s="69" t="e" cm="1">
        <f t="array" ref="AI1743">_xlfn.XLOOKUP(Table1[[#This Row],[5 cm2 cell test code]:[5 cm2 cell test code]],[1]!Table1[[Test code]:[Test code]],[1]!Table1[Q_int_frac DIW 10 mM KOH],"",0)</f>
        <v>#REF!</v>
      </c>
      <c r="AJ1743" s="69" t="e" cm="1">
        <f t="array" ref="AJ1743">_xlfn.XLOOKUP(Table1[[#This Row],[5 cm2 cell test code]:[5 cm2 cell test code]],[1]!Table1[[Test code]:[Test code]],[1]!Table1[DIW conductivity (µS/cm)],"",0)</f>
        <v>#REF!</v>
      </c>
    </row>
    <row r="1744" spans="1:36">
      <c r="A1744" s="81"/>
      <c r="U1744" s="101"/>
      <c r="V1744" s="101"/>
      <c r="W1744" s="69" t="e" cm="1">
        <f t="array" ref="W1744">_xlfn.XLOOKUP(Table1[[#This Row],[5 cm2 cell test code]:[5 cm2 cell test code]],[1]!Table1[[Test code]:[Test code]],[1]!Table1[i @ 1.8 V DIW (A/cm2)],"",0)</f>
        <v>#REF!</v>
      </c>
      <c r="X1744" s="69" t="e" cm="1">
        <f t="array" ref="X1744">_xlfn.XLOOKUP(Table1[[#This Row],[5 cm2 cell test code]:[5 cm2 cell test code]],[1]!Table1[[Test code]:[Test code]],[1]!Table1[i @ 1.8 V 10 mM KOH (A/cm2)],"",0)</f>
        <v>#REF!</v>
      </c>
      <c r="Y1744" s="69" t="e" cm="1">
        <f t="array" ref="Y1744">_xlfn.XLOOKUP(Table1[[#This Row],[5 cm2 cell test code]:[5 cm2 cell test code]],[1]!Table1[[Test code]:[Test code]],[1]!Table1[3-E ƞ at 20mAcm-2 (mV)],"",0)</f>
        <v>#REF!</v>
      </c>
      <c r="Z1744" s="69" t="e" cm="1">
        <f t="array" ref="Z1744">_xlfn.XLOOKUP(Table1[[#This Row],[5 cm2 cell test code]:[5 cm2 cell test code]],[1]!Table1[[Test code]:[Test code]],[1]!Table1[3-E Tafel slope (mV/dec)],"",0)</f>
        <v>#REF!</v>
      </c>
      <c r="AA1744" s="69" t="e" cm="1">
        <f t="array" ref="AA1744">_xlfn.XLOOKUP(Table1[[#This Row],[5 cm2 cell test code]:[5 cm2 cell test code]],[1]!Table1[[Test code]:[Test code]],[1]!Table1[E @ 100 mA/cm2 DIW/V],"",0)</f>
        <v>#REF!</v>
      </c>
      <c r="AB1744" s="69" t="e" cm="1">
        <f t="array" ref="AB1744">_xlfn.XLOOKUP(Table1[[#This Row],[5 cm2 cell test code]:[5 cm2 cell test code]],[1]!Table1[[Test code]:[Test code]],[1]!Table1[E @ 100 mA/cm2 10 mM KOH/V],"",0)</f>
        <v>#REF!</v>
      </c>
      <c r="AC1744" s="69" t="e" cm="1">
        <f t="array" ref="AC1744">_xlfn.XLOOKUP(Table1[[#This Row],[5 cm2 cell test code]:[5 cm2 cell test code]],[1]!Table1[[Test code]:[Test code]],[1]!Table1[Anode ICR/mOhm],"",0)</f>
        <v>#REF!</v>
      </c>
      <c r="AD1744" s="69" t="e" cm="1">
        <f t="array" ref="AD1744">_xlfn.XLOOKUP(Table1[[#This Row],[5 cm2 cell test code]:[5 cm2 cell test code]],[1]!Table1[[Test code]:[Test code]],[1]!Table1[HFR DIW/ mOhm cm2],"",0)</f>
        <v>#REF!</v>
      </c>
      <c r="AE1744" s="69" t="e" cm="1">
        <f t="array" ref="AE1744">_xlfn.XLOOKUP(Table1[[#This Row],[5 cm2 cell test code]:[5 cm2 cell test code]],[1]!Table1[[Test code]:[Test code]],[1]!Table1[HFR 10 mM KOH/ mOhm cm2],"",0)</f>
        <v>#REF!</v>
      </c>
      <c r="AF1744" s="69" t="e" cm="1">
        <f t="array" ref="AF1744">_xlfn.XLOOKUP(Table1[[#This Row],[5 cm2 cell test code]:[5 cm2 cell test code]],[1]!Table1[[Test code]:[Test code]],[1]!Table1[Ionic resistance DIW/Ohm cm2],"",0)</f>
        <v>#REF!</v>
      </c>
      <c r="AG1744" s="69" t="e" cm="1">
        <f t="array" ref="AG1744">_xlfn.XLOOKUP(Table1[[#This Row],[5 cm2 cell test code]:[5 cm2 cell test code]],[1]!Table1[[Test code]:[Test code]],[1]!Table1[Q_int_frac DIW],"",0)</f>
        <v>#REF!</v>
      </c>
      <c r="AH1744" s="69" t="e" cm="1">
        <f t="array" ref="AH1744">_xlfn.XLOOKUP(Table1[[#This Row],[5 cm2 cell test code]:[5 cm2 cell test code]],[1]!Table1[[Test code]:[Test code]],[1]!Table1[Ionic resistance 10 mM KOH/Ohm cm2],"",0)</f>
        <v>#REF!</v>
      </c>
      <c r="AI1744" s="69" t="e" cm="1">
        <f t="array" ref="AI1744">_xlfn.XLOOKUP(Table1[[#This Row],[5 cm2 cell test code]:[5 cm2 cell test code]],[1]!Table1[[Test code]:[Test code]],[1]!Table1[Q_int_frac DIW 10 mM KOH],"",0)</f>
        <v>#REF!</v>
      </c>
      <c r="AJ1744" s="69" t="e" cm="1">
        <f t="array" ref="AJ1744">_xlfn.XLOOKUP(Table1[[#This Row],[5 cm2 cell test code]:[5 cm2 cell test code]],[1]!Table1[[Test code]:[Test code]],[1]!Table1[DIW conductivity (µS/cm)],"",0)</f>
        <v>#REF!</v>
      </c>
    </row>
    <row r="1745" spans="1:36">
      <c r="A1745" s="81"/>
      <c r="U1745" s="101"/>
      <c r="V1745" s="101"/>
      <c r="W1745" s="69" t="e" cm="1">
        <f t="array" ref="W1745">_xlfn.XLOOKUP(Table1[[#This Row],[5 cm2 cell test code]:[5 cm2 cell test code]],[1]!Table1[[Test code]:[Test code]],[1]!Table1[i @ 1.8 V DIW (A/cm2)],"",0)</f>
        <v>#REF!</v>
      </c>
      <c r="X1745" s="69" t="e" cm="1">
        <f t="array" ref="X1745">_xlfn.XLOOKUP(Table1[[#This Row],[5 cm2 cell test code]:[5 cm2 cell test code]],[1]!Table1[[Test code]:[Test code]],[1]!Table1[i @ 1.8 V 10 mM KOH (A/cm2)],"",0)</f>
        <v>#REF!</v>
      </c>
      <c r="Y1745" s="69" t="e" cm="1">
        <f t="array" ref="Y1745">_xlfn.XLOOKUP(Table1[[#This Row],[5 cm2 cell test code]:[5 cm2 cell test code]],[1]!Table1[[Test code]:[Test code]],[1]!Table1[3-E ƞ at 20mAcm-2 (mV)],"",0)</f>
        <v>#REF!</v>
      </c>
      <c r="Z1745" s="69" t="e" cm="1">
        <f t="array" ref="Z1745">_xlfn.XLOOKUP(Table1[[#This Row],[5 cm2 cell test code]:[5 cm2 cell test code]],[1]!Table1[[Test code]:[Test code]],[1]!Table1[3-E Tafel slope (mV/dec)],"",0)</f>
        <v>#REF!</v>
      </c>
      <c r="AA1745" s="69" t="e" cm="1">
        <f t="array" ref="AA1745">_xlfn.XLOOKUP(Table1[[#This Row],[5 cm2 cell test code]:[5 cm2 cell test code]],[1]!Table1[[Test code]:[Test code]],[1]!Table1[E @ 100 mA/cm2 DIW/V],"",0)</f>
        <v>#REF!</v>
      </c>
      <c r="AB1745" s="69" t="e" cm="1">
        <f t="array" ref="AB1745">_xlfn.XLOOKUP(Table1[[#This Row],[5 cm2 cell test code]:[5 cm2 cell test code]],[1]!Table1[[Test code]:[Test code]],[1]!Table1[E @ 100 mA/cm2 10 mM KOH/V],"",0)</f>
        <v>#REF!</v>
      </c>
      <c r="AC1745" s="69" t="e" cm="1">
        <f t="array" ref="AC1745">_xlfn.XLOOKUP(Table1[[#This Row],[5 cm2 cell test code]:[5 cm2 cell test code]],[1]!Table1[[Test code]:[Test code]],[1]!Table1[Anode ICR/mOhm],"",0)</f>
        <v>#REF!</v>
      </c>
      <c r="AD1745" s="69" t="e" cm="1">
        <f t="array" ref="AD1745">_xlfn.XLOOKUP(Table1[[#This Row],[5 cm2 cell test code]:[5 cm2 cell test code]],[1]!Table1[[Test code]:[Test code]],[1]!Table1[HFR DIW/ mOhm cm2],"",0)</f>
        <v>#REF!</v>
      </c>
      <c r="AE1745" s="69" t="e" cm="1">
        <f t="array" ref="AE1745">_xlfn.XLOOKUP(Table1[[#This Row],[5 cm2 cell test code]:[5 cm2 cell test code]],[1]!Table1[[Test code]:[Test code]],[1]!Table1[HFR 10 mM KOH/ mOhm cm2],"",0)</f>
        <v>#REF!</v>
      </c>
      <c r="AF1745" s="69" t="e" cm="1">
        <f t="array" ref="AF1745">_xlfn.XLOOKUP(Table1[[#This Row],[5 cm2 cell test code]:[5 cm2 cell test code]],[1]!Table1[[Test code]:[Test code]],[1]!Table1[Ionic resistance DIW/Ohm cm2],"",0)</f>
        <v>#REF!</v>
      </c>
      <c r="AG1745" s="69" t="e" cm="1">
        <f t="array" ref="AG1745">_xlfn.XLOOKUP(Table1[[#This Row],[5 cm2 cell test code]:[5 cm2 cell test code]],[1]!Table1[[Test code]:[Test code]],[1]!Table1[Q_int_frac DIW],"",0)</f>
        <v>#REF!</v>
      </c>
      <c r="AH1745" s="69" t="e" cm="1">
        <f t="array" ref="AH1745">_xlfn.XLOOKUP(Table1[[#This Row],[5 cm2 cell test code]:[5 cm2 cell test code]],[1]!Table1[[Test code]:[Test code]],[1]!Table1[Ionic resistance 10 mM KOH/Ohm cm2],"",0)</f>
        <v>#REF!</v>
      </c>
      <c r="AI1745" s="69" t="e" cm="1">
        <f t="array" ref="AI1745">_xlfn.XLOOKUP(Table1[[#This Row],[5 cm2 cell test code]:[5 cm2 cell test code]],[1]!Table1[[Test code]:[Test code]],[1]!Table1[Q_int_frac DIW 10 mM KOH],"",0)</f>
        <v>#REF!</v>
      </c>
      <c r="AJ1745" s="69" t="e" cm="1">
        <f t="array" ref="AJ1745">_xlfn.XLOOKUP(Table1[[#This Row],[5 cm2 cell test code]:[5 cm2 cell test code]],[1]!Table1[[Test code]:[Test code]],[1]!Table1[DIW conductivity (µS/cm)],"",0)</f>
        <v>#REF!</v>
      </c>
    </row>
    <row r="1746" spans="1:36">
      <c r="A1746" s="81"/>
      <c r="U1746" s="101"/>
      <c r="V1746" s="101"/>
      <c r="W1746" s="69" t="e" cm="1">
        <f t="array" ref="W1746">_xlfn.XLOOKUP(Table1[[#This Row],[5 cm2 cell test code]:[5 cm2 cell test code]],[1]!Table1[[Test code]:[Test code]],[1]!Table1[i @ 1.8 V DIW (A/cm2)],"",0)</f>
        <v>#REF!</v>
      </c>
      <c r="X1746" s="69" t="e" cm="1">
        <f t="array" ref="X1746">_xlfn.XLOOKUP(Table1[[#This Row],[5 cm2 cell test code]:[5 cm2 cell test code]],[1]!Table1[[Test code]:[Test code]],[1]!Table1[i @ 1.8 V 10 mM KOH (A/cm2)],"",0)</f>
        <v>#REF!</v>
      </c>
      <c r="Y1746" s="69" t="e" cm="1">
        <f t="array" ref="Y1746">_xlfn.XLOOKUP(Table1[[#This Row],[5 cm2 cell test code]:[5 cm2 cell test code]],[1]!Table1[[Test code]:[Test code]],[1]!Table1[3-E ƞ at 20mAcm-2 (mV)],"",0)</f>
        <v>#REF!</v>
      </c>
      <c r="Z1746" s="69" t="e" cm="1">
        <f t="array" ref="Z1746">_xlfn.XLOOKUP(Table1[[#This Row],[5 cm2 cell test code]:[5 cm2 cell test code]],[1]!Table1[[Test code]:[Test code]],[1]!Table1[3-E Tafel slope (mV/dec)],"",0)</f>
        <v>#REF!</v>
      </c>
      <c r="AA1746" s="69" t="e" cm="1">
        <f t="array" ref="AA1746">_xlfn.XLOOKUP(Table1[[#This Row],[5 cm2 cell test code]:[5 cm2 cell test code]],[1]!Table1[[Test code]:[Test code]],[1]!Table1[E @ 100 mA/cm2 DIW/V],"",0)</f>
        <v>#REF!</v>
      </c>
      <c r="AB1746" s="69" t="e" cm="1">
        <f t="array" ref="AB1746">_xlfn.XLOOKUP(Table1[[#This Row],[5 cm2 cell test code]:[5 cm2 cell test code]],[1]!Table1[[Test code]:[Test code]],[1]!Table1[E @ 100 mA/cm2 10 mM KOH/V],"",0)</f>
        <v>#REF!</v>
      </c>
      <c r="AC1746" s="69" t="e" cm="1">
        <f t="array" ref="AC1746">_xlfn.XLOOKUP(Table1[[#This Row],[5 cm2 cell test code]:[5 cm2 cell test code]],[1]!Table1[[Test code]:[Test code]],[1]!Table1[Anode ICR/mOhm],"",0)</f>
        <v>#REF!</v>
      </c>
      <c r="AD1746" s="69" t="e" cm="1">
        <f t="array" ref="AD1746">_xlfn.XLOOKUP(Table1[[#This Row],[5 cm2 cell test code]:[5 cm2 cell test code]],[1]!Table1[[Test code]:[Test code]],[1]!Table1[HFR DIW/ mOhm cm2],"",0)</f>
        <v>#REF!</v>
      </c>
      <c r="AE1746" s="69" t="e" cm="1">
        <f t="array" ref="AE1746">_xlfn.XLOOKUP(Table1[[#This Row],[5 cm2 cell test code]:[5 cm2 cell test code]],[1]!Table1[[Test code]:[Test code]],[1]!Table1[HFR 10 mM KOH/ mOhm cm2],"",0)</f>
        <v>#REF!</v>
      </c>
      <c r="AF1746" s="69" t="e" cm="1">
        <f t="array" ref="AF1746">_xlfn.XLOOKUP(Table1[[#This Row],[5 cm2 cell test code]:[5 cm2 cell test code]],[1]!Table1[[Test code]:[Test code]],[1]!Table1[Ionic resistance DIW/Ohm cm2],"",0)</f>
        <v>#REF!</v>
      </c>
      <c r="AG1746" s="69" t="e" cm="1">
        <f t="array" ref="AG1746">_xlfn.XLOOKUP(Table1[[#This Row],[5 cm2 cell test code]:[5 cm2 cell test code]],[1]!Table1[[Test code]:[Test code]],[1]!Table1[Q_int_frac DIW],"",0)</f>
        <v>#REF!</v>
      </c>
      <c r="AH1746" s="69" t="e" cm="1">
        <f t="array" ref="AH1746">_xlfn.XLOOKUP(Table1[[#This Row],[5 cm2 cell test code]:[5 cm2 cell test code]],[1]!Table1[[Test code]:[Test code]],[1]!Table1[Ionic resistance 10 mM KOH/Ohm cm2],"",0)</f>
        <v>#REF!</v>
      </c>
      <c r="AI1746" s="69" t="e" cm="1">
        <f t="array" ref="AI1746">_xlfn.XLOOKUP(Table1[[#This Row],[5 cm2 cell test code]:[5 cm2 cell test code]],[1]!Table1[[Test code]:[Test code]],[1]!Table1[Q_int_frac DIW 10 mM KOH],"",0)</f>
        <v>#REF!</v>
      </c>
      <c r="AJ1746" s="69" t="e" cm="1">
        <f t="array" ref="AJ1746">_xlfn.XLOOKUP(Table1[[#This Row],[5 cm2 cell test code]:[5 cm2 cell test code]],[1]!Table1[[Test code]:[Test code]],[1]!Table1[DIW conductivity (µS/cm)],"",0)</f>
        <v>#REF!</v>
      </c>
    </row>
    <row r="1747" spans="1:36">
      <c r="A1747" s="81"/>
      <c r="U1747" s="101"/>
      <c r="V1747" s="101"/>
      <c r="W1747" s="69" t="e" cm="1">
        <f t="array" ref="W1747">_xlfn.XLOOKUP(Table1[[#This Row],[5 cm2 cell test code]:[5 cm2 cell test code]],[1]!Table1[[Test code]:[Test code]],[1]!Table1[i @ 1.8 V DIW (A/cm2)],"",0)</f>
        <v>#REF!</v>
      </c>
      <c r="X1747" s="69" t="e" cm="1">
        <f t="array" ref="X1747">_xlfn.XLOOKUP(Table1[[#This Row],[5 cm2 cell test code]:[5 cm2 cell test code]],[1]!Table1[[Test code]:[Test code]],[1]!Table1[i @ 1.8 V 10 mM KOH (A/cm2)],"",0)</f>
        <v>#REF!</v>
      </c>
      <c r="Y1747" s="69" t="e" cm="1">
        <f t="array" ref="Y1747">_xlfn.XLOOKUP(Table1[[#This Row],[5 cm2 cell test code]:[5 cm2 cell test code]],[1]!Table1[[Test code]:[Test code]],[1]!Table1[3-E ƞ at 20mAcm-2 (mV)],"",0)</f>
        <v>#REF!</v>
      </c>
      <c r="Z1747" s="69" t="e" cm="1">
        <f t="array" ref="Z1747">_xlfn.XLOOKUP(Table1[[#This Row],[5 cm2 cell test code]:[5 cm2 cell test code]],[1]!Table1[[Test code]:[Test code]],[1]!Table1[3-E Tafel slope (mV/dec)],"",0)</f>
        <v>#REF!</v>
      </c>
      <c r="AA1747" s="69" t="e" cm="1">
        <f t="array" ref="AA1747">_xlfn.XLOOKUP(Table1[[#This Row],[5 cm2 cell test code]:[5 cm2 cell test code]],[1]!Table1[[Test code]:[Test code]],[1]!Table1[E @ 100 mA/cm2 DIW/V],"",0)</f>
        <v>#REF!</v>
      </c>
      <c r="AB1747" s="69" t="e" cm="1">
        <f t="array" ref="AB1747">_xlfn.XLOOKUP(Table1[[#This Row],[5 cm2 cell test code]:[5 cm2 cell test code]],[1]!Table1[[Test code]:[Test code]],[1]!Table1[E @ 100 mA/cm2 10 mM KOH/V],"",0)</f>
        <v>#REF!</v>
      </c>
      <c r="AC1747" s="69" t="e" cm="1">
        <f t="array" ref="AC1747">_xlfn.XLOOKUP(Table1[[#This Row],[5 cm2 cell test code]:[5 cm2 cell test code]],[1]!Table1[[Test code]:[Test code]],[1]!Table1[Anode ICR/mOhm],"",0)</f>
        <v>#REF!</v>
      </c>
      <c r="AD1747" s="69" t="e" cm="1">
        <f t="array" ref="AD1747">_xlfn.XLOOKUP(Table1[[#This Row],[5 cm2 cell test code]:[5 cm2 cell test code]],[1]!Table1[[Test code]:[Test code]],[1]!Table1[HFR DIW/ mOhm cm2],"",0)</f>
        <v>#REF!</v>
      </c>
      <c r="AE1747" s="69" t="e" cm="1">
        <f t="array" ref="AE1747">_xlfn.XLOOKUP(Table1[[#This Row],[5 cm2 cell test code]:[5 cm2 cell test code]],[1]!Table1[[Test code]:[Test code]],[1]!Table1[HFR 10 mM KOH/ mOhm cm2],"",0)</f>
        <v>#REF!</v>
      </c>
      <c r="AF1747" s="69" t="e" cm="1">
        <f t="array" ref="AF1747">_xlfn.XLOOKUP(Table1[[#This Row],[5 cm2 cell test code]:[5 cm2 cell test code]],[1]!Table1[[Test code]:[Test code]],[1]!Table1[Ionic resistance DIW/Ohm cm2],"",0)</f>
        <v>#REF!</v>
      </c>
      <c r="AG1747" s="69" t="e" cm="1">
        <f t="array" ref="AG1747">_xlfn.XLOOKUP(Table1[[#This Row],[5 cm2 cell test code]:[5 cm2 cell test code]],[1]!Table1[[Test code]:[Test code]],[1]!Table1[Q_int_frac DIW],"",0)</f>
        <v>#REF!</v>
      </c>
      <c r="AH1747" s="69" t="e" cm="1">
        <f t="array" ref="AH1747">_xlfn.XLOOKUP(Table1[[#This Row],[5 cm2 cell test code]:[5 cm2 cell test code]],[1]!Table1[[Test code]:[Test code]],[1]!Table1[Ionic resistance 10 mM KOH/Ohm cm2],"",0)</f>
        <v>#REF!</v>
      </c>
      <c r="AI1747" s="69" t="e" cm="1">
        <f t="array" ref="AI1747">_xlfn.XLOOKUP(Table1[[#This Row],[5 cm2 cell test code]:[5 cm2 cell test code]],[1]!Table1[[Test code]:[Test code]],[1]!Table1[Q_int_frac DIW 10 mM KOH],"",0)</f>
        <v>#REF!</v>
      </c>
      <c r="AJ1747" s="69" t="e" cm="1">
        <f t="array" ref="AJ1747">_xlfn.XLOOKUP(Table1[[#This Row],[5 cm2 cell test code]:[5 cm2 cell test code]],[1]!Table1[[Test code]:[Test code]],[1]!Table1[DIW conductivity (µS/cm)],"",0)</f>
        <v>#REF!</v>
      </c>
    </row>
    <row r="1748" spans="1:36">
      <c r="A1748" s="81"/>
      <c r="U1748" s="101"/>
      <c r="V1748" s="101"/>
      <c r="W1748" s="69" t="e" cm="1">
        <f t="array" ref="W1748">_xlfn.XLOOKUP(Table1[[#This Row],[5 cm2 cell test code]:[5 cm2 cell test code]],[1]!Table1[[Test code]:[Test code]],[1]!Table1[i @ 1.8 V DIW (A/cm2)],"",0)</f>
        <v>#REF!</v>
      </c>
      <c r="X1748" s="69" t="e" cm="1">
        <f t="array" ref="X1748">_xlfn.XLOOKUP(Table1[[#This Row],[5 cm2 cell test code]:[5 cm2 cell test code]],[1]!Table1[[Test code]:[Test code]],[1]!Table1[i @ 1.8 V 10 mM KOH (A/cm2)],"",0)</f>
        <v>#REF!</v>
      </c>
      <c r="Y1748" s="69" t="e" cm="1">
        <f t="array" ref="Y1748">_xlfn.XLOOKUP(Table1[[#This Row],[5 cm2 cell test code]:[5 cm2 cell test code]],[1]!Table1[[Test code]:[Test code]],[1]!Table1[3-E ƞ at 20mAcm-2 (mV)],"",0)</f>
        <v>#REF!</v>
      </c>
      <c r="Z1748" s="69" t="e" cm="1">
        <f t="array" ref="Z1748">_xlfn.XLOOKUP(Table1[[#This Row],[5 cm2 cell test code]:[5 cm2 cell test code]],[1]!Table1[[Test code]:[Test code]],[1]!Table1[3-E Tafel slope (mV/dec)],"",0)</f>
        <v>#REF!</v>
      </c>
      <c r="AA1748" s="69" t="e" cm="1">
        <f t="array" ref="AA1748">_xlfn.XLOOKUP(Table1[[#This Row],[5 cm2 cell test code]:[5 cm2 cell test code]],[1]!Table1[[Test code]:[Test code]],[1]!Table1[E @ 100 mA/cm2 DIW/V],"",0)</f>
        <v>#REF!</v>
      </c>
      <c r="AB1748" s="69" t="e" cm="1">
        <f t="array" ref="AB1748">_xlfn.XLOOKUP(Table1[[#This Row],[5 cm2 cell test code]:[5 cm2 cell test code]],[1]!Table1[[Test code]:[Test code]],[1]!Table1[E @ 100 mA/cm2 10 mM KOH/V],"",0)</f>
        <v>#REF!</v>
      </c>
      <c r="AC1748" s="69" t="e" cm="1">
        <f t="array" ref="AC1748">_xlfn.XLOOKUP(Table1[[#This Row],[5 cm2 cell test code]:[5 cm2 cell test code]],[1]!Table1[[Test code]:[Test code]],[1]!Table1[Anode ICR/mOhm],"",0)</f>
        <v>#REF!</v>
      </c>
      <c r="AD1748" s="69" t="e" cm="1">
        <f t="array" ref="AD1748">_xlfn.XLOOKUP(Table1[[#This Row],[5 cm2 cell test code]:[5 cm2 cell test code]],[1]!Table1[[Test code]:[Test code]],[1]!Table1[HFR DIW/ mOhm cm2],"",0)</f>
        <v>#REF!</v>
      </c>
      <c r="AE1748" s="69" t="e" cm="1">
        <f t="array" ref="AE1748">_xlfn.XLOOKUP(Table1[[#This Row],[5 cm2 cell test code]:[5 cm2 cell test code]],[1]!Table1[[Test code]:[Test code]],[1]!Table1[HFR 10 mM KOH/ mOhm cm2],"",0)</f>
        <v>#REF!</v>
      </c>
      <c r="AF1748" s="69" t="e" cm="1">
        <f t="array" ref="AF1748">_xlfn.XLOOKUP(Table1[[#This Row],[5 cm2 cell test code]:[5 cm2 cell test code]],[1]!Table1[[Test code]:[Test code]],[1]!Table1[Ionic resistance DIW/Ohm cm2],"",0)</f>
        <v>#REF!</v>
      </c>
      <c r="AG1748" s="69" t="e" cm="1">
        <f t="array" ref="AG1748">_xlfn.XLOOKUP(Table1[[#This Row],[5 cm2 cell test code]:[5 cm2 cell test code]],[1]!Table1[[Test code]:[Test code]],[1]!Table1[Q_int_frac DIW],"",0)</f>
        <v>#REF!</v>
      </c>
      <c r="AH1748" s="69" t="e" cm="1">
        <f t="array" ref="AH1748">_xlfn.XLOOKUP(Table1[[#This Row],[5 cm2 cell test code]:[5 cm2 cell test code]],[1]!Table1[[Test code]:[Test code]],[1]!Table1[Ionic resistance 10 mM KOH/Ohm cm2],"",0)</f>
        <v>#REF!</v>
      </c>
      <c r="AI1748" s="69" t="e" cm="1">
        <f t="array" ref="AI1748">_xlfn.XLOOKUP(Table1[[#This Row],[5 cm2 cell test code]:[5 cm2 cell test code]],[1]!Table1[[Test code]:[Test code]],[1]!Table1[Q_int_frac DIW 10 mM KOH],"",0)</f>
        <v>#REF!</v>
      </c>
      <c r="AJ1748" s="69" t="e" cm="1">
        <f t="array" ref="AJ1748">_xlfn.XLOOKUP(Table1[[#This Row],[5 cm2 cell test code]:[5 cm2 cell test code]],[1]!Table1[[Test code]:[Test code]],[1]!Table1[DIW conductivity (µS/cm)],"",0)</f>
        <v>#REF!</v>
      </c>
    </row>
    <row r="1749" spans="1:36">
      <c r="A1749" s="81"/>
      <c r="U1749" s="101"/>
      <c r="V1749" s="101"/>
      <c r="W1749" s="69" t="e" cm="1">
        <f t="array" ref="W1749">_xlfn.XLOOKUP(Table1[[#This Row],[5 cm2 cell test code]:[5 cm2 cell test code]],[1]!Table1[[Test code]:[Test code]],[1]!Table1[i @ 1.8 V DIW (A/cm2)],"",0)</f>
        <v>#REF!</v>
      </c>
      <c r="X1749" s="69" t="e" cm="1">
        <f t="array" ref="X1749">_xlfn.XLOOKUP(Table1[[#This Row],[5 cm2 cell test code]:[5 cm2 cell test code]],[1]!Table1[[Test code]:[Test code]],[1]!Table1[i @ 1.8 V 10 mM KOH (A/cm2)],"",0)</f>
        <v>#REF!</v>
      </c>
      <c r="Y1749" s="69" t="e" cm="1">
        <f t="array" ref="Y1749">_xlfn.XLOOKUP(Table1[[#This Row],[5 cm2 cell test code]:[5 cm2 cell test code]],[1]!Table1[[Test code]:[Test code]],[1]!Table1[3-E ƞ at 20mAcm-2 (mV)],"",0)</f>
        <v>#REF!</v>
      </c>
      <c r="Z1749" s="69" t="e" cm="1">
        <f t="array" ref="Z1749">_xlfn.XLOOKUP(Table1[[#This Row],[5 cm2 cell test code]:[5 cm2 cell test code]],[1]!Table1[[Test code]:[Test code]],[1]!Table1[3-E Tafel slope (mV/dec)],"",0)</f>
        <v>#REF!</v>
      </c>
      <c r="AA1749" s="69" t="e" cm="1">
        <f t="array" ref="AA1749">_xlfn.XLOOKUP(Table1[[#This Row],[5 cm2 cell test code]:[5 cm2 cell test code]],[1]!Table1[[Test code]:[Test code]],[1]!Table1[E @ 100 mA/cm2 DIW/V],"",0)</f>
        <v>#REF!</v>
      </c>
      <c r="AB1749" s="69" t="e" cm="1">
        <f t="array" ref="AB1749">_xlfn.XLOOKUP(Table1[[#This Row],[5 cm2 cell test code]:[5 cm2 cell test code]],[1]!Table1[[Test code]:[Test code]],[1]!Table1[E @ 100 mA/cm2 10 mM KOH/V],"",0)</f>
        <v>#REF!</v>
      </c>
      <c r="AC1749" s="69" t="e" cm="1">
        <f t="array" ref="AC1749">_xlfn.XLOOKUP(Table1[[#This Row],[5 cm2 cell test code]:[5 cm2 cell test code]],[1]!Table1[[Test code]:[Test code]],[1]!Table1[Anode ICR/mOhm],"",0)</f>
        <v>#REF!</v>
      </c>
      <c r="AD1749" s="69" t="e" cm="1">
        <f t="array" ref="AD1749">_xlfn.XLOOKUP(Table1[[#This Row],[5 cm2 cell test code]:[5 cm2 cell test code]],[1]!Table1[[Test code]:[Test code]],[1]!Table1[HFR DIW/ mOhm cm2],"",0)</f>
        <v>#REF!</v>
      </c>
      <c r="AE1749" s="69" t="e" cm="1">
        <f t="array" ref="AE1749">_xlfn.XLOOKUP(Table1[[#This Row],[5 cm2 cell test code]:[5 cm2 cell test code]],[1]!Table1[[Test code]:[Test code]],[1]!Table1[HFR 10 mM KOH/ mOhm cm2],"",0)</f>
        <v>#REF!</v>
      </c>
      <c r="AF1749" s="69" t="e" cm="1">
        <f t="array" ref="AF1749">_xlfn.XLOOKUP(Table1[[#This Row],[5 cm2 cell test code]:[5 cm2 cell test code]],[1]!Table1[[Test code]:[Test code]],[1]!Table1[Ionic resistance DIW/Ohm cm2],"",0)</f>
        <v>#REF!</v>
      </c>
      <c r="AG1749" s="69" t="e" cm="1">
        <f t="array" ref="AG1749">_xlfn.XLOOKUP(Table1[[#This Row],[5 cm2 cell test code]:[5 cm2 cell test code]],[1]!Table1[[Test code]:[Test code]],[1]!Table1[Q_int_frac DIW],"",0)</f>
        <v>#REF!</v>
      </c>
      <c r="AH1749" s="69" t="e" cm="1">
        <f t="array" ref="AH1749">_xlfn.XLOOKUP(Table1[[#This Row],[5 cm2 cell test code]:[5 cm2 cell test code]],[1]!Table1[[Test code]:[Test code]],[1]!Table1[Ionic resistance 10 mM KOH/Ohm cm2],"",0)</f>
        <v>#REF!</v>
      </c>
      <c r="AI1749" s="69" t="e" cm="1">
        <f t="array" ref="AI1749">_xlfn.XLOOKUP(Table1[[#This Row],[5 cm2 cell test code]:[5 cm2 cell test code]],[1]!Table1[[Test code]:[Test code]],[1]!Table1[Q_int_frac DIW 10 mM KOH],"",0)</f>
        <v>#REF!</v>
      </c>
      <c r="AJ1749" s="69" t="e" cm="1">
        <f t="array" ref="AJ1749">_xlfn.XLOOKUP(Table1[[#This Row],[5 cm2 cell test code]:[5 cm2 cell test code]],[1]!Table1[[Test code]:[Test code]],[1]!Table1[DIW conductivity (µS/cm)],"",0)</f>
        <v>#REF!</v>
      </c>
    </row>
    <row r="1750" spans="1:36">
      <c r="A1750" s="81"/>
      <c r="U1750" s="101"/>
      <c r="V1750" s="101"/>
      <c r="W1750" s="69" t="e" cm="1">
        <f t="array" ref="W1750">_xlfn.XLOOKUP(Table1[[#This Row],[5 cm2 cell test code]:[5 cm2 cell test code]],[1]!Table1[[Test code]:[Test code]],[1]!Table1[i @ 1.8 V DIW (A/cm2)],"",0)</f>
        <v>#REF!</v>
      </c>
      <c r="X1750" s="69" t="e" cm="1">
        <f t="array" ref="X1750">_xlfn.XLOOKUP(Table1[[#This Row],[5 cm2 cell test code]:[5 cm2 cell test code]],[1]!Table1[[Test code]:[Test code]],[1]!Table1[i @ 1.8 V 10 mM KOH (A/cm2)],"",0)</f>
        <v>#REF!</v>
      </c>
      <c r="Y1750" s="69" t="e" cm="1">
        <f t="array" ref="Y1750">_xlfn.XLOOKUP(Table1[[#This Row],[5 cm2 cell test code]:[5 cm2 cell test code]],[1]!Table1[[Test code]:[Test code]],[1]!Table1[3-E ƞ at 20mAcm-2 (mV)],"",0)</f>
        <v>#REF!</v>
      </c>
      <c r="Z1750" s="69" t="e" cm="1">
        <f t="array" ref="Z1750">_xlfn.XLOOKUP(Table1[[#This Row],[5 cm2 cell test code]:[5 cm2 cell test code]],[1]!Table1[[Test code]:[Test code]],[1]!Table1[3-E Tafel slope (mV/dec)],"",0)</f>
        <v>#REF!</v>
      </c>
      <c r="AA1750" s="69" t="e" cm="1">
        <f t="array" ref="AA1750">_xlfn.XLOOKUP(Table1[[#This Row],[5 cm2 cell test code]:[5 cm2 cell test code]],[1]!Table1[[Test code]:[Test code]],[1]!Table1[E @ 100 mA/cm2 DIW/V],"",0)</f>
        <v>#REF!</v>
      </c>
      <c r="AB1750" s="69" t="e" cm="1">
        <f t="array" ref="AB1750">_xlfn.XLOOKUP(Table1[[#This Row],[5 cm2 cell test code]:[5 cm2 cell test code]],[1]!Table1[[Test code]:[Test code]],[1]!Table1[E @ 100 mA/cm2 10 mM KOH/V],"",0)</f>
        <v>#REF!</v>
      </c>
      <c r="AC1750" s="69" t="e" cm="1">
        <f t="array" ref="AC1750">_xlfn.XLOOKUP(Table1[[#This Row],[5 cm2 cell test code]:[5 cm2 cell test code]],[1]!Table1[[Test code]:[Test code]],[1]!Table1[Anode ICR/mOhm],"",0)</f>
        <v>#REF!</v>
      </c>
      <c r="AD1750" s="69" t="e" cm="1">
        <f t="array" ref="AD1750">_xlfn.XLOOKUP(Table1[[#This Row],[5 cm2 cell test code]:[5 cm2 cell test code]],[1]!Table1[[Test code]:[Test code]],[1]!Table1[HFR DIW/ mOhm cm2],"",0)</f>
        <v>#REF!</v>
      </c>
      <c r="AE1750" s="69" t="e" cm="1">
        <f t="array" ref="AE1750">_xlfn.XLOOKUP(Table1[[#This Row],[5 cm2 cell test code]:[5 cm2 cell test code]],[1]!Table1[[Test code]:[Test code]],[1]!Table1[HFR 10 mM KOH/ mOhm cm2],"",0)</f>
        <v>#REF!</v>
      </c>
      <c r="AF1750" s="69" t="e" cm="1">
        <f t="array" ref="AF1750">_xlfn.XLOOKUP(Table1[[#This Row],[5 cm2 cell test code]:[5 cm2 cell test code]],[1]!Table1[[Test code]:[Test code]],[1]!Table1[Ionic resistance DIW/Ohm cm2],"",0)</f>
        <v>#REF!</v>
      </c>
      <c r="AG1750" s="69" t="e" cm="1">
        <f t="array" ref="AG1750">_xlfn.XLOOKUP(Table1[[#This Row],[5 cm2 cell test code]:[5 cm2 cell test code]],[1]!Table1[[Test code]:[Test code]],[1]!Table1[Q_int_frac DIW],"",0)</f>
        <v>#REF!</v>
      </c>
      <c r="AH1750" s="69" t="e" cm="1">
        <f t="array" ref="AH1750">_xlfn.XLOOKUP(Table1[[#This Row],[5 cm2 cell test code]:[5 cm2 cell test code]],[1]!Table1[[Test code]:[Test code]],[1]!Table1[Ionic resistance 10 mM KOH/Ohm cm2],"",0)</f>
        <v>#REF!</v>
      </c>
      <c r="AI1750" s="69" t="e" cm="1">
        <f t="array" ref="AI1750">_xlfn.XLOOKUP(Table1[[#This Row],[5 cm2 cell test code]:[5 cm2 cell test code]],[1]!Table1[[Test code]:[Test code]],[1]!Table1[Q_int_frac DIW 10 mM KOH],"",0)</f>
        <v>#REF!</v>
      </c>
      <c r="AJ1750" s="69" t="e" cm="1">
        <f t="array" ref="AJ1750">_xlfn.XLOOKUP(Table1[[#This Row],[5 cm2 cell test code]:[5 cm2 cell test code]],[1]!Table1[[Test code]:[Test code]],[1]!Table1[DIW conductivity (µS/cm)],"",0)</f>
        <v>#REF!</v>
      </c>
    </row>
    <row r="1751" spans="1:36">
      <c r="A1751" s="81"/>
      <c r="U1751" s="101"/>
      <c r="V1751" s="101"/>
      <c r="W1751" s="69" t="e" cm="1">
        <f t="array" ref="W1751">_xlfn.XLOOKUP(Table1[[#This Row],[5 cm2 cell test code]:[5 cm2 cell test code]],[1]!Table1[[Test code]:[Test code]],[1]!Table1[i @ 1.8 V DIW (A/cm2)],"",0)</f>
        <v>#REF!</v>
      </c>
      <c r="X1751" s="69" t="e" cm="1">
        <f t="array" ref="X1751">_xlfn.XLOOKUP(Table1[[#This Row],[5 cm2 cell test code]:[5 cm2 cell test code]],[1]!Table1[[Test code]:[Test code]],[1]!Table1[i @ 1.8 V 10 mM KOH (A/cm2)],"",0)</f>
        <v>#REF!</v>
      </c>
      <c r="Y1751" s="69" t="e" cm="1">
        <f t="array" ref="Y1751">_xlfn.XLOOKUP(Table1[[#This Row],[5 cm2 cell test code]:[5 cm2 cell test code]],[1]!Table1[[Test code]:[Test code]],[1]!Table1[3-E ƞ at 20mAcm-2 (mV)],"",0)</f>
        <v>#REF!</v>
      </c>
      <c r="Z1751" s="69" t="e" cm="1">
        <f t="array" ref="Z1751">_xlfn.XLOOKUP(Table1[[#This Row],[5 cm2 cell test code]:[5 cm2 cell test code]],[1]!Table1[[Test code]:[Test code]],[1]!Table1[3-E Tafel slope (mV/dec)],"",0)</f>
        <v>#REF!</v>
      </c>
      <c r="AA1751" s="69" t="e" cm="1">
        <f t="array" ref="AA1751">_xlfn.XLOOKUP(Table1[[#This Row],[5 cm2 cell test code]:[5 cm2 cell test code]],[1]!Table1[[Test code]:[Test code]],[1]!Table1[E @ 100 mA/cm2 DIW/V],"",0)</f>
        <v>#REF!</v>
      </c>
      <c r="AB1751" s="69" t="e" cm="1">
        <f t="array" ref="AB1751">_xlfn.XLOOKUP(Table1[[#This Row],[5 cm2 cell test code]:[5 cm2 cell test code]],[1]!Table1[[Test code]:[Test code]],[1]!Table1[E @ 100 mA/cm2 10 mM KOH/V],"",0)</f>
        <v>#REF!</v>
      </c>
      <c r="AC1751" s="69" t="e" cm="1">
        <f t="array" ref="AC1751">_xlfn.XLOOKUP(Table1[[#This Row],[5 cm2 cell test code]:[5 cm2 cell test code]],[1]!Table1[[Test code]:[Test code]],[1]!Table1[Anode ICR/mOhm],"",0)</f>
        <v>#REF!</v>
      </c>
      <c r="AD1751" s="69" t="e" cm="1">
        <f t="array" ref="AD1751">_xlfn.XLOOKUP(Table1[[#This Row],[5 cm2 cell test code]:[5 cm2 cell test code]],[1]!Table1[[Test code]:[Test code]],[1]!Table1[HFR DIW/ mOhm cm2],"",0)</f>
        <v>#REF!</v>
      </c>
      <c r="AE1751" s="69" t="e" cm="1">
        <f t="array" ref="AE1751">_xlfn.XLOOKUP(Table1[[#This Row],[5 cm2 cell test code]:[5 cm2 cell test code]],[1]!Table1[[Test code]:[Test code]],[1]!Table1[HFR 10 mM KOH/ mOhm cm2],"",0)</f>
        <v>#REF!</v>
      </c>
      <c r="AF1751" s="69" t="e" cm="1">
        <f t="array" ref="AF1751">_xlfn.XLOOKUP(Table1[[#This Row],[5 cm2 cell test code]:[5 cm2 cell test code]],[1]!Table1[[Test code]:[Test code]],[1]!Table1[Ionic resistance DIW/Ohm cm2],"",0)</f>
        <v>#REF!</v>
      </c>
      <c r="AG1751" s="69" t="e" cm="1">
        <f t="array" ref="AG1751">_xlfn.XLOOKUP(Table1[[#This Row],[5 cm2 cell test code]:[5 cm2 cell test code]],[1]!Table1[[Test code]:[Test code]],[1]!Table1[Q_int_frac DIW],"",0)</f>
        <v>#REF!</v>
      </c>
      <c r="AH1751" s="69" t="e" cm="1">
        <f t="array" ref="AH1751">_xlfn.XLOOKUP(Table1[[#This Row],[5 cm2 cell test code]:[5 cm2 cell test code]],[1]!Table1[[Test code]:[Test code]],[1]!Table1[Ionic resistance 10 mM KOH/Ohm cm2],"",0)</f>
        <v>#REF!</v>
      </c>
      <c r="AI1751" s="69" t="e" cm="1">
        <f t="array" ref="AI1751">_xlfn.XLOOKUP(Table1[[#This Row],[5 cm2 cell test code]:[5 cm2 cell test code]],[1]!Table1[[Test code]:[Test code]],[1]!Table1[Q_int_frac DIW 10 mM KOH],"",0)</f>
        <v>#REF!</v>
      </c>
      <c r="AJ1751" s="69" t="e" cm="1">
        <f t="array" ref="AJ1751">_xlfn.XLOOKUP(Table1[[#This Row],[5 cm2 cell test code]:[5 cm2 cell test code]],[1]!Table1[[Test code]:[Test code]],[1]!Table1[DIW conductivity (µS/cm)],"",0)</f>
        <v>#REF!</v>
      </c>
    </row>
    <row r="1752" spans="1:36">
      <c r="A1752" s="81"/>
      <c r="U1752" s="101"/>
      <c r="V1752" s="101"/>
      <c r="W1752" s="69" t="e" cm="1">
        <f t="array" ref="W1752">_xlfn.XLOOKUP(Table1[[#This Row],[5 cm2 cell test code]:[5 cm2 cell test code]],[1]!Table1[[Test code]:[Test code]],[1]!Table1[i @ 1.8 V DIW (A/cm2)],"",0)</f>
        <v>#REF!</v>
      </c>
      <c r="X1752" s="69" t="e" cm="1">
        <f t="array" ref="X1752">_xlfn.XLOOKUP(Table1[[#This Row],[5 cm2 cell test code]:[5 cm2 cell test code]],[1]!Table1[[Test code]:[Test code]],[1]!Table1[i @ 1.8 V 10 mM KOH (A/cm2)],"",0)</f>
        <v>#REF!</v>
      </c>
      <c r="Y1752" s="69" t="e" cm="1">
        <f t="array" ref="Y1752">_xlfn.XLOOKUP(Table1[[#This Row],[5 cm2 cell test code]:[5 cm2 cell test code]],[1]!Table1[[Test code]:[Test code]],[1]!Table1[3-E ƞ at 20mAcm-2 (mV)],"",0)</f>
        <v>#REF!</v>
      </c>
      <c r="Z1752" s="69" t="e" cm="1">
        <f t="array" ref="Z1752">_xlfn.XLOOKUP(Table1[[#This Row],[5 cm2 cell test code]:[5 cm2 cell test code]],[1]!Table1[[Test code]:[Test code]],[1]!Table1[3-E Tafel slope (mV/dec)],"",0)</f>
        <v>#REF!</v>
      </c>
      <c r="AA1752" s="69" t="e" cm="1">
        <f t="array" ref="AA1752">_xlfn.XLOOKUP(Table1[[#This Row],[5 cm2 cell test code]:[5 cm2 cell test code]],[1]!Table1[[Test code]:[Test code]],[1]!Table1[E @ 100 mA/cm2 DIW/V],"",0)</f>
        <v>#REF!</v>
      </c>
      <c r="AB1752" s="69" t="e" cm="1">
        <f t="array" ref="AB1752">_xlfn.XLOOKUP(Table1[[#This Row],[5 cm2 cell test code]:[5 cm2 cell test code]],[1]!Table1[[Test code]:[Test code]],[1]!Table1[E @ 100 mA/cm2 10 mM KOH/V],"",0)</f>
        <v>#REF!</v>
      </c>
      <c r="AC1752" s="69" t="e" cm="1">
        <f t="array" ref="AC1752">_xlfn.XLOOKUP(Table1[[#This Row],[5 cm2 cell test code]:[5 cm2 cell test code]],[1]!Table1[[Test code]:[Test code]],[1]!Table1[Anode ICR/mOhm],"",0)</f>
        <v>#REF!</v>
      </c>
      <c r="AD1752" s="69" t="e" cm="1">
        <f t="array" ref="AD1752">_xlfn.XLOOKUP(Table1[[#This Row],[5 cm2 cell test code]:[5 cm2 cell test code]],[1]!Table1[[Test code]:[Test code]],[1]!Table1[HFR DIW/ mOhm cm2],"",0)</f>
        <v>#REF!</v>
      </c>
      <c r="AE1752" s="69" t="e" cm="1">
        <f t="array" ref="AE1752">_xlfn.XLOOKUP(Table1[[#This Row],[5 cm2 cell test code]:[5 cm2 cell test code]],[1]!Table1[[Test code]:[Test code]],[1]!Table1[HFR 10 mM KOH/ mOhm cm2],"",0)</f>
        <v>#REF!</v>
      </c>
      <c r="AF1752" s="69" t="e" cm="1">
        <f t="array" ref="AF1752">_xlfn.XLOOKUP(Table1[[#This Row],[5 cm2 cell test code]:[5 cm2 cell test code]],[1]!Table1[[Test code]:[Test code]],[1]!Table1[Ionic resistance DIW/Ohm cm2],"",0)</f>
        <v>#REF!</v>
      </c>
      <c r="AG1752" s="69" t="e" cm="1">
        <f t="array" ref="AG1752">_xlfn.XLOOKUP(Table1[[#This Row],[5 cm2 cell test code]:[5 cm2 cell test code]],[1]!Table1[[Test code]:[Test code]],[1]!Table1[Q_int_frac DIW],"",0)</f>
        <v>#REF!</v>
      </c>
      <c r="AH1752" s="69" t="e" cm="1">
        <f t="array" ref="AH1752">_xlfn.XLOOKUP(Table1[[#This Row],[5 cm2 cell test code]:[5 cm2 cell test code]],[1]!Table1[[Test code]:[Test code]],[1]!Table1[Ionic resistance 10 mM KOH/Ohm cm2],"",0)</f>
        <v>#REF!</v>
      </c>
      <c r="AI1752" s="69" t="e" cm="1">
        <f t="array" ref="AI1752">_xlfn.XLOOKUP(Table1[[#This Row],[5 cm2 cell test code]:[5 cm2 cell test code]],[1]!Table1[[Test code]:[Test code]],[1]!Table1[Q_int_frac DIW 10 mM KOH],"",0)</f>
        <v>#REF!</v>
      </c>
      <c r="AJ1752" s="69" t="e" cm="1">
        <f t="array" ref="AJ1752">_xlfn.XLOOKUP(Table1[[#This Row],[5 cm2 cell test code]:[5 cm2 cell test code]],[1]!Table1[[Test code]:[Test code]],[1]!Table1[DIW conductivity (µS/cm)],"",0)</f>
        <v>#REF!</v>
      </c>
    </row>
    <row r="1753" spans="1:36">
      <c r="A1753" s="81"/>
      <c r="U1753" s="101"/>
      <c r="V1753" s="101"/>
      <c r="W1753" s="69" t="e" cm="1">
        <f t="array" ref="W1753">_xlfn.XLOOKUP(Table1[[#This Row],[5 cm2 cell test code]:[5 cm2 cell test code]],[1]!Table1[[Test code]:[Test code]],[1]!Table1[i @ 1.8 V DIW (A/cm2)],"",0)</f>
        <v>#REF!</v>
      </c>
      <c r="X1753" s="69" t="e" cm="1">
        <f t="array" ref="X1753">_xlfn.XLOOKUP(Table1[[#This Row],[5 cm2 cell test code]:[5 cm2 cell test code]],[1]!Table1[[Test code]:[Test code]],[1]!Table1[i @ 1.8 V 10 mM KOH (A/cm2)],"",0)</f>
        <v>#REF!</v>
      </c>
      <c r="Y1753" s="69" t="e" cm="1">
        <f t="array" ref="Y1753">_xlfn.XLOOKUP(Table1[[#This Row],[5 cm2 cell test code]:[5 cm2 cell test code]],[1]!Table1[[Test code]:[Test code]],[1]!Table1[3-E ƞ at 20mAcm-2 (mV)],"",0)</f>
        <v>#REF!</v>
      </c>
      <c r="Z1753" s="69" t="e" cm="1">
        <f t="array" ref="Z1753">_xlfn.XLOOKUP(Table1[[#This Row],[5 cm2 cell test code]:[5 cm2 cell test code]],[1]!Table1[[Test code]:[Test code]],[1]!Table1[3-E Tafel slope (mV/dec)],"",0)</f>
        <v>#REF!</v>
      </c>
      <c r="AA1753" s="69" t="e" cm="1">
        <f t="array" ref="AA1753">_xlfn.XLOOKUP(Table1[[#This Row],[5 cm2 cell test code]:[5 cm2 cell test code]],[1]!Table1[[Test code]:[Test code]],[1]!Table1[E @ 100 mA/cm2 DIW/V],"",0)</f>
        <v>#REF!</v>
      </c>
      <c r="AB1753" s="69" t="e" cm="1">
        <f t="array" ref="AB1753">_xlfn.XLOOKUP(Table1[[#This Row],[5 cm2 cell test code]:[5 cm2 cell test code]],[1]!Table1[[Test code]:[Test code]],[1]!Table1[E @ 100 mA/cm2 10 mM KOH/V],"",0)</f>
        <v>#REF!</v>
      </c>
      <c r="AC1753" s="69" t="e" cm="1">
        <f t="array" ref="AC1753">_xlfn.XLOOKUP(Table1[[#This Row],[5 cm2 cell test code]:[5 cm2 cell test code]],[1]!Table1[[Test code]:[Test code]],[1]!Table1[Anode ICR/mOhm],"",0)</f>
        <v>#REF!</v>
      </c>
      <c r="AD1753" s="69" t="e" cm="1">
        <f t="array" ref="AD1753">_xlfn.XLOOKUP(Table1[[#This Row],[5 cm2 cell test code]:[5 cm2 cell test code]],[1]!Table1[[Test code]:[Test code]],[1]!Table1[HFR DIW/ mOhm cm2],"",0)</f>
        <v>#REF!</v>
      </c>
      <c r="AE1753" s="69" t="e" cm="1">
        <f t="array" ref="AE1753">_xlfn.XLOOKUP(Table1[[#This Row],[5 cm2 cell test code]:[5 cm2 cell test code]],[1]!Table1[[Test code]:[Test code]],[1]!Table1[HFR 10 mM KOH/ mOhm cm2],"",0)</f>
        <v>#REF!</v>
      </c>
      <c r="AF1753" s="69" t="e" cm="1">
        <f t="array" ref="AF1753">_xlfn.XLOOKUP(Table1[[#This Row],[5 cm2 cell test code]:[5 cm2 cell test code]],[1]!Table1[[Test code]:[Test code]],[1]!Table1[Ionic resistance DIW/Ohm cm2],"",0)</f>
        <v>#REF!</v>
      </c>
      <c r="AG1753" s="69" t="e" cm="1">
        <f t="array" ref="AG1753">_xlfn.XLOOKUP(Table1[[#This Row],[5 cm2 cell test code]:[5 cm2 cell test code]],[1]!Table1[[Test code]:[Test code]],[1]!Table1[Q_int_frac DIW],"",0)</f>
        <v>#REF!</v>
      </c>
      <c r="AH1753" s="69" t="e" cm="1">
        <f t="array" ref="AH1753">_xlfn.XLOOKUP(Table1[[#This Row],[5 cm2 cell test code]:[5 cm2 cell test code]],[1]!Table1[[Test code]:[Test code]],[1]!Table1[Ionic resistance 10 mM KOH/Ohm cm2],"",0)</f>
        <v>#REF!</v>
      </c>
      <c r="AI1753" s="69" t="e" cm="1">
        <f t="array" ref="AI1753">_xlfn.XLOOKUP(Table1[[#This Row],[5 cm2 cell test code]:[5 cm2 cell test code]],[1]!Table1[[Test code]:[Test code]],[1]!Table1[Q_int_frac DIW 10 mM KOH],"",0)</f>
        <v>#REF!</v>
      </c>
      <c r="AJ1753" s="69" t="e" cm="1">
        <f t="array" ref="AJ1753">_xlfn.XLOOKUP(Table1[[#This Row],[5 cm2 cell test code]:[5 cm2 cell test code]],[1]!Table1[[Test code]:[Test code]],[1]!Table1[DIW conductivity (µS/cm)],"",0)</f>
        <v>#REF!</v>
      </c>
    </row>
    <row r="1754" spans="1:36">
      <c r="A1754" s="81"/>
      <c r="U1754" s="101"/>
      <c r="V1754" s="101"/>
      <c r="W1754" s="69" t="e" cm="1">
        <f t="array" ref="W1754">_xlfn.XLOOKUP(Table1[[#This Row],[5 cm2 cell test code]:[5 cm2 cell test code]],[1]!Table1[[Test code]:[Test code]],[1]!Table1[i @ 1.8 V DIW (A/cm2)],"",0)</f>
        <v>#REF!</v>
      </c>
      <c r="X1754" s="69" t="e" cm="1">
        <f t="array" ref="X1754">_xlfn.XLOOKUP(Table1[[#This Row],[5 cm2 cell test code]:[5 cm2 cell test code]],[1]!Table1[[Test code]:[Test code]],[1]!Table1[i @ 1.8 V 10 mM KOH (A/cm2)],"",0)</f>
        <v>#REF!</v>
      </c>
      <c r="Y1754" s="69" t="e" cm="1">
        <f t="array" ref="Y1754">_xlfn.XLOOKUP(Table1[[#This Row],[5 cm2 cell test code]:[5 cm2 cell test code]],[1]!Table1[[Test code]:[Test code]],[1]!Table1[3-E ƞ at 20mAcm-2 (mV)],"",0)</f>
        <v>#REF!</v>
      </c>
      <c r="Z1754" s="69" t="e" cm="1">
        <f t="array" ref="Z1754">_xlfn.XLOOKUP(Table1[[#This Row],[5 cm2 cell test code]:[5 cm2 cell test code]],[1]!Table1[[Test code]:[Test code]],[1]!Table1[3-E Tafel slope (mV/dec)],"",0)</f>
        <v>#REF!</v>
      </c>
      <c r="AA1754" s="69" t="e" cm="1">
        <f t="array" ref="AA1754">_xlfn.XLOOKUP(Table1[[#This Row],[5 cm2 cell test code]:[5 cm2 cell test code]],[1]!Table1[[Test code]:[Test code]],[1]!Table1[E @ 100 mA/cm2 DIW/V],"",0)</f>
        <v>#REF!</v>
      </c>
      <c r="AB1754" s="69" t="e" cm="1">
        <f t="array" ref="AB1754">_xlfn.XLOOKUP(Table1[[#This Row],[5 cm2 cell test code]:[5 cm2 cell test code]],[1]!Table1[[Test code]:[Test code]],[1]!Table1[E @ 100 mA/cm2 10 mM KOH/V],"",0)</f>
        <v>#REF!</v>
      </c>
      <c r="AC1754" s="69" t="e" cm="1">
        <f t="array" ref="AC1754">_xlfn.XLOOKUP(Table1[[#This Row],[5 cm2 cell test code]:[5 cm2 cell test code]],[1]!Table1[[Test code]:[Test code]],[1]!Table1[Anode ICR/mOhm],"",0)</f>
        <v>#REF!</v>
      </c>
      <c r="AD1754" s="69" t="e" cm="1">
        <f t="array" ref="AD1754">_xlfn.XLOOKUP(Table1[[#This Row],[5 cm2 cell test code]:[5 cm2 cell test code]],[1]!Table1[[Test code]:[Test code]],[1]!Table1[HFR DIW/ mOhm cm2],"",0)</f>
        <v>#REF!</v>
      </c>
      <c r="AE1754" s="69" t="e" cm="1">
        <f t="array" ref="AE1754">_xlfn.XLOOKUP(Table1[[#This Row],[5 cm2 cell test code]:[5 cm2 cell test code]],[1]!Table1[[Test code]:[Test code]],[1]!Table1[HFR 10 mM KOH/ mOhm cm2],"",0)</f>
        <v>#REF!</v>
      </c>
      <c r="AF1754" s="69" t="e" cm="1">
        <f t="array" ref="AF1754">_xlfn.XLOOKUP(Table1[[#This Row],[5 cm2 cell test code]:[5 cm2 cell test code]],[1]!Table1[[Test code]:[Test code]],[1]!Table1[Ionic resistance DIW/Ohm cm2],"",0)</f>
        <v>#REF!</v>
      </c>
      <c r="AG1754" s="69" t="e" cm="1">
        <f t="array" ref="AG1754">_xlfn.XLOOKUP(Table1[[#This Row],[5 cm2 cell test code]:[5 cm2 cell test code]],[1]!Table1[[Test code]:[Test code]],[1]!Table1[Q_int_frac DIW],"",0)</f>
        <v>#REF!</v>
      </c>
      <c r="AH1754" s="69" t="e" cm="1">
        <f t="array" ref="AH1754">_xlfn.XLOOKUP(Table1[[#This Row],[5 cm2 cell test code]:[5 cm2 cell test code]],[1]!Table1[[Test code]:[Test code]],[1]!Table1[Ionic resistance 10 mM KOH/Ohm cm2],"",0)</f>
        <v>#REF!</v>
      </c>
      <c r="AI1754" s="69" t="e" cm="1">
        <f t="array" ref="AI1754">_xlfn.XLOOKUP(Table1[[#This Row],[5 cm2 cell test code]:[5 cm2 cell test code]],[1]!Table1[[Test code]:[Test code]],[1]!Table1[Q_int_frac DIW 10 mM KOH],"",0)</f>
        <v>#REF!</v>
      </c>
      <c r="AJ1754" s="69" t="e" cm="1">
        <f t="array" ref="AJ1754">_xlfn.XLOOKUP(Table1[[#This Row],[5 cm2 cell test code]:[5 cm2 cell test code]],[1]!Table1[[Test code]:[Test code]],[1]!Table1[DIW conductivity (µS/cm)],"",0)</f>
        <v>#REF!</v>
      </c>
    </row>
    <row r="1755" spans="1:36">
      <c r="A1755" s="81"/>
      <c r="U1755" s="101"/>
      <c r="V1755" s="101"/>
      <c r="W1755" s="69" t="e" cm="1">
        <f t="array" ref="W1755">_xlfn.XLOOKUP(Table1[[#This Row],[5 cm2 cell test code]:[5 cm2 cell test code]],[1]!Table1[[Test code]:[Test code]],[1]!Table1[i @ 1.8 V DIW (A/cm2)],"",0)</f>
        <v>#REF!</v>
      </c>
      <c r="X1755" s="69" t="e" cm="1">
        <f t="array" ref="X1755">_xlfn.XLOOKUP(Table1[[#This Row],[5 cm2 cell test code]:[5 cm2 cell test code]],[1]!Table1[[Test code]:[Test code]],[1]!Table1[i @ 1.8 V 10 mM KOH (A/cm2)],"",0)</f>
        <v>#REF!</v>
      </c>
      <c r="Y1755" s="69" t="e" cm="1">
        <f t="array" ref="Y1755">_xlfn.XLOOKUP(Table1[[#This Row],[5 cm2 cell test code]:[5 cm2 cell test code]],[1]!Table1[[Test code]:[Test code]],[1]!Table1[3-E ƞ at 20mAcm-2 (mV)],"",0)</f>
        <v>#REF!</v>
      </c>
      <c r="Z1755" s="69" t="e" cm="1">
        <f t="array" ref="Z1755">_xlfn.XLOOKUP(Table1[[#This Row],[5 cm2 cell test code]:[5 cm2 cell test code]],[1]!Table1[[Test code]:[Test code]],[1]!Table1[3-E Tafel slope (mV/dec)],"",0)</f>
        <v>#REF!</v>
      </c>
      <c r="AA1755" s="69" t="e" cm="1">
        <f t="array" ref="AA1755">_xlfn.XLOOKUP(Table1[[#This Row],[5 cm2 cell test code]:[5 cm2 cell test code]],[1]!Table1[[Test code]:[Test code]],[1]!Table1[E @ 100 mA/cm2 DIW/V],"",0)</f>
        <v>#REF!</v>
      </c>
      <c r="AB1755" s="69" t="e" cm="1">
        <f t="array" ref="AB1755">_xlfn.XLOOKUP(Table1[[#This Row],[5 cm2 cell test code]:[5 cm2 cell test code]],[1]!Table1[[Test code]:[Test code]],[1]!Table1[E @ 100 mA/cm2 10 mM KOH/V],"",0)</f>
        <v>#REF!</v>
      </c>
      <c r="AC1755" s="69" t="e" cm="1">
        <f t="array" ref="AC1755">_xlfn.XLOOKUP(Table1[[#This Row],[5 cm2 cell test code]:[5 cm2 cell test code]],[1]!Table1[[Test code]:[Test code]],[1]!Table1[Anode ICR/mOhm],"",0)</f>
        <v>#REF!</v>
      </c>
      <c r="AD1755" s="69" t="e" cm="1">
        <f t="array" ref="AD1755">_xlfn.XLOOKUP(Table1[[#This Row],[5 cm2 cell test code]:[5 cm2 cell test code]],[1]!Table1[[Test code]:[Test code]],[1]!Table1[HFR DIW/ mOhm cm2],"",0)</f>
        <v>#REF!</v>
      </c>
      <c r="AE1755" s="69" t="e" cm="1">
        <f t="array" ref="AE1755">_xlfn.XLOOKUP(Table1[[#This Row],[5 cm2 cell test code]:[5 cm2 cell test code]],[1]!Table1[[Test code]:[Test code]],[1]!Table1[HFR 10 mM KOH/ mOhm cm2],"",0)</f>
        <v>#REF!</v>
      </c>
      <c r="AF1755" s="69" t="e" cm="1">
        <f t="array" ref="AF1755">_xlfn.XLOOKUP(Table1[[#This Row],[5 cm2 cell test code]:[5 cm2 cell test code]],[1]!Table1[[Test code]:[Test code]],[1]!Table1[Ionic resistance DIW/Ohm cm2],"",0)</f>
        <v>#REF!</v>
      </c>
      <c r="AG1755" s="69" t="e" cm="1">
        <f t="array" ref="AG1755">_xlfn.XLOOKUP(Table1[[#This Row],[5 cm2 cell test code]:[5 cm2 cell test code]],[1]!Table1[[Test code]:[Test code]],[1]!Table1[Q_int_frac DIW],"",0)</f>
        <v>#REF!</v>
      </c>
      <c r="AH1755" s="69" t="e" cm="1">
        <f t="array" ref="AH1755">_xlfn.XLOOKUP(Table1[[#This Row],[5 cm2 cell test code]:[5 cm2 cell test code]],[1]!Table1[[Test code]:[Test code]],[1]!Table1[Ionic resistance 10 mM KOH/Ohm cm2],"",0)</f>
        <v>#REF!</v>
      </c>
      <c r="AI1755" s="69" t="e" cm="1">
        <f t="array" ref="AI1755">_xlfn.XLOOKUP(Table1[[#This Row],[5 cm2 cell test code]:[5 cm2 cell test code]],[1]!Table1[[Test code]:[Test code]],[1]!Table1[Q_int_frac DIW 10 mM KOH],"",0)</f>
        <v>#REF!</v>
      </c>
      <c r="AJ1755" s="69" t="e" cm="1">
        <f t="array" ref="AJ1755">_xlfn.XLOOKUP(Table1[[#This Row],[5 cm2 cell test code]:[5 cm2 cell test code]],[1]!Table1[[Test code]:[Test code]],[1]!Table1[DIW conductivity (µS/cm)],"",0)</f>
        <v>#REF!</v>
      </c>
    </row>
    <row r="1756" spans="1:36">
      <c r="A1756" s="81"/>
      <c r="U1756" s="101"/>
      <c r="V1756" s="101"/>
      <c r="W1756" s="69" t="e" cm="1">
        <f t="array" ref="W1756">_xlfn.XLOOKUP(Table1[[#This Row],[5 cm2 cell test code]:[5 cm2 cell test code]],[1]!Table1[[Test code]:[Test code]],[1]!Table1[i @ 1.8 V DIW (A/cm2)],"",0)</f>
        <v>#REF!</v>
      </c>
      <c r="X1756" s="69" t="e" cm="1">
        <f t="array" ref="X1756">_xlfn.XLOOKUP(Table1[[#This Row],[5 cm2 cell test code]:[5 cm2 cell test code]],[1]!Table1[[Test code]:[Test code]],[1]!Table1[i @ 1.8 V 10 mM KOH (A/cm2)],"",0)</f>
        <v>#REF!</v>
      </c>
      <c r="Y1756" s="69" t="e" cm="1">
        <f t="array" ref="Y1756">_xlfn.XLOOKUP(Table1[[#This Row],[5 cm2 cell test code]:[5 cm2 cell test code]],[1]!Table1[[Test code]:[Test code]],[1]!Table1[3-E ƞ at 20mAcm-2 (mV)],"",0)</f>
        <v>#REF!</v>
      </c>
      <c r="Z1756" s="69" t="e" cm="1">
        <f t="array" ref="Z1756">_xlfn.XLOOKUP(Table1[[#This Row],[5 cm2 cell test code]:[5 cm2 cell test code]],[1]!Table1[[Test code]:[Test code]],[1]!Table1[3-E Tafel slope (mV/dec)],"",0)</f>
        <v>#REF!</v>
      </c>
      <c r="AA1756" s="69" t="e" cm="1">
        <f t="array" ref="AA1756">_xlfn.XLOOKUP(Table1[[#This Row],[5 cm2 cell test code]:[5 cm2 cell test code]],[1]!Table1[[Test code]:[Test code]],[1]!Table1[E @ 100 mA/cm2 DIW/V],"",0)</f>
        <v>#REF!</v>
      </c>
      <c r="AB1756" s="69" t="e" cm="1">
        <f t="array" ref="AB1756">_xlfn.XLOOKUP(Table1[[#This Row],[5 cm2 cell test code]:[5 cm2 cell test code]],[1]!Table1[[Test code]:[Test code]],[1]!Table1[E @ 100 mA/cm2 10 mM KOH/V],"",0)</f>
        <v>#REF!</v>
      </c>
      <c r="AC1756" s="69" t="e" cm="1">
        <f t="array" ref="AC1756">_xlfn.XLOOKUP(Table1[[#This Row],[5 cm2 cell test code]:[5 cm2 cell test code]],[1]!Table1[[Test code]:[Test code]],[1]!Table1[Anode ICR/mOhm],"",0)</f>
        <v>#REF!</v>
      </c>
      <c r="AD1756" s="69" t="e" cm="1">
        <f t="array" ref="AD1756">_xlfn.XLOOKUP(Table1[[#This Row],[5 cm2 cell test code]:[5 cm2 cell test code]],[1]!Table1[[Test code]:[Test code]],[1]!Table1[HFR DIW/ mOhm cm2],"",0)</f>
        <v>#REF!</v>
      </c>
      <c r="AE1756" s="69" t="e" cm="1">
        <f t="array" ref="AE1756">_xlfn.XLOOKUP(Table1[[#This Row],[5 cm2 cell test code]:[5 cm2 cell test code]],[1]!Table1[[Test code]:[Test code]],[1]!Table1[HFR 10 mM KOH/ mOhm cm2],"",0)</f>
        <v>#REF!</v>
      </c>
      <c r="AF1756" s="69" t="e" cm="1">
        <f t="array" ref="AF1756">_xlfn.XLOOKUP(Table1[[#This Row],[5 cm2 cell test code]:[5 cm2 cell test code]],[1]!Table1[[Test code]:[Test code]],[1]!Table1[Ionic resistance DIW/Ohm cm2],"",0)</f>
        <v>#REF!</v>
      </c>
      <c r="AG1756" s="69" t="e" cm="1">
        <f t="array" ref="AG1756">_xlfn.XLOOKUP(Table1[[#This Row],[5 cm2 cell test code]:[5 cm2 cell test code]],[1]!Table1[[Test code]:[Test code]],[1]!Table1[Q_int_frac DIW],"",0)</f>
        <v>#REF!</v>
      </c>
      <c r="AH1756" s="69" t="e" cm="1">
        <f t="array" ref="AH1756">_xlfn.XLOOKUP(Table1[[#This Row],[5 cm2 cell test code]:[5 cm2 cell test code]],[1]!Table1[[Test code]:[Test code]],[1]!Table1[Ionic resistance 10 mM KOH/Ohm cm2],"",0)</f>
        <v>#REF!</v>
      </c>
      <c r="AI1756" s="69" t="e" cm="1">
        <f t="array" ref="AI1756">_xlfn.XLOOKUP(Table1[[#This Row],[5 cm2 cell test code]:[5 cm2 cell test code]],[1]!Table1[[Test code]:[Test code]],[1]!Table1[Q_int_frac DIW 10 mM KOH],"",0)</f>
        <v>#REF!</v>
      </c>
      <c r="AJ1756" s="69" t="e" cm="1">
        <f t="array" ref="AJ1756">_xlfn.XLOOKUP(Table1[[#This Row],[5 cm2 cell test code]:[5 cm2 cell test code]],[1]!Table1[[Test code]:[Test code]],[1]!Table1[DIW conductivity (µS/cm)],"",0)</f>
        <v>#REF!</v>
      </c>
    </row>
    <row r="1757" spans="1:36">
      <c r="A1757" s="81"/>
      <c r="U1757" s="101"/>
      <c r="V1757" s="101"/>
      <c r="W1757" s="69" t="e" cm="1">
        <f t="array" ref="W1757">_xlfn.XLOOKUP(Table1[[#This Row],[5 cm2 cell test code]:[5 cm2 cell test code]],[1]!Table1[[Test code]:[Test code]],[1]!Table1[i @ 1.8 V DIW (A/cm2)],"",0)</f>
        <v>#REF!</v>
      </c>
      <c r="X1757" s="69" t="e" cm="1">
        <f t="array" ref="X1757">_xlfn.XLOOKUP(Table1[[#This Row],[5 cm2 cell test code]:[5 cm2 cell test code]],[1]!Table1[[Test code]:[Test code]],[1]!Table1[i @ 1.8 V 10 mM KOH (A/cm2)],"",0)</f>
        <v>#REF!</v>
      </c>
      <c r="Y1757" s="69" t="e" cm="1">
        <f t="array" ref="Y1757">_xlfn.XLOOKUP(Table1[[#This Row],[5 cm2 cell test code]:[5 cm2 cell test code]],[1]!Table1[[Test code]:[Test code]],[1]!Table1[3-E ƞ at 20mAcm-2 (mV)],"",0)</f>
        <v>#REF!</v>
      </c>
      <c r="Z1757" s="69" t="e" cm="1">
        <f t="array" ref="Z1757">_xlfn.XLOOKUP(Table1[[#This Row],[5 cm2 cell test code]:[5 cm2 cell test code]],[1]!Table1[[Test code]:[Test code]],[1]!Table1[3-E Tafel slope (mV/dec)],"",0)</f>
        <v>#REF!</v>
      </c>
      <c r="AA1757" s="69" t="e" cm="1">
        <f t="array" ref="AA1757">_xlfn.XLOOKUP(Table1[[#This Row],[5 cm2 cell test code]:[5 cm2 cell test code]],[1]!Table1[[Test code]:[Test code]],[1]!Table1[E @ 100 mA/cm2 DIW/V],"",0)</f>
        <v>#REF!</v>
      </c>
      <c r="AB1757" s="69" t="e" cm="1">
        <f t="array" ref="AB1757">_xlfn.XLOOKUP(Table1[[#This Row],[5 cm2 cell test code]:[5 cm2 cell test code]],[1]!Table1[[Test code]:[Test code]],[1]!Table1[E @ 100 mA/cm2 10 mM KOH/V],"",0)</f>
        <v>#REF!</v>
      </c>
      <c r="AC1757" s="69" t="e" cm="1">
        <f t="array" ref="AC1757">_xlfn.XLOOKUP(Table1[[#This Row],[5 cm2 cell test code]:[5 cm2 cell test code]],[1]!Table1[[Test code]:[Test code]],[1]!Table1[Anode ICR/mOhm],"",0)</f>
        <v>#REF!</v>
      </c>
      <c r="AD1757" s="69" t="e" cm="1">
        <f t="array" ref="AD1757">_xlfn.XLOOKUP(Table1[[#This Row],[5 cm2 cell test code]:[5 cm2 cell test code]],[1]!Table1[[Test code]:[Test code]],[1]!Table1[HFR DIW/ mOhm cm2],"",0)</f>
        <v>#REF!</v>
      </c>
      <c r="AE1757" s="69" t="e" cm="1">
        <f t="array" ref="AE1757">_xlfn.XLOOKUP(Table1[[#This Row],[5 cm2 cell test code]:[5 cm2 cell test code]],[1]!Table1[[Test code]:[Test code]],[1]!Table1[HFR 10 mM KOH/ mOhm cm2],"",0)</f>
        <v>#REF!</v>
      </c>
      <c r="AF1757" s="69" t="e" cm="1">
        <f t="array" ref="AF1757">_xlfn.XLOOKUP(Table1[[#This Row],[5 cm2 cell test code]:[5 cm2 cell test code]],[1]!Table1[[Test code]:[Test code]],[1]!Table1[Ionic resistance DIW/Ohm cm2],"",0)</f>
        <v>#REF!</v>
      </c>
      <c r="AG1757" s="69" t="e" cm="1">
        <f t="array" ref="AG1757">_xlfn.XLOOKUP(Table1[[#This Row],[5 cm2 cell test code]:[5 cm2 cell test code]],[1]!Table1[[Test code]:[Test code]],[1]!Table1[Q_int_frac DIW],"",0)</f>
        <v>#REF!</v>
      </c>
      <c r="AH1757" s="69" t="e" cm="1">
        <f t="array" ref="AH1757">_xlfn.XLOOKUP(Table1[[#This Row],[5 cm2 cell test code]:[5 cm2 cell test code]],[1]!Table1[[Test code]:[Test code]],[1]!Table1[Ionic resistance 10 mM KOH/Ohm cm2],"",0)</f>
        <v>#REF!</v>
      </c>
      <c r="AI1757" s="69" t="e" cm="1">
        <f t="array" ref="AI1757">_xlfn.XLOOKUP(Table1[[#This Row],[5 cm2 cell test code]:[5 cm2 cell test code]],[1]!Table1[[Test code]:[Test code]],[1]!Table1[Q_int_frac DIW 10 mM KOH],"",0)</f>
        <v>#REF!</v>
      </c>
      <c r="AJ1757" s="69" t="e" cm="1">
        <f t="array" ref="AJ1757">_xlfn.XLOOKUP(Table1[[#This Row],[5 cm2 cell test code]:[5 cm2 cell test code]],[1]!Table1[[Test code]:[Test code]],[1]!Table1[DIW conductivity (µS/cm)],"",0)</f>
        <v>#REF!</v>
      </c>
    </row>
    <row r="1758" spans="1:36">
      <c r="A1758" s="81"/>
      <c r="U1758" s="101"/>
      <c r="V1758" s="101"/>
      <c r="W1758" s="69" t="e" cm="1">
        <f t="array" ref="W1758">_xlfn.XLOOKUP(Table1[[#This Row],[5 cm2 cell test code]:[5 cm2 cell test code]],[1]!Table1[[Test code]:[Test code]],[1]!Table1[i @ 1.8 V DIW (A/cm2)],"",0)</f>
        <v>#REF!</v>
      </c>
      <c r="X1758" s="69" t="e" cm="1">
        <f t="array" ref="X1758">_xlfn.XLOOKUP(Table1[[#This Row],[5 cm2 cell test code]:[5 cm2 cell test code]],[1]!Table1[[Test code]:[Test code]],[1]!Table1[i @ 1.8 V 10 mM KOH (A/cm2)],"",0)</f>
        <v>#REF!</v>
      </c>
      <c r="Y1758" s="69" t="e" cm="1">
        <f t="array" ref="Y1758">_xlfn.XLOOKUP(Table1[[#This Row],[5 cm2 cell test code]:[5 cm2 cell test code]],[1]!Table1[[Test code]:[Test code]],[1]!Table1[3-E ƞ at 20mAcm-2 (mV)],"",0)</f>
        <v>#REF!</v>
      </c>
      <c r="Z1758" s="69" t="e" cm="1">
        <f t="array" ref="Z1758">_xlfn.XLOOKUP(Table1[[#This Row],[5 cm2 cell test code]:[5 cm2 cell test code]],[1]!Table1[[Test code]:[Test code]],[1]!Table1[3-E Tafel slope (mV/dec)],"",0)</f>
        <v>#REF!</v>
      </c>
      <c r="AA1758" s="69" t="e" cm="1">
        <f t="array" ref="AA1758">_xlfn.XLOOKUP(Table1[[#This Row],[5 cm2 cell test code]:[5 cm2 cell test code]],[1]!Table1[[Test code]:[Test code]],[1]!Table1[E @ 100 mA/cm2 DIW/V],"",0)</f>
        <v>#REF!</v>
      </c>
      <c r="AB1758" s="69" t="e" cm="1">
        <f t="array" ref="AB1758">_xlfn.XLOOKUP(Table1[[#This Row],[5 cm2 cell test code]:[5 cm2 cell test code]],[1]!Table1[[Test code]:[Test code]],[1]!Table1[E @ 100 mA/cm2 10 mM KOH/V],"",0)</f>
        <v>#REF!</v>
      </c>
      <c r="AC1758" s="69" t="e" cm="1">
        <f t="array" ref="AC1758">_xlfn.XLOOKUP(Table1[[#This Row],[5 cm2 cell test code]:[5 cm2 cell test code]],[1]!Table1[[Test code]:[Test code]],[1]!Table1[Anode ICR/mOhm],"",0)</f>
        <v>#REF!</v>
      </c>
      <c r="AD1758" s="69" t="e" cm="1">
        <f t="array" ref="AD1758">_xlfn.XLOOKUP(Table1[[#This Row],[5 cm2 cell test code]:[5 cm2 cell test code]],[1]!Table1[[Test code]:[Test code]],[1]!Table1[HFR DIW/ mOhm cm2],"",0)</f>
        <v>#REF!</v>
      </c>
      <c r="AE1758" s="69" t="e" cm="1">
        <f t="array" ref="AE1758">_xlfn.XLOOKUP(Table1[[#This Row],[5 cm2 cell test code]:[5 cm2 cell test code]],[1]!Table1[[Test code]:[Test code]],[1]!Table1[HFR 10 mM KOH/ mOhm cm2],"",0)</f>
        <v>#REF!</v>
      </c>
      <c r="AF1758" s="69" t="e" cm="1">
        <f t="array" ref="AF1758">_xlfn.XLOOKUP(Table1[[#This Row],[5 cm2 cell test code]:[5 cm2 cell test code]],[1]!Table1[[Test code]:[Test code]],[1]!Table1[Ionic resistance DIW/Ohm cm2],"",0)</f>
        <v>#REF!</v>
      </c>
      <c r="AG1758" s="69" t="e" cm="1">
        <f t="array" ref="AG1758">_xlfn.XLOOKUP(Table1[[#This Row],[5 cm2 cell test code]:[5 cm2 cell test code]],[1]!Table1[[Test code]:[Test code]],[1]!Table1[Q_int_frac DIW],"",0)</f>
        <v>#REF!</v>
      </c>
      <c r="AH1758" s="69" t="e" cm="1">
        <f t="array" ref="AH1758">_xlfn.XLOOKUP(Table1[[#This Row],[5 cm2 cell test code]:[5 cm2 cell test code]],[1]!Table1[[Test code]:[Test code]],[1]!Table1[Ionic resistance 10 mM KOH/Ohm cm2],"",0)</f>
        <v>#REF!</v>
      </c>
      <c r="AI1758" s="69" t="e" cm="1">
        <f t="array" ref="AI1758">_xlfn.XLOOKUP(Table1[[#This Row],[5 cm2 cell test code]:[5 cm2 cell test code]],[1]!Table1[[Test code]:[Test code]],[1]!Table1[Q_int_frac DIW 10 mM KOH],"",0)</f>
        <v>#REF!</v>
      </c>
      <c r="AJ1758" s="69" t="e" cm="1">
        <f t="array" ref="AJ1758">_xlfn.XLOOKUP(Table1[[#This Row],[5 cm2 cell test code]:[5 cm2 cell test code]],[1]!Table1[[Test code]:[Test code]],[1]!Table1[DIW conductivity (µS/cm)],"",0)</f>
        <v>#REF!</v>
      </c>
    </row>
    <row r="1759" spans="1:36">
      <c r="A1759" s="81"/>
      <c r="U1759" s="101"/>
      <c r="V1759" s="101"/>
      <c r="W1759" s="69" t="e" cm="1">
        <f t="array" ref="W1759">_xlfn.XLOOKUP(Table1[[#This Row],[5 cm2 cell test code]:[5 cm2 cell test code]],[1]!Table1[[Test code]:[Test code]],[1]!Table1[i @ 1.8 V DIW (A/cm2)],"",0)</f>
        <v>#REF!</v>
      </c>
      <c r="X1759" s="69" t="e" cm="1">
        <f t="array" ref="X1759">_xlfn.XLOOKUP(Table1[[#This Row],[5 cm2 cell test code]:[5 cm2 cell test code]],[1]!Table1[[Test code]:[Test code]],[1]!Table1[i @ 1.8 V 10 mM KOH (A/cm2)],"",0)</f>
        <v>#REF!</v>
      </c>
      <c r="Y1759" s="69" t="e" cm="1">
        <f t="array" ref="Y1759">_xlfn.XLOOKUP(Table1[[#This Row],[5 cm2 cell test code]:[5 cm2 cell test code]],[1]!Table1[[Test code]:[Test code]],[1]!Table1[3-E ƞ at 20mAcm-2 (mV)],"",0)</f>
        <v>#REF!</v>
      </c>
      <c r="Z1759" s="69" t="e" cm="1">
        <f t="array" ref="Z1759">_xlfn.XLOOKUP(Table1[[#This Row],[5 cm2 cell test code]:[5 cm2 cell test code]],[1]!Table1[[Test code]:[Test code]],[1]!Table1[3-E Tafel slope (mV/dec)],"",0)</f>
        <v>#REF!</v>
      </c>
      <c r="AA1759" s="69" t="e" cm="1">
        <f t="array" ref="AA1759">_xlfn.XLOOKUP(Table1[[#This Row],[5 cm2 cell test code]:[5 cm2 cell test code]],[1]!Table1[[Test code]:[Test code]],[1]!Table1[E @ 100 mA/cm2 DIW/V],"",0)</f>
        <v>#REF!</v>
      </c>
      <c r="AB1759" s="69" t="e" cm="1">
        <f t="array" ref="AB1759">_xlfn.XLOOKUP(Table1[[#This Row],[5 cm2 cell test code]:[5 cm2 cell test code]],[1]!Table1[[Test code]:[Test code]],[1]!Table1[E @ 100 mA/cm2 10 mM KOH/V],"",0)</f>
        <v>#REF!</v>
      </c>
      <c r="AC1759" s="69" t="e" cm="1">
        <f t="array" ref="AC1759">_xlfn.XLOOKUP(Table1[[#This Row],[5 cm2 cell test code]:[5 cm2 cell test code]],[1]!Table1[[Test code]:[Test code]],[1]!Table1[Anode ICR/mOhm],"",0)</f>
        <v>#REF!</v>
      </c>
      <c r="AD1759" s="69" t="e" cm="1">
        <f t="array" ref="AD1759">_xlfn.XLOOKUP(Table1[[#This Row],[5 cm2 cell test code]:[5 cm2 cell test code]],[1]!Table1[[Test code]:[Test code]],[1]!Table1[HFR DIW/ mOhm cm2],"",0)</f>
        <v>#REF!</v>
      </c>
      <c r="AE1759" s="69" t="e" cm="1">
        <f t="array" ref="AE1759">_xlfn.XLOOKUP(Table1[[#This Row],[5 cm2 cell test code]:[5 cm2 cell test code]],[1]!Table1[[Test code]:[Test code]],[1]!Table1[HFR 10 mM KOH/ mOhm cm2],"",0)</f>
        <v>#REF!</v>
      </c>
      <c r="AF1759" s="69" t="e" cm="1">
        <f t="array" ref="AF1759">_xlfn.XLOOKUP(Table1[[#This Row],[5 cm2 cell test code]:[5 cm2 cell test code]],[1]!Table1[[Test code]:[Test code]],[1]!Table1[Ionic resistance DIW/Ohm cm2],"",0)</f>
        <v>#REF!</v>
      </c>
      <c r="AG1759" s="69" t="e" cm="1">
        <f t="array" ref="AG1759">_xlfn.XLOOKUP(Table1[[#This Row],[5 cm2 cell test code]:[5 cm2 cell test code]],[1]!Table1[[Test code]:[Test code]],[1]!Table1[Q_int_frac DIW],"",0)</f>
        <v>#REF!</v>
      </c>
      <c r="AH1759" s="69" t="e" cm="1">
        <f t="array" ref="AH1759">_xlfn.XLOOKUP(Table1[[#This Row],[5 cm2 cell test code]:[5 cm2 cell test code]],[1]!Table1[[Test code]:[Test code]],[1]!Table1[Ionic resistance 10 mM KOH/Ohm cm2],"",0)</f>
        <v>#REF!</v>
      </c>
      <c r="AI1759" s="69" t="e" cm="1">
        <f t="array" ref="AI1759">_xlfn.XLOOKUP(Table1[[#This Row],[5 cm2 cell test code]:[5 cm2 cell test code]],[1]!Table1[[Test code]:[Test code]],[1]!Table1[Q_int_frac DIW 10 mM KOH],"",0)</f>
        <v>#REF!</v>
      </c>
      <c r="AJ1759" s="69" t="e" cm="1">
        <f t="array" ref="AJ1759">_xlfn.XLOOKUP(Table1[[#This Row],[5 cm2 cell test code]:[5 cm2 cell test code]],[1]!Table1[[Test code]:[Test code]],[1]!Table1[DIW conductivity (µS/cm)],"",0)</f>
        <v>#REF!</v>
      </c>
    </row>
    <row r="1760" spans="1:36">
      <c r="A1760" s="81"/>
      <c r="U1760" s="101"/>
      <c r="V1760" s="101"/>
      <c r="W1760" s="69" t="e" cm="1">
        <f t="array" ref="W1760">_xlfn.XLOOKUP(Table1[[#This Row],[5 cm2 cell test code]:[5 cm2 cell test code]],[1]!Table1[[Test code]:[Test code]],[1]!Table1[i @ 1.8 V DIW (A/cm2)],"",0)</f>
        <v>#REF!</v>
      </c>
      <c r="X1760" s="69" t="e" cm="1">
        <f t="array" ref="X1760">_xlfn.XLOOKUP(Table1[[#This Row],[5 cm2 cell test code]:[5 cm2 cell test code]],[1]!Table1[[Test code]:[Test code]],[1]!Table1[i @ 1.8 V 10 mM KOH (A/cm2)],"",0)</f>
        <v>#REF!</v>
      </c>
      <c r="Y1760" s="69" t="e" cm="1">
        <f t="array" ref="Y1760">_xlfn.XLOOKUP(Table1[[#This Row],[5 cm2 cell test code]:[5 cm2 cell test code]],[1]!Table1[[Test code]:[Test code]],[1]!Table1[3-E ƞ at 20mAcm-2 (mV)],"",0)</f>
        <v>#REF!</v>
      </c>
      <c r="Z1760" s="69" t="e" cm="1">
        <f t="array" ref="Z1760">_xlfn.XLOOKUP(Table1[[#This Row],[5 cm2 cell test code]:[5 cm2 cell test code]],[1]!Table1[[Test code]:[Test code]],[1]!Table1[3-E Tafel slope (mV/dec)],"",0)</f>
        <v>#REF!</v>
      </c>
      <c r="AA1760" s="69" t="e" cm="1">
        <f t="array" ref="AA1760">_xlfn.XLOOKUP(Table1[[#This Row],[5 cm2 cell test code]:[5 cm2 cell test code]],[1]!Table1[[Test code]:[Test code]],[1]!Table1[E @ 100 mA/cm2 DIW/V],"",0)</f>
        <v>#REF!</v>
      </c>
      <c r="AB1760" s="69" t="e" cm="1">
        <f t="array" ref="AB1760">_xlfn.XLOOKUP(Table1[[#This Row],[5 cm2 cell test code]:[5 cm2 cell test code]],[1]!Table1[[Test code]:[Test code]],[1]!Table1[E @ 100 mA/cm2 10 mM KOH/V],"",0)</f>
        <v>#REF!</v>
      </c>
      <c r="AC1760" s="69" t="e" cm="1">
        <f t="array" ref="AC1760">_xlfn.XLOOKUP(Table1[[#This Row],[5 cm2 cell test code]:[5 cm2 cell test code]],[1]!Table1[[Test code]:[Test code]],[1]!Table1[Anode ICR/mOhm],"",0)</f>
        <v>#REF!</v>
      </c>
      <c r="AD1760" s="69" t="e" cm="1">
        <f t="array" ref="AD1760">_xlfn.XLOOKUP(Table1[[#This Row],[5 cm2 cell test code]:[5 cm2 cell test code]],[1]!Table1[[Test code]:[Test code]],[1]!Table1[HFR DIW/ mOhm cm2],"",0)</f>
        <v>#REF!</v>
      </c>
      <c r="AE1760" s="69" t="e" cm="1">
        <f t="array" ref="AE1760">_xlfn.XLOOKUP(Table1[[#This Row],[5 cm2 cell test code]:[5 cm2 cell test code]],[1]!Table1[[Test code]:[Test code]],[1]!Table1[HFR 10 mM KOH/ mOhm cm2],"",0)</f>
        <v>#REF!</v>
      </c>
      <c r="AF1760" s="69" t="e" cm="1">
        <f t="array" ref="AF1760">_xlfn.XLOOKUP(Table1[[#This Row],[5 cm2 cell test code]:[5 cm2 cell test code]],[1]!Table1[[Test code]:[Test code]],[1]!Table1[Ionic resistance DIW/Ohm cm2],"",0)</f>
        <v>#REF!</v>
      </c>
      <c r="AG1760" s="69" t="e" cm="1">
        <f t="array" ref="AG1760">_xlfn.XLOOKUP(Table1[[#This Row],[5 cm2 cell test code]:[5 cm2 cell test code]],[1]!Table1[[Test code]:[Test code]],[1]!Table1[Q_int_frac DIW],"",0)</f>
        <v>#REF!</v>
      </c>
      <c r="AH1760" s="69" t="e" cm="1">
        <f t="array" ref="AH1760">_xlfn.XLOOKUP(Table1[[#This Row],[5 cm2 cell test code]:[5 cm2 cell test code]],[1]!Table1[[Test code]:[Test code]],[1]!Table1[Ionic resistance 10 mM KOH/Ohm cm2],"",0)</f>
        <v>#REF!</v>
      </c>
      <c r="AI1760" s="69" t="e" cm="1">
        <f t="array" ref="AI1760">_xlfn.XLOOKUP(Table1[[#This Row],[5 cm2 cell test code]:[5 cm2 cell test code]],[1]!Table1[[Test code]:[Test code]],[1]!Table1[Q_int_frac DIW 10 mM KOH],"",0)</f>
        <v>#REF!</v>
      </c>
      <c r="AJ1760" s="69" t="e" cm="1">
        <f t="array" ref="AJ1760">_xlfn.XLOOKUP(Table1[[#This Row],[5 cm2 cell test code]:[5 cm2 cell test code]],[1]!Table1[[Test code]:[Test code]],[1]!Table1[DIW conductivity (µS/cm)],"",0)</f>
        <v>#REF!</v>
      </c>
    </row>
    <row r="1761" spans="1:36">
      <c r="A1761" s="81"/>
      <c r="U1761" s="101"/>
      <c r="V1761" s="101"/>
      <c r="W1761" s="69" t="e" cm="1">
        <f t="array" ref="W1761">_xlfn.XLOOKUP(Table1[[#This Row],[5 cm2 cell test code]:[5 cm2 cell test code]],[1]!Table1[[Test code]:[Test code]],[1]!Table1[i @ 1.8 V DIW (A/cm2)],"",0)</f>
        <v>#REF!</v>
      </c>
      <c r="X1761" s="69" t="e" cm="1">
        <f t="array" ref="X1761">_xlfn.XLOOKUP(Table1[[#This Row],[5 cm2 cell test code]:[5 cm2 cell test code]],[1]!Table1[[Test code]:[Test code]],[1]!Table1[i @ 1.8 V 10 mM KOH (A/cm2)],"",0)</f>
        <v>#REF!</v>
      </c>
      <c r="Y1761" s="69" t="e" cm="1">
        <f t="array" ref="Y1761">_xlfn.XLOOKUP(Table1[[#This Row],[5 cm2 cell test code]:[5 cm2 cell test code]],[1]!Table1[[Test code]:[Test code]],[1]!Table1[3-E ƞ at 20mAcm-2 (mV)],"",0)</f>
        <v>#REF!</v>
      </c>
      <c r="Z1761" s="69" t="e" cm="1">
        <f t="array" ref="Z1761">_xlfn.XLOOKUP(Table1[[#This Row],[5 cm2 cell test code]:[5 cm2 cell test code]],[1]!Table1[[Test code]:[Test code]],[1]!Table1[3-E Tafel slope (mV/dec)],"",0)</f>
        <v>#REF!</v>
      </c>
      <c r="AA1761" s="69" t="e" cm="1">
        <f t="array" ref="AA1761">_xlfn.XLOOKUP(Table1[[#This Row],[5 cm2 cell test code]:[5 cm2 cell test code]],[1]!Table1[[Test code]:[Test code]],[1]!Table1[E @ 100 mA/cm2 DIW/V],"",0)</f>
        <v>#REF!</v>
      </c>
      <c r="AB1761" s="69" t="e" cm="1">
        <f t="array" ref="AB1761">_xlfn.XLOOKUP(Table1[[#This Row],[5 cm2 cell test code]:[5 cm2 cell test code]],[1]!Table1[[Test code]:[Test code]],[1]!Table1[E @ 100 mA/cm2 10 mM KOH/V],"",0)</f>
        <v>#REF!</v>
      </c>
      <c r="AC1761" s="69" t="e" cm="1">
        <f t="array" ref="AC1761">_xlfn.XLOOKUP(Table1[[#This Row],[5 cm2 cell test code]:[5 cm2 cell test code]],[1]!Table1[[Test code]:[Test code]],[1]!Table1[Anode ICR/mOhm],"",0)</f>
        <v>#REF!</v>
      </c>
      <c r="AD1761" s="69" t="e" cm="1">
        <f t="array" ref="AD1761">_xlfn.XLOOKUP(Table1[[#This Row],[5 cm2 cell test code]:[5 cm2 cell test code]],[1]!Table1[[Test code]:[Test code]],[1]!Table1[HFR DIW/ mOhm cm2],"",0)</f>
        <v>#REF!</v>
      </c>
      <c r="AE1761" s="69" t="e" cm="1">
        <f t="array" ref="AE1761">_xlfn.XLOOKUP(Table1[[#This Row],[5 cm2 cell test code]:[5 cm2 cell test code]],[1]!Table1[[Test code]:[Test code]],[1]!Table1[HFR 10 mM KOH/ mOhm cm2],"",0)</f>
        <v>#REF!</v>
      </c>
      <c r="AF1761" s="69" t="e" cm="1">
        <f t="array" ref="AF1761">_xlfn.XLOOKUP(Table1[[#This Row],[5 cm2 cell test code]:[5 cm2 cell test code]],[1]!Table1[[Test code]:[Test code]],[1]!Table1[Ionic resistance DIW/Ohm cm2],"",0)</f>
        <v>#REF!</v>
      </c>
      <c r="AG1761" s="69" t="e" cm="1">
        <f t="array" ref="AG1761">_xlfn.XLOOKUP(Table1[[#This Row],[5 cm2 cell test code]:[5 cm2 cell test code]],[1]!Table1[[Test code]:[Test code]],[1]!Table1[Q_int_frac DIW],"",0)</f>
        <v>#REF!</v>
      </c>
      <c r="AH1761" s="69" t="e" cm="1">
        <f t="array" ref="AH1761">_xlfn.XLOOKUP(Table1[[#This Row],[5 cm2 cell test code]:[5 cm2 cell test code]],[1]!Table1[[Test code]:[Test code]],[1]!Table1[Ionic resistance 10 mM KOH/Ohm cm2],"",0)</f>
        <v>#REF!</v>
      </c>
      <c r="AI1761" s="69" t="e" cm="1">
        <f t="array" ref="AI1761">_xlfn.XLOOKUP(Table1[[#This Row],[5 cm2 cell test code]:[5 cm2 cell test code]],[1]!Table1[[Test code]:[Test code]],[1]!Table1[Q_int_frac DIW 10 mM KOH],"",0)</f>
        <v>#REF!</v>
      </c>
      <c r="AJ1761" s="69" t="e" cm="1">
        <f t="array" ref="AJ1761">_xlfn.XLOOKUP(Table1[[#This Row],[5 cm2 cell test code]:[5 cm2 cell test code]],[1]!Table1[[Test code]:[Test code]],[1]!Table1[DIW conductivity (µS/cm)],"",0)</f>
        <v>#REF!</v>
      </c>
    </row>
    <row r="1762" spans="1:36">
      <c r="A1762" s="81"/>
      <c r="U1762" s="101"/>
      <c r="V1762" s="101"/>
      <c r="W1762" s="69" t="e" cm="1">
        <f t="array" ref="W1762">_xlfn.XLOOKUP(Table1[[#This Row],[5 cm2 cell test code]:[5 cm2 cell test code]],[1]!Table1[[Test code]:[Test code]],[1]!Table1[i @ 1.8 V DIW (A/cm2)],"",0)</f>
        <v>#REF!</v>
      </c>
      <c r="X1762" s="69" t="e" cm="1">
        <f t="array" ref="X1762">_xlfn.XLOOKUP(Table1[[#This Row],[5 cm2 cell test code]:[5 cm2 cell test code]],[1]!Table1[[Test code]:[Test code]],[1]!Table1[i @ 1.8 V 10 mM KOH (A/cm2)],"",0)</f>
        <v>#REF!</v>
      </c>
      <c r="Y1762" s="69" t="e" cm="1">
        <f t="array" ref="Y1762">_xlfn.XLOOKUP(Table1[[#This Row],[5 cm2 cell test code]:[5 cm2 cell test code]],[1]!Table1[[Test code]:[Test code]],[1]!Table1[3-E ƞ at 20mAcm-2 (mV)],"",0)</f>
        <v>#REF!</v>
      </c>
      <c r="Z1762" s="69" t="e" cm="1">
        <f t="array" ref="Z1762">_xlfn.XLOOKUP(Table1[[#This Row],[5 cm2 cell test code]:[5 cm2 cell test code]],[1]!Table1[[Test code]:[Test code]],[1]!Table1[3-E Tafel slope (mV/dec)],"",0)</f>
        <v>#REF!</v>
      </c>
      <c r="AA1762" s="69" t="e" cm="1">
        <f t="array" ref="AA1762">_xlfn.XLOOKUP(Table1[[#This Row],[5 cm2 cell test code]:[5 cm2 cell test code]],[1]!Table1[[Test code]:[Test code]],[1]!Table1[E @ 100 mA/cm2 DIW/V],"",0)</f>
        <v>#REF!</v>
      </c>
      <c r="AB1762" s="69" t="e" cm="1">
        <f t="array" ref="AB1762">_xlfn.XLOOKUP(Table1[[#This Row],[5 cm2 cell test code]:[5 cm2 cell test code]],[1]!Table1[[Test code]:[Test code]],[1]!Table1[E @ 100 mA/cm2 10 mM KOH/V],"",0)</f>
        <v>#REF!</v>
      </c>
      <c r="AC1762" s="69" t="e" cm="1">
        <f t="array" ref="AC1762">_xlfn.XLOOKUP(Table1[[#This Row],[5 cm2 cell test code]:[5 cm2 cell test code]],[1]!Table1[[Test code]:[Test code]],[1]!Table1[Anode ICR/mOhm],"",0)</f>
        <v>#REF!</v>
      </c>
      <c r="AD1762" s="69" t="e" cm="1">
        <f t="array" ref="AD1762">_xlfn.XLOOKUP(Table1[[#This Row],[5 cm2 cell test code]:[5 cm2 cell test code]],[1]!Table1[[Test code]:[Test code]],[1]!Table1[HFR DIW/ mOhm cm2],"",0)</f>
        <v>#REF!</v>
      </c>
      <c r="AE1762" s="69" t="e" cm="1">
        <f t="array" ref="AE1762">_xlfn.XLOOKUP(Table1[[#This Row],[5 cm2 cell test code]:[5 cm2 cell test code]],[1]!Table1[[Test code]:[Test code]],[1]!Table1[HFR 10 mM KOH/ mOhm cm2],"",0)</f>
        <v>#REF!</v>
      </c>
      <c r="AF1762" s="69" t="e" cm="1">
        <f t="array" ref="AF1762">_xlfn.XLOOKUP(Table1[[#This Row],[5 cm2 cell test code]:[5 cm2 cell test code]],[1]!Table1[[Test code]:[Test code]],[1]!Table1[Ionic resistance DIW/Ohm cm2],"",0)</f>
        <v>#REF!</v>
      </c>
      <c r="AG1762" s="69" t="e" cm="1">
        <f t="array" ref="AG1762">_xlfn.XLOOKUP(Table1[[#This Row],[5 cm2 cell test code]:[5 cm2 cell test code]],[1]!Table1[[Test code]:[Test code]],[1]!Table1[Q_int_frac DIW],"",0)</f>
        <v>#REF!</v>
      </c>
      <c r="AH1762" s="69" t="e" cm="1">
        <f t="array" ref="AH1762">_xlfn.XLOOKUP(Table1[[#This Row],[5 cm2 cell test code]:[5 cm2 cell test code]],[1]!Table1[[Test code]:[Test code]],[1]!Table1[Ionic resistance 10 mM KOH/Ohm cm2],"",0)</f>
        <v>#REF!</v>
      </c>
      <c r="AI1762" s="69" t="e" cm="1">
        <f t="array" ref="AI1762">_xlfn.XLOOKUP(Table1[[#This Row],[5 cm2 cell test code]:[5 cm2 cell test code]],[1]!Table1[[Test code]:[Test code]],[1]!Table1[Q_int_frac DIW 10 mM KOH],"",0)</f>
        <v>#REF!</v>
      </c>
      <c r="AJ1762" s="69" t="e" cm="1">
        <f t="array" ref="AJ1762">_xlfn.XLOOKUP(Table1[[#This Row],[5 cm2 cell test code]:[5 cm2 cell test code]],[1]!Table1[[Test code]:[Test code]],[1]!Table1[DIW conductivity (µS/cm)],"",0)</f>
        <v>#REF!</v>
      </c>
    </row>
    <row r="1763" spans="1:36">
      <c r="A1763" s="81"/>
      <c r="U1763" s="101"/>
      <c r="V1763" s="101"/>
      <c r="W1763" s="69" t="e" cm="1">
        <f t="array" ref="W1763">_xlfn.XLOOKUP(Table1[[#This Row],[5 cm2 cell test code]:[5 cm2 cell test code]],[1]!Table1[[Test code]:[Test code]],[1]!Table1[i @ 1.8 V DIW (A/cm2)],"",0)</f>
        <v>#REF!</v>
      </c>
      <c r="X1763" s="69" t="e" cm="1">
        <f t="array" ref="X1763">_xlfn.XLOOKUP(Table1[[#This Row],[5 cm2 cell test code]:[5 cm2 cell test code]],[1]!Table1[[Test code]:[Test code]],[1]!Table1[i @ 1.8 V 10 mM KOH (A/cm2)],"",0)</f>
        <v>#REF!</v>
      </c>
      <c r="Y1763" s="69" t="e" cm="1">
        <f t="array" ref="Y1763">_xlfn.XLOOKUP(Table1[[#This Row],[5 cm2 cell test code]:[5 cm2 cell test code]],[1]!Table1[[Test code]:[Test code]],[1]!Table1[3-E ƞ at 20mAcm-2 (mV)],"",0)</f>
        <v>#REF!</v>
      </c>
      <c r="Z1763" s="69" t="e" cm="1">
        <f t="array" ref="Z1763">_xlfn.XLOOKUP(Table1[[#This Row],[5 cm2 cell test code]:[5 cm2 cell test code]],[1]!Table1[[Test code]:[Test code]],[1]!Table1[3-E Tafel slope (mV/dec)],"",0)</f>
        <v>#REF!</v>
      </c>
      <c r="AA1763" s="69" t="e" cm="1">
        <f t="array" ref="AA1763">_xlfn.XLOOKUP(Table1[[#This Row],[5 cm2 cell test code]:[5 cm2 cell test code]],[1]!Table1[[Test code]:[Test code]],[1]!Table1[E @ 100 mA/cm2 DIW/V],"",0)</f>
        <v>#REF!</v>
      </c>
      <c r="AB1763" s="69" t="e" cm="1">
        <f t="array" ref="AB1763">_xlfn.XLOOKUP(Table1[[#This Row],[5 cm2 cell test code]:[5 cm2 cell test code]],[1]!Table1[[Test code]:[Test code]],[1]!Table1[E @ 100 mA/cm2 10 mM KOH/V],"",0)</f>
        <v>#REF!</v>
      </c>
      <c r="AC1763" s="69" t="e" cm="1">
        <f t="array" ref="AC1763">_xlfn.XLOOKUP(Table1[[#This Row],[5 cm2 cell test code]:[5 cm2 cell test code]],[1]!Table1[[Test code]:[Test code]],[1]!Table1[Anode ICR/mOhm],"",0)</f>
        <v>#REF!</v>
      </c>
      <c r="AD1763" s="69" t="e" cm="1">
        <f t="array" ref="AD1763">_xlfn.XLOOKUP(Table1[[#This Row],[5 cm2 cell test code]:[5 cm2 cell test code]],[1]!Table1[[Test code]:[Test code]],[1]!Table1[HFR DIW/ mOhm cm2],"",0)</f>
        <v>#REF!</v>
      </c>
      <c r="AE1763" s="69" t="e" cm="1">
        <f t="array" ref="AE1763">_xlfn.XLOOKUP(Table1[[#This Row],[5 cm2 cell test code]:[5 cm2 cell test code]],[1]!Table1[[Test code]:[Test code]],[1]!Table1[HFR 10 mM KOH/ mOhm cm2],"",0)</f>
        <v>#REF!</v>
      </c>
      <c r="AF1763" s="69" t="e" cm="1">
        <f t="array" ref="AF1763">_xlfn.XLOOKUP(Table1[[#This Row],[5 cm2 cell test code]:[5 cm2 cell test code]],[1]!Table1[[Test code]:[Test code]],[1]!Table1[Ionic resistance DIW/Ohm cm2],"",0)</f>
        <v>#REF!</v>
      </c>
      <c r="AG1763" s="69" t="e" cm="1">
        <f t="array" ref="AG1763">_xlfn.XLOOKUP(Table1[[#This Row],[5 cm2 cell test code]:[5 cm2 cell test code]],[1]!Table1[[Test code]:[Test code]],[1]!Table1[Q_int_frac DIW],"",0)</f>
        <v>#REF!</v>
      </c>
      <c r="AH1763" s="69" t="e" cm="1">
        <f t="array" ref="AH1763">_xlfn.XLOOKUP(Table1[[#This Row],[5 cm2 cell test code]:[5 cm2 cell test code]],[1]!Table1[[Test code]:[Test code]],[1]!Table1[Ionic resistance 10 mM KOH/Ohm cm2],"",0)</f>
        <v>#REF!</v>
      </c>
      <c r="AI1763" s="69" t="e" cm="1">
        <f t="array" ref="AI1763">_xlfn.XLOOKUP(Table1[[#This Row],[5 cm2 cell test code]:[5 cm2 cell test code]],[1]!Table1[[Test code]:[Test code]],[1]!Table1[Q_int_frac DIW 10 mM KOH],"",0)</f>
        <v>#REF!</v>
      </c>
      <c r="AJ1763" s="69" t="e" cm="1">
        <f t="array" ref="AJ1763">_xlfn.XLOOKUP(Table1[[#This Row],[5 cm2 cell test code]:[5 cm2 cell test code]],[1]!Table1[[Test code]:[Test code]],[1]!Table1[DIW conductivity (µS/cm)],"",0)</f>
        <v>#REF!</v>
      </c>
    </row>
    <row r="1764" spans="1:36">
      <c r="A1764" s="81"/>
      <c r="U1764" s="101"/>
      <c r="V1764" s="101"/>
      <c r="W1764" s="69" t="e" cm="1">
        <f t="array" ref="W1764">_xlfn.XLOOKUP(Table1[[#This Row],[5 cm2 cell test code]:[5 cm2 cell test code]],[1]!Table1[[Test code]:[Test code]],[1]!Table1[i @ 1.8 V DIW (A/cm2)],"",0)</f>
        <v>#REF!</v>
      </c>
      <c r="X1764" s="69" t="e" cm="1">
        <f t="array" ref="X1764">_xlfn.XLOOKUP(Table1[[#This Row],[5 cm2 cell test code]:[5 cm2 cell test code]],[1]!Table1[[Test code]:[Test code]],[1]!Table1[i @ 1.8 V 10 mM KOH (A/cm2)],"",0)</f>
        <v>#REF!</v>
      </c>
      <c r="Y1764" s="69" t="e" cm="1">
        <f t="array" ref="Y1764">_xlfn.XLOOKUP(Table1[[#This Row],[5 cm2 cell test code]:[5 cm2 cell test code]],[1]!Table1[[Test code]:[Test code]],[1]!Table1[3-E ƞ at 20mAcm-2 (mV)],"",0)</f>
        <v>#REF!</v>
      </c>
      <c r="Z1764" s="69" t="e" cm="1">
        <f t="array" ref="Z1764">_xlfn.XLOOKUP(Table1[[#This Row],[5 cm2 cell test code]:[5 cm2 cell test code]],[1]!Table1[[Test code]:[Test code]],[1]!Table1[3-E Tafel slope (mV/dec)],"",0)</f>
        <v>#REF!</v>
      </c>
      <c r="AA1764" s="69" t="e" cm="1">
        <f t="array" ref="AA1764">_xlfn.XLOOKUP(Table1[[#This Row],[5 cm2 cell test code]:[5 cm2 cell test code]],[1]!Table1[[Test code]:[Test code]],[1]!Table1[E @ 100 mA/cm2 DIW/V],"",0)</f>
        <v>#REF!</v>
      </c>
      <c r="AB1764" s="69" t="e" cm="1">
        <f t="array" ref="AB1764">_xlfn.XLOOKUP(Table1[[#This Row],[5 cm2 cell test code]:[5 cm2 cell test code]],[1]!Table1[[Test code]:[Test code]],[1]!Table1[E @ 100 mA/cm2 10 mM KOH/V],"",0)</f>
        <v>#REF!</v>
      </c>
      <c r="AC1764" s="69" t="e" cm="1">
        <f t="array" ref="AC1764">_xlfn.XLOOKUP(Table1[[#This Row],[5 cm2 cell test code]:[5 cm2 cell test code]],[1]!Table1[[Test code]:[Test code]],[1]!Table1[Anode ICR/mOhm],"",0)</f>
        <v>#REF!</v>
      </c>
      <c r="AD1764" s="69" t="e" cm="1">
        <f t="array" ref="AD1764">_xlfn.XLOOKUP(Table1[[#This Row],[5 cm2 cell test code]:[5 cm2 cell test code]],[1]!Table1[[Test code]:[Test code]],[1]!Table1[HFR DIW/ mOhm cm2],"",0)</f>
        <v>#REF!</v>
      </c>
      <c r="AE1764" s="69" t="e" cm="1">
        <f t="array" ref="AE1764">_xlfn.XLOOKUP(Table1[[#This Row],[5 cm2 cell test code]:[5 cm2 cell test code]],[1]!Table1[[Test code]:[Test code]],[1]!Table1[HFR 10 mM KOH/ mOhm cm2],"",0)</f>
        <v>#REF!</v>
      </c>
      <c r="AF1764" s="69" t="e" cm="1">
        <f t="array" ref="AF1764">_xlfn.XLOOKUP(Table1[[#This Row],[5 cm2 cell test code]:[5 cm2 cell test code]],[1]!Table1[[Test code]:[Test code]],[1]!Table1[Ionic resistance DIW/Ohm cm2],"",0)</f>
        <v>#REF!</v>
      </c>
      <c r="AG1764" s="69" t="e" cm="1">
        <f t="array" ref="AG1764">_xlfn.XLOOKUP(Table1[[#This Row],[5 cm2 cell test code]:[5 cm2 cell test code]],[1]!Table1[[Test code]:[Test code]],[1]!Table1[Q_int_frac DIW],"",0)</f>
        <v>#REF!</v>
      </c>
      <c r="AH1764" s="69" t="e" cm="1">
        <f t="array" ref="AH1764">_xlfn.XLOOKUP(Table1[[#This Row],[5 cm2 cell test code]:[5 cm2 cell test code]],[1]!Table1[[Test code]:[Test code]],[1]!Table1[Ionic resistance 10 mM KOH/Ohm cm2],"",0)</f>
        <v>#REF!</v>
      </c>
      <c r="AI1764" s="69" t="e" cm="1">
        <f t="array" ref="AI1764">_xlfn.XLOOKUP(Table1[[#This Row],[5 cm2 cell test code]:[5 cm2 cell test code]],[1]!Table1[[Test code]:[Test code]],[1]!Table1[Q_int_frac DIW 10 mM KOH],"",0)</f>
        <v>#REF!</v>
      </c>
      <c r="AJ1764" s="69" t="e" cm="1">
        <f t="array" ref="AJ1764">_xlfn.XLOOKUP(Table1[[#This Row],[5 cm2 cell test code]:[5 cm2 cell test code]],[1]!Table1[[Test code]:[Test code]],[1]!Table1[DIW conductivity (µS/cm)],"",0)</f>
        <v>#REF!</v>
      </c>
    </row>
    <row r="1765" spans="1:36">
      <c r="A1765" s="81"/>
      <c r="U1765" s="101"/>
      <c r="V1765" s="101"/>
      <c r="W1765" s="69" t="e" cm="1">
        <f t="array" ref="W1765">_xlfn.XLOOKUP(Table1[[#This Row],[5 cm2 cell test code]:[5 cm2 cell test code]],[1]!Table1[[Test code]:[Test code]],[1]!Table1[i @ 1.8 V DIW (A/cm2)],"",0)</f>
        <v>#REF!</v>
      </c>
      <c r="X1765" s="69" t="e" cm="1">
        <f t="array" ref="X1765">_xlfn.XLOOKUP(Table1[[#This Row],[5 cm2 cell test code]:[5 cm2 cell test code]],[1]!Table1[[Test code]:[Test code]],[1]!Table1[i @ 1.8 V 10 mM KOH (A/cm2)],"",0)</f>
        <v>#REF!</v>
      </c>
      <c r="Y1765" s="69" t="e" cm="1">
        <f t="array" ref="Y1765">_xlfn.XLOOKUP(Table1[[#This Row],[5 cm2 cell test code]:[5 cm2 cell test code]],[1]!Table1[[Test code]:[Test code]],[1]!Table1[3-E ƞ at 20mAcm-2 (mV)],"",0)</f>
        <v>#REF!</v>
      </c>
      <c r="Z1765" s="69" t="e" cm="1">
        <f t="array" ref="Z1765">_xlfn.XLOOKUP(Table1[[#This Row],[5 cm2 cell test code]:[5 cm2 cell test code]],[1]!Table1[[Test code]:[Test code]],[1]!Table1[3-E Tafel slope (mV/dec)],"",0)</f>
        <v>#REF!</v>
      </c>
      <c r="AA1765" s="69" t="e" cm="1">
        <f t="array" ref="AA1765">_xlfn.XLOOKUP(Table1[[#This Row],[5 cm2 cell test code]:[5 cm2 cell test code]],[1]!Table1[[Test code]:[Test code]],[1]!Table1[E @ 100 mA/cm2 DIW/V],"",0)</f>
        <v>#REF!</v>
      </c>
      <c r="AB1765" s="69" t="e" cm="1">
        <f t="array" ref="AB1765">_xlfn.XLOOKUP(Table1[[#This Row],[5 cm2 cell test code]:[5 cm2 cell test code]],[1]!Table1[[Test code]:[Test code]],[1]!Table1[E @ 100 mA/cm2 10 mM KOH/V],"",0)</f>
        <v>#REF!</v>
      </c>
      <c r="AC1765" s="69" t="e" cm="1">
        <f t="array" ref="AC1765">_xlfn.XLOOKUP(Table1[[#This Row],[5 cm2 cell test code]:[5 cm2 cell test code]],[1]!Table1[[Test code]:[Test code]],[1]!Table1[Anode ICR/mOhm],"",0)</f>
        <v>#REF!</v>
      </c>
      <c r="AD1765" s="69" t="e" cm="1">
        <f t="array" ref="AD1765">_xlfn.XLOOKUP(Table1[[#This Row],[5 cm2 cell test code]:[5 cm2 cell test code]],[1]!Table1[[Test code]:[Test code]],[1]!Table1[HFR DIW/ mOhm cm2],"",0)</f>
        <v>#REF!</v>
      </c>
      <c r="AE1765" s="69" t="e" cm="1">
        <f t="array" ref="AE1765">_xlfn.XLOOKUP(Table1[[#This Row],[5 cm2 cell test code]:[5 cm2 cell test code]],[1]!Table1[[Test code]:[Test code]],[1]!Table1[HFR 10 mM KOH/ mOhm cm2],"",0)</f>
        <v>#REF!</v>
      </c>
      <c r="AF1765" s="69" t="e" cm="1">
        <f t="array" ref="AF1765">_xlfn.XLOOKUP(Table1[[#This Row],[5 cm2 cell test code]:[5 cm2 cell test code]],[1]!Table1[[Test code]:[Test code]],[1]!Table1[Ionic resistance DIW/Ohm cm2],"",0)</f>
        <v>#REF!</v>
      </c>
      <c r="AG1765" s="69" t="e" cm="1">
        <f t="array" ref="AG1765">_xlfn.XLOOKUP(Table1[[#This Row],[5 cm2 cell test code]:[5 cm2 cell test code]],[1]!Table1[[Test code]:[Test code]],[1]!Table1[Q_int_frac DIW],"",0)</f>
        <v>#REF!</v>
      </c>
      <c r="AH1765" s="69" t="e" cm="1">
        <f t="array" ref="AH1765">_xlfn.XLOOKUP(Table1[[#This Row],[5 cm2 cell test code]:[5 cm2 cell test code]],[1]!Table1[[Test code]:[Test code]],[1]!Table1[Ionic resistance 10 mM KOH/Ohm cm2],"",0)</f>
        <v>#REF!</v>
      </c>
      <c r="AI1765" s="69" t="e" cm="1">
        <f t="array" ref="AI1765">_xlfn.XLOOKUP(Table1[[#This Row],[5 cm2 cell test code]:[5 cm2 cell test code]],[1]!Table1[[Test code]:[Test code]],[1]!Table1[Q_int_frac DIW 10 mM KOH],"",0)</f>
        <v>#REF!</v>
      </c>
      <c r="AJ1765" s="69" t="e" cm="1">
        <f t="array" ref="AJ1765">_xlfn.XLOOKUP(Table1[[#This Row],[5 cm2 cell test code]:[5 cm2 cell test code]],[1]!Table1[[Test code]:[Test code]],[1]!Table1[DIW conductivity (µS/cm)],"",0)</f>
        <v>#REF!</v>
      </c>
    </row>
    <row r="1766" spans="1:36">
      <c r="A1766" s="81"/>
      <c r="U1766" s="101"/>
      <c r="V1766" s="101"/>
      <c r="W1766" s="69" t="e" cm="1">
        <f t="array" ref="W1766">_xlfn.XLOOKUP(Table1[[#This Row],[5 cm2 cell test code]:[5 cm2 cell test code]],[1]!Table1[[Test code]:[Test code]],[1]!Table1[i @ 1.8 V DIW (A/cm2)],"",0)</f>
        <v>#REF!</v>
      </c>
      <c r="X1766" s="69" t="e" cm="1">
        <f t="array" ref="X1766">_xlfn.XLOOKUP(Table1[[#This Row],[5 cm2 cell test code]:[5 cm2 cell test code]],[1]!Table1[[Test code]:[Test code]],[1]!Table1[i @ 1.8 V 10 mM KOH (A/cm2)],"",0)</f>
        <v>#REF!</v>
      </c>
      <c r="Y1766" s="69" t="e" cm="1">
        <f t="array" ref="Y1766">_xlfn.XLOOKUP(Table1[[#This Row],[5 cm2 cell test code]:[5 cm2 cell test code]],[1]!Table1[[Test code]:[Test code]],[1]!Table1[3-E ƞ at 20mAcm-2 (mV)],"",0)</f>
        <v>#REF!</v>
      </c>
      <c r="Z1766" s="69" t="e" cm="1">
        <f t="array" ref="Z1766">_xlfn.XLOOKUP(Table1[[#This Row],[5 cm2 cell test code]:[5 cm2 cell test code]],[1]!Table1[[Test code]:[Test code]],[1]!Table1[3-E Tafel slope (mV/dec)],"",0)</f>
        <v>#REF!</v>
      </c>
      <c r="AA1766" s="69" t="e" cm="1">
        <f t="array" ref="AA1766">_xlfn.XLOOKUP(Table1[[#This Row],[5 cm2 cell test code]:[5 cm2 cell test code]],[1]!Table1[[Test code]:[Test code]],[1]!Table1[E @ 100 mA/cm2 DIW/V],"",0)</f>
        <v>#REF!</v>
      </c>
      <c r="AB1766" s="69" t="e" cm="1">
        <f t="array" ref="AB1766">_xlfn.XLOOKUP(Table1[[#This Row],[5 cm2 cell test code]:[5 cm2 cell test code]],[1]!Table1[[Test code]:[Test code]],[1]!Table1[E @ 100 mA/cm2 10 mM KOH/V],"",0)</f>
        <v>#REF!</v>
      </c>
      <c r="AC1766" s="69" t="e" cm="1">
        <f t="array" ref="AC1766">_xlfn.XLOOKUP(Table1[[#This Row],[5 cm2 cell test code]:[5 cm2 cell test code]],[1]!Table1[[Test code]:[Test code]],[1]!Table1[Anode ICR/mOhm],"",0)</f>
        <v>#REF!</v>
      </c>
      <c r="AD1766" s="69" t="e" cm="1">
        <f t="array" ref="AD1766">_xlfn.XLOOKUP(Table1[[#This Row],[5 cm2 cell test code]:[5 cm2 cell test code]],[1]!Table1[[Test code]:[Test code]],[1]!Table1[HFR DIW/ mOhm cm2],"",0)</f>
        <v>#REF!</v>
      </c>
      <c r="AE1766" s="69" t="e" cm="1">
        <f t="array" ref="AE1766">_xlfn.XLOOKUP(Table1[[#This Row],[5 cm2 cell test code]:[5 cm2 cell test code]],[1]!Table1[[Test code]:[Test code]],[1]!Table1[HFR 10 mM KOH/ mOhm cm2],"",0)</f>
        <v>#REF!</v>
      </c>
      <c r="AF1766" s="69" t="e" cm="1">
        <f t="array" ref="AF1766">_xlfn.XLOOKUP(Table1[[#This Row],[5 cm2 cell test code]:[5 cm2 cell test code]],[1]!Table1[[Test code]:[Test code]],[1]!Table1[Ionic resistance DIW/Ohm cm2],"",0)</f>
        <v>#REF!</v>
      </c>
      <c r="AG1766" s="69" t="e" cm="1">
        <f t="array" ref="AG1766">_xlfn.XLOOKUP(Table1[[#This Row],[5 cm2 cell test code]:[5 cm2 cell test code]],[1]!Table1[[Test code]:[Test code]],[1]!Table1[Q_int_frac DIW],"",0)</f>
        <v>#REF!</v>
      </c>
      <c r="AH1766" s="69" t="e" cm="1">
        <f t="array" ref="AH1766">_xlfn.XLOOKUP(Table1[[#This Row],[5 cm2 cell test code]:[5 cm2 cell test code]],[1]!Table1[[Test code]:[Test code]],[1]!Table1[Ionic resistance 10 mM KOH/Ohm cm2],"",0)</f>
        <v>#REF!</v>
      </c>
      <c r="AI1766" s="69" t="e" cm="1">
        <f t="array" ref="AI1766">_xlfn.XLOOKUP(Table1[[#This Row],[5 cm2 cell test code]:[5 cm2 cell test code]],[1]!Table1[[Test code]:[Test code]],[1]!Table1[Q_int_frac DIW 10 mM KOH],"",0)</f>
        <v>#REF!</v>
      </c>
      <c r="AJ1766" s="69" t="e" cm="1">
        <f t="array" ref="AJ1766">_xlfn.XLOOKUP(Table1[[#This Row],[5 cm2 cell test code]:[5 cm2 cell test code]],[1]!Table1[[Test code]:[Test code]],[1]!Table1[DIW conductivity (µS/cm)],"",0)</f>
        <v>#REF!</v>
      </c>
    </row>
    <row r="1767" spans="1:36">
      <c r="A1767" s="81"/>
      <c r="U1767" s="101"/>
      <c r="V1767" s="101"/>
      <c r="W1767" s="69" t="e" cm="1">
        <f t="array" ref="W1767">_xlfn.XLOOKUP(Table1[[#This Row],[5 cm2 cell test code]:[5 cm2 cell test code]],[1]!Table1[[Test code]:[Test code]],[1]!Table1[i @ 1.8 V DIW (A/cm2)],"",0)</f>
        <v>#REF!</v>
      </c>
      <c r="X1767" s="69" t="e" cm="1">
        <f t="array" ref="X1767">_xlfn.XLOOKUP(Table1[[#This Row],[5 cm2 cell test code]:[5 cm2 cell test code]],[1]!Table1[[Test code]:[Test code]],[1]!Table1[i @ 1.8 V 10 mM KOH (A/cm2)],"",0)</f>
        <v>#REF!</v>
      </c>
      <c r="Y1767" s="69" t="e" cm="1">
        <f t="array" ref="Y1767">_xlfn.XLOOKUP(Table1[[#This Row],[5 cm2 cell test code]:[5 cm2 cell test code]],[1]!Table1[[Test code]:[Test code]],[1]!Table1[3-E ƞ at 20mAcm-2 (mV)],"",0)</f>
        <v>#REF!</v>
      </c>
      <c r="Z1767" s="69" t="e" cm="1">
        <f t="array" ref="Z1767">_xlfn.XLOOKUP(Table1[[#This Row],[5 cm2 cell test code]:[5 cm2 cell test code]],[1]!Table1[[Test code]:[Test code]],[1]!Table1[3-E Tafel slope (mV/dec)],"",0)</f>
        <v>#REF!</v>
      </c>
      <c r="AA1767" s="69" t="e" cm="1">
        <f t="array" ref="AA1767">_xlfn.XLOOKUP(Table1[[#This Row],[5 cm2 cell test code]:[5 cm2 cell test code]],[1]!Table1[[Test code]:[Test code]],[1]!Table1[E @ 100 mA/cm2 DIW/V],"",0)</f>
        <v>#REF!</v>
      </c>
      <c r="AB1767" s="69" t="e" cm="1">
        <f t="array" ref="AB1767">_xlfn.XLOOKUP(Table1[[#This Row],[5 cm2 cell test code]:[5 cm2 cell test code]],[1]!Table1[[Test code]:[Test code]],[1]!Table1[E @ 100 mA/cm2 10 mM KOH/V],"",0)</f>
        <v>#REF!</v>
      </c>
      <c r="AC1767" s="69" t="e" cm="1">
        <f t="array" ref="AC1767">_xlfn.XLOOKUP(Table1[[#This Row],[5 cm2 cell test code]:[5 cm2 cell test code]],[1]!Table1[[Test code]:[Test code]],[1]!Table1[Anode ICR/mOhm],"",0)</f>
        <v>#REF!</v>
      </c>
      <c r="AD1767" s="69" t="e" cm="1">
        <f t="array" ref="AD1767">_xlfn.XLOOKUP(Table1[[#This Row],[5 cm2 cell test code]:[5 cm2 cell test code]],[1]!Table1[[Test code]:[Test code]],[1]!Table1[HFR DIW/ mOhm cm2],"",0)</f>
        <v>#REF!</v>
      </c>
      <c r="AE1767" s="69" t="e" cm="1">
        <f t="array" ref="AE1767">_xlfn.XLOOKUP(Table1[[#This Row],[5 cm2 cell test code]:[5 cm2 cell test code]],[1]!Table1[[Test code]:[Test code]],[1]!Table1[HFR 10 mM KOH/ mOhm cm2],"",0)</f>
        <v>#REF!</v>
      </c>
      <c r="AF1767" s="69" t="e" cm="1">
        <f t="array" ref="AF1767">_xlfn.XLOOKUP(Table1[[#This Row],[5 cm2 cell test code]:[5 cm2 cell test code]],[1]!Table1[[Test code]:[Test code]],[1]!Table1[Ionic resistance DIW/Ohm cm2],"",0)</f>
        <v>#REF!</v>
      </c>
      <c r="AG1767" s="69" t="e" cm="1">
        <f t="array" ref="AG1767">_xlfn.XLOOKUP(Table1[[#This Row],[5 cm2 cell test code]:[5 cm2 cell test code]],[1]!Table1[[Test code]:[Test code]],[1]!Table1[Q_int_frac DIW],"",0)</f>
        <v>#REF!</v>
      </c>
      <c r="AH1767" s="69" t="e" cm="1">
        <f t="array" ref="AH1767">_xlfn.XLOOKUP(Table1[[#This Row],[5 cm2 cell test code]:[5 cm2 cell test code]],[1]!Table1[[Test code]:[Test code]],[1]!Table1[Ionic resistance 10 mM KOH/Ohm cm2],"",0)</f>
        <v>#REF!</v>
      </c>
      <c r="AI1767" s="69" t="e" cm="1">
        <f t="array" ref="AI1767">_xlfn.XLOOKUP(Table1[[#This Row],[5 cm2 cell test code]:[5 cm2 cell test code]],[1]!Table1[[Test code]:[Test code]],[1]!Table1[Q_int_frac DIW 10 mM KOH],"",0)</f>
        <v>#REF!</v>
      </c>
      <c r="AJ1767" s="69" t="e" cm="1">
        <f t="array" ref="AJ1767">_xlfn.XLOOKUP(Table1[[#This Row],[5 cm2 cell test code]:[5 cm2 cell test code]],[1]!Table1[[Test code]:[Test code]],[1]!Table1[DIW conductivity (µS/cm)],"",0)</f>
        <v>#REF!</v>
      </c>
    </row>
    <row r="1768" spans="1:36">
      <c r="A1768" s="81"/>
      <c r="U1768" s="101"/>
      <c r="V1768" s="101"/>
      <c r="W1768" s="69" t="e" cm="1">
        <f t="array" ref="W1768">_xlfn.XLOOKUP(Table1[[#This Row],[5 cm2 cell test code]:[5 cm2 cell test code]],[1]!Table1[[Test code]:[Test code]],[1]!Table1[i @ 1.8 V DIW (A/cm2)],"",0)</f>
        <v>#REF!</v>
      </c>
      <c r="X1768" s="69" t="e" cm="1">
        <f t="array" ref="X1768">_xlfn.XLOOKUP(Table1[[#This Row],[5 cm2 cell test code]:[5 cm2 cell test code]],[1]!Table1[[Test code]:[Test code]],[1]!Table1[i @ 1.8 V 10 mM KOH (A/cm2)],"",0)</f>
        <v>#REF!</v>
      </c>
      <c r="Y1768" s="69" t="e" cm="1">
        <f t="array" ref="Y1768">_xlfn.XLOOKUP(Table1[[#This Row],[5 cm2 cell test code]:[5 cm2 cell test code]],[1]!Table1[[Test code]:[Test code]],[1]!Table1[3-E ƞ at 20mAcm-2 (mV)],"",0)</f>
        <v>#REF!</v>
      </c>
      <c r="Z1768" s="69" t="e" cm="1">
        <f t="array" ref="Z1768">_xlfn.XLOOKUP(Table1[[#This Row],[5 cm2 cell test code]:[5 cm2 cell test code]],[1]!Table1[[Test code]:[Test code]],[1]!Table1[3-E Tafel slope (mV/dec)],"",0)</f>
        <v>#REF!</v>
      </c>
      <c r="AA1768" s="69" t="e" cm="1">
        <f t="array" ref="AA1768">_xlfn.XLOOKUP(Table1[[#This Row],[5 cm2 cell test code]:[5 cm2 cell test code]],[1]!Table1[[Test code]:[Test code]],[1]!Table1[E @ 100 mA/cm2 DIW/V],"",0)</f>
        <v>#REF!</v>
      </c>
      <c r="AB1768" s="69" t="e" cm="1">
        <f t="array" ref="AB1768">_xlfn.XLOOKUP(Table1[[#This Row],[5 cm2 cell test code]:[5 cm2 cell test code]],[1]!Table1[[Test code]:[Test code]],[1]!Table1[E @ 100 mA/cm2 10 mM KOH/V],"",0)</f>
        <v>#REF!</v>
      </c>
      <c r="AC1768" s="69" t="e" cm="1">
        <f t="array" ref="AC1768">_xlfn.XLOOKUP(Table1[[#This Row],[5 cm2 cell test code]:[5 cm2 cell test code]],[1]!Table1[[Test code]:[Test code]],[1]!Table1[Anode ICR/mOhm],"",0)</f>
        <v>#REF!</v>
      </c>
      <c r="AD1768" s="69" t="e" cm="1">
        <f t="array" ref="AD1768">_xlfn.XLOOKUP(Table1[[#This Row],[5 cm2 cell test code]:[5 cm2 cell test code]],[1]!Table1[[Test code]:[Test code]],[1]!Table1[HFR DIW/ mOhm cm2],"",0)</f>
        <v>#REF!</v>
      </c>
      <c r="AE1768" s="69" t="e" cm="1">
        <f t="array" ref="AE1768">_xlfn.XLOOKUP(Table1[[#This Row],[5 cm2 cell test code]:[5 cm2 cell test code]],[1]!Table1[[Test code]:[Test code]],[1]!Table1[HFR 10 mM KOH/ mOhm cm2],"",0)</f>
        <v>#REF!</v>
      </c>
      <c r="AF1768" s="69" t="e" cm="1">
        <f t="array" ref="AF1768">_xlfn.XLOOKUP(Table1[[#This Row],[5 cm2 cell test code]:[5 cm2 cell test code]],[1]!Table1[[Test code]:[Test code]],[1]!Table1[Ionic resistance DIW/Ohm cm2],"",0)</f>
        <v>#REF!</v>
      </c>
      <c r="AG1768" s="69" t="e" cm="1">
        <f t="array" ref="AG1768">_xlfn.XLOOKUP(Table1[[#This Row],[5 cm2 cell test code]:[5 cm2 cell test code]],[1]!Table1[[Test code]:[Test code]],[1]!Table1[Q_int_frac DIW],"",0)</f>
        <v>#REF!</v>
      </c>
      <c r="AH1768" s="69" t="e" cm="1">
        <f t="array" ref="AH1768">_xlfn.XLOOKUP(Table1[[#This Row],[5 cm2 cell test code]:[5 cm2 cell test code]],[1]!Table1[[Test code]:[Test code]],[1]!Table1[Ionic resistance 10 mM KOH/Ohm cm2],"",0)</f>
        <v>#REF!</v>
      </c>
      <c r="AI1768" s="69" t="e" cm="1">
        <f t="array" ref="AI1768">_xlfn.XLOOKUP(Table1[[#This Row],[5 cm2 cell test code]:[5 cm2 cell test code]],[1]!Table1[[Test code]:[Test code]],[1]!Table1[Q_int_frac DIW 10 mM KOH],"",0)</f>
        <v>#REF!</v>
      </c>
      <c r="AJ1768" s="69" t="e" cm="1">
        <f t="array" ref="AJ1768">_xlfn.XLOOKUP(Table1[[#This Row],[5 cm2 cell test code]:[5 cm2 cell test code]],[1]!Table1[[Test code]:[Test code]],[1]!Table1[DIW conductivity (µS/cm)],"",0)</f>
        <v>#REF!</v>
      </c>
    </row>
    <row r="1769" spans="1:36">
      <c r="A1769" s="81"/>
      <c r="U1769" s="101"/>
      <c r="V1769" s="101"/>
      <c r="W1769" s="69" t="e" cm="1">
        <f t="array" ref="W1769">_xlfn.XLOOKUP(Table1[[#This Row],[5 cm2 cell test code]:[5 cm2 cell test code]],[1]!Table1[[Test code]:[Test code]],[1]!Table1[i @ 1.8 V DIW (A/cm2)],"",0)</f>
        <v>#REF!</v>
      </c>
      <c r="X1769" s="69" t="e" cm="1">
        <f t="array" ref="X1769">_xlfn.XLOOKUP(Table1[[#This Row],[5 cm2 cell test code]:[5 cm2 cell test code]],[1]!Table1[[Test code]:[Test code]],[1]!Table1[i @ 1.8 V 10 mM KOH (A/cm2)],"",0)</f>
        <v>#REF!</v>
      </c>
      <c r="Y1769" s="69" t="e" cm="1">
        <f t="array" ref="Y1769">_xlfn.XLOOKUP(Table1[[#This Row],[5 cm2 cell test code]:[5 cm2 cell test code]],[1]!Table1[[Test code]:[Test code]],[1]!Table1[3-E ƞ at 20mAcm-2 (mV)],"",0)</f>
        <v>#REF!</v>
      </c>
      <c r="Z1769" s="69" t="e" cm="1">
        <f t="array" ref="Z1769">_xlfn.XLOOKUP(Table1[[#This Row],[5 cm2 cell test code]:[5 cm2 cell test code]],[1]!Table1[[Test code]:[Test code]],[1]!Table1[3-E Tafel slope (mV/dec)],"",0)</f>
        <v>#REF!</v>
      </c>
      <c r="AA1769" s="69" t="e" cm="1">
        <f t="array" ref="AA1769">_xlfn.XLOOKUP(Table1[[#This Row],[5 cm2 cell test code]:[5 cm2 cell test code]],[1]!Table1[[Test code]:[Test code]],[1]!Table1[E @ 100 mA/cm2 DIW/V],"",0)</f>
        <v>#REF!</v>
      </c>
      <c r="AB1769" s="69" t="e" cm="1">
        <f t="array" ref="AB1769">_xlfn.XLOOKUP(Table1[[#This Row],[5 cm2 cell test code]:[5 cm2 cell test code]],[1]!Table1[[Test code]:[Test code]],[1]!Table1[E @ 100 mA/cm2 10 mM KOH/V],"",0)</f>
        <v>#REF!</v>
      </c>
      <c r="AC1769" s="69" t="e" cm="1">
        <f t="array" ref="AC1769">_xlfn.XLOOKUP(Table1[[#This Row],[5 cm2 cell test code]:[5 cm2 cell test code]],[1]!Table1[[Test code]:[Test code]],[1]!Table1[Anode ICR/mOhm],"",0)</f>
        <v>#REF!</v>
      </c>
      <c r="AD1769" s="69" t="e" cm="1">
        <f t="array" ref="AD1769">_xlfn.XLOOKUP(Table1[[#This Row],[5 cm2 cell test code]:[5 cm2 cell test code]],[1]!Table1[[Test code]:[Test code]],[1]!Table1[HFR DIW/ mOhm cm2],"",0)</f>
        <v>#REF!</v>
      </c>
      <c r="AE1769" s="69" t="e" cm="1">
        <f t="array" ref="AE1769">_xlfn.XLOOKUP(Table1[[#This Row],[5 cm2 cell test code]:[5 cm2 cell test code]],[1]!Table1[[Test code]:[Test code]],[1]!Table1[HFR 10 mM KOH/ mOhm cm2],"",0)</f>
        <v>#REF!</v>
      </c>
      <c r="AF1769" s="69" t="e" cm="1">
        <f t="array" ref="AF1769">_xlfn.XLOOKUP(Table1[[#This Row],[5 cm2 cell test code]:[5 cm2 cell test code]],[1]!Table1[[Test code]:[Test code]],[1]!Table1[Ionic resistance DIW/Ohm cm2],"",0)</f>
        <v>#REF!</v>
      </c>
      <c r="AG1769" s="69" t="e" cm="1">
        <f t="array" ref="AG1769">_xlfn.XLOOKUP(Table1[[#This Row],[5 cm2 cell test code]:[5 cm2 cell test code]],[1]!Table1[[Test code]:[Test code]],[1]!Table1[Q_int_frac DIW],"",0)</f>
        <v>#REF!</v>
      </c>
      <c r="AH1769" s="69" t="e" cm="1">
        <f t="array" ref="AH1769">_xlfn.XLOOKUP(Table1[[#This Row],[5 cm2 cell test code]:[5 cm2 cell test code]],[1]!Table1[[Test code]:[Test code]],[1]!Table1[Ionic resistance 10 mM KOH/Ohm cm2],"",0)</f>
        <v>#REF!</v>
      </c>
      <c r="AI1769" s="69" t="e" cm="1">
        <f t="array" ref="AI1769">_xlfn.XLOOKUP(Table1[[#This Row],[5 cm2 cell test code]:[5 cm2 cell test code]],[1]!Table1[[Test code]:[Test code]],[1]!Table1[Q_int_frac DIW 10 mM KOH],"",0)</f>
        <v>#REF!</v>
      </c>
      <c r="AJ1769" s="69" t="e" cm="1">
        <f t="array" ref="AJ1769">_xlfn.XLOOKUP(Table1[[#This Row],[5 cm2 cell test code]:[5 cm2 cell test code]],[1]!Table1[[Test code]:[Test code]],[1]!Table1[DIW conductivity (µS/cm)],"",0)</f>
        <v>#REF!</v>
      </c>
    </row>
    <row r="1770" spans="1:36">
      <c r="A1770" s="81"/>
      <c r="U1770" s="101"/>
      <c r="V1770" s="101"/>
      <c r="W1770" s="69" t="e" cm="1">
        <f t="array" ref="W1770">_xlfn.XLOOKUP(Table1[[#This Row],[5 cm2 cell test code]:[5 cm2 cell test code]],[1]!Table1[[Test code]:[Test code]],[1]!Table1[i @ 1.8 V DIW (A/cm2)],"",0)</f>
        <v>#REF!</v>
      </c>
      <c r="X1770" s="69" t="e" cm="1">
        <f t="array" ref="X1770">_xlfn.XLOOKUP(Table1[[#This Row],[5 cm2 cell test code]:[5 cm2 cell test code]],[1]!Table1[[Test code]:[Test code]],[1]!Table1[i @ 1.8 V 10 mM KOH (A/cm2)],"",0)</f>
        <v>#REF!</v>
      </c>
      <c r="Y1770" s="69" t="e" cm="1">
        <f t="array" ref="Y1770">_xlfn.XLOOKUP(Table1[[#This Row],[5 cm2 cell test code]:[5 cm2 cell test code]],[1]!Table1[[Test code]:[Test code]],[1]!Table1[3-E ƞ at 20mAcm-2 (mV)],"",0)</f>
        <v>#REF!</v>
      </c>
      <c r="Z1770" s="69" t="e" cm="1">
        <f t="array" ref="Z1770">_xlfn.XLOOKUP(Table1[[#This Row],[5 cm2 cell test code]:[5 cm2 cell test code]],[1]!Table1[[Test code]:[Test code]],[1]!Table1[3-E Tafel slope (mV/dec)],"",0)</f>
        <v>#REF!</v>
      </c>
      <c r="AA1770" s="69" t="e" cm="1">
        <f t="array" ref="AA1770">_xlfn.XLOOKUP(Table1[[#This Row],[5 cm2 cell test code]:[5 cm2 cell test code]],[1]!Table1[[Test code]:[Test code]],[1]!Table1[E @ 100 mA/cm2 DIW/V],"",0)</f>
        <v>#REF!</v>
      </c>
      <c r="AB1770" s="69" t="e" cm="1">
        <f t="array" ref="AB1770">_xlfn.XLOOKUP(Table1[[#This Row],[5 cm2 cell test code]:[5 cm2 cell test code]],[1]!Table1[[Test code]:[Test code]],[1]!Table1[E @ 100 mA/cm2 10 mM KOH/V],"",0)</f>
        <v>#REF!</v>
      </c>
      <c r="AC1770" s="69" t="e" cm="1">
        <f t="array" ref="AC1770">_xlfn.XLOOKUP(Table1[[#This Row],[5 cm2 cell test code]:[5 cm2 cell test code]],[1]!Table1[[Test code]:[Test code]],[1]!Table1[Anode ICR/mOhm],"",0)</f>
        <v>#REF!</v>
      </c>
      <c r="AD1770" s="69" t="e" cm="1">
        <f t="array" ref="AD1770">_xlfn.XLOOKUP(Table1[[#This Row],[5 cm2 cell test code]:[5 cm2 cell test code]],[1]!Table1[[Test code]:[Test code]],[1]!Table1[HFR DIW/ mOhm cm2],"",0)</f>
        <v>#REF!</v>
      </c>
      <c r="AE1770" s="69" t="e" cm="1">
        <f t="array" ref="AE1770">_xlfn.XLOOKUP(Table1[[#This Row],[5 cm2 cell test code]:[5 cm2 cell test code]],[1]!Table1[[Test code]:[Test code]],[1]!Table1[HFR 10 mM KOH/ mOhm cm2],"",0)</f>
        <v>#REF!</v>
      </c>
      <c r="AF1770" s="69" t="e" cm="1">
        <f t="array" ref="AF1770">_xlfn.XLOOKUP(Table1[[#This Row],[5 cm2 cell test code]:[5 cm2 cell test code]],[1]!Table1[[Test code]:[Test code]],[1]!Table1[Ionic resistance DIW/Ohm cm2],"",0)</f>
        <v>#REF!</v>
      </c>
      <c r="AG1770" s="69" t="e" cm="1">
        <f t="array" ref="AG1770">_xlfn.XLOOKUP(Table1[[#This Row],[5 cm2 cell test code]:[5 cm2 cell test code]],[1]!Table1[[Test code]:[Test code]],[1]!Table1[Q_int_frac DIW],"",0)</f>
        <v>#REF!</v>
      </c>
      <c r="AH1770" s="69" t="e" cm="1">
        <f t="array" ref="AH1770">_xlfn.XLOOKUP(Table1[[#This Row],[5 cm2 cell test code]:[5 cm2 cell test code]],[1]!Table1[[Test code]:[Test code]],[1]!Table1[Ionic resistance 10 mM KOH/Ohm cm2],"",0)</f>
        <v>#REF!</v>
      </c>
      <c r="AI1770" s="69" t="e" cm="1">
        <f t="array" ref="AI1770">_xlfn.XLOOKUP(Table1[[#This Row],[5 cm2 cell test code]:[5 cm2 cell test code]],[1]!Table1[[Test code]:[Test code]],[1]!Table1[Q_int_frac DIW 10 mM KOH],"",0)</f>
        <v>#REF!</v>
      </c>
      <c r="AJ1770" s="69" t="e" cm="1">
        <f t="array" ref="AJ1770">_xlfn.XLOOKUP(Table1[[#This Row],[5 cm2 cell test code]:[5 cm2 cell test code]],[1]!Table1[[Test code]:[Test code]],[1]!Table1[DIW conductivity (µS/cm)],"",0)</f>
        <v>#REF!</v>
      </c>
    </row>
    <row r="1771" spans="1:36">
      <c r="A1771" s="81"/>
      <c r="U1771" s="101"/>
      <c r="V1771" s="101"/>
      <c r="W1771" s="69" t="e" cm="1">
        <f t="array" ref="W1771">_xlfn.XLOOKUP(Table1[[#This Row],[5 cm2 cell test code]:[5 cm2 cell test code]],[1]!Table1[[Test code]:[Test code]],[1]!Table1[i @ 1.8 V DIW (A/cm2)],"",0)</f>
        <v>#REF!</v>
      </c>
      <c r="X1771" s="69" t="e" cm="1">
        <f t="array" ref="X1771">_xlfn.XLOOKUP(Table1[[#This Row],[5 cm2 cell test code]:[5 cm2 cell test code]],[1]!Table1[[Test code]:[Test code]],[1]!Table1[i @ 1.8 V 10 mM KOH (A/cm2)],"",0)</f>
        <v>#REF!</v>
      </c>
      <c r="Y1771" s="69" t="e" cm="1">
        <f t="array" ref="Y1771">_xlfn.XLOOKUP(Table1[[#This Row],[5 cm2 cell test code]:[5 cm2 cell test code]],[1]!Table1[[Test code]:[Test code]],[1]!Table1[3-E ƞ at 20mAcm-2 (mV)],"",0)</f>
        <v>#REF!</v>
      </c>
      <c r="Z1771" s="69" t="e" cm="1">
        <f t="array" ref="Z1771">_xlfn.XLOOKUP(Table1[[#This Row],[5 cm2 cell test code]:[5 cm2 cell test code]],[1]!Table1[[Test code]:[Test code]],[1]!Table1[3-E Tafel slope (mV/dec)],"",0)</f>
        <v>#REF!</v>
      </c>
      <c r="AA1771" s="69" t="e" cm="1">
        <f t="array" ref="AA1771">_xlfn.XLOOKUP(Table1[[#This Row],[5 cm2 cell test code]:[5 cm2 cell test code]],[1]!Table1[[Test code]:[Test code]],[1]!Table1[E @ 100 mA/cm2 DIW/V],"",0)</f>
        <v>#REF!</v>
      </c>
      <c r="AB1771" s="69" t="e" cm="1">
        <f t="array" ref="AB1771">_xlfn.XLOOKUP(Table1[[#This Row],[5 cm2 cell test code]:[5 cm2 cell test code]],[1]!Table1[[Test code]:[Test code]],[1]!Table1[E @ 100 mA/cm2 10 mM KOH/V],"",0)</f>
        <v>#REF!</v>
      </c>
      <c r="AC1771" s="69" t="e" cm="1">
        <f t="array" ref="AC1771">_xlfn.XLOOKUP(Table1[[#This Row],[5 cm2 cell test code]:[5 cm2 cell test code]],[1]!Table1[[Test code]:[Test code]],[1]!Table1[Anode ICR/mOhm],"",0)</f>
        <v>#REF!</v>
      </c>
      <c r="AD1771" s="69" t="e" cm="1">
        <f t="array" ref="AD1771">_xlfn.XLOOKUP(Table1[[#This Row],[5 cm2 cell test code]:[5 cm2 cell test code]],[1]!Table1[[Test code]:[Test code]],[1]!Table1[HFR DIW/ mOhm cm2],"",0)</f>
        <v>#REF!</v>
      </c>
      <c r="AE1771" s="69" t="e" cm="1">
        <f t="array" ref="AE1771">_xlfn.XLOOKUP(Table1[[#This Row],[5 cm2 cell test code]:[5 cm2 cell test code]],[1]!Table1[[Test code]:[Test code]],[1]!Table1[HFR 10 mM KOH/ mOhm cm2],"",0)</f>
        <v>#REF!</v>
      </c>
      <c r="AF1771" s="69" t="e" cm="1">
        <f t="array" ref="AF1771">_xlfn.XLOOKUP(Table1[[#This Row],[5 cm2 cell test code]:[5 cm2 cell test code]],[1]!Table1[[Test code]:[Test code]],[1]!Table1[Ionic resistance DIW/Ohm cm2],"",0)</f>
        <v>#REF!</v>
      </c>
      <c r="AG1771" s="69" t="e" cm="1">
        <f t="array" ref="AG1771">_xlfn.XLOOKUP(Table1[[#This Row],[5 cm2 cell test code]:[5 cm2 cell test code]],[1]!Table1[[Test code]:[Test code]],[1]!Table1[Q_int_frac DIW],"",0)</f>
        <v>#REF!</v>
      </c>
      <c r="AH1771" s="69" t="e" cm="1">
        <f t="array" ref="AH1771">_xlfn.XLOOKUP(Table1[[#This Row],[5 cm2 cell test code]:[5 cm2 cell test code]],[1]!Table1[[Test code]:[Test code]],[1]!Table1[Ionic resistance 10 mM KOH/Ohm cm2],"",0)</f>
        <v>#REF!</v>
      </c>
      <c r="AI1771" s="69" t="e" cm="1">
        <f t="array" ref="AI1771">_xlfn.XLOOKUP(Table1[[#This Row],[5 cm2 cell test code]:[5 cm2 cell test code]],[1]!Table1[[Test code]:[Test code]],[1]!Table1[Q_int_frac DIW 10 mM KOH],"",0)</f>
        <v>#REF!</v>
      </c>
      <c r="AJ1771" s="69" t="e" cm="1">
        <f t="array" ref="AJ1771">_xlfn.XLOOKUP(Table1[[#This Row],[5 cm2 cell test code]:[5 cm2 cell test code]],[1]!Table1[[Test code]:[Test code]],[1]!Table1[DIW conductivity (µS/cm)],"",0)</f>
        <v>#REF!</v>
      </c>
    </row>
    <row r="1772" spans="1:36">
      <c r="A1772" s="81"/>
      <c r="U1772" s="101"/>
      <c r="V1772" s="101"/>
      <c r="W1772" s="69" t="e" cm="1">
        <f t="array" ref="W1772">_xlfn.XLOOKUP(Table1[[#This Row],[5 cm2 cell test code]:[5 cm2 cell test code]],[1]!Table1[[Test code]:[Test code]],[1]!Table1[i @ 1.8 V DIW (A/cm2)],"",0)</f>
        <v>#REF!</v>
      </c>
      <c r="X1772" s="69" t="e" cm="1">
        <f t="array" ref="X1772">_xlfn.XLOOKUP(Table1[[#This Row],[5 cm2 cell test code]:[5 cm2 cell test code]],[1]!Table1[[Test code]:[Test code]],[1]!Table1[i @ 1.8 V 10 mM KOH (A/cm2)],"",0)</f>
        <v>#REF!</v>
      </c>
      <c r="Y1772" s="69" t="e" cm="1">
        <f t="array" ref="Y1772">_xlfn.XLOOKUP(Table1[[#This Row],[5 cm2 cell test code]:[5 cm2 cell test code]],[1]!Table1[[Test code]:[Test code]],[1]!Table1[3-E ƞ at 20mAcm-2 (mV)],"",0)</f>
        <v>#REF!</v>
      </c>
      <c r="Z1772" s="69" t="e" cm="1">
        <f t="array" ref="Z1772">_xlfn.XLOOKUP(Table1[[#This Row],[5 cm2 cell test code]:[5 cm2 cell test code]],[1]!Table1[[Test code]:[Test code]],[1]!Table1[3-E Tafel slope (mV/dec)],"",0)</f>
        <v>#REF!</v>
      </c>
      <c r="AA1772" s="69" t="e" cm="1">
        <f t="array" ref="AA1772">_xlfn.XLOOKUP(Table1[[#This Row],[5 cm2 cell test code]:[5 cm2 cell test code]],[1]!Table1[[Test code]:[Test code]],[1]!Table1[E @ 100 mA/cm2 DIW/V],"",0)</f>
        <v>#REF!</v>
      </c>
      <c r="AB1772" s="69" t="e" cm="1">
        <f t="array" ref="AB1772">_xlfn.XLOOKUP(Table1[[#This Row],[5 cm2 cell test code]:[5 cm2 cell test code]],[1]!Table1[[Test code]:[Test code]],[1]!Table1[E @ 100 mA/cm2 10 mM KOH/V],"",0)</f>
        <v>#REF!</v>
      </c>
      <c r="AC1772" s="69" t="e" cm="1">
        <f t="array" ref="AC1772">_xlfn.XLOOKUP(Table1[[#This Row],[5 cm2 cell test code]:[5 cm2 cell test code]],[1]!Table1[[Test code]:[Test code]],[1]!Table1[Anode ICR/mOhm],"",0)</f>
        <v>#REF!</v>
      </c>
      <c r="AD1772" s="69" t="e" cm="1">
        <f t="array" ref="AD1772">_xlfn.XLOOKUP(Table1[[#This Row],[5 cm2 cell test code]:[5 cm2 cell test code]],[1]!Table1[[Test code]:[Test code]],[1]!Table1[HFR DIW/ mOhm cm2],"",0)</f>
        <v>#REF!</v>
      </c>
      <c r="AE1772" s="69" t="e" cm="1">
        <f t="array" ref="AE1772">_xlfn.XLOOKUP(Table1[[#This Row],[5 cm2 cell test code]:[5 cm2 cell test code]],[1]!Table1[[Test code]:[Test code]],[1]!Table1[HFR 10 mM KOH/ mOhm cm2],"",0)</f>
        <v>#REF!</v>
      </c>
      <c r="AF1772" s="69" t="e" cm="1">
        <f t="array" ref="AF1772">_xlfn.XLOOKUP(Table1[[#This Row],[5 cm2 cell test code]:[5 cm2 cell test code]],[1]!Table1[[Test code]:[Test code]],[1]!Table1[Ionic resistance DIW/Ohm cm2],"",0)</f>
        <v>#REF!</v>
      </c>
      <c r="AG1772" s="69" t="e" cm="1">
        <f t="array" ref="AG1772">_xlfn.XLOOKUP(Table1[[#This Row],[5 cm2 cell test code]:[5 cm2 cell test code]],[1]!Table1[[Test code]:[Test code]],[1]!Table1[Q_int_frac DIW],"",0)</f>
        <v>#REF!</v>
      </c>
      <c r="AH1772" s="69" t="e" cm="1">
        <f t="array" ref="AH1772">_xlfn.XLOOKUP(Table1[[#This Row],[5 cm2 cell test code]:[5 cm2 cell test code]],[1]!Table1[[Test code]:[Test code]],[1]!Table1[Ionic resistance 10 mM KOH/Ohm cm2],"",0)</f>
        <v>#REF!</v>
      </c>
      <c r="AI1772" s="69" t="e" cm="1">
        <f t="array" ref="AI1772">_xlfn.XLOOKUP(Table1[[#This Row],[5 cm2 cell test code]:[5 cm2 cell test code]],[1]!Table1[[Test code]:[Test code]],[1]!Table1[Q_int_frac DIW 10 mM KOH],"",0)</f>
        <v>#REF!</v>
      </c>
      <c r="AJ1772" s="69" t="e" cm="1">
        <f t="array" ref="AJ1772">_xlfn.XLOOKUP(Table1[[#This Row],[5 cm2 cell test code]:[5 cm2 cell test code]],[1]!Table1[[Test code]:[Test code]],[1]!Table1[DIW conductivity (µS/cm)],"",0)</f>
        <v>#REF!</v>
      </c>
    </row>
    <row r="1773" spans="1:36">
      <c r="A1773" s="81"/>
      <c r="U1773" s="101"/>
      <c r="V1773" s="101"/>
      <c r="W1773" s="69" t="e" cm="1">
        <f t="array" ref="W1773">_xlfn.XLOOKUP(Table1[[#This Row],[5 cm2 cell test code]:[5 cm2 cell test code]],[1]!Table1[[Test code]:[Test code]],[1]!Table1[i @ 1.8 V DIW (A/cm2)],"",0)</f>
        <v>#REF!</v>
      </c>
      <c r="X1773" s="69" t="e" cm="1">
        <f t="array" ref="X1773">_xlfn.XLOOKUP(Table1[[#This Row],[5 cm2 cell test code]:[5 cm2 cell test code]],[1]!Table1[[Test code]:[Test code]],[1]!Table1[i @ 1.8 V 10 mM KOH (A/cm2)],"",0)</f>
        <v>#REF!</v>
      </c>
      <c r="Y1773" s="69" t="e" cm="1">
        <f t="array" ref="Y1773">_xlfn.XLOOKUP(Table1[[#This Row],[5 cm2 cell test code]:[5 cm2 cell test code]],[1]!Table1[[Test code]:[Test code]],[1]!Table1[3-E ƞ at 20mAcm-2 (mV)],"",0)</f>
        <v>#REF!</v>
      </c>
      <c r="Z1773" s="69" t="e" cm="1">
        <f t="array" ref="Z1773">_xlfn.XLOOKUP(Table1[[#This Row],[5 cm2 cell test code]:[5 cm2 cell test code]],[1]!Table1[[Test code]:[Test code]],[1]!Table1[3-E Tafel slope (mV/dec)],"",0)</f>
        <v>#REF!</v>
      </c>
      <c r="AA1773" s="69" t="e" cm="1">
        <f t="array" ref="AA1773">_xlfn.XLOOKUP(Table1[[#This Row],[5 cm2 cell test code]:[5 cm2 cell test code]],[1]!Table1[[Test code]:[Test code]],[1]!Table1[E @ 100 mA/cm2 DIW/V],"",0)</f>
        <v>#REF!</v>
      </c>
      <c r="AB1773" s="69" t="e" cm="1">
        <f t="array" ref="AB1773">_xlfn.XLOOKUP(Table1[[#This Row],[5 cm2 cell test code]:[5 cm2 cell test code]],[1]!Table1[[Test code]:[Test code]],[1]!Table1[E @ 100 mA/cm2 10 mM KOH/V],"",0)</f>
        <v>#REF!</v>
      </c>
      <c r="AC1773" s="69" t="e" cm="1">
        <f t="array" ref="AC1773">_xlfn.XLOOKUP(Table1[[#This Row],[5 cm2 cell test code]:[5 cm2 cell test code]],[1]!Table1[[Test code]:[Test code]],[1]!Table1[Anode ICR/mOhm],"",0)</f>
        <v>#REF!</v>
      </c>
      <c r="AD1773" s="69" t="e" cm="1">
        <f t="array" ref="AD1773">_xlfn.XLOOKUP(Table1[[#This Row],[5 cm2 cell test code]:[5 cm2 cell test code]],[1]!Table1[[Test code]:[Test code]],[1]!Table1[HFR DIW/ mOhm cm2],"",0)</f>
        <v>#REF!</v>
      </c>
      <c r="AE1773" s="69" t="e" cm="1">
        <f t="array" ref="AE1773">_xlfn.XLOOKUP(Table1[[#This Row],[5 cm2 cell test code]:[5 cm2 cell test code]],[1]!Table1[[Test code]:[Test code]],[1]!Table1[HFR 10 mM KOH/ mOhm cm2],"",0)</f>
        <v>#REF!</v>
      </c>
      <c r="AF1773" s="69" t="e" cm="1">
        <f t="array" ref="AF1773">_xlfn.XLOOKUP(Table1[[#This Row],[5 cm2 cell test code]:[5 cm2 cell test code]],[1]!Table1[[Test code]:[Test code]],[1]!Table1[Ionic resistance DIW/Ohm cm2],"",0)</f>
        <v>#REF!</v>
      </c>
      <c r="AG1773" s="69" t="e" cm="1">
        <f t="array" ref="AG1773">_xlfn.XLOOKUP(Table1[[#This Row],[5 cm2 cell test code]:[5 cm2 cell test code]],[1]!Table1[[Test code]:[Test code]],[1]!Table1[Q_int_frac DIW],"",0)</f>
        <v>#REF!</v>
      </c>
      <c r="AH1773" s="69" t="e" cm="1">
        <f t="array" ref="AH1773">_xlfn.XLOOKUP(Table1[[#This Row],[5 cm2 cell test code]:[5 cm2 cell test code]],[1]!Table1[[Test code]:[Test code]],[1]!Table1[Ionic resistance 10 mM KOH/Ohm cm2],"",0)</f>
        <v>#REF!</v>
      </c>
      <c r="AI1773" s="69" t="e" cm="1">
        <f t="array" ref="AI1773">_xlfn.XLOOKUP(Table1[[#This Row],[5 cm2 cell test code]:[5 cm2 cell test code]],[1]!Table1[[Test code]:[Test code]],[1]!Table1[Q_int_frac DIW 10 mM KOH],"",0)</f>
        <v>#REF!</v>
      </c>
      <c r="AJ1773" s="69" t="e" cm="1">
        <f t="array" ref="AJ1773">_xlfn.XLOOKUP(Table1[[#This Row],[5 cm2 cell test code]:[5 cm2 cell test code]],[1]!Table1[[Test code]:[Test code]],[1]!Table1[DIW conductivity (µS/cm)],"",0)</f>
        <v>#REF!</v>
      </c>
    </row>
    <row r="1774" spans="1:36">
      <c r="A1774" s="81"/>
      <c r="U1774" s="101"/>
      <c r="V1774" s="101"/>
      <c r="W1774" s="69" t="e" cm="1">
        <f t="array" ref="W1774">_xlfn.XLOOKUP(Table1[[#This Row],[5 cm2 cell test code]:[5 cm2 cell test code]],[1]!Table1[[Test code]:[Test code]],[1]!Table1[i @ 1.8 V DIW (A/cm2)],"",0)</f>
        <v>#REF!</v>
      </c>
      <c r="X1774" s="69" t="e" cm="1">
        <f t="array" ref="X1774">_xlfn.XLOOKUP(Table1[[#This Row],[5 cm2 cell test code]:[5 cm2 cell test code]],[1]!Table1[[Test code]:[Test code]],[1]!Table1[i @ 1.8 V 10 mM KOH (A/cm2)],"",0)</f>
        <v>#REF!</v>
      </c>
      <c r="Y1774" s="69" t="e" cm="1">
        <f t="array" ref="Y1774">_xlfn.XLOOKUP(Table1[[#This Row],[5 cm2 cell test code]:[5 cm2 cell test code]],[1]!Table1[[Test code]:[Test code]],[1]!Table1[3-E ƞ at 20mAcm-2 (mV)],"",0)</f>
        <v>#REF!</v>
      </c>
      <c r="Z1774" s="69" t="e" cm="1">
        <f t="array" ref="Z1774">_xlfn.XLOOKUP(Table1[[#This Row],[5 cm2 cell test code]:[5 cm2 cell test code]],[1]!Table1[[Test code]:[Test code]],[1]!Table1[3-E Tafel slope (mV/dec)],"",0)</f>
        <v>#REF!</v>
      </c>
      <c r="AA1774" s="69" t="e" cm="1">
        <f t="array" ref="AA1774">_xlfn.XLOOKUP(Table1[[#This Row],[5 cm2 cell test code]:[5 cm2 cell test code]],[1]!Table1[[Test code]:[Test code]],[1]!Table1[E @ 100 mA/cm2 DIW/V],"",0)</f>
        <v>#REF!</v>
      </c>
      <c r="AB1774" s="69" t="e" cm="1">
        <f t="array" ref="AB1774">_xlfn.XLOOKUP(Table1[[#This Row],[5 cm2 cell test code]:[5 cm2 cell test code]],[1]!Table1[[Test code]:[Test code]],[1]!Table1[E @ 100 mA/cm2 10 mM KOH/V],"",0)</f>
        <v>#REF!</v>
      </c>
      <c r="AC1774" s="69" t="e" cm="1">
        <f t="array" ref="AC1774">_xlfn.XLOOKUP(Table1[[#This Row],[5 cm2 cell test code]:[5 cm2 cell test code]],[1]!Table1[[Test code]:[Test code]],[1]!Table1[Anode ICR/mOhm],"",0)</f>
        <v>#REF!</v>
      </c>
      <c r="AD1774" s="69" t="e" cm="1">
        <f t="array" ref="AD1774">_xlfn.XLOOKUP(Table1[[#This Row],[5 cm2 cell test code]:[5 cm2 cell test code]],[1]!Table1[[Test code]:[Test code]],[1]!Table1[HFR DIW/ mOhm cm2],"",0)</f>
        <v>#REF!</v>
      </c>
      <c r="AE1774" s="69" t="e" cm="1">
        <f t="array" ref="AE1774">_xlfn.XLOOKUP(Table1[[#This Row],[5 cm2 cell test code]:[5 cm2 cell test code]],[1]!Table1[[Test code]:[Test code]],[1]!Table1[HFR 10 mM KOH/ mOhm cm2],"",0)</f>
        <v>#REF!</v>
      </c>
      <c r="AF1774" s="69" t="e" cm="1">
        <f t="array" ref="AF1774">_xlfn.XLOOKUP(Table1[[#This Row],[5 cm2 cell test code]:[5 cm2 cell test code]],[1]!Table1[[Test code]:[Test code]],[1]!Table1[Ionic resistance DIW/Ohm cm2],"",0)</f>
        <v>#REF!</v>
      </c>
      <c r="AG1774" s="69" t="e" cm="1">
        <f t="array" ref="AG1774">_xlfn.XLOOKUP(Table1[[#This Row],[5 cm2 cell test code]:[5 cm2 cell test code]],[1]!Table1[[Test code]:[Test code]],[1]!Table1[Q_int_frac DIW],"",0)</f>
        <v>#REF!</v>
      </c>
      <c r="AH1774" s="69" t="e" cm="1">
        <f t="array" ref="AH1774">_xlfn.XLOOKUP(Table1[[#This Row],[5 cm2 cell test code]:[5 cm2 cell test code]],[1]!Table1[[Test code]:[Test code]],[1]!Table1[Ionic resistance 10 mM KOH/Ohm cm2],"",0)</f>
        <v>#REF!</v>
      </c>
      <c r="AI1774" s="69" t="e" cm="1">
        <f t="array" ref="AI1774">_xlfn.XLOOKUP(Table1[[#This Row],[5 cm2 cell test code]:[5 cm2 cell test code]],[1]!Table1[[Test code]:[Test code]],[1]!Table1[Q_int_frac DIW 10 mM KOH],"",0)</f>
        <v>#REF!</v>
      </c>
      <c r="AJ1774" s="69" t="e" cm="1">
        <f t="array" ref="AJ1774">_xlfn.XLOOKUP(Table1[[#This Row],[5 cm2 cell test code]:[5 cm2 cell test code]],[1]!Table1[[Test code]:[Test code]],[1]!Table1[DIW conductivity (µS/cm)],"",0)</f>
        <v>#REF!</v>
      </c>
    </row>
    <row r="1775" spans="1:36">
      <c r="A1775" s="81"/>
      <c r="U1775" s="101"/>
      <c r="V1775" s="101"/>
      <c r="W1775" s="69" t="e" cm="1">
        <f t="array" ref="W1775">_xlfn.XLOOKUP(Table1[[#This Row],[5 cm2 cell test code]:[5 cm2 cell test code]],[1]!Table1[[Test code]:[Test code]],[1]!Table1[i @ 1.8 V DIW (A/cm2)],"",0)</f>
        <v>#REF!</v>
      </c>
      <c r="X1775" s="69" t="e" cm="1">
        <f t="array" ref="X1775">_xlfn.XLOOKUP(Table1[[#This Row],[5 cm2 cell test code]:[5 cm2 cell test code]],[1]!Table1[[Test code]:[Test code]],[1]!Table1[i @ 1.8 V 10 mM KOH (A/cm2)],"",0)</f>
        <v>#REF!</v>
      </c>
      <c r="Y1775" s="69" t="e" cm="1">
        <f t="array" ref="Y1775">_xlfn.XLOOKUP(Table1[[#This Row],[5 cm2 cell test code]:[5 cm2 cell test code]],[1]!Table1[[Test code]:[Test code]],[1]!Table1[3-E ƞ at 20mAcm-2 (mV)],"",0)</f>
        <v>#REF!</v>
      </c>
      <c r="Z1775" s="69" t="e" cm="1">
        <f t="array" ref="Z1775">_xlfn.XLOOKUP(Table1[[#This Row],[5 cm2 cell test code]:[5 cm2 cell test code]],[1]!Table1[[Test code]:[Test code]],[1]!Table1[3-E Tafel slope (mV/dec)],"",0)</f>
        <v>#REF!</v>
      </c>
      <c r="AA1775" s="69" t="e" cm="1">
        <f t="array" ref="AA1775">_xlfn.XLOOKUP(Table1[[#This Row],[5 cm2 cell test code]:[5 cm2 cell test code]],[1]!Table1[[Test code]:[Test code]],[1]!Table1[E @ 100 mA/cm2 DIW/V],"",0)</f>
        <v>#REF!</v>
      </c>
      <c r="AB1775" s="69" t="e" cm="1">
        <f t="array" ref="AB1775">_xlfn.XLOOKUP(Table1[[#This Row],[5 cm2 cell test code]:[5 cm2 cell test code]],[1]!Table1[[Test code]:[Test code]],[1]!Table1[E @ 100 mA/cm2 10 mM KOH/V],"",0)</f>
        <v>#REF!</v>
      </c>
      <c r="AC1775" s="69" t="e" cm="1">
        <f t="array" ref="AC1775">_xlfn.XLOOKUP(Table1[[#This Row],[5 cm2 cell test code]:[5 cm2 cell test code]],[1]!Table1[[Test code]:[Test code]],[1]!Table1[Anode ICR/mOhm],"",0)</f>
        <v>#REF!</v>
      </c>
      <c r="AD1775" s="69" t="e" cm="1">
        <f t="array" ref="AD1775">_xlfn.XLOOKUP(Table1[[#This Row],[5 cm2 cell test code]:[5 cm2 cell test code]],[1]!Table1[[Test code]:[Test code]],[1]!Table1[HFR DIW/ mOhm cm2],"",0)</f>
        <v>#REF!</v>
      </c>
      <c r="AE1775" s="69" t="e" cm="1">
        <f t="array" ref="AE1775">_xlfn.XLOOKUP(Table1[[#This Row],[5 cm2 cell test code]:[5 cm2 cell test code]],[1]!Table1[[Test code]:[Test code]],[1]!Table1[HFR 10 mM KOH/ mOhm cm2],"",0)</f>
        <v>#REF!</v>
      </c>
      <c r="AF1775" s="69" t="e" cm="1">
        <f t="array" ref="AF1775">_xlfn.XLOOKUP(Table1[[#This Row],[5 cm2 cell test code]:[5 cm2 cell test code]],[1]!Table1[[Test code]:[Test code]],[1]!Table1[Ionic resistance DIW/Ohm cm2],"",0)</f>
        <v>#REF!</v>
      </c>
      <c r="AG1775" s="69" t="e" cm="1">
        <f t="array" ref="AG1775">_xlfn.XLOOKUP(Table1[[#This Row],[5 cm2 cell test code]:[5 cm2 cell test code]],[1]!Table1[[Test code]:[Test code]],[1]!Table1[Q_int_frac DIW],"",0)</f>
        <v>#REF!</v>
      </c>
      <c r="AH1775" s="69" t="e" cm="1">
        <f t="array" ref="AH1775">_xlfn.XLOOKUP(Table1[[#This Row],[5 cm2 cell test code]:[5 cm2 cell test code]],[1]!Table1[[Test code]:[Test code]],[1]!Table1[Ionic resistance 10 mM KOH/Ohm cm2],"",0)</f>
        <v>#REF!</v>
      </c>
      <c r="AI1775" s="69" t="e" cm="1">
        <f t="array" ref="AI1775">_xlfn.XLOOKUP(Table1[[#This Row],[5 cm2 cell test code]:[5 cm2 cell test code]],[1]!Table1[[Test code]:[Test code]],[1]!Table1[Q_int_frac DIW 10 mM KOH],"",0)</f>
        <v>#REF!</v>
      </c>
      <c r="AJ1775" s="69" t="e" cm="1">
        <f t="array" ref="AJ1775">_xlfn.XLOOKUP(Table1[[#This Row],[5 cm2 cell test code]:[5 cm2 cell test code]],[1]!Table1[[Test code]:[Test code]],[1]!Table1[DIW conductivity (µS/cm)],"",0)</f>
        <v>#REF!</v>
      </c>
    </row>
    <row r="1776" spans="1:36">
      <c r="A1776" s="81"/>
      <c r="U1776" s="101"/>
      <c r="V1776" s="101"/>
      <c r="W1776" s="69" t="e" cm="1">
        <f t="array" ref="W1776">_xlfn.XLOOKUP(Table1[[#This Row],[5 cm2 cell test code]:[5 cm2 cell test code]],[1]!Table1[[Test code]:[Test code]],[1]!Table1[i @ 1.8 V DIW (A/cm2)],"",0)</f>
        <v>#REF!</v>
      </c>
      <c r="X1776" s="69" t="e" cm="1">
        <f t="array" ref="X1776">_xlfn.XLOOKUP(Table1[[#This Row],[5 cm2 cell test code]:[5 cm2 cell test code]],[1]!Table1[[Test code]:[Test code]],[1]!Table1[i @ 1.8 V 10 mM KOH (A/cm2)],"",0)</f>
        <v>#REF!</v>
      </c>
      <c r="Y1776" s="69" t="e" cm="1">
        <f t="array" ref="Y1776">_xlfn.XLOOKUP(Table1[[#This Row],[5 cm2 cell test code]:[5 cm2 cell test code]],[1]!Table1[[Test code]:[Test code]],[1]!Table1[3-E ƞ at 20mAcm-2 (mV)],"",0)</f>
        <v>#REF!</v>
      </c>
      <c r="Z1776" s="69" t="e" cm="1">
        <f t="array" ref="Z1776">_xlfn.XLOOKUP(Table1[[#This Row],[5 cm2 cell test code]:[5 cm2 cell test code]],[1]!Table1[[Test code]:[Test code]],[1]!Table1[3-E Tafel slope (mV/dec)],"",0)</f>
        <v>#REF!</v>
      </c>
      <c r="AA1776" s="69" t="e" cm="1">
        <f t="array" ref="AA1776">_xlfn.XLOOKUP(Table1[[#This Row],[5 cm2 cell test code]:[5 cm2 cell test code]],[1]!Table1[[Test code]:[Test code]],[1]!Table1[E @ 100 mA/cm2 DIW/V],"",0)</f>
        <v>#REF!</v>
      </c>
      <c r="AB1776" s="69" t="e" cm="1">
        <f t="array" ref="AB1776">_xlfn.XLOOKUP(Table1[[#This Row],[5 cm2 cell test code]:[5 cm2 cell test code]],[1]!Table1[[Test code]:[Test code]],[1]!Table1[E @ 100 mA/cm2 10 mM KOH/V],"",0)</f>
        <v>#REF!</v>
      </c>
      <c r="AC1776" s="69" t="e" cm="1">
        <f t="array" ref="AC1776">_xlfn.XLOOKUP(Table1[[#This Row],[5 cm2 cell test code]:[5 cm2 cell test code]],[1]!Table1[[Test code]:[Test code]],[1]!Table1[Anode ICR/mOhm],"",0)</f>
        <v>#REF!</v>
      </c>
      <c r="AD1776" s="69" t="e" cm="1">
        <f t="array" ref="AD1776">_xlfn.XLOOKUP(Table1[[#This Row],[5 cm2 cell test code]:[5 cm2 cell test code]],[1]!Table1[[Test code]:[Test code]],[1]!Table1[HFR DIW/ mOhm cm2],"",0)</f>
        <v>#REF!</v>
      </c>
      <c r="AE1776" s="69" t="e" cm="1">
        <f t="array" ref="AE1776">_xlfn.XLOOKUP(Table1[[#This Row],[5 cm2 cell test code]:[5 cm2 cell test code]],[1]!Table1[[Test code]:[Test code]],[1]!Table1[HFR 10 mM KOH/ mOhm cm2],"",0)</f>
        <v>#REF!</v>
      </c>
      <c r="AF1776" s="69" t="e" cm="1">
        <f t="array" ref="AF1776">_xlfn.XLOOKUP(Table1[[#This Row],[5 cm2 cell test code]:[5 cm2 cell test code]],[1]!Table1[[Test code]:[Test code]],[1]!Table1[Ionic resistance DIW/Ohm cm2],"",0)</f>
        <v>#REF!</v>
      </c>
      <c r="AG1776" s="69" t="e" cm="1">
        <f t="array" ref="AG1776">_xlfn.XLOOKUP(Table1[[#This Row],[5 cm2 cell test code]:[5 cm2 cell test code]],[1]!Table1[[Test code]:[Test code]],[1]!Table1[Q_int_frac DIW],"",0)</f>
        <v>#REF!</v>
      </c>
      <c r="AH1776" s="69" t="e" cm="1">
        <f t="array" ref="AH1776">_xlfn.XLOOKUP(Table1[[#This Row],[5 cm2 cell test code]:[5 cm2 cell test code]],[1]!Table1[[Test code]:[Test code]],[1]!Table1[Ionic resistance 10 mM KOH/Ohm cm2],"",0)</f>
        <v>#REF!</v>
      </c>
      <c r="AI1776" s="69" t="e" cm="1">
        <f t="array" ref="AI1776">_xlfn.XLOOKUP(Table1[[#This Row],[5 cm2 cell test code]:[5 cm2 cell test code]],[1]!Table1[[Test code]:[Test code]],[1]!Table1[Q_int_frac DIW 10 mM KOH],"",0)</f>
        <v>#REF!</v>
      </c>
      <c r="AJ1776" s="69" t="e" cm="1">
        <f t="array" ref="AJ1776">_xlfn.XLOOKUP(Table1[[#This Row],[5 cm2 cell test code]:[5 cm2 cell test code]],[1]!Table1[[Test code]:[Test code]],[1]!Table1[DIW conductivity (µS/cm)],"",0)</f>
        <v>#REF!</v>
      </c>
    </row>
    <row r="1777" spans="1:36">
      <c r="A1777" s="81"/>
      <c r="U1777" s="101"/>
      <c r="V1777" s="101"/>
      <c r="W1777" s="69" t="e" cm="1">
        <f t="array" ref="W1777">_xlfn.XLOOKUP(Table1[[#This Row],[5 cm2 cell test code]:[5 cm2 cell test code]],[1]!Table1[[Test code]:[Test code]],[1]!Table1[i @ 1.8 V DIW (A/cm2)],"",0)</f>
        <v>#REF!</v>
      </c>
      <c r="X1777" s="69" t="e" cm="1">
        <f t="array" ref="X1777">_xlfn.XLOOKUP(Table1[[#This Row],[5 cm2 cell test code]:[5 cm2 cell test code]],[1]!Table1[[Test code]:[Test code]],[1]!Table1[i @ 1.8 V 10 mM KOH (A/cm2)],"",0)</f>
        <v>#REF!</v>
      </c>
      <c r="Y1777" s="69" t="e" cm="1">
        <f t="array" ref="Y1777">_xlfn.XLOOKUP(Table1[[#This Row],[5 cm2 cell test code]:[5 cm2 cell test code]],[1]!Table1[[Test code]:[Test code]],[1]!Table1[3-E ƞ at 20mAcm-2 (mV)],"",0)</f>
        <v>#REF!</v>
      </c>
      <c r="Z1777" s="69" t="e" cm="1">
        <f t="array" ref="Z1777">_xlfn.XLOOKUP(Table1[[#This Row],[5 cm2 cell test code]:[5 cm2 cell test code]],[1]!Table1[[Test code]:[Test code]],[1]!Table1[3-E Tafel slope (mV/dec)],"",0)</f>
        <v>#REF!</v>
      </c>
      <c r="AA1777" s="69" t="e" cm="1">
        <f t="array" ref="AA1777">_xlfn.XLOOKUP(Table1[[#This Row],[5 cm2 cell test code]:[5 cm2 cell test code]],[1]!Table1[[Test code]:[Test code]],[1]!Table1[E @ 100 mA/cm2 DIW/V],"",0)</f>
        <v>#REF!</v>
      </c>
      <c r="AB1777" s="69" t="e" cm="1">
        <f t="array" ref="AB1777">_xlfn.XLOOKUP(Table1[[#This Row],[5 cm2 cell test code]:[5 cm2 cell test code]],[1]!Table1[[Test code]:[Test code]],[1]!Table1[E @ 100 mA/cm2 10 mM KOH/V],"",0)</f>
        <v>#REF!</v>
      </c>
      <c r="AC1777" s="69" t="e" cm="1">
        <f t="array" ref="AC1777">_xlfn.XLOOKUP(Table1[[#This Row],[5 cm2 cell test code]:[5 cm2 cell test code]],[1]!Table1[[Test code]:[Test code]],[1]!Table1[Anode ICR/mOhm],"",0)</f>
        <v>#REF!</v>
      </c>
      <c r="AD1777" s="69" t="e" cm="1">
        <f t="array" ref="AD1777">_xlfn.XLOOKUP(Table1[[#This Row],[5 cm2 cell test code]:[5 cm2 cell test code]],[1]!Table1[[Test code]:[Test code]],[1]!Table1[HFR DIW/ mOhm cm2],"",0)</f>
        <v>#REF!</v>
      </c>
      <c r="AE1777" s="69" t="e" cm="1">
        <f t="array" ref="AE1777">_xlfn.XLOOKUP(Table1[[#This Row],[5 cm2 cell test code]:[5 cm2 cell test code]],[1]!Table1[[Test code]:[Test code]],[1]!Table1[HFR 10 mM KOH/ mOhm cm2],"",0)</f>
        <v>#REF!</v>
      </c>
      <c r="AF1777" s="69" t="e" cm="1">
        <f t="array" ref="AF1777">_xlfn.XLOOKUP(Table1[[#This Row],[5 cm2 cell test code]:[5 cm2 cell test code]],[1]!Table1[[Test code]:[Test code]],[1]!Table1[Ionic resistance DIW/Ohm cm2],"",0)</f>
        <v>#REF!</v>
      </c>
      <c r="AG1777" s="69" t="e" cm="1">
        <f t="array" ref="AG1777">_xlfn.XLOOKUP(Table1[[#This Row],[5 cm2 cell test code]:[5 cm2 cell test code]],[1]!Table1[[Test code]:[Test code]],[1]!Table1[Q_int_frac DIW],"",0)</f>
        <v>#REF!</v>
      </c>
      <c r="AH1777" s="69" t="e" cm="1">
        <f t="array" ref="AH1777">_xlfn.XLOOKUP(Table1[[#This Row],[5 cm2 cell test code]:[5 cm2 cell test code]],[1]!Table1[[Test code]:[Test code]],[1]!Table1[Ionic resistance 10 mM KOH/Ohm cm2],"",0)</f>
        <v>#REF!</v>
      </c>
      <c r="AI1777" s="69" t="e" cm="1">
        <f t="array" ref="AI1777">_xlfn.XLOOKUP(Table1[[#This Row],[5 cm2 cell test code]:[5 cm2 cell test code]],[1]!Table1[[Test code]:[Test code]],[1]!Table1[Q_int_frac DIW 10 mM KOH],"",0)</f>
        <v>#REF!</v>
      </c>
      <c r="AJ1777" s="69" t="e" cm="1">
        <f t="array" ref="AJ1777">_xlfn.XLOOKUP(Table1[[#This Row],[5 cm2 cell test code]:[5 cm2 cell test code]],[1]!Table1[[Test code]:[Test code]],[1]!Table1[DIW conductivity (µS/cm)],"",0)</f>
        <v>#REF!</v>
      </c>
    </row>
    <row r="1778" spans="1:36">
      <c r="A1778" s="81"/>
      <c r="U1778" s="101"/>
      <c r="V1778" s="101"/>
      <c r="W1778" s="69" t="e" cm="1">
        <f t="array" ref="W1778">_xlfn.XLOOKUP(Table1[[#This Row],[5 cm2 cell test code]:[5 cm2 cell test code]],[1]!Table1[[Test code]:[Test code]],[1]!Table1[i @ 1.8 V DIW (A/cm2)],"",0)</f>
        <v>#REF!</v>
      </c>
      <c r="X1778" s="69" t="e" cm="1">
        <f t="array" ref="X1778">_xlfn.XLOOKUP(Table1[[#This Row],[5 cm2 cell test code]:[5 cm2 cell test code]],[1]!Table1[[Test code]:[Test code]],[1]!Table1[i @ 1.8 V 10 mM KOH (A/cm2)],"",0)</f>
        <v>#REF!</v>
      </c>
      <c r="Y1778" s="69" t="e" cm="1">
        <f t="array" ref="Y1778">_xlfn.XLOOKUP(Table1[[#This Row],[5 cm2 cell test code]:[5 cm2 cell test code]],[1]!Table1[[Test code]:[Test code]],[1]!Table1[3-E ƞ at 20mAcm-2 (mV)],"",0)</f>
        <v>#REF!</v>
      </c>
      <c r="Z1778" s="69" t="e" cm="1">
        <f t="array" ref="Z1778">_xlfn.XLOOKUP(Table1[[#This Row],[5 cm2 cell test code]:[5 cm2 cell test code]],[1]!Table1[[Test code]:[Test code]],[1]!Table1[3-E Tafel slope (mV/dec)],"",0)</f>
        <v>#REF!</v>
      </c>
      <c r="AA1778" s="69" t="e" cm="1">
        <f t="array" ref="AA1778">_xlfn.XLOOKUP(Table1[[#This Row],[5 cm2 cell test code]:[5 cm2 cell test code]],[1]!Table1[[Test code]:[Test code]],[1]!Table1[E @ 100 mA/cm2 DIW/V],"",0)</f>
        <v>#REF!</v>
      </c>
      <c r="AB1778" s="69" t="e" cm="1">
        <f t="array" ref="AB1778">_xlfn.XLOOKUP(Table1[[#This Row],[5 cm2 cell test code]:[5 cm2 cell test code]],[1]!Table1[[Test code]:[Test code]],[1]!Table1[E @ 100 mA/cm2 10 mM KOH/V],"",0)</f>
        <v>#REF!</v>
      </c>
      <c r="AC1778" s="69" t="e" cm="1">
        <f t="array" ref="AC1778">_xlfn.XLOOKUP(Table1[[#This Row],[5 cm2 cell test code]:[5 cm2 cell test code]],[1]!Table1[[Test code]:[Test code]],[1]!Table1[Anode ICR/mOhm],"",0)</f>
        <v>#REF!</v>
      </c>
      <c r="AD1778" s="69" t="e" cm="1">
        <f t="array" ref="AD1778">_xlfn.XLOOKUP(Table1[[#This Row],[5 cm2 cell test code]:[5 cm2 cell test code]],[1]!Table1[[Test code]:[Test code]],[1]!Table1[HFR DIW/ mOhm cm2],"",0)</f>
        <v>#REF!</v>
      </c>
      <c r="AE1778" s="69" t="e" cm="1">
        <f t="array" ref="AE1778">_xlfn.XLOOKUP(Table1[[#This Row],[5 cm2 cell test code]:[5 cm2 cell test code]],[1]!Table1[[Test code]:[Test code]],[1]!Table1[HFR 10 mM KOH/ mOhm cm2],"",0)</f>
        <v>#REF!</v>
      </c>
      <c r="AF1778" s="69" t="e" cm="1">
        <f t="array" ref="AF1778">_xlfn.XLOOKUP(Table1[[#This Row],[5 cm2 cell test code]:[5 cm2 cell test code]],[1]!Table1[[Test code]:[Test code]],[1]!Table1[Ionic resistance DIW/Ohm cm2],"",0)</f>
        <v>#REF!</v>
      </c>
      <c r="AG1778" s="69" t="e" cm="1">
        <f t="array" ref="AG1778">_xlfn.XLOOKUP(Table1[[#This Row],[5 cm2 cell test code]:[5 cm2 cell test code]],[1]!Table1[[Test code]:[Test code]],[1]!Table1[Q_int_frac DIW],"",0)</f>
        <v>#REF!</v>
      </c>
      <c r="AH1778" s="69" t="e" cm="1">
        <f t="array" ref="AH1778">_xlfn.XLOOKUP(Table1[[#This Row],[5 cm2 cell test code]:[5 cm2 cell test code]],[1]!Table1[[Test code]:[Test code]],[1]!Table1[Ionic resistance 10 mM KOH/Ohm cm2],"",0)</f>
        <v>#REF!</v>
      </c>
      <c r="AI1778" s="69" t="e" cm="1">
        <f t="array" ref="AI1778">_xlfn.XLOOKUP(Table1[[#This Row],[5 cm2 cell test code]:[5 cm2 cell test code]],[1]!Table1[[Test code]:[Test code]],[1]!Table1[Q_int_frac DIW 10 mM KOH],"",0)</f>
        <v>#REF!</v>
      </c>
      <c r="AJ1778" s="69" t="e" cm="1">
        <f t="array" ref="AJ1778">_xlfn.XLOOKUP(Table1[[#This Row],[5 cm2 cell test code]:[5 cm2 cell test code]],[1]!Table1[[Test code]:[Test code]],[1]!Table1[DIW conductivity (µS/cm)],"",0)</f>
        <v>#REF!</v>
      </c>
    </row>
    <row r="1779" spans="1:36">
      <c r="A1779" s="81"/>
      <c r="U1779" s="101"/>
      <c r="V1779" s="101"/>
      <c r="W1779" s="69" t="e" cm="1">
        <f t="array" ref="W1779">_xlfn.XLOOKUP(Table1[[#This Row],[5 cm2 cell test code]:[5 cm2 cell test code]],[1]!Table1[[Test code]:[Test code]],[1]!Table1[i @ 1.8 V DIW (A/cm2)],"",0)</f>
        <v>#REF!</v>
      </c>
      <c r="X1779" s="69" t="e" cm="1">
        <f t="array" ref="X1779">_xlfn.XLOOKUP(Table1[[#This Row],[5 cm2 cell test code]:[5 cm2 cell test code]],[1]!Table1[[Test code]:[Test code]],[1]!Table1[i @ 1.8 V 10 mM KOH (A/cm2)],"",0)</f>
        <v>#REF!</v>
      </c>
      <c r="Y1779" s="69" t="e" cm="1">
        <f t="array" ref="Y1779">_xlfn.XLOOKUP(Table1[[#This Row],[5 cm2 cell test code]:[5 cm2 cell test code]],[1]!Table1[[Test code]:[Test code]],[1]!Table1[3-E ƞ at 20mAcm-2 (mV)],"",0)</f>
        <v>#REF!</v>
      </c>
      <c r="Z1779" s="69" t="e" cm="1">
        <f t="array" ref="Z1779">_xlfn.XLOOKUP(Table1[[#This Row],[5 cm2 cell test code]:[5 cm2 cell test code]],[1]!Table1[[Test code]:[Test code]],[1]!Table1[3-E Tafel slope (mV/dec)],"",0)</f>
        <v>#REF!</v>
      </c>
      <c r="AA1779" s="69" t="e" cm="1">
        <f t="array" ref="AA1779">_xlfn.XLOOKUP(Table1[[#This Row],[5 cm2 cell test code]:[5 cm2 cell test code]],[1]!Table1[[Test code]:[Test code]],[1]!Table1[E @ 100 mA/cm2 DIW/V],"",0)</f>
        <v>#REF!</v>
      </c>
      <c r="AB1779" s="69" t="e" cm="1">
        <f t="array" ref="AB1779">_xlfn.XLOOKUP(Table1[[#This Row],[5 cm2 cell test code]:[5 cm2 cell test code]],[1]!Table1[[Test code]:[Test code]],[1]!Table1[E @ 100 mA/cm2 10 mM KOH/V],"",0)</f>
        <v>#REF!</v>
      </c>
      <c r="AC1779" s="69" t="e" cm="1">
        <f t="array" ref="AC1779">_xlfn.XLOOKUP(Table1[[#This Row],[5 cm2 cell test code]:[5 cm2 cell test code]],[1]!Table1[[Test code]:[Test code]],[1]!Table1[Anode ICR/mOhm],"",0)</f>
        <v>#REF!</v>
      </c>
      <c r="AD1779" s="69" t="e" cm="1">
        <f t="array" ref="AD1779">_xlfn.XLOOKUP(Table1[[#This Row],[5 cm2 cell test code]:[5 cm2 cell test code]],[1]!Table1[[Test code]:[Test code]],[1]!Table1[HFR DIW/ mOhm cm2],"",0)</f>
        <v>#REF!</v>
      </c>
      <c r="AE1779" s="69" t="e" cm="1">
        <f t="array" ref="AE1779">_xlfn.XLOOKUP(Table1[[#This Row],[5 cm2 cell test code]:[5 cm2 cell test code]],[1]!Table1[[Test code]:[Test code]],[1]!Table1[HFR 10 mM KOH/ mOhm cm2],"",0)</f>
        <v>#REF!</v>
      </c>
      <c r="AF1779" s="69" t="e" cm="1">
        <f t="array" ref="AF1779">_xlfn.XLOOKUP(Table1[[#This Row],[5 cm2 cell test code]:[5 cm2 cell test code]],[1]!Table1[[Test code]:[Test code]],[1]!Table1[Ionic resistance DIW/Ohm cm2],"",0)</f>
        <v>#REF!</v>
      </c>
      <c r="AG1779" s="69" t="e" cm="1">
        <f t="array" ref="AG1779">_xlfn.XLOOKUP(Table1[[#This Row],[5 cm2 cell test code]:[5 cm2 cell test code]],[1]!Table1[[Test code]:[Test code]],[1]!Table1[Q_int_frac DIW],"",0)</f>
        <v>#REF!</v>
      </c>
      <c r="AH1779" s="69" t="e" cm="1">
        <f t="array" ref="AH1779">_xlfn.XLOOKUP(Table1[[#This Row],[5 cm2 cell test code]:[5 cm2 cell test code]],[1]!Table1[[Test code]:[Test code]],[1]!Table1[Ionic resistance 10 mM KOH/Ohm cm2],"",0)</f>
        <v>#REF!</v>
      </c>
      <c r="AI1779" s="69" t="e" cm="1">
        <f t="array" ref="AI1779">_xlfn.XLOOKUP(Table1[[#This Row],[5 cm2 cell test code]:[5 cm2 cell test code]],[1]!Table1[[Test code]:[Test code]],[1]!Table1[Q_int_frac DIW 10 mM KOH],"",0)</f>
        <v>#REF!</v>
      </c>
      <c r="AJ1779" s="69" t="e" cm="1">
        <f t="array" ref="AJ1779">_xlfn.XLOOKUP(Table1[[#This Row],[5 cm2 cell test code]:[5 cm2 cell test code]],[1]!Table1[[Test code]:[Test code]],[1]!Table1[DIW conductivity (µS/cm)],"",0)</f>
        <v>#REF!</v>
      </c>
    </row>
    <row r="1780" spans="1:36">
      <c r="A1780" s="81"/>
      <c r="U1780" s="101"/>
      <c r="V1780" s="101"/>
      <c r="W1780" s="69" t="e" cm="1">
        <f t="array" ref="W1780">_xlfn.XLOOKUP(Table1[[#This Row],[5 cm2 cell test code]:[5 cm2 cell test code]],[1]!Table1[[Test code]:[Test code]],[1]!Table1[i @ 1.8 V DIW (A/cm2)],"",0)</f>
        <v>#REF!</v>
      </c>
      <c r="X1780" s="69" t="e" cm="1">
        <f t="array" ref="X1780">_xlfn.XLOOKUP(Table1[[#This Row],[5 cm2 cell test code]:[5 cm2 cell test code]],[1]!Table1[[Test code]:[Test code]],[1]!Table1[i @ 1.8 V 10 mM KOH (A/cm2)],"",0)</f>
        <v>#REF!</v>
      </c>
      <c r="Y1780" s="69" t="e" cm="1">
        <f t="array" ref="Y1780">_xlfn.XLOOKUP(Table1[[#This Row],[5 cm2 cell test code]:[5 cm2 cell test code]],[1]!Table1[[Test code]:[Test code]],[1]!Table1[3-E ƞ at 20mAcm-2 (mV)],"",0)</f>
        <v>#REF!</v>
      </c>
      <c r="Z1780" s="69" t="e" cm="1">
        <f t="array" ref="Z1780">_xlfn.XLOOKUP(Table1[[#This Row],[5 cm2 cell test code]:[5 cm2 cell test code]],[1]!Table1[[Test code]:[Test code]],[1]!Table1[3-E Tafel slope (mV/dec)],"",0)</f>
        <v>#REF!</v>
      </c>
      <c r="AA1780" s="69" t="e" cm="1">
        <f t="array" ref="AA1780">_xlfn.XLOOKUP(Table1[[#This Row],[5 cm2 cell test code]:[5 cm2 cell test code]],[1]!Table1[[Test code]:[Test code]],[1]!Table1[E @ 100 mA/cm2 DIW/V],"",0)</f>
        <v>#REF!</v>
      </c>
      <c r="AB1780" s="69" t="e" cm="1">
        <f t="array" ref="AB1780">_xlfn.XLOOKUP(Table1[[#This Row],[5 cm2 cell test code]:[5 cm2 cell test code]],[1]!Table1[[Test code]:[Test code]],[1]!Table1[E @ 100 mA/cm2 10 mM KOH/V],"",0)</f>
        <v>#REF!</v>
      </c>
      <c r="AC1780" s="69" t="e" cm="1">
        <f t="array" ref="AC1780">_xlfn.XLOOKUP(Table1[[#This Row],[5 cm2 cell test code]:[5 cm2 cell test code]],[1]!Table1[[Test code]:[Test code]],[1]!Table1[Anode ICR/mOhm],"",0)</f>
        <v>#REF!</v>
      </c>
      <c r="AD1780" s="69" t="e" cm="1">
        <f t="array" ref="AD1780">_xlfn.XLOOKUP(Table1[[#This Row],[5 cm2 cell test code]:[5 cm2 cell test code]],[1]!Table1[[Test code]:[Test code]],[1]!Table1[HFR DIW/ mOhm cm2],"",0)</f>
        <v>#REF!</v>
      </c>
      <c r="AE1780" s="69" t="e" cm="1">
        <f t="array" ref="AE1780">_xlfn.XLOOKUP(Table1[[#This Row],[5 cm2 cell test code]:[5 cm2 cell test code]],[1]!Table1[[Test code]:[Test code]],[1]!Table1[HFR 10 mM KOH/ mOhm cm2],"",0)</f>
        <v>#REF!</v>
      </c>
      <c r="AF1780" s="69" t="e" cm="1">
        <f t="array" ref="AF1780">_xlfn.XLOOKUP(Table1[[#This Row],[5 cm2 cell test code]:[5 cm2 cell test code]],[1]!Table1[[Test code]:[Test code]],[1]!Table1[Ionic resistance DIW/Ohm cm2],"",0)</f>
        <v>#REF!</v>
      </c>
      <c r="AG1780" s="69" t="e" cm="1">
        <f t="array" ref="AG1780">_xlfn.XLOOKUP(Table1[[#This Row],[5 cm2 cell test code]:[5 cm2 cell test code]],[1]!Table1[[Test code]:[Test code]],[1]!Table1[Q_int_frac DIW],"",0)</f>
        <v>#REF!</v>
      </c>
      <c r="AH1780" s="69" t="e" cm="1">
        <f t="array" ref="AH1780">_xlfn.XLOOKUP(Table1[[#This Row],[5 cm2 cell test code]:[5 cm2 cell test code]],[1]!Table1[[Test code]:[Test code]],[1]!Table1[Ionic resistance 10 mM KOH/Ohm cm2],"",0)</f>
        <v>#REF!</v>
      </c>
      <c r="AI1780" s="69" t="e" cm="1">
        <f t="array" ref="AI1780">_xlfn.XLOOKUP(Table1[[#This Row],[5 cm2 cell test code]:[5 cm2 cell test code]],[1]!Table1[[Test code]:[Test code]],[1]!Table1[Q_int_frac DIW 10 mM KOH],"",0)</f>
        <v>#REF!</v>
      </c>
      <c r="AJ1780" s="69" t="e" cm="1">
        <f t="array" ref="AJ1780">_xlfn.XLOOKUP(Table1[[#This Row],[5 cm2 cell test code]:[5 cm2 cell test code]],[1]!Table1[[Test code]:[Test code]],[1]!Table1[DIW conductivity (µS/cm)],"",0)</f>
        <v>#REF!</v>
      </c>
    </row>
    <row r="1781" spans="1:36">
      <c r="A1781" s="81"/>
      <c r="U1781" s="101"/>
      <c r="V1781" s="101"/>
      <c r="W1781" s="69" t="e" cm="1">
        <f t="array" ref="W1781">_xlfn.XLOOKUP(Table1[[#This Row],[5 cm2 cell test code]:[5 cm2 cell test code]],[1]!Table1[[Test code]:[Test code]],[1]!Table1[i @ 1.8 V DIW (A/cm2)],"",0)</f>
        <v>#REF!</v>
      </c>
      <c r="X1781" s="69" t="e" cm="1">
        <f t="array" ref="X1781">_xlfn.XLOOKUP(Table1[[#This Row],[5 cm2 cell test code]:[5 cm2 cell test code]],[1]!Table1[[Test code]:[Test code]],[1]!Table1[i @ 1.8 V 10 mM KOH (A/cm2)],"",0)</f>
        <v>#REF!</v>
      </c>
      <c r="Y1781" s="69" t="e" cm="1">
        <f t="array" ref="Y1781">_xlfn.XLOOKUP(Table1[[#This Row],[5 cm2 cell test code]:[5 cm2 cell test code]],[1]!Table1[[Test code]:[Test code]],[1]!Table1[3-E ƞ at 20mAcm-2 (mV)],"",0)</f>
        <v>#REF!</v>
      </c>
      <c r="Z1781" s="69" t="e" cm="1">
        <f t="array" ref="Z1781">_xlfn.XLOOKUP(Table1[[#This Row],[5 cm2 cell test code]:[5 cm2 cell test code]],[1]!Table1[[Test code]:[Test code]],[1]!Table1[3-E Tafel slope (mV/dec)],"",0)</f>
        <v>#REF!</v>
      </c>
      <c r="AA1781" s="69" t="e" cm="1">
        <f t="array" ref="AA1781">_xlfn.XLOOKUP(Table1[[#This Row],[5 cm2 cell test code]:[5 cm2 cell test code]],[1]!Table1[[Test code]:[Test code]],[1]!Table1[E @ 100 mA/cm2 DIW/V],"",0)</f>
        <v>#REF!</v>
      </c>
      <c r="AB1781" s="69" t="e" cm="1">
        <f t="array" ref="AB1781">_xlfn.XLOOKUP(Table1[[#This Row],[5 cm2 cell test code]:[5 cm2 cell test code]],[1]!Table1[[Test code]:[Test code]],[1]!Table1[E @ 100 mA/cm2 10 mM KOH/V],"",0)</f>
        <v>#REF!</v>
      </c>
      <c r="AC1781" s="69" t="e" cm="1">
        <f t="array" ref="AC1781">_xlfn.XLOOKUP(Table1[[#This Row],[5 cm2 cell test code]:[5 cm2 cell test code]],[1]!Table1[[Test code]:[Test code]],[1]!Table1[Anode ICR/mOhm],"",0)</f>
        <v>#REF!</v>
      </c>
      <c r="AD1781" s="69" t="e" cm="1">
        <f t="array" ref="AD1781">_xlfn.XLOOKUP(Table1[[#This Row],[5 cm2 cell test code]:[5 cm2 cell test code]],[1]!Table1[[Test code]:[Test code]],[1]!Table1[HFR DIW/ mOhm cm2],"",0)</f>
        <v>#REF!</v>
      </c>
      <c r="AE1781" s="69" t="e" cm="1">
        <f t="array" ref="AE1781">_xlfn.XLOOKUP(Table1[[#This Row],[5 cm2 cell test code]:[5 cm2 cell test code]],[1]!Table1[[Test code]:[Test code]],[1]!Table1[HFR 10 mM KOH/ mOhm cm2],"",0)</f>
        <v>#REF!</v>
      </c>
      <c r="AF1781" s="69" t="e" cm="1">
        <f t="array" ref="AF1781">_xlfn.XLOOKUP(Table1[[#This Row],[5 cm2 cell test code]:[5 cm2 cell test code]],[1]!Table1[[Test code]:[Test code]],[1]!Table1[Ionic resistance DIW/Ohm cm2],"",0)</f>
        <v>#REF!</v>
      </c>
      <c r="AG1781" s="69" t="e" cm="1">
        <f t="array" ref="AG1781">_xlfn.XLOOKUP(Table1[[#This Row],[5 cm2 cell test code]:[5 cm2 cell test code]],[1]!Table1[[Test code]:[Test code]],[1]!Table1[Q_int_frac DIW],"",0)</f>
        <v>#REF!</v>
      </c>
      <c r="AH1781" s="69" t="e" cm="1">
        <f t="array" ref="AH1781">_xlfn.XLOOKUP(Table1[[#This Row],[5 cm2 cell test code]:[5 cm2 cell test code]],[1]!Table1[[Test code]:[Test code]],[1]!Table1[Ionic resistance 10 mM KOH/Ohm cm2],"",0)</f>
        <v>#REF!</v>
      </c>
      <c r="AI1781" s="69" t="e" cm="1">
        <f t="array" ref="AI1781">_xlfn.XLOOKUP(Table1[[#This Row],[5 cm2 cell test code]:[5 cm2 cell test code]],[1]!Table1[[Test code]:[Test code]],[1]!Table1[Q_int_frac DIW 10 mM KOH],"",0)</f>
        <v>#REF!</v>
      </c>
      <c r="AJ1781" s="69" t="e" cm="1">
        <f t="array" ref="AJ1781">_xlfn.XLOOKUP(Table1[[#This Row],[5 cm2 cell test code]:[5 cm2 cell test code]],[1]!Table1[[Test code]:[Test code]],[1]!Table1[DIW conductivity (µS/cm)],"",0)</f>
        <v>#REF!</v>
      </c>
    </row>
    <row r="1782" spans="1:36">
      <c r="A1782" s="81"/>
      <c r="U1782" s="101"/>
      <c r="V1782" s="101"/>
      <c r="W1782" s="69" t="e" cm="1">
        <f t="array" ref="W1782">_xlfn.XLOOKUP(Table1[[#This Row],[5 cm2 cell test code]:[5 cm2 cell test code]],[1]!Table1[[Test code]:[Test code]],[1]!Table1[i @ 1.8 V DIW (A/cm2)],"",0)</f>
        <v>#REF!</v>
      </c>
      <c r="X1782" s="69" t="e" cm="1">
        <f t="array" ref="X1782">_xlfn.XLOOKUP(Table1[[#This Row],[5 cm2 cell test code]:[5 cm2 cell test code]],[1]!Table1[[Test code]:[Test code]],[1]!Table1[i @ 1.8 V 10 mM KOH (A/cm2)],"",0)</f>
        <v>#REF!</v>
      </c>
      <c r="Y1782" s="69" t="e" cm="1">
        <f t="array" ref="Y1782">_xlfn.XLOOKUP(Table1[[#This Row],[5 cm2 cell test code]:[5 cm2 cell test code]],[1]!Table1[[Test code]:[Test code]],[1]!Table1[3-E ƞ at 20mAcm-2 (mV)],"",0)</f>
        <v>#REF!</v>
      </c>
      <c r="Z1782" s="69" t="e" cm="1">
        <f t="array" ref="Z1782">_xlfn.XLOOKUP(Table1[[#This Row],[5 cm2 cell test code]:[5 cm2 cell test code]],[1]!Table1[[Test code]:[Test code]],[1]!Table1[3-E Tafel slope (mV/dec)],"",0)</f>
        <v>#REF!</v>
      </c>
      <c r="AA1782" s="69" t="e" cm="1">
        <f t="array" ref="AA1782">_xlfn.XLOOKUP(Table1[[#This Row],[5 cm2 cell test code]:[5 cm2 cell test code]],[1]!Table1[[Test code]:[Test code]],[1]!Table1[E @ 100 mA/cm2 DIW/V],"",0)</f>
        <v>#REF!</v>
      </c>
      <c r="AB1782" s="69" t="e" cm="1">
        <f t="array" ref="AB1782">_xlfn.XLOOKUP(Table1[[#This Row],[5 cm2 cell test code]:[5 cm2 cell test code]],[1]!Table1[[Test code]:[Test code]],[1]!Table1[E @ 100 mA/cm2 10 mM KOH/V],"",0)</f>
        <v>#REF!</v>
      </c>
      <c r="AC1782" s="69" t="e" cm="1">
        <f t="array" ref="AC1782">_xlfn.XLOOKUP(Table1[[#This Row],[5 cm2 cell test code]:[5 cm2 cell test code]],[1]!Table1[[Test code]:[Test code]],[1]!Table1[Anode ICR/mOhm],"",0)</f>
        <v>#REF!</v>
      </c>
      <c r="AD1782" s="69" t="e" cm="1">
        <f t="array" ref="AD1782">_xlfn.XLOOKUP(Table1[[#This Row],[5 cm2 cell test code]:[5 cm2 cell test code]],[1]!Table1[[Test code]:[Test code]],[1]!Table1[HFR DIW/ mOhm cm2],"",0)</f>
        <v>#REF!</v>
      </c>
      <c r="AE1782" s="69" t="e" cm="1">
        <f t="array" ref="AE1782">_xlfn.XLOOKUP(Table1[[#This Row],[5 cm2 cell test code]:[5 cm2 cell test code]],[1]!Table1[[Test code]:[Test code]],[1]!Table1[HFR 10 mM KOH/ mOhm cm2],"",0)</f>
        <v>#REF!</v>
      </c>
      <c r="AF1782" s="69" t="e" cm="1">
        <f t="array" ref="AF1782">_xlfn.XLOOKUP(Table1[[#This Row],[5 cm2 cell test code]:[5 cm2 cell test code]],[1]!Table1[[Test code]:[Test code]],[1]!Table1[Ionic resistance DIW/Ohm cm2],"",0)</f>
        <v>#REF!</v>
      </c>
      <c r="AG1782" s="69" t="e" cm="1">
        <f t="array" ref="AG1782">_xlfn.XLOOKUP(Table1[[#This Row],[5 cm2 cell test code]:[5 cm2 cell test code]],[1]!Table1[[Test code]:[Test code]],[1]!Table1[Q_int_frac DIW],"",0)</f>
        <v>#REF!</v>
      </c>
      <c r="AH1782" s="69" t="e" cm="1">
        <f t="array" ref="AH1782">_xlfn.XLOOKUP(Table1[[#This Row],[5 cm2 cell test code]:[5 cm2 cell test code]],[1]!Table1[[Test code]:[Test code]],[1]!Table1[Ionic resistance 10 mM KOH/Ohm cm2],"",0)</f>
        <v>#REF!</v>
      </c>
      <c r="AI1782" s="69" t="e" cm="1">
        <f t="array" ref="AI1782">_xlfn.XLOOKUP(Table1[[#This Row],[5 cm2 cell test code]:[5 cm2 cell test code]],[1]!Table1[[Test code]:[Test code]],[1]!Table1[Q_int_frac DIW 10 mM KOH],"",0)</f>
        <v>#REF!</v>
      </c>
      <c r="AJ1782" s="69" t="e" cm="1">
        <f t="array" ref="AJ1782">_xlfn.XLOOKUP(Table1[[#This Row],[5 cm2 cell test code]:[5 cm2 cell test code]],[1]!Table1[[Test code]:[Test code]],[1]!Table1[DIW conductivity (µS/cm)],"",0)</f>
        <v>#REF!</v>
      </c>
    </row>
    <row r="1783" spans="1:36">
      <c r="A1783" s="81"/>
      <c r="U1783" s="101"/>
      <c r="V1783" s="101"/>
      <c r="W1783" s="69" t="e" cm="1">
        <f t="array" ref="W1783">_xlfn.XLOOKUP(Table1[[#This Row],[5 cm2 cell test code]:[5 cm2 cell test code]],[1]!Table1[[Test code]:[Test code]],[1]!Table1[i @ 1.8 V DIW (A/cm2)],"",0)</f>
        <v>#REF!</v>
      </c>
      <c r="X1783" s="69" t="e" cm="1">
        <f t="array" ref="X1783">_xlfn.XLOOKUP(Table1[[#This Row],[5 cm2 cell test code]:[5 cm2 cell test code]],[1]!Table1[[Test code]:[Test code]],[1]!Table1[i @ 1.8 V 10 mM KOH (A/cm2)],"",0)</f>
        <v>#REF!</v>
      </c>
      <c r="Y1783" s="69" t="e" cm="1">
        <f t="array" ref="Y1783">_xlfn.XLOOKUP(Table1[[#This Row],[5 cm2 cell test code]:[5 cm2 cell test code]],[1]!Table1[[Test code]:[Test code]],[1]!Table1[3-E ƞ at 20mAcm-2 (mV)],"",0)</f>
        <v>#REF!</v>
      </c>
      <c r="Z1783" s="69" t="e" cm="1">
        <f t="array" ref="Z1783">_xlfn.XLOOKUP(Table1[[#This Row],[5 cm2 cell test code]:[5 cm2 cell test code]],[1]!Table1[[Test code]:[Test code]],[1]!Table1[3-E Tafel slope (mV/dec)],"",0)</f>
        <v>#REF!</v>
      </c>
      <c r="AA1783" s="69" t="e" cm="1">
        <f t="array" ref="AA1783">_xlfn.XLOOKUP(Table1[[#This Row],[5 cm2 cell test code]:[5 cm2 cell test code]],[1]!Table1[[Test code]:[Test code]],[1]!Table1[E @ 100 mA/cm2 DIW/V],"",0)</f>
        <v>#REF!</v>
      </c>
      <c r="AB1783" s="69" t="e" cm="1">
        <f t="array" ref="AB1783">_xlfn.XLOOKUP(Table1[[#This Row],[5 cm2 cell test code]:[5 cm2 cell test code]],[1]!Table1[[Test code]:[Test code]],[1]!Table1[E @ 100 mA/cm2 10 mM KOH/V],"",0)</f>
        <v>#REF!</v>
      </c>
      <c r="AC1783" s="69" t="e" cm="1">
        <f t="array" ref="AC1783">_xlfn.XLOOKUP(Table1[[#This Row],[5 cm2 cell test code]:[5 cm2 cell test code]],[1]!Table1[[Test code]:[Test code]],[1]!Table1[Anode ICR/mOhm],"",0)</f>
        <v>#REF!</v>
      </c>
      <c r="AD1783" s="69" t="e" cm="1">
        <f t="array" ref="AD1783">_xlfn.XLOOKUP(Table1[[#This Row],[5 cm2 cell test code]:[5 cm2 cell test code]],[1]!Table1[[Test code]:[Test code]],[1]!Table1[HFR DIW/ mOhm cm2],"",0)</f>
        <v>#REF!</v>
      </c>
      <c r="AE1783" s="69" t="e" cm="1">
        <f t="array" ref="AE1783">_xlfn.XLOOKUP(Table1[[#This Row],[5 cm2 cell test code]:[5 cm2 cell test code]],[1]!Table1[[Test code]:[Test code]],[1]!Table1[HFR 10 mM KOH/ mOhm cm2],"",0)</f>
        <v>#REF!</v>
      </c>
      <c r="AF1783" s="69" t="e" cm="1">
        <f t="array" ref="AF1783">_xlfn.XLOOKUP(Table1[[#This Row],[5 cm2 cell test code]:[5 cm2 cell test code]],[1]!Table1[[Test code]:[Test code]],[1]!Table1[Ionic resistance DIW/Ohm cm2],"",0)</f>
        <v>#REF!</v>
      </c>
      <c r="AG1783" s="69" t="e" cm="1">
        <f t="array" ref="AG1783">_xlfn.XLOOKUP(Table1[[#This Row],[5 cm2 cell test code]:[5 cm2 cell test code]],[1]!Table1[[Test code]:[Test code]],[1]!Table1[Q_int_frac DIW],"",0)</f>
        <v>#REF!</v>
      </c>
      <c r="AH1783" s="69" t="e" cm="1">
        <f t="array" ref="AH1783">_xlfn.XLOOKUP(Table1[[#This Row],[5 cm2 cell test code]:[5 cm2 cell test code]],[1]!Table1[[Test code]:[Test code]],[1]!Table1[Ionic resistance 10 mM KOH/Ohm cm2],"",0)</f>
        <v>#REF!</v>
      </c>
      <c r="AI1783" s="69" t="e" cm="1">
        <f t="array" ref="AI1783">_xlfn.XLOOKUP(Table1[[#This Row],[5 cm2 cell test code]:[5 cm2 cell test code]],[1]!Table1[[Test code]:[Test code]],[1]!Table1[Q_int_frac DIW 10 mM KOH],"",0)</f>
        <v>#REF!</v>
      </c>
      <c r="AJ1783" s="69" t="e" cm="1">
        <f t="array" ref="AJ1783">_xlfn.XLOOKUP(Table1[[#This Row],[5 cm2 cell test code]:[5 cm2 cell test code]],[1]!Table1[[Test code]:[Test code]],[1]!Table1[DIW conductivity (µS/cm)],"",0)</f>
        <v>#REF!</v>
      </c>
    </row>
    <row r="1784" spans="1:36">
      <c r="A1784" s="81"/>
      <c r="U1784" s="101"/>
      <c r="V1784" s="101"/>
      <c r="W1784" s="69" t="e" cm="1">
        <f t="array" ref="W1784">_xlfn.XLOOKUP(Table1[[#This Row],[5 cm2 cell test code]:[5 cm2 cell test code]],[1]!Table1[[Test code]:[Test code]],[1]!Table1[i @ 1.8 V DIW (A/cm2)],"",0)</f>
        <v>#REF!</v>
      </c>
      <c r="X1784" s="69" t="e" cm="1">
        <f t="array" ref="X1784">_xlfn.XLOOKUP(Table1[[#This Row],[5 cm2 cell test code]:[5 cm2 cell test code]],[1]!Table1[[Test code]:[Test code]],[1]!Table1[i @ 1.8 V 10 mM KOH (A/cm2)],"",0)</f>
        <v>#REF!</v>
      </c>
      <c r="Y1784" s="69" t="e" cm="1">
        <f t="array" ref="Y1784">_xlfn.XLOOKUP(Table1[[#This Row],[5 cm2 cell test code]:[5 cm2 cell test code]],[1]!Table1[[Test code]:[Test code]],[1]!Table1[3-E ƞ at 20mAcm-2 (mV)],"",0)</f>
        <v>#REF!</v>
      </c>
      <c r="Z1784" s="69" t="e" cm="1">
        <f t="array" ref="Z1784">_xlfn.XLOOKUP(Table1[[#This Row],[5 cm2 cell test code]:[5 cm2 cell test code]],[1]!Table1[[Test code]:[Test code]],[1]!Table1[3-E Tafel slope (mV/dec)],"",0)</f>
        <v>#REF!</v>
      </c>
      <c r="AA1784" s="69" t="e" cm="1">
        <f t="array" ref="AA1784">_xlfn.XLOOKUP(Table1[[#This Row],[5 cm2 cell test code]:[5 cm2 cell test code]],[1]!Table1[[Test code]:[Test code]],[1]!Table1[E @ 100 mA/cm2 DIW/V],"",0)</f>
        <v>#REF!</v>
      </c>
      <c r="AB1784" s="69" t="e" cm="1">
        <f t="array" ref="AB1784">_xlfn.XLOOKUP(Table1[[#This Row],[5 cm2 cell test code]:[5 cm2 cell test code]],[1]!Table1[[Test code]:[Test code]],[1]!Table1[E @ 100 mA/cm2 10 mM KOH/V],"",0)</f>
        <v>#REF!</v>
      </c>
      <c r="AC1784" s="69" t="e" cm="1">
        <f t="array" ref="AC1784">_xlfn.XLOOKUP(Table1[[#This Row],[5 cm2 cell test code]:[5 cm2 cell test code]],[1]!Table1[[Test code]:[Test code]],[1]!Table1[Anode ICR/mOhm],"",0)</f>
        <v>#REF!</v>
      </c>
      <c r="AD1784" s="69" t="e" cm="1">
        <f t="array" ref="AD1784">_xlfn.XLOOKUP(Table1[[#This Row],[5 cm2 cell test code]:[5 cm2 cell test code]],[1]!Table1[[Test code]:[Test code]],[1]!Table1[HFR DIW/ mOhm cm2],"",0)</f>
        <v>#REF!</v>
      </c>
      <c r="AE1784" s="69" t="e" cm="1">
        <f t="array" ref="AE1784">_xlfn.XLOOKUP(Table1[[#This Row],[5 cm2 cell test code]:[5 cm2 cell test code]],[1]!Table1[[Test code]:[Test code]],[1]!Table1[HFR 10 mM KOH/ mOhm cm2],"",0)</f>
        <v>#REF!</v>
      </c>
      <c r="AF1784" s="69" t="e" cm="1">
        <f t="array" ref="AF1784">_xlfn.XLOOKUP(Table1[[#This Row],[5 cm2 cell test code]:[5 cm2 cell test code]],[1]!Table1[[Test code]:[Test code]],[1]!Table1[Ionic resistance DIW/Ohm cm2],"",0)</f>
        <v>#REF!</v>
      </c>
      <c r="AG1784" s="69" t="e" cm="1">
        <f t="array" ref="AG1784">_xlfn.XLOOKUP(Table1[[#This Row],[5 cm2 cell test code]:[5 cm2 cell test code]],[1]!Table1[[Test code]:[Test code]],[1]!Table1[Q_int_frac DIW],"",0)</f>
        <v>#REF!</v>
      </c>
      <c r="AH1784" s="69" t="e" cm="1">
        <f t="array" ref="AH1784">_xlfn.XLOOKUP(Table1[[#This Row],[5 cm2 cell test code]:[5 cm2 cell test code]],[1]!Table1[[Test code]:[Test code]],[1]!Table1[Ionic resistance 10 mM KOH/Ohm cm2],"",0)</f>
        <v>#REF!</v>
      </c>
      <c r="AI1784" s="69" t="e" cm="1">
        <f t="array" ref="AI1784">_xlfn.XLOOKUP(Table1[[#This Row],[5 cm2 cell test code]:[5 cm2 cell test code]],[1]!Table1[[Test code]:[Test code]],[1]!Table1[Q_int_frac DIW 10 mM KOH],"",0)</f>
        <v>#REF!</v>
      </c>
      <c r="AJ1784" s="69" t="e" cm="1">
        <f t="array" ref="AJ1784">_xlfn.XLOOKUP(Table1[[#This Row],[5 cm2 cell test code]:[5 cm2 cell test code]],[1]!Table1[[Test code]:[Test code]],[1]!Table1[DIW conductivity (µS/cm)],"",0)</f>
        <v>#REF!</v>
      </c>
    </row>
    <row r="1785" spans="1:36">
      <c r="A1785" s="81"/>
      <c r="U1785" s="101"/>
      <c r="V1785" s="101"/>
      <c r="W1785" s="69" t="e" cm="1">
        <f t="array" ref="W1785">_xlfn.XLOOKUP(Table1[[#This Row],[5 cm2 cell test code]:[5 cm2 cell test code]],[1]!Table1[[Test code]:[Test code]],[1]!Table1[i @ 1.8 V DIW (A/cm2)],"",0)</f>
        <v>#REF!</v>
      </c>
      <c r="X1785" s="69" t="e" cm="1">
        <f t="array" ref="X1785">_xlfn.XLOOKUP(Table1[[#This Row],[5 cm2 cell test code]:[5 cm2 cell test code]],[1]!Table1[[Test code]:[Test code]],[1]!Table1[i @ 1.8 V 10 mM KOH (A/cm2)],"",0)</f>
        <v>#REF!</v>
      </c>
      <c r="Y1785" s="69" t="e" cm="1">
        <f t="array" ref="Y1785">_xlfn.XLOOKUP(Table1[[#This Row],[5 cm2 cell test code]:[5 cm2 cell test code]],[1]!Table1[[Test code]:[Test code]],[1]!Table1[3-E ƞ at 20mAcm-2 (mV)],"",0)</f>
        <v>#REF!</v>
      </c>
      <c r="Z1785" s="69" t="e" cm="1">
        <f t="array" ref="Z1785">_xlfn.XLOOKUP(Table1[[#This Row],[5 cm2 cell test code]:[5 cm2 cell test code]],[1]!Table1[[Test code]:[Test code]],[1]!Table1[3-E Tafel slope (mV/dec)],"",0)</f>
        <v>#REF!</v>
      </c>
      <c r="AA1785" s="69" t="e" cm="1">
        <f t="array" ref="AA1785">_xlfn.XLOOKUP(Table1[[#This Row],[5 cm2 cell test code]:[5 cm2 cell test code]],[1]!Table1[[Test code]:[Test code]],[1]!Table1[E @ 100 mA/cm2 DIW/V],"",0)</f>
        <v>#REF!</v>
      </c>
      <c r="AB1785" s="69" t="e" cm="1">
        <f t="array" ref="AB1785">_xlfn.XLOOKUP(Table1[[#This Row],[5 cm2 cell test code]:[5 cm2 cell test code]],[1]!Table1[[Test code]:[Test code]],[1]!Table1[E @ 100 mA/cm2 10 mM KOH/V],"",0)</f>
        <v>#REF!</v>
      </c>
      <c r="AC1785" s="69" t="e" cm="1">
        <f t="array" ref="AC1785">_xlfn.XLOOKUP(Table1[[#This Row],[5 cm2 cell test code]:[5 cm2 cell test code]],[1]!Table1[[Test code]:[Test code]],[1]!Table1[Anode ICR/mOhm],"",0)</f>
        <v>#REF!</v>
      </c>
      <c r="AD1785" s="69" t="e" cm="1">
        <f t="array" ref="AD1785">_xlfn.XLOOKUP(Table1[[#This Row],[5 cm2 cell test code]:[5 cm2 cell test code]],[1]!Table1[[Test code]:[Test code]],[1]!Table1[HFR DIW/ mOhm cm2],"",0)</f>
        <v>#REF!</v>
      </c>
      <c r="AE1785" s="69" t="e" cm="1">
        <f t="array" ref="AE1785">_xlfn.XLOOKUP(Table1[[#This Row],[5 cm2 cell test code]:[5 cm2 cell test code]],[1]!Table1[[Test code]:[Test code]],[1]!Table1[HFR 10 mM KOH/ mOhm cm2],"",0)</f>
        <v>#REF!</v>
      </c>
      <c r="AF1785" s="69" t="e" cm="1">
        <f t="array" ref="AF1785">_xlfn.XLOOKUP(Table1[[#This Row],[5 cm2 cell test code]:[5 cm2 cell test code]],[1]!Table1[[Test code]:[Test code]],[1]!Table1[Ionic resistance DIW/Ohm cm2],"",0)</f>
        <v>#REF!</v>
      </c>
      <c r="AG1785" s="69" t="e" cm="1">
        <f t="array" ref="AG1785">_xlfn.XLOOKUP(Table1[[#This Row],[5 cm2 cell test code]:[5 cm2 cell test code]],[1]!Table1[[Test code]:[Test code]],[1]!Table1[Q_int_frac DIW],"",0)</f>
        <v>#REF!</v>
      </c>
      <c r="AH1785" s="69" t="e" cm="1">
        <f t="array" ref="AH1785">_xlfn.XLOOKUP(Table1[[#This Row],[5 cm2 cell test code]:[5 cm2 cell test code]],[1]!Table1[[Test code]:[Test code]],[1]!Table1[Ionic resistance 10 mM KOH/Ohm cm2],"",0)</f>
        <v>#REF!</v>
      </c>
      <c r="AI1785" s="69" t="e" cm="1">
        <f t="array" ref="AI1785">_xlfn.XLOOKUP(Table1[[#This Row],[5 cm2 cell test code]:[5 cm2 cell test code]],[1]!Table1[[Test code]:[Test code]],[1]!Table1[Q_int_frac DIW 10 mM KOH],"",0)</f>
        <v>#REF!</v>
      </c>
      <c r="AJ1785" s="69" t="e" cm="1">
        <f t="array" ref="AJ1785">_xlfn.XLOOKUP(Table1[[#This Row],[5 cm2 cell test code]:[5 cm2 cell test code]],[1]!Table1[[Test code]:[Test code]],[1]!Table1[DIW conductivity (µS/cm)],"",0)</f>
        <v>#REF!</v>
      </c>
    </row>
    <row r="1786" spans="1:36">
      <c r="A1786" s="81"/>
      <c r="U1786" s="101"/>
      <c r="V1786" s="101"/>
      <c r="W1786" s="69" t="e" cm="1">
        <f t="array" ref="W1786">_xlfn.XLOOKUP(Table1[[#This Row],[5 cm2 cell test code]:[5 cm2 cell test code]],[1]!Table1[[Test code]:[Test code]],[1]!Table1[i @ 1.8 V DIW (A/cm2)],"",0)</f>
        <v>#REF!</v>
      </c>
      <c r="X1786" s="69" t="e" cm="1">
        <f t="array" ref="X1786">_xlfn.XLOOKUP(Table1[[#This Row],[5 cm2 cell test code]:[5 cm2 cell test code]],[1]!Table1[[Test code]:[Test code]],[1]!Table1[i @ 1.8 V 10 mM KOH (A/cm2)],"",0)</f>
        <v>#REF!</v>
      </c>
      <c r="Y1786" s="69" t="e" cm="1">
        <f t="array" ref="Y1786">_xlfn.XLOOKUP(Table1[[#This Row],[5 cm2 cell test code]:[5 cm2 cell test code]],[1]!Table1[[Test code]:[Test code]],[1]!Table1[3-E ƞ at 20mAcm-2 (mV)],"",0)</f>
        <v>#REF!</v>
      </c>
      <c r="Z1786" s="69" t="e" cm="1">
        <f t="array" ref="Z1786">_xlfn.XLOOKUP(Table1[[#This Row],[5 cm2 cell test code]:[5 cm2 cell test code]],[1]!Table1[[Test code]:[Test code]],[1]!Table1[3-E Tafel slope (mV/dec)],"",0)</f>
        <v>#REF!</v>
      </c>
      <c r="AA1786" s="69" t="e" cm="1">
        <f t="array" ref="AA1786">_xlfn.XLOOKUP(Table1[[#This Row],[5 cm2 cell test code]:[5 cm2 cell test code]],[1]!Table1[[Test code]:[Test code]],[1]!Table1[E @ 100 mA/cm2 DIW/V],"",0)</f>
        <v>#REF!</v>
      </c>
      <c r="AB1786" s="69" t="e" cm="1">
        <f t="array" ref="AB1786">_xlfn.XLOOKUP(Table1[[#This Row],[5 cm2 cell test code]:[5 cm2 cell test code]],[1]!Table1[[Test code]:[Test code]],[1]!Table1[E @ 100 mA/cm2 10 mM KOH/V],"",0)</f>
        <v>#REF!</v>
      </c>
      <c r="AC1786" s="69" t="e" cm="1">
        <f t="array" ref="AC1786">_xlfn.XLOOKUP(Table1[[#This Row],[5 cm2 cell test code]:[5 cm2 cell test code]],[1]!Table1[[Test code]:[Test code]],[1]!Table1[Anode ICR/mOhm],"",0)</f>
        <v>#REF!</v>
      </c>
      <c r="AD1786" s="69" t="e" cm="1">
        <f t="array" ref="AD1786">_xlfn.XLOOKUP(Table1[[#This Row],[5 cm2 cell test code]:[5 cm2 cell test code]],[1]!Table1[[Test code]:[Test code]],[1]!Table1[HFR DIW/ mOhm cm2],"",0)</f>
        <v>#REF!</v>
      </c>
      <c r="AE1786" s="69" t="e" cm="1">
        <f t="array" ref="AE1786">_xlfn.XLOOKUP(Table1[[#This Row],[5 cm2 cell test code]:[5 cm2 cell test code]],[1]!Table1[[Test code]:[Test code]],[1]!Table1[HFR 10 mM KOH/ mOhm cm2],"",0)</f>
        <v>#REF!</v>
      </c>
      <c r="AF1786" s="69" t="e" cm="1">
        <f t="array" ref="AF1786">_xlfn.XLOOKUP(Table1[[#This Row],[5 cm2 cell test code]:[5 cm2 cell test code]],[1]!Table1[[Test code]:[Test code]],[1]!Table1[Ionic resistance DIW/Ohm cm2],"",0)</f>
        <v>#REF!</v>
      </c>
      <c r="AG1786" s="69" t="e" cm="1">
        <f t="array" ref="AG1786">_xlfn.XLOOKUP(Table1[[#This Row],[5 cm2 cell test code]:[5 cm2 cell test code]],[1]!Table1[[Test code]:[Test code]],[1]!Table1[Q_int_frac DIW],"",0)</f>
        <v>#REF!</v>
      </c>
      <c r="AH1786" s="69" t="e" cm="1">
        <f t="array" ref="AH1786">_xlfn.XLOOKUP(Table1[[#This Row],[5 cm2 cell test code]:[5 cm2 cell test code]],[1]!Table1[[Test code]:[Test code]],[1]!Table1[Ionic resistance 10 mM KOH/Ohm cm2],"",0)</f>
        <v>#REF!</v>
      </c>
      <c r="AI1786" s="69" t="e" cm="1">
        <f t="array" ref="AI1786">_xlfn.XLOOKUP(Table1[[#This Row],[5 cm2 cell test code]:[5 cm2 cell test code]],[1]!Table1[[Test code]:[Test code]],[1]!Table1[Q_int_frac DIW 10 mM KOH],"",0)</f>
        <v>#REF!</v>
      </c>
      <c r="AJ1786" s="69" t="e" cm="1">
        <f t="array" ref="AJ1786">_xlfn.XLOOKUP(Table1[[#This Row],[5 cm2 cell test code]:[5 cm2 cell test code]],[1]!Table1[[Test code]:[Test code]],[1]!Table1[DIW conductivity (µS/cm)],"",0)</f>
        <v>#REF!</v>
      </c>
    </row>
    <row r="1787" spans="1:36">
      <c r="A1787" s="81"/>
      <c r="U1787" s="101"/>
      <c r="V1787" s="101"/>
      <c r="W1787" s="69" t="e" cm="1">
        <f t="array" ref="W1787">_xlfn.XLOOKUP(Table1[[#This Row],[5 cm2 cell test code]:[5 cm2 cell test code]],[1]!Table1[[Test code]:[Test code]],[1]!Table1[i @ 1.8 V DIW (A/cm2)],"",0)</f>
        <v>#REF!</v>
      </c>
      <c r="X1787" s="69" t="e" cm="1">
        <f t="array" ref="X1787">_xlfn.XLOOKUP(Table1[[#This Row],[5 cm2 cell test code]:[5 cm2 cell test code]],[1]!Table1[[Test code]:[Test code]],[1]!Table1[i @ 1.8 V 10 mM KOH (A/cm2)],"",0)</f>
        <v>#REF!</v>
      </c>
      <c r="Y1787" s="69" t="e" cm="1">
        <f t="array" ref="Y1787">_xlfn.XLOOKUP(Table1[[#This Row],[5 cm2 cell test code]:[5 cm2 cell test code]],[1]!Table1[[Test code]:[Test code]],[1]!Table1[3-E ƞ at 20mAcm-2 (mV)],"",0)</f>
        <v>#REF!</v>
      </c>
      <c r="Z1787" s="69" t="e" cm="1">
        <f t="array" ref="Z1787">_xlfn.XLOOKUP(Table1[[#This Row],[5 cm2 cell test code]:[5 cm2 cell test code]],[1]!Table1[[Test code]:[Test code]],[1]!Table1[3-E Tafel slope (mV/dec)],"",0)</f>
        <v>#REF!</v>
      </c>
      <c r="AA1787" s="69" t="e" cm="1">
        <f t="array" ref="AA1787">_xlfn.XLOOKUP(Table1[[#This Row],[5 cm2 cell test code]:[5 cm2 cell test code]],[1]!Table1[[Test code]:[Test code]],[1]!Table1[E @ 100 mA/cm2 DIW/V],"",0)</f>
        <v>#REF!</v>
      </c>
      <c r="AB1787" s="69" t="e" cm="1">
        <f t="array" ref="AB1787">_xlfn.XLOOKUP(Table1[[#This Row],[5 cm2 cell test code]:[5 cm2 cell test code]],[1]!Table1[[Test code]:[Test code]],[1]!Table1[E @ 100 mA/cm2 10 mM KOH/V],"",0)</f>
        <v>#REF!</v>
      </c>
      <c r="AC1787" s="69" t="e" cm="1">
        <f t="array" ref="AC1787">_xlfn.XLOOKUP(Table1[[#This Row],[5 cm2 cell test code]:[5 cm2 cell test code]],[1]!Table1[[Test code]:[Test code]],[1]!Table1[Anode ICR/mOhm],"",0)</f>
        <v>#REF!</v>
      </c>
      <c r="AD1787" s="69" t="e" cm="1">
        <f t="array" ref="AD1787">_xlfn.XLOOKUP(Table1[[#This Row],[5 cm2 cell test code]:[5 cm2 cell test code]],[1]!Table1[[Test code]:[Test code]],[1]!Table1[HFR DIW/ mOhm cm2],"",0)</f>
        <v>#REF!</v>
      </c>
      <c r="AE1787" s="69" t="e" cm="1">
        <f t="array" ref="AE1787">_xlfn.XLOOKUP(Table1[[#This Row],[5 cm2 cell test code]:[5 cm2 cell test code]],[1]!Table1[[Test code]:[Test code]],[1]!Table1[HFR 10 mM KOH/ mOhm cm2],"",0)</f>
        <v>#REF!</v>
      </c>
      <c r="AF1787" s="69" t="e" cm="1">
        <f t="array" ref="AF1787">_xlfn.XLOOKUP(Table1[[#This Row],[5 cm2 cell test code]:[5 cm2 cell test code]],[1]!Table1[[Test code]:[Test code]],[1]!Table1[Ionic resistance DIW/Ohm cm2],"",0)</f>
        <v>#REF!</v>
      </c>
      <c r="AG1787" s="69" t="e" cm="1">
        <f t="array" ref="AG1787">_xlfn.XLOOKUP(Table1[[#This Row],[5 cm2 cell test code]:[5 cm2 cell test code]],[1]!Table1[[Test code]:[Test code]],[1]!Table1[Q_int_frac DIW],"",0)</f>
        <v>#REF!</v>
      </c>
      <c r="AH1787" s="69" t="e" cm="1">
        <f t="array" ref="AH1787">_xlfn.XLOOKUP(Table1[[#This Row],[5 cm2 cell test code]:[5 cm2 cell test code]],[1]!Table1[[Test code]:[Test code]],[1]!Table1[Ionic resistance 10 mM KOH/Ohm cm2],"",0)</f>
        <v>#REF!</v>
      </c>
      <c r="AI1787" s="69" t="e" cm="1">
        <f t="array" ref="AI1787">_xlfn.XLOOKUP(Table1[[#This Row],[5 cm2 cell test code]:[5 cm2 cell test code]],[1]!Table1[[Test code]:[Test code]],[1]!Table1[Q_int_frac DIW 10 mM KOH],"",0)</f>
        <v>#REF!</v>
      </c>
      <c r="AJ1787" s="69" t="e" cm="1">
        <f t="array" ref="AJ1787">_xlfn.XLOOKUP(Table1[[#This Row],[5 cm2 cell test code]:[5 cm2 cell test code]],[1]!Table1[[Test code]:[Test code]],[1]!Table1[DIW conductivity (µS/cm)],"",0)</f>
        <v>#REF!</v>
      </c>
    </row>
    <row r="1788" spans="1:36">
      <c r="A1788" s="81"/>
      <c r="U1788" s="101"/>
      <c r="V1788" s="101"/>
      <c r="W1788" s="69" t="e" cm="1">
        <f t="array" ref="W1788">_xlfn.XLOOKUP(Table1[[#This Row],[5 cm2 cell test code]:[5 cm2 cell test code]],[1]!Table1[[Test code]:[Test code]],[1]!Table1[i @ 1.8 V DIW (A/cm2)],"",0)</f>
        <v>#REF!</v>
      </c>
      <c r="X1788" s="69" t="e" cm="1">
        <f t="array" ref="X1788">_xlfn.XLOOKUP(Table1[[#This Row],[5 cm2 cell test code]:[5 cm2 cell test code]],[1]!Table1[[Test code]:[Test code]],[1]!Table1[i @ 1.8 V 10 mM KOH (A/cm2)],"",0)</f>
        <v>#REF!</v>
      </c>
      <c r="Y1788" s="69" t="e" cm="1">
        <f t="array" ref="Y1788">_xlfn.XLOOKUP(Table1[[#This Row],[5 cm2 cell test code]:[5 cm2 cell test code]],[1]!Table1[[Test code]:[Test code]],[1]!Table1[3-E ƞ at 20mAcm-2 (mV)],"",0)</f>
        <v>#REF!</v>
      </c>
      <c r="Z1788" s="69" t="e" cm="1">
        <f t="array" ref="Z1788">_xlfn.XLOOKUP(Table1[[#This Row],[5 cm2 cell test code]:[5 cm2 cell test code]],[1]!Table1[[Test code]:[Test code]],[1]!Table1[3-E Tafel slope (mV/dec)],"",0)</f>
        <v>#REF!</v>
      </c>
      <c r="AA1788" s="69" t="e" cm="1">
        <f t="array" ref="AA1788">_xlfn.XLOOKUP(Table1[[#This Row],[5 cm2 cell test code]:[5 cm2 cell test code]],[1]!Table1[[Test code]:[Test code]],[1]!Table1[E @ 100 mA/cm2 DIW/V],"",0)</f>
        <v>#REF!</v>
      </c>
      <c r="AB1788" s="69" t="e" cm="1">
        <f t="array" ref="AB1788">_xlfn.XLOOKUP(Table1[[#This Row],[5 cm2 cell test code]:[5 cm2 cell test code]],[1]!Table1[[Test code]:[Test code]],[1]!Table1[E @ 100 mA/cm2 10 mM KOH/V],"",0)</f>
        <v>#REF!</v>
      </c>
      <c r="AC1788" s="69" t="e" cm="1">
        <f t="array" ref="AC1788">_xlfn.XLOOKUP(Table1[[#This Row],[5 cm2 cell test code]:[5 cm2 cell test code]],[1]!Table1[[Test code]:[Test code]],[1]!Table1[Anode ICR/mOhm],"",0)</f>
        <v>#REF!</v>
      </c>
      <c r="AD1788" s="69" t="e" cm="1">
        <f t="array" ref="AD1788">_xlfn.XLOOKUP(Table1[[#This Row],[5 cm2 cell test code]:[5 cm2 cell test code]],[1]!Table1[[Test code]:[Test code]],[1]!Table1[HFR DIW/ mOhm cm2],"",0)</f>
        <v>#REF!</v>
      </c>
      <c r="AE1788" s="69" t="e" cm="1">
        <f t="array" ref="AE1788">_xlfn.XLOOKUP(Table1[[#This Row],[5 cm2 cell test code]:[5 cm2 cell test code]],[1]!Table1[[Test code]:[Test code]],[1]!Table1[HFR 10 mM KOH/ mOhm cm2],"",0)</f>
        <v>#REF!</v>
      </c>
      <c r="AF1788" s="69" t="e" cm="1">
        <f t="array" ref="AF1788">_xlfn.XLOOKUP(Table1[[#This Row],[5 cm2 cell test code]:[5 cm2 cell test code]],[1]!Table1[[Test code]:[Test code]],[1]!Table1[Ionic resistance DIW/Ohm cm2],"",0)</f>
        <v>#REF!</v>
      </c>
      <c r="AG1788" s="69" t="e" cm="1">
        <f t="array" ref="AG1788">_xlfn.XLOOKUP(Table1[[#This Row],[5 cm2 cell test code]:[5 cm2 cell test code]],[1]!Table1[[Test code]:[Test code]],[1]!Table1[Q_int_frac DIW],"",0)</f>
        <v>#REF!</v>
      </c>
      <c r="AH1788" s="69" t="e" cm="1">
        <f t="array" ref="AH1788">_xlfn.XLOOKUP(Table1[[#This Row],[5 cm2 cell test code]:[5 cm2 cell test code]],[1]!Table1[[Test code]:[Test code]],[1]!Table1[Ionic resistance 10 mM KOH/Ohm cm2],"",0)</f>
        <v>#REF!</v>
      </c>
      <c r="AI1788" s="69" t="e" cm="1">
        <f t="array" ref="AI1788">_xlfn.XLOOKUP(Table1[[#This Row],[5 cm2 cell test code]:[5 cm2 cell test code]],[1]!Table1[[Test code]:[Test code]],[1]!Table1[Q_int_frac DIW 10 mM KOH],"",0)</f>
        <v>#REF!</v>
      </c>
      <c r="AJ1788" s="69" t="e" cm="1">
        <f t="array" ref="AJ1788">_xlfn.XLOOKUP(Table1[[#This Row],[5 cm2 cell test code]:[5 cm2 cell test code]],[1]!Table1[[Test code]:[Test code]],[1]!Table1[DIW conductivity (µS/cm)],"",0)</f>
        <v>#REF!</v>
      </c>
    </row>
    <row r="1789" spans="1:36">
      <c r="A1789" s="81"/>
      <c r="U1789" s="101"/>
      <c r="V1789" s="101"/>
      <c r="W1789" s="69" t="e" cm="1">
        <f t="array" ref="W1789">_xlfn.XLOOKUP(Table1[[#This Row],[5 cm2 cell test code]:[5 cm2 cell test code]],[1]!Table1[[Test code]:[Test code]],[1]!Table1[i @ 1.8 V DIW (A/cm2)],"",0)</f>
        <v>#REF!</v>
      </c>
      <c r="X1789" s="69" t="e" cm="1">
        <f t="array" ref="X1789">_xlfn.XLOOKUP(Table1[[#This Row],[5 cm2 cell test code]:[5 cm2 cell test code]],[1]!Table1[[Test code]:[Test code]],[1]!Table1[i @ 1.8 V 10 mM KOH (A/cm2)],"",0)</f>
        <v>#REF!</v>
      </c>
      <c r="Y1789" s="69" t="e" cm="1">
        <f t="array" ref="Y1789">_xlfn.XLOOKUP(Table1[[#This Row],[5 cm2 cell test code]:[5 cm2 cell test code]],[1]!Table1[[Test code]:[Test code]],[1]!Table1[3-E ƞ at 20mAcm-2 (mV)],"",0)</f>
        <v>#REF!</v>
      </c>
      <c r="Z1789" s="69" t="e" cm="1">
        <f t="array" ref="Z1789">_xlfn.XLOOKUP(Table1[[#This Row],[5 cm2 cell test code]:[5 cm2 cell test code]],[1]!Table1[[Test code]:[Test code]],[1]!Table1[3-E Tafel slope (mV/dec)],"",0)</f>
        <v>#REF!</v>
      </c>
      <c r="AA1789" s="69" t="e" cm="1">
        <f t="array" ref="AA1789">_xlfn.XLOOKUP(Table1[[#This Row],[5 cm2 cell test code]:[5 cm2 cell test code]],[1]!Table1[[Test code]:[Test code]],[1]!Table1[E @ 100 mA/cm2 DIW/V],"",0)</f>
        <v>#REF!</v>
      </c>
      <c r="AB1789" s="69" t="e" cm="1">
        <f t="array" ref="AB1789">_xlfn.XLOOKUP(Table1[[#This Row],[5 cm2 cell test code]:[5 cm2 cell test code]],[1]!Table1[[Test code]:[Test code]],[1]!Table1[E @ 100 mA/cm2 10 mM KOH/V],"",0)</f>
        <v>#REF!</v>
      </c>
      <c r="AC1789" s="69" t="e" cm="1">
        <f t="array" ref="AC1789">_xlfn.XLOOKUP(Table1[[#This Row],[5 cm2 cell test code]:[5 cm2 cell test code]],[1]!Table1[[Test code]:[Test code]],[1]!Table1[Anode ICR/mOhm],"",0)</f>
        <v>#REF!</v>
      </c>
      <c r="AD1789" s="69" t="e" cm="1">
        <f t="array" ref="AD1789">_xlfn.XLOOKUP(Table1[[#This Row],[5 cm2 cell test code]:[5 cm2 cell test code]],[1]!Table1[[Test code]:[Test code]],[1]!Table1[HFR DIW/ mOhm cm2],"",0)</f>
        <v>#REF!</v>
      </c>
      <c r="AE1789" s="69" t="e" cm="1">
        <f t="array" ref="AE1789">_xlfn.XLOOKUP(Table1[[#This Row],[5 cm2 cell test code]:[5 cm2 cell test code]],[1]!Table1[[Test code]:[Test code]],[1]!Table1[HFR 10 mM KOH/ mOhm cm2],"",0)</f>
        <v>#REF!</v>
      </c>
      <c r="AF1789" s="69" t="e" cm="1">
        <f t="array" ref="AF1789">_xlfn.XLOOKUP(Table1[[#This Row],[5 cm2 cell test code]:[5 cm2 cell test code]],[1]!Table1[[Test code]:[Test code]],[1]!Table1[Ionic resistance DIW/Ohm cm2],"",0)</f>
        <v>#REF!</v>
      </c>
      <c r="AG1789" s="69" t="e" cm="1">
        <f t="array" ref="AG1789">_xlfn.XLOOKUP(Table1[[#This Row],[5 cm2 cell test code]:[5 cm2 cell test code]],[1]!Table1[[Test code]:[Test code]],[1]!Table1[Q_int_frac DIW],"",0)</f>
        <v>#REF!</v>
      </c>
      <c r="AH1789" s="69" t="e" cm="1">
        <f t="array" ref="AH1789">_xlfn.XLOOKUP(Table1[[#This Row],[5 cm2 cell test code]:[5 cm2 cell test code]],[1]!Table1[[Test code]:[Test code]],[1]!Table1[Ionic resistance 10 mM KOH/Ohm cm2],"",0)</f>
        <v>#REF!</v>
      </c>
      <c r="AI1789" s="69" t="e" cm="1">
        <f t="array" ref="AI1789">_xlfn.XLOOKUP(Table1[[#This Row],[5 cm2 cell test code]:[5 cm2 cell test code]],[1]!Table1[[Test code]:[Test code]],[1]!Table1[Q_int_frac DIW 10 mM KOH],"",0)</f>
        <v>#REF!</v>
      </c>
      <c r="AJ1789" s="69" t="e" cm="1">
        <f t="array" ref="AJ1789">_xlfn.XLOOKUP(Table1[[#This Row],[5 cm2 cell test code]:[5 cm2 cell test code]],[1]!Table1[[Test code]:[Test code]],[1]!Table1[DIW conductivity (µS/cm)],"",0)</f>
        <v>#REF!</v>
      </c>
    </row>
    <row r="1790" spans="1:36">
      <c r="A1790" s="81"/>
      <c r="U1790" s="101"/>
      <c r="V1790" s="101"/>
      <c r="W1790" s="69" t="e" cm="1">
        <f t="array" ref="W1790">_xlfn.XLOOKUP(Table1[[#This Row],[5 cm2 cell test code]:[5 cm2 cell test code]],[1]!Table1[[Test code]:[Test code]],[1]!Table1[i @ 1.8 V DIW (A/cm2)],"",0)</f>
        <v>#REF!</v>
      </c>
      <c r="X1790" s="69" t="e" cm="1">
        <f t="array" ref="X1790">_xlfn.XLOOKUP(Table1[[#This Row],[5 cm2 cell test code]:[5 cm2 cell test code]],[1]!Table1[[Test code]:[Test code]],[1]!Table1[i @ 1.8 V 10 mM KOH (A/cm2)],"",0)</f>
        <v>#REF!</v>
      </c>
      <c r="Y1790" s="69" t="e" cm="1">
        <f t="array" ref="Y1790">_xlfn.XLOOKUP(Table1[[#This Row],[5 cm2 cell test code]:[5 cm2 cell test code]],[1]!Table1[[Test code]:[Test code]],[1]!Table1[3-E ƞ at 20mAcm-2 (mV)],"",0)</f>
        <v>#REF!</v>
      </c>
      <c r="Z1790" s="69" t="e" cm="1">
        <f t="array" ref="Z1790">_xlfn.XLOOKUP(Table1[[#This Row],[5 cm2 cell test code]:[5 cm2 cell test code]],[1]!Table1[[Test code]:[Test code]],[1]!Table1[3-E Tafel slope (mV/dec)],"",0)</f>
        <v>#REF!</v>
      </c>
      <c r="AA1790" s="69" t="e" cm="1">
        <f t="array" ref="AA1790">_xlfn.XLOOKUP(Table1[[#This Row],[5 cm2 cell test code]:[5 cm2 cell test code]],[1]!Table1[[Test code]:[Test code]],[1]!Table1[E @ 100 mA/cm2 DIW/V],"",0)</f>
        <v>#REF!</v>
      </c>
      <c r="AB1790" s="69" t="e" cm="1">
        <f t="array" ref="AB1790">_xlfn.XLOOKUP(Table1[[#This Row],[5 cm2 cell test code]:[5 cm2 cell test code]],[1]!Table1[[Test code]:[Test code]],[1]!Table1[E @ 100 mA/cm2 10 mM KOH/V],"",0)</f>
        <v>#REF!</v>
      </c>
      <c r="AC1790" s="69" t="e" cm="1">
        <f t="array" ref="AC1790">_xlfn.XLOOKUP(Table1[[#This Row],[5 cm2 cell test code]:[5 cm2 cell test code]],[1]!Table1[[Test code]:[Test code]],[1]!Table1[Anode ICR/mOhm],"",0)</f>
        <v>#REF!</v>
      </c>
      <c r="AD1790" s="69" t="e" cm="1">
        <f t="array" ref="AD1790">_xlfn.XLOOKUP(Table1[[#This Row],[5 cm2 cell test code]:[5 cm2 cell test code]],[1]!Table1[[Test code]:[Test code]],[1]!Table1[HFR DIW/ mOhm cm2],"",0)</f>
        <v>#REF!</v>
      </c>
      <c r="AE1790" s="69" t="e" cm="1">
        <f t="array" ref="AE1790">_xlfn.XLOOKUP(Table1[[#This Row],[5 cm2 cell test code]:[5 cm2 cell test code]],[1]!Table1[[Test code]:[Test code]],[1]!Table1[HFR 10 mM KOH/ mOhm cm2],"",0)</f>
        <v>#REF!</v>
      </c>
      <c r="AF1790" s="69" t="e" cm="1">
        <f t="array" ref="AF1790">_xlfn.XLOOKUP(Table1[[#This Row],[5 cm2 cell test code]:[5 cm2 cell test code]],[1]!Table1[[Test code]:[Test code]],[1]!Table1[Ionic resistance DIW/Ohm cm2],"",0)</f>
        <v>#REF!</v>
      </c>
      <c r="AG1790" s="69" t="e" cm="1">
        <f t="array" ref="AG1790">_xlfn.XLOOKUP(Table1[[#This Row],[5 cm2 cell test code]:[5 cm2 cell test code]],[1]!Table1[[Test code]:[Test code]],[1]!Table1[Q_int_frac DIW],"",0)</f>
        <v>#REF!</v>
      </c>
      <c r="AH1790" s="69" t="e" cm="1">
        <f t="array" ref="AH1790">_xlfn.XLOOKUP(Table1[[#This Row],[5 cm2 cell test code]:[5 cm2 cell test code]],[1]!Table1[[Test code]:[Test code]],[1]!Table1[Ionic resistance 10 mM KOH/Ohm cm2],"",0)</f>
        <v>#REF!</v>
      </c>
      <c r="AI1790" s="69" t="e" cm="1">
        <f t="array" ref="AI1790">_xlfn.XLOOKUP(Table1[[#This Row],[5 cm2 cell test code]:[5 cm2 cell test code]],[1]!Table1[[Test code]:[Test code]],[1]!Table1[Q_int_frac DIW 10 mM KOH],"",0)</f>
        <v>#REF!</v>
      </c>
      <c r="AJ1790" s="69" t="e" cm="1">
        <f t="array" ref="AJ1790">_xlfn.XLOOKUP(Table1[[#This Row],[5 cm2 cell test code]:[5 cm2 cell test code]],[1]!Table1[[Test code]:[Test code]],[1]!Table1[DIW conductivity (µS/cm)],"",0)</f>
        <v>#REF!</v>
      </c>
    </row>
    <row r="1791" spans="1:36">
      <c r="A1791" s="81"/>
      <c r="U1791" s="101"/>
      <c r="V1791" s="101"/>
      <c r="W1791" s="69" t="e" cm="1">
        <f t="array" ref="W1791">_xlfn.XLOOKUP(Table1[[#This Row],[5 cm2 cell test code]:[5 cm2 cell test code]],[1]!Table1[[Test code]:[Test code]],[1]!Table1[i @ 1.8 V DIW (A/cm2)],"",0)</f>
        <v>#REF!</v>
      </c>
      <c r="X1791" s="69" t="e" cm="1">
        <f t="array" ref="X1791">_xlfn.XLOOKUP(Table1[[#This Row],[5 cm2 cell test code]:[5 cm2 cell test code]],[1]!Table1[[Test code]:[Test code]],[1]!Table1[i @ 1.8 V 10 mM KOH (A/cm2)],"",0)</f>
        <v>#REF!</v>
      </c>
      <c r="Y1791" s="69" t="e" cm="1">
        <f t="array" ref="Y1791">_xlfn.XLOOKUP(Table1[[#This Row],[5 cm2 cell test code]:[5 cm2 cell test code]],[1]!Table1[[Test code]:[Test code]],[1]!Table1[3-E ƞ at 20mAcm-2 (mV)],"",0)</f>
        <v>#REF!</v>
      </c>
      <c r="Z1791" s="69" t="e" cm="1">
        <f t="array" ref="Z1791">_xlfn.XLOOKUP(Table1[[#This Row],[5 cm2 cell test code]:[5 cm2 cell test code]],[1]!Table1[[Test code]:[Test code]],[1]!Table1[3-E Tafel slope (mV/dec)],"",0)</f>
        <v>#REF!</v>
      </c>
      <c r="AA1791" s="69" t="e" cm="1">
        <f t="array" ref="AA1791">_xlfn.XLOOKUP(Table1[[#This Row],[5 cm2 cell test code]:[5 cm2 cell test code]],[1]!Table1[[Test code]:[Test code]],[1]!Table1[E @ 100 mA/cm2 DIW/V],"",0)</f>
        <v>#REF!</v>
      </c>
      <c r="AB1791" s="69" t="e" cm="1">
        <f t="array" ref="AB1791">_xlfn.XLOOKUP(Table1[[#This Row],[5 cm2 cell test code]:[5 cm2 cell test code]],[1]!Table1[[Test code]:[Test code]],[1]!Table1[E @ 100 mA/cm2 10 mM KOH/V],"",0)</f>
        <v>#REF!</v>
      </c>
      <c r="AC1791" s="69" t="e" cm="1">
        <f t="array" ref="AC1791">_xlfn.XLOOKUP(Table1[[#This Row],[5 cm2 cell test code]:[5 cm2 cell test code]],[1]!Table1[[Test code]:[Test code]],[1]!Table1[Anode ICR/mOhm],"",0)</f>
        <v>#REF!</v>
      </c>
      <c r="AD1791" s="69" t="e" cm="1">
        <f t="array" ref="AD1791">_xlfn.XLOOKUP(Table1[[#This Row],[5 cm2 cell test code]:[5 cm2 cell test code]],[1]!Table1[[Test code]:[Test code]],[1]!Table1[HFR DIW/ mOhm cm2],"",0)</f>
        <v>#REF!</v>
      </c>
      <c r="AE1791" s="69" t="e" cm="1">
        <f t="array" ref="AE1791">_xlfn.XLOOKUP(Table1[[#This Row],[5 cm2 cell test code]:[5 cm2 cell test code]],[1]!Table1[[Test code]:[Test code]],[1]!Table1[HFR 10 mM KOH/ mOhm cm2],"",0)</f>
        <v>#REF!</v>
      </c>
      <c r="AF1791" s="69" t="e" cm="1">
        <f t="array" ref="AF1791">_xlfn.XLOOKUP(Table1[[#This Row],[5 cm2 cell test code]:[5 cm2 cell test code]],[1]!Table1[[Test code]:[Test code]],[1]!Table1[Ionic resistance DIW/Ohm cm2],"",0)</f>
        <v>#REF!</v>
      </c>
      <c r="AG1791" s="69" t="e" cm="1">
        <f t="array" ref="AG1791">_xlfn.XLOOKUP(Table1[[#This Row],[5 cm2 cell test code]:[5 cm2 cell test code]],[1]!Table1[[Test code]:[Test code]],[1]!Table1[Q_int_frac DIW],"",0)</f>
        <v>#REF!</v>
      </c>
      <c r="AH1791" s="69" t="e" cm="1">
        <f t="array" ref="AH1791">_xlfn.XLOOKUP(Table1[[#This Row],[5 cm2 cell test code]:[5 cm2 cell test code]],[1]!Table1[[Test code]:[Test code]],[1]!Table1[Ionic resistance 10 mM KOH/Ohm cm2],"",0)</f>
        <v>#REF!</v>
      </c>
      <c r="AI1791" s="69" t="e" cm="1">
        <f t="array" ref="AI1791">_xlfn.XLOOKUP(Table1[[#This Row],[5 cm2 cell test code]:[5 cm2 cell test code]],[1]!Table1[[Test code]:[Test code]],[1]!Table1[Q_int_frac DIW 10 mM KOH],"",0)</f>
        <v>#REF!</v>
      </c>
      <c r="AJ1791" s="69" t="e" cm="1">
        <f t="array" ref="AJ1791">_xlfn.XLOOKUP(Table1[[#This Row],[5 cm2 cell test code]:[5 cm2 cell test code]],[1]!Table1[[Test code]:[Test code]],[1]!Table1[DIW conductivity (µS/cm)],"",0)</f>
        <v>#REF!</v>
      </c>
    </row>
    <row r="1792" spans="1:36">
      <c r="A1792" s="81"/>
      <c r="U1792" s="101"/>
      <c r="V1792" s="101"/>
      <c r="W1792" s="69" t="e" cm="1">
        <f t="array" ref="W1792">_xlfn.XLOOKUP(Table1[[#This Row],[5 cm2 cell test code]:[5 cm2 cell test code]],[1]!Table1[[Test code]:[Test code]],[1]!Table1[i @ 1.8 V DIW (A/cm2)],"",0)</f>
        <v>#REF!</v>
      </c>
      <c r="X1792" s="69" t="e" cm="1">
        <f t="array" ref="X1792">_xlfn.XLOOKUP(Table1[[#This Row],[5 cm2 cell test code]:[5 cm2 cell test code]],[1]!Table1[[Test code]:[Test code]],[1]!Table1[i @ 1.8 V 10 mM KOH (A/cm2)],"",0)</f>
        <v>#REF!</v>
      </c>
      <c r="Y1792" s="69" t="e" cm="1">
        <f t="array" ref="Y1792">_xlfn.XLOOKUP(Table1[[#This Row],[5 cm2 cell test code]:[5 cm2 cell test code]],[1]!Table1[[Test code]:[Test code]],[1]!Table1[3-E ƞ at 20mAcm-2 (mV)],"",0)</f>
        <v>#REF!</v>
      </c>
      <c r="Z1792" s="69" t="e" cm="1">
        <f t="array" ref="Z1792">_xlfn.XLOOKUP(Table1[[#This Row],[5 cm2 cell test code]:[5 cm2 cell test code]],[1]!Table1[[Test code]:[Test code]],[1]!Table1[3-E Tafel slope (mV/dec)],"",0)</f>
        <v>#REF!</v>
      </c>
      <c r="AA1792" s="69" t="e" cm="1">
        <f t="array" ref="AA1792">_xlfn.XLOOKUP(Table1[[#This Row],[5 cm2 cell test code]:[5 cm2 cell test code]],[1]!Table1[[Test code]:[Test code]],[1]!Table1[E @ 100 mA/cm2 DIW/V],"",0)</f>
        <v>#REF!</v>
      </c>
      <c r="AB1792" s="69" t="e" cm="1">
        <f t="array" ref="AB1792">_xlfn.XLOOKUP(Table1[[#This Row],[5 cm2 cell test code]:[5 cm2 cell test code]],[1]!Table1[[Test code]:[Test code]],[1]!Table1[E @ 100 mA/cm2 10 mM KOH/V],"",0)</f>
        <v>#REF!</v>
      </c>
      <c r="AC1792" s="69" t="e" cm="1">
        <f t="array" ref="AC1792">_xlfn.XLOOKUP(Table1[[#This Row],[5 cm2 cell test code]:[5 cm2 cell test code]],[1]!Table1[[Test code]:[Test code]],[1]!Table1[Anode ICR/mOhm],"",0)</f>
        <v>#REF!</v>
      </c>
      <c r="AD1792" s="69" t="e" cm="1">
        <f t="array" ref="AD1792">_xlfn.XLOOKUP(Table1[[#This Row],[5 cm2 cell test code]:[5 cm2 cell test code]],[1]!Table1[[Test code]:[Test code]],[1]!Table1[HFR DIW/ mOhm cm2],"",0)</f>
        <v>#REF!</v>
      </c>
      <c r="AE1792" s="69" t="e" cm="1">
        <f t="array" ref="AE1792">_xlfn.XLOOKUP(Table1[[#This Row],[5 cm2 cell test code]:[5 cm2 cell test code]],[1]!Table1[[Test code]:[Test code]],[1]!Table1[HFR 10 mM KOH/ mOhm cm2],"",0)</f>
        <v>#REF!</v>
      </c>
      <c r="AF1792" s="69" t="e" cm="1">
        <f t="array" ref="AF1792">_xlfn.XLOOKUP(Table1[[#This Row],[5 cm2 cell test code]:[5 cm2 cell test code]],[1]!Table1[[Test code]:[Test code]],[1]!Table1[Ionic resistance DIW/Ohm cm2],"",0)</f>
        <v>#REF!</v>
      </c>
      <c r="AG1792" s="69" t="e" cm="1">
        <f t="array" ref="AG1792">_xlfn.XLOOKUP(Table1[[#This Row],[5 cm2 cell test code]:[5 cm2 cell test code]],[1]!Table1[[Test code]:[Test code]],[1]!Table1[Q_int_frac DIW],"",0)</f>
        <v>#REF!</v>
      </c>
      <c r="AH1792" s="69" t="e" cm="1">
        <f t="array" ref="AH1792">_xlfn.XLOOKUP(Table1[[#This Row],[5 cm2 cell test code]:[5 cm2 cell test code]],[1]!Table1[[Test code]:[Test code]],[1]!Table1[Ionic resistance 10 mM KOH/Ohm cm2],"",0)</f>
        <v>#REF!</v>
      </c>
      <c r="AI1792" s="69" t="e" cm="1">
        <f t="array" ref="AI1792">_xlfn.XLOOKUP(Table1[[#This Row],[5 cm2 cell test code]:[5 cm2 cell test code]],[1]!Table1[[Test code]:[Test code]],[1]!Table1[Q_int_frac DIW 10 mM KOH],"",0)</f>
        <v>#REF!</v>
      </c>
      <c r="AJ1792" s="69" t="e" cm="1">
        <f t="array" ref="AJ1792">_xlfn.XLOOKUP(Table1[[#This Row],[5 cm2 cell test code]:[5 cm2 cell test code]],[1]!Table1[[Test code]:[Test code]],[1]!Table1[DIW conductivity (µS/cm)],"",0)</f>
        <v>#REF!</v>
      </c>
    </row>
    <row r="1793" spans="1:36">
      <c r="A1793" s="81"/>
      <c r="U1793" s="101"/>
      <c r="V1793" s="101"/>
      <c r="W1793" s="69" t="e" cm="1">
        <f t="array" ref="W1793">_xlfn.XLOOKUP(Table1[[#This Row],[5 cm2 cell test code]:[5 cm2 cell test code]],[1]!Table1[[Test code]:[Test code]],[1]!Table1[i @ 1.8 V DIW (A/cm2)],"",0)</f>
        <v>#REF!</v>
      </c>
      <c r="X1793" s="69" t="e" cm="1">
        <f t="array" ref="X1793">_xlfn.XLOOKUP(Table1[[#This Row],[5 cm2 cell test code]:[5 cm2 cell test code]],[1]!Table1[[Test code]:[Test code]],[1]!Table1[i @ 1.8 V 10 mM KOH (A/cm2)],"",0)</f>
        <v>#REF!</v>
      </c>
      <c r="Y1793" s="69" t="e" cm="1">
        <f t="array" ref="Y1793">_xlfn.XLOOKUP(Table1[[#This Row],[5 cm2 cell test code]:[5 cm2 cell test code]],[1]!Table1[[Test code]:[Test code]],[1]!Table1[3-E ƞ at 20mAcm-2 (mV)],"",0)</f>
        <v>#REF!</v>
      </c>
      <c r="Z1793" s="69" t="e" cm="1">
        <f t="array" ref="Z1793">_xlfn.XLOOKUP(Table1[[#This Row],[5 cm2 cell test code]:[5 cm2 cell test code]],[1]!Table1[[Test code]:[Test code]],[1]!Table1[3-E Tafel slope (mV/dec)],"",0)</f>
        <v>#REF!</v>
      </c>
      <c r="AA1793" s="69" t="e" cm="1">
        <f t="array" ref="AA1793">_xlfn.XLOOKUP(Table1[[#This Row],[5 cm2 cell test code]:[5 cm2 cell test code]],[1]!Table1[[Test code]:[Test code]],[1]!Table1[E @ 100 mA/cm2 DIW/V],"",0)</f>
        <v>#REF!</v>
      </c>
      <c r="AB1793" s="69" t="e" cm="1">
        <f t="array" ref="AB1793">_xlfn.XLOOKUP(Table1[[#This Row],[5 cm2 cell test code]:[5 cm2 cell test code]],[1]!Table1[[Test code]:[Test code]],[1]!Table1[E @ 100 mA/cm2 10 mM KOH/V],"",0)</f>
        <v>#REF!</v>
      </c>
      <c r="AC1793" s="69" t="e" cm="1">
        <f t="array" ref="AC1793">_xlfn.XLOOKUP(Table1[[#This Row],[5 cm2 cell test code]:[5 cm2 cell test code]],[1]!Table1[[Test code]:[Test code]],[1]!Table1[Anode ICR/mOhm],"",0)</f>
        <v>#REF!</v>
      </c>
      <c r="AD1793" s="69" t="e" cm="1">
        <f t="array" ref="AD1793">_xlfn.XLOOKUP(Table1[[#This Row],[5 cm2 cell test code]:[5 cm2 cell test code]],[1]!Table1[[Test code]:[Test code]],[1]!Table1[HFR DIW/ mOhm cm2],"",0)</f>
        <v>#REF!</v>
      </c>
      <c r="AE1793" s="69" t="e" cm="1">
        <f t="array" ref="AE1793">_xlfn.XLOOKUP(Table1[[#This Row],[5 cm2 cell test code]:[5 cm2 cell test code]],[1]!Table1[[Test code]:[Test code]],[1]!Table1[HFR 10 mM KOH/ mOhm cm2],"",0)</f>
        <v>#REF!</v>
      </c>
      <c r="AF1793" s="69" t="e" cm="1">
        <f t="array" ref="AF1793">_xlfn.XLOOKUP(Table1[[#This Row],[5 cm2 cell test code]:[5 cm2 cell test code]],[1]!Table1[[Test code]:[Test code]],[1]!Table1[Ionic resistance DIW/Ohm cm2],"",0)</f>
        <v>#REF!</v>
      </c>
      <c r="AG1793" s="69" t="e" cm="1">
        <f t="array" ref="AG1793">_xlfn.XLOOKUP(Table1[[#This Row],[5 cm2 cell test code]:[5 cm2 cell test code]],[1]!Table1[[Test code]:[Test code]],[1]!Table1[Q_int_frac DIW],"",0)</f>
        <v>#REF!</v>
      </c>
      <c r="AH1793" s="69" t="e" cm="1">
        <f t="array" ref="AH1793">_xlfn.XLOOKUP(Table1[[#This Row],[5 cm2 cell test code]:[5 cm2 cell test code]],[1]!Table1[[Test code]:[Test code]],[1]!Table1[Ionic resistance 10 mM KOH/Ohm cm2],"",0)</f>
        <v>#REF!</v>
      </c>
      <c r="AI1793" s="69" t="e" cm="1">
        <f t="array" ref="AI1793">_xlfn.XLOOKUP(Table1[[#This Row],[5 cm2 cell test code]:[5 cm2 cell test code]],[1]!Table1[[Test code]:[Test code]],[1]!Table1[Q_int_frac DIW 10 mM KOH],"",0)</f>
        <v>#REF!</v>
      </c>
      <c r="AJ1793" s="69" t="e" cm="1">
        <f t="array" ref="AJ1793">_xlfn.XLOOKUP(Table1[[#This Row],[5 cm2 cell test code]:[5 cm2 cell test code]],[1]!Table1[[Test code]:[Test code]],[1]!Table1[DIW conductivity (µS/cm)],"",0)</f>
        <v>#REF!</v>
      </c>
    </row>
    <row r="1794" spans="1:36">
      <c r="A1794" s="81"/>
      <c r="U1794" s="101"/>
      <c r="V1794" s="101"/>
      <c r="W1794" s="69" t="e" cm="1">
        <f t="array" ref="W1794">_xlfn.XLOOKUP(Table1[[#This Row],[5 cm2 cell test code]:[5 cm2 cell test code]],[1]!Table1[[Test code]:[Test code]],[1]!Table1[i @ 1.8 V DIW (A/cm2)],"",0)</f>
        <v>#REF!</v>
      </c>
      <c r="X1794" s="69" t="e" cm="1">
        <f t="array" ref="X1794">_xlfn.XLOOKUP(Table1[[#This Row],[5 cm2 cell test code]:[5 cm2 cell test code]],[1]!Table1[[Test code]:[Test code]],[1]!Table1[i @ 1.8 V 10 mM KOH (A/cm2)],"",0)</f>
        <v>#REF!</v>
      </c>
      <c r="Y1794" s="69" t="e" cm="1">
        <f t="array" ref="Y1794">_xlfn.XLOOKUP(Table1[[#This Row],[5 cm2 cell test code]:[5 cm2 cell test code]],[1]!Table1[[Test code]:[Test code]],[1]!Table1[3-E ƞ at 20mAcm-2 (mV)],"",0)</f>
        <v>#REF!</v>
      </c>
      <c r="Z1794" s="69" t="e" cm="1">
        <f t="array" ref="Z1794">_xlfn.XLOOKUP(Table1[[#This Row],[5 cm2 cell test code]:[5 cm2 cell test code]],[1]!Table1[[Test code]:[Test code]],[1]!Table1[3-E Tafel slope (mV/dec)],"",0)</f>
        <v>#REF!</v>
      </c>
      <c r="AA1794" s="69" t="e" cm="1">
        <f t="array" ref="AA1794">_xlfn.XLOOKUP(Table1[[#This Row],[5 cm2 cell test code]:[5 cm2 cell test code]],[1]!Table1[[Test code]:[Test code]],[1]!Table1[E @ 100 mA/cm2 DIW/V],"",0)</f>
        <v>#REF!</v>
      </c>
      <c r="AB1794" s="69" t="e" cm="1">
        <f t="array" ref="AB1794">_xlfn.XLOOKUP(Table1[[#This Row],[5 cm2 cell test code]:[5 cm2 cell test code]],[1]!Table1[[Test code]:[Test code]],[1]!Table1[E @ 100 mA/cm2 10 mM KOH/V],"",0)</f>
        <v>#REF!</v>
      </c>
      <c r="AC1794" s="69" t="e" cm="1">
        <f t="array" ref="AC1794">_xlfn.XLOOKUP(Table1[[#This Row],[5 cm2 cell test code]:[5 cm2 cell test code]],[1]!Table1[[Test code]:[Test code]],[1]!Table1[Anode ICR/mOhm],"",0)</f>
        <v>#REF!</v>
      </c>
      <c r="AD1794" s="69" t="e" cm="1">
        <f t="array" ref="AD1794">_xlfn.XLOOKUP(Table1[[#This Row],[5 cm2 cell test code]:[5 cm2 cell test code]],[1]!Table1[[Test code]:[Test code]],[1]!Table1[HFR DIW/ mOhm cm2],"",0)</f>
        <v>#REF!</v>
      </c>
      <c r="AE1794" s="69" t="e" cm="1">
        <f t="array" ref="AE1794">_xlfn.XLOOKUP(Table1[[#This Row],[5 cm2 cell test code]:[5 cm2 cell test code]],[1]!Table1[[Test code]:[Test code]],[1]!Table1[HFR 10 mM KOH/ mOhm cm2],"",0)</f>
        <v>#REF!</v>
      </c>
      <c r="AF1794" s="69" t="e" cm="1">
        <f t="array" ref="AF1794">_xlfn.XLOOKUP(Table1[[#This Row],[5 cm2 cell test code]:[5 cm2 cell test code]],[1]!Table1[[Test code]:[Test code]],[1]!Table1[Ionic resistance DIW/Ohm cm2],"",0)</f>
        <v>#REF!</v>
      </c>
      <c r="AG1794" s="69" t="e" cm="1">
        <f t="array" ref="AG1794">_xlfn.XLOOKUP(Table1[[#This Row],[5 cm2 cell test code]:[5 cm2 cell test code]],[1]!Table1[[Test code]:[Test code]],[1]!Table1[Q_int_frac DIW],"",0)</f>
        <v>#REF!</v>
      </c>
      <c r="AH1794" s="69" t="e" cm="1">
        <f t="array" ref="AH1794">_xlfn.XLOOKUP(Table1[[#This Row],[5 cm2 cell test code]:[5 cm2 cell test code]],[1]!Table1[[Test code]:[Test code]],[1]!Table1[Ionic resistance 10 mM KOH/Ohm cm2],"",0)</f>
        <v>#REF!</v>
      </c>
      <c r="AI1794" s="69" t="e" cm="1">
        <f t="array" ref="AI1794">_xlfn.XLOOKUP(Table1[[#This Row],[5 cm2 cell test code]:[5 cm2 cell test code]],[1]!Table1[[Test code]:[Test code]],[1]!Table1[Q_int_frac DIW 10 mM KOH],"",0)</f>
        <v>#REF!</v>
      </c>
      <c r="AJ1794" s="69" t="e" cm="1">
        <f t="array" ref="AJ1794">_xlfn.XLOOKUP(Table1[[#This Row],[5 cm2 cell test code]:[5 cm2 cell test code]],[1]!Table1[[Test code]:[Test code]],[1]!Table1[DIW conductivity (µS/cm)],"",0)</f>
        <v>#REF!</v>
      </c>
    </row>
    <row r="1795" spans="1:36">
      <c r="A1795" s="81"/>
      <c r="U1795" s="101"/>
      <c r="V1795" s="101"/>
      <c r="W1795" s="69" t="e" cm="1">
        <f t="array" ref="W1795">_xlfn.XLOOKUP(Table1[[#This Row],[5 cm2 cell test code]:[5 cm2 cell test code]],[1]!Table1[[Test code]:[Test code]],[1]!Table1[i @ 1.8 V DIW (A/cm2)],"",0)</f>
        <v>#REF!</v>
      </c>
      <c r="X1795" s="69" t="e" cm="1">
        <f t="array" ref="X1795">_xlfn.XLOOKUP(Table1[[#This Row],[5 cm2 cell test code]:[5 cm2 cell test code]],[1]!Table1[[Test code]:[Test code]],[1]!Table1[i @ 1.8 V 10 mM KOH (A/cm2)],"",0)</f>
        <v>#REF!</v>
      </c>
      <c r="Y1795" s="69" t="e" cm="1">
        <f t="array" ref="Y1795">_xlfn.XLOOKUP(Table1[[#This Row],[5 cm2 cell test code]:[5 cm2 cell test code]],[1]!Table1[[Test code]:[Test code]],[1]!Table1[3-E ƞ at 20mAcm-2 (mV)],"",0)</f>
        <v>#REF!</v>
      </c>
      <c r="Z1795" s="69" t="e" cm="1">
        <f t="array" ref="Z1795">_xlfn.XLOOKUP(Table1[[#This Row],[5 cm2 cell test code]:[5 cm2 cell test code]],[1]!Table1[[Test code]:[Test code]],[1]!Table1[3-E Tafel slope (mV/dec)],"",0)</f>
        <v>#REF!</v>
      </c>
      <c r="AA1795" s="69" t="e" cm="1">
        <f t="array" ref="AA1795">_xlfn.XLOOKUP(Table1[[#This Row],[5 cm2 cell test code]:[5 cm2 cell test code]],[1]!Table1[[Test code]:[Test code]],[1]!Table1[E @ 100 mA/cm2 DIW/V],"",0)</f>
        <v>#REF!</v>
      </c>
      <c r="AB1795" s="69" t="e" cm="1">
        <f t="array" ref="AB1795">_xlfn.XLOOKUP(Table1[[#This Row],[5 cm2 cell test code]:[5 cm2 cell test code]],[1]!Table1[[Test code]:[Test code]],[1]!Table1[E @ 100 mA/cm2 10 mM KOH/V],"",0)</f>
        <v>#REF!</v>
      </c>
      <c r="AC1795" s="69" t="e" cm="1">
        <f t="array" ref="AC1795">_xlfn.XLOOKUP(Table1[[#This Row],[5 cm2 cell test code]:[5 cm2 cell test code]],[1]!Table1[[Test code]:[Test code]],[1]!Table1[Anode ICR/mOhm],"",0)</f>
        <v>#REF!</v>
      </c>
      <c r="AD1795" s="69" t="e" cm="1">
        <f t="array" ref="AD1795">_xlfn.XLOOKUP(Table1[[#This Row],[5 cm2 cell test code]:[5 cm2 cell test code]],[1]!Table1[[Test code]:[Test code]],[1]!Table1[HFR DIW/ mOhm cm2],"",0)</f>
        <v>#REF!</v>
      </c>
      <c r="AE1795" s="69" t="e" cm="1">
        <f t="array" ref="AE1795">_xlfn.XLOOKUP(Table1[[#This Row],[5 cm2 cell test code]:[5 cm2 cell test code]],[1]!Table1[[Test code]:[Test code]],[1]!Table1[HFR 10 mM KOH/ mOhm cm2],"",0)</f>
        <v>#REF!</v>
      </c>
      <c r="AF1795" s="69" t="e" cm="1">
        <f t="array" ref="AF1795">_xlfn.XLOOKUP(Table1[[#This Row],[5 cm2 cell test code]:[5 cm2 cell test code]],[1]!Table1[[Test code]:[Test code]],[1]!Table1[Ionic resistance DIW/Ohm cm2],"",0)</f>
        <v>#REF!</v>
      </c>
      <c r="AG1795" s="69" t="e" cm="1">
        <f t="array" ref="AG1795">_xlfn.XLOOKUP(Table1[[#This Row],[5 cm2 cell test code]:[5 cm2 cell test code]],[1]!Table1[[Test code]:[Test code]],[1]!Table1[Q_int_frac DIW],"",0)</f>
        <v>#REF!</v>
      </c>
      <c r="AH1795" s="69" t="e" cm="1">
        <f t="array" ref="AH1795">_xlfn.XLOOKUP(Table1[[#This Row],[5 cm2 cell test code]:[5 cm2 cell test code]],[1]!Table1[[Test code]:[Test code]],[1]!Table1[Ionic resistance 10 mM KOH/Ohm cm2],"",0)</f>
        <v>#REF!</v>
      </c>
      <c r="AI1795" s="69" t="e" cm="1">
        <f t="array" ref="AI1795">_xlfn.XLOOKUP(Table1[[#This Row],[5 cm2 cell test code]:[5 cm2 cell test code]],[1]!Table1[[Test code]:[Test code]],[1]!Table1[Q_int_frac DIW 10 mM KOH],"",0)</f>
        <v>#REF!</v>
      </c>
      <c r="AJ1795" s="69" t="e" cm="1">
        <f t="array" ref="AJ1795">_xlfn.XLOOKUP(Table1[[#This Row],[5 cm2 cell test code]:[5 cm2 cell test code]],[1]!Table1[[Test code]:[Test code]],[1]!Table1[DIW conductivity (µS/cm)],"",0)</f>
        <v>#REF!</v>
      </c>
    </row>
    <row r="1796" spans="1:36">
      <c r="A1796" s="81"/>
      <c r="U1796" s="101"/>
      <c r="V1796" s="101"/>
      <c r="W1796" s="69" t="e" cm="1">
        <f t="array" ref="W1796">_xlfn.XLOOKUP(Table1[[#This Row],[5 cm2 cell test code]:[5 cm2 cell test code]],[1]!Table1[[Test code]:[Test code]],[1]!Table1[i @ 1.8 V DIW (A/cm2)],"",0)</f>
        <v>#REF!</v>
      </c>
      <c r="X1796" s="69" t="e" cm="1">
        <f t="array" ref="X1796">_xlfn.XLOOKUP(Table1[[#This Row],[5 cm2 cell test code]:[5 cm2 cell test code]],[1]!Table1[[Test code]:[Test code]],[1]!Table1[i @ 1.8 V 10 mM KOH (A/cm2)],"",0)</f>
        <v>#REF!</v>
      </c>
      <c r="Y1796" s="69" t="e" cm="1">
        <f t="array" ref="Y1796">_xlfn.XLOOKUP(Table1[[#This Row],[5 cm2 cell test code]:[5 cm2 cell test code]],[1]!Table1[[Test code]:[Test code]],[1]!Table1[3-E ƞ at 20mAcm-2 (mV)],"",0)</f>
        <v>#REF!</v>
      </c>
      <c r="Z1796" s="69" t="e" cm="1">
        <f t="array" ref="Z1796">_xlfn.XLOOKUP(Table1[[#This Row],[5 cm2 cell test code]:[5 cm2 cell test code]],[1]!Table1[[Test code]:[Test code]],[1]!Table1[3-E Tafel slope (mV/dec)],"",0)</f>
        <v>#REF!</v>
      </c>
      <c r="AA1796" s="69" t="e" cm="1">
        <f t="array" ref="AA1796">_xlfn.XLOOKUP(Table1[[#This Row],[5 cm2 cell test code]:[5 cm2 cell test code]],[1]!Table1[[Test code]:[Test code]],[1]!Table1[E @ 100 mA/cm2 DIW/V],"",0)</f>
        <v>#REF!</v>
      </c>
      <c r="AB1796" s="69" t="e" cm="1">
        <f t="array" ref="AB1796">_xlfn.XLOOKUP(Table1[[#This Row],[5 cm2 cell test code]:[5 cm2 cell test code]],[1]!Table1[[Test code]:[Test code]],[1]!Table1[E @ 100 mA/cm2 10 mM KOH/V],"",0)</f>
        <v>#REF!</v>
      </c>
      <c r="AC1796" s="69" t="e" cm="1">
        <f t="array" ref="AC1796">_xlfn.XLOOKUP(Table1[[#This Row],[5 cm2 cell test code]:[5 cm2 cell test code]],[1]!Table1[[Test code]:[Test code]],[1]!Table1[Anode ICR/mOhm],"",0)</f>
        <v>#REF!</v>
      </c>
      <c r="AD1796" s="69" t="e" cm="1">
        <f t="array" ref="AD1796">_xlfn.XLOOKUP(Table1[[#This Row],[5 cm2 cell test code]:[5 cm2 cell test code]],[1]!Table1[[Test code]:[Test code]],[1]!Table1[HFR DIW/ mOhm cm2],"",0)</f>
        <v>#REF!</v>
      </c>
      <c r="AE1796" s="69" t="e" cm="1">
        <f t="array" ref="AE1796">_xlfn.XLOOKUP(Table1[[#This Row],[5 cm2 cell test code]:[5 cm2 cell test code]],[1]!Table1[[Test code]:[Test code]],[1]!Table1[HFR 10 mM KOH/ mOhm cm2],"",0)</f>
        <v>#REF!</v>
      </c>
      <c r="AF1796" s="69" t="e" cm="1">
        <f t="array" ref="AF1796">_xlfn.XLOOKUP(Table1[[#This Row],[5 cm2 cell test code]:[5 cm2 cell test code]],[1]!Table1[[Test code]:[Test code]],[1]!Table1[Ionic resistance DIW/Ohm cm2],"",0)</f>
        <v>#REF!</v>
      </c>
      <c r="AG1796" s="69" t="e" cm="1">
        <f t="array" ref="AG1796">_xlfn.XLOOKUP(Table1[[#This Row],[5 cm2 cell test code]:[5 cm2 cell test code]],[1]!Table1[[Test code]:[Test code]],[1]!Table1[Q_int_frac DIW],"",0)</f>
        <v>#REF!</v>
      </c>
      <c r="AH1796" s="69" t="e" cm="1">
        <f t="array" ref="AH1796">_xlfn.XLOOKUP(Table1[[#This Row],[5 cm2 cell test code]:[5 cm2 cell test code]],[1]!Table1[[Test code]:[Test code]],[1]!Table1[Ionic resistance 10 mM KOH/Ohm cm2],"",0)</f>
        <v>#REF!</v>
      </c>
      <c r="AI1796" s="69" t="e" cm="1">
        <f t="array" ref="AI1796">_xlfn.XLOOKUP(Table1[[#This Row],[5 cm2 cell test code]:[5 cm2 cell test code]],[1]!Table1[[Test code]:[Test code]],[1]!Table1[Q_int_frac DIW 10 mM KOH],"",0)</f>
        <v>#REF!</v>
      </c>
      <c r="AJ1796" s="69" t="e" cm="1">
        <f t="array" ref="AJ1796">_xlfn.XLOOKUP(Table1[[#This Row],[5 cm2 cell test code]:[5 cm2 cell test code]],[1]!Table1[[Test code]:[Test code]],[1]!Table1[DIW conductivity (µS/cm)],"",0)</f>
        <v>#REF!</v>
      </c>
    </row>
    <row r="1797" spans="1:36">
      <c r="A1797" s="81"/>
      <c r="U1797" s="101"/>
      <c r="V1797" s="101"/>
      <c r="W1797" s="69" t="e" cm="1">
        <f t="array" ref="W1797">_xlfn.XLOOKUP(Table1[[#This Row],[5 cm2 cell test code]:[5 cm2 cell test code]],[1]!Table1[[Test code]:[Test code]],[1]!Table1[i @ 1.8 V DIW (A/cm2)],"",0)</f>
        <v>#REF!</v>
      </c>
      <c r="X1797" s="69" t="e" cm="1">
        <f t="array" ref="X1797">_xlfn.XLOOKUP(Table1[[#This Row],[5 cm2 cell test code]:[5 cm2 cell test code]],[1]!Table1[[Test code]:[Test code]],[1]!Table1[i @ 1.8 V 10 mM KOH (A/cm2)],"",0)</f>
        <v>#REF!</v>
      </c>
      <c r="Y1797" s="69" t="e" cm="1">
        <f t="array" ref="Y1797">_xlfn.XLOOKUP(Table1[[#This Row],[5 cm2 cell test code]:[5 cm2 cell test code]],[1]!Table1[[Test code]:[Test code]],[1]!Table1[3-E ƞ at 20mAcm-2 (mV)],"",0)</f>
        <v>#REF!</v>
      </c>
      <c r="Z1797" s="69" t="e" cm="1">
        <f t="array" ref="Z1797">_xlfn.XLOOKUP(Table1[[#This Row],[5 cm2 cell test code]:[5 cm2 cell test code]],[1]!Table1[[Test code]:[Test code]],[1]!Table1[3-E Tafel slope (mV/dec)],"",0)</f>
        <v>#REF!</v>
      </c>
      <c r="AA1797" s="69" t="e" cm="1">
        <f t="array" ref="AA1797">_xlfn.XLOOKUP(Table1[[#This Row],[5 cm2 cell test code]:[5 cm2 cell test code]],[1]!Table1[[Test code]:[Test code]],[1]!Table1[E @ 100 mA/cm2 DIW/V],"",0)</f>
        <v>#REF!</v>
      </c>
      <c r="AB1797" s="69" t="e" cm="1">
        <f t="array" ref="AB1797">_xlfn.XLOOKUP(Table1[[#This Row],[5 cm2 cell test code]:[5 cm2 cell test code]],[1]!Table1[[Test code]:[Test code]],[1]!Table1[E @ 100 mA/cm2 10 mM KOH/V],"",0)</f>
        <v>#REF!</v>
      </c>
      <c r="AC1797" s="69" t="e" cm="1">
        <f t="array" ref="AC1797">_xlfn.XLOOKUP(Table1[[#This Row],[5 cm2 cell test code]:[5 cm2 cell test code]],[1]!Table1[[Test code]:[Test code]],[1]!Table1[Anode ICR/mOhm],"",0)</f>
        <v>#REF!</v>
      </c>
      <c r="AD1797" s="69" t="e" cm="1">
        <f t="array" ref="AD1797">_xlfn.XLOOKUP(Table1[[#This Row],[5 cm2 cell test code]:[5 cm2 cell test code]],[1]!Table1[[Test code]:[Test code]],[1]!Table1[HFR DIW/ mOhm cm2],"",0)</f>
        <v>#REF!</v>
      </c>
      <c r="AE1797" s="69" t="e" cm="1">
        <f t="array" ref="AE1797">_xlfn.XLOOKUP(Table1[[#This Row],[5 cm2 cell test code]:[5 cm2 cell test code]],[1]!Table1[[Test code]:[Test code]],[1]!Table1[HFR 10 mM KOH/ mOhm cm2],"",0)</f>
        <v>#REF!</v>
      </c>
      <c r="AF1797" s="69" t="e" cm="1">
        <f t="array" ref="AF1797">_xlfn.XLOOKUP(Table1[[#This Row],[5 cm2 cell test code]:[5 cm2 cell test code]],[1]!Table1[[Test code]:[Test code]],[1]!Table1[Ionic resistance DIW/Ohm cm2],"",0)</f>
        <v>#REF!</v>
      </c>
      <c r="AG1797" s="69" t="e" cm="1">
        <f t="array" ref="AG1797">_xlfn.XLOOKUP(Table1[[#This Row],[5 cm2 cell test code]:[5 cm2 cell test code]],[1]!Table1[[Test code]:[Test code]],[1]!Table1[Q_int_frac DIW],"",0)</f>
        <v>#REF!</v>
      </c>
      <c r="AH1797" s="69" t="e" cm="1">
        <f t="array" ref="AH1797">_xlfn.XLOOKUP(Table1[[#This Row],[5 cm2 cell test code]:[5 cm2 cell test code]],[1]!Table1[[Test code]:[Test code]],[1]!Table1[Ionic resistance 10 mM KOH/Ohm cm2],"",0)</f>
        <v>#REF!</v>
      </c>
      <c r="AI1797" s="69" t="e" cm="1">
        <f t="array" ref="AI1797">_xlfn.XLOOKUP(Table1[[#This Row],[5 cm2 cell test code]:[5 cm2 cell test code]],[1]!Table1[[Test code]:[Test code]],[1]!Table1[Q_int_frac DIW 10 mM KOH],"",0)</f>
        <v>#REF!</v>
      </c>
      <c r="AJ1797" s="69" t="e" cm="1">
        <f t="array" ref="AJ1797">_xlfn.XLOOKUP(Table1[[#This Row],[5 cm2 cell test code]:[5 cm2 cell test code]],[1]!Table1[[Test code]:[Test code]],[1]!Table1[DIW conductivity (µS/cm)],"",0)</f>
        <v>#REF!</v>
      </c>
    </row>
    <row r="1798" spans="1:36">
      <c r="A1798" s="81"/>
      <c r="U1798" s="101"/>
      <c r="V1798" s="101"/>
      <c r="W1798" s="69" t="e" cm="1">
        <f t="array" ref="W1798">_xlfn.XLOOKUP(Table1[[#This Row],[5 cm2 cell test code]:[5 cm2 cell test code]],[1]!Table1[[Test code]:[Test code]],[1]!Table1[i @ 1.8 V DIW (A/cm2)],"",0)</f>
        <v>#REF!</v>
      </c>
      <c r="X1798" s="69" t="e" cm="1">
        <f t="array" ref="X1798">_xlfn.XLOOKUP(Table1[[#This Row],[5 cm2 cell test code]:[5 cm2 cell test code]],[1]!Table1[[Test code]:[Test code]],[1]!Table1[i @ 1.8 V 10 mM KOH (A/cm2)],"",0)</f>
        <v>#REF!</v>
      </c>
      <c r="Y1798" s="69" t="e" cm="1">
        <f t="array" ref="Y1798">_xlfn.XLOOKUP(Table1[[#This Row],[5 cm2 cell test code]:[5 cm2 cell test code]],[1]!Table1[[Test code]:[Test code]],[1]!Table1[3-E ƞ at 20mAcm-2 (mV)],"",0)</f>
        <v>#REF!</v>
      </c>
      <c r="Z1798" s="69" t="e" cm="1">
        <f t="array" ref="Z1798">_xlfn.XLOOKUP(Table1[[#This Row],[5 cm2 cell test code]:[5 cm2 cell test code]],[1]!Table1[[Test code]:[Test code]],[1]!Table1[3-E Tafel slope (mV/dec)],"",0)</f>
        <v>#REF!</v>
      </c>
      <c r="AA1798" s="69" t="e" cm="1">
        <f t="array" ref="AA1798">_xlfn.XLOOKUP(Table1[[#This Row],[5 cm2 cell test code]:[5 cm2 cell test code]],[1]!Table1[[Test code]:[Test code]],[1]!Table1[E @ 100 mA/cm2 DIW/V],"",0)</f>
        <v>#REF!</v>
      </c>
      <c r="AB1798" s="69" t="e" cm="1">
        <f t="array" ref="AB1798">_xlfn.XLOOKUP(Table1[[#This Row],[5 cm2 cell test code]:[5 cm2 cell test code]],[1]!Table1[[Test code]:[Test code]],[1]!Table1[E @ 100 mA/cm2 10 mM KOH/V],"",0)</f>
        <v>#REF!</v>
      </c>
      <c r="AC1798" s="69" t="e" cm="1">
        <f t="array" ref="AC1798">_xlfn.XLOOKUP(Table1[[#This Row],[5 cm2 cell test code]:[5 cm2 cell test code]],[1]!Table1[[Test code]:[Test code]],[1]!Table1[Anode ICR/mOhm],"",0)</f>
        <v>#REF!</v>
      </c>
      <c r="AD1798" s="69" t="e" cm="1">
        <f t="array" ref="AD1798">_xlfn.XLOOKUP(Table1[[#This Row],[5 cm2 cell test code]:[5 cm2 cell test code]],[1]!Table1[[Test code]:[Test code]],[1]!Table1[HFR DIW/ mOhm cm2],"",0)</f>
        <v>#REF!</v>
      </c>
      <c r="AE1798" s="69" t="e" cm="1">
        <f t="array" ref="AE1798">_xlfn.XLOOKUP(Table1[[#This Row],[5 cm2 cell test code]:[5 cm2 cell test code]],[1]!Table1[[Test code]:[Test code]],[1]!Table1[HFR 10 mM KOH/ mOhm cm2],"",0)</f>
        <v>#REF!</v>
      </c>
      <c r="AF1798" s="69" t="e" cm="1">
        <f t="array" ref="AF1798">_xlfn.XLOOKUP(Table1[[#This Row],[5 cm2 cell test code]:[5 cm2 cell test code]],[1]!Table1[[Test code]:[Test code]],[1]!Table1[Ionic resistance DIW/Ohm cm2],"",0)</f>
        <v>#REF!</v>
      </c>
      <c r="AG1798" s="69" t="e" cm="1">
        <f t="array" ref="AG1798">_xlfn.XLOOKUP(Table1[[#This Row],[5 cm2 cell test code]:[5 cm2 cell test code]],[1]!Table1[[Test code]:[Test code]],[1]!Table1[Q_int_frac DIW],"",0)</f>
        <v>#REF!</v>
      </c>
      <c r="AH1798" s="69" t="e" cm="1">
        <f t="array" ref="AH1798">_xlfn.XLOOKUP(Table1[[#This Row],[5 cm2 cell test code]:[5 cm2 cell test code]],[1]!Table1[[Test code]:[Test code]],[1]!Table1[Ionic resistance 10 mM KOH/Ohm cm2],"",0)</f>
        <v>#REF!</v>
      </c>
      <c r="AI1798" s="69" t="e" cm="1">
        <f t="array" ref="AI1798">_xlfn.XLOOKUP(Table1[[#This Row],[5 cm2 cell test code]:[5 cm2 cell test code]],[1]!Table1[[Test code]:[Test code]],[1]!Table1[Q_int_frac DIW 10 mM KOH],"",0)</f>
        <v>#REF!</v>
      </c>
      <c r="AJ1798" s="69" t="e" cm="1">
        <f t="array" ref="AJ1798">_xlfn.XLOOKUP(Table1[[#This Row],[5 cm2 cell test code]:[5 cm2 cell test code]],[1]!Table1[[Test code]:[Test code]],[1]!Table1[DIW conductivity (µS/cm)],"",0)</f>
        <v>#REF!</v>
      </c>
    </row>
    <row r="1799" spans="1:36">
      <c r="A1799" s="81"/>
      <c r="U1799" s="101"/>
      <c r="V1799" s="101"/>
      <c r="W1799" s="69" t="e" cm="1">
        <f t="array" ref="W1799">_xlfn.XLOOKUP(Table1[[#This Row],[5 cm2 cell test code]:[5 cm2 cell test code]],[1]!Table1[[Test code]:[Test code]],[1]!Table1[i @ 1.8 V DIW (A/cm2)],"",0)</f>
        <v>#REF!</v>
      </c>
      <c r="X1799" s="69" t="e" cm="1">
        <f t="array" ref="X1799">_xlfn.XLOOKUP(Table1[[#This Row],[5 cm2 cell test code]:[5 cm2 cell test code]],[1]!Table1[[Test code]:[Test code]],[1]!Table1[i @ 1.8 V 10 mM KOH (A/cm2)],"",0)</f>
        <v>#REF!</v>
      </c>
      <c r="Y1799" s="69" t="e" cm="1">
        <f t="array" ref="Y1799">_xlfn.XLOOKUP(Table1[[#This Row],[5 cm2 cell test code]:[5 cm2 cell test code]],[1]!Table1[[Test code]:[Test code]],[1]!Table1[3-E ƞ at 20mAcm-2 (mV)],"",0)</f>
        <v>#REF!</v>
      </c>
      <c r="Z1799" s="69" t="e" cm="1">
        <f t="array" ref="Z1799">_xlfn.XLOOKUP(Table1[[#This Row],[5 cm2 cell test code]:[5 cm2 cell test code]],[1]!Table1[[Test code]:[Test code]],[1]!Table1[3-E Tafel slope (mV/dec)],"",0)</f>
        <v>#REF!</v>
      </c>
      <c r="AA1799" s="69" t="e" cm="1">
        <f t="array" ref="AA1799">_xlfn.XLOOKUP(Table1[[#This Row],[5 cm2 cell test code]:[5 cm2 cell test code]],[1]!Table1[[Test code]:[Test code]],[1]!Table1[E @ 100 mA/cm2 DIW/V],"",0)</f>
        <v>#REF!</v>
      </c>
      <c r="AB1799" s="69" t="e" cm="1">
        <f t="array" ref="AB1799">_xlfn.XLOOKUP(Table1[[#This Row],[5 cm2 cell test code]:[5 cm2 cell test code]],[1]!Table1[[Test code]:[Test code]],[1]!Table1[E @ 100 mA/cm2 10 mM KOH/V],"",0)</f>
        <v>#REF!</v>
      </c>
      <c r="AC1799" s="69" t="e" cm="1">
        <f t="array" ref="AC1799">_xlfn.XLOOKUP(Table1[[#This Row],[5 cm2 cell test code]:[5 cm2 cell test code]],[1]!Table1[[Test code]:[Test code]],[1]!Table1[Anode ICR/mOhm],"",0)</f>
        <v>#REF!</v>
      </c>
      <c r="AD1799" s="69" t="e" cm="1">
        <f t="array" ref="AD1799">_xlfn.XLOOKUP(Table1[[#This Row],[5 cm2 cell test code]:[5 cm2 cell test code]],[1]!Table1[[Test code]:[Test code]],[1]!Table1[HFR DIW/ mOhm cm2],"",0)</f>
        <v>#REF!</v>
      </c>
      <c r="AE1799" s="69" t="e" cm="1">
        <f t="array" ref="AE1799">_xlfn.XLOOKUP(Table1[[#This Row],[5 cm2 cell test code]:[5 cm2 cell test code]],[1]!Table1[[Test code]:[Test code]],[1]!Table1[HFR 10 mM KOH/ mOhm cm2],"",0)</f>
        <v>#REF!</v>
      </c>
      <c r="AF1799" s="69" t="e" cm="1">
        <f t="array" ref="AF1799">_xlfn.XLOOKUP(Table1[[#This Row],[5 cm2 cell test code]:[5 cm2 cell test code]],[1]!Table1[[Test code]:[Test code]],[1]!Table1[Ionic resistance DIW/Ohm cm2],"",0)</f>
        <v>#REF!</v>
      </c>
      <c r="AG1799" s="69" t="e" cm="1">
        <f t="array" ref="AG1799">_xlfn.XLOOKUP(Table1[[#This Row],[5 cm2 cell test code]:[5 cm2 cell test code]],[1]!Table1[[Test code]:[Test code]],[1]!Table1[Q_int_frac DIW],"",0)</f>
        <v>#REF!</v>
      </c>
      <c r="AH1799" s="69" t="e" cm="1">
        <f t="array" ref="AH1799">_xlfn.XLOOKUP(Table1[[#This Row],[5 cm2 cell test code]:[5 cm2 cell test code]],[1]!Table1[[Test code]:[Test code]],[1]!Table1[Ionic resistance 10 mM KOH/Ohm cm2],"",0)</f>
        <v>#REF!</v>
      </c>
      <c r="AI1799" s="69" t="e" cm="1">
        <f t="array" ref="AI1799">_xlfn.XLOOKUP(Table1[[#This Row],[5 cm2 cell test code]:[5 cm2 cell test code]],[1]!Table1[[Test code]:[Test code]],[1]!Table1[Q_int_frac DIW 10 mM KOH],"",0)</f>
        <v>#REF!</v>
      </c>
      <c r="AJ1799" s="69" t="e" cm="1">
        <f t="array" ref="AJ1799">_xlfn.XLOOKUP(Table1[[#This Row],[5 cm2 cell test code]:[5 cm2 cell test code]],[1]!Table1[[Test code]:[Test code]],[1]!Table1[DIW conductivity (µS/cm)],"",0)</f>
        <v>#REF!</v>
      </c>
    </row>
    <row r="1800" spans="1:36">
      <c r="A1800" s="81"/>
      <c r="U1800" s="101"/>
      <c r="V1800" s="101"/>
      <c r="W1800" s="69" t="e" cm="1">
        <f t="array" ref="W1800">_xlfn.XLOOKUP(Table1[[#This Row],[5 cm2 cell test code]:[5 cm2 cell test code]],[1]!Table1[[Test code]:[Test code]],[1]!Table1[i @ 1.8 V DIW (A/cm2)],"",0)</f>
        <v>#REF!</v>
      </c>
      <c r="X1800" s="69" t="e" cm="1">
        <f t="array" ref="X1800">_xlfn.XLOOKUP(Table1[[#This Row],[5 cm2 cell test code]:[5 cm2 cell test code]],[1]!Table1[[Test code]:[Test code]],[1]!Table1[i @ 1.8 V 10 mM KOH (A/cm2)],"",0)</f>
        <v>#REF!</v>
      </c>
      <c r="Y1800" s="69" t="e" cm="1">
        <f t="array" ref="Y1800">_xlfn.XLOOKUP(Table1[[#This Row],[5 cm2 cell test code]:[5 cm2 cell test code]],[1]!Table1[[Test code]:[Test code]],[1]!Table1[3-E ƞ at 20mAcm-2 (mV)],"",0)</f>
        <v>#REF!</v>
      </c>
      <c r="Z1800" s="69" t="e" cm="1">
        <f t="array" ref="Z1800">_xlfn.XLOOKUP(Table1[[#This Row],[5 cm2 cell test code]:[5 cm2 cell test code]],[1]!Table1[[Test code]:[Test code]],[1]!Table1[3-E Tafel slope (mV/dec)],"",0)</f>
        <v>#REF!</v>
      </c>
      <c r="AA1800" s="69" t="e" cm="1">
        <f t="array" ref="AA1800">_xlfn.XLOOKUP(Table1[[#This Row],[5 cm2 cell test code]:[5 cm2 cell test code]],[1]!Table1[[Test code]:[Test code]],[1]!Table1[E @ 100 mA/cm2 DIW/V],"",0)</f>
        <v>#REF!</v>
      </c>
      <c r="AB1800" s="69" t="e" cm="1">
        <f t="array" ref="AB1800">_xlfn.XLOOKUP(Table1[[#This Row],[5 cm2 cell test code]:[5 cm2 cell test code]],[1]!Table1[[Test code]:[Test code]],[1]!Table1[E @ 100 mA/cm2 10 mM KOH/V],"",0)</f>
        <v>#REF!</v>
      </c>
      <c r="AC1800" s="69" t="e" cm="1">
        <f t="array" ref="AC1800">_xlfn.XLOOKUP(Table1[[#This Row],[5 cm2 cell test code]:[5 cm2 cell test code]],[1]!Table1[[Test code]:[Test code]],[1]!Table1[Anode ICR/mOhm],"",0)</f>
        <v>#REF!</v>
      </c>
      <c r="AD1800" s="69" t="e" cm="1">
        <f t="array" ref="AD1800">_xlfn.XLOOKUP(Table1[[#This Row],[5 cm2 cell test code]:[5 cm2 cell test code]],[1]!Table1[[Test code]:[Test code]],[1]!Table1[HFR DIW/ mOhm cm2],"",0)</f>
        <v>#REF!</v>
      </c>
      <c r="AE1800" s="69" t="e" cm="1">
        <f t="array" ref="AE1800">_xlfn.XLOOKUP(Table1[[#This Row],[5 cm2 cell test code]:[5 cm2 cell test code]],[1]!Table1[[Test code]:[Test code]],[1]!Table1[HFR 10 mM KOH/ mOhm cm2],"",0)</f>
        <v>#REF!</v>
      </c>
      <c r="AF1800" s="69" t="e" cm="1">
        <f t="array" ref="AF1800">_xlfn.XLOOKUP(Table1[[#This Row],[5 cm2 cell test code]:[5 cm2 cell test code]],[1]!Table1[[Test code]:[Test code]],[1]!Table1[Ionic resistance DIW/Ohm cm2],"",0)</f>
        <v>#REF!</v>
      </c>
      <c r="AG1800" s="69" t="e" cm="1">
        <f t="array" ref="AG1800">_xlfn.XLOOKUP(Table1[[#This Row],[5 cm2 cell test code]:[5 cm2 cell test code]],[1]!Table1[[Test code]:[Test code]],[1]!Table1[Q_int_frac DIW],"",0)</f>
        <v>#REF!</v>
      </c>
      <c r="AH1800" s="69" t="e" cm="1">
        <f t="array" ref="AH1800">_xlfn.XLOOKUP(Table1[[#This Row],[5 cm2 cell test code]:[5 cm2 cell test code]],[1]!Table1[[Test code]:[Test code]],[1]!Table1[Ionic resistance 10 mM KOH/Ohm cm2],"",0)</f>
        <v>#REF!</v>
      </c>
      <c r="AI1800" s="69" t="e" cm="1">
        <f t="array" ref="AI1800">_xlfn.XLOOKUP(Table1[[#This Row],[5 cm2 cell test code]:[5 cm2 cell test code]],[1]!Table1[[Test code]:[Test code]],[1]!Table1[Q_int_frac DIW 10 mM KOH],"",0)</f>
        <v>#REF!</v>
      </c>
      <c r="AJ1800" s="69" t="e" cm="1">
        <f t="array" ref="AJ1800">_xlfn.XLOOKUP(Table1[[#This Row],[5 cm2 cell test code]:[5 cm2 cell test code]],[1]!Table1[[Test code]:[Test code]],[1]!Table1[DIW conductivity (µS/cm)],"",0)</f>
        <v>#REF!</v>
      </c>
    </row>
    <row r="1801" spans="1:36">
      <c r="A1801" s="81"/>
      <c r="U1801" s="101"/>
      <c r="V1801" s="101"/>
      <c r="W1801" s="69" t="e" cm="1">
        <f t="array" ref="W1801">_xlfn.XLOOKUP(Table1[[#This Row],[5 cm2 cell test code]:[5 cm2 cell test code]],[1]!Table1[[Test code]:[Test code]],[1]!Table1[i @ 1.8 V DIW (A/cm2)],"",0)</f>
        <v>#REF!</v>
      </c>
      <c r="X1801" s="69" t="e" cm="1">
        <f t="array" ref="X1801">_xlfn.XLOOKUP(Table1[[#This Row],[5 cm2 cell test code]:[5 cm2 cell test code]],[1]!Table1[[Test code]:[Test code]],[1]!Table1[i @ 1.8 V 10 mM KOH (A/cm2)],"",0)</f>
        <v>#REF!</v>
      </c>
      <c r="Y1801" s="69" t="e" cm="1">
        <f t="array" ref="Y1801">_xlfn.XLOOKUP(Table1[[#This Row],[5 cm2 cell test code]:[5 cm2 cell test code]],[1]!Table1[[Test code]:[Test code]],[1]!Table1[3-E ƞ at 20mAcm-2 (mV)],"",0)</f>
        <v>#REF!</v>
      </c>
      <c r="Z1801" s="69" t="e" cm="1">
        <f t="array" ref="Z1801">_xlfn.XLOOKUP(Table1[[#This Row],[5 cm2 cell test code]:[5 cm2 cell test code]],[1]!Table1[[Test code]:[Test code]],[1]!Table1[3-E Tafel slope (mV/dec)],"",0)</f>
        <v>#REF!</v>
      </c>
      <c r="AA1801" s="69" t="e" cm="1">
        <f t="array" ref="AA1801">_xlfn.XLOOKUP(Table1[[#This Row],[5 cm2 cell test code]:[5 cm2 cell test code]],[1]!Table1[[Test code]:[Test code]],[1]!Table1[E @ 100 mA/cm2 DIW/V],"",0)</f>
        <v>#REF!</v>
      </c>
      <c r="AB1801" s="69" t="e" cm="1">
        <f t="array" ref="AB1801">_xlfn.XLOOKUP(Table1[[#This Row],[5 cm2 cell test code]:[5 cm2 cell test code]],[1]!Table1[[Test code]:[Test code]],[1]!Table1[E @ 100 mA/cm2 10 mM KOH/V],"",0)</f>
        <v>#REF!</v>
      </c>
      <c r="AC1801" s="69" t="e" cm="1">
        <f t="array" ref="AC1801">_xlfn.XLOOKUP(Table1[[#This Row],[5 cm2 cell test code]:[5 cm2 cell test code]],[1]!Table1[[Test code]:[Test code]],[1]!Table1[Anode ICR/mOhm],"",0)</f>
        <v>#REF!</v>
      </c>
      <c r="AD1801" s="69" t="e" cm="1">
        <f t="array" ref="AD1801">_xlfn.XLOOKUP(Table1[[#This Row],[5 cm2 cell test code]:[5 cm2 cell test code]],[1]!Table1[[Test code]:[Test code]],[1]!Table1[HFR DIW/ mOhm cm2],"",0)</f>
        <v>#REF!</v>
      </c>
      <c r="AE1801" s="69" t="e" cm="1">
        <f t="array" ref="AE1801">_xlfn.XLOOKUP(Table1[[#This Row],[5 cm2 cell test code]:[5 cm2 cell test code]],[1]!Table1[[Test code]:[Test code]],[1]!Table1[HFR 10 mM KOH/ mOhm cm2],"",0)</f>
        <v>#REF!</v>
      </c>
      <c r="AF1801" s="69" t="e" cm="1">
        <f t="array" ref="AF1801">_xlfn.XLOOKUP(Table1[[#This Row],[5 cm2 cell test code]:[5 cm2 cell test code]],[1]!Table1[[Test code]:[Test code]],[1]!Table1[Ionic resistance DIW/Ohm cm2],"",0)</f>
        <v>#REF!</v>
      </c>
      <c r="AG1801" s="69" t="e" cm="1">
        <f t="array" ref="AG1801">_xlfn.XLOOKUP(Table1[[#This Row],[5 cm2 cell test code]:[5 cm2 cell test code]],[1]!Table1[[Test code]:[Test code]],[1]!Table1[Q_int_frac DIW],"",0)</f>
        <v>#REF!</v>
      </c>
      <c r="AH1801" s="69" t="e" cm="1">
        <f t="array" ref="AH1801">_xlfn.XLOOKUP(Table1[[#This Row],[5 cm2 cell test code]:[5 cm2 cell test code]],[1]!Table1[[Test code]:[Test code]],[1]!Table1[Ionic resistance 10 mM KOH/Ohm cm2],"",0)</f>
        <v>#REF!</v>
      </c>
      <c r="AI1801" s="69" t="e" cm="1">
        <f t="array" ref="AI1801">_xlfn.XLOOKUP(Table1[[#This Row],[5 cm2 cell test code]:[5 cm2 cell test code]],[1]!Table1[[Test code]:[Test code]],[1]!Table1[Q_int_frac DIW 10 mM KOH],"",0)</f>
        <v>#REF!</v>
      </c>
      <c r="AJ1801" s="69" t="e" cm="1">
        <f t="array" ref="AJ1801">_xlfn.XLOOKUP(Table1[[#This Row],[5 cm2 cell test code]:[5 cm2 cell test code]],[1]!Table1[[Test code]:[Test code]],[1]!Table1[DIW conductivity (µS/cm)],"",0)</f>
        <v>#REF!</v>
      </c>
    </row>
    <row r="1802" spans="1:36">
      <c r="A1802" s="81"/>
      <c r="U1802" s="101"/>
      <c r="V1802" s="101"/>
      <c r="W1802" s="69" t="e" cm="1">
        <f t="array" ref="W1802">_xlfn.XLOOKUP(Table1[[#This Row],[5 cm2 cell test code]:[5 cm2 cell test code]],[1]!Table1[[Test code]:[Test code]],[1]!Table1[i @ 1.8 V DIW (A/cm2)],"",0)</f>
        <v>#REF!</v>
      </c>
      <c r="X1802" s="69" t="e" cm="1">
        <f t="array" ref="X1802">_xlfn.XLOOKUP(Table1[[#This Row],[5 cm2 cell test code]:[5 cm2 cell test code]],[1]!Table1[[Test code]:[Test code]],[1]!Table1[i @ 1.8 V 10 mM KOH (A/cm2)],"",0)</f>
        <v>#REF!</v>
      </c>
      <c r="Y1802" s="69" t="e" cm="1">
        <f t="array" ref="Y1802">_xlfn.XLOOKUP(Table1[[#This Row],[5 cm2 cell test code]:[5 cm2 cell test code]],[1]!Table1[[Test code]:[Test code]],[1]!Table1[3-E ƞ at 20mAcm-2 (mV)],"",0)</f>
        <v>#REF!</v>
      </c>
      <c r="Z1802" s="69" t="e" cm="1">
        <f t="array" ref="Z1802">_xlfn.XLOOKUP(Table1[[#This Row],[5 cm2 cell test code]:[5 cm2 cell test code]],[1]!Table1[[Test code]:[Test code]],[1]!Table1[3-E Tafel slope (mV/dec)],"",0)</f>
        <v>#REF!</v>
      </c>
      <c r="AA1802" s="69" t="e" cm="1">
        <f t="array" ref="AA1802">_xlfn.XLOOKUP(Table1[[#This Row],[5 cm2 cell test code]:[5 cm2 cell test code]],[1]!Table1[[Test code]:[Test code]],[1]!Table1[E @ 100 mA/cm2 DIW/V],"",0)</f>
        <v>#REF!</v>
      </c>
      <c r="AB1802" s="69" t="e" cm="1">
        <f t="array" ref="AB1802">_xlfn.XLOOKUP(Table1[[#This Row],[5 cm2 cell test code]:[5 cm2 cell test code]],[1]!Table1[[Test code]:[Test code]],[1]!Table1[E @ 100 mA/cm2 10 mM KOH/V],"",0)</f>
        <v>#REF!</v>
      </c>
      <c r="AC1802" s="69" t="e" cm="1">
        <f t="array" ref="AC1802">_xlfn.XLOOKUP(Table1[[#This Row],[5 cm2 cell test code]:[5 cm2 cell test code]],[1]!Table1[[Test code]:[Test code]],[1]!Table1[Anode ICR/mOhm],"",0)</f>
        <v>#REF!</v>
      </c>
      <c r="AD1802" s="69" t="e" cm="1">
        <f t="array" ref="AD1802">_xlfn.XLOOKUP(Table1[[#This Row],[5 cm2 cell test code]:[5 cm2 cell test code]],[1]!Table1[[Test code]:[Test code]],[1]!Table1[HFR DIW/ mOhm cm2],"",0)</f>
        <v>#REF!</v>
      </c>
      <c r="AE1802" s="69" t="e" cm="1">
        <f t="array" ref="AE1802">_xlfn.XLOOKUP(Table1[[#This Row],[5 cm2 cell test code]:[5 cm2 cell test code]],[1]!Table1[[Test code]:[Test code]],[1]!Table1[HFR 10 mM KOH/ mOhm cm2],"",0)</f>
        <v>#REF!</v>
      </c>
      <c r="AF1802" s="69" t="e" cm="1">
        <f t="array" ref="AF1802">_xlfn.XLOOKUP(Table1[[#This Row],[5 cm2 cell test code]:[5 cm2 cell test code]],[1]!Table1[[Test code]:[Test code]],[1]!Table1[Ionic resistance DIW/Ohm cm2],"",0)</f>
        <v>#REF!</v>
      </c>
      <c r="AG1802" s="69" t="e" cm="1">
        <f t="array" ref="AG1802">_xlfn.XLOOKUP(Table1[[#This Row],[5 cm2 cell test code]:[5 cm2 cell test code]],[1]!Table1[[Test code]:[Test code]],[1]!Table1[Q_int_frac DIW],"",0)</f>
        <v>#REF!</v>
      </c>
      <c r="AH1802" s="69" t="e" cm="1">
        <f t="array" ref="AH1802">_xlfn.XLOOKUP(Table1[[#This Row],[5 cm2 cell test code]:[5 cm2 cell test code]],[1]!Table1[[Test code]:[Test code]],[1]!Table1[Ionic resistance 10 mM KOH/Ohm cm2],"",0)</f>
        <v>#REF!</v>
      </c>
      <c r="AI1802" s="69" t="e" cm="1">
        <f t="array" ref="AI1802">_xlfn.XLOOKUP(Table1[[#This Row],[5 cm2 cell test code]:[5 cm2 cell test code]],[1]!Table1[[Test code]:[Test code]],[1]!Table1[Q_int_frac DIW 10 mM KOH],"",0)</f>
        <v>#REF!</v>
      </c>
      <c r="AJ1802" s="69" t="e" cm="1">
        <f t="array" ref="AJ1802">_xlfn.XLOOKUP(Table1[[#This Row],[5 cm2 cell test code]:[5 cm2 cell test code]],[1]!Table1[[Test code]:[Test code]],[1]!Table1[DIW conductivity (µS/cm)],"",0)</f>
        <v>#REF!</v>
      </c>
    </row>
    <row r="1803" spans="1:36">
      <c r="A1803" s="81"/>
      <c r="U1803" s="101"/>
      <c r="V1803" s="101"/>
      <c r="W1803" s="69" t="e" cm="1">
        <f t="array" ref="W1803">_xlfn.XLOOKUP(Table1[[#This Row],[5 cm2 cell test code]:[5 cm2 cell test code]],[1]!Table1[[Test code]:[Test code]],[1]!Table1[i @ 1.8 V DIW (A/cm2)],"",0)</f>
        <v>#REF!</v>
      </c>
      <c r="X1803" s="69" t="e" cm="1">
        <f t="array" ref="X1803">_xlfn.XLOOKUP(Table1[[#This Row],[5 cm2 cell test code]:[5 cm2 cell test code]],[1]!Table1[[Test code]:[Test code]],[1]!Table1[i @ 1.8 V 10 mM KOH (A/cm2)],"",0)</f>
        <v>#REF!</v>
      </c>
      <c r="Y1803" s="69" t="e" cm="1">
        <f t="array" ref="Y1803">_xlfn.XLOOKUP(Table1[[#This Row],[5 cm2 cell test code]:[5 cm2 cell test code]],[1]!Table1[[Test code]:[Test code]],[1]!Table1[3-E ƞ at 20mAcm-2 (mV)],"",0)</f>
        <v>#REF!</v>
      </c>
      <c r="Z1803" s="69" t="e" cm="1">
        <f t="array" ref="Z1803">_xlfn.XLOOKUP(Table1[[#This Row],[5 cm2 cell test code]:[5 cm2 cell test code]],[1]!Table1[[Test code]:[Test code]],[1]!Table1[3-E Tafel slope (mV/dec)],"",0)</f>
        <v>#REF!</v>
      </c>
      <c r="AA1803" s="69" t="e" cm="1">
        <f t="array" ref="AA1803">_xlfn.XLOOKUP(Table1[[#This Row],[5 cm2 cell test code]:[5 cm2 cell test code]],[1]!Table1[[Test code]:[Test code]],[1]!Table1[E @ 100 mA/cm2 DIW/V],"",0)</f>
        <v>#REF!</v>
      </c>
      <c r="AB1803" s="69" t="e" cm="1">
        <f t="array" ref="AB1803">_xlfn.XLOOKUP(Table1[[#This Row],[5 cm2 cell test code]:[5 cm2 cell test code]],[1]!Table1[[Test code]:[Test code]],[1]!Table1[E @ 100 mA/cm2 10 mM KOH/V],"",0)</f>
        <v>#REF!</v>
      </c>
      <c r="AC1803" s="69" t="e" cm="1">
        <f t="array" ref="AC1803">_xlfn.XLOOKUP(Table1[[#This Row],[5 cm2 cell test code]:[5 cm2 cell test code]],[1]!Table1[[Test code]:[Test code]],[1]!Table1[Anode ICR/mOhm],"",0)</f>
        <v>#REF!</v>
      </c>
      <c r="AD1803" s="69" t="e" cm="1">
        <f t="array" ref="AD1803">_xlfn.XLOOKUP(Table1[[#This Row],[5 cm2 cell test code]:[5 cm2 cell test code]],[1]!Table1[[Test code]:[Test code]],[1]!Table1[HFR DIW/ mOhm cm2],"",0)</f>
        <v>#REF!</v>
      </c>
      <c r="AE1803" s="69" t="e" cm="1">
        <f t="array" ref="AE1803">_xlfn.XLOOKUP(Table1[[#This Row],[5 cm2 cell test code]:[5 cm2 cell test code]],[1]!Table1[[Test code]:[Test code]],[1]!Table1[HFR 10 mM KOH/ mOhm cm2],"",0)</f>
        <v>#REF!</v>
      </c>
      <c r="AF1803" s="69" t="e" cm="1">
        <f t="array" ref="AF1803">_xlfn.XLOOKUP(Table1[[#This Row],[5 cm2 cell test code]:[5 cm2 cell test code]],[1]!Table1[[Test code]:[Test code]],[1]!Table1[Ionic resistance DIW/Ohm cm2],"",0)</f>
        <v>#REF!</v>
      </c>
      <c r="AG1803" s="69" t="e" cm="1">
        <f t="array" ref="AG1803">_xlfn.XLOOKUP(Table1[[#This Row],[5 cm2 cell test code]:[5 cm2 cell test code]],[1]!Table1[[Test code]:[Test code]],[1]!Table1[Q_int_frac DIW],"",0)</f>
        <v>#REF!</v>
      </c>
      <c r="AH1803" s="69" t="e" cm="1">
        <f t="array" ref="AH1803">_xlfn.XLOOKUP(Table1[[#This Row],[5 cm2 cell test code]:[5 cm2 cell test code]],[1]!Table1[[Test code]:[Test code]],[1]!Table1[Ionic resistance 10 mM KOH/Ohm cm2],"",0)</f>
        <v>#REF!</v>
      </c>
      <c r="AI1803" s="69" t="e" cm="1">
        <f t="array" ref="AI1803">_xlfn.XLOOKUP(Table1[[#This Row],[5 cm2 cell test code]:[5 cm2 cell test code]],[1]!Table1[[Test code]:[Test code]],[1]!Table1[Q_int_frac DIW 10 mM KOH],"",0)</f>
        <v>#REF!</v>
      </c>
      <c r="AJ1803" s="69" t="e" cm="1">
        <f t="array" ref="AJ1803">_xlfn.XLOOKUP(Table1[[#This Row],[5 cm2 cell test code]:[5 cm2 cell test code]],[1]!Table1[[Test code]:[Test code]],[1]!Table1[DIW conductivity (µS/cm)],"",0)</f>
        <v>#REF!</v>
      </c>
    </row>
    <row r="1804" spans="1:36">
      <c r="A1804" s="81"/>
      <c r="U1804" s="101"/>
      <c r="V1804" s="101"/>
      <c r="W1804" s="69" t="e" cm="1">
        <f t="array" ref="W1804">_xlfn.XLOOKUP(Table1[[#This Row],[5 cm2 cell test code]:[5 cm2 cell test code]],[1]!Table1[[Test code]:[Test code]],[1]!Table1[i @ 1.8 V DIW (A/cm2)],"",0)</f>
        <v>#REF!</v>
      </c>
      <c r="X1804" s="69" t="e" cm="1">
        <f t="array" ref="X1804">_xlfn.XLOOKUP(Table1[[#This Row],[5 cm2 cell test code]:[5 cm2 cell test code]],[1]!Table1[[Test code]:[Test code]],[1]!Table1[i @ 1.8 V 10 mM KOH (A/cm2)],"",0)</f>
        <v>#REF!</v>
      </c>
      <c r="Y1804" s="69" t="e" cm="1">
        <f t="array" ref="Y1804">_xlfn.XLOOKUP(Table1[[#This Row],[5 cm2 cell test code]:[5 cm2 cell test code]],[1]!Table1[[Test code]:[Test code]],[1]!Table1[3-E ƞ at 20mAcm-2 (mV)],"",0)</f>
        <v>#REF!</v>
      </c>
      <c r="Z1804" s="69" t="e" cm="1">
        <f t="array" ref="Z1804">_xlfn.XLOOKUP(Table1[[#This Row],[5 cm2 cell test code]:[5 cm2 cell test code]],[1]!Table1[[Test code]:[Test code]],[1]!Table1[3-E Tafel slope (mV/dec)],"",0)</f>
        <v>#REF!</v>
      </c>
      <c r="AA1804" s="69" t="e" cm="1">
        <f t="array" ref="AA1804">_xlfn.XLOOKUP(Table1[[#This Row],[5 cm2 cell test code]:[5 cm2 cell test code]],[1]!Table1[[Test code]:[Test code]],[1]!Table1[E @ 100 mA/cm2 DIW/V],"",0)</f>
        <v>#REF!</v>
      </c>
      <c r="AB1804" s="69" t="e" cm="1">
        <f t="array" ref="AB1804">_xlfn.XLOOKUP(Table1[[#This Row],[5 cm2 cell test code]:[5 cm2 cell test code]],[1]!Table1[[Test code]:[Test code]],[1]!Table1[E @ 100 mA/cm2 10 mM KOH/V],"",0)</f>
        <v>#REF!</v>
      </c>
      <c r="AC1804" s="69" t="e" cm="1">
        <f t="array" ref="AC1804">_xlfn.XLOOKUP(Table1[[#This Row],[5 cm2 cell test code]:[5 cm2 cell test code]],[1]!Table1[[Test code]:[Test code]],[1]!Table1[Anode ICR/mOhm],"",0)</f>
        <v>#REF!</v>
      </c>
      <c r="AD1804" s="69" t="e" cm="1">
        <f t="array" ref="AD1804">_xlfn.XLOOKUP(Table1[[#This Row],[5 cm2 cell test code]:[5 cm2 cell test code]],[1]!Table1[[Test code]:[Test code]],[1]!Table1[HFR DIW/ mOhm cm2],"",0)</f>
        <v>#REF!</v>
      </c>
      <c r="AE1804" s="69" t="e" cm="1">
        <f t="array" ref="AE1804">_xlfn.XLOOKUP(Table1[[#This Row],[5 cm2 cell test code]:[5 cm2 cell test code]],[1]!Table1[[Test code]:[Test code]],[1]!Table1[HFR 10 mM KOH/ mOhm cm2],"",0)</f>
        <v>#REF!</v>
      </c>
      <c r="AF1804" s="69" t="e" cm="1">
        <f t="array" ref="AF1804">_xlfn.XLOOKUP(Table1[[#This Row],[5 cm2 cell test code]:[5 cm2 cell test code]],[1]!Table1[[Test code]:[Test code]],[1]!Table1[Ionic resistance DIW/Ohm cm2],"",0)</f>
        <v>#REF!</v>
      </c>
      <c r="AG1804" s="69" t="e" cm="1">
        <f t="array" ref="AG1804">_xlfn.XLOOKUP(Table1[[#This Row],[5 cm2 cell test code]:[5 cm2 cell test code]],[1]!Table1[[Test code]:[Test code]],[1]!Table1[Q_int_frac DIW],"",0)</f>
        <v>#REF!</v>
      </c>
      <c r="AH1804" s="69" t="e" cm="1">
        <f t="array" ref="AH1804">_xlfn.XLOOKUP(Table1[[#This Row],[5 cm2 cell test code]:[5 cm2 cell test code]],[1]!Table1[[Test code]:[Test code]],[1]!Table1[Ionic resistance 10 mM KOH/Ohm cm2],"",0)</f>
        <v>#REF!</v>
      </c>
      <c r="AI1804" s="69" t="e" cm="1">
        <f t="array" ref="AI1804">_xlfn.XLOOKUP(Table1[[#This Row],[5 cm2 cell test code]:[5 cm2 cell test code]],[1]!Table1[[Test code]:[Test code]],[1]!Table1[Q_int_frac DIW 10 mM KOH],"",0)</f>
        <v>#REF!</v>
      </c>
      <c r="AJ1804" s="69" t="e" cm="1">
        <f t="array" ref="AJ1804">_xlfn.XLOOKUP(Table1[[#This Row],[5 cm2 cell test code]:[5 cm2 cell test code]],[1]!Table1[[Test code]:[Test code]],[1]!Table1[DIW conductivity (µS/cm)],"",0)</f>
        <v>#REF!</v>
      </c>
    </row>
    <row r="1805" spans="1:36">
      <c r="A1805" s="81"/>
      <c r="U1805" s="101"/>
      <c r="V1805" s="101"/>
      <c r="W1805" s="69" t="e" cm="1">
        <f t="array" ref="W1805">_xlfn.XLOOKUP(Table1[[#This Row],[5 cm2 cell test code]:[5 cm2 cell test code]],[1]!Table1[[Test code]:[Test code]],[1]!Table1[i @ 1.8 V DIW (A/cm2)],"",0)</f>
        <v>#REF!</v>
      </c>
      <c r="X1805" s="69" t="e" cm="1">
        <f t="array" ref="X1805">_xlfn.XLOOKUP(Table1[[#This Row],[5 cm2 cell test code]:[5 cm2 cell test code]],[1]!Table1[[Test code]:[Test code]],[1]!Table1[i @ 1.8 V 10 mM KOH (A/cm2)],"",0)</f>
        <v>#REF!</v>
      </c>
      <c r="Y1805" s="69" t="e" cm="1">
        <f t="array" ref="Y1805">_xlfn.XLOOKUP(Table1[[#This Row],[5 cm2 cell test code]:[5 cm2 cell test code]],[1]!Table1[[Test code]:[Test code]],[1]!Table1[3-E ƞ at 20mAcm-2 (mV)],"",0)</f>
        <v>#REF!</v>
      </c>
      <c r="Z1805" s="69" t="e" cm="1">
        <f t="array" ref="Z1805">_xlfn.XLOOKUP(Table1[[#This Row],[5 cm2 cell test code]:[5 cm2 cell test code]],[1]!Table1[[Test code]:[Test code]],[1]!Table1[3-E Tafel slope (mV/dec)],"",0)</f>
        <v>#REF!</v>
      </c>
      <c r="AA1805" s="69" t="e" cm="1">
        <f t="array" ref="AA1805">_xlfn.XLOOKUP(Table1[[#This Row],[5 cm2 cell test code]:[5 cm2 cell test code]],[1]!Table1[[Test code]:[Test code]],[1]!Table1[E @ 100 mA/cm2 DIW/V],"",0)</f>
        <v>#REF!</v>
      </c>
      <c r="AB1805" s="69" t="e" cm="1">
        <f t="array" ref="AB1805">_xlfn.XLOOKUP(Table1[[#This Row],[5 cm2 cell test code]:[5 cm2 cell test code]],[1]!Table1[[Test code]:[Test code]],[1]!Table1[E @ 100 mA/cm2 10 mM KOH/V],"",0)</f>
        <v>#REF!</v>
      </c>
      <c r="AC1805" s="69" t="e" cm="1">
        <f t="array" ref="AC1805">_xlfn.XLOOKUP(Table1[[#This Row],[5 cm2 cell test code]:[5 cm2 cell test code]],[1]!Table1[[Test code]:[Test code]],[1]!Table1[Anode ICR/mOhm],"",0)</f>
        <v>#REF!</v>
      </c>
      <c r="AD1805" s="69" t="e" cm="1">
        <f t="array" ref="AD1805">_xlfn.XLOOKUP(Table1[[#This Row],[5 cm2 cell test code]:[5 cm2 cell test code]],[1]!Table1[[Test code]:[Test code]],[1]!Table1[HFR DIW/ mOhm cm2],"",0)</f>
        <v>#REF!</v>
      </c>
      <c r="AE1805" s="69" t="e" cm="1">
        <f t="array" ref="AE1805">_xlfn.XLOOKUP(Table1[[#This Row],[5 cm2 cell test code]:[5 cm2 cell test code]],[1]!Table1[[Test code]:[Test code]],[1]!Table1[HFR 10 mM KOH/ mOhm cm2],"",0)</f>
        <v>#REF!</v>
      </c>
      <c r="AF1805" s="69" t="e" cm="1">
        <f t="array" ref="AF1805">_xlfn.XLOOKUP(Table1[[#This Row],[5 cm2 cell test code]:[5 cm2 cell test code]],[1]!Table1[[Test code]:[Test code]],[1]!Table1[Ionic resistance DIW/Ohm cm2],"",0)</f>
        <v>#REF!</v>
      </c>
      <c r="AG1805" s="69" t="e" cm="1">
        <f t="array" ref="AG1805">_xlfn.XLOOKUP(Table1[[#This Row],[5 cm2 cell test code]:[5 cm2 cell test code]],[1]!Table1[[Test code]:[Test code]],[1]!Table1[Q_int_frac DIW],"",0)</f>
        <v>#REF!</v>
      </c>
      <c r="AH1805" s="69" t="e" cm="1">
        <f t="array" ref="AH1805">_xlfn.XLOOKUP(Table1[[#This Row],[5 cm2 cell test code]:[5 cm2 cell test code]],[1]!Table1[[Test code]:[Test code]],[1]!Table1[Ionic resistance 10 mM KOH/Ohm cm2],"",0)</f>
        <v>#REF!</v>
      </c>
      <c r="AI1805" s="69" t="e" cm="1">
        <f t="array" ref="AI1805">_xlfn.XLOOKUP(Table1[[#This Row],[5 cm2 cell test code]:[5 cm2 cell test code]],[1]!Table1[[Test code]:[Test code]],[1]!Table1[Q_int_frac DIW 10 mM KOH],"",0)</f>
        <v>#REF!</v>
      </c>
      <c r="AJ1805" s="69" t="e" cm="1">
        <f t="array" ref="AJ1805">_xlfn.XLOOKUP(Table1[[#This Row],[5 cm2 cell test code]:[5 cm2 cell test code]],[1]!Table1[[Test code]:[Test code]],[1]!Table1[DIW conductivity (µS/cm)],"",0)</f>
        <v>#REF!</v>
      </c>
    </row>
    <row r="1806" spans="1:36">
      <c r="A1806" s="81"/>
      <c r="U1806" s="101"/>
      <c r="V1806" s="101"/>
      <c r="W1806" s="69" t="e" cm="1">
        <f t="array" ref="W1806">_xlfn.XLOOKUP(Table1[[#This Row],[5 cm2 cell test code]:[5 cm2 cell test code]],[1]!Table1[[Test code]:[Test code]],[1]!Table1[i @ 1.8 V DIW (A/cm2)],"",0)</f>
        <v>#REF!</v>
      </c>
      <c r="X1806" s="69" t="e" cm="1">
        <f t="array" ref="X1806">_xlfn.XLOOKUP(Table1[[#This Row],[5 cm2 cell test code]:[5 cm2 cell test code]],[1]!Table1[[Test code]:[Test code]],[1]!Table1[i @ 1.8 V 10 mM KOH (A/cm2)],"",0)</f>
        <v>#REF!</v>
      </c>
      <c r="Y1806" s="69" t="e" cm="1">
        <f t="array" ref="Y1806">_xlfn.XLOOKUP(Table1[[#This Row],[5 cm2 cell test code]:[5 cm2 cell test code]],[1]!Table1[[Test code]:[Test code]],[1]!Table1[3-E ƞ at 20mAcm-2 (mV)],"",0)</f>
        <v>#REF!</v>
      </c>
      <c r="Z1806" s="69" t="e" cm="1">
        <f t="array" ref="Z1806">_xlfn.XLOOKUP(Table1[[#This Row],[5 cm2 cell test code]:[5 cm2 cell test code]],[1]!Table1[[Test code]:[Test code]],[1]!Table1[3-E Tafel slope (mV/dec)],"",0)</f>
        <v>#REF!</v>
      </c>
      <c r="AA1806" s="69" t="e" cm="1">
        <f t="array" ref="AA1806">_xlfn.XLOOKUP(Table1[[#This Row],[5 cm2 cell test code]:[5 cm2 cell test code]],[1]!Table1[[Test code]:[Test code]],[1]!Table1[E @ 100 mA/cm2 DIW/V],"",0)</f>
        <v>#REF!</v>
      </c>
      <c r="AB1806" s="69" t="e" cm="1">
        <f t="array" ref="AB1806">_xlfn.XLOOKUP(Table1[[#This Row],[5 cm2 cell test code]:[5 cm2 cell test code]],[1]!Table1[[Test code]:[Test code]],[1]!Table1[E @ 100 mA/cm2 10 mM KOH/V],"",0)</f>
        <v>#REF!</v>
      </c>
      <c r="AC1806" s="69" t="e" cm="1">
        <f t="array" ref="AC1806">_xlfn.XLOOKUP(Table1[[#This Row],[5 cm2 cell test code]:[5 cm2 cell test code]],[1]!Table1[[Test code]:[Test code]],[1]!Table1[Anode ICR/mOhm],"",0)</f>
        <v>#REF!</v>
      </c>
      <c r="AD1806" s="69" t="e" cm="1">
        <f t="array" ref="AD1806">_xlfn.XLOOKUP(Table1[[#This Row],[5 cm2 cell test code]:[5 cm2 cell test code]],[1]!Table1[[Test code]:[Test code]],[1]!Table1[HFR DIW/ mOhm cm2],"",0)</f>
        <v>#REF!</v>
      </c>
      <c r="AE1806" s="69" t="e" cm="1">
        <f t="array" ref="AE1806">_xlfn.XLOOKUP(Table1[[#This Row],[5 cm2 cell test code]:[5 cm2 cell test code]],[1]!Table1[[Test code]:[Test code]],[1]!Table1[HFR 10 mM KOH/ mOhm cm2],"",0)</f>
        <v>#REF!</v>
      </c>
      <c r="AF1806" s="69" t="e" cm="1">
        <f t="array" ref="AF1806">_xlfn.XLOOKUP(Table1[[#This Row],[5 cm2 cell test code]:[5 cm2 cell test code]],[1]!Table1[[Test code]:[Test code]],[1]!Table1[Ionic resistance DIW/Ohm cm2],"",0)</f>
        <v>#REF!</v>
      </c>
      <c r="AG1806" s="69" t="e" cm="1">
        <f t="array" ref="AG1806">_xlfn.XLOOKUP(Table1[[#This Row],[5 cm2 cell test code]:[5 cm2 cell test code]],[1]!Table1[[Test code]:[Test code]],[1]!Table1[Q_int_frac DIW],"",0)</f>
        <v>#REF!</v>
      </c>
      <c r="AH1806" s="69" t="e" cm="1">
        <f t="array" ref="AH1806">_xlfn.XLOOKUP(Table1[[#This Row],[5 cm2 cell test code]:[5 cm2 cell test code]],[1]!Table1[[Test code]:[Test code]],[1]!Table1[Ionic resistance 10 mM KOH/Ohm cm2],"",0)</f>
        <v>#REF!</v>
      </c>
      <c r="AI1806" s="69" t="e" cm="1">
        <f t="array" ref="AI1806">_xlfn.XLOOKUP(Table1[[#This Row],[5 cm2 cell test code]:[5 cm2 cell test code]],[1]!Table1[[Test code]:[Test code]],[1]!Table1[Q_int_frac DIW 10 mM KOH],"",0)</f>
        <v>#REF!</v>
      </c>
      <c r="AJ1806" s="69" t="e" cm="1">
        <f t="array" ref="AJ1806">_xlfn.XLOOKUP(Table1[[#This Row],[5 cm2 cell test code]:[5 cm2 cell test code]],[1]!Table1[[Test code]:[Test code]],[1]!Table1[DIW conductivity (µS/cm)],"",0)</f>
        <v>#REF!</v>
      </c>
    </row>
    <row r="1807" spans="1:36">
      <c r="A1807" s="81"/>
      <c r="U1807" s="101"/>
      <c r="V1807" s="101"/>
      <c r="W1807" s="69" t="e" cm="1">
        <f t="array" ref="W1807">_xlfn.XLOOKUP(Table1[[#This Row],[5 cm2 cell test code]:[5 cm2 cell test code]],[1]!Table1[[Test code]:[Test code]],[1]!Table1[i @ 1.8 V DIW (A/cm2)],"",0)</f>
        <v>#REF!</v>
      </c>
      <c r="X1807" s="69" t="e" cm="1">
        <f t="array" ref="X1807">_xlfn.XLOOKUP(Table1[[#This Row],[5 cm2 cell test code]:[5 cm2 cell test code]],[1]!Table1[[Test code]:[Test code]],[1]!Table1[i @ 1.8 V 10 mM KOH (A/cm2)],"",0)</f>
        <v>#REF!</v>
      </c>
      <c r="Y1807" s="69" t="e" cm="1">
        <f t="array" ref="Y1807">_xlfn.XLOOKUP(Table1[[#This Row],[5 cm2 cell test code]:[5 cm2 cell test code]],[1]!Table1[[Test code]:[Test code]],[1]!Table1[3-E ƞ at 20mAcm-2 (mV)],"",0)</f>
        <v>#REF!</v>
      </c>
      <c r="Z1807" s="69" t="e" cm="1">
        <f t="array" ref="Z1807">_xlfn.XLOOKUP(Table1[[#This Row],[5 cm2 cell test code]:[5 cm2 cell test code]],[1]!Table1[[Test code]:[Test code]],[1]!Table1[3-E Tafel slope (mV/dec)],"",0)</f>
        <v>#REF!</v>
      </c>
      <c r="AA1807" s="69" t="e" cm="1">
        <f t="array" ref="AA1807">_xlfn.XLOOKUP(Table1[[#This Row],[5 cm2 cell test code]:[5 cm2 cell test code]],[1]!Table1[[Test code]:[Test code]],[1]!Table1[E @ 100 mA/cm2 DIW/V],"",0)</f>
        <v>#REF!</v>
      </c>
      <c r="AB1807" s="69" t="e" cm="1">
        <f t="array" ref="AB1807">_xlfn.XLOOKUP(Table1[[#This Row],[5 cm2 cell test code]:[5 cm2 cell test code]],[1]!Table1[[Test code]:[Test code]],[1]!Table1[E @ 100 mA/cm2 10 mM KOH/V],"",0)</f>
        <v>#REF!</v>
      </c>
      <c r="AC1807" s="69" t="e" cm="1">
        <f t="array" ref="AC1807">_xlfn.XLOOKUP(Table1[[#This Row],[5 cm2 cell test code]:[5 cm2 cell test code]],[1]!Table1[[Test code]:[Test code]],[1]!Table1[Anode ICR/mOhm],"",0)</f>
        <v>#REF!</v>
      </c>
      <c r="AD1807" s="69" t="e" cm="1">
        <f t="array" ref="AD1807">_xlfn.XLOOKUP(Table1[[#This Row],[5 cm2 cell test code]:[5 cm2 cell test code]],[1]!Table1[[Test code]:[Test code]],[1]!Table1[HFR DIW/ mOhm cm2],"",0)</f>
        <v>#REF!</v>
      </c>
      <c r="AE1807" s="69" t="e" cm="1">
        <f t="array" ref="AE1807">_xlfn.XLOOKUP(Table1[[#This Row],[5 cm2 cell test code]:[5 cm2 cell test code]],[1]!Table1[[Test code]:[Test code]],[1]!Table1[HFR 10 mM KOH/ mOhm cm2],"",0)</f>
        <v>#REF!</v>
      </c>
      <c r="AF1807" s="69" t="e" cm="1">
        <f t="array" ref="AF1807">_xlfn.XLOOKUP(Table1[[#This Row],[5 cm2 cell test code]:[5 cm2 cell test code]],[1]!Table1[[Test code]:[Test code]],[1]!Table1[Ionic resistance DIW/Ohm cm2],"",0)</f>
        <v>#REF!</v>
      </c>
      <c r="AG1807" s="69" t="e" cm="1">
        <f t="array" ref="AG1807">_xlfn.XLOOKUP(Table1[[#This Row],[5 cm2 cell test code]:[5 cm2 cell test code]],[1]!Table1[[Test code]:[Test code]],[1]!Table1[Q_int_frac DIW],"",0)</f>
        <v>#REF!</v>
      </c>
      <c r="AH1807" s="69" t="e" cm="1">
        <f t="array" ref="AH1807">_xlfn.XLOOKUP(Table1[[#This Row],[5 cm2 cell test code]:[5 cm2 cell test code]],[1]!Table1[[Test code]:[Test code]],[1]!Table1[Ionic resistance 10 mM KOH/Ohm cm2],"",0)</f>
        <v>#REF!</v>
      </c>
      <c r="AI1807" s="69" t="e" cm="1">
        <f t="array" ref="AI1807">_xlfn.XLOOKUP(Table1[[#This Row],[5 cm2 cell test code]:[5 cm2 cell test code]],[1]!Table1[[Test code]:[Test code]],[1]!Table1[Q_int_frac DIW 10 mM KOH],"",0)</f>
        <v>#REF!</v>
      </c>
      <c r="AJ1807" s="69" t="e" cm="1">
        <f t="array" ref="AJ1807">_xlfn.XLOOKUP(Table1[[#This Row],[5 cm2 cell test code]:[5 cm2 cell test code]],[1]!Table1[[Test code]:[Test code]],[1]!Table1[DIW conductivity (µS/cm)],"",0)</f>
        <v>#REF!</v>
      </c>
    </row>
    <row r="1808" spans="1:36">
      <c r="A1808" s="81"/>
      <c r="U1808" s="101"/>
      <c r="V1808" s="101"/>
      <c r="W1808" s="69" t="e" cm="1">
        <f t="array" ref="W1808">_xlfn.XLOOKUP(Table1[[#This Row],[5 cm2 cell test code]:[5 cm2 cell test code]],[1]!Table1[[Test code]:[Test code]],[1]!Table1[i @ 1.8 V DIW (A/cm2)],"",0)</f>
        <v>#REF!</v>
      </c>
      <c r="X1808" s="69" t="e" cm="1">
        <f t="array" ref="X1808">_xlfn.XLOOKUP(Table1[[#This Row],[5 cm2 cell test code]:[5 cm2 cell test code]],[1]!Table1[[Test code]:[Test code]],[1]!Table1[i @ 1.8 V 10 mM KOH (A/cm2)],"",0)</f>
        <v>#REF!</v>
      </c>
      <c r="Y1808" s="69" t="e" cm="1">
        <f t="array" ref="Y1808">_xlfn.XLOOKUP(Table1[[#This Row],[5 cm2 cell test code]:[5 cm2 cell test code]],[1]!Table1[[Test code]:[Test code]],[1]!Table1[3-E ƞ at 20mAcm-2 (mV)],"",0)</f>
        <v>#REF!</v>
      </c>
      <c r="Z1808" s="69" t="e" cm="1">
        <f t="array" ref="Z1808">_xlfn.XLOOKUP(Table1[[#This Row],[5 cm2 cell test code]:[5 cm2 cell test code]],[1]!Table1[[Test code]:[Test code]],[1]!Table1[3-E Tafel slope (mV/dec)],"",0)</f>
        <v>#REF!</v>
      </c>
      <c r="AA1808" s="69" t="e" cm="1">
        <f t="array" ref="AA1808">_xlfn.XLOOKUP(Table1[[#This Row],[5 cm2 cell test code]:[5 cm2 cell test code]],[1]!Table1[[Test code]:[Test code]],[1]!Table1[E @ 100 mA/cm2 DIW/V],"",0)</f>
        <v>#REF!</v>
      </c>
      <c r="AB1808" s="69" t="e" cm="1">
        <f t="array" ref="AB1808">_xlfn.XLOOKUP(Table1[[#This Row],[5 cm2 cell test code]:[5 cm2 cell test code]],[1]!Table1[[Test code]:[Test code]],[1]!Table1[E @ 100 mA/cm2 10 mM KOH/V],"",0)</f>
        <v>#REF!</v>
      </c>
      <c r="AC1808" s="69" t="e" cm="1">
        <f t="array" ref="AC1808">_xlfn.XLOOKUP(Table1[[#This Row],[5 cm2 cell test code]:[5 cm2 cell test code]],[1]!Table1[[Test code]:[Test code]],[1]!Table1[Anode ICR/mOhm],"",0)</f>
        <v>#REF!</v>
      </c>
      <c r="AD1808" s="69" t="e" cm="1">
        <f t="array" ref="AD1808">_xlfn.XLOOKUP(Table1[[#This Row],[5 cm2 cell test code]:[5 cm2 cell test code]],[1]!Table1[[Test code]:[Test code]],[1]!Table1[HFR DIW/ mOhm cm2],"",0)</f>
        <v>#REF!</v>
      </c>
      <c r="AE1808" s="69" t="e" cm="1">
        <f t="array" ref="AE1808">_xlfn.XLOOKUP(Table1[[#This Row],[5 cm2 cell test code]:[5 cm2 cell test code]],[1]!Table1[[Test code]:[Test code]],[1]!Table1[HFR 10 mM KOH/ mOhm cm2],"",0)</f>
        <v>#REF!</v>
      </c>
      <c r="AF1808" s="69" t="e" cm="1">
        <f t="array" ref="AF1808">_xlfn.XLOOKUP(Table1[[#This Row],[5 cm2 cell test code]:[5 cm2 cell test code]],[1]!Table1[[Test code]:[Test code]],[1]!Table1[Ionic resistance DIW/Ohm cm2],"",0)</f>
        <v>#REF!</v>
      </c>
      <c r="AG1808" s="69" t="e" cm="1">
        <f t="array" ref="AG1808">_xlfn.XLOOKUP(Table1[[#This Row],[5 cm2 cell test code]:[5 cm2 cell test code]],[1]!Table1[[Test code]:[Test code]],[1]!Table1[Q_int_frac DIW],"",0)</f>
        <v>#REF!</v>
      </c>
      <c r="AH1808" s="69" t="e" cm="1">
        <f t="array" ref="AH1808">_xlfn.XLOOKUP(Table1[[#This Row],[5 cm2 cell test code]:[5 cm2 cell test code]],[1]!Table1[[Test code]:[Test code]],[1]!Table1[Ionic resistance 10 mM KOH/Ohm cm2],"",0)</f>
        <v>#REF!</v>
      </c>
      <c r="AI1808" s="69" t="e" cm="1">
        <f t="array" ref="AI1808">_xlfn.XLOOKUP(Table1[[#This Row],[5 cm2 cell test code]:[5 cm2 cell test code]],[1]!Table1[[Test code]:[Test code]],[1]!Table1[Q_int_frac DIW 10 mM KOH],"",0)</f>
        <v>#REF!</v>
      </c>
      <c r="AJ1808" s="69" t="e" cm="1">
        <f t="array" ref="AJ1808">_xlfn.XLOOKUP(Table1[[#This Row],[5 cm2 cell test code]:[5 cm2 cell test code]],[1]!Table1[[Test code]:[Test code]],[1]!Table1[DIW conductivity (µS/cm)],"",0)</f>
        <v>#REF!</v>
      </c>
    </row>
    <row r="1809" spans="1:36">
      <c r="A1809" s="81"/>
      <c r="U1809" s="101"/>
      <c r="V1809" s="101"/>
      <c r="W1809" s="69" t="e" cm="1">
        <f t="array" ref="W1809">_xlfn.XLOOKUP(Table1[[#This Row],[5 cm2 cell test code]:[5 cm2 cell test code]],[1]!Table1[[Test code]:[Test code]],[1]!Table1[i @ 1.8 V DIW (A/cm2)],"",0)</f>
        <v>#REF!</v>
      </c>
      <c r="X1809" s="69" t="e" cm="1">
        <f t="array" ref="X1809">_xlfn.XLOOKUP(Table1[[#This Row],[5 cm2 cell test code]:[5 cm2 cell test code]],[1]!Table1[[Test code]:[Test code]],[1]!Table1[i @ 1.8 V 10 mM KOH (A/cm2)],"",0)</f>
        <v>#REF!</v>
      </c>
      <c r="Y1809" s="69" t="e" cm="1">
        <f t="array" ref="Y1809">_xlfn.XLOOKUP(Table1[[#This Row],[5 cm2 cell test code]:[5 cm2 cell test code]],[1]!Table1[[Test code]:[Test code]],[1]!Table1[3-E ƞ at 20mAcm-2 (mV)],"",0)</f>
        <v>#REF!</v>
      </c>
      <c r="Z1809" s="69" t="e" cm="1">
        <f t="array" ref="Z1809">_xlfn.XLOOKUP(Table1[[#This Row],[5 cm2 cell test code]:[5 cm2 cell test code]],[1]!Table1[[Test code]:[Test code]],[1]!Table1[3-E Tafel slope (mV/dec)],"",0)</f>
        <v>#REF!</v>
      </c>
      <c r="AA1809" s="69" t="e" cm="1">
        <f t="array" ref="AA1809">_xlfn.XLOOKUP(Table1[[#This Row],[5 cm2 cell test code]:[5 cm2 cell test code]],[1]!Table1[[Test code]:[Test code]],[1]!Table1[E @ 100 mA/cm2 DIW/V],"",0)</f>
        <v>#REF!</v>
      </c>
      <c r="AB1809" s="69" t="e" cm="1">
        <f t="array" ref="AB1809">_xlfn.XLOOKUP(Table1[[#This Row],[5 cm2 cell test code]:[5 cm2 cell test code]],[1]!Table1[[Test code]:[Test code]],[1]!Table1[E @ 100 mA/cm2 10 mM KOH/V],"",0)</f>
        <v>#REF!</v>
      </c>
      <c r="AC1809" s="69" t="e" cm="1">
        <f t="array" ref="AC1809">_xlfn.XLOOKUP(Table1[[#This Row],[5 cm2 cell test code]:[5 cm2 cell test code]],[1]!Table1[[Test code]:[Test code]],[1]!Table1[Anode ICR/mOhm],"",0)</f>
        <v>#REF!</v>
      </c>
      <c r="AD1809" s="69" t="e" cm="1">
        <f t="array" ref="AD1809">_xlfn.XLOOKUP(Table1[[#This Row],[5 cm2 cell test code]:[5 cm2 cell test code]],[1]!Table1[[Test code]:[Test code]],[1]!Table1[HFR DIW/ mOhm cm2],"",0)</f>
        <v>#REF!</v>
      </c>
      <c r="AE1809" s="69" t="e" cm="1">
        <f t="array" ref="AE1809">_xlfn.XLOOKUP(Table1[[#This Row],[5 cm2 cell test code]:[5 cm2 cell test code]],[1]!Table1[[Test code]:[Test code]],[1]!Table1[HFR 10 mM KOH/ mOhm cm2],"",0)</f>
        <v>#REF!</v>
      </c>
      <c r="AF1809" s="69" t="e" cm="1">
        <f t="array" ref="AF1809">_xlfn.XLOOKUP(Table1[[#This Row],[5 cm2 cell test code]:[5 cm2 cell test code]],[1]!Table1[[Test code]:[Test code]],[1]!Table1[Ionic resistance DIW/Ohm cm2],"",0)</f>
        <v>#REF!</v>
      </c>
      <c r="AG1809" s="69" t="e" cm="1">
        <f t="array" ref="AG1809">_xlfn.XLOOKUP(Table1[[#This Row],[5 cm2 cell test code]:[5 cm2 cell test code]],[1]!Table1[[Test code]:[Test code]],[1]!Table1[Q_int_frac DIW],"",0)</f>
        <v>#REF!</v>
      </c>
      <c r="AH1809" s="69" t="e" cm="1">
        <f t="array" ref="AH1809">_xlfn.XLOOKUP(Table1[[#This Row],[5 cm2 cell test code]:[5 cm2 cell test code]],[1]!Table1[[Test code]:[Test code]],[1]!Table1[Ionic resistance 10 mM KOH/Ohm cm2],"",0)</f>
        <v>#REF!</v>
      </c>
      <c r="AI1809" s="69" t="e" cm="1">
        <f t="array" ref="AI1809">_xlfn.XLOOKUP(Table1[[#This Row],[5 cm2 cell test code]:[5 cm2 cell test code]],[1]!Table1[[Test code]:[Test code]],[1]!Table1[Q_int_frac DIW 10 mM KOH],"",0)</f>
        <v>#REF!</v>
      </c>
      <c r="AJ1809" s="69" t="e" cm="1">
        <f t="array" ref="AJ1809">_xlfn.XLOOKUP(Table1[[#This Row],[5 cm2 cell test code]:[5 cm2 cell test code]],[1]!Table1[[Test code]:[Test code]],[1]!Table1[DIW conductivity (µS/cm)],"",0)</f>
        <v>#REF!</v>
      </c>
    </row>
    <row r="1810" spans="1:36">
      <c r="A1810" s="81"/>
      <c r="U1810" s="101"/>
      <c r="V1810" s="101"/>
      <c r="W1810" s="69" t="e" cm="1">
        <f t="array" ref="W1810">_xlfn.XLOOKUP(Table1[[#This Row],[5 cm2 cell test code]:[5 cm2 cell test code]],[1]!Table1[[Test code]:[Test code]],[1]!Table1[i @ 1.8 V DIW (A/cm2)],"",0)</f>
        <v>#REF!</v>
      </c>
      <c r="X1810" s="69" t="e" cm="1">
        <f t="array" ref="X1810">_xlfn.XLOOKUP(Table1[[#This Row],[5 cm2 cell test code]:[5 cm2 cell test code]],[1]!Table1[[Test code]:[Test code]],[1]!Table1[i @ 1.8 V 10 mM KOH (A/cm2)],"",0)</f>
        <v>#REF!</v>
      </c>
      <c r="Y1810" s="69" t="e" cm="1">
        <f t="array" ref="Y1810">_xlfn.XLOOKUP(Table1[[#This Row],[5 cm2 cell test code]:[5 cm2 cell test code]],[1]!Table1[[Test code]:[Test code]],[1]!Table1[3-E ƞ at 20mAcm-2 (mV)],"",0)</f>
        <v>#REF!</v>
      </c>
      <c r="Z1810" s="69" t="e" cm="1">
        <f t="array" ref="Z1810">_xlfn.XLOOKUP(Table1[[#This Row],[5 cm2 cell test code]:[5 cm2 cell test code]],[1]!Table1[[Test code]:[Test code]],[1]!Table1[3-E Tafel slope (mV/dec)],"",0)</f>
        <v>#REF!</v>
      </c>
      <c r="AA1810" s="69" t="e" cm="1">
        <f t="array" ref="AA1810">_xlfn.XLOOKUP(Table1[[#This Row],[5 cm2 cell test code]:[5 cm2 cell test code]],[1]!Table1[[Test code]:[Test code]],[1]!Table1[E @ 100 mA/cm2 DIW/V],"",0)</f>
        <v>#REF!</v>
      </c>
      <c r="AB1810" s="69" t="e" cm="1">
        <f t="array" ref="AB1810">_xlfn.XLOOKUP(Table1[[#This Row],[5 cm2 cell test code]:[5 cm2 cell test code]],[1]!Table1[[Test code]:[Test code]],[1]!Table1[E @ 100 mA/cm2 10 mM KOH/V],"",0)</f>
        <v>#REF!</v>
      </c>
      <c r="AC1810" s="69" t="e" cm="1">
        <f t="array" ref="AC1810">_xlfn.XLOOKUP(Table1[[#This Row],[5 cm2 cell test code]:[5 cm2 cell test code]],[1]!Table1[[Test code]:[Test code]],[1]!Table1[Anode ICR/mOhm],"",0)</f>
        <v>#REF!</v>
      </c>
      <c r="AD1810" s="69" t="e" cm="1">
        <f t="array" ref="AD1810">_xlfn.XLOOKUP(Table1[[#This Row],[5 cm2 cell test code]:[5 cm2 cell test code]],[1]!Table1[[Test code]:[Test code]],[1]!Table1[HFR DIW/ mOhm cm2],"",0)</f>
        <v>#REF!</v>
      </c>
      <c r="AE1810" s="69" t="e" cm="1">
        <f t="array" ref="AE1810">_xlfn.XLOOKUP(Table1[[#This Row],[5 cm2 cell test code]:[5 cm2 cell test code]],[1]!Table1[[Test code]:[Test code]],[1]!Table1[HFR 10 mM KOH/ mOhm cm2],"",0)</f>
        <v>#REF!</v>
      </c>
      <c r="AF1810" s="69" t="e" cm="1">
        <f t="array" ref="AF1810">_xlfn.XLOOKUP(Table1[[#This Row],[5 cm2 cell test code]:[5 cm2 cell test code]],[1]!Table1[[Test code]:[Test code]],[1]!Table1[Ionic resistance DIW/Ohm cm2],"",0)</f>
        <v>#REF!</v>
      </c>
      <c r="AG1810" s="69" t="e" cm="1">
        <f t="array" ref="AG1810">_xlfn.XLOOKUP(Table1[[#This Row],[5 cm2 cell test code]:[5 cm2 cell test code]],[1]!Table1[[Test code]:[Test code]],[1]!Table1[Q_int_frac DIW],"",0)</f>
        <v>#REF!</v>
      </c>
      <c r="AH1810" s="69" t="e" cm="1">
        <f t="array" ref="AH1810">_xlfn.XLOOKUP(Table1[[#This Row],[5 cm2 cell test code]:[5 cm2 cell test code]],[1]!Table1[[Test code]:[Test code]],[1]!Table1[Ionic resistance 10 mM KOH/Ohm cm2],"",0)</f>
        <v>#REF!</v>
      </c>
      <c r="AI1810" s="69" t="e" cm="1">
        <f t="array" ref="AI1810">_xlfn.XLOOKUP(Table1[[#This Row],[5 cm2 cell test code]:[5 cm2 cell test code]],[1]!Table1[[Test code]:[Test code]],[1]!Table1[Q_int_frac DIW 10 mM KOH],"",0)</f>
        <v>#REF!</v>
      </c>
      <c r="AJ1810" s="69" t="e" cm="1">
        <f t="array" ref="AJ1810">_xlfn.XLOOKUP(Table1[[#This Row],[5 cm2 cell test code]:[5 cm2 cell test code]],[1]!Table1[[Test code]:[Test code]],[1]!Table1[DIW conductivity (µS/cm)],"",0)</f>
        <v>#REF!</v>
      </c>
    </row>
    <row r="1811" spans="1:36">
      <c r="A1811" s="81"/>
      <c r="U1811" s="101"/>
      <c r="V1811" s="101"/>
      <c r="W1811" s="69" t="e" cm="1">
        <f t="array" ref="W1811">_xlfn.XLOOKUP(Table1[[#This Row],[5 cm2 cell test code]:[5 cm2 cell test code]],[1]!Table1[[Test code]:[Test code]],[1]!Table1[i @ 1.8 V DIW (A/cm2)],"",0)</f>
        <v>#REF!</v>
      </c>
      <c r="X1811" s="69" t="e" cm="1">
        <f t="array" ref="X1811">_xlfn.XLOOKUP(Table1[[#This Row],[5 cm2 cell test code]:[5 cm2 cell test code]],[1]!Table1[[Test code]:[Test code]],[1]!Table1[i @ 1.8 V 10 mM KOH (A/cm2)],"",0)</f>
        <v>#REF!</v>
      </c>
      <c r="Y1811" s="69" t="e" cm="1">
        <f t="array" ref="Y1811">_xlfn.XLOOKUP(Table1[[#This Row],[5 cm2 cell test code]:[5 cm2 cell test code]],[1]!Table1[[Test code]:[Test code]],[1]!Table1[3-E ƞ at 20mAcm-2 (mV)],"",0)</f>
        <v>#REF!</v>
      </c>
      <c r="Z1811" s="69" t="e" cm="1">
        <f t="array" ref="Z1811">_xlfn.XLOOKUP(Table1[[#This Row],[5 cm2 cell test code]:[5 cm2 cell test code]],[1]!Table1[[Test code]:[Test code]],[1]!Table1[3-E Tafel slope (mV/dec)],"",0)</f>
        <v>#REF!</v>
      </c>
      <c r="AA1811" s="69" t="e" cm="1">
        <f t="array" ref="AA1811">_xlfn.XLOOKUP(Table1[[#This Row],[5 cm2 cell test code]:[5 cm2 cell test code]],[1]!Table1[[Test code]:[Test code]],[1]!Table1[E @ 100 mA/cm2 DIW/V],"",0)</f>
        <v>#REF!</v>
      </c>
      <c r="AB1811" s="69" t="e" cm="1">
        <f t="array" ref="AB1811">_xlfn.XLOOKUP(Table1[[#This Row],[5 cm2 cell test code]:[5 cm2 cell test code]],[1]!Table1[[Test code]:[Test code]],[1]!Table1[E @ 100 mA/cm2 10 mM KOH/V],"",0)</f>
        <v>#REF!</v>
      </c>
      <c r="AC1811" s="69" t="e" cm="1">
        <f t="array" ref="AC1811">_xlfn.XLOOKUP(Table1[[#This Row],[5 cm2 cell test code]:[5 cm2 cell test code]],[1]!Table1[[Test code]:[Test code]],[1]!Table1[Anode ICR/mOhm],"",0)</f>
        <v>#REF!</v>
      </c>
      <c r="AD1811" s="69" t="e" cm="1">
        <f t="array" ref="AD1811">_xlfn.XLOOKUP(Table1[[#This Row],[5 cm2 cell test code]:[5 cm2 cell test code]],[1]!Table1[[Test code]:[Test code]],[1]!Table1[HFR DIW/ mOhm cm2],"",0)</f>
        <v>#REF!</v>
      </c>
      <c r="AE1811" s="69" t="e" cm="1">
        <f t="array" ref="AE1811">_xlfn.XLOOKUP(Table1[[#This Row],[5 cm2 cell test code]:[5 cm2 cell test code]],[1]!Table1[[Test code]:[Test code]],[1]!Table1[HFR 10 mM KOH/ mOhm cm2],"",0)</f>
        <v>#REF!</v>
      </c>
      <c r="AF1811" s="69" t="e" cm="1">
        <f t="array" ref="AF1811">_xlfn.XLOOKUP(Table1[[#This Row],[5 cm2 cell test code]:[5 cm2 cell test code]],[1]!Table1[[Test code]:[Test code]],[1]!Table1[Ionic resistance DIW/Ohm cm2],"",0)</f>
        <v>#REF!</v>
      </c>
      <c r="AG1811" s="69" t="e" cm="1">
        <f t="array" ref="AG1811">_xlfn.XLOOKUP(Table1[[#This Row],[5 cm2 cell test code]:[5 cm2 cell test code]],[1]!Table1[[Test code]:[Test code]],[1]!Table1[Q_int_frac DIW],"",0)</f>
        <v>#REF!</v>
      </c>
      <c r="AH1811" s="69" t="e" cm="1">
        <f t="array" ref="AH1811">_xlfn.XLOOKUP(Table1[[#This Row],[5 cm2 cell test code]:[5 cm2 cell test code]],[1]!Table1[[Test code]:[Test code]],[1]!Table1[Ionic resistance 10 mM KOH/Ohm cm2],"",0)</f>
        <v>#REF!</v>
      </c>
      <c r="AI1811" s="69" t="e" cm="1">
        <f t="array" ref="AI1811">_xlfn.XLOOKUP(Table1[[#This Row],[5 cm2 cell test code]:[5 cm2 cell test code]],[1]!Table1[[Test code]:[Test code]],[1]!Table1[Q_int_frac DIW 10 mM KOH],"",0)</f>
        <v>#REF!</v>
      </c>
      <c r="AJ1811" s="69" t="e" cm="1">
        <f t="array" ref="AJ1811">_xlfn.XLOOKUP(Table1[[#This Row],[5 cm2 cell test code]:[5 cm2 cell test code]],[1]!Table1[[Test code]:[Test code]],[1]!Table1[DIW conductivity (µS/cm)],"",0)</f>
        <v>#REF!</v>
      </c>
    </row>
    <row r="1812" spans="1:36">
      <c r="A1812" s="81"/>
      <c r="U1812" s="101"/>
      <c r="V1812" s="101"/>
      <c r="W1812" s="69" t="e" cm="1">
        <f t="array" ref="W1812">_xlfn.XLOOKUP(Table1[[#This Row],[5 cm2 cell test code]:[5 cm2 cell test code]],[1]!Table1[[Test code]:[Test code]],[1]!Table1[i @ 1.8 V DIW (A/cm2)],"",0)</f>
        <v>#REF!</v>
      </c>
      <c r="X1812" s="69" t="e" cm="1">
        <f t="array" ref="X1812">_xlfn.XLOOKUP(Table1[[#This Row],[5 cm2 cell test code]:[5 cm2 cell test code]],[1]!Table1[[Test code]:[Test code]],[1]!Table1[i @ 1.8 V 10 mM KOH (A/cm2)],"",0)</f>
        <v>#REF!</v>
      </c>
      <c r="Y1812" s="69" t="e" cm="1">
        <f t="array" ref="Y1812">_xlfn.XLOOKUP(Table1[[#This Row],[5 cm2 cell test code]:[5 cm2 cell test code]],[1]!Table1[[Test code]:[Test code]],[1]!Table1[3-E ƞ at 20mAcm-2 (mV)],"",0)</f>
        <v>#REF!</v>
      </c>
      <c r="Z1812" s="69" t="e" cm="1">
        <f t="array" ref="Z1812">_xlfn.XLOOKUP(Table1[[#This Row],[5 cm2 cell test code]:[5 cm2 cell test code]],[1]!Table1[[Test code]:[Test code]],[1]!Table1[3-E Tafel slope (mV/dec)],"",0)</f>
        <v>#REF!</v>
      </c>
      <c r="AA1812" s="69" t="e" cm="1">
        <f t="array" ref="AA1812">_xlfn.XLOOKUP(Table1[[#This Row],[5 cm2 cell test code]:[5 cm2 cell test code]],[1]!Table1[[Test code]:[Test code]],[1]!Table1[E @ 100 mA/cm2 DIW/V],"",0)</f>
        <v>#REF!</v>
      </c>
      <c r="AB1812" s="69" t="e" cm="1">
        <f t="array" ref="AB1812">_xlfn.XLOOKUP(Table1[[#This Row],[5 cm2 cell test code]:[5 cm2 cell test code]],[1]!Table1[[Test code]:[Test code]],[1]!Table1[E @ 100 mA/cm2 10 mM KOH/V],"",0)</f>
        <v>#REF!</v>
      </c>
      <c r="AC1812" s="69" t="e" cm="1">
        <f t="array" ref="AC1812">_xlfn.XLOOKUP(Table1[[#This Row],[5 cm2 cell test code]:[5 cm2 cell test code]],[1]!Table1[[Test code]:[Test code]],[1]!Table1[Anode ICR/mOhm],"",0)</f>
        <v>#REF!</v>
      </c>
      <c r="AD1812" s="69" t="e" cm="1">
        <f t="array" ref="AD1812">_xlfn.XLOOKUP(Table1[[#This Row],[5 cm2 cell test code]:[5 cm2 cell test code]],[1]!Table1[[Test code]:[Test code]],[1]!Table1[HFR DIW/ mOhm cm2],"",0)</f>
        <v>#REF!</v>
      </c>
      <c r="AE1812" s="69" t="e" cm="1">
        <f t="array" ref="AE1812">_xlfn.XLOOKUP(Table1[[#This Row],[5 cm2 cell test code]:[5 cm2 cell test code]],[1]!Table1[[Test code]:[Test code]],[1]!Table1[HFR 10 mM KOH/ mOhm cm2],"",0)</f>
        <v>#REF!</v>
      </c>
      <c r="AF1812" s="69" t="e" cm="1">
        <f t="array" ref="AF1812">_xlfn.XLOOKUP(Table1[[#This Row],[5 cm2 cell test code]:[5 cm2 cell test code]],[1]!Table1[[Test code]:[Test code]],[1]!Table1[Ionic resistance DIW/Ohm cm2],"",0)</f>
        <v>#REF!</v>
      </c>
      <c r="AG1812" s="69" t="e" cm="1">
        <f t="array" ref="AG1812">_xlfn.XLOOKUP(Table1[[#This Row],[5 cm2 cell test code]:[5 cm2 cell test code]],[1]!Table1[[Test code]:[Test code]],[1]!Table1[Q_int_frac DIW],"",0)</f>
        <v>#REF!</v>
      </c>
      <c r="AH1812" s="69" t="e" cm="1">
        <f t="array" ref="AH1812">_xlfn.XLOOKUP(Table1[[#This Row],[5 cm2 cell test code]:[5 cm2 cell test code]],[1]!Table1[[Test code]:[Test code]],[1]!Table1[Ionic resistance 10 mM KOH/Ohm cm2],"",0)</f>
        <v>#REF!</v>
      </c>
      <c r="AI1812" s="69" t="e" cm="1">
        <f t="array" ref="AI1812">_xlfn.XLOOKUP(Table1[[#This Row],[5 cm2 cell test code]:[5 cm2 cell test code]],[1]!Table1[[Test code]:[Test code]],[1]!Table1[Q_int_frac DIW 10 mM KOH],"",0)</f>
        <v>#REF!</v>
      </c>
      <c r="AJ1812" s="69" t="e" cm="1">
        <f t="array" ref="AJ1812">_xlfn.XLOOKUP(Table1[[#This Row],[5 cm2 cell test code]:[5 cm2 cell test code]],[1]!Table1[[Test code]:[Test code]],[1]!Table1[DIW conductivity (µS/cm)],"",0)</f>
        <v>#REF!</v>
      </c>
    </row>
    <row r="1813" spans="1:36">
      <c r="A1813" s="81"/>
      <c r="U1813" s="101"/>
      <c r="V1813" s="101"/>
      <c r="W1813" s="69" t="e" cm="1">
        <f t="array" ref="W1813">_xlfn.XLOOKUP(Table1[[#This Row],[5 cm2 cell test code]:[5 cm2 cell test code]],[1]!Table1[[Test code]:[Test code]],[1]!Table1[i @ 1.8 V DIW (A/cm2)],"",0)</f>
        <v>#REF!</v>
      </c>
      <c r="X1813" s="69" t="e" cm="1">
        <f t="array" ref="X1813">_xlfn.XLOOKUP(Table1[[#This Row],[5 cm2 cell test code]:[5 cm2 cell test code]],[1]!Table1[[Test code]:[Test code]],[1]!Table1[i @ 1.8 V 10 mM KOH (A/cm2)],"",0)</f>
        <v>#REF!</v>
      </c>
      <c r="Y1813" s="69" t="e" cm="1">
        <f t="array" ref="Y1813">_xlfn.XLOOKUP(Table1[[#This Row],[5 cm2 cell test code]:[5 cm2 cell test code]],[1]!Table1[[Test code]:[Test code]],[1]!Table1[3-E ƞ at 20mAcm-2 (mV)],"",0)</f>
        <v>#REF!</v>
      </c>
      <c r="Z1813" s="69" t="e" cm="1">
        <f t="array" ref="Z1813">_xlfn.XLOOKUP(Table1[[#This Row],[5 cm2 cell test code]:[5 cm2 cell test code]],[1]!Table1[[Test code]:[Test code]],[1]!Table1[3-E Tafel slope (mV/dec)],"",0)</f>
        <v>#REF!</v>
      </c>
      <c r="AA1813" s="69" t="e" cm="1">
        <f t="array" ref="AA1813">_xlfn.XLOOKUP(Table1[[#This Row],[5 cm2 cell test code]:[5 cm2 cell test code]],[1]!Table1[[Test code]:[Test code]],[1]!Table1[E @ 100 mA/cm2 DIW/V],"",0)</f>
        <v>#REF!</v>
      </c>
      <c r="AB1813" s="69" t="e" cm="1">
        <f t="array" ref="AB1813">_xlfn.XLOOKUP(Table1[[#This Row],[5 cm2 cell test code]:[5 cm2 cell test code]],[1]!Table1[[Test code]:[Test code]],[1]!Table1[E @ 100 mA/cm2 10 mM KOH/V],"",0)</f>
        <v>#REF!</v>
      </c>
      <c r="AC1813" s="69" t="e" cm="1">
        <f t="array" ref="AC1813">_xlfn.XLOOKUP(Table1[[#This Row],[5 cm2 cell test code]:[5 cm2 cell test code]],[1]!Table1[[Test code]:[Test code]],[1]!Table1[Anode ICR/mOhm],"",0)</f>
        <v>#REF!</v>
      </c>
      <c r="AD1813" s="69" t="e" cm="1">
        <f t="array" ref="AD1813">_xlfn.XLOOKUP(Table1[[#This Row],[5 cm2 cell test code]:[5 cm2 cell test code]],[1]!Table1[[Test code]:[Test code]],[1]!Table1[HFR DIW/ mOhm cm2],"",0)</f>
        <v>#REF!</v>
      </c>
      <c r="AE1813" s="69" t="e" cm="1">
        <f t="array" ref="AE1813">_xlfn.XLOOKUP(Table1[[#This Row],[5 cm2 cell test code]:[5 cm2 cell test code]],[1]!Table1[[Test code]:[Test code]],[1]!Table1[HFR 10 mM KOH/ mOhm cm2],"",0)</f>
        <v>#REF!</v>
      </c>
      <c r="AF1813" s="69" t="e" cm="1">
        <f t="array" ref="AF1813">_xlfn.XLOOKUP(Table1[[#This Row],[5 cm2 cell test code]:[5 cm2 cell test code]],[1]!Table1[[Test code]:[Test code]],[1]!Table1[Ionic resistance DIW/Ohm cm2],"",0)</f>
        <v>#REF!</v>
      </c>
      <c r="AG1813" s="69" t="e" cm="1">
        <f t="array" ref="AG1813">_xlfn.XLOOKUP(Table1[[#This Row],[5 cm2 cell test code]:[5 cm2 cell test code]],[1]!Table1[[Test code]:[Test code]],[1]!Table1[Q_int_frac DIW],"",0)</f>
        <v>#REF!</v>
      </c>
      <c r="AH1813" s="69" t="e" cm="1">
        <f t="array" ref="AH1813">_xlfn.XLOOKUP(Table1[[#This Row],[5 cm2 cell test code]:[5 cm2 cell test code]],[1]!Table1[[Test code]:[Test code]],[1]!Table1[Ionic resistance 10 mM KOH/Ohm cm2],"",0)</f>
        <v>#REF!</v>
      </c>
      <c r="AI1813" s="69" t="e" cm="1">
        <f t="array" ref="AI1813">_xlfn.XLOOKUP(Table1[[#This Row],[5 cm2 cell test code]:[5 cm2 cell test code]],[1]!Table1[[Test code]:[Test code]],[1]!Table1[Q_int_frac DIW 10 mM KOH],"",0)</f>
        <v>#REF!</v>
      </c>
      <c r="AJ1813" s="69" t="e" cm="1">
        <f t="array" ref="AJ1813">_xlfn.XLOOKUP(Table1[[#This Row],[5 cm2 cell test code]:[5 cm2 cell test code]],[1]!Table1[[Test code]:[Test code]],[1]!Table1[DIW conductivity (µS/cm)],"",0)</f>
        <v>#REF!</v>
      </c>
    </row>
    <row r="1814" spans="1:36">
      <c r="A1814" s="81"/>
      <c r="U1814" s="101"/>
      <c r="V1814" s="101"/>
      <c r="W1814" s="69" t="e" cm="1">
        <f t="array" ref="W1814">_xlfn.XLOOKUP(Table1[[#This Row],[5 cm2 cell test code]:[5 cm2 cell test code]],[1]!Table1[[Test code]:[Test code]],[1]!Table1[i @ 1.8 V DIW (A/cm2)],"",0)</f>
        <v>#REF!</v>
      </c>
      <c r="X1814" s="69" t="e" cm="1">
        <f t="array" ref="X1814">_xlfn.XLOOKUP(Table1[[#This Row],[5 cm2 cell test code]:[5 cm2 cell test code]],[1]!Table1[[Test code]:[Test code]],[1]!Table1[i @ 1.8 V 10 mM KOH (A/cm2)],"",0)</f>
        <v>#REF!</v>
      </c>
      <c r="Y1814" s="69" t="e" cm="1">
        <f t="array" ref="Y1814">_xlfn.XLOOKUP(Table1[[#This Row],[5 cm2 cell test code]:[5 cm2 cell test code]],[1]!Table1[[Test code]:[Test code]],[1]!Table1[3-E ƞ at 20mAcm-2 (mV)],"",0)</f>
        <v>#REF!</v>
      </c>
      <c r="Z1814" s="69" t="e" cm="1">
        <f t="array" ref="Z1814">_xlfn.XLOOKUP(Table1[[#This Row],[5 cm2 cell test code]:[5 cm2 cell test code]],[1]!Table1[[Test code]:[Test code]],[1]!Table1[3-E Tafel slope (mV/dec)],"",0)</f>
        <v>#REF!</v>
      </c>
      <c r="AA1814" s="69" t="e" cm="1">
        <f t="array" ref="AA1814">_xlfn.XLOOKUP(Table1[[#This Row],[5 cm2 cell test code]:[5 cm2 cell test code]],[1]!Table1[[Test code]:[Test code]],[1]!Table1[E @ 100 mA/cm2 DIW/V],"",0)</f>
        <v>#REF!</v>
      </c>
      <c r="AB1814" s="69" t="e" cm="1">
        <f t="array" ref="AB1814">_xlfn.XLOOKUP(Table1[[#This Row],[5 cm2 cell test code]:[5 cm2 cell test code]],[1]!Table1[[Test code]:[Test code]],[1]!Table1[E @ 100 mA/cm2 10 mM KOH/V],"",0)</f>
        <v>#REF!</v>
      </c>
      <c r="AC1814" s="69" t="e" cm="1">
        <f t="array" ref="AC1814">_xlfn.XLOOKUP(Table1[[#This Row],[5 cm2 cell test code]:[5 cm2 cell test code]],[1]!Table1[[Test code]:[Test code]],[1]!Table1[Anode ICR/mOhm],"",0)</f>
        <v>#REF!</v>
      </c>
      <c r="AD1814" s="69" t="e" cm="1">
        <f t="array" ref="AD1814">_xlfn.XLOOKUP(Table1[[#This Row],[5 cm2 cell test code]:[5 cm2 cell test code]],[1]!Table1[[Test code]:[Test code]],[1]!Table1[HFR DIW/ mOhm cm2],"",0)</f>
        <v>#REF!</v>
      </c>
      <c r="AE1814" s="69" t="e" cm="1">
        <f t="array" ref="AE1814">_xlfn.XLOOKUP(Table1[[#This Row],[5 cm2 cell test code]:[5 cm2 cell test code]],[1]!Table1[[Test code]:[Test code]],[1]!Table1[HFR 10 mM KOH/ mOhm cm2],"",0)</f>
        <v>#REF!</v>
      </c>
      <c r="AF1814" s="69" t="e" cm="1">
        <f t="array" ref="AF1814">_xlfn.XLOOKUP(Table1[[#This Row],[5 cm2 cell test code]:[5 cm2 cell test code]],[1]!Table1[[Test code]:[Test code]],[1]!Table1[Ionic resistance DIW/Ohm cm2],"",0)</f>
        <v>#REF!</v>
      </c>
      <c r="AG1814" s="69" t="e" cm="1">
        <f t="array" ref="AG1814">_xlfn.XLOOKUP(Table1[[#This Row],[5 cm2 cell test code]:[5 cm2 cell test code]],[1]!Table1[[Test code]:[Test code]],[1]!Table1[Q_int_frac DIW],"",0)</f>
        <v>#REF!</v>
      </c>
      <c r="AH1814" s="69" t="e" cm="1">
        <f t="array" ref="AH1814">_xlfn.XLOOKUP(Table1[[#This Row],[5 cm2 cell test code]:[5 cm2 cell test code]],[1]!Table1[[Test code]:[Test code]],[1]!Table1[Ionic resistance 10 mM KOH/Ohm cm2],"",0)</f>
        <v>#REF!</v>
      </c>
      <c r="AI1814" s="69" t="e" cm="1">
        <f t="array" ref="AI1814">_xlfn.XLOOKUP(Table1[[#This Row],[5 cm2 cell test code]:[5 cm2 cell test code]],[1]!Table1[[Test code]:[Test code]],[1]!Table1[Q_int_frac DIW 10 mM KOH],"",0)</f>
        <v>#REF!</v>
      </c>
      <c r="AJ1814" s="69" t="e" cm="1">
        <f t="array" ref="AJ1814">_xlfn.XLOOKUP(Table1[[#This Row],[5 cm2 cell test code]:[5 cm2 cell test code]],[1]!Table1[[Test code]:[Test code]],[1]!Table1[DIW conductivity (µS/cm)],"",0)</f>
        <v>#REF!</v>
      </c>
    </row>
    <row r="1815" spans="1:36">
      <c r="A1815" s="81"/>
      <c r="U1815" s="101"/>
      <c r="V1815" s="101"/>
      <c r="W1815" s="69" t="e" cm="1">
        <f t="array" ref="W1815">_xlfn.XLOOKUP(Table1[[#This Row],[5 cm2 cell test code]:[5 cm2 cell test code]],[1]!Table1[[Test code]:[Test code]],[1]!Table1[i @ 1.8 V DIW (A/cm2)],"",0)</f>
        <v>#REF!</v>
      </c>
      <c r="X1815" s="69" t="e" cm="1">
        <f t="array" ref="X1815">_xlfn.XLOOKUP(Table1[[#This Row],[5 cm2 cell test code]:[5 cm2 cell test code]],[1]!Table1[[Test code]:[Test code]],[1]!Table1[i @ 1.8 V 10 mM KOH (A/cm2)],"",0)</f>
        <v>#REF!</v>
      </c>
      <c r="Y1815" s="69" t="e" cm="1">
        <f t="array" ref="Y1815">_xlfn.XLOOKUP(Table1[[#This Row],[5 cm2 cell test code]:[5 cm2 cell test code]],[1]!Table1[[Test code]:[Test code]],[1]!Table1[3-E ƞ at 20mAcm-2 (mV)],"",0)</f>
        <v>#REF!</v>
      </c>
      <c r="Z1815" s="69" t="e" cm="1">
        <f t="array" ref="Z1815">_xlfn.XLOOKUP(Table1[[#This Row],[5 cm2 cell test code]:[5 cm2 cell test code]],[1]!Table1[[Test code]:[Test code]],[1]!Table1[3-E Tafel slope (mV/dec)],"",0)</f>
        <v>#REF!</v>
      </c>
      <c r="AA1815" s="69" t="e" cm="1">
        <f t="array" ref="AA1815">_xlfn.XLOOKUP(Table1[[#This Row],[5 cm2 cell test code]:[5 cm2 cell test code]],[1]!Table1[[Test code]:[Test code]],[1]!Table1[E @ 100 mA/cm2 DIW/V],"",0)</f>
        <v>#REF!</v>
      </c>
      <c r="AB1815" s="69" t="e" cm="1">
        <f t="array" ref="AB1815">_xlfn.XLOOKUP(Table1[[#This Row],[5 cm2 cell test code]:[5 cm2 cell test code]],[1]!Table1[[Test code]:[Test code]],[1]!Table1[E @ 100 mA/cm2 10 mM KOH/V],"",0)</f>
        <v>#REF!</v>
      </c>
      <c r="AC1815" s="69" t="e" cm="1">
        <f t="array" ref="AC1815">_xlfn.XLOOKUP(Table1[[#This Row],[5 cm2 cell test code]:[5 cm2 cell test code]],[1]!Table1[[Test code]:[Test code]],[1]!Table1[Anode ICR/mOhm],"",0)</f>
        <v>#REF!</v>
      </c>
      <c r="AD1815" s="69" t="e" cm="1">
        <f t="array" ref="AD1815">_xlfn.XLOOKUP(Table1[[#This Row],[5 cm2 cell test code]:[5 cm2 cell test code]],[1]!Table1[[Test code]:[Test code]],[1]!Table1[HFR DIW/ mOhm cm2],"",0)</f>
        <v>#REF!</v>
      </c>
      <c r="AE1815" s="69" t="e" cm="1">
        <f t="array" ref="AE1815">_xlfn.XLOOKUP(Table1[[#This Row],[5 cm2 cell test code]:[5 cm2 cell test code]],[1]!Table1[[Test code]:[Test code]],[1]!Table1[HFR 10 mM KOH/ mOhm cm2],"",0)</f>
        <v>#REF!</v>
      </c>
      <c r="AF1815" s="69" t="e" cm="1">
        <f t="array" ref="AF1815">_xlfn.XLOOKUP(Table1[[#This Row],[5 cm2 cell test code]:[5 cm2 cell test code]],[1]!Table1[[Test code]:[Test code]],[1]!Table1[Ionic resistance DIW/Ohm cm2],"",0)</f>
        <v>#REF!</v>
      </c>
      <c r="AG1815" s="69" t="e" cm="1">
        <f t="array" ref="AG1815">_xlfn.XLOOKUP(Table1[[#This Row],[5 cm2 cell test code]:[5 cm2 cell test code]],[1]!Table1[[Test code]:[Test code]],[1]!Table1[Q_int_frac DIW],"",0)</f>
        <v>#REF!</v>
      </c>
      <c r="AH1815" s="69" t="e" cm="1">
        <f t="array" ref="AH1815">_xlfn.XLOOKUP(Table1[[#This Row],[5 cm2 cell test code]:[5 cm2 cell test code]],[1]!Table1[[Test code]:[Test code]],[1]!Table1[Ionic resistance 10 mM KOH/Ohm cm2],"",0)</f>
        <v>#REF!</v>
      </c>
      <c r="AI1815" s="69" t="e" cm="1">
        <f t="array" ref="AI1815">_xlfn.XLOOKUP(Table1[[#This Row],[5 cm2 cell test code]:[5 cm2 cell test code]],[1]!Table1[[Test code]:[Test code]],[1]!Table1[Q_int_frac DIW 10 mM KOH],"",0)</f>
        <v>#REF!</v>
      </c>
      <c r="AJ1815" s="69" t="e" cm="1">
        <f t="array" ref="AJ1815">_xlfn.XLOOKUP(Table1[[#This Row],[5 cm2 cell test code]:[5 cm2 cell test code]],[1]!Table1[[Test code]:[Test code]],[1]!Table1[DIW conductivity (µS/cm)],"",0)</f>
        <v>#REF!</v>
      </c>
    </row>
    <row r="1816" spans="1:36">
      <c r="A1816" s="81"/>
      <c r="U1816" s="101"/>
      <c r="V1816" s="101"/>
      <c r="W1816" s="69" t="e" cm="1">
        <f t="array" ref="W1816">_xlfn.XLOOKUP(Table1[[#This Row],[5 cm2 cell test code]:[5 cm2 cell test code]],[1]!Table1[[Test code]:[Test code]],[1]!Table1[i @ 1.8 V DIW (A/cm2)],"",0)</f>
        <v>#REF!</v>
      </c>
      <c r="X1816" s="69" t="e" cm="1">
        <f t="array" ref="X1816">_xlfn.XLOOKUP(Table1[[#This Row],[5 cm2 cell test code]:[5 cm2 cell test code]],[1]!Table1[[Test code]:[Test code]],[1]!Table1[i @ 1.8 V 10 mM KOH (A/cm2)],"",0)</f>
        <v>#REF!</v>
      </c>
      <c r="Y1816" s="69" t="e" cm="1">
        <f t="array" ref="Y1816">_xlfn.XLOOKUP(Table1[[#This Row],[5 cm2 cell test code]:[5 cm2 cell test code]],[1]!Table1[[Test code]:[Test code]],[1]!Table1[3-E ƞ at 20mAcm-2 (mV)],"",0)</f>
        <v>#REF!</v>
      </c>
      <c r="Z1816" s="69" t="e" cm="1">
        <f t="array" ref="Z1816">_xlfn.XLOOKUP(Table1[[#This Row],[5 cm2 cell test code]:[5 cm2 cell test code]],[1]!Table1[[Test code]:[Test code]],[1]!Table1[3-E Tafel slope (mV/dec)],"",0)</f>
        <v>#REF!</v>
      </c>
      <c r="AA1816" s="69" t="e" cm="1">
        <f t="array" ref="AA1816">_xlfn.XLOOKUP(Table1[[#This Row],[5 cm2 cell test code]:[5 cm2 cell test code]],[1]!Table1[[Test code]:[Test code]],[1]!Table1[E @ 100 mA/cm2 DIW/V],"",0)</f>
        <v>#REF!</v>
      </c>
      <c r="AB1816" s="69" t="e" cm="1">
        <f t="array" ref="AB1816">_xlfn.XLOOKUP(Table1[[#This Row],[5 cm2 cell test code]:[5 cm2 cell test code]],[1]!Table1[[Test code]:[Test code]],[1]!Table1[E @ 100 mA/cm2 10 mM KOH/V],"",0)</f>
        <v>#REF!</v>
      </c>
      <c r="AC1816" s="69" t="e" cm="1">
        <f t="array" ref="AC1816">_xlfn.XLOOKUP(Table1[[#This Row],[5 cm2 cell test code]:[5 cm2 cell test code]],[1]!Table1[[Test code]:[Test code]],[1]!Table1[Anode ICR/mOhm],"",0)</f>
        <v>#REF!</v>
      </c>
      <c r="AD1816" s="69" t="e" cm="1">
        <f t="array" ref="AD1816">_xlfn.XLOOKUP(Table1[[#This Row],[5 cm2 cell test code]:[5 cm2 cell test code]],[1]!Table1[[Test code]:[Test code]],[1]!Table1[HFR DIW/ mOhm cm2],"",0)</f>
        <v>#REF!</v>
      </c>
      <c r="AE1816" s="69" t="e" cm="1">
        <f t="array" ref="AE1816">_xlfn.XLOOKUP(Table1[[#This Row],[5 cm2 cell test code]:[5 cm2 cell test code]],[1]!Table1[[Test code]:[Test code]],[1]!Table1[HFR 10 mM KOH/ mOhm cm2],"",0)</f>
        <v>#REF!</v>
      </c>
      <c r="AF1816" s="69" t="e" cm="1">
        <f t="array" ref="AF1816">_xlfn.XLOOKUP(Table1[[#This Row],[5 cm2 cell test code]:[5 cm2 cell test code]],[1]!Table1[[Test code]:[Test code]],[1]!Table1[Ionic resistance DIW/Ohm cm2],"",0)</f>
        <v>#REF!</v>
      </c>
      <c r="AG1816" s="69" t="e" cm="1">
        <f t="array" ref="AG1816">_xlfn.XLOOKUP(Table1[[#This Row],[5 cm2 cell test code]:[5 cm2 cell test code]],[1]!Table1[[Test code]:[Test code]],[1]!Table1[Q_int_frac DIW],"",0)</f>
        <v>#REF!</v>
      </c>
      <c r="AH1816" s="69" t="e" cm="1">
        <f t="array" ref="AH1816">_xlfn.XLOOKUP(Table1[[#This Row],[5 cm2 cell test code]:[5 cm2 cell test code]],[1]!Table1[[Test code]:[Test code]],[1]!Table1[Ionic resistance 10 mM KOH/Ohm cm2],"",0)</f>
        <v>#REF!</v>
      </c>
      <c r="AI1816" s="69" t="e" cm="1">
        <f t="array" ref="AI1816">_xlfn.XLOOKUP(Table1[[#This Row],[5 cm2 cell test code]:[5 cm2 cell test code]],[1]!Table1[[Test code]:[Test code]],[1]!Table1[Q_int_frac DIW 10 mM KOH],"",0)</f>
        <v>#REF!</v>
      </c>
      <c r="AJ1816" s="69" t="e" cm="1">
        <f t="array" ref="AJ1816">_xlfn.XLOOKUP(Table1[[#This Row],[5 cm2 cell test code]:[5 cm2 cell test code]],[1]!Table1[[Test code]:[Test code]],[1]!Table1[DIW conductivity (µS/cm)],"",0)</f>
        <v>#REF!</v>
      </c>
    </row>
    <row r="1817" spans="1:36">
      <c r="A1817" s="81"/>
      <c r="U1817" s="101"/>
      <c r="V1817" s="101"/>
      <c r="W1817" s="69" t="e" cm="1">
        <f t="array" ref="W1817">_xlfn.XLOOKUP(Table1[[#This Row],[5 cm2 cell test code]:[5 cm2 cell test code]],[1]!Table1[[Test code]:[Test code]],[1]!Table1[i @ 1.8 V DIW (A/cm2)],"",0)</f>
        <v>#REF!</v>
      </c>
      <c r="X1817" s="69" t="e" cm="1">
        <f t="array" ref="X1817">_xlfn.XLOOKUP(Table1[[#This Row],[5 cm2 cell test code]:[5 cm2 cell test code]],[1]!Table1[[Test code]:[Test code]],[1]!Table1[i @ 1.8 V 10 mM KOH (A/cm2)],"",0)</f>
        <v>#REF!</v>
      </c>
      <c r="Y1817" s="69" t="e" cm="1">
        <f t="array" ref="Y1817">_xlfn.XLOOKUP(Table1[[#This Row],[5 cm2 cell test code]:[5 cm2 cell test code]],[1]!Table1[[Test code]:[Test code]],[1]!Table1[3-E ƞ at 20mAcm-2 (mV)],"",0)</f>
        <v>#REF!</v>
      </c>
      <c r="Z1817" s="69" t="e" cm="1">
        <f t="array" ref="Z1817">_xlfn.XLOOKUP(Table1[[#This Row],[5 cm2 cell test code]:[5 cm2 cell test code]],[1]!Table1[[Test code]:[Test code]],[1]!Table1[3-E Tafel slope (mV/dec)],"",0)</f>
        <v>#REF!</v>
      </c>
      <c r="AA1817" s="69" t="e" cm="1">
        <f t="array" ref="AA1817">_xlfn.XLOOKUP(Table1[[#This Row],[5 cm2 cell test code]:[5 cm2 cell test code]],[1]!Table1[[Test code]:[Test code]],[1]!Table1[E @ 100 mA/cm2 DIW/V],"",0)</f>
        <v>#REF!</v>
      </c>
      <c r="AB1817" s="69" t="e" cm="1">
        <f t="array" ref="AB1817">_xlfn.XLOOKUP(Table1[[#This Row],[5 cm2 cell test code]:[5 cm2 cell test code]],[1]!Table1[[Test code]:[Test code]],[1]!Table1[E @ 100 mA/cm2 10 mM KOH/V],"",0)</f>
        <v>#REF!</v>
      </c>
      <c r="AC1817" s="69" t="e" cm="1">
        <f t="array" ref="AC1817">_xlfn.XLOOKUP(Table1[[#This Row],[5 cm2 cell test code]:[5 cm2 cell test code]],[1]!Table1[[Test code]:[Test code]],[1]!Table1[Anode ICR/mOhm],"",0)</f>
        <v>#REF!</v>
      </c>
      <c r="AD1817" s="69" t="e" cm="1">
        <f t="array" ref="AD1817">_xlfn.XLOOKUP(Table1[[#This Row],[5 cm2 cell test code]:[5 cm2 cell test code]],[1]!Table1[[Test code]:[Test code]],[1]!Table1[HFR DIW/ mOhm cm2],"",0)</f>
        <v>#REF!</v>
      </c>
      <c r="AE1817" s="69" t="e" cm="1">
        <f t="array" ref="AE1817">_xlfn.XLOOKUP(Table1[[#This Row],[5 cm2 cell test code]:[5 cm2 cell test code]],[1]!Table1[[Test code]:[Test code]],[1]!Table1[HFR 10 mM KOH/ mOhm cm2],"",0)</f>
        <v>#REF!</v>
      </c>
      <c r="AF1817" s="69" t="e" cm="1">
        <f t="array" ref="AF1817">_xlfn.XLOOKUP(Table1[[#This Row],[5 cm2 cell test code]:[5 cm2 cell test code]],[1]!Table1[[Test code]:[Test code]],[1]!Table1[Ionic resistance DIW/Ohm cm2],"",0)</f>
        <v>#REF!</v>
      </c>
      <c r="AG1817" s="69" t="e" cm="1">
        <f t="array" ref="AG1817">_xlfn.XLOOKUP(Table1[[#This Row],[5 cm2 cell test code]:[5 cm2 cell test code]],[1]!Table1[[Test code]:[Test code]],[1]!Table1[Q_int_frac DIW],"",0)</f>
        <v>#REF!</v>
      </c>
      <c r="AH1817" s="69" t="e" cm="1">
        <f t="array" ref="AH1817">_xlfn.XLOOKUP(Table1[[#This Row],[5 cm2 cell test code]:[5 cm2 cell test code]],[1]!Table1[[Test code]:[Test code]],[1]!Table1[Ionic resistance 10 mM KOH/Ohm cm2],"",0)</f>
        <v>#REF!</v>
      </c>
      <c r="AI1817" s="69" t="e" cm="1">
        <f t="array" ref="AI1817">_xlfn.XLOOKUP(Table1[[#This Row],[5 cm2 cell test code]:[5 cm2 cell test code]],[1]!Table1[[Test code]:[Test code]],[1]!Table1[Q_int_frac DIW 10 mM KOH],"",0)</f>
        <v>#REF!</v>
      </c>
      <c r="AJ1817" s="69" t="e" cm="1">
        <f t="array" ref="AJ1817">_xlfn.XLOOKUP(Table1[[#This Row],[5 cm2 cell test code]:[5 cm2 cell test code]],[1]!Table1[[Test code]:[Test code]],[1]!Table1[DIW conductivity (µS/cm)],"",0)</f>
        <v>#REF!</v>
      </c>
    </row>
    <row r="1818" spans="1:36">
      <c r="A1818" s="81"/>
      <c r="U1818" s="101"/>
      <c r="V1818" s="101"/>
      <c r="W1818" s="69" t="e" cm="1">
        <f t="array" ref="W1818">_xlfn.XLOOKUP(Table1[[#This Row],[5 cm2 cell test code]:[5 cm2 cell test code]],[1]!Table1[[Test code]:[Test code]],[1]!Table1[i @ 1.8 V DIW (A/cm2)],"",0)</f>
        <v>#REF!</v>
      </c>
      <c r="X1818" s="69" t="e" cm="1">
        <f t="array" ref="X1818">_xlfn.XLOOKUP(Table1[[#This Row],[5 cm2 cell test code]:[5 cm2 cell test code]],[1]!Table1[[Test code]:[Test code]],[1]!Table1[i @ 1.8 V 10 mM KOH (A/cm2)],"",0)</f>
        <v>#REF!</v>
      </c>
      <c r="Y1818" s="69" t="e" cm="1">
        <f t="array" ref="Y1818">_xlfn.XLOOKUP(Table1[[#This Row],[5 cm2 cell test code]:[5 cm2 cell test code]],[1]!Table1[[Test code]:[Test code]],[1]!Table1[3-E ƞ at 20mAcm-2 (mV)],"",0)</f>
        <v>#REF!</v>
      </c>
      <c r="Z1818" s="69" t="e" cm="1">
        <f t="array" ref="Z1818">_xlfn.XLOOKUP(Table1[[#This Row],[5 cm2 cell test code]:[5 cm2 cell test code]],[1]!Table1[[Test code]:[Test code]],[1]!Table1[3-E Tafel slope (mV/dec)],"",0)</f>
        <v>#REF!</v>
      </c>
      <c r="AA1818" s="69" t="e" cm="1">
        <f t="array" ref="AA1818">_xlfn.XLOOKUP(Table1[[#This Row],[5 cm2 cell test code]:[5 cm2 cell test code]],[1]!Table1[[Test code]:[Test code]],[1]!Table1[E @ 100 mA/cm2 DIW/V],"",0)</f>
        <v>#REF!</v>
      </c>
      <c r="AB1818" s="69" t="e" cm="1">
        <f t="array" ref="AB1818">_xlfn.XLOOKUP(Table1[[#This Row],[5 cm2 cell test code]:[5 cm2 cell test code]],[1]!Table1[[Test code]:[Test code]],[1]!Table1[E @ 100 mA/cm2 10 mM KOH/V],"",0)</f>
        <v>#REF!</v>
      </c>
      <c r="AC1818" s="69" t="e" cm="1">
        <f t="array" ref="AC1818">_xlfn.XLOOKUP(Table1[[#This Row],[5 cm2 cell test code]:[5 cm2 cell test code]],[1]!Table1[[Test code]:[Test code]],[1]!Table1[Anode ICR/mOhm],"",0)</f>
        <v>#REF!</v>
      </c>
      <c r="AD1818" s="69" t="e" cm="1">
        <f t="array" ref="AD1818">_xlfn.XLOOKUP(Table1[[#This Row],[5 cm2 cell test code]:[5 cm2 cell test code]],[1]!Table1[[Test code]:[Test code]],[1]!Table1[HFR DIW/ mOhm cm2],"",0)</f>
        <v>#REF!</v>
      </c>
      <c r="AE1818" s="69" t="e" cm="1">
        <f t="array" ref="AE1818">_xlfn.XLOOKUP(Table1[[#This Row],[5 cm2 cell test code]:[5 cm2 cell test code]],[1]!Table1[[Test code]:[Test code]],[1]!Table1[HFR 10 mM KOH/ mOhm cm2],"",0)</f>
        <v>#REF!</v>
      </c>
      <c r="AF1818" s="69" t="e" cm="1">
        <f t="array" ref="AF1818">_xlfn.XLOOKUP(Table1[[#This Row],[5 cm2 cell test code]:[5 cm2 cell test code]],[1]!Table1[[Test code]:[Test code]],[1]!Table1[Ionic resistance DIW/Ohm cm2],"",0)</f>
        <v>#REF!</v>
      </c>
      <c r="AG1818" s="69" t="e" cm="1">
        <f t="array" ref="AG1818">_xlfn.XLOOKUP(Table1[[#This Row],[5 cm2 cell test code]:[5 cm2 cell test code]],[1]!Table1[[Test code]:[Test code]],[1]!Table1[Q_int_frac DIW],"",0)</f>
        <v>#REF!</v>
      </c>
      <c r="AH1818" s="69" t="e" cm="1">
        <f t="array" ref="AH1818">_xlfn.XLOOKUP(Table1[[#This Row],[5 cm2 cell test code]:[5 cm2 cell test code]],[1]!Table1[[Test code]:[Test code]],[1]!Table1[Ionic resistance 10 mM KOH/Ohm cm2],"",0)</f>
        <v>#REF!</v>
      </c>
      <c r="AI1818" s="69" t="e" cm="1">
        <f t="array" ref="AI1818">_xlfn.XLOOKUP(Table1[[#This Row],[5 cm2 cell test code]:[5 cm2 cell test code]],[1]!Table1[[Test code]:[Test code]],[1]!Table1[Q_int_frac DIW 10 mM KOH],"",0)</f>
        <v>#REF!</v>
      </c>
      <c r="AJ1818" s="69" t="e" cm="1">
        <f t="array" ref="AJ1818">_xlfn.XLOOKUP(Table1[[#This Row],[5 cm2 cell test code]:[5 cm2 cell test code]],[1]!Table1[[Test code]:[Test code]],[1]!Table1[DIW conductivity (µS/cm)],"",0)</f>
        <v>#REF!</v>
      </c>
    </row>
    <row r="1819" spans="1:36">
      <c r="A1819" s="81"/>
      <c r="U1819" s="101"/>
      <c r="V1819" s="101"/>
      <c r="W1819" s="69" t="e" cm="1">
        <f t="array" ref="W1819">_xlfn.XLOOKUP(Table1[[#This Row],[5 cm2 cell test code]:[5 cm2 cell test code]],[1]!Table1[[Test code]:[Test code]],[1]!Table1[i @ 1.8 V DIW (A/cm2)],"",0)</f>
        <v>#REF!</v>
      </c>
      <c r="X1819" s="69" t="e" cm="1">
        <f t="array" ref="X1819">_xlfn.XLOOKUP(Table1[[#This Row],[5 cm2 cell test code]:[5 cm2 cell test code]],[1]!Table1[[Test code]:[Test code]],[1]!Table1[i @ 1.8 V 10 mM KOH (A/cm2)],"",0)</f>
        <v>#REF!</v>
      </c>
      <c r="Y1819" s="69" t="e" cm="1">
        <f t="array" ref="Y1819">_xlfn.XLOOKUP(Table1[[#This Row],[5 cm2 cell test code]:[5 cm2 cell test code]],[1]!Table1[[Test code]:[Test code]],[1]!Table1[3-E ƞ at 20mAcm-2 (mV)],"",0)</f>
        <v>#REF!</v>
      </c>
      <c r="Z1819" s="69" t="e" cm="1">
        <f t="array" ref="Z1819">_xlfn.XLOOKUP(Table1[[#This Row],[5 cm2 cell test code]:[5 cm2 cell test code]],[1]!Table1[[Test code]:[Test code]],[1]!Table1[3-E Tafel slope (mV/dec)],"",0)</f>
        <v>#REF!</v>
      </c>
      <c r="AA1819" s="69" t="e" cm="1">
        <f t="array" ref="AA1819">_xlfn.XLOOKUP(Table1[[#This Row],[5 cm2 cell test code]:[5 cm2 cell test code]],[1]!Table1[[Test code]:[Test code]],[1]!Table1[E @ 100 mA/cm2 DIW/V],"",0)</f>
        <v>#REF!</v>
      </c>
      <c r="AB1819" s="69" t="e" cm="1">
        <f t="array" ref="AB1819">_xlfn.XLOOKUP(Table1[[#This Row],[5 cm2 cell test code]:[5 cm2 cell test code]],[1]!Table1[[Test code]:[Test code]],[1]!Table1[E @ 100 mA/cm2 10 mM KOH/V],"",0)</f>
        <v>#REF!</v>
      </c>
      <c r="AC1819" s="69" t="e" cm="1">
        <f t="array" ref="AC1819">_xlfn.XLOOKUP(Table1[[#This Row],[5 cm2 cell test code]:[5 cm2 cell test code]],[1]!Table1[[Test code]:[Test code]],[1]!Table1[Anode ICR/mOhm],"",0)</f>
        <v>#REF!</v>
      </c>
      <c r="AD1819" s="69" t="e" cm="1">
        <f t="array" ref="AD1819">_xlfn.XLOOKUP(Table1[[#This Row],[5 cm2 cell test code]:[5 cm2 cell test code]],[1]!Table1[[Test code]:[Test code]],[1]!Table1[HFR DIW/ mOhm cm2],"",0)</f>
        <v>#REF!</v>
      </c>
      <c r="AE1819" s="69" t="e" cm="1">
        <f t="array" ref="AE1819">_xlfn.XLOOKUP(Table1[[#This Row],[5 cm2 cell test code]:[5 cm2 cell test code]],[1]!Table1[[Test code]:[Test code]],[1]!Table1[HFR 10 mM KOH/ mOhm cm2],"",0)</f>
        <v>#REF!</v>
      </c>
      <c r="AF1819" s="69" t="e" cm="1">
        <f t="array" ref="AF1819">_xlfn.XLOOKUP(Table1[[#This Row],[5 cm2 cell test code]:[5 cm2 cell test code]],[1]!Table1[[Test code]:[Test code]],[1]!Table1[Ionic resistance DIW/Ohm cm2],"",0)</f>
        <v>#REF!</v>
      </c>
      <c r="AG1819" s="69" t="e" cm="1">
        <f t="array" ref="AG1819">_xlfn.XLOOKUP(Table1[[#This Row],[5 cm2 cell test code]:[5 cm2 cell test code]],[1]!Table1[[Test code]:[Test code]],[1]!Table1[Q_int_frac DIW],"",0)</f>
        <v>#REF!</v>
      </c>
      <c r="AH1819" s="69" t="e" cm="1">
        <f t="array" ref="AH1819">_xlfn.XLOOKUP(Table1[[#This Row],[5 cm2 cell test code]:[5 cm2 cell test code]],[1]!Table1[[Test code]:[Test code]],[1]!Table1[Ionic resistance 10 mM KOH/Ohm cm2],"",0)</f>
        <v>#REF!</v>
      </c>
      <c r="AI1819" s="69" t="e" cm="1">
        <f t="array" ref="AI1819">_xlfn.XLOOKUP(Table1[[#This Row],[5 cm2 cell test code]:[5 cm2 cell test code]],[1]!Table1[[Test code]:[Test code]],[1]!Table1[Q_int_frac DIW 10 mM KOH],"",0)</f>
        <v>#REF!</v>
      </c>
      <c r="AJ1819" s="69" t="e" cm="1">
        <f t="array" ref="AJ1819">_xlfn.XLOOKUP(Table1[[#This Row],[5 cm2 cell test code]:[5 cm2 cell test code]],[1]!Table1[[Test code]:[Test code]],[1]!Table1[DIW conductivity (µS/cm)],"",0)</f>
        <v>#REF!</v>
      </c>
    </row>
    <row r="1820" spans="1:36">
      <c r="A1820" s="81"/>
      <c r="U1820" s="101"/>
      <c r="V1820" s="101"/>
      <c r="W1820" s="69" t="e" cm="1">
        <f t="array" ref="W1820">_xlfn.XLOOKUP(Table1[[#This Row],[5 cm2 cell test code]:[5 cm2 cell test code]],[1]!Table1[[Test code]:[Test code]],[1]!Table1[i @ 1.8 V DIW (A/cm2)],"",0)</f>
        <v>#REF!</v>
      </c>
      <c r="X1820" s="69" t="e" cm="1">
        <f t="array" ref="X1820">_xlfn.XLOOKUP(Table1[[#This Row],[5 cm2 cell test code]:[5 cm2 cell test code]],[1]!Table1[[Test code]:[Test code]],[1]!Table1[i @ 1.8 V 10 mM KOH (A/cm2)],"",0)</f>
        <v>#REF!</v>
      </c>
      <c r="Y1820" s="69" t="e" cm="1">
        <f t="array" ref="Y1820">_xlfn.XLOOKUP(Table1[[#This Row],[5 cm2 cell test code]:[5 cm2 cell test code]],[1]!Table1[[Test code]:[Test code]],[1]!Table1[3-E ƞ at 20mAcm-2 (mV)],"",0)</f>
        <v>#REF!</v>
      </c>
      <c r="Z1820" s="69" t="e" cm="1">
        <f t="array" ref="Z1820">_xlfn.XLOOKUP(Table1[[#This Row],[5 cm2 cell test code]:[5 cm2 cell test code]],[1]!Table1[[Test code]:[Test code]],[1]!Table1[3-E Tafel slope (mV/dec)],"",0)</f>
        <v>#REF!</v>
      </c>
      <c r="AA1820" s="69" t="e" cm="1">
        <f t="array" ref="AA1820">_xlfn.XLOOKUP(Table1[[#This Row],[5 cm2 cell test code]:[5 cm2 cell test code]],[1]!Table1[[Test code]:[Test code]],[1]!Table1[E @ 100 mA/cm2 DIW/V],"",0)</f>
        <v>#REF!</v>
      </c>
      <c r="AB1820" s="69" t="e" cm="1">
        <f t="array" ref="AB1820">_xlfn.XLOOKUP(Table1[[#This Row],[5 cm2 cell test code]:[5 cm2 cell test code]],[1]!Table1[[Test code]:[Test code]],[1]!Table1[E @ 100 mA/cm2 10 mM KOH/V],"",0)</f>
        <v>#REF!</v>
      </c>
      <c r="AC1820" s="69" t="e" cm="1">
        <f t="array" ref="AC1820">_xlfn.XLOOKUP(Table1[[#This Row],[5 cm2 cell test code]:[5 cm2 cell test code]],[1]!Table1[[Test code]:[Test code]],[1]!Table1[Anode ICR/mOhm],"",0)</f>
        <v>#REF!</v>
      </c>
      <c r="AD1820" s="69" t="e" cm="1">
        <f t="array" ref="AD1820">_xlfn.XLOOKUP(Table1[[#This Row],[5 cm2 cell test code]:[5 cm2 cell test code]],[1]!Table1[[Test code]:[Test code]],[1]!Table1[HFR DIW/ mOhm cm2],"",0)</f>
        <v>#REF!</v>
      </c>
      <c r="AE1820" s="69" t="e" cm="1">
        <f t="array" ref="AE1820">_xlfn.XLOOKUP(Table1[[#This Row],[5 cm2 cell test code]:[5 cm2 cell test code]],[1]!Table1[[Test code]:[Test code]],[1]!Table1[HFR 10 mM KOH/ mOhm cm2],"",0)</f>
        <v>#REF!</v>
      </c>
      <c r="AF1820" s="69" t="e" cm="1">
        <f t="array" ref="AF1820">_xlfn.XLOOKUP(Table1[[#This Row],[5 cm2 cell test code]:[5 cm2 cell test code]],[1]!Table1[[Test code]:[Test code]],[1]!Table1[Ionic resistance DIW/Ohm cm2],"",0)</f>
        <v>#REF!</v>
      </c>
      <c r="AG1820" s="69" t="e" cm="1">
        <f t="array" ref="AG1820">_xlfn.XLOOKUP(Table1[[#This Row],[5 cm2 cell test code]:[5 cm2 cell test code]],[1]!Table1[[Test code]:[Test code]],[1]!Table1[Q_int_frac DIW],"",0)</f>
        <v>#REF!</v>
      </c>
      <c r="AH1820" s="69" t="e" cm="1">
        <f t="array" ref="AH1820">_xlfn.XLOOKUP(Table1[[#This Row],[5 cm2 cell test code]:[5 cm2 cell test code]],[1]!Table1[[Test code]:[Test code]],[1]!Table1[Ionic resistance 10 mM KOH/Ohm cm2],"",0)</f>
        <v>#REF!</v>
      </c>
      <c r="AI1820" s="69" t="e" cm="1">
        <f t="array" ref="AI1820">_xlfn.XLOOKUP(Table1[[#This Row],[5 cm2 cell test code]:[5 cm2 cell test code]],[1]!Table1[[Test code]:[Test code]],[1]!Table1[Q_int_frac DIW 10 mM KOH],"",0)</f>
        <v>#REF!</v>
      </c>
      <c r="AJ1820" s="69" t="e" cm="1">
        <f t="array" ref="AJ1820">_xlfn.XLOOKUP(Table1[[#This Row],[5 cm2 cell test code]:[5 cm2 cell test code]],[1]!Table1[[Test code]:[Test code]],[1]!Table1[DIW conductivity (µS/cm)],"",0)</f>
        <v>#REF!</v>
      </c>
    </row>
    <row r="1821" spans="1:36">
      <c r="A1821" s="81"/>
      <c r="U1821" s="101"/>
      <c r="V1821" s="101"/>
      <c r="W1821" s="69" t="e" cm="1">
        <f t="array" ref="W1821">_xlfn.XLOOKUP(Table1[[#This Row],[5 cm2 cell test code]:[5 cm2 cell test code]],[1]!Table1[[Test code]:[Test code]],[1]!Table1[i @ 1.8 V DIW (A/cm2)],"",0)</f>
        <v>#REF!</v>
      </c>
      <c r="X1821" s="69" t="e" cm="1">
        <f t="array" ref="X1821">_xlfn.XLOOKUP(Table1[[#This Row],[5 cm2 cell test code]:[5 cm2 cell test code]],[1]!Table1[[Test code]:[Test code]],[1]!Table1[i @ 1.8 V 10 mM KOH (A/cm2)],"",0)</f>
        <v>#REF!</v>
      </c>
      <c r="Y1821" s="69" t="e" cm="1">
        <f t="array" ref="Y1821">_xlfn.XLOOKUP(Table1[[#This Row],[5 cm2 cell test code]:[5 cm2 cell test code]],[1]!Table1[[Test code]:[Test code]],[1]!Table1[3-E ƞ at 20mAcm-2 (mV)],"",0)</f>
        <v>#REF!</v>
      </c>
      <c r="Z1821" s="69" t="e" cm="1">
        <f t="array" ref="Z1821">_xlfn.XLOOKUP(Table1[[#This Row],[5 cm2 cell test code]:[5 cm2 cell test code]],[1]!Table1[[Test code]:[Test code]],[1]!Table1[3-E Tafel slope (mV/dec)],"",0)</f>
        <v>#REF!</v>
      </c>
      <c r="AA1821" s="69" t="e" cm="1">
        <f t="array" ref="AA1821">_xlfn.XLOOKUP(Table1[[#This Row],[5 cm2 cell test code]:[5 cm2 cell test code]],[1]!Table1[[Test code]:[Test code]],[1]!Table1[E @ 100 mA/cm2 DIW/V],"",0)</f>
        <v>#REF!</v>
      </c>
      <c r="AB1821" s="69" t="e" cm="1">
        <f t="array" ref="AB1821">_xlfn.XLOOKUP(Table1[[#This Row],[5 cm2 cell test code]:[5 cm2 cell test code]],[1]!Table1[[Test code]:[Test code]],[1]!Table1[E @ 100 mA/cm2 10 mM KOH/V],"",0)</f>
        <v>#REF!</v>
      </c>
      <c r="AC1821" s="69" t="e" cm="1">
        <f t="array" ref="AC1821">_xlfn.XLOOKUP(Table1[[#This Row],[5 cm2 cell test code]:[5 cm2 cell test code]],[1]!Table1[[Test code]:[Test code]],[1]!Table1[Anode ICR/mOhm],"",0)</f>
        <v>#REF!</v>
      </c>
      <c r="AD1821" s="69" t="e" cm="1">
        <f t="array" ref="AD1821">_xlfn.XLOOKUP(Table1[[#This Row],[5 cm2 cell test code]:[5 cm2 cell test code]],[1]!Table1[[Test code]:[Test code]],[1]!Table1[HFR DIW/ mOhm cm2],"",0)</f>
        <v>#REF!</v>
      </c>
      <c r="AE1821" s="69" t="e" cm="1">
        <f t="array" ref="AE1821">_xlfn.XLOOKUP(Table1[[#This Row],[5 cm2 cell test code]:[5 cm2 cell test code]],[1]!Table1[[Test code]:[Test code]],[1]!Table1[HFR 10 mM KOH/ mOhm cm2],"",0)</f>
        <v>#REF!</v>
      </c>
      <c r="AF1821" s="69" t="e" cm="1">
        <f t="array" ref="AF1821">_xlfn.XLOOKUP(Table1[[#This Row],[5 cm2 cell test code]:[5 cm2 cell test code]],[1]!Table1[[Test code]:[Test code]],[1]!Table1[Ionic resistance DIW/Ohm cm2],"",0)</f>
        <v>#REF!</v>
      </c>
      <c r="AG1821" s="69" t="e" cm="1">
        <f t="array" ref="AG1821">_xlfn.XLOOKUP(Table1[[#This Row],[5 cm2 cell test code]:[5 cm2 cell test code]],[1]!Table1[[Test code]:[Test code]],[1]!Table1[Q_int_frac DIW],"",0)</f>
        <v>#REF!</v>
      </c>
      <c r="AH1821" s="69" t="e" cm="1">
        <f t="array" ref="AH1821">_xlfn.XLOOKUP(Table1[[#This Row],[5 cm2 cell test code]:[5 cm2 cell test code]],[1]!Table1[[Test code]:[Test code]],[1]!Table1[Ionic resistance 10 mM KOH/Ohm cm2],"",0)</f>
        <v>#REF!</v>
      </c>
      <c r="AI1821" s="69" t="e" cm="1">
        <f t="array" ref="AI1821">_xlfn.XLOOKUP(Table1[[#This Row],[5 cm2 cell test code]:[5 cm2 cell test code]],[1]!Table1[[Test code]:[Test code]],[1]!Table1[Q_int_frac DIW 10 mM KOH],"",0)</f>
        <v>#REF!</v>
      </c>
      <c r="AJ1821" s="69" t="e" cm="1">
        <f t="array" ref="AJ1821">_xlfn.XLOOKUP(Table1[[#This Row],[5 cm2 cell test code]:[5 cm2 cell test code]],[1]!Table1[[Test code]:[Test code]],[1]!Table1[DIW conductivity (µS/cm)],"",0)</f>
        <v>#REF!</v>
      </c>
    </row>
    <row r="1822" spans="1:36">
      <c r="A1822" s="81"/>
      <c r="U1822" s="101"/>
      <c r="V1822" s="101"/>
      <c r="W1822" s="69" t="e" cm="1">
        <f t="array" ref="W1822">_xlfn.XLOOKUP(Table1[[#This Row],[5 cm2 cell test code]:[5 cm2 cell test code]],[1]!Table1[[Test code]:[Test code]],[1]!Table1[i @ 1.8 V DIW (A/cm2)],"",0)</f>
        <v>#REF!</v>
      </c>
      <c r="X1822" s="69" t="e" cm="1">
        <f t="array" ref="X1822">_xlfn.XLOOKUP(Table1[[#This Row],[5 cm2 cell test code]:[5 cm2 cell test code]],[1]!Table1[[Test code]:[Test code]],[1]!Table1[i @ 1.8 V 10 mM KOH (A/cm2)],"",0)</f>
        <v>#REF!</v>
      </c>
      <c r="Y1822" s="69" t="e" cm="1">
        <f t="array" ref="Y1822">_xlfn.XLOOKUP(Table1[[#This Row],[5 cm2 cell test code]:[5 cm2 cell test code]],[1]!Table1[[Test code]:[Test code]],[1]!Table1[3-E ƞ at 20mAcm-2 (mV)],"",0)</f>
        <v>#REF!</v>
      </c>
      <c r="Z1822" s="69" t="e" cm="1">
        <f t="array" ref="Z1822">_xlfn.XLOOKUP(Table1[[#This Row],[5 cm2 cell test code]:[5 cm2 cell test code]],[1]!Table1[[Test code]:[Test code]],[1]!Table1[3-E Tafel slope (mV/dec)],"",0)</f>
        <v>#REF!</v>
      </c>
      <c r="AA1822" s="69" t="e" cm="1">
        <f t="array" ref="AA1822">_xlfn.XLOOKUP(Table1[[#This Row],[5 cm2 cell test code]:[5 cm2 cell test code]],[1]!Table1[[Test code]:[Test code]],[1]!Table1[E @ 100 mA/cm2 DIW/V],"",0)</f>
        <v>#REF!</v>
      </c>
      <c r="AB1822" s="69" t="e" cm="1">
        <f t="array" ref="AB1822">_xlfn.XLOOKUP(Table1[[#This Row],[5 cm2 cell test code]:[5 cm2 cell test code]],[1]!Table1[[Test code]:[Test code]],[1]!Table1[E @ 100 mA/cm2 10 mM KOH/V],"",0)</f>
        <v>#REF!</v>
      </c>
      <c r="AC1822" s="69" t="e" cm="1">
        <f t="array" ref="AC1822">_xlfn.XLOOKUP(Table1[[#This Row],[5 cm2 cell test code]:[5 cm2 cell test code]],[1]!Table1[[Test code]:[Test code]],[1]!Table1[Anode ICR/mOhm],"",0)</f>
        <v>#REF!</v>
      </c>
      <c r="AD1822" s="69" t="e" cm="1">
        <f t="array" ref="AD1822">_xlfn.XLOOKUP(Table1[[#This Row],[5 cm2 cell test code]:[5 cm2 cell test code]],[1]!Table1[[Test code]:[Test code]],[1]!Table1[HFR DIW/ mOhm cm2],"",0)</f>
        <v>#REF!</v>
      </c>
      <c r="AE1822" s="69" t="e" cm="1">
        <f t="array" ref="AE1822">_xlfn.XLOOKUP(Table1[[#This Row],[5 cm2 cell test code]:[5 cm2 cell test code]],[1]!Table1[[Test code]:[Test code]],[1]!Table1[HFR 10 mM KOH/ mOhm cm2],"",0)</f>
        <v>#REF!</v>
      </c>
      <c r="AF1822" s="69" t="e" cm="1">
        <f t="array" ref="AF1822">_xlfn.XLOOKUP(Table1[[#This Row],[5 cm2 cell test code]:[5 cm2 cell test code]],[1]!Table1[[Test code]:[Test code]],[1]!Table1[Ionic resistance DIW/Ohm cm2],"",0)</f>
        <v>#REF!</v>
      </c>
      <c r="AG1822" s="69" t="e" cm="1">
        <f t="array" ref="AG1822">_xlfn.XLOOKUP(Table1[[#This Row],[5 cm2 cell test code]:[5 cm2 cell test code]],[1]!Table1[[Test code]:[Test code]],[1]!Table1[Q_int_frac DIW],"",0)</f>
        <v>#REF!</v>
      </c>
      <c r="AH1822" s="69" t="e" cm="1">
        <f t="array" ref="AH1822">_xlfn.XLOOKUP(Table1[[#This Row],[5 cm2 cell test code]:[5 cm2 cell test code]],[1]!Table1[[Test code]:[Test code]],[1]!Table1[Ionic resistance 10 mM KOH/Ohm cm2],"",0)</f>
        <v>#REF!</v>
      </c>
      <c r="AI1822" s="69" t="e" cm="1">
        <f t="array" ref="AI1822">_xlfn.XLOOKUP(Table1[[#This Row],[5 cm2 cell test code]:[5 cm2 cell test code]],[1]!Table1[[Test code]:[Test code]],[1]!Table1[Q_int_frac DIW 10 mM KOH],"",0)</f>
        <v>#REF!</v>
      </c>
      <c r="AJ1822" s="69" t="e" cm="1">
        <f t="array" ref="AJ1822">_xlfn.XLOOKUP(Table1[[#This Row],[5 cm2 cell test code]:[5 cm2 cell test code]],[1]!Table1[[Test code]:[Test code]],[1]!Table1[DIW conductivity (µS/cm)],"",0)</f>
        <v>#REF!</v>
      </c>
    </row>
    <row r="1823" spans="1:36">
      <c r="A1823" s="81"/>
      <c r="U1823" s="101"/>
      <c r="V1823" s="101"/>
      <c r="W1823" s="69" t="e" cm="1">
        <f t="array" ref="W1823">_xlfn.XLOOKUP(Table1[[#This Row],[5 cm2 cell test code]:[5 cm2 cell test code]],[1]!Table1[[Test code]:[Test code]],[1]!Table1[i @ 1.8 V DIW (A/cm2)],"",0)</f>
        <v>#REF!</v>
      </c>
      <c r="X1823" s="69" t="e" cm="1">
        <f t="array" ref="X1823">_xlfn.XLOOKUP(Table1[[#This Row],[5 cm2 cell test code]:[5 cm2 cell test code]],[1]!Table1[[Test code]:[Test code]],[1]!Table1[i @ 1.8 V 10 mM KOH (A/cm2)],"",0)</f>
        <v>#REF!</v>
      </c>
      <c r="Y1823" s="69" t="e" cm="1">
        <f t="array" ref="Y1823">_xlfn.XLOOKUP(Table1[[#This Row],[5 cm2 cell test code]:[5 cm2 cell test code]],[1]!Table1[[Test code]:[Test code]],[1]!Table1[3-E ƞ at 20mAcm-2 (mV)],"",0)</f>
        <v>#REF!</v>
      </c>
      <c r="Z1823" s="69" t="e" cm="1">
        <f t="array" ref="Z1823">_xlfn.XLOOKUP(Table1[[#This Row],[5 cm2 cell test code]:[5 cm2 cell test code]],[1]!Table1[[Test code]:[Test code]],[1]!Table1[3-E Tafel slope (mV/dec)],"",0)</f>
        <v>#REF!</v>
      </c>
      <c r="AA1823" s="69" t="e" cm="1">
        <f t="array" ref="AA1823">_xlfn.XLOOKUP(Table1[[#This Row],[5 cm2 cell test code]:[5 cm2 cell test code]],[1]!Table1[[Test code]:[Test code]],[1]!Table1[E @ 100 mA/cm2 DIW/V],"",0)</f>
        <v>#REF!</v>
      </c>
      <c r="AB1823" s="69" t="e" cm="1">
        <f t="array" ref="AB1823">_xlfn.XLOOKUP(Table1[[#This Row],[5 cm2 cell test code]:[5 cm2 cell test code]],[1]!Table1[[Test code]:[Test code]],[1]!Table1[E @ 100 mA/cm2 10 mM KOH/V],"",0)</f>
        <v>#REF!</v>
      </c>
      <c r="AC1823" s="69" t="e" cm="1">
        <f t="array" ref="AC1823">_xlfn.XLOOKUP(Table1[[#This Row],[5 cm2 cell test code]:[5 cm2 cell test code]],[1]!Table1[[Test code]:[Test code]],[1]!Table1[Anode ICR/mOhm],"",0)</f>
        <v>#REF!</v>
      </c>
      <c r="AD1823" s="69" t="e" cm="1">
        <f t="array" ref="AD1823">_xlfn.XLOOKUP(Table1[[#This Row],[5 cm2 cell test code]:[5 cm2 cell test code]],[1]!Table1[[Test code]:[Test code]],[1]!Table1[HFR DIW/ mOhm cm2],"",0)</f>
        <v>#REF!</v>
      </c>
      <c r="AE1823" s="69" t="e" cm="1">
        <f t="array" ref="AE1823">_xlfn.XLOOKUP(Table1[[#This Row],[5 cm2 cell test code]:[5 cm2 cell test code]],[1]!Table1[[Test code]:[Test code]],[1]!Table1[HFR 10 mM KOH/ mOhm cm2],"",0)</f>
        <v>#REF!</v>
      </c>
      <c r="AF1823" s="69" t="e" cm="1">
        <f t="array" ref="AF1823">_xlfn.XLOOKUP(Table1[[#This Row],[5 cm2 cell test code]:[5 cm2 cell test code]],[1]!Table1[[Test code]:[Test code]],[1]!Table1[Ionic resistance DIW/Ohm cm2],"",0)</f>
        <v>#REF!</v>
      </c>
      <c r="AG1823" s="69" t="e" cm="1">
        <f t="array" ref="AG1823">_xlfn.XLOOKUP(Table1[[#This Row],[5 cm2 cell test code]:[5 cm2 cell test code]],[1]!Table1[[Test code]:[Test code]],[1]!Table1[Q_int_frac DIW],"",0)</f>
        <v>#REF!</v>
      </c>
      <c r="AH1823" s="69" t="e" cm="1">
        <f t="array" ref="AH1823">_xlfn.XLOOKUP(Table1[[#This Row],[5 cm2 cell test code]:[5 cm2 cell test code]],[1]!Table1[[Test code]:[Test code]],[1]!Table1[Ionic resistance 10 mM KOH/Ohm cm2],"",0)</f>
        <v>#REF!</v>
      </c>
      <c r="AI1823" s="69" t="e" cm="1">
        <f t="array" ref="AI1823">_xlfn.XLOOKUP(Table1[[#This Row],[5 cm2 cell test code]:[5 cm2 cell test code]],[1]!Table1[[Test code]:[Test code]],[1]!Table1[Q_int_frac DIW 10 mM KOH],"",0)</f>
        <v>#REF!</v>
      </c>
      <c r="AJ1823" s="69" t="e" cm="1">
        <f t="array" ref="AJ1823">_xlfn.XLOOKUP(Table1[[#This Row],[5 cm2 cell test code]:[5 cm2 cell test code]],[1]!Table1[[Test code]:[Test code]],[1]!Table1[DIW conductivity (µS/cm)],"",0)</f>
        <v>#REF!</v>
      </c>
    </row>
    <row r="1824" spans="1:36">
      <c r="A1824" s="81"/>
      <c r="U1824" s="101"/>
      <c r="V1824" s="101"/>
      <c r="W1824" s="69" t="e" cm="1">
        <f t="array" ref="W1824">_xlfn.XLOOKUP(Table1[[#This Row],[5 cm2 cell test code]:[5 cm2 cell test code]],[1]!Table1[[Test code]:[Test code]],[1]!Table1[i @ 1.8 V DIW (A/cm2)],"",0)</f>
        <v>#REF!</v>
      </c>
      <c r="X1824" s="69" t="e" cm="1">
        <f t="array" ref="X1824">_xlfn.XLOOKUP(Table1[[#This Row],[5 cm2 cell test code]:[5 cm2 cell test code]],[1]!Table1[[Test code]:[Test code]],[1]!Table1[i @ 1.8 V 10 mM KOH (A/cm2)],"",0)</f>
        <v>#REF!</v>
      </c>
      <c r="Y1824" s="69" t="e" cm="1">
        <f t="array" ref="Y1824">_xlfn.XLOOKUP(Table1[[#This Row],[5 cm2 cell test code]:[5 cm2 cell test code]],[1]!Table1[[Test code]:[Test code]],[1]!Table1[3-E ƞ at 20mAcm-2 (mV)],"",0)</f>
        <v>#REF!</v>
      </c>
      <c r="Z1824" s="69" t="e" cm="1">
        <f t="array" ref="Z1824">_xlfn.XLOOKUP(Table1[[#This Row],[5 cm2 cell test code]:[5 cm2 cell test code]],[1]!Table1[[Test code]:[Test code]],[1]!Table1[3-E Tafel slope (mV/dec)],"",0)</f>
        <v>#REF!</v>
      </c>
      <c r="AA1824" s="69" t="e" cm="1">
        <f t="array" ref="AA1824">_xlfn.XLOOKUP(Table1[[#This Row],[5 cm2 cell test code]:[5 cm2 cell test code]],[1]!Table1[[Test code]:[Test code]],[1]!Table1[E @ 100 mA/cm2 DIW/V],"",0)</f>
        <v>#REF!</v>
      </c>
      <c r="AB1824" s="69" t="e" cm="1">
        <f t="array" ref="AB1824">_xlfn.XLOOKUP(Table1[[#This Row],[5 cm2 cell test code]:[5 cm2 cell test code]],[1]!Table1[[Test code]:[Test code]],[1]!Table1[E @ 100 mA/cm2 10 mM KOH/V],"",0)</f>
        <v>#REF!</v>
      </c>
      <c r="AC1824" s="69" t="e" cm="1">
        <f t="array" ref="AC1824">_xlfn.XLOOKUP(Table1[[#This Row],[5 cm2 cell test code]:[5 cm2 cell test code]],[1]!Table1[[Test code]:[Test code]],[1]!Table1[Anode ICR/mOhm],"",0)</f>
        <v>#REF!</v>
      </c>
      <c r="AD1824" s="69" t="e" cm="1">
        <f t="array" ref="AD1824">_xlfn.XLOOKUP(Table1[[#This Row],[5 cm2 cell test code]:[5 cm2 cell test code]],[1]!Table1[[Test code]:[Test code]],[1]!Table1[HFR DIW/ mOhm cm2],"",0)</f>
        <v>#REF!</v>
      </c>
      <c r="AE1824" s="69" t="e" cm="1">
        <f t="array" ref="AE1824">_xlfn.XLOOKUP(Table1[[#This Row],[5 cm2 cell test code]:[5 cm2 cell test code]],[1]!Table1[[Test code]:[Test code]],[1]!Table1[HFR 10 mM KOH/ mOhm cm2],"",0)</f>
        <v>#REF!</v>
      </c>
      <c r="AF1824" s="69" t="e" cm="1">
        <f t="array" ref="AF1824">_xlfn.XLOOKUP(Table1[[#This Row],[5 cm2 cell test code]:[5 cm2 cell test code]],[1]!Table1[[Test code]:[Test code]],[1]!Table1[Ionic resistance DIW/Ohm cm2],"",0)</f>
        <v>#REF!</v>
      </c>
      <c r="AG1824" s="69" t="e" cm="1">
        <f t="array" ref="AG1824">_xlfn.XLOOKUP(Table1[[#This Row],[5 cm2 cell test code]:[5 cm2 cell test code]],[1]!Table1[[Test code]:[Test code]],[1]!Table1[Q_int_frac DIW],"",0)</f>
        <v>#REF!</v>
      </c>
      <c r="AH1824" s="69" t="e" cm="1">
        <f t="array" ref="AH1824">_xlfn.XLOOKUP(Table1[[#This Row],[5 cm2 cell test code]:[5 cm2 cell test code]],[1]!Table1[[Test code]:[Test code]],[1]!Table1[Ionic resistance 10 mM KOH/Ohm cm2],"",0)</f>
        <v>#REF!</v>
      </c>
      <c r="AI1824" s="69" t="e" cm="1">
        <f t="array" ref="AI1824">_xlfn.XLOOKUP(Table1[[#This Row],[5 cm2 cell test code]:[5 cm2 cell test code]],[1]!Table1[[Test code]:[Test code]],[1]!Table1[Q_int_frac DIW 10 mM KOH],"",0)</f>
        <v>#REF!</v>
      </c>
      <c r="AJ1824" s="69" t="e" cm="1">
        <f t="array" ref="AJ1824">_xlfn.XLOOKUP(Table1[[#This Row],[5 cm2 cell test code]:[5 cm2 cell test code]],[1]!Table1[[Test code]:[Test code]],[1]!Table1[DIW conductivity (µS/cm)],"",0)</f>
        <v>#REF!</v>
      </c>
    </row>
    <row r="1825" spans="1:36">
      <c r="A1825" s="81"/>
      <c r="U1825" s="101"/>
      <c r="V1825" s="101"/>
      <c r="W1825" s="69" t="e" cm="1">
        <f t="array" ref="W1825">_xlfn.XLOOKUP(Table1[[#This Row],[5 cm2 cell test code]:[5 cm2 cell test code]],[1]!Table1[[Test code]:[Test code]],[1]!Table1[i @ 1.8 V DIW (A/cm2)],"",0)</f>
        <v>#REF!</v>
      </c>
      <c r="X1825" s="69" t="e" cm="1">
        <f t="array" ref="X1825">_xlfn.XLOOKUP(Table1[[#This Row],[5 cm2 cell test code]:[5 cm2 cell test code]],[1]!Table1[[Test code]:[Test code]],[1]!Table1[i @ 1.8 V 10 mM KOH (A/cm2)],"",0)</f>
        <v>#REF!</v>
      </c>
      <c r="Y1825" s="69" t="e" cm="1">
        <f t="array" ref="Y1825">_xlfn.XLOOKUP(Table1[[#This Row],[5 cm2 cell test code]:[5 cm2 cell test code]],[1]!Table1[[Test code]:[Test code]],[1]!Table1[3-E ƞ at 20mAcm-2 (mV)],"",0)</f>
        <v>#REF!</v>
      </c>
      <c r="Z1825" s="69" t="e" cm="1">
        <f t="array" ref="Z1825">_xlfn.XLOOKUP(Table1[[#This Row],[5 cm2 cell test code]:[5 cm2 cell test code]],[1]!Table1[[Test code]:[Test code]],[1]!Table1[3-E Tafel slope (mV/dec)],"",0)</f>
        <v>#REF!</v>
      </c>
      <c r="AA1825" s="69" t="e" cm="1">
        <f t="array" ref="AA1825">_xlfn.XLOOKUP(Table1[[#This Row],[5 cm2 cell test code]:[5 cm2 cell test code]],[1]!Table1[[Test code]:[Test code]],[1]!Table1[E @ 100 mA/cm2 DIW/V],"",0)</f>
        <v>#REF!</v>
      </c>
      <c r="AB1825" s="69" t="e" cm="1">
        <f t="array" ref="AB1825">_xlfn.XLOOKUP(Table1[[#This Row],[5 cm2 cell test code]:[5 cm2 cell test code]],[1]!Table1[[Test code]:[Test code]],[1]!Table1[E @ 100 mA/cm2 10 mM KOH/V],"",0)</f>
        <v>#REF!</v>
      </c>
      <c r="AC1825" s="69" t="e" cm="1">
        <f t="array" ref="AC1825">_xlfn.XLOOKUP(Table1[[#This Row],[5 cm2 cell test code]:[5 cm2 cell test code]],[1]!Table1[[Test code]:[Test code]],[1]!Table1[Anode ICR/mOhm],"",0)</f>
        <v>#REF!</v>
      </c>
      <c r="AD1825" s="69" t="e" cm="1">
        <f t="array" ref="AD1825">_xlfn.XLOOKUP(Table1[[#This Row],[5 cm2 cell test code]:[5 cm2 cell test code]],[1]!Table1[[Test code]:[Test code]],[1]!Table1[HFR DIW/ mOhm cm2],"",0)</f>
        <v>#REF!</v>
      </c>
      <c r="AE1825" s="69" t="e" cm="1">
        <f t="array" ref="AE1825">_xlfn.XLOOKUP(Table1[[#This Row],[5 cm2 cell test code]:[5 cm2 cell test code]],[1]!Table1[[Test code]:[Test code]],[1]!Table1[HFR 10 mM KOH/ mOhm cm2],"",0)</f>
        <v>#REF!</v>
      </c>
      <c r="AF1825" s="69" t="e" cm="1">
        <f t="array" ref="AF1825">_xlfn.XLOOKUP(Table1[[#This Row],[5 cm2 cell test code]:[5 cm2 cell test code]],[1]!Table1[[Test code]:[Test code]],[1]!Table1[Ionic resistance DIW/Ohm cm2],"",0)</f>
        <v>#REF!</v>
      </c>
      <c r="AG1825" s="69" t="e" cm="1">
        <f t="array" ref="AG1825">_xlfn.XLOOKUP(Table1[[#This Row],[5 cm2 cell test code]:[5 cm2 cell test code]],[1]!Table1[[Test code]:[Test code]],[1]!Table1[Q_int_frac DIW],"",0)</f>
        <v>#REF!</v>
      </c>
      <c r="AH1825" s="69" t="e" cm="1">
        <f t="array" ref="AH1825">_xlfn.XLOOKUP(Table1[[#This Row],[5 cm2 cell test code]:[5 cm2 cell test code]],[1]!Table1[[Test code]:[Test code]],[1]!Table1[Ionic resistance 10 mM KOH/Ohm cm2],"",0)</f>
        <v>#REF!</v>
      </c>
      <c r="AI1825" s="69" t="e" cm="1">
        <f t="array" ref="AI1825">_xlfn.XLOOKUP(Table1[[#This Row],[5 cm2 cell test code]:[5 cm2 cell test code]],[1]!Table1[[Test code]:[Test code]],[1]!Table1[Q_int_frac DIW 10 mM KOH],"",0)</f>
        <v>#REF!</v>
      </c>
      <c r="AJ1825" s="69" t="e" cm="1">
        <f t="array" ref="AJ1825">_xlfn.XLOOKUP(Table1[[#This Row],[5 cm2 cell test code]:[5 cm2 cell test code]],[1]!Table1[[Test code]:[Test code]],[1]!Table1[DIW conductivity (µS/cm)],"",0)</f>
        <v>#REF!</v>
      </c>
    </row>
    <row r="1826" spans="1:36">
      <c r="A1826" s="81"/>
      <c r="U1826" s="101"/>
      <c r="V1826" s="101"/>
      <c r="W1826" s="69" t="e" cm="1">
        <f t="array" ref="W1826">_xlfn.XLOOKUP(Table1[[#This Row],[5 cm2 cell test code]:[5 cm2 cell test code]],[1]!Table1[[Test code]:[Test code]],[1]!Table1[i @ 1.8 V DIW (A/cm2)],"",0)</f>
        <v>#REF!</v>
      </c>
      <c r="X1826" s="69" t="e" cm="1">
        <f t="array" ref="X1826">_xlfn.XLOOKUP(Table1[[#This Row],[5 cm2 cell test code]:[5 cm2 cell test code]],[1]!Table1[[Test code]:[Test code]],[1]!Table1[i @ 1.8 V 10 mM KOH (A/cm2)],"",0)</f>
        <v>#REF!</v>
      </c>
      <c r="Y1826" s="69" t="e" cm="1">
        <f t="array" ref="Y1826">_xlfn.XLOOKUP(Table1[[#This Row],[5 cm2 cell test code]:[5 cm2 cell test code]],[1]!Table1[[Test code]:[Test code]],[1]!Table1[3-E ƞ at 20mAcm-2 (mV)],"",0)</f>
        <v>#REF!</v>
      </c>
      <c r="Z1826" s="69" t="e" cm="1">
        <f t="array" ref="Z1826">_xlfn.XLOOKUP(Table1[[#This Row],[5 cm2 cell test code]:[5 cm2 cell test code]],[1]!Table1[[Test code]:[Test code]],[1]!Table1[3-E Tafel slope (mV/dec)],"",0)</f>
        <v>#REF!</v>
      </c>
      <c r="AA1826" s="69" t="e" cm="1">
        <f t="array" ref="AA1826">_xlfn.XLOOKUP(Table1[[#This Row],[5 cm2 cell test code]:[5 cm2 cell test code]],[1]!Table1[[Test code]:[Test code]],[1]!Table1[E @ 100 mA/cm2 DIW/V],"",0)</f>
        <v>#REF!</v>
      </c>
      <c r="AB1826" s="69" t="e" cm="1">
        <f t="array" ref="AB1826">_xlfn.XLOOKUP(Table1[[#This Row],[5 cm2 cell test code]:[5 cm2 cell test code]],[1]!Table1[[Test code]:[Test code]],[1]!Table1[E @ 100 mA/cm2 10 mM KOH/V],"",0)</f>
        <v>#REF!</v>
      </c>
      <c r="AC1826" s="69" t="e" cm="1">
        <f t="array" ref="AC1826">_xlfn.XLOOKUP(Table1[[#This Row],[5 cm2 cell test code]:[5 cm2 cell test code]],[1]!Table1[[Test code]:[Test code]],[1]!Table1[Anode ICR/mOhm],"",0)</f>
        <v>#REF!</v>
      </c>
      <c r="AD1826" s="69" t="e" cm="1">
        <f t="array" ref="AD1826">_xlfn.XLOOKUP(Table1[[#This Row],[5 cm2 cell test code]:[5 cm2 cell test code]],[1]!Table1[[Test code]:[Test code]],[1]!Table1[HFR DIW/ mOhm cm2],"",0)</f>
        <v>#REF!</v>
      </c>
      <c r="AE1826" s="69" t="e" cm="1">
        <f t="array" ref="AE1826">_xlfn.XLOOKUP(Table1[[#This Row],[5 cm2 cell test code]:[5 cm2 cell test code]],[1]!Table1[[Test code]:[Test code]],[1]!Table1[HFR 10 mM KOH/ mOhm cm2],"",0)</f>
        <v>#REF!</v>
      </c>
      <c r="AF1826" s="69" t="e" cm="1">
        <f t="array" ref="AF1826">_xlfn.XLOOKUP(Table1[[#This Row],[5 cm2 cell test code]:[5 cm2 cell test code]],[1]!Table1[[Test code]:[Test code]],[1]!Table1[Ionic resistance DIW/Ohm cm2],"",0)</f>
        <v>#REF!</v>
      </c>
      <c r="AG1826" s="69" t="e" cm="1">
        <f t="array" ref="AG1826">_xlfn.XLOOKUP(Table1[[#This Row],[5 cm2 cell test code]:[5 cm2 cell test code]],[1]!Table1[[Test code]:[Test code]],[1]!Table1[Q_int_frac DIW],"",0)</f>
        <v>#REF!</v>
      </c>
      <c r="AH1826" s="69" t="e" cm="1">
        <f t="array" ref="AH1826">_xlfn.XLOOKUP(Table1[[#This Row],[5 cm2 cell test code]:[5 cm2 cell test code]],[1]!Table1[[Test code]:[Test code]],[1]!Table1[Ionic resistance 10 mM KOH/Ohm cm2],"",0)</f>
        <v>#REF!</v>
      </c>
      <c r="AI1826" s="69" t="e" cm="1">
        <f t="array" ref="AI1826">_xlfn.XLOOKUP(Table1[[#This Row],[5 cm2 cell test code]:[5 cm2 cell test code]],[1]!Table1[[Test code]:[Test code]],[1]!Table1[Q_int_frac DIW 10 mM KOH],"",0)</f>
        <v>#REF!</v>
      </c>
      <c r="AJ1826" s="69" t="e" cm="1">
        <f t="array" ref="AJ1826">_xlfn.XLOOKUP(Table1[[#This Row],[5 cm2 cell test code]:[5 cm2 cell test code]],[1]!Table1[[Test code]:[Test code]],[1]!Table1[DIW conductivity (µS/cm)],"",0)</f>
        <v>#REF!</v>
      </c>
    </row>
    <row r="1827" spans="1:36">
      <c r="A1827" s="81"/>
      <c r="U1827" s="101"/>
      <c r="V1827" s="101"/>
      <c r="W1827" s="69" t="e" cm="1">
        <f t="array" ref="W1827">_xlfn.XLOOKUP(Table1[[#This Row],[5 cm2 cell test code]:[5 cm2 cell test code]],[1]!Table1[[Test code]:[Test code]],[1]!Table1[i @ 1.8 V DIW (A/cm2)],"",0)</f>
        <v>#REF!</v>
      </c>
      <c r="X1827" s="69" t="e" cm="1">
        <f t="array" ref="X1827">_xlfn.XLOOKUP(Table1[[#This Row],[5 cm2 cell test code]:[5 cm2 cell test code]],[1]!Table1[[Test code]:[Test code]],[1]!Table1[i @ 1.8 V 10 mM KOH (A/cm2)],"",0)</f>
        <v>#REF!</v>
      </c>
      <c r="Y1827" s="69" t="e" cm="1">
        <f t="array" ref="Y1827">_xlfn.XLOOKUP(Table1[[#This Row],[5 cm2 cell test code]:[5 cm2 cell test code]],[1]!Table1[[Test code]:[Test code]],[1]!Table1[3-E ƞ at 20mAcm-2 (mV)],"",0)</f>
        <v>#REF!</v>
      </c>
      <c r="Z1827" s="69" t="e" cm="1">
        <f t="array" ref="Z1827">_xlfn.XLOOKUP(Table1[[#This Row],[5 cm2 cell test code]:[5 cm2 cell test code]],[1]!Table1[[Test code]:[Test code]],[1]!Table1[3-E Tafel slope (mV/dec)],"",0)</f>
        <v>#REF!</v>
      </c>
      <c r="AA1827" s="69" t="e" cm="1">
        <f t="array" ref="AA1827">_xlfn.XLOOKUP(Table1[[#This Row],[5 cm2 cell test code]:[5 cm2 cell test code]],[1]!Table1[[Test code]:[Test code]],[1]!Table1[E @ 100 mA/cm2 DIW/V],"",0)</f>
        <v>#REF!</v>
      </c>
      <c r="AB1827" s="69" t="e" cm="1">
        <f t="array" ref="AB1827">_xlfn.XLOOKUP(Table1[[#This Row],[5 cm2 cell test code]:[5 cm2 cell test code]],[1]!Table1[[Test code]:[Test code]],[1]!Table1[E @ 100 mA/cm2 10 mM KOH/V],"",0)</f>
        <v>#REF!</v>
      </c>
      <c r="AC1827" s="69" t="e" cm="1">
        <f t="array" ref="AC1827">_xlfn.XLOOKUP(Table1[[#This Row],[5 cm2 cell test code]:[5 cm2 cell test code]],[1]!Table1[[Test code]:[Test code]],[1]!Table1[Anode ICR/mOhm],"",0)</f>
        <v>#REF!</v>
      </c>
      <c r="AD1827" s="69" t="e" cm="1">
        <f t="array" ref="AD1827">_xlfn.XLOOKUP(Table1[[#This Row],[5 cm2 cell test code]:[5 cm2 cell test code]],[1]!Table1[[Test code]:[Test code]],[1]!Table1[HFR DIW/ mOhm cm2],"",0)</f>
        <v>#REF!</v>
      </c>
      <c r="AE1827" s="69" t="e" cm="1">
        <f t="array" ref="AE1827">_xlfn.XLOOKUP(Table1[[#This Row],[5 cm2 cell test code]:[5 cm2 cell test code]],[1]!Table1[[Test code]:[Test code]],[1]!Table1[HFR 10 mM KOH/ mOhm cm2],"",0)</f>
        <v>#REF!</v>
      </c>
      <c r="AF1827" s="69" t="e" cm="1">
        <f t="array" ref="AF1827">_xlfn.XLOOKUP(Table1[[#This Row],[5 cm2 cell test code]:[5 cm2 cell test code]],[1]!Table1[[Test code]:[Test code]],[1]!Table1[Ionic resistance DIW/Ohm cm2],"",0)</f>
        <v>#REF!</v>
      </c>
      <c r="AG1827" s="69" t="e" cm="1">
        <f t="array" ref="AG1827">_xlfn.XLOOKUP(Table1[[#This Row],[5 cm2 cell test code]:[5 cm2 cell test code]],[1]!Table1[[Test code]:[Test code]],[1]!Table1[Q_int_frac DIW],"",0)</f>
        <v>#REF!</v>
      </c>
      <c r="AH1827" s="69" t="e" cm="1">
        <f t="array" ref="AH1827">_xlfn.XLOOKUP(Table1[[#This Row],[5 cm2 cell test code]:[5 cm2 cell test code]],[1]!Table1[[Test code]:[Test code]],[1]!Table1[Ionic resistance 10 mM KOH/Ohm cm2],"",0)</f>
        <v>#REF!</v>
      </c>
      <c r="AI1827" s="69" t="e" cm="1">
        <f t="array" ref="AI1827">_xlfn.XLOOKUP(Table1[[#This Row],[5 cm2 cell test code]:[5 cm2 cell test code]],[1]!Table1[[Test code]:[Test code]],[1]!Table1[Q_int_frac DIW 10 mM KOH],"",0)</f>
        <v>#REF!</v>
      </c>
      <c r="AJ1827" s="69" t="e" cm="1">
        <f t="array" ref="AJ1827">_xlfn.XLOOKUP(Table1[[#This Row],[5 cm2 cell test code]:[5 cm2 cell test code]],[1]!Table1[[Test code]:[Test code]],[1]!Table1[DIW conductivity (µS/cm)],"",0)</f>
        <v>#REF!</v>
      </c>
    </row>
    <row r="1828" spans="1:36">
      <c r="A1828" s="81"/>
      <c r="U1828" s="101"/>
      <c r="V1828" s="101"/>
      <c r="W1828" s="69" t="e" cm="1">
        <f t="array" ref="W1828">_xlfn.XLOOKUP(Table1[[#This Row],[5 cm2 cell test code]:[5 cm2 cell test code]],[1]!Table1[[Test code]:[Test code]],[1]!Table1[i @ 1.8 V DIW (A/cm2)],"",0)</f>
        <v>#REF!</v>
      </c>
      <c r="X1828" s="69" t="e" cm="1">
        <f t="array" ref="X1828">_xlfn.XLOOKUP(Table1[[#This Row],[5 cm2 cell test code]:[5 cm2 cell test code]],[1]!Table1[[Test code]:[Test code]],[1]!Table1[i @ 1.8 V 10 mM KOH (A/cm2)],"",0)</f>
        <v>#REF!</v>
      </c>
      <c r="Y1828" s="69" t="e" cm="1">
        <f t="array" ref="Y1828">_xlfn.XLOOKUP(Table1[[#This Row],[5 cm2 cell test code]:[5 cm2 cell test code]],[1]!Table1[[Test code]:[Test code]],[1]!Table1[3-E ƞ at 20mAcm-2 (mV)],"",0)</f>
        <v>#REF!</v>
      </c>
      <c r="Z1828" s="69" t="e" cm="1">
        <f t="array" ref="Z1828">_xlfn.XLOOKUP(Table1[[#This Row],[5 cm2 cell test code]:[5 cm2 cell test code]],[1]!Table1[[Test code]:[Test code]],[1]!Table1[3-E Tafel slope (mV/dec)],"",0)</f>
        <v>#REF!</v>
      </c>
      <c r="AA1828" s="69" t="e" cm="1">
        <f t="array" ref="AA1828">_xlfn.XLOOKUP(Table1[[#This Row],[5 cm2 cell test code]:[5 cm2 cell test code]],[1]!Table1[[Test code]:[Test code]],[1]!Table1[E @ 100 mA/cm2 DIW/V],"",0)</f>
        <v>#REF!</v>
      </c>
      <c r="AB1828" s="69" t="e" cm="1">
        <f t="array" ref="AB1828">_xlfn.XLOOKUP(Table1[[#This Row],[5 cm2 cell test code]:[5 cm2 cell test code]],[1]!Table1[[Test code]:[Test code]],[1]!Table1[E @ 100 mA/cm2 10 mM KOH/V],"",0)</f>
        <v>#REF!</v>
      </c>
      <c r="AC1828" s="69" t="e" cm="1">
        <f t="array" ref="AC1828">_xlfn.XLOOKUP(Table1[[#This Row],[5 cm2 cell test code]:[5 cm2 cell test code]],[1]!Table1[[Test code]:[Test code]],[1]!Table1[Anode ICR/mOhm],"",0)</f>
        <v>#REF!</v>
      </c>
      <c r="AD1828" s="69" t="e" cm="1">
        <f t="array" ref="AD1828">_xlfn.XLOOKUP(Table1[[#This Row],[5 cm2 cell test code]:[5 cm2 cell test code]],[1]!Table1[[Test code]:[Test code]],[1]!Table1[HFR DIW/ mOhm cm2],"",0)</f>
        <v>#REF!</v>
      </c>
      <c r="AE1828" s="69" t="e" cm="1">
        <f t="array" ref="AE1828">_xlfn.XLOOKUP(Table1[[#This Row],[5 cm2 cell test code]:[5 cm2 cell test code]],[1]!Table1[[Test code]:[Test code]],[1]!Table1[HFR 10 mM KOH/ mOhm cm2],"",0)</f>
        <v>#REF!</v>
      </c>
      <c r="AF1828" s="69" t="e" cm="1">
        <f t="array" ref="AF1828">_xlfn.XLOOKUP(Table1[[#This Row],[5 cm2 cell test code]:[5 cm2 cell test code]],[1]!Table1[[Test code]:[Test code]],[1]!Table1[Ionic resistance DIW/Ohm cm2],"",0)</f>
        <v>#REF!</v>
      </c>
      <c r="AG1828" s="69" t="e" cm="1">
        <f t="array" ref="AG1828">_xlfn.XLOOKUP(Table1[[#This Row],[5 cm2 cell test code]:[5 cm2 cell test code]],[1]!Table1[[Test code]:[Test code]],[1]!Table1[Q_int_frac DIW],"",0)</f>
        <v>#REF!</v>
      </c>
      <c r="AH1828" s="69" t="e" cm="1">
        <f t="array" ref="AH1828">_xlfn.XLOOKUP(Table1[[#This Row],[5 cm2 cell test code]:[5 cm2 cell test code]],[1]!Table1[[Test code]:[Test code]],[1]!Table1[Ionic resistance 10 mM KOH/Ohm cm2],"",0)</f>
        <v>#REF!</v>
      </c>
      <c r="AI1828" s="69" t="e" cm="1">
        <f t="array" ref="AI1828">_xlfn.XLOOKUP(Table1[[#This Row],[5 cm2 cell test code]:[5 cm2 cell test code]],[1]!Table1[[Test code]:[Test code]],[1]!Table1[Q_int_frac DIW 10 mM KOH],"",0)</f>
        <v>#REF!</v>
      </c>
      <c r="AJ1828" s="69" t="e" cm="1">
        <f t="array" ref="AJ1828">_xlfn.XLOOKUP(Table1[[#This Row],[5 cm2 cell test code]:[5 cm2 cell test code]],[1]!Table1[[Test code]:[Test code]],[1]!Table1[DIW conductivity (µS/cm)],"",0)</f>
        <v>#REF!</v>
      </c>
    </row>
    <row r="1829" spans="1:36">
      <c r="A1829" s="81"/>
      <c r="U1829" s="101"/>
      <c r="V1829" s="101"/>
      <c r="W1829" s="69" t="e" cm="1">
        <f t="array" ref="W1829">_xlfn.XLOOKUP(Table1[[#This Row],[5 cm2 cell test code]:[5 cm2 cell test code]],[1]!Table1[[Test code]:[Test code]],[1]!Table1[i @ 1.8 V DIW (A/cm2)],"",0)</f>
        <v>#REF!</v>
      </c>
      <c r="X1829" s="69" t="e" cm="1">
        <f t="array" ref="X1829">_xlfn.XLOOKUP(Table1[[#This Row],[5 cm2 cell test code]:[5 cm2 cell test code]],[1]!Table1[[Test code]:[Test code]],[1]!Table1[i @ 1.8 V 10 mM KOH (A/cm2)],"",0)</f>
        <v>#REF!</v>
      </c>
      <c r="Y1829" s="69" t="e" cm="1">
        <f t="array" ref="Y1829">_xlfn.XLOOKUP(Table1[[#This Row],[5 cm2 cell test code]:[5 cm2 cell test code]],[1]!Table1[[Test code]:[Test code]],[1]!Table1[3-E ƞ at 20mAcm-2 (mV)],"",0)</f>
        <v>#REF!</v>
      </c>
      <c r="Z1829" s="69" t="e" cm="1">
        <f t="array" ref="Z1829">_xlfn.XLOOKUP(Table1[[#This Row],[5 cm2 cell test code]:[5 cm2 cell test code]],[1]!Table1[[Test code]:[Test code]],[1]!Table1[3-E Tafel slope (mV/dec)],"",0)</f>
        <v>#REF!</v>
      </c>
      <c r="AA1829" s="69" t="e" cm="1">
        <f t="array" ref="AA1829">_xlfn.XLOOKUP(Table1[[#This Row],[5 cm2 cell test code]:[5 cm2 cell test code]],[1]!Table1[[Test code]:[Test code]],[1]!Table1[E @ 100 mA/cm2 DIW/V],"",0)</f>
        <v>#REF!</v>
      </c>
      <c r="AB1829" s="69" t="e" cm="1">
        <f t="array" ref="AB1829">_xlfn.XLOOKUP(Table1[[#This Row],[5 cm2 cell test code]:[5 cm2 cell test code]],[1]!Table1[[Test code]:[Test code]],[1]!Table1[E @ 100 mA/cm2 10 mM KOH/V],"",0)</f>
        <v>#REF!</v>
      </c>
      <c r="AC1829" s="69" t="e" cm="1">
        <f t="array" ref="AC1829">_xlfn.XLOOKUP(Table1[[#This Row],[5 cm2 cell test code]:[5 cm2 cell test code]],[1]!Table1[[Test code]:[Test code]],[1]!Table1[Anode ICR/mOhm],"",0)</f>
        <v>#REF!</v>
      </c>
      <c r="AD1829" s="69" t="e" cm="1">
        <f t="array" ref="AD1829">_xlfn.XLOOKUP(Table1[[#This Row],[5 cm2 cell test code]:[5 cm2 cell test code]],[1]!Table1[[Test code]:[Test code]],[1]!Table1[HFR DIW/ mOhm cm2],"",0)</f>
        <v>#REF!</v>
      </c>
      <c r="AE1829" s="69" t="e" cm="1">
        <f t="array" ref="AE1829">_xlfn.XLOOKUP(Table1[[#This Row],[5 cm2 cell test code]:[5 cm2 cell test code]],[1]!Table1[[Test code]:[Test code]],[1]!Table1[HFR 10 mM KOH/ mOhm cm2],"",0)</f>
        <v>#REF!</v>
      </c>
      <c r="AF1829" s="69" t="e" cm="1">
        <f t="array" ref="AF1829">_xlfn.XLOOKUP(Table1[[#This Row],[5 cm2 cell test code]:[5 cm2 cell test code]],[1]!Table1[[Test code]:[Test code]],[1]!Table1[Ionic resistance DIW/Ohm cm2],"",0)</f>
        <v>#REF!</v>
      </c>
      <c r="AG1829" s="69" t="e" cm="1">
        <f t="array" ref="AG1829">_xlfn.XLOOKUP(Table1[[#This Row],[5 cm2 cell test code]:[5 cm2 cell test code]],[1]!Table1[[Test code]:[Test code]],[1]!Table1[Q_int_frac DIW],"",0)</f>
        <v>#REF!</v>
      </c>
      <c r="AH1829" s="69" t="e" cm="1">
        <f t="array" ref="AH1829">_xlfn.XLOOKUP(Table1[[#This Row],[5 cm2 cell test code]:[5 cm2 cell test code]],[1]!Table1[[Test code]:[Test code]],[1]!Table1[Ionic resistance 10 mM KOH/Ohm cm2],"",0)</f>
        <v>#REF!</v>
      </c>
      <c r="AI1829" s="69" t="e" cm="1">
        <f t="array" ref="AI1829">_xlfn.XLOOKUP(Table1[[#This Row],[5 cm2 cell test code]:[5 cm2 cell test code]],[1]!Table1[[Test code]:[Test code]],[1]!Table1[Q_int_frac DIW 10 mM KOH],"",0)</f>
        <v>#REF!</v>
      </c>
      <c r="AJ1829" s="69" t="e" cm="1">
        <f t="array" ref="AJ1829">_xlfn.XLOOKUP(Table1[[#This Row],[5 cm2 cell test code]:[5 cm2 cell test code]],[1]!Table1[[Test code]:[Test code]],[1]!Table1[DIW conductivity (µS/cm)],"",0)</f>
        <v>#REF!</v>
      </c>
    </row>
    <row r="1830" spans="1:36">
      <c r="A1830" s="81"/>
      <c r="U1830" s="101"/>
      <c r="V1830" s="101"/>
      <c r="W1830" s="69" t="e" cm="1">
        <f t="array" ref="W1830">_xlfn.XLOOKUP(Table1[[#This Row],[5 cm2 cell test code]:[5 cm2 cell test code]],[1]!Table1[[Test code]:[Test code]],[1]!Table1[i @ 1.8 V DIW (A/cm2)],"",0)</f>
        <v>#REF!</v>
      </c>
      <c r="X1830" s="69" t="e" cm="1">
        <f t="array" ref="X1830">_xlfn.XLOOKUP(Table1[[#This Row],[5 cm2 cell test code]:[5 cm2 cell test code]],[1]!Table1[[Test code]:[Test code]],[1]!Table1[i @ 1.8 V 10 mM KOH (A/cm2)],"",0)</f>
        <v>#REF!</v>
      </c>
      <c r="Y1830" s="69" t="e" cm="1">
        <f t="array" ref="Y1830">_xlfn.XLOOKUP(Table1[[#This Row],[5 cm2 cell test code]:[5 cm2 cell test code]],[1]!Table1[[Test code]:[Test code]],[1]!Table1[3-E ƞ at 20mAcm-2 (mV)],"",0)</f>
        <v>#REF!</v>
      </c>
      <c r="Z1830" s="69" t="e" cm="1">
        <f t="array" ref="Z1830">_xlfn.XLOOKUP(Table1[[#This Row],[5 cm2 cell test code]:[5 cm2 cell test code]],[1]!Table1[[Test code]:[Test code]],[1]!Table1[3-E Tafel slope (mV/dec)],"",0)</f>
        <v>#REF!</v>
      </c>
      <c r="AA1830" s="69" t="e" cm="1">
        <f t="array" ref="AA1830">_xlfn.XLOOKUP(Table1[[#This Row],[5 cm2 cell test code]:[5 cm2 cell test code]],[1]!Table1[[Test code]:[Test code]],[1]!Table1[E @ 100 mA/cm2 DIW/V],"",0)</f>
        <v>#REF!</v>
      </c>
      <c r="AB1830" s="69" t="e" cm="1">
        <f t="array" ref="AB1830">_xlfn.XLOOKUP(Table1[[#This Row],[5 cm2 cell test code]:[5 cm2 cell test code]],[1]!Table1[[Test code]:[Test code]],[1]!Table1[E @ 100 mA/cm2 10 mM KOH/V],"",0)</f>
        <v>#REF!</v>
      </c>
      <c r="AC1830" s="69" t="e" cm="1">
        <f t="array" ref="AC1830">_xlfn.XLOOKUP(Table1[[#This Row],[5 cm2 cell test code]:[5 cm2 cell test code]],[1]!Table1[[Test code]:[Test code]],[1]!Table1[Anode ICR/mOhm],"",0)</f>
        <v>#REF!</v>
      </c>
      <c r="AD1830" s="69" t="e" cm="1">
        <f t="array" ref="AD1830">_xlfn.XLOOKUP(Table1[[#This Row],[5 cm2 cell test code]:[5 cm2 cell test code]],[1]!Table1[[Test code]:[Test code]],[1]!Table1[HFR DIW/ mOhm cm2],"",0)</f>
        <v>#REF!</v>
      </c>
      <c r="AE1830" s="69" t="e" cm="1">
        <f t="array" ref="AE1830">_xlfn.XLOOKUP(Table1[[#This Row],[5 cm2 cell test code]:[5 cm2 cell test code]],[1]!Table1[[Test code]:[Test code]],[1]!Table1[HFR 10 mM KOH/ mOhm cm2],"",0)</f>
        <v>#REF!</v>
      </c>
      <c r="AF1830" s="69" t="e" cm="1">
        <f t="array" ref="AF1830">_xlfn.XLOOKUP(Table1[[#This Row],[5 cm2 cell test code]:[5 cm2 cell test code]],[1]!Table1[[Test code]:[Test code]],[1]!Table1[Ionic resistance DIW/Ohm cm2],"",0)</f>
        <v>#REF!</v>
      </c>
      <c r="AG1830" s="69" t="e" cm="1">
        <f t="array" ref="AG1830">_xlfn.XLOOKUP(Table1[[#This Row],[5 cm2 cell test code]:[5 cm2 cell test code]],[1]!Table1[[Test code]:[Test code]],[1]!Table1[Q_int_frac DIW],"",0)</f>
        <v>#REF!</v>
      </c>
      <c r="AH1830" s="69" t="e" cm="1">
        <f t="array" ref="AH1830">_xlfn.XLOOKUP(Table1[[#This Row],[5 cm2 cell test code]:[5 cm2 cell test code]],[1]!Table1[[Test code]:[Test code]],[1]!Table1[Ionic resistance 10 mM KOH/Ohm cm2],"",0)</f>
        <v>#REF!</v>
      </c>
      <c r="AI1830" s="69" t="e" cm="1">
        <f t="array" ref="AI1830">_xlfn.XLOOKUP(Table1[[#This Row],[5 cm2 cell test code]:[5 cm2 cell test code]],[1]!Table1[[Test code]:[Test code]],[1]!Table1[Q_int_frac DIW 10 mM KOH],"",0)</f>
        <v>#REF!</v>
      </c>
      <c r="AJ1830" s="69" t="e" cm="1">
        <f t="array" ref="AJ1830">_xlfn.XLOOKUP(Table1[[#This Row],[5 cm2 cell test code]:[5 cm2 cell test code]],[1]!Table1[[Test code]:[Test code]],[1]!Table1[DIW conductivity (µS/cm)],"",0)</f>
        <v>#REF!</v>
      </c>
    </row>
    <row r="1831" spans="1:36">
      <c r="A1831" s="81"/>
      <c r="U1831" s="101"/>
      <c r="V1831" s="101"/>
      <c r="W1831" s="69" t="e" cm="1">
        <f t="array" ref="W1831">_xlfn.XLOOKUP(Table1[[#This Row],[5 cm2 cell test code]:[5 cm2 cell test code]],[1]!Table1[[Test code]:[Test code]],[1]!Table1[i @ 1.8 V DIW (A/cm2)],"",0)</f>
        <v>#REF!</v>
      </c>
      <c r="X1831" s="69" t="e" cm="1">
        <f t="array" ref="X1831">_xlfn.XLOOKUP(Table1[[#This Row],[5 cm2 cell test code]:[5 cm2 cell test code]],[1]!Table1[[Test code]:[Test code]],[1]!Table1[i @ 1.8 V 10 mM KOH (A/cm2)],"",0)</f>
        <v>#REF!</v>
      </c>
      <c r="Y1831" s="69" t="e" cm="1">
        <f t="array" ref="Y1831">_xlfn.XLOOKUP(Table1[[#This Row],[5 cm2 cell test code]:[5 cm2 cell test code]],[1]!Table1[[Test code]:[Test code]],[1]!Table1[3-E ƞ at 20mAcm-2 (mV)],"",0)</f>
        <v>#REF!</v>
      </c>
      <c r="Z1831" s="69" t="e" cm="1">
        <f t="array" ref="Z1831">_xlfn.XLOOKUP(Table1[[#This Row],[5 cm2 cell test code]:[5 cm2 cell test code]],[1]!Table1[[Test code]:[Test code]],[1]!Table1[3-E Tafel slope (mV/dec)],"",0)</f>
        <v>#REF!</v>
      </c>
      <c r="AA1831" s="69" t="e" cm="1">
        <f t="array" ref="AA1831">_xlfn.XLOOKUP(Table1[[#This Row],[5 cm2 cell test code]:[5 cm2 cell test code]],[1]!Table1[[Test code]:[Test code]],[1]!Table1[E @ 100 mA/cm2 DIW/V],"",0)</f>
        <v>#REF!</v>
      </c>
      <c r="AB1831" s="69" t="e" cm="1">
        <f t="array" ref="AB1831">_xlfn.XLOOKUP(Table1[[#This Row],[5 cm2 cell test code]:[5 cm2 cell test code]],[1]!Table1[[Test code]:[Test code]],[1]!Table1[E @ 100 mA/cm2 10 mM KOH/V],"",0)</f>
        <v>#REF!</v>
      </c>
      <c r="AC1831" s="69" t="e" cm="1">
        <f t="array" ref="AC1831">_xlfn.XLOOKUP(Table1[[#This Row],[5 cm2 cell test code]:[5 cm2 cell test code]],[1]!Table1[[Test code]:[Test code]],[1]!Table1[Anode ICR/mOhm],"",0)</f>
        <v>#REF!</v>
      </c>
      <c r="AD1831" s="69" t="e" cm="1">
        <f t="array" ref="AD1831">_xlfn.XLOOKUP(Table1[[#This Row],[5 cm2 cell test code]:[5 cm2 cell test code]],[1]!Table1[[Test code]:[Test code]],[1]!Table1[HFR DIW/ mOhm cm2],"",0)</f>
        <v>#REF!</v>
      </c>
      <c r="AE1831" s="69" t="e" cm="1">
        <f t="array" ref="AE1831">_xlfn.XLOOKUP(Table1[[#This Row],[5 cm2 cell test code]:[5 cm2 cell test code]],[1]!Table1[[Test code]:[Test code]],[1]!Table1[HFR 10 mM KOH/ mOhm cm2],"",0)</f>
        <v>#REF!</v>
      </c>
      <c r="AF1831" s="69" t="e" cm="1">
        <f t="array" ref="AF1831">_xlfn.XLOOKUP(Table1[[#This Row],[5 cm2 cell test code]:[5 cm2 cell test code]],[1]!Table1[[Test code]:[Test code]],[1]!Table1[Ionic resistance DIW/Ohm cm2],"",0)</f>
        <v>#REF!</v>
      </c>
      <c r="AG1831" s="69" t="e" cm="1">
        <f t="array" ref="AG1831">_xlfn.XLOOKUP(Table1[[#This Row],[5 cm2 cell test code]:[5 cm2 cell test code]],[1]!Table1[[Test code]:[Test code]],[1]!Table1[Q_int_frac DIW],"",0)</f>
        <v>#REF!</v>
      </c>
      <c r="AH1831" s="69" t="e" cm="1">
        <f t="array" ref="AH1831">_xlfn.XLOOKUP(Table1[[#This Row],[5 cm2 cell test code]:[5 cm2 cell test code]],[1]!Table1[[Test code]:[Test code]],[1]!Table1[Ionic resistance 10 mM KOH/Ohm cm2],"",0)</f>
        <v>#REF!</v>
      </c>
      <c r="AI1831" s="69" t="e" cm="1">
        <f t="array" ref="AI1831">_xlfn.XLOOKUP(Table1[[#This Row],[5 cm2 cell test code]:[5 cm2 cell test code]],[1]!Table1[[Test code]:[Test code]],[1]!Table1[Q_int_frac DIW 10 mM KOH],"",0)</f>
        <v>#REF!</v>
      </c>
      <c r="AJ1831" s="69" t="e" cm="1">
        <f t="array" ref="AJ1831">_xlfn.XLOOKUP(Table1[[#This Row],[5 cm2 cell test code]:[5 cm2 cell test code]],[1]!Table1[[Test code]:[Test code]],[1]!Table1[DIW conductivity (µS/cm)],"",0)</f>
        <v>#REF!</v>
      </c>
    </row>
    <row r="1832" spans="1:36">
      <c r="A1832" s="81"/>
      <c r="U1832" s="101"/>
      <c r="V1832" s="101"/>
      <c r="W1832" s="69" t="e" cm="1">
        <f t="array" ref="W1832">_xlfn.XLOOKUP(Table1[[#This Row],[5 cm2 cell test code]:[5 cm2 cell test code]],[1]!Table1[[Test code]:[Test code]],[1]!Table1[i @ 1.8 V DIW (A/cm2)],"",0)</f>
        <v>#REF!</v>
      </c>
      <c r="X1832" s="69" t="e" cm="1">
        <f t="array" ref="X1832">_xlfn.XLOOKUP(Table1[[#This Row],[5 cm2 cell test code]:[5 cm2 cell test code]],[1]!Table1[[Test code]:[Test code]],[1]!Table1[i @ 1.8 V 10 mM KOH (A/cm2)],"",0)</f>
        <v>#REF!</v>
      </c>
      <c r="Y1832" s="69" t="e" cm="1">
        <f t="array" ref="Y1832">_xlfn.XLOOKUP(Table1[[#This Row],[5 cm2 cell test code]:[5 cm2 cell test code]],[1]!Table1[[Test code]:[Test code]],[1]!Table1[3-E ƞ at 20mAcm-2 (mV)],"",0)</f>
        <v>#REF!</v>
      </c>
      <c r="Z1832" s="69" t="e" cm="1">
        <f t="array" ref="Z1832">_xlfn.XLOOKUP(Table1[[#This Row],[5 cm2 cell test code]:[5 cm2 cell test code]],[1]!Table1[[Test code]:[Test code]],[1]!Table1[3-E Tafel slope (mV/dec)],"",0)</f>
        <v>#REF!</v>
      </c>
      <c r="AA1832" s="69" t="e" cm="1">
        <f t="array" ref="AA1832">_xlfn.XLOOKUP(Table1[[#This Row],[5 cm2 cell test code]:[5 cm2 cell test code]],[1]!Table1[[Test code]:[Test code]],[1]!Table1[E @ 100 mA/cm2 DIW/V],"",0)</f>
        <v>#REF!</v>
      </c>
      <c r="AB1832" s="69" t="e" cm="1">
        <f t="array" ref="AB1832">_xlfn.XLOOKUP(Table1[[#This Row],[5 cm2 cell test code]:[5 cm2 cell test code]],[1]!Table1[[Test code]:[Test code]],[1]!Table1[E @ 100 mA/cm2 10 mM KOH/V],"",0)</f>
        <v>#REF!</v>
      </c>
      <c r="AC1832" s="69" t="e" cm="1">
        <f t="array" ref="AC1832">_xlfn.XLOOKUP(Table1[[#This Row],[5 cm2 cell test code]:[5 cm2 cell test code]],[1]!Table1[[Test code]:[Test code]],[1]!Table1[Anode ICR/mOhm],"",0)</f>
        <v>#REF!</v>
      </c>
      <c r="AD1832" s="69" t="e" cm="1">
        <f t="array" ref="AD1832">_xlfn.XLOOKUP(Table1[[#This Row],[5 cm2 cell test code]:[5 cm2 cell test code]],[1]!Table1[[Test code]:[Test code]],[1]!Table1[HFR DIW/ mOhm cm2],"",0)</f>
        <v>#REF!</v>
      </c>
      <c r="AE1832" s="69" t="e" cm="1">
        <f t="array" ref="AE1832">_xlfn.XLOOKUP(Table1[[#This Row],[5 cm2 cell test code]:[5 cm2 cell test code]],[1]!Table1[[Test code]:[Test code]],[1]!Table1[HFR 10 mM KOH/ mOhm cm2],"",0)</f>
        <v>#REF!</v>
      </c>
      <c r="AF1832" s="69" t="e" cm="1">
        <f t="array" ref="AF1832">_xlfn.XLOOKUP(Table1[[#This Row],[5 cm2 cell test code]:[5 cm2 cell test code]],[1]!Table1[[Test code]:[Test code]],[1]!Table1[Ionic resistance DIW/Ohm cm2],"",0)</f>
        <v>#REF!</v>
      </c>
      <c r="AG1832" s="69" t="e" cm="1">
        <f t="array" ref="AG1832">_xlfn.XLOOKUP(Table1[[#This Row],[5 cm2 cell test code]:[5 cm2 cell test code]],[1]!Table1[[Test code]:[Test code]],[1]!Table1[Q_int_frac DIW],"",0)</f>
        <v>#REF!</v>
      </c>
      <c r="AH1832" s="69" t="e" cm="1">
        <f t="array" ref="AH1832">_xlfn.XLOOKUP(Table1[[#This Row],[5 cm2 cell test code]:[5 cm2 cell test code]],[1]!Table1[[Test code]:[Test code]],[1]!Table1[Ionic resistance 10 mM KOH/Ohm cm2],"",0)</f>
        <v>#REF!</v>
      </c>
      <c r="AI1832" s="69" t="e" cm="1">
        <f t="array" ref="AI1832">_xlfn.XLOOKUP(Table1[[#This Row],[5 cm2 cell test code]:[5 cm2 cell test code]],[1]!Table1[[Test code]:[Test code]],[1]!Table1[Q_int_frac DIW 10 mM KOH],"",0)</f>
        <v>#REF!</v>
      </c>
      <c r="AJ1832" s="69" t="e" cm="1">
        <f t="array" ref="AJ1832">_xlfn.XLOOKUP(Table1[[#This Row],[5 cm2 cell test code]:[5 cm2 cell test code]],[1]!Table1[[Test code]:[Test code]],[1]!Table1[DIW conductivity (µS/cm)],"",0)</f>
        <v>#REF!</v>
      </c>
    </row>
    <row r="1833" spans="1:36">
      <c r="A1833" s="81"/>
      <c r="U1833" s="101"/>
      <c r="V1833" s="101"/>
      <c r="W1833" s="69" t="e" cm="1">
        <f t="array" ref="W1833">_xlfn.XLOOKUP(Table1[[#This Row],[5 cm2 cell test code]:[5 cm2 cell test code]],[1]!Table1[[Test code]:[Test code]],[1]!Table1[i @ 1.8 V DIW (A/cm2)],"",0)</f>
        <v>#REF!</v>
      </c>
      <c r="X1833" s="69" t="e" cm="1">
        <f t="array" ref="X1833">_xlfn.XLOOKUP(Table1[[#This Row],[5 cm2 cell test code]:[5 cm2 cell test code]],[1]!Table1[[Test code]:[Test code]],[1]!Table1[i @ 1.8 V 10 mM KOH (A/cm2)],"",0)</f>
        <v>#REF!</v>
      </c>
      <c r="Y1833" s="69" t="e" cm="1">
        <f t="array" ref="Y1833">_xlfn.XLOOKUP(Table1[[#This Row],[5 cm2 cell test code]:[5 cm2 cell test code]],[1]!Table1[[Test code]:[Test code]],[1]!Table1[3-E ƞ at 20mAcm-2 (mV)],"",0)</f>
        <v>#REF!</v>
      </c>
      <c r="Z1833" s="69" t="e" cm="1">
        <f t="array" ref="Z1833">_xlfn.XLOOKUP(Table1[[#This Row],[5 cm2 cell test code]:[5 cm2 cell test code]],[1]!Table1[[Test code]:[Test code]],[1]!Table1[3-E Tafel slope (mV/dec)],"",0)</f>
        <v>#REF!</v>
      </c>
      <c r="AA1833" s="69" t="e" cm="1">
        <f t="array" ref="AA1833">_xlfn.XLOOKUP(Table1[[#This Row],[5 cm2 cell test code]:[5 cm2 cell test code]],[1]!Table1[[Test code]:[Test code]],[1]!Table1[E @ 100 mA/cm2 DIW/V],"",0)</f>
        <v>#REF!</v>
      </c>
      <c r="AB1833" s="69" t="e" cm="1">
        <f t="array" ref="AB1833">_xlfn.XLOOKUP(Table1[[#This Row],[5 cm2 cell test code]:[5 cm2 cell test code]],[1]!Table1[[Test code]:[Test code]],[1]!Table1[E @ 100 mA/cm2 10 mM KOH/V],"",0)</f>
        <v>#REF!</v>
      </c>
      <c r="AC1833" s="69" t="e" cm="1">
        <f t="array" ref="AC1833">_xlfn.XLOOKUP(Table1[[#This Row],[5 cm2 cell test code]:[5 cm2 cell test code]],[1]!Table1[[Test code]:[Test code]],[1]!Table1[Anode ICR/mOhm],"",0)</f>
        <v>#REF!</v>
      </c>
      <c r="AD1833" s="69" t="e" cm="1">
        <f t="array" ref="AD1833">_xlfn.XLOOKUP(Table1[[#This Row],[5 cm2 cell test code]:[5 cm2 cell test code]],[1]!Table1[[Test code]:[Test code]],[1]!Table1[HFR DIW/ mOhm cm2],"",0)</f>
        <v>#REF!</v>
      </c>
      <c r="AE1833" s="69" t="e" cm="1">
        <f t="array" ref="AE1833">_xlfn.XLOOKUP(Table1[[#This Row],[5 cm2 cell test code]:[5 cm2 cell test code]],[1]!Table1[[Test code]:[Test code]],[1]!Table1[HFR 10 mM KOH/ mOhm cm2],"",0)</f>
        <v>#REF!</v>
      </c>
      <c r="AF1833" s="69" t="e" cm="1">
        <f t="array" ref="AF1833">_xlfn.XLOOKUP(Table1[[#This Row],[5 cm2 cell test code]:[5 cm2 cell test code]],[1]!Table1[[Test code]:[Test code]],[1]!Table1[Ionic resistance DIW/Ohm cm2],"",0)</f>
        <v>#REF!</v>
      </c>
      <c r="AG1833" s="69" t="e" cm="1">
        <f t="array" ref="AG1833">_xlfn.XLOOKUP(Table1[[#This Row],[5 cm2 cell test code]:[5 cm2 cell test code]],[1]!Table1[[Test code]:[Test code]],[1]!Table1[Q_int_frac DIW],"",0)</f>
        <v>#REF!</v>
      </c>
      <c r="AH1833" s="69" t="e" cm="1">
        <f t="array" ref="AH1833">_xlfn.XLOOKUP(Table1[[#This Row],[5 cm2 cell test code]:[5 cm2 cell test code]],[1]!Table1[[Test code]:[Test code]],[1]!Table1[Ionic resistance 10 mM KOH/Ohm cm2],"",0)</f>
        <v>#REF!</v>
      </c>
      <c r="AI1833" s="69" t="e" cm="1">
        <f t="array" ref="AI1833">_xlfn.XLOOKUP(Table1[[#This Row],[5 cm2 cell test code]:[5 cm2 cell test code]],[1]!Table1[[Test code]:[Test code]],[1]!Table1[Q_int_frac DIW 10 mM KOH],"",0)</f>
        <v>#REF!</v>
      </c>
      <c r="AJ1833" s="69" t="e" cm="1">
        <f t="array" ref="AJ1833">_xlfn.XLOOKUP(Table1[[#This Row],[5 cm2 cell test code]:[5 cm2 cell test code]],[1]!Table1[[Test code]:[Test code]],[1]!Table1[DIW conductivity (µS/cm)],"",0)</f>
        <v>#REF!</v>
      </c>
    </row>
    <row r="1834" spans="1:36">
      <c r="A1834" s="81"/>
      <c r="U1834" s="101"/>
      <c r="V1834" s="101"/>
      <c r="W1834" s="69" t="e" cm="1">
        <f t="array" ref="W1834">_xlfn.XLOOKUP(Table1[[#This Row],[5 cm2 cell test code]:[5 cm2 cell test code]],[1]!Table1[[Test code]:[Test code]],[1]!Table1[i @ 1.8 V DIW (A/cm2)],"",0)</f>
        <v>#REF!</v>
      </c>
      <c r="X1834" s="69" t="e" cm="1">
        <f t="array" ref="X1834">_xlfn.XLOOKUP(Table1[[#This Row],[5 cm2 cell test code]:[5 cm2 cell test code]],[1]!Table1[[Test code]:[Test code]],[1]!Table1[i @ 1.8 V 10 mM KOH (A/cm2)],"",0)</f>
        <v>#REF!</v>
      </c>
      <c r="Y1834" s="69" t="e" cm="1">
        <f t="array" ref="Y1834">_xlfn.XLOOKUP(Table1[[#This Row],[5 cm2 cell test code]:[5 cm2 cell test code]],[1]!Table1[[Test code]:[Test code]],[1]!Table1[3-E ƞ at 20mAcm-2 (mV)],"",0)</f>
        <v>#REF!</v>
      </c>
      <c r="Z1834" s="69" t="e" cm="1">
        <f t="array" ref="Z1834">_xlfn.XLOOKUP(Table1[[#This Row],[5 cm2 cell test code]:[5 cm2 cell test code]],[1]!Table1[[Test code]:[Test code]],[1]!Table1[3-E Tafel slope (mV/dec)],"",0)</f>
        <v>#REF!</v>
      </c>
      <c r="AA1834" s="69" t="e" cm="1">
        <f t="array" ref="AA1834">_xlfn.XLOOKUP(Table1[[#This Row],[5 cm2 cell test code]:[5 cm2 cell test code]],[1]!Table1[[Test code]:[Test code]],[1]!Table1[E @ 100 mA/cm2 DIW/V],"",0)</f>
        <v>#REF!</v>
      </c>
      <c r="AB1834" s="69" t="e" cm="1">
        <f t="array" ref="AB1834">_xlfn.XLOOKUP(Table1[[#This Row],[5 cm2 cell test code]:[5 cm2 cell test code]],[1]!Table1[[Test code]:[Test code]],[1]!Table1[E @ 100 mA/cm2 10 mM KOH/V],"",0)</f>
        <v>#REF!</v>
      </c>
      <c r="AC1834" s="69" t="e" cm="1">
        <f t="array" ref="AC1834">_xlfn.XLOOKUP(Table1[[#This Row],[5 cm2 cell test code]:[5 cm2 cell test code]],[1]!Table1[[Test code]:[Test code]],[1]!Table1[Anode ICR/mOhm],"",0)</f>
        <v>#REF!</v>
      </c>
      <c r="AD1834" s="69" t="e" cm="1">
        <f t="array" ref="AD1834">_xlfn.XLOOKUP(Table1[[#This Row],[5 cm2 cell test code]:[5 cm2 cell test code]],[1]!Table1[[Test code]:[Test code]],[1]!Table1[HFR DIW/ mOhm cm2],"",0)</f>
        <v>#REF!</v>
      </c>
      <c r="AE1834" s="69" t="e" cm="1">
        <f t="array" ref="AE1834">_xlfn.XLOOKUP(Table1[[#This Row],[5 cm2 cell test code]:[5 cm2 cell test code]],[1]!Table1[[Test code]:[Test code]],[1]!Table1[HFR 10 mM KOH/ mOhm cm2],"",0)</f>
        <v>#REF!</v>
      </c>
      <c r="AF1834" s="69" t="e" cm="1">
        <f t="array" ref="AF1834">_xlfn.XLOOKUP(Table1[[#This Row],[5 cm2 cell test code]:[5 cm2 cell test code]],[1]!Table1[[Test code]:[Test code]],[1]!Table1[Ionic resistance DIW/Ohm cm2],"",0)</f>
        <v>#REF!</v>
      </c>
      <c r="AG1834" s="69" t="e" cm="1">
        <f t="array" ref="AG1834">_xlfn.XLOOKUP(Table1[[#This Row],[5 cm2 cell test code]:[5 cm2 cell test code]],[1]!Table1[[Test code]:[Test code]],[1]!Table1[Q_int_frac DIW],"",0)</f>
        <v>#REF!</v>
      </c>
      <c r="AH1834" s="69" t="e" cm="1">
        <f t="array" ref="AH1834">_xlfn.XLOOKUP(Table1[[#This Row],[5 cm2 cell test code]:[5 cm2 cell test code]],[1]!Table1[[Test code]:[Test code]],[1]!Table1[Ionic resistance 10 mM KOH/Ohm cm2],"",0)</f>
        <v>#REF!</v>
      </c>
      <c r="AI1834" s="69" t="e" cm="1">
        <f t="array" ref="AI1834">_xlfn.XLOOKUP(Table1[[#This Row],[5 cm2 cell test code]:[5 cm2 cell test code]],[1]!Table1[[Test code]:[Test code]],[1]!Table1[Q_int_frac DIW 10 mM KOH],"",0)</f>
        <v>#REF!</v>
      </c>
      <c r="AJ1834" s="69" t="e" cm="1">
        <f t="array" ref="AJ1834">_xlfn.XLOOKUP(Table1[[#This Row],[5 cm2 cell test code]:[5 cm2 cell test code]],[1]!Table1[[Test code]:[Test code]],[1]!Table1[DIW conductivity (µS/cm)],"",0)</f>
        <v>#REF!</v>
      </c>
    </row>
    <row r="1835" spans="1:36">
      <c r="A1835" s="81"/>
      <c r="U1835" s="101"/>
      <c r="V1835" s="101"/>
      <c r="W1835" s="69" t="e" cm="1">
        <f t="array" ref="W1835">_xlfn.XLOOKUP(Table1[[#This Row],[5 cm2 cell test code]:[5 cm2 cell test code]],[1]!Table1[[Test code]:[Test code]],[1]!Table1[i @ 1.8 V DIW (A/cm2)],"",0)</f>
        <v>#REF!</v>
      </c>
      <c r="X1835" s="69" t="e" cm="1">
        <f t="array" ref="X1835">_xlfn.XLOOKUP(Table1[[#This Row],[5 cm2 cell test code]:[5 cm2 cell test code]],[1]!Table1[[Test code]:[Test code]],[1]!Table1[i @ 1.8 V 10 mM KOH (A/cm2)],"",0)</f>
        <v>#REF!</v>
      </c>
      <c r="Y1835" s="69" t="e" cm="1">
        <f t="array" ref="Y1835">_xlfn.XLOOKUP(Table1[[#This Row],[5 cm2 cell test code]:[5 cm2 cell test code]],[1]!Table1[[Test code]:[Test code]],[1]!Table1[3-E ƞ at 20mAcm-2 (mV)],"",0)</f>
        <v>#REF!</v>
      </c>
      <c r="Z1835" s="69" t="e" cm="1">
        <f t="array" ref="Z1835">_xlfn.XLOOKUP(Table1[[#This Row],[5 cm2 cell test code]:[5 cm2 cell test code]],[1]!Table1[[Test code]:[Test code]],[1]!Table1[3-E Tafel slope (mV/dec)],"",0)</f>
        <v>#REF!</v>
      </c>
      <c r="AA1835" s="69" t="e" cm="1">
        <f t="array" ref="AA1835">_xlfn.XLOOKUP(Table1[[#This Row],[5 cm2 cell test code]:[5 cm2 cell test code]],[1]!Table1[[Test code]:[Test code]],[1]!Table1[E @ 100 mA/cm2 DIW/V],"",0)</f>
        <v>#REF!</v>
      </c>
      <c r="AB1835" s="69" t="e" cm="1">
        <f t="array" ref="AB1835">_xlfn.XLOOKUP(Table1[[#This Row],[5 cm2 cell test code]:[5 cm2 cell test code]],[1]!Table1[[Test code]:[Test code]],[1]!Table1[E @ 100 mA/cm2 10 mM KOH/V],"",0)</f>
        <v>#REF!</v>
      </c>
      <c r="AC1835" s="69" t="e" cm="1">
        <f t="array" ref="AC1835">_xlfn.XLOOKUP(Table1[[#This Row],[5 cm2 cell test code]:[5 cm2 cell test code]],[1]!Table1[[Test code]:[Test code]],[1]!Table1[Anode ICR/mOhm],"",0)</f>
        <v>#REF!</v>
      </c>
      <c r="AD1835" s="69" t="e" cm="1">
        <f t="array" ref="AD1835">_xlfn.XLOOKUP(Table1[[#This Row],[5 cm2 cell test code]:[5 cm2 cell test code]],[1]!Table1[[Test code]:[Test code]],[1]!Table1[HFR DIW/ mOhm cm2],"",0)</f>
        <v>#REF!</v>
      </c>
      <c r="AE1835" s="69" t="e" cm="1">
        <f t="array" ref="AE1835">_xlfn.XLOOKUP(Table1[[#This Row],[5 cm2 cell test code]:[5 cm2 cell test code]],[1]!Table1[[Test code]:[Test code]],[1]!Table1[HFR 10 mM KOH/ mOhm cm2],"",0)</f>
        <v>#REF!</v>
      </c>
      <c r="AF1835" s="69" t="e" cm="1">
        <f t="array" ref="AF1835">_xlfn.XLOOKUP(Table1[[#This Row],[5 cm2 cell test code]:[5 cm2 cell test code]],[1]!Table1[[Test code]:[Test code]],[1]!Table1[Ionic resistance DIW/Ohm cm2],"",0)</f>
        <v>#REF!</v>
      </c>
      <c r="AG1835" s="69" t="e" cm="1">
        <f t="array" ref="AG1835">_xlfn.XLOOKUP(Table1[[#This Row],[5 cm2 cell test code]:[5 cm2 cell test code]],[1]!Table1[[Test code]:[Test code]],[1]!Table1[Q_int_frac DIW],"",0)</f>
        <v>#REF!</v>
      </c>
      <c r="AH1835" s="69" t="e" cm="1">
        <f t="array" ref="AH1835">_xlfn.XLOOKUP(Table1[[#This Row],[5 cm2 cell test code]:[5 cm2 cell test code]],[1]!Table1[[Test code]:[Test code]],[1]!Table1[Ionic resistance 10 mM KOH/Ohm cm2],"",0)</f>
        <v>#REF!</v>
      </c>
      <c r="AI1835" s="69" t="e" cm="1">
        <f t="array" ref="AI1835">_xlfn.XLOOKUP(Table1[[#This Row],[5 cm2 cell test code]:[5 cm2 cell test code]],[1]!Table1[[Test code]:[Test code]],[1]!Table1[Q_int_frac DIW 10 mM KOH],"",0)</f>
        <v>#REF!</v>
      </c>
      <c r="AJ1835" s="69" t="e" cm="1">
        <f t="array" ref="AJ1835">_xlfn.XLOOKUP(Table1[[#This Row],[5 cm2 cell test code]:[5 cm2 cell test code]],[1]!Table1[[Test code]:[Test code]],[1]!Table1[DIW conductivity (µS/cm)],"",0)</f>
        <v>#REF!</v>
      </c>
    </row>
    <row r="1836" spans="1:36">
      <c r="A1836" s="81"/>
      <c r="U1836" s="101"/>
      <c r="V1836" s="101"/>
      <c r="W1836" s="69" t="e" cm="1">
        <f t="array" ref="W1836">_xlfn.XLOOKUP(Table1[[#This Row],[5 cm2 cell test code]:[5 cm2 cell test code]],[1]!Table1[[Test code]:[Test code]],[1]!Table1[i @ 1.8 V DIW (A/cm2)],"",0)</f>
        <v>#REF!</v>
      </c>
      <c r="X1836" s="69" t="e" cm="1">
        <f t="array" ref="X1836">_xlfn.XLOOKUP(Table1[[#This Row],[5 cm2 cell test code]:[5 cm2 cell test code]],[1]!Table1[[Test code]:[Test code]],[1]!Table1[i @ 1.8 V 10 mM KOH (A/cm2)],"",0)</f>
        <v>#REF!</v>
      </c>
      <c r="Y1836" s="69" t="e" cm="1">
        <f t="array" ref="Y1836">_xlfn.XLOOKUP(Table1[[#This Row],[5 cm2 cell test code]:[5 cm2 cell test code]],[1]!Table1[[Test code]:[Test code]],[1]!Table1[3-E ƞ at 20mAcm-2 (mV)],"",0)</f>
        <v>#REF!</v>
      </c>
      <c r="Z1836" s="69" t="e" cm="1">
        <f t="array" ref="Z1836">_xlfn.XLOOKUP(Table1[[#This Row],[5 cm2 cell test code]:[5 cm2 cell test code]],[1]!Table1[[Test code]:[Test code]],[1]!Table1[3-E Tafel slope (mV/dec)],"",0)</f>
        <v>#REF!</v>
      </c>
      <c r="AA1836" s="69" t="e" cm="1">
        <f t="array" ref="AA1836">_xlfn.XLOOKUP(Table1[[#This Row],[5 cm2 cell test code]:[5 cm2 cell test code]],[1]!Table1[[Test code]:[Test code]],[1]!Table1[E @ 100 mA/cm2 DIW/V],"",0)</f>
        <v>#REF!</v>
      </c>
      <c r="AB1836" s="69" t="e" cm="1">
        <f t="array" ref="AB1836">_xlfn.XLOOKUP(Table1[[#This Row],[5 cm2 cell test code]:[5 cm2 cell test code]],[1]!Table1[[Test code]:[Test code]],[1]!Table1[E @ 100 mA/cm2 10 mM KOH/V],"",0)</f>
        <v>#REF!</v>
      </c>
      <c r="AC1836" s="69" t="e" cm="1">
        <f t="array" ref="AC1836">_xlfn.XLOOKUP(Table1[[#This Row],[5 cm2 cell test code]:[5 cm2 cell test code]],[1]!Table1[[Test code]:[Test code]],[1]!Table1[Anode ICR/mOhm],"",0)</f>
        <v>#REF!</v>
      </c>
      <c r="AD1836" s="69" t="e" cm="1">
        <f t="array" ref="AD1836">_xlfn.XLOOKUP(Table1[[#This Row],[5 cm2 cell test code]:[5 cm2 cell test code]],[1]!Table1[[Test code]:[Test code]],[1]!Table1[HFR DIW/ mOhm cm2],"",0)</f>
        <v>#REF!</v>
      </c>
      <c r="AE1836" s="69" t="e" cm="1">
        <f t="array" ref="AE1836">_xlfn.XLOOKUP(Table1[[#This Row],[5 cm2 cell test code]:[5 cm2 cell test code]],[1]!Table1[[Test code]:[Test code]],[1]!Table1[HFR 10 mM KOH/ mOhm cm2],"",0)</f>
        <v>#REF!</v>
      </c>
      <c r="AF1836" s="69" t="e" cm="1">
        <f t="array" ref="AF1836">_xlfn.XLOOKUP(Table1[[#This Row],[5 cm2 cell test code]:[5 cm2 cell test code]],[1]!Table1[[Test code]:[Test code]],[1]!Table1[Ionic resistance DIW/Ohm cm2],"",0)</f>
        <v>#REF!</v>
      </c>
      <c r="AG1836" s="69" t="e" cm="1">
        <f t="array" ref="AG1836">_xlfn.XLOOKUP(Table1[[#This Row],[5 cm2 cell test code]:[5 cm2 cell test code]],[1]!Table1[[Test code]:[Test code]],[1]!Table1[Q_int_frac DIW],"",0)</f>
        <v>#REF!</v>
      </c>
      <c r="AH1836" s="69" t="e" cm="1">
        <f t="array" ref="AH1836">_xlfn.XLOOKUP(Table1[[#This Row],[5 cm2 cell test code]:[5 cm2 cell test code]],[1]!Table1[[Test code]:[Test code]],[1]!Table1[Ionic resistance 10 mM KOH/Ohm cm2],"",0)</f>
        <v>#REF!</v>
      </c>
      <c r="AI1836" s="69" t="e" cm="1">
        <f t="array" ref="AI1836">_xlfn.XLOOKUP(Table1[[#This Row],[5 cm2 cell test code]:[5 cm2 cell test code]],[1]!Table1[[Test code]:[Test code]],[1]!Table1[Q_int_frac DIW 10 mM KOH],"",0)</f>
        <v>#REF!</v>
      </c>
      <c r="AJ1836" s="69" t="e" cm="1">
        <f t="array" ref="AJ1836">_xlfn.XLOOKUP(Table1[[#This Row],[5 cm2 cell test code]:[5 cm2 cell test code]],[1]!Table1[[Test code]:[Test code]],[1]!Table1[DIW conductivity (µS/cm)],"",0)</f>
        <v>#REF!</v>
      </c>
    </row>
    <row r="1837" spans="1:36">
      <c r="A1837" s="81"/>
      <c r="U1837" s="101"/>
      <c r="V1837" s="101"/>
      <c r="W1837" s="69" t="e" cm="1">
        <f t="array" ref="W1837">_xlfn.XLOOKUP(Table1[[#This Row],[5 cm2 cell test code]:[5 cm2 cell test code]],[1]!Table1[[Test code]:[Test code]],[1]!Table1[i @ 1.8 V DIW (A/cm2)],"",0)</f>
        <v>#REF!</v>
      </c>
      <c r="X1837" s="69" t="e" cm="1">
        <f t="array" ref="X1837">_xlfn.XLOOKUP(Table1[[#This Row],[5 cm2 cell test code]:[5 cm2 cell test code]],[1]!Table1[[Test code]:[Test code]],[1]!Table1[i @ 1.8 V 10 mM KOH (A/cm2)],"",0)</f>
        <v>#REF!</v>
      </c>
      <c r="Y1837" s="69" t="e" cm="1">
        <f t="array" ref="Y1837">_xlfn.XLOOKUP(Table1[[#This Row],[5 cm2 cell test code]:[5 cm2 cell test code]],[1]!Table1[[Test code]:[Test code]],[1]!Table1[3-E ƞ at 20mAcm-2 (mV)],"",0)</f>
        <v>#REF!</v>
      </c>
      <c r="Z1837" s="69" t="e" cm="1">
        <f t="array" ref="Z1837">_xlfn.XLOOKUP(Table1[[#This Row],[5 cm2 cell test code]:[5 cm2 cell test code]],[1]!Table1[[Test code]:[Test code]],[1]!Table1[3-E Tafel slope (mV/dec)],"",0)</f>
        <v>#REF!</v>
      </c>
      <c r="AA1837" s="69" t="e" cm="1">
        <f t="array" ref="AA1837">_xlfn.XLOOKUP(Table1[[#This Row],[5 cm2 cell test code]:[5 cm2 cell test code]],[1]!Table1[[Test code]:[Test code]],[1]!Table1[E @ 100 mA/cm2 DIW/V],"",0)</f>
        <v>#REF!</v>
      </c>
      <c r="AB1837" s="69" t="e" cm="1">
        <f t="array" ref="AB1837">_xlfn.XLOOKUP(Table1[[#This Row],[5 cm2 cell test code]:[5 cm2 cell test code]],[1]!Table1[[Test code]:[Test code]],[1]!Table1[E @ 100 mA/cm2 10 mM KOH/V],"",0)</f>
        <v>#REF!</v>
      </c>
      <c r="AC1837" s="69" t="e" cm="1">
        <f t="array" ref="AC1837">_xlfn.XLOOKUP(Table1[[#This Row],[5 cm2 cell test code]:[5 cm2 cell test code]],[1]!Table1[[Test code]:[Test code]],[1]!Table1[Anode ICR/mOhm],"",0)</f>
        <v>#REF!</v>
      </c>
      <c r="AD1837" s="69" t="e" cm="1">
        <f t="array" ref="AD1837">_xlfn.XLOOKUP(Table1[[#This Row],[5 cm2 cell test code]:[5 cm2 cell test code]],[1]!Table1[[Test code]:[Test code]],[1]!Table1[HFR DIW/ mOhm cm2],"",0)</f>
        <v>#REF!</v>
      </c>
      <c r="AE1837" s="69" t="e" cm="1">
        <f t="array" ref="AE1837">_xlfn.XLOOKUP(Table1[[#This Row],[5 cm2 cell test code]:[5 cm2 cell test code]],[1]!Table1[[Test code]:[Test code]],[1]!Table1[HFR 10 mM KOH/ mOhm cm2],"",0)</f>
        <v>#REF!</v>
      </c>
      <c r="AF1837" s="69" t="e" cm="1">
        <f t="array" ref="AF1837">_xlfn.XLOOKUP(Table1[[#This Row],[5 cm2 cell test code]:[5 cm2 cell test code]],[1]!Table1[[Test code]:[Test code]],[1]!Table1[Ionic resistance DIW/Ohm cm2],"",0)</f>
        <v>#REF!</v>
      </c>
      <c r="AG1837" s="69" t="e" cm="1">
        <f t="array" ref="AG1837">_xlfn.XLOOKUP(Table1[[#This Row],[5 cm2 cell test code]:[5 cm2 cell test code]],[1]!Table1[[Test code]:[Test code]],[1]!Table1[Q_int_frac DIW],"",0)</f>
        <v>#REF!</v>
      </c>
      <c r="AH1837" s="69" t="e" cm="1">
        <f t="array" ref="AH1837">_xlfn.XLOOKUP(Table1[[#This Row],[5 cm2 cell test code]:[5 cm2 cell test code]],[1]!Table1[[Test code]:[Test code]],[1]!Table1[Ionic resistance 10 mM KOH/Ohm cm2],"",0)</f>
        <v>#REF!</v>
      </c>
      <c r="AI1837" s="69" t="e" cm="1">
        <f t="array" ref="AI1837">_xlfn.XLOOKUP(Table1[[#This Row],[5 cm2 cell test code]:[5 cm2 cell test code]],[1]!Table1[[Test code]:[Test code]],[1]!Table1[Q_int_frac DIW 10 mM KOH],"",0)</f>
        <v>#REF!</v>
      </c>
      <c r="AJ1837" s="69" t="e" cm="1">
        <f t="array" ref="AJ1837">_xlfn.XLOOKUP(Table1[[#This Row],[5 cm2 cell test code]:[5 cm2 cell test code]],[1]!Table1[[Test code]:[Test code]],[1]!Table1[DIW conductivity (µS/cm)],"",0)</f>
        <v>#REF!</v>
      </c>
    </row>
    <row r="1838" spans="1:36">
      <c r="A1838" s="81"/>
      <c r="U1838" s="101"/>
      <c r="V1838" s="101"/>
      <c r="W1838" s="69" t="e" cm="1">
        <f t="array" ref="W1838">_xlfn.XLOOKUP(Table1[[#This Row],[5 cm2 cell test code]:[5 cm2 cell test code]],[1]!Table1[[Test code]:[Test code]],[1]!Table1[i @ 1.8 V DIW (A/cm2)],"",0)</f>
        <v>#REF!</v>
      </c>
      <c r="X1838" s="69" t="e" cm="1">
        <f t="array" ref="X1838">_xlfn.XLOOKUP(Table1[[#This Row],[5 cm2 cell test code]:[5 cm2 cell test code]],[1]!Table1[[Test code]:[Test code]],[1]!Table1[i @ 1.8 V 10 mM KOH (A/cm2)],"",0)</f>
        <v>#REF!</v>
      </c>
      <c r="Y1838" s="69" t="e" cm="1">
        <f t="array" ref="Y1838">_xlfn.XLOOKUP(Table1[[#This Row],[5 cm2 cell test code]:[5 cm2 cell test code]],[1]!Table1[[Test code]:[Test code]],[1]!Table1[3-E ƞ at 20mAcm-2 (mV)],"",0)</f>
        <v>#REF!</v>
      </c>
      <c r="Z1838" s="69" t="e" cm="1">
        <f t="array" ref="Z1838">_xlfn.XLOOKUP(Table1[[#This Row],[5 cm2 cell test code]:[5 cm2 cell test code]],[1]!Table1[[Test code]:[Test code]],[1]!Table1[3-E Tafel slope (mV/dec)],"",0)</f>
        <v>#REF!</v>
      </c>
      <c r="AA1838" s="69" t="e" cm="1">
        <f t="array" ref="AA1838">_xlfn.XLOOKUP(Table1[[#This Row],[5 cm2 cell test code]:[5 cm2 cell test code]],[1]!Table1[[Test code]:[Test code]],[1]!Table1[E @ 100 mA/cm2 DIW/V],"",0)</f>
        <v>#REF!</v>
      </c>
      <c r="AB1838" s="69" t="e" cm="1">
        <f t="array" ref="AB1838">_xlfn.XLOOKUP(Table1[[#This Row],[5 cm2 cell test code]:[5 cm2 cell test code]],[1]!Table1[[Test code]:[Test code]],[1]!Table1[E @ 100 mA/cm2 10 mM KOH/V],"",0)</f>
        <v>#REF!</v>
      </c>
      <c r="AC1838" s="69" t="e" cm="1">
        <f t="array" ref="AC1838">_xlfn.XLOOKUP(Table1[[#This Row],[5 cm2 cell test code]:[5 cm2 cell test code]],[1]!Table1[[Test code]:[Test code]],[1]!Table1[Anode ICR/mOhm],"",0)</f>
        <v>#REF!</v>
      </c>
      <c r="AD1838" s="69" t="e" cm="1">
        <f t="array" ref="AD1838">_xlfn.XLOOKUP(Table1[[#This Row],[5 cm2 cell test code]:[5 cm2 cell test code]],[1]!Table1[[Test code]:[Test code]],[1]!Table1[HFR DIW/ mOhm cm2],"",0)</f>
        <v>#REF!</v>
      </c>
      <c r="AE1838" s="69" t="e" cm="1">
        <f t="array" ref="AE1838">_xlfn.XLOOKUP(Table1[[#This Row],[5 cm2 cell test code]:[5 cm2 cell test code]],[1]!Table1[[Test code]:[Test code]],[1]!Table1[HFR 10 mM KOH/ mOhm cm2],"",0)</f>
        <v>#REF!</v>
      </c>
      <c r="AF1838" s="69" t="e" cm="1">
        <f t="array" ref="AF1838">_xlfn.XLOOKUP(Table1[[#This Row],[5 cm2 cell test code]:[5 cm2 cell test code]],[1]!Table1[[Test code]:[Test code]],[1]!Table1[Ionic resistance DIW/Ohm cm2],"",0)</f>
        <v>#REF!</v>
      </c>
      <c r="AG1838" s="69" t="e" cm="1">
        <f t="array" ref="AG1838">_xlfn.XLOOKUP(Table1[[#This Row],[5 cm2 cell test code]:[5 cm2 cell test code]],[1]!Table1[[Test code]:[Test code]],[1]!Table1[Q_int_frac DIW],"",0)</f>
        <v>#REF!</v>
      </c>
      <c r="AH1838" s="69" t="e" cm="1">
        <f t="array" ref="AH1838">_xlfn.XLOOKUP(Table1[[#This Row],[5 cm2 cell test code]:[5 cm2 cell test code]],[1]!Table1[[Test code]:[Test code]],[1]!Table1[Ionic resistance 10 mM KOH/Ohm cm2],"",0)</f>
        <v>#REF!</v>
      </c>
      <c r="AI1838" s="69" t="e" cm="1">
        <f t="array" ref="AI1838">_xlfn.XLOOKUP(Table1[[#This Row],[5 cm2 cell test code]:[5 cm2 cell test code]],[1]!Table1[[Test code]:[Test code]],[1]!Table1[Q_int_frac DIW 10 mM KOH],"",0)</f>
        <v>#REF!</v>
      </c>
      <c r="AJ1838" s="69" t="e" cm="1">
        <f t="array" ref="AJ1838">_xlfn.XLOOKUP(Table1[[#This Row],[5 cm2 cell test code]:[5 cm2 cell test code]],[1]!Table1[[Test code]:[Test code]],[1]!Table1[DIW conductivity (µS/cm)],"",0)</f>
        <v>#REF!</v>
      </c>
    </row>
    <row r="1839" spans="1:36">
      <c r="A1839" s="81"/>
      <c r="U1839" s="101"/>
      <c r="V1839" s="101"/>
      <c r="W1839" s="69" t="e" cm="1">
        <f t="array" ref="W1839">_xlfn.XLOOKUP(Table1[[#This Row],[5 cm2 cell test code]:[5 cm2 cell test code]],[1]!Table1[[Test code]:[Test code]],[1]!Table1[i @ 1.8 V DIW (A/cm2)],"",0)</f>
        <v>#REF!</v>
      </c>
      <c r="X1839" s="69" t="e" cm="1">
        <f t="array" ref="X1839">_xlfn.XLOOKUP(Table1[[#This Row],[5 cm2 cell test code]:[5 cm2 cell test code]],[1]!Table1[[Test code]:[Test code]],[1]!Table1[i @ 1.8 V 10 mM KOH (A/cm2)],"",0)</f>
        <v>#REF!</v>
      </c>
      <c r="Y1839" s="69" t="e" cm="1">
        <f t="array" ref="Y1839">_xlfn.XLOOKUP(Table1[[#This Row],[5 cm2 cell test code]:[5 cm2 cell test code]],[1]!Table1[[Test code]:[Test code]],[1]!Table1[3-E ƞ at 20mAcm-2 (mV)],"",0)</f>
        <v>#REF!</v>
      </c>
      <c r="Z1839" s="69" t="e" cm="1">
        <f t="array" ref="Z1839">_xlfn.XLOOKUP(Table1[[#This Row],[5 cm2 cell test code]:[5 cm2 cell test code]],[1]!Table1[[Test code]:[Test code]],[1]!Table1[3-E Tafel slope (mV/dec)],"",0)</f>
        <v>#REF!</v>
      </c>
      <c r="AA1839" s="69" t="e" cm="1">
        <f t="array" ref="AA1839">_xlfn.XLOOKUP(Table1[[#This Row],[5 cm2 cell test code]:[5 cm2 cell test code]],[1]!Table1[[Test code]:[Test code]],[1]!Table1[E @ 100 mA/cm2 DIW/V],"",0)</f>
        <v>#REF!</v>
      </c>
      <c r="AB1839" s="69" t="e" cm="1">
        <f t="array" ref="AB1839">_xlfn.XLOOKUP(Table1[[#This Row],[5 cm2 cell test code]:[5 cm2 cell test code]],[1]!Table1[[Test code]:[Test code]],[1]!Table1[E @ 100 mA/cm2 10 mM KOH/V],"",0)</f>
        <v>#REF!</v>
      </c>
      <c r="AC1839" s="69" t="e" cm="1">
        <f t="array" ref="AC1839">_xlfn.XLOOKUP(Table1[[#This Row],[5 cm2 cell test code]:[5 cm2 cell test code]],[1]!Table1[[Test code]:[Test code]],[1]!Table1[Anode ICR/mOhm],"",0)</f>
        <v>#REF!</v>
      </c>
      <c r="AD1839" s="69" t="e" cm="1">
        <f t="array" ref="AD1839">_xlfn.XLOOKUP(Table1[[#This Row],[5 cm2 cell test code]:[5 cm2 cell test code]],[1]!Table1[[Test code]:[Test code]],[1]!Table1[HFR DIW/ mOhm cm2],"",0)</f>
        <v>#REF!</v>
      </c>
      <c r="AE1839" s="69" t="e" cm="1">
        <f t="array" ref="AE1839">_xlfn.XLOOKUP(Table1[[#This Row],[5 cm2 cell test code]:[5 cm2 cell test code]],[1]!Table1[[Test code]:[Test code]],[1]!Table1[HFR 10 mM KOH/ mOhm cm2],"",0)</f>
        <v>#REF!</v>
      </c>
      <c r="AF1839" s="69" t="e" cm="1">
        <f t="array" ref="AF1839">_xlfn.XLOOKUP(Table1[[#This Row],[5 cm2 cell test code]:[5 cm2 cell test code]],[1]!Table1[[Test code]:[Test code]],[1]!Table1[Ionic resistance DIW/Ohm cm2],"",0)</f>
        <v>#REF!</v>
      </c>
      <c r="AG1839" s="69" t="e" cm="1">
        <f t="array" ref="AG1839">_xlfn.XLOOKUP(Table1[[#This Row],[5 cm2 cell test code]:[5 cm2 cell test code]],[1]!Table1[[Test code]:[Test code]],[1]!Table1[Q_int_frac DIW],"",0)</f>
        <v>#REF!</v>
      </c>
      <c r="AH1839" s="69" t="e" cm="1">
        <f t="array" ref="AH1839">_xlfn.XLOOKUP(Table1[[#This Row],[5 cm2 cell test code]:[5 cm2 cell test code]],[1]!Table1[[Test code]:[Test code]],[1]!Table1[Ionic resistance 10 mM KOH/Ohm cm2],"",0)</f>
        <v>#REF!</v>
      </c>
      <c r="AI1839" s="69" t="e" cm="1">
        <f t="array" ref="AI1839">_xlfn.XLOOKUP(Table1[[#This Row],[5 cm2 cell test code]:[5 cm2 cell test code]],[1]!Table1[[Test code]:[Test code]],[1]!Table1[Q_int_frac DIW 10 mM KOH],"",0)</f>
        <v>#REF!</v>
      </c>
      <c r="AJ1839" s="69" t="e" cm="1">
        <f t="array" ref="AJ1839">_xlfn.XLOOKUP(Table1[[#This Row],[5 cm2 cell test code]:[5 cm2 cell test code]],[1]!Table1[[Test code]:[Test code]],[1]!Table1[DIW conductivity (µS/cm)],"",0)</f>
        <v>#REF!</v>
      </c>
    </row>
    <row r="1840" spans="1:36">
      <c r="A1840" s="81"/>
      <c r="U1840" s="101"/>
      <c r="V1840" s="101"/>
      <c r="W1840" s="69" t="e" cm="1">
        <f t="array" ref="W1840">_xlfn.XLOOKUP(Table1[[#This Row],[5 cm2 cell test code]:[5 cm2 cell test code]],[1]!Table1[[Test code]:[Test code]],[1]!Table1[i @ 1.8 V DIW (A/cm2)],"",0)</f>
        <v>#REF!</v>
      </c>
      <c r="X1840" s="69" t="e" cm="1">
        <f t="array" ref="X1840">_xlfn.XLOOKUP(Table1[[#This Row],[5 cm2 cell test code]:[5 cm2 cell test code]],[1]!Table1[[Test code]:[Test code]],[1]!Table1[i @ 1.8 V 10 mM KOH (A/cm2)],"",0)</f>
        <v>#REF!</v>
      </c>
      <c r="Y1840" s="69" t="e" cm="1">
        <f t="array" ref="Y1840">_xlfn.XLOOKUP(Table1[[#This Row],[5 cm2 cell test code]:[5 cm2 cell test code]],[1]!Table1[[Test code]:[Test code]],[1]!Table1[3-E ƞ at 20mAcm-2 (mV)],"",0)</f>
        <v>#REF!</v>
      </c>
      <c r="Z1840" s="69" t="e" cm="1">
        <f t="array" ref="Z1840">_xlfn.XLOOKUP(Table1[[#This Row],[5 cm2 cell test code]:[5 cm2 cell test code]],[1]!Table1[[Test code]:[Test code]],[1]!Table1[3-E Tafel slope (mV/dec)],"",0)</f>
        <v>#REF!</v>
      </c>
      <c r="AA1840" s="69" t="e" cm="1">
        <f t="array" ref="AA1840">_xlfn.XLOOKUP(Table1[[#This Row],[5 cm2 cell test code]:[5 cm2 cell test code]],[1]!Table1[[Test code]:[Test code]],[1]!Table1[E @ 100 mA/cm2 DIW/V],"",0)</f>
        <v>#REF!</v>
      </c>
      <c r="AB1840" s="69" t="e" cm="1">
        <f t="array" ref="AB1840">_xlfn.XLOOKUP(Table1[[#This Row],[5 cm2 cell test code]:[5 cm2 cell test code]],[1]!Table1[[Test code]:[Test code]],[1]!Table1[E @ 100 mA/cm2 10 mM KOH/V],"",0)</f>
        <v>#REF!</v>
      </c>
      <c r="AC1840" s="69" t="e" cm="1">
        <f t="array" ref="AC1840">_xlfn.XLOOKUP(Table1[[#This Row],[5 cm2 cell test code]:[5 cm2 cell test code]],[1]!Table1[[Test code]:[Test code]],[1]!Table1[Anode ICR/mOhm],"",0)</f>
        <v>#REF!</v>
      </c>
      <c r="AD1840" s="69" t="e" cm="1">
        <f t="array" ref="AD1840">_xlfn.XLOOKUP(Table1[[#This Row],[5 cm2 cell test code]:[5 cm2 cell test code]],[1]!Table1[[Test code]:[Test code]],[1]!Table1[HFR DIW/ mOhm cm2],"",0)</f>
        <v>#REF!</v>
      </c>
      <c r="AE1840" s="69" t="e" cm="1">
        <f t="array" ref="AE1840">_xlfn.XLOOKUP(Table1[[#This Row],[5 cm2 cell test code]:[5 cm2 cell test code]],[1]!Table1[[Test code]:[Test code]],[1]!Table1[HFR 10 mM KOH/ mOhm cm2],"",0)</f>
        <v>#REF!</v>
      </c>
      <c r="AF1840" s="69" t="e" cm="1">
        <f t="array" ref="AF1840">_xlfn.XLOOKUP(Table1[[#This Row],[5 cm2 cell test code]:[5 cm2 cell test code]],[1]!Table1[[Test code]:[Test code]],[1]!Table1[Ionic resistance DIW/Ohm cm2],"",0)</f>
        <v>#REF!</v>
      </c>
      <c r="AG1840" s="69" t="e" cm="1">
        <f t="array" ref="AG1840">_xlfn.XLOOKUP(Table1[[#This Row],[5 cm2 cell test code]:[5 cm2 cell test code]],[1]!Table1[[Test code]:[Test code]],[1]!Table1[Q_int_frac DIW],"",0)</f>
        <v>#REF!</v>
      </c>
      <c r="AH1840" s="69" t="e" cm="1">
        <f t="array" ref="AH1840">_xlfn.XLOOKUP(Table1[[#This Row],[5 cm2 cell test code]:[5 cm2 cell test code]],[1]!Table1[[Test code]:[Test code]],[1]!Table1[Ionic resistance 10 mM KOH/Ohm cm2],"",0)</f>
        <v>#REF!</v>
      </c>
      <c r="AI1840" s="69" t="e" cm="1">
        <f t="array" ref="AI1840">_xlfn.XLOOKUP(Table1[[#This Row],[5 cm2 cell test code]:[5 cm2 cell test code]],[1]!Table1[[Test code]:[Test code]],[1]!Table1[Q_int_frac DIW 10 mM KOH],"",0)</f>
        <v>#REF!</v>
      </c>
      <c r="AJ1840" s="69" t="e" cm="1">
        <f t="array" ref="AJ1840">_xlfn.XLOOKUP(Table1[[#This Row],[5 cm2 cell test code]:[5 cm2 cell test code]],[1]!Table1[[Test code]:[Test code]],[1]!Table1[DIW conductivity (µS/cm)],"",0)</f>
        <v>#REF!</v>
      </c>
    </row>
    <row r="1841" spans="1:36">
      <c r="A1841" s="81"/>
      <c r="U1841" s="101"/>
      <c r="V1841" s="101"/>
      <c r="W1841" s="69" t="e" cm="1">
        <f t="array" ref="W1841">_xlfn.XLOOKUP(Table1[[#This Row],[5 cm2 cell test code]:[5 cm2 cell test code]],[1]!Table1[[Test code]:[Test code]],[1]!Table1[i @ 1.8 V DIW (A/cm2)],"",0)</f>
        <v>#REF!</v>
      </c>
      <c r="X1841" s="69" t="e" cm="1">
        <f t="array" ref="X1841">_xlfn.XLOOKUP(Table1[[#This Row],[5 cm2 cell test code]:[5 cm2 cell test code]],[1]!Table1[[Test code]:[Test code]],[1]!Table1[i @ 1.8 V 10 mM KOH (A/cm2)],"",0)</f>
        <v>#REF!</v>
      </c>
      <c r="Y1841" s="69" t="e" cm="1">
        <f t="array" ref="Y1841">_xlfn.XLOOKUP(Table1[[#This Row],[5 cm2 cell test code]:[5 cm2 cell test code]],[1]!Table1[[Test code]:[Test code]],[1]!Table1[3-E ƞ at 20mAcm-2 (mV)],"",0)</f>
        <v>#REF!</v>
      </c>
      <c r="Z1841" s="69" t="e" cm="1">
        <f t="array" ref="Z1841">_xlfn.XLOOKUP(Table1[[#This Row],[5 cm2 cell test code]:[5 cm2 cell test code]],[1]!Table1[[Test code]:[Test code]],[1]!Table1[3-E Tafel slope (mV/dec)],"",0)</f>
        <v>#REF!</v>
      </c>
      <c r="AA1841" s="69" t="e" cm="1">
        <f t="array" ref="AA1841">_xlfn.XLOOKUP(Table1[[#This Row],[5 cm2 cell test code]:[5 cm2 cell test code]],[1]!Table1[[Test code]:[Test code]],[1]!Table1[E @ 100 mA/cm2 DIW/V],"",0)</f>
        <v>#REF!</v>
      </c>
      <c r="AB1841" s="69" t="e" cm="1">
        <f t="array" ref="AB1841">_xlfn.XLOOKUP(Table1[[#This Row],[5 cm2 cell test code]:[5 cm2 cell test code]],[1]!Table1[[Test code]:[Test code]],[1]!Table1[E @ 100 mA/cm2 10 mM KOH/V],"",0)</f>
        <v>#REF!</v>
      </c>
      <c r="AC1841" s="69" t="e" cm="1">
        <f t="array" ref="AC1841">_xlfn.XLOOKUP(Table1[[#This Row],[5 cm2 cell test code]:[5 cm2 cell test code]],[1]!Table1[[Test code]:[Test code]],[1]!Table1[Anode ICR/mOhm],"",0)</f>
        <v>#REF!</v>
      </c>
      <c r="AD1841" s="69" t="e" cm="1">
        <f t="array" ref="AD1841">_xlfn.XLOOKUP(Table1[[#This Row],[5 cm2 cell test code]:[5 cm2 cell test code]],[1]!Table1[[Test code]:[Test code]],[1]!Table1[HFR DIW/ mOhm cm2],"",0)</f>
        <v>#REF!</v>
      </c>
      <c r="AE1841" s="69" t="e" cm="1">
        <f t="array" ref="AE1841">_xlfn.XLOOKUP(Table1[[#This Row],[5 cm2 cell test code]:[5 cm2 cell test code]],[1]!Table1[[Test code]:[Test code]],[1]!Table1[HFR 10 mM KOH/ mOhm cm2],"",0)</f>
        <v>#REF!</v>
      </c>
      <c r="AF1841" s="69" t="e" cm="1">
        <f t="array" ref="AF1841">_xlfn.XLOOKUP(Table1[[#This Row],[5 cm2 cell test code]:[5 cm2 cell test code]],[1]!Table1[[Test code]:[Test code]],[1]!Table1[Ionic resistance DIW/Ohm cm2],"",0)</f>
        <v>#REF!</v>
      </c>
      <c r="AG1841" s="69" t="e" cm="1">
        <f t="array" ref="AG1841">_xlfn.XLOOKUP(Table1[[#This Row],[5 cm2 cell test code]:[5 cm2 cell test code]],[1]!Table1[[Test code]:[Test code]],[1]!Table1[Q_int_frac DIW],"",0)</f>
        <v>#REF!</v>
      </c>
      <c r="AH1841" s="69" t="e" cm="1">
        <f t="array" ref="AH1841">_xlfn.XLOOKUP(Table1[[#This Row],[5 cm2 cell test code]:[5 cm2 cell test code]],[1]!Table1[[Test code]:[Test code]],[1]!Table1[Ionic resistance 10 mM KOH/Ohm cm2],"",0)</f>
        <v>#REF!</v>
      </c>
      <c r="AI1841" s="69" t="e" cm="1">
        <f t="array" ref="AI1841">_xlfn.XLOOKUP(Table1[[#This Row],[5 cm2 cell test code]:[5 cm2 cell test code]],[1]!Table1[[Test code]:[Test code]],[1]!Table1[Q_int_frac DIW 10 mM KOH],"",0)</f>
        <v>#REF!</v>
      </c>
      <c r="AJ1841" s="69" t="e" cm="1">
        <f t="array" ref="AJ1841">_xlfn.XLOOKUP(Table1[[#This Row],[5 cm2 cell test code]:[5 cm2 cell test code]],[1]!Table1[[Test code]:[Test code]],[1]!Table1[DIW conductivity (µS/cm)],"",0)</f>
        <v>#REF!</v>
      </c>
    </row>
    <row r="1842" spans="1:36">
      <c r="A1842" s="81"/>
      <c r="U1842" s="101"/>
      <c r="V1842" s="101"/>
      <c r="W1842" s="69" t="e" cm="1">
        <f t="array" ref="W1842">_xlfn.XLOOKUP(Table1[[#This Row],[5 cm2 cell test code]:[5 cm2 cell test code]],[1]!Table1[[Test code]:[Test code]],[1]!Table1[i @ 1.8 V DIW (A/cm2)],"",0)</f>
        <v>#REF!</v>
      </c>
      <c r="X1842" s="69" t="e" cm="1">
        <f t="array" ref="X1842">_xlfn.XLOOKUP(Table1[[#This Row],[5 cm2 cell test code]:[5 cm2 cell test code]],[1]!Table1[[Test code]:[Test code]],[1]!Table1[i @ 1.8 V 10 mM KOH (A/cm2)],"",0)</f>
        <v>#REF!</v>
      </c>
      <c r="Y1842" s="69" t="e" cm="1">
        <f t="array" ref="Y1842">_xlfn.XLOOKUP(Table1[[#This Row],[5 cm2 cell test code]:[5 cm2 cell test code]],[1]!Table1[[Test code]:[Test code]],[1]!Table1[3-E ƞ at 20mAcm-2 (mV)],"",0)</f>
        <v>#REF!</v>
      </c>
      <c r="Z1842" s="69" t="e" cm="1">
        <f t="array" ref="Z1842">_xlfn.XLOOKUP(Table1[[#This Row],[5 cm2 cell test code]:[5 cm2 cell test code]],[1]!Table1[[Test code]:[Test code]],[1]!Table1[3-E Tafel slope (mV/dec)],"",0)</f>
        <v>#REF!</v>
      </c>
      <c r="AA1842" s="69" t="e" cm="1">
        <f t="array" ref="AA1842">_xlfn.XLOOKUP(Table1[[#This Row],[5 cm2 cell test code]:[5 cm2 cell test code]],[1]!Table1[[Test code]:[Test code]],[1]!Table1[E @ 100 mA/cm2 DIW/V],"",0)</f>
        <v>#REF!</v>
      </c>
      <c r="AB1842" s="69" t="e" cm="1">
        <f t="array" ref="AB1842">_xlfn.XLOOKUP(Table1[[#This Row],[5 cm2 cell test code]:[5 cm2 cell test code]],[1]!Table1[[Test code]:[Test code]],[1]!Table1[E @ 100 mA/cm2 10 mM KOH/V],"",0)</f>
        <v>#REF!</v>
      </c>
      <c r="AC1842" s="69" t="e" cm="1">
        <f t="array" ref="AC1842">_xlfn.XLOOKUP(Table1[[#This Row],[5 cm2 cell test code]:[5 cm2 cell test code]],[1]!Table1[[Test code]:[Test code]],[1]!Table1[Anode ICR/mOhm],"",0)</f>
        <v>#REF!</v>
      </c>
      <c r="AD1842" s="69" t="e" cm="1">
        <f t="array" ref="AD1842">_xlfn.XLOOKUP(Table1[[#This Row],[5 cm2 cell test code]:[5 cm2 cell test code]],[1]!Table1[[Test code]:[Test code]],[1]!Table1[HFR DIW/ mOhm cm2],"",0)</f>
        <v>#REF!</v>
      </c>
      <c r="AE1842" s="69" t="e" cm="1">
        <f t="array" ref="AE1842">_xlfn.XLOOKUP(Table1[[#This Row],[5 cm2 cell test code]:[5 cm2 cell test code]],[1]!Table1[[Test code]:[Test code]],[1]!Table1[HFR 10 mM KOH/ mOhm cm2],"",0)</f>
        <v>#REF!</v>
      </c>
      <c r="AF1842" s="69" t="e" cm="1">
        <f t="array" ref="AF1842">_xlfn.XLOOKUP(Table1[[#This Row],[5 cm2 cell test code]:[5 cm2 cell test code]],[1]!Table1[[Test code]:[Test code]],[1]!Table1[Ionic resistance DIW/Ohm cm2],"",0)</f>
        <v>#REF!</v>
      </c>
      <c r="AG1842" s="69" t="e" cm="1">
        <f t="array" ref="AG1842">_xlfn.XLOOKUP(Table1[[#This Row],[5 cm2 cell test code]:[5 cm2 cell test code]],[1]!Table1[[Test code]:[Test code]],[1]!Table1[Q_int_frac DIW],"",0)</f>
        <v>#REF!</v>
      </c>
      <c r="AH1842" s="69" t="e" cm="1">
        <f t="array" ref="AH1842">_xlfn.XLOOKUP(Table1[[#This Row],[5 cm2 cell test code]:[5 cm2 cell test code]],[1]!Table1[[Test code]:[Test code]],[1]!Table1[Ionic resistance 10 mM KOH/Ohm cm2],"",0)</f>
        <v>#REF!</v>
      </c>
      <c r="AI1842" s="69" t="e" cm="1">
        <f t="array" ref="AI1842">_xlfn.XLOOKUP(Table1[[#This Row],[5 cm2 cell test code]:[5 cm2 cell test code]],[1]!Table1[[Test code]:[Test code]],[1]!Table1[Q_int_frac DIW 10 mM KOH],"",0)</f>
        <v>#REF!</v>
      </c>
      <c r="AJ1842" s="69" t="e" cm="1">
        <f t="array" ref="AJ1842">_xlfn.XLOOKUP(Table1[[#This Row],[5 cm2 cell test code]:[5 cm2 cell test code]],[1]!Table1[[Test code]:[Test code]],[1]!Table1[DIW conductivity (µS/cm)],"",0)</f>
        <v>#REF!</v>
      </c>
    </row>
    <row r="1843" spans="1:36">
      <c r="A1843" s="81"/>
      <c r="U1843" s="101"/>
      <c r="V1843" s="101"/>
      <c r="W1843" s="69" t="e" cm="1">
        <f t="array" ref="W1843">_xlfn.XLOOKUP(Table1[[#This Row],[5 cm2 cell test code]:[5 cm2 cell test code]],[1]!Table1[[Test code]:[Test code]],[1]!Table1[i @ 1.8 V DIW (A/cm2)],"",0)</f>
        <v>#REF!</v>
      </c>
      <c r="X1843" s="69" t="e" cm="1">
        <f t="array" ref="X1843">_xlfn.XLOOKUP(Table1[[#This Row],[5 cm2 cell test code]:[5 cm2 cell test code]],[1]!Table1[[Test code]:[Test code]],[1]!Table1[i @ 1.8 V 10 mM KOH (A/cm2)],"",0)</f>
        <v>#REF!</v>
      </c>
      <c r="Y1843" s="69" t="e" cm="1">
        <f t="array" ref="Y1843">_xlfn.XLOOKUP(Table1[[#This Row],[5 cm2 cell test code]:[5 cm2 cell test code]],[1]!Table1[[Test code]:[Test code]],[1]!Table1[3-E ƞ at 20mAcm-2 (mV)],"",0)</f>
        <v>#REF!</v>
      </c>
      <c r="Z1843" s="69" t="e" cm="1">
        <f t="array" ref="Z1843">_xlfn.XLOOKUP(Table1[[#This Row],[5 cm2 cell test code]:[5 cm2 cell test code]],[1]!Table1[[Test code]:[Test code]],[1]!Table1[3-E Tafel slope (mV/dec)],"",0)</f>
        <v>#REF!</v>
      </c>
      <c r="AA1843" s="69" t="e" cm="1">
        <f t="array" ref="AA1843">_xlfn.XLOOKUP(Table1[[#This Row],[5 cm2 cell test code]:[5 cm2 cell test code]],[1]!Table1[[Test code]:[Test code]],[1]!Table1[E @ 100 mA/cm2 DIW/V],"",0)</f>
        <v>#REF!</v>
      </c>
      <c r="AB1843" s="69" t="e" cm="1">
        <f t="array" ref="AB1843">_xlfn.XLOOKUP(Table1[[#This Row],[5 cm2 cell test code]:[5 cm2 cell test code]],[1]!Table1[[Test code]:[Test code]],[1]!Table1[E @ 100 mA/cm2 10 mM KOH/V],"",0)</f>
        <v>#REF!</v>
      </c>
      <c r="AC1843" s="69" t="e" cm="1">
        <f t="array" ref="AC1843">_xlfn.XLOOKUP(Table1[[#This Row],[5 cm2 cell test code]:[5 cm2 cell test code]],[1]!Table1[[Test code]:[Test code]],[1]!Table1[Anode ICR/mOhm],"",0)</f>
        <v>#REF!</v>
      </c>
      <c r="AD1843" s="69" t="e" cm="1">
        <f t="array" ref="AD1843">_xlfn.XLOOKUP(Table1[[#This Row],[5 cm2 cell test code]:[5 cm2 cell test code]],[1]!Table1[[Test code]:[Test code]],[1]!Table1[HFR DIW/ mOhm cm2],"",0)</f>
        <v>#REF!</v>
      </c>
      <c r="AE1843" s="69" t="e" cm="1">
        <f t="array" ref="AE1843">_xlfn.XLOOKUP(Table1[[#This Row],[5 cm2 cell test code]:[5 cm2 cell test code]],[1]!Table1[[Test code]:[Test code]],[1]!Table1[HFR 10 mM KOH/ mOhm cm2],"",0)</f>
        <v>#REF!</v>
      </c>
      <c r="AF1843" s="69" t="e" cm="1">
        <f t="array" ref="AF1843">_xlfn.XLOOKUP(Table1[[#This Row],[5 cm2 cell test code]:[5 cm2 cell test code]],[1]!Table1[[Test code]:[Test code]],[1]!Table1[Ionic resistance DIW/Ohm cm2],"",0)</f>
        <v>#REF!</v>
      </c>
      <c r="AG1843" s="69" t="e" cm="1">
        <f t="array" ref="AG1843">_xlfn.XLOOKUP(Table1[[#This Row],[5 cm2 cell test code]:[5 cm2 cell test code]],[1]!Table1[[Test code]:[Test code]],[1]!Table1[Q_int_frac DIW],"",0)</f>
        <v>#REF!</v>
      </c>
      <c r="AH1843" s="69" t="e" cm="1">
        <f t="array" ref="AH1843">_xlfn.XLOOKUP(Table1[[#This Row],[5 cm2 cell test code]:[5 cm2 cell test code]],[1]!Table1[[Test code]:[Test code]],[1]!Table1[Ionic resistance 10 mM KOH/Ohm cm2],"",0)</f>
        <v>#REF!</v>
      </c>
      <c r="AI1843" s="69" t="e" cm="1">
        <f t="array" ref="AI1843">_xlfn.XLOOKUP(Table1[[#This Row],[5 cm2 cell test code]:[5 cm2 cell test code]],[1]!Table1[[Test code]:[Test code]],[1]!Table1[Q_int_frac DIW 10 mM KOH],"",0)</f>
        <v>#REF!</v>
      </c>
      <c r="AJ1843" s="69" t="e" cm="1">
        <f t="array" ref="AJ1843">_xlfn.XLOOKUP(Table1[[#This Row],[5 cm2 cell test code]:[5 cm2 cell test code]],[1]!Table1[[Test code]:[Test code]],[1]!Table1[DIW conductivity (µS/cm)],"",0)</f>
        <v>#REF!</v>
      </c>
    </row>
    <row r="1844" spans="1:36">
      <c r="A1844" s="81"/>
      <c r="U1844" s="101"/>
      <c r="V1844" s="101"/>
      <c r="W1844" s="69" t="e" cm="1">
        <f t="array" ref="W1844">_xlfn.XLOOKUP(Table1[[#This Row],[5 cm2 cell test code]:[5 cm2 cell test code]],[1]!Table1[[Test code]:[Test code]],[1]!Table1[i @ 1.8 V DIW (A/cm2)],"",0)</f>
        <v>#REF!</v>
      </c>
      <c r="X1844" s="69" t="e" cm="1">
        <f t="array" ref="X1844">_xlfn.XLOOKUP(Table1[[#This Row],[5 cm2 cell test code]:[5 cm2 cell test code]],[1]!Table1[[Test code]:[Test code]],[1]!Table1[i @ 1.8 V 10 mM KOH (A/cm2)],"",0)</f>
        <v>#REF!</v>
      </c>
      <c r="Y1844" s="69" t="e" cm="1">
        <f t="array" ref="Y1844">_xlfn.XLOOKUP(Table1[[#This Row],[5 cm2 cell test code]:[5 cm2 cell test code]],[1]!Table1[[Test code]:[Test code]],[1]!Table1[3-E ƞ at 20mAcm-2 (mV)],"",0)</f>
        <v>#REF!</v>
      </c>
      <c r="Z1844" s="69" t="e" cm="1">
        <f t="array" ref="Z1844">_xlfn.XLOOKUP(Table1[[#This Row],[5 cm2 cell test code]:[5 cm2 cell test code]],[1]!Table1[[Test code]:[Test code]],[1]!Table1[3-E Tafel slope (mV/dec)],"",0)</f>
        <v>#REF!</v>
      </c>
      <c r="AA1844" s="69" t="e" cm="1">
        <f t="array" ref="AA1844">_xlfn.XLOOKUP(Table1[[#This Row],[5 cm2 cell test code]:[5 cm2 cell test code]],[1]!Table1[[Test code]:[Test code]],[1]!Table1[E @ 100 mA/cm2 DIW/V],"",0)</f>
        <v>#REF!</v>
      </c>
      <c r="AB1844" s="69" t="e" cm="1">
        <f t="array" ref="AB1844">_xlfn.XLOOKUP(Table1[[#This Row],[5 cm2 cell test code]:[5 cm2 cell test code]],[1]!Table1[[Test code]:[Test code]],[1]!Table1[E @ 100 mA/cm2 10 mM KOH/V],"",0)</f>
        <v>#REF!</v>
      </c>
      <c r="AC1844" s="69" t="e" cm="1">
        <f t="array" ref="AC1844">_xlfn.XLOOKUP(Table1[[#This Row],[5 cm2 cell test code]:[5 cm2 cell test code]],[1]!Table1[[Test code]:[Test code]],[1]!Table1[Anode ICR/mOhm],"",0)</f>
        <v>#REF!</v>
      </c>
      <c r="AD1844" s="69" t="e" cm="1">
        <f t="array" ref="AD1844">_xlfn.XLOOKUP(Table1[[#This Row],[5 cm2 cell test code]:[5 cm2 cell test code]],[1]!Table1[[Test code]:[Test code]],[1]!Table1[HFR DIW/ mOhm cm2],"",0)</f>
        <v>#REF!</v>
      </c>
      <c r="AE1844" s="69" t="e" cm="1">
        <f t="array" ref="AE1844">_xlfn.XLOOKUP(Table1[[#This Row],[5 cm2 cell test code]:[5 cm2 cell test code]],[1]!Table1[[Test code]:[Test code]],[1]!Table1[HFR 10 mM KOH/ mOhm cm2],"",0)</f>
        <v>#REF!</v>
      </c>
      <c r="AF1844" s="69" t="e" cm="1">
        <f t="array" ref="AF1844">_xlfn.XLOOKUP(Table1[[#This Row],[5 cm2 cell test code]:[5 cm2 cell test code]],[1]!Table1[[Test code]:[Test code]],[1]!Table1[Ionic resistance DIW/Ohm cm2],"",0)</f>
        <v>#REF!</v>
      </c>
      <c r="AG1844" s="69" t="e" cm="1">
        <f t="array" ref="AG1844">_xlfn.XLOOKUP(Table1[[#This Row],[5 cm2 cell test code]:[5 cm2 cell test code]],[1]!Table1[[Test code]:[Test code]],[1]!Table1[Q_int_frac DIW],"",0)</f>
        <v>#REF!</v>
      </c>
      <c r="AH1844" s="69" t="e" cm="1">
        <f t="array" ref="AH1844">_xlfn.XLOOKUP(Table1[[#This Row],[5 cm2 cell test code]:[5 cm2 cell test code]],[1]!Table1[[Test code]:[Test code]],[1]!Table1[Ionic resistance 10 mM KOH/Ohm cm2],"",0)</f>
        <v>#REF!</v>
      </c>
      <c r="AI1844" s="69" t="e" cm="1">
        <f t="array" ref="AI1844">_xlfn.XLOOKUP(Table1[[#This Row],[5 cm2 cell test code]:[5 cm2 cell test code]],[1]!Table1[[Test code]:[Test code]],[1]!Table1[Q_int_frac DIW 10 mM KOH],"",0)</f>
        <v>#REF!</v>
      </c>
      <c r="AJ1844" s="69" t="e" cm="1">
        <f t="array" ref="AJ1844">_xlfn.XLOOKUP(Table1[[#This Row],[5 cm2 cell test code]:[5 cm2 cell test code]],[1]!Table1[[Test code]:[Test code]],[1]!Table1[DIW conductivity (µS/cm)],"",0)</f>
        <v>#REF!</v>
      </c>
    </row>
    <row r="1845" spans="1:36">
      <c r="A1845" s="81"/>
      <c r="U1845" s="101"/>
      <c r="V1845" s="101"/>
      <c r="W1845" s="69" t="e" cm="1">
        <f t="array" ref="W1845">_xlfn.XLOOKUP(Table1[[#This Row],[5 cm2 cell test code]:[5 cm2 cell test code]],[1]!Table1[[Test code]:[Test code]],[1]!Table1[i @ 1.8 V DIW (A/cm2)],"",0)</f>
        <v>#REF!</v>
      </c>
      <c r="X1845" s="69" t="e" cm="1">
        <f t="array" ref="X1845">_xlfn.XLOOKUP(Table1[[#This Row],[5 cm2 cell test code]:[5 cm2 cell test code]],[1]!Table1[[Test code]:[Test code]],[1]!Table1[i @ 1.8 V 10 mM KOH (A/cm2)],"",0)</f>
        <v>#REF!</v>
      </c>
      <c r="Y1845" s="69" t="e" cm="1">
        <f t="array" ref="Y1845">_xlfn.XLOOKUP(Table1[[#This Row],[5 cm2 cell test code]:[5 cm2 cell test code]],[1]!Table1[[Test code]:[Test code]],[1]!Table1[3-E ƞ at 20mAcm-2 (mV)],"",0)</f>
        <v>#REF!</v>
      </c>
      <c r="Z1845" s="69" t="e" cm="1">
        <f t="array" ref="Z1845">_xlfn.XLOOKUP(Table1[[#This Row],[5 cm2 cell test code]:[5 cm2 cell test code]],[1]!Table1[[Test code]:[Test code]],[1]!Table1[3-E Tafel slope (mV/dec)],"",0)</f>
        <v>#REF!</v>
      </c>
      <c r="AA1845" s="69" t="e" cm="1">
        <f t="array" ref="AA1845">_xlfn.XLOOKUP(Table1[[#This Row],[5 cm2 cell test code]:[5 cm2 cell test code]],[1]!Table1[[Test code]:[Test code]],[1]!Table1[E @ 100 mA/cm2 DIW/V],"",0)</f>
        <v>#REF!</v>
      </c>
      <c r="AB1845" s="69" t="e" cm="1">
        <f t="array" ref="AB1845">_xlfn.XLOOKUP(Table1[[#This Row],[5 cm2 cell test code]:[5 cm2 cell test code]],[1]!Table1[[Test code]:[Test code]],[1]!Table1[E @ 100 mA/cm2 10 mM KOH/V],"",0)</f>
        <v>#REF!</v>
      </c>
      <c r="AC1845" s="69" t="e" cm="1">
        <f t="array" ref="AC1845">_xlfn.XLOOKUP(Table1[[#This Row],[5 cm2 cell test code]:[5 cm2 cell test code]],[1]!Table1[[Test code]:[Test code]],[1]!Table1[Anode ICR/mOhm],"",0)</f>
        <v>#REF!</v>
      </c>
      <c r="AD1845" s="69" t="e" cm="1">
        <f t="array" ref="AD1845">_xlfn.XLOOKUP(Table1[[#This Row],[5 cm2 cell test code]:[5 cm2 cell test code]],[1]!Table1[[Test code]:[Test code]],[1]!Table1[HFR DIW/ mOhm cm2],"",0)</f>
        <v>#REF!</v>
      </c>
      <c r="AE1845" s="69" t="e" cm="1">
        <f t="array" ref="AE1845">_xlfn.XLOOKUP(Table1[[#This Row],[5 cm2 cell test code]:[5 cm2 cell test code]],[1]!Table1[[Test code]:[Test code]],[1]!Table1[HFR 10 mM KOH/ mOhm cm2],"",0)</f>
        <v>#REF!</v>
      </c>
      <c r="AF1845" s="69" t="e" cm="1">
        <f t="array" ref="AF1845">_xlfn.XLOOKUP(Table1[[#This Row],[5 cm2 cell test code]:[5 cm2 cell test code]],[1]!Table1[[Test code]:[Test code]],[1]!Table1[Ionic resistance DIW/Ohm cm2],"",0)</f>
        <v>#REF!</v>
      </c>
      <c r="AG1845" s="69" t="e" cm="1">
        <f t="array" ref="AG1845">_xlfn.XLOOKUP(Table1[[#This Row],[5 cm2 cell test code]:[5 cm2 cell test code]],[1]!Table1[[Test code]:[Test code]],[1]!Table1[Q_int_frac DIW],"",0)</f>
        <v>#REF!</v>
      </c>
      <c r="AH1845" s="69" t="e" cm="1">
        <f t="array" ref="AH1845">_xlfn.XLOOKUP(Table1[[#This Row],[5 cm2 cell test code]:[5 cm2 cell test code]],[1]!Table1[[Test code]:[Test code]],[1]!Table1[Ionic resistance 10 mM KOH/Ohm cm2],"",0)</f>
        <v>#REF!</v>
      </c>
      <c r="AI1845" s="69" t="e" cm="1">
        <f t="array" ref="AI1845">_xlfn.XLOOKUP(Table1[[#This Row],[5 cm2 cell test code]:[5 cm2 cell test code]],[1]!Table1[[Test code]:[Test code]],[1]!Table1[Q_int_frac DIW 10 mM KOH],"",0)</f>
        <v>#REF!</v>
      </c>
      <c r="AJ1845" s="69" t="e" cm="1">
        <f t="array" ref="AJ1845">_xlfn.XLOOKUP(Table1[[#This Row],[5 cm2 cell test code]:[5 cm2 cell test code]],[1]!Table1[[Test code]:[Test code]],[1]!Table1[DIW conductivity (µS/cm)],"",0)</f>
        <v>#REF!</v>
      </c>
    </row>
    <row r="1846" spans="1:36">
      <c r="A1846" s="81"/>
      <c r="U1846" s="101"/>
      <c r="V1846" s="101"/>
      <c r="W1846" s="69" t="e" cm="1">
        <f t="array" ref="W1846">_xlfn.XLOOKUP(Table1[[#This Row],[5 cm2 cell test code]:[5 cm2 cell test code]],[1]!Table1[[Test code]:[Test code]],[1]!Table1[i @ 1.8 V DIW (A/cm2)],"",0)</f>
        <v>#REF!</v>
      </c>
      <c r="X1846" s="69" t="e" cm="1">
        <f t="array" ref="X1846">_xlfn.XLOOKUP(Table1[[#This Row],[5 cm2 cell test code]:[5 cm2 cell test code]],[1]!Table1[[Test code]:[Test code]],[1]!Table1[i @ 1.8 V 10 mM KOH (A/cm2)],"",0)</f>
        <v>#REF!</v>
      </c>
      <c r="Y1846" s="69" t="e" cm="1">
        <f t="array" ref="Y1846">_xlfn.XLOOKUP(Table1[[#This Row],[5 cm2 cell test code]:[5 cm2 cell test code]],[1]!Table1[[Test code]:[Test code]],[1]!Table1[3-E ƞ at 20mAcm-2 (mV)],"",0)</f>
        <v>#REF!</v>
      </c>
      <c r="Z1846" s="69" t="e" cm="1">
        <f t="array" ref="Z1846">_xlfn.XLOOKUP(Table1[[#This Row],[5 cm2 cell test code]:[5 cm2 cell test code]],[1]!Table1[[Test code]:[Test code]],[1]!Table1[3-E Tafel slope (mV/dec)],"",0)</f>
        <v>#REF!</v>
      </c>
      <c r="AA1846" s="69" t="e" cm="1">
        <f t="array" ref="AA1846">_xlfn.XLOOKUP(Table1[[#This Row],[5 cm2 cell test code]:[5 cm2 cell test code]],[1]!Table1[[Test code]:[Test code]],[1]!Table1[E @ 100 mA/cm2 DIW/V],"",0)</f>
        <v>#REF!</v>
      </c>
      <c r="AB1846" s="69" t="e" cm="1">
        <f t="array" ref="AB1846">_xlfn.XLOOKUP(Table1[[#This Row],[5 cm2 cell test code]:[5 cm2 cell test code]],[1]!Table1[[Test code]:[Test code]],[1]!Table1[E @ 100 mA/cm2 10 mM KOH/V],"",0)</f>
        <v>#REF!</v>
      </c>
      <c r="AC1846" s="69" t="e" cm="1">
        <f t="array" ref="AC1846">_xlfn.XLOOKUP(Table1[[#This Row],[5 cm2 cell test code]:[5 cm2 cell test code]],[1]!Table1[[Test code]:[Test code]],[1]!Table1[Anode ICR/mOhm],"",0)</f>
        <v>#REF!</v>
      </c>
      <c r="AD1846" s="69" t="e" cm="1">
        <f t="array" ref="AD1846">_xlfn.XLOOKUP(Table1[[#This Row],[5 cm2 cell test code]:[5 cm2 cell test code]],[1]!Table1[[Test code]:[Test code]],[1]!Table1[HFR DIW/ mOhm cm2],"",0)</f>
        <v>#REF!</v>
      </c>
      <c r="AE1846" s="69" t="e" cm="1">
        <f t="array" ref="AE1846">_xlfn.XLOOKUP(Table1[[#This Row],[5 cm2 cell test code]:[5 cm2 cell test code]],[1]!Table1[[Test code]:[Test code]],[1]!Table1[HFR 10 mM KOH/ mOhm cm2],"",0)</f>
        <v>#REF!</v>
      </c>
      <c r="AF1846" s="69" t="e" cm="1">
        <f t="array" ref="AF1846">_xlfn.XLOOKUP(Table1[[#This Row],[5 cm2 cell test code]:[5 cm2 cell test code]],[1]!Table1[[Test code]:[Test code]],[1]!Table1[Ionic resistance DIW/Ohm cm2],"",0)</f>
        <v>#REF!</v>
      </c>
      <c r="AG1846" s="69" t="e" cm="1">
        <f t="array" ref="AG1846">_xlfn.XLOOKUP(Table1[[#This Row],[5 cm2 cell test code]:[5 cm2 cell test code]],[1]!Table1[[Test code]:[Test code]],[1]!Table1[Q_int_frac DIW],"",0)</f>
        <v>#REF!</v>
      </c>
      <c r="AH1846" s="69" t="e" cm="1">
        <f t="array" ref="AH1846">_xlfn.XLOOKUP(Table1[[#This Row],[5 cm2 cell test code]:[5 cm2 cell test code]],[1]!Table1[[Test code]:[Test code]],[1]!Table1[Ionic resistance 10 mM KOH/Ohm cm2],"",0)</f>
        <v>#REF!</v>
      </c>
      <c r="AI1846" s="69" t="e" cm="1">
        <f t="array" ref="AI1846">_xlfn.XLOOKUP(Table1[[#This Row],[5 cm2 cell test code]:[5 cm2 cell test code]],[1]!Table1[[Test code]:[Test code]],[1]!Table1[Q_int_frac DIW 10 mM KOH],"",0)</f>
        <v>#REF!</v>
      </c>
      <c r="AJ1846" s="69" t="e" cm="1">
        <f t="array" ref="AJ1846">_xlfn.XLOOKUP(Table1[[#This Row],[5 cm2 cell test code]:[5 cm2 cell test code]],[1]!Table1[[Test code]:[Test code]],[1]!Table1[DIW conductivity (µS/cm)],"",0)</f>
        <v>#REF!</v>
      </c>
    </row>
    <row r="1847" spans="1:36">
      <c r="A1847" s="81"/>
      <c r="U1847" s="101"/>
      <c r="V1847" s="101"/>
      <c r="W1847" s="69" t="e" cm="1">
        <f t="array" ref="W1847">_xlfn.XLOOKUP(Table1[[#This Row],[5 cm2 cell test code]:[5 cm2 cell test code]],[1]!Table1[[Test code]:[Test code]],[1]!Table1[i @ 1.8 V DIW (A/cm2)],"",0)</f>
        <v>#REF!</v>
      </c>
      <c r="X1847" s="69" t="e" cm="1">
        <f t="array" ref="X1847">_xlfn.XLOOKUP(Table1[[#This Row],[5 cm2 cell test code]:[5 cm2 cell test code]],[1]!Table1[[Test code]:[Test code]],[1]!Table1[i @ 1.8 V 10 mM KOH (A/cm2)],"",0)</f>
        <v>#REF!</v>
      </c>
      <c r="Y1847" s="69" t="e" cm="1">
        <f t="array" ref="Y1847">_xlfn.XLOOKUP(Table1[[#This Row],[5 cm2 cell test code]:[5 cm2 cell test code]],[1]!Table1[[Test code]:[Test code]],[1]!Table1[3-E ƞ at 20mAcm-2 (mV)],"",0)</f>
        <v>#REF!</v>
      </c>
      <c r="Z1847" s="69" t="e" cm="1">
        <f t="array" ref="Z1847">_xlfn.XLOOKUP(Table1[[#This Row],[5 cm2 cell test code]:[5 cm2 cell test code]],[1]!Table1[[Test code]:[Test code]],[1]!Table1[3-E Tafel slope (mV/dec)],"",0)</f>
        <v>#REF!</v>
      </c>
      <c r="AA1847" s="69" t="e" cm="1">
        <f t="array" ref="AA1847">_xlfn.XLOOKUP(Table1[[#This Row],[5 cm2 cell test code]:[5 cm2 cell test code]],[1]!Table1[[Test code]:[Test code]],[1]!Table1[E @ 100 mA/cm2 DIW/V],"",0)</f>
        <v>#REF!</v>
      </c>
      <c r="AB1847" s="69" t="e" cm="1">
        <f t="array" ref="AB1847">_xlfn.XLOOKUP(Table1[[#This Row],[5 cm2 cell test code]:[5 cm2 cell test code]],[1]!Table1[[Test code]:[Test code]],[1]!Table1[E @ 100 mA/cm2 10 mM KOH/V],"",0)</f>
        <v>#REF!</v>
      </c>
      <c r="AC1847" s="69" t="e" cm="1">
        <f t="array" ref="AC1847">_xlfn.XLOOKUP(Table1[[#This Row],[5 cm2 cell test code]:[5 cm2 cell test code]],[1]!Table1[[Test code]:[Test code]],[1]!Table1[Anode ICR/mOhm],"",0)</f>
        <v>#REF!</v>
      </c>
      <c r="AD1847" s="69" t="e" cm="1">
        <f t="array" ref="AD1847">_xlfn.XLOOKUP(Table1[[#This Row],[5 cm2 cell test code]:[5 cm2 cell test code]],[1]!Table1[[Test code]:[Test code]],[1]!Table1[HFR DIW/ mOhm cm2],"",0)</f>
        <v>#REF!</v>
      </c>
      <c r="AE1847" s="69" t="e" cm="1">
        <f t="array" ref="AE1847">_xlfn.XLOOKUP(Table1[[#This Row],[5 cm2 cell test code]:[5 cm2 cell test code]],[1]!Table1[[Test code]:[Test code]],[1]!Table1[HFR 10 mM KOH/ mOhm cm2],"",0)</f>
        <v>#REF!</v>
      </c>
      <c r="AF1847" s="69" t="e" cm="1">
        <f t="array" ref="AF1847">_xlfn.XLOOKUP(Table1[[#This Row],[5 cm2 cell test code]:[5 cm2 cell test code]],[1]!Table1[[Test code]:[Test code]],[1]!Table1[Ionic resistance DIW/Ohm cm2],"",0)</f>
        <v>#REF!</v>
      </c>
      <c r="AG1847" s="69" t="e" cm="1">
        <f t="array" ref="AG1847">_xlfn.XLOOKUP(Table1[[#This Row],[5 cm2 cell test code]:[5 cm2 cell test code]],[1]!Table1[[Test code]:[Test code]],[1]!Table1[Q_int_frac DIW],"",0)</f>
        <v>#REF!</v>
      </c>
      <c r="AH1847" s="69" t="e" cm="1">
        <f t="array" ref="AH1847">_xlfn.XLOOKUP(Table1[[#This Row],[5 cm2 cell test code]:[5 cm2 cell test code]],[1]!Table1[[Test code]:[Test code]],[1]!Table1[Ionic resistance 10 mM KOH/Ohm cm2],"",0)</f>
        <v>#REF!</v>
      </c>
      <c r="AI1847" s="69" t="e" cm="1">
        <f t="array" ref="AI1847">_xlfn.XLOOKUP(Table1[[#This Row],[5 cm2 cell test code]:[5 cm2 cell test code]],[1]!Table1[[Test code]:[Test code]],[1]!Table1[Q_int_frac DIW 10 mM KOH],"",0)</f>
        <v>#REF!</v>
      </c>
      <c r="AJ1847" s="69" t="e" cm="1">
        <f t="array" ref="AJ1847">_xlfn.XLOOKUP(Table1[[#This Row],[5 cm2 cell test code]:[5 cm2 cell test code]],[1]!Table1[[Test code]:[Test code]],[1]!Table1[DIW conductivity (µS/cm)],"",0)</f>
        <v>#REF!</v>
      </c>
    </row>
    <row r="1848" spans="1:36">
      <c r="A1848" s="81"/>
      <c r="U1848" s="101"/>
      <c r="V1848" s="101"/>
      <c r="W1848" s="69" t="e" cm="1">
        <f t="array" ref="W1848">_xlfn.XLOOKUP(Table1[[#This Row],[5 cm2 cell test code]:[5 cm2 cell test code]],[1]!Table1[[Test code]:[Test code]],[1]!Table1[i @ 1.8 V DIW (A/cm2)],"",0)</f>
        <v>#REF!</v>
      </c>
      <c r="X1848" s="69" t="e" cm="1">
        <f t="array" ref="X1848">_xlfn.XLOOKUP(Table1[[#This Row],[5 cm2 cell test code]:[5 cm2 cell test code]],[1]!Table1[[Test code]:[Test code]],[1]!Table1[i @ 1.8 V 10 mM KOH (A/cm2)],"",0)</f>
        <v>#REF!</v>
      </c>
      <c r="Y1848" s="69" t="e" cm="1">
        <f t="array" ref="Y1848">_xlfn.XLOOKUP(Table1[[#This Row],[5 cm2 cell test code]:[5 cm2 cell test code]],[1]!Table1[[Test code]:[Test code]],[1]!Table1[3-E ƞ at 20mAcm-2 (mV)],"",0)</f>
        <v>#REF!</v>
      </c>
      <c r="Z1848" s="69" t="e" cm="1">
        <f t="array" ref="Z1848">_xlfn.XLOOKUP(Table1[[#This Row],[5 cm2 cell test code]:[5 cm2 cell test code]],[1]!Table1[[Test code]:[Test code]],[1]!Table1[3-E Tafel slope (mV/dec)],"",0)</f>
        <v>#REF!</v>
      </c>
      <c r="AA1848" s="69" t="e" cm="1">
        <f t="array" ref="AA1848">_xlfn.XLOOKUP(Table1[[#This Row],[5 cm2 cell test code]:[5 cm2 cell test code]],[1]!Table1[[Test code]:[Test code]],[1]!Table1[E @ 100 mA/cm2 DIW/V],"",0)</f>
        <v>#REF!</v>
      </c>
      <c r="AB1848" s="69" t="e" cm="1">
        <f t="array" ref="AB1848">_xlfn.XLOOKUP(Table1[[#This Row],[5 cm2 cell test code]:[5 cm2 cell test code]],[1]!Table1[[Test code]:[Test code]],[1]!Table1[E @ 100 mA/cm2 10 mM KOH/V],"",0)</f>
        <v>#REF!</v>
      </c>
      <c r="AC1848" s="69" t="e" cm="1">
        <f t="array" ref="AC1848">_xlfn.XLOOKUP(Table1[[#This Row],[5 cm2 cell test code]:[5 cm2 cell test code]],[1]!Table1[[Test code]:[Test code]],[1]!Table1[Anode ICR/mOhm],"",0)</f>
        <v>#REF!</v>
      </c>
      <c r="AD1848" s="69" t="e" cm="1">
        <f t="array" ref="AD1848">_xlfn.XLOOKUP(Table1[[#This Row],[5 cm2 cell test code]:[5 cm2 cell test code]],[1]!Table1[[Test code]:[Test code]],[1]!Table1[HFR DIW/ mOhm cm2],"",0)</f>
        <v>#REF!</v>
      </c>
      <c r="AE1848" s="69" t="e" cm="1">
        <f t="array" ref="AE1848">_xlfn.XLOOKUP(Table1[[#This Row],[5 cm2 cell test code]:[5 cm2 cell test code]],[1]!Table1[[Test code]:[Test code]],[1]!Table1[HFR 10 mM KOH/ mOhm cm2],"",0)</f>
        <v>#REF!</v>
      </c>
      <c r="AF1848" s="69" t="e" cm="1">
        <f t="array" ref="AF1848">_xlfn.XLOOKUP(Table1[[#This Row],[5 cm2 cell test code]:[5 cm2 cell test code]],[1]!Table1[[Test code]:[Test code]],[1]!Table1[Ionic resistance DIW/Ohm cm2],"",0)</f>
        <v>#REF!</v>
      </c>
      <c r="AG1848" s="69" t="e" cm="1">
        <f t="array" ref="AG1848">_xlfn.XLOOKUP(Table1[[#This Row],[5 cm2 cell test code]:[5 cm2 cell test code]],[1]!Table1[[Test code]:[Test code]],[1]!Table1[Q_int_frac DIW],"",0)</f>
        <v>#REF!</v>
      </c>
      <c r="AH1848" s="69" t="e" cm="1">
        <f t="array" ref="AH1848">_xlfn.XLOOKUP(Table1[[#This Row],[5 cm2 cell test code]:[5 cm2 cell test code]],[1]!Table1[[Test code]:[Test code]],[1]!Table1[Ionic resistance 10 mM KOH/Ohm cm2],"",0)</f>
        <v>#REF!</v>
      </c>
      <c r="AI1848" s="69" t="e" cm="1">
        <f t="array" ref="AI1848">_xlfn.XLOOKUP(Table1[[#This Row],[5 cm2 cell test code]:[5 cm2 cell test code]],[1]!Table1[[Test code]:[Test code]],[1]!Table1[Q_int_frac DIW 10 mM KOH],"",0)</f>
        <v>#REF!</v>
      </c>
      <c r="AJ1848" s="69" t="e" cm="1">
        <f t="array" ref="AJ1848">_xlfn.XLOOKUP(Table1[[#This Row],[5 cm2 cell test code]:[5 cm2 cell test code]],[1]!Table1[[Test code]:[Test code]],[1]!Table1[DIW conductivity (µS/cm)],"",0)</f>
        <v>#REF!</v>
      </c>
    </row>
    <row r="1849" spans="1:36">
      <c r="A1849" s="81"/>
      <c r="U1849" s="101"/>
      <c r="V1849" s="101"/>
      <c r="W1849" s="69" t="e" cm="1">
        <f t="array" ref="W1849">_xlfn.XLOOKUP(Table1[[#This Row],[5 cm2 cell test code]:[5 cm2 cell test code]],[1]!Table1[[Test code]:[Test code]],[1]!Table1[i @ 1.8 V DIW (A/cm2)],"",0)</f>
        <v>#REF!</v>
      </c>
      <c r="X1849" s="69" t="e" cm="1">
        <f t="array" ref="X1849">_xlfn.XLOOKUP(Table1[[#This Row],[5 cm2 cell test code]:[5 cm2 cell test code]],[1]!Table1[[Test code]:[Test code]],[1]!Table1[i @ 1.8 V 10 mM KOH (A/cm2)],"",0)</f>
        <v>#REF!</v>
      </c>
      <c r="Y1849" s="69" t="e" cm="1">
        <f t="array" ref="Y1849">_xlfn.XLOOKUP(Table1[[#This Row],[5 cm2 cell test code]:[5 cm2 cell test code]],[1]!Table1[[Test code]:[Test code]],[1]!Table1[3-E ƞ at 20mAcm-2 (mV)],"",0)</f>
        <v>#REF!</v>
      </c>
      <c r="Z1849" s="69" t="e" cm="1">
        <f t="array" ref="Z1849">_xlfn.XLOOKUP(Table1[[#This Row],[5 cm2 cell test code]:[5 cm2 cell test code]],[1]!Table1[[Test code]:[Test code]],[1]!Table1[3-E Tafel slope (mV/dec)],"",0)</f>
        <v>#REF!</v>
      </c>
      <c r="AA1849" s="69" t="e" cm="1">
        <f t="array" ref="AA1849">_xlfn.XLOOKUP(Table1[[#This Row],[5 cm2 cell test code]:[5 cm2 cell test code]],[1]!Table1[[Test code]:[Test code]],[1]!Table1[E @ 100 mA/cm2 DIW/V],"",0)</f>
        <v>#REF!</v>
      </c>
      <c r="AB1849" s="69" t="e" cm="1">
        <f t="array" ref="AB1849">_xlfn.XLOOKUP(Table1[[#This Row],[5 cm2 cell test code]:[5 cm2 cell test code]],[1]!Table1[[Test code]:[Test code]],[1]!Table1[E @ 100 mA/cm2 10 mM KOH/V],"",0)</f>
        <v>#REF!</v>
      </c>
      <c r="AC1849" s="69" t="e" cm="1">
        <f t="array" ref="AC1849">_xlfn.XLOOKUP(Table1[[#This Row],[5 cm2 cell test code]:[5 cm2 cell test code]],[1]!Table1[[Test code]:[Test code]],[1]!Table1[Anode ICR/mOhm],"",0)</f>
        <v>#REF!</v>
      </c>
      <c r="AD1849" s="69" t="e" cm="1">
        <f t="array" ref="AD1849">_xlfn.XLOOKUP(Table1[[#This Row],[5 cm2 cell test code]:[5 cm2 cell test code]],[1]!Table1[[Test code]:[Test code]],[1]!Table1[HFR DIW/ mOhm cm2],"",0)</f>
        <v>#REF!</v>
      </c>
      <c r="AE1849" s="69" t="e" cm="1">
        <f t="array" ref="AE1849">_xlfn.XLOOKUP(Table1[[#This Row],[5 cm2 cell test code]:[5 cm2 cell test code]],[1]!Table1[[Test code]:[Test code]],[1]!Table1[HFR 10 mM KOH/ mOhm cm2],"",0)</f>
        <v>#REF!</v>
      </c>
      <c r="AF1849" s="69" t="e" cm="1">
        <f t="array" ref="AF1849">_xlfn.XLOOKUP(Table1[[#This Row],[5 cm2 cell test code]:[5 cm2 cell test code]],[1]!Table1[[Test code]:[Test code]],[1]!Table1[Ionic resistance DIW/Ohm cm2],"",0)</f>
        <v>#REF!</v>
      </c>
      <c r="AG1849" s="69" t="e" cm="1">
        <f t="array" ref="AG1849">_xlfn.XLOOKUP(Table1[[#This Row],[5 cm2 cell test code]:[5 cm2 cell test code]],[1]!Table1[[Test code]:[Test code]],[1]!Table1[Q_int_frac DIW],"",0)</f>
        <v>#REF!</v>
      </c>
      <c r="AH1849" s="69" t="e" cm="1">
        <f t="array" ref="AH1849">_xlfn.XLOOKUP(Table1[[#This Row],[5 cm2 cell test code]:[5 cm2 cell test code]],[1]!Table1[[Test code]:[Test code]],[1]!Table1[Ionic resistance 10 mM KOH/Ohm cm2],"",0)</f>
        <v>#REF!</v>
      </c>
      <c r="AI1849" s="69" t="e" cm="1">
        <f t="array" ref="AI1849">_xlfn.XLOOKUP(Table1[[#This Row],[5 cm2 cell test code]:[5 cm2 cell test code]],[1]!Table1[[Test code]:[Test code]],[1]!Table1[Q_int_frac DIW 10 mM KOH],"",0)</f>
        <v>#REF!</v>
      </c>
      <c r="AJ1849" s="69" t="e" cm="1">
        <f t="array" ref="AJ1849">_xlfn.XLOOKUP(Table1[[#This Row],[5 cm2 cell test code]:[5 cm2 cell test code]],[1]!Table1[[Test code]:[Test code]],[1]!Table1[DIW conductivity (µS/cm)],"",0)</f>
        <v>#REF!</v>
      </c>
    </row>
    <row r="1850" spans="1:36">
      <c r="A1850" s="81"/>
      <c r="U1850" s="101"/>
      <c r="V1850" s="101"/>
      <c r="W1850" s="69" t="e" cm="1">
        <f t="array" ref="W1850">_xlfn.XLOOKUP(Table1[[#This Row],[5 cm2 cell test code]:[5 cm2 cell test code]],[1]!Table1[[Test code]:[Test code]],[1]!Table1[i @ 1.8 V DIW (A/cm2)],"",0)</f>
        <v>#REF!</v>
      </c>
      <c r="X1850" s="69" t="e" cm="1">
        <f t="array" ref="X1850">_xlfn.XLOOKUP(Table1[[#This Row],[5 cm2 cell test code]:[5 cm2 cell test code]],[1]!Table1[[Test code]:[Test code]],[1]!Table1[i @ 1.8 V 10 mM KOH (A/cm2)],"",0)</f>
        <v>#REF!</v>
      </c>
      <c r="Y1850" s="69" t="e" cm="1">
        <f t="array" ref="Y1850">_xlfn.XLOOKUP(Table1[[#This Row],[5 cm2 cell test code]:[5 cm2 cell test code]],[1]!Table1[[Test code]:[Test code]],[1]!Table1[3-E ƞ at 20mAcm-2 (mV)],"",0)</f>
        <v>#REF!</v>
      </c>
      <c r="Z1850" s="69" t="e" cm="1">
        <f t="array" ref="Z1850">_xlfn.XLOOKUP(Table1[[#This Row],[5 cm2 cell test code]:[5 cm2 cell test code]],[1]!Table1[[Test code]:[Test code]],[1]!Table1[3-E Tafel slope (mV/dec)],"",0)</f>
        <v>#REF!</v>
      </c>
      <c r="AA1850" s="69" t="e" cm="1">
        <f t="array" ref="AA1850">_xlfn.XLOOKUP(Table1[[#This Row],[5 cm2 cell test code]:[5 cm2 cell test code]],[1]!Table1[[Test code]:[Test code]],[1]!Table1[E @ 100 mA/cm2 DIW/V],"",0)</f>
        <v>#REF!</v>
      </c>
      <c r="AB1850" s="69" t="e" cm="1">
        <f t="array" ref="AB1850">_xlfn.XLOOKUP(Table1[[#This Row],[5 cm2 cell test code]:[5 cm2 cell test code]],[1]!Table1[[Test code]:[Test code]],[1]!Table1[E @ 100 mA/cm2 10 mM KOH/V],"",0)</f>
        <v>#REF!</v>
      </c>
      <c r="AC1850" s="69" t="e" cm="1">
        <f t="array" ref="AC1850">_xlfn.XLOOKUP(Table1[[#This Row],[5 cm2 cell test code]:[5 cm2 cell test code]],[1]!Table1[[Test code]:[Test code]],[1]!Table1[Anode ICR/mOhm],"",0)</f>
        <v>#REF!</v>
      </c>
      <c r="AD1850" s="69" t="e" cm="1">
        <f t="array" ref="AD1850">_xlfn.XLOOKUP(Table1[[#This Row],[5 cm2 cell test code]:[5 cm2 cell test code]],[1]!Table1[[Test code]:[Test code]],[1]!Table1[HFR DIW/ mOhm cm2],"",0)</f>
        <v>#REF!</v>
      </c>
      <c r="AE1850" s="69" t="e" cm="1">
        <f t="array" ref="AE1850">_xlfn.XLOOKUP(Table1[[#This Row],[5 cm2 cell test code]:[5 cm2 cell test code]],[1]!Table1[[Test code]:[Test code]],[1]!Table1[HFR 10 mM KOH/ mOhm cm2],"",0)</f>
        <v>#REF!</v>
      </c>
      <c r="AF1850" s="69" t="e" cm="1">
        <f t="array" ref="AF1850">_xlfn.XLOOKUP(Table1[[#This Row],[5 cm2 cell test code]:[5 cm2 cell test code]],[1]!Table1[[Test code]:[Test code]],[1]!Table1[Ionic resistance DIW/Ohm cm2],"",0)</f>
        <v>#REF!</v>
      </c>
      <c r="AG1850" s="69" t="e" cm="1">
        <f t="array" ref="AG1850">_xlfn.XLOOKUP(Table1[[#This Row],[5 cm2 cell test code]:[5 cm2 cell test code]],[1]!Table1[[Test code]:[Test code]],[1]!Table1[Q_int_frac DIW],"",0)</f>
        <v>#REF!</v>
      </c>
      <c r="AH1850" s="69" t="e" cm="1">
        <f t="array" ref="AH1850">_xlfn.XLOOKUP(Table1[[#This Row],[5 cm2 cell test code]:[5 cm2 cell test code]],[1]!Table1[[Test code]:[Test code]],[1]!Table1[Ionic resistance 10 mM KOH/Ohm cm2],"",0)</f>
        <v>#REF!</v>
      </c>
      <c r="AI1850" s="69" t="e" cm="1">
        <f t="array" ref="AI1850">_xlfn.XLOOKUP(Table1[[#This Row],[5 cm2 cell test code]:[5 cm2 cell test code]],[1]!Table1[[Test code]:[Test code]],[1]!Table1[Q_int_frac DIW 10 mM KOH],"",0)</f>
        <v>#REF!</v>
      </c>
      <c r="AJ1850" s="69" t="e" cm="1">
        <f t="array" ref="AJ1850">_xlfn.XLOOKUP(Table1[[#This Row],[5 cm2 cell test code]:[5 cm2 cell test code]],[1]!Table1[[Test code]:[Test code]],[1]!Table1[DIW conductivity (µS/cm)],"",0)</f>
        <v>#REF!</v>
      </c>
    </row>
    <row r="1851" spans="1:36">
      <c r="A1851" s="81"/>
      <c r="U1851" s="101"/>
      <c r="V1851" s="101"/>
      <c r="W1851" s="69" t="e" cm="1">
        <f t="array" ref="W1851">_xlfn.XLOOKUP(Table1[[#This Row],[5 cm2 cell test code]:[5 cm2 cell test code]],[1]!Table1[[Test code]:[Test code]],[1]!Table1[i @ 1.8 V DIW (A/cm2)],"",0)</f>
        <v>#REF!</v>
      </c>
      <c r="X1851" s="69" t="e" cm="1">
        <f t="array" ref="X1851">_xlfn.XLOOKUP(Table1[[#This Row],[5 cm2 cell test code]:[5 cm2 cell test code]],[1]!Table1[[Test code]:[Test code]],[1]!Table1[i @ 1.8 V 10 mM KOH (A/cm2)],"",0)</f>
        <v>#REF!</v>
      </c>
      <c r="Y1851" s="69" t="e" cm="1">
        <f t="array" ref="Y1851">_xlfn.XLOOKUP(Table1[[#This Row],[5 cm2 cell test code]:[5 cm2 cell test code]],[1]!Table1[[Test code]:[Test code]],[1]!Table1[3-E ƞ at 20mAcm-2 (mV)],"",0)</f>
        <v>#REF!</v>
      </c>
      <c r="Z1851" s="69" t="e" cm="1">
        <f t="array" ref="Z1851">_xlfn.XLOOKUP(Table1[[#This Row],[5 cm2 cell test code]:[5 cm2 cell test code]],[1]!Table1[[Test code]:[Test code]],[1]!Table1[3-E Tafel slope (mV/dec)],"",0)</f>
        <v>#REF!</v>
      </c>
      <c r="AA1851" s="69" t="e" cm="1">
        <f t="array" ref="AA1851">_xlfn.XLOOKUP(Table1[[#This Row],[5 cm2 cell test code]:[5 cm2 cell test code]],[1]!Table1[[Test code]:[Test code]],[1]!Table1[E @ 100 mA/cm2 DIW/V],"",0)</f>
        <v>#REF!</v>
      </c>
      <c r="AB1851" s="69" t="e" cm="1">
        <f t="array" ref="AB1851">_xlfn.XLOOKUP(Table1[[#This Row],[5 cm2 cell test code]:[5 cm2 cell test code]],[1]!Table1[[Test code]:[Test code]],[1]!Table1[E @ 100 mA/cm2 10 mM KOH/V],"",0)</f>
        <v>#REF!</v>
      </c>
      <c r="AC1851" s="69" t="e" cm="1">
        <f t="array" ref="AC1851">_xlfn.XLOOKUP(Table1[[#This Row],[5 cm2 cell test code]:[5 cm2 cell test code]],[1]!Table1[[Test code]:[Test code]],[1]!Table1[Anode ICR/mOhm],"",0)</f>
        <v>#REF!</v>
      </c>
      <c r="AD1851" s="69" t="e" cm="1">
        <f t="array" ref="AD1851">_xlfn.XLOOKUP(Table1[[#This Row],[5 cm2 cell test code]:[5 cm2 cell test code]],[1]!Table1[[Test code]:[Test code]],[1]!Table1[HFR DIW/ mOhm cm2],"",0)</f>
        <v>#REF!</v>
      </c>
      <c r="AE1851" s="69" t="e" cm="1">
        <f t="array" ref="AE1851">_xlfn.XLOOKUP(Table1[[#This Row],[5 cm2 cell test code]:[5 cm2 cell test code]],[1]!Table1[[Test code]:[Test code]],[1]!Table1[HFR 10 mM KOH/ mOhm cm2],"",0)</f>
        <v>#REF!</v>
      </c>
      <c r="AF1851" s="69" t="e" cm="1">
        <f t="array" ref="AF1851">_xlfn.XLOOKUP(Table1[[#This Row],[5 cm2 cell test code]:[5 cm2 cell test code]],[1]!Table1[[Test code]:[Test code]],[1]!Table1[Ionic resistance DIW/Ohm cm2],"",0)</f>
        <v>#REF!</v>
      </c>
      <c r="AG1851" s="69" t="e" cm="1">
        <f t="array" ref="AG1851">_xlfn.XLOOKUP(Table1[[#This Row],[5 cm2 cell test code]:[5 cm2 cell test code]],[1]!Table1[[Test code]:[Test code]],[1]!Table1[Q_int_frac DIW],"",0)</f>
        <v>#REF!</v>
      </c>
      <c r="AH1851" s="69" t="e" cm="1">
        <f t="array" ref="AH1851">_xlfn.XLOOKUP(Table1[[#This Row],[5 cm2 cell test code]:[5 cm2 cell test code]],[1]!Table1[[Test code]:[Test code]],[1]!Table1[Ionic resistance 10 mM KOH/Ohm cm2],"",0)</f>
        <v>#REF!</v>
      </c>
      <c r="AI1851" s="69" t="e" cm="1">
        <f t="array" ref="AI1851">_xlfn.XLOOKUP(Table1[[#This Row],[5 cm2 cell test code]:[5 cm2 cell test code]],[1]!Table1[[Test code]:[Test code]],[1]!Table1[Q_int_frac DIW 10 mM KOH],"",0)</f>
        <v>#REF!</v>
      </c>
      <c r="AJ1851" s="69" t="e" cm="1">
        <f t="array" ref="AJ1851">_xlfn.XLOOKUP(Table1[[#This Row],[5 cm2 cell test code]:[5 cm2 cell test code]],[1]!Table1[[Test code]:[Test code]],[1]!Table1[DIW conductivity (µS/cm)],"",0)</f>
        <v>#REF!</v>
      </c>
    </row>
    <row r="1852" spans="1:36">
      <c r="A1852" s="81"/>
      <c r="U1852" s="101"/>
      <c r="V1852" s="101"/>
      <c r="W1852" s="69" t="e" cm="1">
        <f t="array" ref="W1852">_xlfn.XLOOKUP(Table1[[#This Row],[5 cm2 cell test code]:[5 cm2 cell test code]],[1]!Table1[[Test code]:[Test code]],[1]!Table1[i @ 1.8 V DIW (A/cm2)],"",0)</f>
        <v>#REF!</v>
      </c>
      <c r="X1852" s="69" t="e" cm="1">
        <f t="array" ref="X1852">_xlfn.XLOOKUP(Table1[[#This Row],[5 cm2 cell test code]:[5 cm2 cell test code]],[1]!Table1[[Test code]:[Test code]],[1]!Table1[i @ 1.8 V 10 mM KOH (A/cm2)],"",0)</f>
        <v>#REF!</v>
      </c>
      <c r="Y1852" s="69" t="e" cm="1">
        <f t="array" ref="Y1852">_xlfn.XLOOKUP(Table1[[#This Row],[5 cm2 cell test code]:[5 cm2 cell test code]],[1]!Table1[[Test code]:[Test code]],[1]!Table1[3-E ƞ at 20mAcm-2 (mV)],"",0)</f>
        <v>#REF!</v>
      </c>
      <c r="Z1852" s="69" t="e" cm="1">
        <f t="array" ref="Z1852">_xlfn.XLOOKUP(Table1[[#This Row],[5 cm2 cell test code]:[5 cm2 cell test code]],[1]!Table1[[Test code]:[Test code]],[1]!Table1[3-E Tafel slope (mV/dec)],"",0)</f>
        <v>#REF!</v>
      </c>
      <c r="AA1852" s="69" t="e" cm="1">
        <f t="array" ref="AA1852">_xlfn.XLOOKUP(Table1[[#This Row],[5 cm2 cell test code]:[5 cm2 cell test code]],[1]!Table1[[Test code]:[Test code]],[1]!Table1[E @ 100 mA/cm2 DIW/V],"",0)</f>
        <v>#REF!</v>
      </c>
      <c r="AB1852" s="69" t="e" cm="1">
        <f t="array" ref="AB1852">_xlfn.XLOOKUP(Table1[[#This Row],[5 cm2 cell test code]:[5 cm2 cell test code]],[1]!Table1[[Test code]:[Test code]],[1]!Table1[E @ 100 mA/cm2 10 mM KOH/V],"",0)</f>
        <v>#REF!</v>
      </c>
      <c r="AC1852" s="69" t="e" cm="1">
        <f t="array" ref="AC1852">_xlfn.XLOOKUP(Table1[[#This Row],[5 cm2 cell test code]:[5 cm2 cell test code]],[1]!Table1[[Test code]:[Test code]],[1]!Table1[Anode ICR/mOhm],"",0)</f>
        <v>#REF!</v>
      </c>
      <c r="AD1852" s="69" t="e" cm="1">
        <f t="array" ref="AD1852">_xlfn.XLOOKUP(Table1[[#This Row],[5 cm2 cell test code]:[5 cm2 cell test code]],[1]!Table1[[Test code]:[Test code]],[1]!Table1[HFR DIW/ mOhm cm2],"",0)</f>
        <v>#REF!</v>
      </c>
      <c r="AE1852" s="69" t="e" cm="1">
        <f t="array" ref="AE1852">_xlfn.XLOOKUP(Table1[[#This Row],[5 cm2 cell test code]:[5 cm2 cell test code]],[1]!Table1[[Test code]:[Test code]],[1]!Table1[HFR 10 mM KOH/ mOhm cm2],"",0)</f>
        <v>#REF!</v>
      </c>
      <c r="AF1852" s="69" t="e" cm="1">
        <f t="array" ref="AF1852">_xlfn.XLOOKUP(Table1[[#This Row],[5 cm2 cell test code]:[5 cm2 cell test code]],[1]!Table1[[Test code]:[Test code]],[1]!Table1[Ionic resistance DIW/Ohm cm2],"",0)</f>
        <v>#REF!</v>
      </c>
      <c r="AG1852" s="69" t="e" cm="1">
        <f t="array" ref="AG1852">_xlfn.XLOOKUP(Table1[[#This Row],[5 cm2 cell test code]:[5 cm2 cell test code]],[1]!Table1[[Test code]:[Test code]],[1]!Table1[Q_int_frac DIW],"",0)</f>
        <v>#REF!</v>
      </c>
      <c r="AH1852" s="69" t="e" cm="1">
        <f t="array" ref="AH1852">_xlfn.XLOOKUP(Table1[[#This Row],[5 cm2 cell test code]:[5 cm2 cell test code]],[1]!Table1[[Test code]:[Test code]],[1]!Table1[Ionic resistance 10 mM KOH/Ohm cm2],"",0)</f>
        <v>#REF!</v>
      </c>
      <c r="AI1852" s="69" t="e" cm="1">
        <f t="array" ref="AI1852">_xlfn.XLOOKUP(Table1[[#This Row],[5 cm2 cell test code]:[5 cm2 cell test code]],[1]!Table1[[Test code]:[Test code]],[1]!Table1[Q_int_frac DIW 10 mM KOH],"",0)</f>
        <v>#REF!</v>
      </c>
      <c r="AJ1852" s="69" t="e" cm="1">
        <f t="array" ref="AJ1852">_xlfn.XLOOKUP(Table1[[#This Row],[5 cm2 cell test code]:[5 cm2 cell test code]],[1]!Table1[[Test code]:[Test code]],[1]!Table1[DIW conductivity (µS/cm)],"",0)</f>
        <v>#REF!</v>
      </c>
    </row>
    <row r="1853" spans="1:36">
      <c r="A1853" s="81"/>
      <c r="U1853" s="101"/>
      <c r="V1853" s="101"/>
      <c r="W1853" s="69" t="e" cm="1">
        <f t="array" ref="W1853">_xlfn.XLOOKUP(Table1[[#This Row],[5 cm2 cell test code]:[5 cm2 cell test code]],[1]!Table1[[Test code]:[Test code]],[1]!Table1[i @ 1.8 V DIW (A/cm2)],"",0)</f>
        <v>#REF!</v>
      </c>
      <c r="X1853" s="69" t="e" cm="1">
        <f t="array" ref="X1853">_xlfn.XLOOKUP(Table1[[#This Row],[5 cm2 cell test code]:[5 cm2 cell test code]],[1]!Table1[[Test code]:[Test code]],[1]!Table1[i @ 1.8 V 10 mM KOH (A/cm2)],"",0)</f>
        <v>#REF!</v>
      </c>
      <c r="Y1853" s="69" t="e" cm="1">
        <f t="array" ref="Y1853">_xlfn.XLOOKUP(Table1[[#This Row],[5 cm2 cell test code]:[5 cm2 cell test code]],[1]!Table1[[Test code]:[Test code]],[1]!Table1[3-E ƞ at 20mAcm-2 (mV)],"",0)</f>
        <v>#REF!</v>
      </c>
      <c r="Z1853" s="69" t="e" cm="1">
        <f t="array" ref="Z1853">_xlfn.XLOOKUP(Table1[[#This Row],[5 cm2 cell test code]:[5 cm2 cell test code]],[1]!Table1[[Test code]:[Test code]],[1]!Table1[3-E Tafel slope (mV/dec)],"",0)</f>
        <v>#REF!</v>
      </c>
      <c r="AA1853" s="69" t="e" cm="1">
        <f t="array" ref="AA1853">_xlfn.XLOOKUP(Table1[[#This Row],[5 cm2 cell test code]:[5 cm2 cell test code]],[1]!Table1[[Test code]:[Test code]],[1]!Table1[E @ 100 mA/cm2 DIW/V],"",0)</f>
        <v>#REF!</v>
      </c>
      <c r="AB1853" s="69" t="e" cm="1">
        <f t="array" ref="AB1853">_xlfn.XLOOKUP(Table1[[#This Row],[5 cm2 cell test code]:[5 cm2 cell test code]],[1]!Table1[[Test code]:[Test code]],[1]!Table1[E @ 100 mA/cm2 10 mM KOH/V],"",0)</f>
        <v>#REF!</v>
      </c>
      <c r="AC1853" s="69" t="e" cm="1">
        <f t="array" ref="AC1853">_xlfn.XLOOKUP(Table1[[#This Row],[5 cm2 cell test code]:[5 cm2 cell test code]],[1]!Table1[[Test code]:[Test code]],[1]!Table1[Anode ICR/mOhm],"",0)</f>
        <v>#REF!</v>
      </c>
      <c r="AD1853" s="69" t="e" cm="1">
        <f t="array" ref="AD1853">_xlfn.XLOOKUP(Table1[[#This Row],[5 cm2 cell test code]:[5 cm2 cell test code]],[1]!Table1[[Test code]:[Test code]],[1]!Table1[HFR DIW/ mOhm cm2],"",0)</f>
        <v>#REF!</v>
      </c>
      <c r="AE1853" s="69" t="e" cm="1">
        <f t="array" ref="AE1853">_xlfn.XLOOKUP(Table1[[#This Row],[5 cm2 cell test code]:[5 cm2 cell test code]],[1]!Table1[[Test code]:[Test code]],[1]!Table1[HFR 10 mM KOH/ mOhm cm2],"",0)</f>
        <v>#REF!</v>
      </c>
      <c r="AF1853" s="69" t="e" cm="1">
        <f t="array" ref="AF1853">_xlfn.XLOOKUP(Table1[[#This Row],[5 cm2 cell test code]:[5 cm2 cell test code]],[1]!Table1[[Test code]:[Test code]],[1]!Table1[Ionic resistance DIW/Ohm cm2],"",0)</f>
        <v>#REF!</v>
      </c>
      <c r="AG1853" s="69" t="e" cm="1">
        <f t="array" ref="AG1853">_xlfn.XLOOKUP(Table1[[#This Row],[5 cm2 cell test code]:[5 cm2 cell test code]],[1]!Table1[[Test code]:[Test code]],[1]!Table1[Q_int_frac DIW],"",0)</f>
        <v>#REF!</v>
      </c>
      <c r="AH1853" s="69" t="e" cm="1">
        <f t="array" ref="AH1853">_xlfn.XLOOKUP(Table1[[#This Row],[5 cm2 cell test code]:[5 cm2 cell test code]],[1]!Table1[[Test code]:[Test code]],[1]!Table1[Ionic resistance 10 mM KOH/Ohm cm2],"",0)</f>
        <v>#REF!</v>
      </c>
      <c r="AI1853" s="69" t="e" cm="1">
        <f t="array" ref="AI1853">_xlfn.XLOOKUP(Table1[[#This Row],[5 cm2 cell test code]:[5 cm2 cell test code]],[1]!Table1[[Test code]:[Test code]],[1]!Table1[Q_int_frac DIW 10 mM KOH],"",0)</f>
        <v>#REF!</v>
      </c>
      <c r="AJ1853" s="69" t="e" cm="1">
        <f t="array" ref="AJ1853">_xlfn.XLOOKUP(Table1[[#This Row],[5 cm2 cell test code]:[5 cm2 cell test code]],[1]!Table1[[Test code]:[Test code]],[1]!Table1[DIW conductivity (µS/cm)],"",0)</f>
        <v>#REF!</v>
      </c>
    </row>
    <row r="1854" spans="1:36">
      <c r="A1854" s="81"/>
      <c r="U1854" s="101"/>
      <c r="V1854" s="101"/>
      <c r="W1854" s="69" t="e" cm="1">
        <f t="array" ref="W1854">_xlfn.XLOOKUP(Table1[[#This Row],[5 cm2 cell test code]:[5 cm2 cell test code]],[1]!Table1[[Test code]:[Test code]],[1]!Table1[i @ 1.8 V DIW (A/cm2)],"",0)</f>
        <v>#REF!</v>
      </c>
      <c r="X1854" s="69" t="e" cm="1">
        <f t="array" ref="X1854">_xlfn.XLOOKUP(Table1[[#This Row],[5 cm2 cell test code]:[5 cm2 cell test code]],[1]!Table1[[Test code]:[Test code]],[1]!Table1[i @ 1.8 V 10 mM KOH (A/cm2)],"",0)</f>
        <v>#REF!</v>
      </c>
      <c r="Y1854" s="69" t="e" cm="1">
        <f t="array" ref="Y1854">_xlfn.XLOOKUP(Table1[[#This Row],[5 cm2 cell test code]:[5 cm2 cell test code]],[1]!Table1[[Test code]:[Test code]],[1]!Table1[3-E ƞ at 20mAcm-2 (mV)],"",0)</f>
        <v>#REF!</v>
      </c>
      <c r="Z1854" s="69" t="e" cm="1">
        <f t="array" ref="Z1854">_xlfn.XLOOKUP(Table1[[#This Row],[5 cm2 cell test code]:[5 cm2 cell test code]],[1]!Table1[[Test code]:[Test code]],[1]!Table1[3-E Tafel slope (mV/dec)],"",0)</f>
        <v>#REF!</v>
      </c>
      <c r="AA1854" s="69" t="e" cm="1">
        <f t="array" ref="AA1854">_xlfn.XLOOKUP(Table1[[#This Row],[5 cm2 cell test code]:[5 cm2 cell test code]],[1]!Table1[[Test code]:[Test code]],[1]!Table1[E @ 100 mA/cm2 DIW/V],"",0)</f>
        <v>#REF!</v>
      </c>
      <c r="AB1854" s="69" t="e" cm="1">
        <f t="array" ref="AB1854">_xlfn.XLOOKUP(Table1[[#This Row],[5 cm2 cell test code]:[5 cm2 cell test code]],[1]!Table1[[Test code]:[Test code]],[1]!Table1[E @ 100 mA/cm2 10 mM KOH/V],"",0)</f>
        <v>#REF!</v>
      </c>
      <c r="AC1854" s="69" t="e" cm="1">
        <f t="array" ref="AC1854">_xlfn.XLOOKUP(Table1[[#This Row],[5 cm2 cell test code]:[5 cm2 cell test code]],[1]!Table1[[Test code]:[Test code]],[1]!Table1[Anode ICR/mOhm],"",0)</f>
        <v>#REF!</v>
      </c>
      <c r="AD1854" s="69" t="e" cm="1">
        <f t="array" ref="AD1854">_xlfn.XLOOKUP(Table1[[#This Row],[5 cm2 cell test code]:[5 cm2 cell test code]],[1]!Table1[[Test code]:[Test code]],[1]!Table1[HFR DIW/ mOhm cm2],"",0)</f>
        <v>#REF!</v>
      </c>
      <c r="AE1854" s="69" t="e" cm="1">
        <f t="array" ref="AE1854">_xlfn.XLOOKUP(Table1[[#This Row],[5 cm2 cell test code]:[5 cm2 cell test code]],[1]!Table1[[Test code]:[Test code]],[1]!Table1[HFR 10 mM KOH/ mOhm cm2],"",0)</f>
        <v>#REF!</v>
      </c>
      <c r="AF1854" s="69" t="e" cm="1">
        <f t="array" ref="AF1854">_xlfn.XLOOKUP(Table1[[#This Row],[5 cm2 cell test code]:[5 cm2 cell test code]],[1]!Table1[[Test code]:[Test code]],[1]!Table1[Ionic resistance DIW/Ohm cm2],"",0)</f>
        <v>#REF!</v>
      </c>
      <c r="AG1854" s="69" t="e" cm="1">
        <f t="array" ref="AG1854">_xlfn.XLOOKUP(Table1[[#This Row],[5 cm2 cell test code]:[5 cm2 cell test code]],[1]!Table1[[Test code]:[Test code]],[1]!Table1[Q_int_frac DIW],"",0)</f>
        <v>#REF!</v>
      </c>
      <c r="AH1854" s="69" t="e" cm="1">
        <f t="array" ref="AH1854">_xlfn.XLOOKUP(Table1[[#This Row],[5 cm2 cell test code]:[5 cm2 cell test code]],[1]!Table1[[Test code]:[Test code]],[1]!Table1[Ionic resistance 10 mM KOH/Ohm cm2],"",0)</f>
        <v>#REF!</v>
      </c>
      <c r="AI1854" s="69" t="e" cm="1">
        <f t="array" ref="AI1854">_xlfn.XLOOKUP(Table1[[#This Row],[5 cm2 cell test code]:[5 cm2 cell test code]],[1]!Table1[[Test code]:[Test code]],[1]!Table1[Q_int_frac DIW 10 mM KOH],"",0)</f>
        <v>#REF!</v>
      </c>
      <c r="AJ1854" s="69" t="e" cm="1">
        <f t="array" ref="AJ1854">_xlfn.XLOOKUP(Table1[[#This Row],[5 cm2 cell test code]:[5 cm2 cell test code]],[1]!Table1[[Test code]:[Test code]],[1]!Table1[DIW conductivity (µS/cm)],"",0)</f>
        <v>#REF!</v>
      </c>
    </row>
    <row r="1855" spans="1:36">
      <c r="A1855" s="81"/>
      <c r="U1855" s="101"/>
      <c r="V1855" s="101"/>
      <c r="W1855" s="69" t="e" cm="1">
        <f t="array" ref="W1855">_xlfn.XLOOKUP(Table1[[#This Row],[5 cm2 cell test code]:[5 cm2 cell test code]],[1]!Table1[[Test code]:[Test code]],[1]!Table1[i @ 1.8 V DIW (A/cm2)],"",0)</f>
        <v>#REF!</v>
      </c>
      <c r="X1855" s="69" t="e" cm="1">
        <f t="array" ref="X1855">_xlfn.XLOOKUP(Table1[[#This Row],[5 cm2 cell test code]:[5 cm2 cell test code]],[1]!Table1[[Test code]:[Test code]],[1]!Table1[i @ 1.8 V 10 mM KOH (A/cm2)],"",0)</f>
        <v>#REF!</v>
      </c>
      <c r="Y1855" s="69" t="e" cm="1">
        <f t="array" ref="Y1855">_xlfn.XLOOKUP(Table1[[#This Row],[5 cm2 cell test code]:[5 cm2 cell test code]],[1]!Table1[[Test code]:[Test code]],[1]!Table1[3-E ƞ at 20mAcm-2 (mV)],"",0)</f>
        <v>#REF!</v>
      </c>
      <c r="Z1855" s="69" t="e" cm="1">
        <f t="array" ref="Z1855">_xlfn.XLOOKUP(Table1[[#This Row],[5 cm2 cell test code]:[5 cm2 cell test code]],[1]!Table1[[Test code]:[Test code]],[1]!Table1[3-E Tafel slope (mV/dec)],"",0)</f>
        <v>#REF!</v>
      </c>
      <c r="AA1855" s="69" t="e" cm="1">
        <f t="array" ref="AA1855">_xlfn.XLOOKUP(Table1[[#This Row],[5 cm2 cell test code]:[5 cm2 cell test code]],[1]!Table1[[Test code]:[Test code]],[1]!Table1[E @ 100 mA/cm2 DIW/V],"",0)</f>
        <v>#REF!</v>
      </c>
      <c r="AB1855" s="69" t="e" cm="1">
        <f t="array" ref="AB1855">_xlfn.XLOOKUP(Table1[[#This Row],[5 cm2 cell test code]:[5 cm2 cell test code]],[1]!Table1[[Test code]:[Test code]],[1]!Table1[E @ 100 mA/cm2 10 mM KOH/V],"",0)</f>
        <v>#REF!</v>
      </c>
      <c r="AC1855" s="69" t="e" cm="1">
        <f t="array" ref="AC1855">_xlfn.XLOOKUP(Table1[[#This Row],[5 cm2 cell test code]:[5 cm2 cell test code]],[1]!Table1[[Test code]:[Test code]],[1]!Table1[Anode ICR/mOhm],"",0)</f>
        <v>#REF!</v>
      </c>
      <c r="AD1855" s="69" t="e" cm="1">
        <f t="array" ref="AD1855">_xlfn.XLOOKUP(Table1[[#This Row],[5 cm2 cell test code]:[5 cm2 cell test code]],[1]!Table1[[Test code]:[Test code]],[1]!Table1[HFR DIW/ mOhm cm2],"",0)</f>
        <v>#REF!</v>
      </c>
      <c r="AE1855" s="69" t="e" cm="1">
        <f t="array" ref="AE1855">_xlfn.XLOOKUP(Table1[[#This Row],[5 cm2 cell test code]:[5 cm2 cell test code]],[1]!Table1[[Test code]:[Test code]],[1]!Table1[HFR 10 mM KOH/ mOhm cm2],"",0)</f>
        <v>#REF!</v>
      </c>
      <c r="AF1855" s="69" t="e" cm="1">
        <f t="array" ref="AF1855">_xlfn.XLOOKUP(Table1[[#This Row],[5 cm2 cell test code]:[5 cm2 cell test code]],[1]!Table1[[Test code]:[Test code]],[1]!Table1[Ionic resistance DIW/Ohm cm2],"",0)</f>
        <v>#REF!</v>
      </c>
      <c r="AG1855" s="69" t="e" cm="1">
        <f t="array" ref="AG1855">_xlfn.XLOOKUP(Table1[[#This Row],[5 cm2 cell test code]:[5 cm2 cell test code]],[1]!Table1[[Test code]:[Test code]],[1]!Table1[Q_int_frac DIW],"",0)</f>
        <v>#REF!</v>
      </c>
      <c r="AH1855" s="69" t="e" cm="1">
        <f t="array" ref="AH1855">_xlfn.XLOOKUP(Table1[[#This Row],[5 cm2 cell test code]:[5 cm2 cell test code]],[1]!Table1[[Test code]:[Test code]],[1]!Table1[Ionic resistance 10 mM KOH/Ohm cm2],"",0)</f>
        <v>#REF!</v>
      </c>
      <c r="AI1855" s="69" t="e" cm="1">
        <f t="array" ref="AI1855">_xlfn.XLOOKUP(Table1[[#This Row],[5 cm2 cell test code]:[5 cm2 cell test code]],[1]!Table1[[Test code]:[Test code]],[1]!Table1[Q_int_frac DIW 10 mM KOH],"",0)</f>
        <v>#REF!</v>
      </c>
      <c r="AJ1855" s="69" t="e" cm="1">
        <f t="array" ref="AJ1855">_xlfn.XLOOKUP(Table1[[#This Row],[5 cm2 cell test code]:[5 cm2 cell test code]],[1]!Table1[[Test code]:[Test code]],[1]!Table1[DIW conductivity (µS/cm)],"",0)</f>
        <v>#REF!</v>
      </c>
    </row>
    <row r="1856" spans="1:36">
      <c r="A1856" s="81"/>
      <c r="U1856" s="101"/>
      <c r="V1856" s="101"/>
      <c r="W1856" s="69" t="e" cm="1">
        <f t="array" ref="W1856">_xlfn.XLOOKUP(Table1[[#This Row],[5 cm2 cell test code]:[5 cm2 cell test code]],[1]!Table1[[Test code]:[Test code]],[1]!Table1[i @ 1.8 V DIW (A/cm2)],"",0)</f>
        <v>#REF!</v>
      </c>
      <c r="X1856" s="69" t="e" cm="1">
        <f t="array" ref="X1856">_xlfn.XLOOKUP(Table1[[#This Row],[5 cm2 cell test code]:[5 cm2 cell test code]],[1]!Table1[[Test code]:[Test code]],[1]!Table1[i @ 1.8 V 10 mM KOH (A/cm2)],"",0)</f>
        <v>#REF!</v>
      </c>
      <c r="Y1856" s="69" t="e" cm="1">
        <f t="array" ref="Y1856">_xlfn.XLOOKUP(Table1[[#This Row],[5 cm2 cell test code]:[5 cm2 cell test code]],[1]!Table1[[Test code]:[Test code]],[1]!Table1[3-E ƞ at 20mAcm-2 (mV)],"",0)</f>
        <v>#REF!</v>
      </c>
      <c r="Z1856" s="69" t="e" cm="1">
        <f t="array" ref="Z1856">_xlfn.XLOOKUP(Table1[[#This Row],[5 cm2 cell test code]:[5 cm2 cell test code]],[1]!Table1[[Test code]:[Test code]],[1]!Table1[3-E Tafel slope (mV/dec)],"",0)</f>
        <v>#REF!</v>
      </c>
      <c r="AA1856" s="69" t="e" cm="1">
        <f t="array" ref="AA1856">_xlfn.XLOOKUP(Table1[[#This Row],[5 cm2 cell test code]:[5 cm2 cell test code]],[1]!Table1[[Test code]:[Test code]],[1]!Table1[E @ 100 mA/cm2 DIW/V],"",0)</f>
        <v>#REF!</v>
      </c>
      <c r="AB1856" s="69" t="e" cm="1">
        <f t="array" ref="AB1856">_xlfn.XLOOKUP(Table1[[#This Row],[5 cm2 cell test code]:[5 cm2 cell test code]],[1]!Table1[[Test code]:[Test code]],[1]!Table1[E @ 100 mA/cm2 10 mM KOH/V],"",0)</f>
        <v>#REF!</v>
      </c>
      <c r="AC1856" s="69" t="e" cm="1">
        <f t="array" ref="AC1856">_xlfn.XLOOKUP(Table1[[#This Row],[5 cm2 cell test code]:[5 cm2 cell test code]],[1]!Table1[[Test code]:[Test code]],[1]!Table1[Anode ICR/mOhm],"",0)</f>
        <v>#REF!</v>
      </c>
      <c r="AD1856" s="69" t="e" cm="1">
        <f t="array" ref="AD1856">_xlfn.XLOOKUP(Table1[[#This Row],[5 cm2 cell test code]:[5 cm2 cell test code]],[1]!Table1[[Test code]:[Test code]],[1]!Table1[HFR DIW/ mOhm cm2],"",0)</f>
        <v>#REF!</v>
      </c>
      <c r="AE1856" s="69" t="e" cm="1">
        <f t="array" ref="AE1856">_xlfn.XLOOKUP(Table1[[#This Row],[5 cm2 cell test code]:[5 cm2 cell test code]],[1]!Table1[[Test code]:[Test code]],[1]!Table1[HFR 10 mM KOH/ mOhm cm2],"",0)</f>
        <v>#REF!</v>
      </c>
      <c r="AF1856" s="69" t="e" cm="1">
        <f t="array" ref="AF1856">_xlfn.XLOOKUP(Table1[[#This Row],[5 cm2 cell test code]:[5 cm2 cell test code]],[1]!Table1[[Test code]:[Test code]],[1]!Table1[Ionic resistance DIW/Ohm cm2],"",0)</f>
        <v>#REF!</v>
      </c>
      <c r="AG1856" s="69" t="e" cm="1">
        <f t="array" ref="AG1856">_xlfn.XLOOKUP(Table1[[#This Row],[5 cm2 cell test code]:[5 cm2 cell test code]],[1]!Table1[[Test code]:[Test code]],[1]!Table1[Q_int_frac DIW],"",0)</f>
        <v>#REF!</v>
      </c>
      <c r="AH1856" s="69" t="e" cm="1">
        <f t="array" ref="AH1856">_xlfn.XLOOKUP(Table1[[#This Row],[5 cm2 cell test code]:[5 cm2 cell test code]],[1]!Table1[[Test code]:[Test code]],[1]!Table1[Ionic resistance 10 mM KOH/Ohm cm2],"",0)</f>
        <v>#REF!</v>
      </c>
      <c r="AI1856" s="69" t="e" cm="1">
        <f t="array" ref="AI1856">_xlfn.XLOOKUP(Table1[[#This Row],[5 cm2 cell test code]:[5 cm2 cell test code]],[1]!Table1[[Test code]:[Test code]],[1]!Table1[Q_int_frac DIW 10 mM KOH],"",0)</f>
        <v>#REF!</v>
      </c>
      <c r="AJ1856" s="69" t="e" cm="1">
        <f t="array" ref="AJ1856">_xlfn.XLOOKUP(Table1[[#This Row],[5 cm2 cell test code]:[5 cm2 cell test code]],[1]!Table1[[Test code]:[Test code]],[1]!Table1[DIW conductivity (µS/cm)],"",0)</f>
        <v>#REF!</v>
      </c>
    </row>
    <row r="1857" spans="1:36">
      <c r="A1857" s="81"/>
      <c r="U1857" s="101"/>
      <c r="V1857" s="101"/>
      <c r="W1857" s="69" t="e" cm="1">
        <f t="array" ref="W1857">_xlfn.XLOOKUP(Table1[[#This Row],[5 cm2 cell test code]:[5 cm2 cell test code]],[1]!Table1[[Test code]:[Test code]],[1]!Table1[i @ 1.8 V DIW (A/cm2)],"",0)</f>
        <v>#REF!</v>
      </c>
      <c r="X1857" s="69" t="e" cm="1">
        <f t="array" ref="X1857">_xlfn.XLOOKUP(Table1[[#This Row],[5 cm2 cell test code]:[5 cm2 cell test code]],[1]!Table1[[Test code]:[Test code]],[1]!Table1[i @ 1.8 V 10 mM KOH (A/cm2)],"",0)</f>
        <v>#REF!</v>
      </c>
      <c r="Y1857" s="69" t="e" cm="1">
        <f t="array" ref="Y1857">_xlfn.XLOOKUP(Table1[[#This Row],[5 cm2 cell test code]:[5 cm2 cell test code]],[1]!Table1[[Test code]:[Test code]],[1]!Table1[3-E ƞ at 20mAcm-2 (mV)],"",0)</f>
        <v>#REF!</v>
      </c>
      <c r="Z1857" s="69" t="e" cm="1">
        <f t="array" ref="Z1857">_xlfn.XLOOKUP(Table1[[#This Row],[5 cm2 cell test code]:[5 cm2 cell test code]],[1]!Table1[[Test code]:[Test code]],[1]!Table1[3-E Tafel slope (mV/dec)],"",0)</f>
        <v>#REF!</v>
      </c>
      <c r="AA1857" s="69" t="e" cm="1">
        <f t="array" ref="AA1857">_xlfn.XLOOKUP(Table1[[#This Row],[5 cm2 cell test code]:[5 cm2 cell test code]],[1]!Table1[[Test code]:[Test code]],[1]!Table1[E @ 100 mA/cm2 DIW/V],"",0)</f>
        <v>#REF!</v>
      </c>
      <c r="AB1857" s="69" t="e" cm="1">
        <f t="array" ref="AB1857">_xlfn.XLOOKUP(Table1[[#This Row],[5 cm2 cell test code]:[5 cm2 cell test code]],[1]!Table1[[Test code]:[Test code]],[1]!Table1[E @ 100 mA/cm2 10 mM KOH/V],"",0)</f>
        <v>#REF!</v>
      </c>
      <c r="AC1857" s="69" t="e" cm="1">
        <f t="array" ref="AC1857">_xlfn.XLOOKUP(Table1[[#This Row],[5 cm2 cell test code]:[5 cm2 cell test code]],[1]!Table1[[Test code]:[Test code]],[1]!Table1[Anode ICR/mOhm],"",0)</f>
        <v>#REF!</v>
      </c>
      <c r="AD1857" s="69" t="e" cm="1">
        <f t="array" ref="AD1857">_xlfn.XLOOKUP(Table1[[#This Row],[5 cm2 cell test code]:[5 cm2 cell test code]],[1]!Table1[[Test code]:[Test code]],[1]!Table1[HFR DIW/ mOhm cm2],"",0)</f>
        <v>#REF!</v>
      </c>
      <c r="AE1857" s="69" t="e" cm="1">
        <f t="array" ref="AE1857">_xlfn.XLOOKUP(Table1[[#This Row],[5 cm2 cell test code]:[5 cm2 cell test code]],[1]!Table1[[Test code]:[Test code]],[1]!Table1[HFR 10 mM KOH/ mOhm cm2],"",0)</f>
        <v>#REF!</v>
      </c>
      <c r="AF1857" s="69" t="e" cm="1">
        <f t="array" ref="AF1857">_xlfn.XLOOKUP(Table1[[#This Row],[5 cm2 cell test code]:[5 cm2 cell test code]],[1]!Table1[[Test code]:[Test code]],[1]!Table1[Ionic resistance DIW/Ohm cm2],"",0)</f>
        <v>#REF!</v>
      </c>
      <c r="AG1857" s="69" t="e" cm="1">
        <f t="array" ref="AG1857">_xlfn.XLOOKUP(Table1[[#This Row],[5 cm2 cell test code]:[5 cm2 cell test code]],[1]!Table1[[Test code]:[Test code]],[1]!Table1[Q_int_frac DIW],"",0)</f>
        <v>#REF!</v>
      </c>
      <c r="AH1857" s="69" t="e" cm="1">
        <f t="array" ref="AH1857">_xlfn.XLOOKUP(Table1[[#This Row],[5 cm2 cell test code]:[5 cm2 cell test code]],[1]!Table1[[Test code]:[Test code]],[1]!Table1[Ionic resistance 10 mM KOH/Ohm cm2],"",0)</f>
        <v>#REF!</v>
      </c>
      <c r="AI1857" s="69" t="e" cm="1">
        <f t="array" ref="AI1857">_xlfn.XLOOKUP(Table1[[#This Row],[5 cm2 cell test code]:[5 cm2 cell test code]],[1]!Table1[[Test code]:[Test code]],[1]!Table1[Q_int_frac DIW 10 mM KOH],"",0)</f>
        <v>#REF!</v>
      </c>
      <c r="AJ1857" s="69" t="e" cm="1">
        <f t="array" ref="AJ1857">_xlfn.XLOOKUP(Table1[[#This Row],[5 cm2 cell test code]:[5 cm2 cell test code]],[1]!Table1[[Test code]:[Test code]],[1]!Table1[DIW conductivity (µS/cm)],"",0)</f>
        <v>#REF!</v>
      </c>
    </row>
    <row r="1858" spans="1:36">
      <c r="A1858" s="81"/>
      <c r="U1858" s="101"/>
      <c r="V1858" s="101"/>
      <c r="W1858" s="69" t="e" cm="1">
        <f t="array" ref="W1858">_xlfn.XLOOKUP(Table1[[#This Row],[5 cm2 cell test code]:[5 cm2 cell test code]],[1]!Table1[[Test code]:[Test code]],[1]!Table1[i @ 1.8 V DIW (A/cm2)],"",0)</f>
        <v>#REF!</v>
      </c>
      <c r="X1858" s="69" t="e" cm="1">
        <f t="array" ref="X1858">_xlfn.XLOOKUP(Table1[[#This Row],[5 cm2 cell test code]:[5 cm2 cell test code]],[1]!Table1[[Test code]:[Test code]],[1]!Table1[i @ 1.8 V 10 mM KOH (A/cm2)],"",0)</f>
        <v>#REF!</v>
      </c>
      <c r="Y1858" s="69" t="e" cm="1">
        <f t="array" ref="Y1858">_xlfn.XLOOKUP(Table1[[#This Row],[5 cm2 cell test code]:[5 cm2 cell test code]],[1]!Table1[[Test code]:[Test code]],[1]!Table1[3-E ƞ at 20mAcm-2 (mV)],"",0)</f>
        <v>#REF!</v>
      </c>
      <c r="Z1858" s="69" t="e" cm="1">
        <f t="array" ref="Z1858">_xlfn.XLOOKUP(Table1[[#This Row],[5 cm2 cell test code]:[5 cm2 cell test code]],[1]!Table1[[Test code]:[Test code]],[1]!Table1[3-E Tafel slope (mV/dec)],"",0)</f>
        <v>#REF!</v>
      </c>
      <c r="AA1858" s="69" t="e" cm="1">
        <f t="array" ref="AA1858">_xlfn.XLOOKUP(Table1[[#This Row],[5 cm2 cell test code]:[5 cm2 cell test code]],[1]!Table1[[Test code]:[Test code]],[1]!Table1[E @ 100 mA/cm2 DIW/V],"",0)</f>
        <v>#REF!</v>
      </c>
      <c r="AB1858" s="69" t="e" cm="1">
        <f t="array" ref="AB1858">_xlfn.XLOOKUP(Table1[[#This Row],[5 cm2 cell test code]:[5 cm2 cell test code]],[1]!Table1[[Test code]:[Test code]],[1]!Table1[E @ 100 mA/cm2 10 mM KOH/V],"",0)</f>
        <v>#REF!</v>
      </c>
      <c r="AC1858" s="69" t="e" cm="1">
        <f t="array" ref="AC1858">_xlfn.XLOOKUP(Table1[[#This Row],[5 cm2 cell test code]:[5 cm2 cell test code]],[1]!Table1[[Test code]:[Test code]],[1]!Table1[Anode ICR/mOhm],"",0)</f>
        <v>#REF!</v>
      </c>
      <c r="AD1858" s="69" t="e" cm="1">
        <f t="array" ref="AD1858">_xlfn.XLOOKUP(Table1[[#This Row],[5 cm2 cell test code]:[5 cm2 cell test code]],[1]!Table1[[Test code]:[Test code]],[1]!Table1[HFR DIW/ mOhm cm2],"",0)</f>
        <v>#REF!</v>
      </c>
      <c r="AE1858" s="69" t="e" cm="1">
        <f t="array" ref="AE1858">_xlfn.XLOOKUP(Table1[[#This Row],[5 cm2 cell test code]:[5 cm2 cell test code]],[1]!Table1[[Test code]:[Test code]],[1]!Table1[HFR 10 mM KOH/ mOhm cm2],"",0)</f>
        <v>#REF!</v>
      </c>
      <c r="AF1858" s="69" t="e" cm="1">
        <f t="array" ref="AF1858">_xlfn.XLOOKUP(Table1[[#This Row],[5 cm2 cell test code]:[5 cm2 cell test code]],[1]!Table1[[Test code]:[Test code]],[1]!Table1[Ionic resistance DIW/Ohm cm2],"",0)</f>
        <v>#REF!</v>
      </c>
      <c r="AG1858" s="69" t="e" cm="1">
        <f t="array" ref="AG1858">_xlfn.XLOOKUP(Table1[[#This Row],[5 cm2 cell test code]:[5 cm2 cell test code]],[1]!Table1[[Test code]:[Test code]],[1]!Table1[Q_int_frac DIW],"",0)</f>
        <v>#REF!</v>
      </c>
      <c r="AH1858" s="69" t="e" cm="1">
        <f t="array" ref="AH1858">_xlfn.XLOOKUP(Table1[[#This Row],[5 cm2 cell test code]:[5 cm2 cell test code]],[1]!Table1[[Test code]:[Test code]],[1]!Table1[Ionic resistance 10 mM KOH/Ohm cm2],"",0)</f>
        <v>#REF!</v>
      </c>
      <c r="AI1858" s="69" t="e" cm="1">
        <f t="array" ref="AI1858">_xlfn.XLOOKUP(Table1[[#This Row],[5 cm2 cell test code]:[5 cm2 cell test code]],[1]!Table1[[Test code]:[Test code]],[1]!Table1[Q_int_frac DIW 10 mM KOH],"",0)</f>
        <v>#REF!</v>
      </c>
      <c r="AJ1858" s="69" t="e" cm="1">
        <f t="array" ref="AJ1858">_xlfn.XLOOKUP(Table1[[#This Row],[5 cm2 cell test code]:[5 cm2 cell test code]],[1]!Table1[[Test code]:[Test code]],[1]!Table1[DIW conductivity (µS/cm)],"",0)</f>
        <v>#REF!</v>
      </c>
    </row>
    <row r="1859" spans="1:36">
      <c r="A1859" s="81"/>
      <c r="U1859" s="101"/>
      <c r="V1859" s="101"/>
      <c r="W1859" s="69" t="e" cm="1">
        <f t="array" ref="W1859">_xlfn.XLOOKUP(Table1[[#This Row],[5 cm2 cell test code]:[5 cm2 cell test code]],[1]!Table1[[Test code]:[Test code]],[1]!Table1[i @ 1.8 V DIW (A/cm2)],"",0)</f>
        <v>#REF!</v>
      </c>
      <c r="X1859" s="69" t="e" cm="1">
        <f t="array" ref="X1859">_xlfn.XLOOKUP(Table1[[#This Row],[5 cm2 cell test code]:[5 cm2 cell test code]],[1]!Table1[[Test code]:[Test code]],[1]!Table1[i @ 1.8 V 10 mM KOH (A/cm2)],"",0)</f>
        <v>#REF!</v>
      </c>
      <c r="Y1859" s="69" t="e" cm="1">
        <f t="array" ref="Y1859">_xlfn.XLOOKUP(Table1[[#This Row],[5 cm2 cell test code]:[5 cm2 cell test code]],[1]!Table1[[Test code]:[Test code]],[1]!Table1[3-E ƞ at 20mAcm-2 (mV)],"",0)</f>
        <v>#REF!</v>
      </c>
      <c r="Z1859" s="69" t="e" cm="1">
        <f t="array" ref="Z1859">_xlfn.XLOOKUP(Table1[[#This Row],[5 cm2 cell test code]:[5 cm2 cell test code]],[1]!Table1[[Test code]:[Test code]],[1]!Table1[3-E Tafel slope (mV/dec)],"",0)</f>
        <v>#REF!</v>
      </c>
      <c r="AA1859" s="69" t="e" cm="1">
        <f t="array" ref="AA1859">_xlfn.XLOOKUP(Table1[[#This Row],[5 cm2 cell test code]:[5 cm2 cell test code]],[1]!Table1[[Test code]:[Test code]],[1]!Table1[E @ 100 mA/cm2 DIW/V],"",0)</f>
        <v>#REF!</v>
      </c>
      <c r="AB1859" s="69" t="e" cm="1">
        <f t="array" ref="AB1859">_xlfn.XLOOKUP(Table1[[#This Row],[5 cm2 cell test code]:[5 cm2 cell test code]],[1]!Table1[[Test code]:[Test code]],[1]!Table1[E @ 100 mA/cm2 10 mM KOH/V],"",0)</f>
        <v>#REF!</v>
      </c>
      <c r="AC1859" s="69" t="e" cm="1">
        <f t="array" ref="AC1859">_xlfn.XLOOKUP(Table1[[#This Row],[5 cm2 cell test code]:[5 cm2 cell test code]],[1]!Table1[[Test code]:[Test code]],[1]!Table1[Anode ICR/mOhm],"",0)</f>
        <v>#REF!</v>
      </c>
      <c r="AD1859" s="69" t="e" cm="1">
        <f t="array" ref="AD1859">_xlfn.XLOOKUP(Table1[[#This Row],[5 cm2 cell test code]:[5 cm2 cell test code]],[1]!Table1[[Test code]:[Test code]],[1]!Table1[HFR DIW/ mOhm cm2],"",0)</f>
        <v>#REF!</v>
      </c>
      <c r="AE1859" s="69" t="e" cm="1">
        <f t="array" ref="AE1859">_xlfn.XLOOKUP(Table1[[#This Row],[5 cm2 cell test code]:[5 cm2 cell test code]],[1]!Table1[[Test code]:[Test code]],[1]!Table1[HFR 10 mM KOH/ mOhm cm2],"",0)</f>
        <v>#REF!</v>
      </c>
      <c r="AF1859" s="69" t="e" cm="1">
        <f t="array" ref="AF1859">_xlfn.XLOOKUP(Table1[[#This Row],[5 cm2 cell test code]:[5 cm2 cell test code]],[1]!Table1[[Test code]:[Test code]],[1]!Table1[Ionic resistance DIW/Ohm cm2],"",0)</f>
        <v>#REF!</v>
      </c>
      <c r="AG1859" s="69" t="e" cm="1">
        <f t="array" ref="AG1859">_xlfn.XLOOKUP(Table1[[#This Row],[5 cm2 cell test code]:[5 cm2 cell test code]],[1]!Table1[[Test code]:[Test code]],[1]!Table1[Q_int_frac DIW],"",0)</f>
        <v>#REF!</v>
      </c>
      <c r="AH1859" s="69" t="e" cm="1">
        <f t="array" ref="AH1859">_xlfn.XLOOKUP(Table1[[#This Row],[5 cm2 cell test code]:[5 cm2 cell test code]],[1]!Table1[[Test code]:[Test code]],[1]!Table1[Ionic resistance 10 mM KOH/Ohm cm2],"",0)</f>
        <v>#REF!</v>
      </c>
      <c r="AI1859" s="69" t="e" cm="1">
        <f t="array" ref="AI1859">_xlfn.XLOOKUP(Table1[[#This Row],[5 cm2 cell test code]:[5 cm2 cell test code]],[1]!Table1[[Test code]:[Test code]],[1]!Table1[Q_int_frac DIW 10 mM KOH],"",0)</f>
        <v>#REF!</v>
      </c>
      <c r="AJ1859" s="69" t="e" cm="1">
        <f t="array" ref="AJ1859">_xlfn.XLOOKUP(Table1[[#This Row],[5 cm2 cell test code]:[5 cm2 cell test code]],[1]!Table1[[Test code]:[Test code]],[1]!Table1[DIW conductivity (µS/cm)],"",0)</f>
        <v>#REF!</v>
      </c>
    </row>
    <row r="1860" spans="1:36">
      <c r="A1860" s="81"/>
      <c r="U1860" s="101"/>
      <c r="V1860" s="101"/>
      <c r="W1860" s="69" t="e" cm="1">
        <f t="array" ref="W1860">_xlfn.XLOOKUP(Table1[[#This Row],[5 cm2 cell test code]:[5 cm2 cell test code]],[1]!Table1[[Test code]:[Test code]],[1]!Table1[i @ 1.8 V DIW (A/cm2)],"",0)</f>
        <v>#REF!</v>
      </c>
      <c r="X1860" s="69" t="e" cm="1">
        <f t="array" ref="X1860">_xlfn.XLOOKUP(Table1[[#This Row],[5 cm2 cell test code]:[5 cm2 cell test code]],[1]!Table1[[Test code]:[Test code]],[1]!Table1[i @ 1.8 V 10 mM KOH (A/cm2)],"",0)</f>
        <v>#REF!</v>
      </c>
      <c r="Y1860" s="69" t="e" cm="1">
        <f t="array" ref="Y1860">_xlfn.XLOOKUP(Table1[[#This Row],[5 cm2 cell test code]:[5 cm2 cell test code]],[1]!Table1[[Test code]:[Test code]],[1]!Table1[3-E ƞ at 20mAcm-2 (mV)],"",0)</f>
        <v>#REF!</v>
      </c>
      <c r="Z1860" s="69" t="e" cm="1">
        <f t="array" ref="Z1860">_xlfn.XLOOKUP(Table1[[#This Row],[5 cm2 cell test code]:[5 cm2 cell test code]],[1]!Table1[[Test code]:[Test code]],[1]!Table1[3-E Tafel slope (mV/dec)],"",0)</f>
        <v>#REF!</v>
      </c>
      <c r="AA1860" s="69" t="e" cm="1">
        <f t="array" ref="AA1860">_xlfn.XLOOKUP(Table1[[#This Row],[5 cm2 cell test code]:[5 cm2 cell test code]],[1]!Table1[[Test code]:[Test code]],[1]!Table1[E @ 100 mA/cm2 DIW/V],"",0)</f>
        <v>#REF!</v>
      </c>
      <c r="AB1860" s="69" t="e" cm="1">
        <f t="array" ref="AB1860">_xlfn.XLOOKUP(Table1[[#This Row],[5 cm2 cell test code]:[5 cm2 cell test code]],[1]!Table1[[Test code]:[Test code]],[1]!Table1[E @ 100 mA/cm2 10 mM KOH/V],"",0)</f>
        <v>#REF!</v>
      </c>
      <c r="AC1860" s="69" t="e" cm="1">
        <f t="array" ref="AC1860">_xlfn.XLOOKUP(Table1[[#This Row],[5 cm2 cell test code]:[5 cm2 cell test code]],[1]!Table1[[Test code]:[Test code]],[1]!Table1[Anode ICR/mOhm],"",0)</f>
        <v>#REF!</v>
      </c>
      <c r="AD1860" s="69" t="e" cm="1">
        <f t="array" ref="AD1860">_xlfn.XLOOKUP(Table1[[#This Row],[5 cm2 cell test code]:[5 cm2 cell test code]],[1]!Table1[[Test code]:[Test code]],[1]!Table1[HFR DIW/ mOhm cm2],"",0)</f>
        <v>#REF!</v>
      </c>
      <c r="AE1860" s="69" t="e" cm="1">
        <f t="array" ref="AE1860">_xlfn.XLOOKUP(Table1[[#This Row],[5 cm2 cell test code]:[5 cm2 cell test code]],[1]!Table1[[Test code]:[Test code]],[1]!Table1[HFR 10 mM KOH/ mOhm cm2],"",0)</f>
        <v>#REF!</v>
      </c>
      <c r="AF1860" s="69" t="e" cm="1">
        <f t="array" ref="AF1860">_xlfn.XLOOKUP(Table1[[#This Row],[5 cm2 cell test code]:[5 cm2 cell test code]],[1]!Table1[[Test code]:[Test code]],[1]!Table1[Ionic resistance DIW/Ohm cm2],"",0)</f>
        <v>#REF!</v>
      </c>
      <c r="AG1860" s="69" t="e" cm="1">
        <f t="array" ref="AG1860">_xlfn.XLOOKUP(Table1[[#This Row],[5 cm2 cell test code]:[5 cm2 cell test code]],[1]!Table1[[Test code]:[Test code]],[1]!Table1[Q_int_frac DIW],"",0)</f>
        <v>#REF!</v>
      </c>
      <c r="AH1860" s="69" t="e" cm="1">
        <f t="array" ref="AH1860">_xlfn.XLOOKUP(Table1[[#This Row],[5 cm2 cell test code]:[5 cm2 cell test code]],[1]!Table1[[Test code]:[Test code]],[1]!Table1[Ionic resistance 10 mM KOH/Ohm cm2],"",0)</f>
        <v>#REF!</v>
      </c>
      <c r="AI1860" s="69" t="e" cm="1">
        <f t="array" ref="AI1860">_xlfn.XLOOKUP(Table1[[#This Row],[5 cm2 cell test code]:[5 cm2 cell test code]],[1]!Table1[[Test code]:[Test code]],[1]!Table1[Q_int_frac DIW 10 mM KOH],"",0)</f>
        <v>#REF!</v>
      </c>
      <c r="AJ1860" s="69" t="e" cm="1">
        <f t="array" ref="AJ1860">_xlfn.XLOOKUP(Table1[[#This Row],[5 cm2 cell test code]:[5 cm2 cell test code]],[1]!Table1[[Test code]:[Test code]],[1]!Table1[DIW conductivity (µS/cm)],"",0)</f>
        <v>#REF!</v>
      </c>
    </row>
    <row r="1861" spans="1:36">
      <c r="A1861" s="81"/>
      <c r="U1861" s="101"/>
      <c r="V1861" s="101"/>
      <c r="W1861" s="69" t="e" cm="1">
        <f t="array" ref="W1861">_xlfn.XLOOKUP(Table1[[#This Row],[5 cm2 cell test code]:[5 cm2 cell test code]],[1]!Table1[[Test code]:[Test code]],[1]!Table1[i @ 1.8 V DIW (A/cm2)],"",0)</f>
        <v>#REF!</v>
      </c>
      <c r="X1861" s="69" t="e" cm="1">
        <f t="array" ref="X1861">_xlfn.XLOOKUP(Table1[[#This Row],[5 cm2 cell test code]:[5 cm2 cell test code]],[1]!Table1[[Test code]:[Test code]],[1]!Table1[i @ 1.8 V 10 mM KOH (A/cm2)],"",0)</f>
        <v>#REF!</v>
      </c>
      <c r="Y1861" s="69" t="e" cm="1">
        <f t="array" ref="Y1861">_xlfn.XLOOKUP(Table1[[#This Row],[5 cm2 cell test code]:[5 cm2 cell test code]],[1]!Table1[[Test code]:[Test code]],[1]!Table1[3-E ƞ at 20mAcm-2 (mV)],"",0)</f>
        <v>#REF!</v>
      </c>
      <c r="Z1861" s="69" t="e" cm="1">
        <f t="array" ref="Z1861">_xlfn.XLOOKUP(Table1[[#This Row],[5 cm2 cell test code]:[5 cm2 cell test code]],[1]!Table1[[Test code]:[Test code]],[1]!Table1[3-E Tafel slope (mV/dec)],"",0)</f>
        <v>#REF!</v>
      </c>
      <c r="AA1861" s="69" t="e" cm="1">
        <f t="array" ref="AA1861">_xlfn.XLOOKUP(Table1[[#This Row],[5 cm2 cell test code]:[5 cm2 cell test code]],[1]!Table1[[Test code]:[Test code]],[1]!Table1[E @ 100 mA/cm2 DIW/V],"",0)</f>
        <v>#REF!</v>
      </c>
      <c r="AB1861" s="69" t="e" cm="1">
        <f t="array" ref="AB1861">_xlfn.XLOOKUP(Table1[[#This Row],[5 cm2 cell test code]:[5 cm2 cell test code]],[1]!Table1[[Test code]:[Test code]],[1]!Table1[E @ 100 mA/cm2 10 mM KOH/V],"",0)</f>
        <v>#REF!</v>
      </c>
      <c r="AC1861" s="69" t="e" cm="1">
        <f t="array" ref="AC1861">_xlfn.XLOOKUP(Table1[[#This Row],[5 cm2 cell test code]:[5 cm2 cell test code]],[1]!Table1[[Test code]:[Test code]],[1]!Table1[Anode ICR/mOhm],"",0)</f>
        <v>#REF!</v>
      </c>
      <c r="AD1861" s="69" t="e" cm="1">
        <f t="array" ref="AD1861">_xlfn.XLOOKUP(Table1[[#This Row],[5 cm2 cell test code]:[5 cm2 cell test code]],[1]!Table1[[Test code]:[Test code]],[1]!Table1[HFR DIW/ mOhm cm2],"",0)</f>
        <v>#REF!</v>
      </c>
      <c r="AE1861" s="69" t="e" cm="1">
        <f t="array" ref="AE1861">_xlfn.XLOOKUP(Table1[[#This Row],[5 cm2 cell test code]:[5 cm2 cell test code]],[1]!Table1[[Test code]:[Test code]],[1]!Table1[HFR 10 mM KOH/ mOhm cm2],"",0)</f>
        <v>#REF!</v>
      </c>
      <c r="AF1861" s="69" t="e" cm="1">
        <f t="array" ref="AF1861">_xlfn.XLOOKUP(Table1[[#This Row],[5 cm2 cell test code]:[5 cm2 cell test code]],[1]!Table1[[Test code]:[Test code]],[1]!Table1[Ionic resistance DIW/Ohm cm2],"",0)</f>
        <v>#REF!</v>
      </c>
      <c r="AG1861" s="69" t="e" cm="1">
        <f t="array" ref="AG1861">_xlfn.XLOOKUP(Table1[[#This Row],[5 cm2 cell test code]:[5 cm2 cell test code]],[1]!Table1[[Test code]:[Test code]],[1]!Table1[Q_int_frac DIW],"",0)</f>
        <v>#REF!</v>
      </c>
      <c r="AH1861" s="69" t="e" cm="1">
        <f t="array" ref="AH1861">_xlfn.XLOOKUP(Table1[[#This Row],[5 cm2 cell test code]:[5 cm2 cell test code]],[1]!Table1[[Test code]:[Test code]],[1]!Table1[Ionic resistance 10 mM KOH/Ohm cm2],"",0)</f>
        <v>#REF!</v>
      </c>
      <c r="AI1861" s="69" t="e" cm="1">
        <f t="array" ref="AI1861">_xlfn.XLOOKUP(Table1[[#This Row],[5 cm2 cell test code]:[5 cm2 cell test code]],[1]!Table1[[Test code]:[Test code]],[1]!Table1[Q_int_frac DIW 10 mM KOH],"",0)</f>
        <v>#REF!</v>
      </c>
      <c r="AJ1861" s="69" t="e" cm="1">
        <f t="array" ref="AJ1861">_xlfn.XLOOKUP(Table1[[#This Row],[5 cm2 cell test code]:[5 cm2 cell test code]],[1]!Table1[[Test code]:[Test code]],[1]!Table1[DIW conductivity (µS/cm)],"",0)</f>
        <v>#REF!</v>
      </c>
    </row>
    <row r="1862" spans="1:36">
      <c r="A1862" s="81"/>
      <c r="U1862" s="101"/>
      <c r="V1862" s="101"/>
      <c r="W1862" s="69" t="e" cm="1">
        <f t="array" ref="W1862">_xlfn.XLOOKUP(Table1[[#This Row],[5 cm2 cell test code]:[5 cm2 cell test code]],[1]!Table1[[Test code]:[Test code]],[1]!Table1[i @ 1.8 V DIW (A/cm2)],"",0)</f>
        <v>#REF!</v>
      </c>
      <c r="X1862" s="69" t="e" cm="1">
        <f t="array" ref="X1862">_xlfn.XLOOKUP(Table1[[#This Row],[5 cm2 cell test code]:[5 cm2 cell test code]],[1]!Table1[[Test code]:[Test code]],[1]!Table1[i @ 1.8 V 10 mM KOH (A/cm2)],"",0)</f>
        <v>#REF!</v>
      </c>
      <c r="Y1862" s="69" t="e" cm="1">
        <f t="array" ref="Y1862">_xlfn.XLOOKUP(Table1[[#This Row],[5 cm2 cell test code]:[5 cm2 cell test code]],[1]!Table1[[Test code]:[Test code]],[1]!Table1[3-E ƞ at 20mAcm-2 (mV)],"",0)</f>
        <v>#REF!</v>
      </c>
      <c r="Z1862" s="69" t="e" cm="1">
        <f t="array" ref="Z1862">_xlfn.XLOOKUP(Table1[[#This Row],[5 cm2 cell test code]:[5 cm2 cell test code]],[1]!Table1[[Test code]:[Test code]],[1]!Table1[3-E Tafel slope (mV/dec)],"",0)</f>
        <v>#REF!</v>
      </c>
      <c r="AA1862" s="69" t="e" cm="1">
        <f t="array" ref="AA1862">_xlfn.XLOOKUP(Table1[[#This Row],[5 cm2 cell test code]:[5 cm2 cell test code]],[1]!Table1[[Test code]:[Test code]],[1]!Table1[E @ 100 mA/cm2 DIW/V],"",0)</f>
        <v>#REF!</v>
      </c>
      <c r="AB1862" s="69" t="e" cm="1">
        <f t="array" ref="AB1862">_xlfn.XLOOKUP(Table1[[#This Row],[5 cm2 cell test code]:[5 cm2 cell test code]],[1]!Table1[[Test code]:[Test code]],[1]!Table1[E @ 100 mA/cm2 10 mM KOH/V],"",0)</f>
        <v>#REF!</v>
      </c>
      <c r="AC1862" s="69" t="e" cm="1">
        <f t="array" ref="AC1862">_xlfn.XLOOKUP(Table1[[#This Row],[5 cm2 cell test code]:[5 cm2 cell test code]],[1]!Table1[[Test code]:[Test code]],[1]!Table1[Anode ICR/mOhm],"",0)</f>
        <v>#REF!</v>
      </c>
      <c r="AD1862" s="69" t="e" cm="1">
        <f t="array" ref="AD1862">_xlfn.XLOOKUP(Table1[[#This Row],[5 cm2 cell test code]:[5 cm2 cell test code]],[1]!Table1[[Test code]:[Test code]],[1]!Table1[HFR DIW/ mOhm cm2],"",0)</f>
        <v>#REF!</v>
      </c>
      <c r="AE1862" s="69" t="e" cm="1">
        <f t="array" ref="AE1862">_xlfn.XLOOKUP(Table1[[#This Row],[5 cm2 cell test code]:[5 cm2 cell test code]],[1]!Table1[[Test code]:[Test code]],[1]!Table1[HFR 10 mM KOH/ mOhm cm2],"",0)</f>
        <v>#REF!</v>
      </c>
      <c r="AF1862" s="69" t="e" cm="1">
        <f t="array" ref="AF1862">_xlfn.XLOOKUP(Table1[[#This Row],[5 cm2 cell test code]:[5 cm2 cell test code]],[1]!Table1[[Test code]:[Test code]],[1]!Table1[Ionic resistance DIW/Ohm cm2],"",0)</f>
        <v>#REF!</v>
      </c>
      <c r="AG1862" s="69" t="e" cm="1">
        <f t="array" ref="AG1862">_xlfn.XLOOKUP(Table1[[#This Row],[5 cm2 cell test code]:[5 cm2 cell test code]],[1]!Table1[[Test code]:[Test code]],[1]!Table1[Q_int_frac DIW],"",0)</f>
        <v>#REF!</v>
      </c>
      <c r="AH1862" s="69" t="e" cm="1">
        <f t="array" ref="AH1862">_xlfn.XLOOKUP(Table1[[#This Row],[5 cm2 cell test code]:[5 cm2 cell test code]],[1]!Table1[[Test code]:[Test code]],[1]!Table1[Ionic resistance 10 mM KOH/Ohm cm2],"",0)</f>
        <v>#REF!</v>
      </c>
      <c r="AI1862" s="69" t="e" cm="1">
        <f t="array" ref="AI1862">_xlfn.XLOOKUP(Table1[[#This Row],[5 cm2 cell test code]:[5 cm2 cell test code]],[1]!Table1[[Test code]:[Test code]],[1]!Table1[Q_int_frac DIW 10 mM KOH],"",0)</f>
        <v>#REF!</v>
      </c>
      <c r="AJ1862" s="69" t="e" cm="1">
        <f t="array" ref="AJ1862">_xlfn.XLOOKUP(Table1[[#This Row],[5 cm2 cell test code]:[5 cm2 cell test code]],[1]!Table1[[Test code]:[Test code]],[1]!Table1[DIW conductivity (µS/cm)],"",0)</f>
        <v>#REF!</v>
      </c>
    </row>
    <row r="1863" spans="1:36">
      <c r="A1863" s="81"/>
      <c r="U1863" s="101"/>
      <c r="V1863" s="101"/>
      <c r="W1863" s="69" t="e" cm="1">
        <f t="array" ref="W1863">_xlfn.XLOOKUP(Table1[[#This Row],[5 cm2 cell test code]:[5 cm2 cell test code]],[1]!Table1[[Test code]:[Test code]],[1]!Table1[i @ 1.8 V DIW (A/cm2)],"",0)</f>
        <v>#REF!</v>
      </c>
      <c r="X1863" s="69" t="e" cm="1">
        <f t="array" ref="X1863">_xlfn.XLOOKUP(Table1[[#This Row],[5 cm2 cell test code]:[5 cm2 cell test code]],[1]!Table1[[Test code]:[Test code]],[1]!Table1[i @ 1.8 V 10 mM KOH (A/cm2)],"",0)</f>
        <v>#REF!</v>
      </c>
      <c r="Y1863" s="69" t="e" cm="1">
        <f t="array" ref="Y1863">_xlfn.XLOOKUP(Table1[[#This Row],[5 cm2 cell test code]:[5 cm2 cell test code]],[1]!Table1[[Test code]:[Test code]],[1]!Table1[3-E ƞ at 20mAcm-2 (mV)],"",0)</f>
        <v>#REF!</v>
      </c>
      <c r="Z1863" s="69" t="e" cm="1">
        <f t="array" ref="Z1863">_xlfn.XLOOKUP(Table1[[#This Row],[5 cm2 cell test code]:[5 cm2 cell test code]],[1]!Table1[[Test code]:[Test code]],[1]!Table1[3-E Tafel slope (mV/dec)],"",0)</f>
        <v>#REF!</v>
      </c>
      <c r="AA1863" s="69" t="e" cm="1">
        <f t="array" ref="AA1863">_xlfn.XLOOKUP(Table1[[#This Row],[5 cm2 cell test code]:[5 cm2 cell test code]],[1]!Table1[[Test code]:[Test code]],[1]!Table1[E @ 100 mA/cm2 DIW/V],"",0)</f>
        <v>#REF!</v>
      </c>
      <c r="AB1863" s="69" t="e" cm="1">
        <f t="array" ref="AB1863">_xlfn.XLOOKUP(Table1[[#This Row],[5 cm2 cell test code]:[5 cm2 cell test code]],[1]!Table1[[Test code]:[Test code]],[1]!Table1[E @ 100 mA/cm2 10 mM KOH/V],"",0)</f>
        <v>#REF!</v>
      </c>
      <c r="AC1863" s="69" t="e" cm="1">
        <f t="array" ref="AC1863">_xlfn.XLOOKUP(Table1[[#This Row],[5 cm2 cell test code]:[5 cm2 cell test code]],[1]!Table1[[Test code]:[Test code]],[1]!Table1[Anode ICR/mOhm],"",0)</f>
        <v>#REF!</v>
      </c>
      <c r="AD1863" s="69" t="e" cm="1">
        <f t="array" ref="AD1863">_xlfn.XLOOKUP(Table1[[#This Row],[5 cm2 cell test code]:[5 cm2 cell test code]],[1]!Table1[[Test code]:[Test code]],[1]!Table1[HFR DIW/ mOhm cm2],"",0)</f>
        <v>#REF!</v>
      </c>
      <c r="AE1863" s="69" t="e" cm="1">
        <f t="array" ref="AE1863">_xlfn.XLOOKUP(Table1[[#This Row],[5 cm2 cell test code]:[5 cm2 cell test code]],[1]!Table1[[Test code]:[Test code]],[1]!Table1[HFR 10 mM KOH/ mOhm cm2],"",0)</f>
        <v>#REF!</v>
      </c>
      <c r="AF1863" s="69" t="e" cm="1">
        <f t="array" ref="AF1863">_xlfn.XLOOKUP(Table1[[#This Row],[5 cm2 cell test code]:[5 cm2 cell test code]],[1]!Table1[[Test code]:[Test code]],[1]!Table1[Ionic resistance DIW/Ohm cm2],"",0)</f>
        <v>#REF!</v>
      </c>
      <c r="AG1863" s="69" t="e" cm="1">
        <f t="array" ref="AG1863">_xlfn.XLOOKUP(Table1[[#This Row],[5 cm2 cell test code]:[5 cm2 cell test code]],[1]!Table1[[Test code]:[Test code]],[1]!Table1[Q_int_frac DIW],"",0)</f>
        <v>#REF!</v>
      </c>
      <c r="AH1863" s="69" t="e" cm="1">
        <f t="array" ref="AH1863">_xlfn.XLOOKUP(Table1[[#This Row],[5 cm2 cell test code]:[5 cm2 cell test code]],[1]!Table1[[Test code]:[Test code]],[1]!Table1[Ionic resistance 10 mM KOH/Ohm cm2],"",0)</f>
        <v>#REF!</v>
      </c>
      <c r="AI1863" s="69" t="e" cm="1">
        <f t="array" ref="AI1863">_xlfn.XLOOKUP(Table1[[#This Row],[5 cm2 cell test code]:[5 cm2 cell test code]],[1]!Table1[[Test code]:[Test code]],[1]!Table1[Q_int_frac DIW 10 mM KOH],"",0)</f>
        <v>#REF!</v>
      </c>
      <c r="AJ1863" s="69" t="e" cm="1">
        <f t="array" ref="AJ1863">_xlfn.XLOOKUP(Table1[[#This Row],[5 cm2 cell test code]:[5 cm2 cell test code]],[1]!Table1[[Test code]:[Test code]],[1]!Table1[DIW conductivity (µS/cm)],"",0)</f>
        <v>#REF!</v>
      </c>
    </row>
    <row r="1864" spans="1:36">
      <c r="A1864" s="81"/>
      <c r="U1864" s="101"/>
      <c r="V1864" s="101"/>
      <c r="W1864" s="69" t="e" cm="1">
        <f t="array" ref="W1864">_xlfn.XLOOKUP(Table1[[#This Row],[5 cm2 cell test code]:[5 cm2 cell test code]],[1]!Table1[[Test code]:[Test code]],[1]!Table1[i @ 1.8 V DIW (A/cm2)],"",0)</f>
        <v>#REF!</v>
      </c>
      <c r="X1864" s="69" t="e" cm="1">
        <f t="array" ref="X1864">_xlfn.XLOOKUP(Table1[[#This Row],[5 cm2 cell test code]:[5 cm2 cell test code]],[1]!Table1[[Test code]:[Test code]],[1]!Table1[i @ 1.8 V 10 mM KOH (A/cm2)],"",0)</f>
        <v>#REF!</v>
      </c>
      <c r="Y1864" s="69" t="e" cm="1">
        <f t="array" ref="Y1864">_xlfn.XLOOKUP(Table1[[#This Row],[5 cm2 cell test code]:[5 cm2 cell test code]],[1]!Table1[[Test code]:[Test code]],[1]!Table1[3-E ƞ at 20mAcm-2 (mV)],"",0)</f>
        <v>#REF!</v>
      </c>
      <c r="Z1864" s="69" t="e" cm="1">
        <f t="array" ref="Z1864">_xlfn.XLOOKUP(Table1[[#This Row],[5 cm2 cell test code]:[5 cm2 cell test code]],[1]!Table1[[Test code]:[Test code]],[1]!Table1[3-E Tafel slope (mV/dec)],"",0)</f>
        <v>#REF!</v>
      </c>
      <c r="AA1864" s="69" t="e" cm="1">
        <f t="array" ref="AA1864">_xlfn.XLOOKUP(Table1[[#This Row],[5 cm2 cell test code]:[5 cm2 cell test code]],[1]!Table1[[Test code]:[Test code]],[1]!Table1[E @ 100 mA/cm2 DIW/V],"",0)</f>
        <v>#REF!</v>
      </c>
      <c r="AB1864" s="69" t="e" cm="1">
        <f t="array" ref="AB1864">_xlfn.XLOOKUP(Table1[[#This Row],[5 cm2 cell test code]:[5 cm2 cell test code]],[1]!Table1[[Test code]:[Test code]],[1]!Table1[E @ 100 mA/cm2 10 mM KOH/V],"",0)</f>
        <v>#REF!</v>
      </c>
      <c r="AC1864" s="69" t="e" cm="1">
        <f t="array" ref="AC1864">_xlfn.XLOOKUP(Table1[[#This Row],[5 cm2 cell test code]:[5 cm2 cell test code]],[1]!Table1[[Test code]:[Test code]],[1]!Table1[Anode ICR/mOhm],"",0)</f>
        <v>#REF!</v>
      </c>
      <c r="AD1864" s="69" t="e" cm="1">
        <f t="array" ref="AD1864">_xlfn.XLOOKUP(Table1[[#This Row],[5 cm2 cell test code]:[5 cm2 cell test code]],[1]!Table1[[Test code]:[Test code]],[1]!Table1[HFR DIW/ mOhm cm2],"",0)</f>
        <v>#REF!</v>
      </c>
      <c r="AE1864" s="69" t="e" cm="1">
        <f t="array" ref="AE1864">_xlfn.XLOOKUP(Table1[[#This Row],[5 cm2 cell test code]:[5 cm2 cell test code]],[1]!Table1[[Test code]:[Test code]],[1]!Table1[HFR 10 mM KOH/ mOhm cm2],"",0)</f>
        <v>#REF!</v>
      </c>
      <c r="AF1864" s="69" t="e" cm="1">
        <f t="array" ref="AF1864">_xlfn.XLOOKUP(Table1[[#This Row],[5 cm2 cell test code]:[5 cm2 cell test code]],[1]!Table1[[Test code]:[Test code]],[1]!Table1[Ionic resistance DIW/Ohm cm2],"",0)</f>
        <v>#REF!</v>
      </c>
      <c r="AG1864" s="69" t="e" cm="1">
        <f t="array" ref="AG1864">_xlfn.XLOOKUP(Table1[[#This Row],[5 cm2 cell test code]:[5 cm2 cell test code]],[1]!Table1[[Test code]:[Test code]],[1]!Table1[Q_int_frac DIW],"",0)</f>
        <v>#REF!</v>
      </c>
      <c r="AH1864" s="69" t="e" cm="1">
        <f t="array" ref="AH1864">_xlfn.XLOOKUP(Table1[[#This Row],[5 cm2 cell test code]:[5 cm2 cell test code]],[1]!Table1[[Test code]:[Test code]],[1]!Table1[Ionic resistance 10 mM KOH/Ohm cm2],"",0)</f>
        <v>#REF!</v>
      </c>
      <c r="AI1864" s="69" t="e" cm="1">
        <f t="array" ref="AI1864">_xlfn.XLOOKUP(Table1[[#This Row],[5 cm2 cell test code]:[5 cm2 cell test code]],[1]!Table1[[Test code]:[Test code]],[1]!Table1[Q_int_frac DIW 10 mM KOH],"",0)</f>
        <v>#REF!</v>
      </c>
      <c r="AJ1864" s="69" t="e" cm="1">
        <f t="array" ref="AJ1864">_xlfn.XLOOKUP(Table1[[#This Row],[5 cm2 cell test code]:[5 cm2 cell test code]],[1]!Table1[[Test code]:[Test code]],[1]!Table1[DIW conductivity (µS/cm)],"",0)</f>
        <v>#REF!</v>
      </c>
    </row>
    <row r="1865" spans="1:36">
      <c r="A1865" s="81"/>
      <c r="U1865" s="101"/>
      <c r="V1865" s="101"/>
      <c r="W1865" s="69" t="e" cm="1">
        <f t="array" ref="W1865">_xlfn.XLOOKUP(Table1[[#This Row],[5 cm2 cell test code]:[5 cm2 cell test code]],[1]!Table1[[Test code]:[Test code]],[1]!Table1[i @ 1.8 V DIW (A/cm2)],"",0)</f>
        <v>#REF!</v>
      </c>
      <c r="X1865" s="69" t="e" cm="1">
        <f t="array" ref="X1865">_xlfn.XLOOKUP(Table1[[#This Row],[5 cm2 cell test code]:[5 cm2 cell test code]],[1]!Table1[[Test code]:[Test code]],[1]!Table1[i @ 1.8 V 10 mM KOH (A/cm2)],"",0)</f>
        <v>#REF!</v>
      </c>
      <c r="Y1865" s="69" t="e" cm="1">
        <f t="array" ref="Y1865">_xlfn.XLOOKUP(Table1[[#This Row],[5 cm2 cell test code]:[5 cm2 cell test code]],[1]!Table1[[Test code]:[Test code]],[1]!Table1[3-E ƞ at 20mAcm-2 (mV)],"",0)</f>
        <v>#REF!</v>
      </c>
      <c r="Z1865" s="69" t="e" cm="1">
        <f t="array" ref="Z1865">_xlfn.XLOOKUP(Table1[[#This Row],[5 cm2 cell test code]:[5 cm2 cell test code]],[1]!Table1[[Test code]:[Test code]],[1]!Table1[3-E Tafel slope (mV/dec)],"",0)</f>
        <v>#REF!</v>
      </c>
      <c r="AA1865" s="69" t="e" cm="1">
        <f t="array" ref="AA1865">_xlfn.XLOOKUP(Table1[[#This Row],[5 cm2 cell test code]:[5 cm2 cell test code]],[1]!Table1[[Test code]:[Test code]],[1]!Table1[E @ 100 mA/cm2 DIW/V],"",0)</f>
        <v>#REF!</v>
      </c>
      <c r="AB1865" s="69" t="e" cm="1">
        <f t="array" ref="AB1865">_xlfn.XLOOKUP(Table1[[#This Row],[5 cm2 cell test code]:[5 cm2 cell test code]],[1]!Table1[[Test code]:[Test code]],[1]!Table1[E @ 100 mA/cm2 10 mM KOH/V],"",0)</f>
        <v>#REF!</v>
      </c>
      <c r="AC1865" s="69" t="e" cm="1">
        <f t="array" ref="AC1865">_xlfn.XLOOKUP(Table1[[#This Row],[5 cm2 cell test code]:[5 cm2 cell test code]],[1]!Table1[[Test code]:[Test code]],[1]!Table1[Anode ICR/mOhm],"",0)</f>
        <v>#REF!</v>
      </c>
      <c r="AD1865" s="69" t="e" cm="1">
        <f t="array" ref="AD1865">_xlfn.XLOOKUP(Table1[[#This Row],[5 cm2 cell test code]:[5 cm2 cell test code]],[1]!Table1[[Test code]:[Test code]],[1]!Table1[HFR DIW/ mOhm cm2],"",0)</f>
        <v>#REF!</v>
      </c>
      <c r="AE1865" s="69" t="e" cm="1">
        <f t="array" ref="AE1865">_xlfn.XLOOKUP(Table1[[#This Row],[5 cm2 cell test code]:[5 cm2 cell test code]],[1]!Table1[[Test code]:[Test code]],[1]!Table1[HFR 10 mM KOH/ mOhm cm2],"",0)</f>
        <v>#REF!</v>
      </c>
      <c r="AF1865" s="69" t="e" cm="1">
        <f t="array" ref="AF1865">_xlfn.XLOOKUP(Table1[[#This Row],[5 cm2 cell test code]:[5 cm2 cell test code]],[1]!Table1[[Test code]:[Test code]],[1]!Table1[Ionic resistance DIW/Ohm cm2],"",0)</f>
        <v>#REF!</v>
      </c>
      <c r="AG1865" s="69" t="e" cm="1">
        <f t="array" ref="AG1865">_xlfn.XLOOKUP(Table1[[#This Row],[5 cm2 cell test code]:[5 cm2 cell test code]],[1]!Table1[[Test code]:[Test code]],[1]!Table1[Q_int_frac DIW],"",0)</f>
        <v>#REF!</v>
      </c>
      <c r="AH1865" s="69" t="e" cm="1">
        <f t="array" ref="AH1865">_xlfn.XLOOKUP(Table1[[#This Row],[5 cm2 cell test code]:[5 cm2 cell test code]],[1]!Table1[[Test code]:[Test code]],[1]!Table1[Ionic resistance 10 mM KOH/Ohm cm2],"",0)</f>
        <v>#REF!</v>
      </c>
      <c r="AI1865" s="69" t="e" cm="1">
        <f t="array" ref="AI1865">_xlfn.XLOOKUP(Table1[[#This Row],[5 cm2 cell test code]:[5 cm2 cell test code]],[1]!Table1[[Test code]:[Test code]],[1]!Table1[Q_int_frac DIW 10 mM KOH],"",0)</f>
        <v>#REF!</v>
      </c>
      <c r="AJ1865" s="69" t="e" cm="1">
        <f t="array" ref="AJ1865">_xlfn.XLOOKUP(Table1[[#This Row],[5 cm2 cell test code]:[5 cm2 cell test code]],[1]!Table1[[Test code]:[Test code]],[1]!Table1[DIW conductivity (µS/cm)],"",0)</f>
        <v>#REF!</v>
      </c>
    </row>
    <row r="1866" spans="1:36">
      <c r="A1866" s="81"/>
      <c r="U1866" s="101"/>
      <c r="V1866" s="101"/>
      <c r="W1866" s="69" t="e" cm="1">
        <f t="array" ref="W1866">_xlfn.XLOOKUP(Table1[[#This Row],[5 cm2 cell test code]:[5 cm2 cell test code]],[1]!Table1[[Test code]:[Test code]],[1]!Table1[i @ 1.8 V DIW (A/cm2)],"",0)</f>
        <v>#REF!</v>
      </c>
      <c r="X1866" s="69" t="e" cm="1">
        <f t="array" ref="X1866">_xlfn.XLOOKUP(Table1[[#This Row],[5 cm2 cell test code]:[5 cm2 cell test code]],[1]!Table1[[Test code]:[Test code]],[1]!Table1[i @ 1.8 V 10 mM KOH (A/cm2)],"",0)</f>
        <v>#REF!</v>
      </c>
      <c r="Y1866" s="69" t="e" cm="1">
        <f t="array" ref="Y1866">_xlfn.XLOOKUP(Table1[[#This Row],[5 cm2 cell test code]:[5 cm2 cell test code]],[1]!Table1[[Test code]:[Test code]],[1]!Table1[3-E ƞ at 20mAcm-2 (mV)],"",0)</f>
        <v>#REF!</v>
      </c>
      <c r="Z1866" s="69" t="e" cm="1">
        <f t="array" ref="Z1866">_xlfn.XLOOKUP(Table1[[#This Row],[5 cm2 cell test code]:[5 cm2 cell test code]],[1]!Table1[[Test code]:[Test code]],[1]!Table1[3-E Tafel slope (mV/dec)],"",0)</f>
        <v>#REF!</v>
      </c>
      <c r="AA1866" s="69" t="e" cm="1">
        <f t="array" ref="AA1866">_xlfn.XLOOKUP(Table1[[#This Row],[5 cm2 cell test code]:[5 cm2 cell test code]],[1]!Table1[[Test code]:[Test code]],[1]!Table1[E @ 100 mA/cm2 DIW/V],"",0)</f>
        <v>#REF!</v>
      </c>
      <c r="AB1866" s="69" t="e" cm="1">
        <f t="array" ref="AB1866">_xlfn.XLOOKUP(Table1[[#This Row],[5 cm2 cell test code]:[5 cm2 cell test code]],[1]!Table1[[Test code]:[Test code]],[1]!Table1[E @ 100 mA/cm2 10 mM KOH/V],"",0)</f>
        <v>#REF!</v>
      </c>
      <c r="AC1866" s="69" t="e" cm="1">
        <f t="array" ref="AC1866">_xlfn.XLOOKUP(Table1[[#This Row],[5 cm2 cell test code]:[5 cm2 cell test code]],[1]!Table1[[Test code]:[Test code]],[1]!Table1[Anode ICR/mOhm],"",0)</f>
        <v>#REF!</v>
      </c>
      <c r="AD1866" s="69" t="e" cm="1">
        <f t="array" ref="AD1866">_xlfn.XLOOKUP(Table1[[#This Row],[5 cm2 cell test code]:[5 cm2 cell test code]],[1]!Table1[[Test code]:[Test code]],[1]!Table1[HFR DIW/ mOhm cm2],"",0)</f>
        <v>#REF!</v>
      </c>
      <c r="AE1866" s="69" t="e" cm="1">
        <f t="array" ref="AE1866">_xlfn.XLOOKUP(Table1[[#This Row],[5 cm2 cell test code]:[5 cm2 cell test code]],[1]!Table1[[Test code]:[Test code]],[1]!Table1[HFR 10 mM KOH/ mOhm cm2],"",0)</f>
        <v>#REF!</v>
      </c>
      <c r="AF1866" s="69" t="e" cm="1">
        <f t="array" ref="AF1866">_xlfn.XLOOKUP(Table1[[#This Row],[5 cm2 cell test code]:[5 cm2 cell test code]],[1]!Table1[[Test code]:[Test code]],[1]!Table1[Ionic resistance DIW/Ohm cm2],"",0)</f>
        <v>#REF!</v>
      </c>
      <c r="AG1866" s="69" t="e" cm="1">
        <f t="array" ref="AG1866">_xlfn.XLOOKUP(Table1[[#This Row],[5 cm2 cell test code]:[5 cm2 cell test code]],[1]!Table1[[Test code]:[Test code]],[1]!Table1[Q_int_frac DIW],"",0)</f>
        <v>#REF!</v>
      </c>
      <c r="AH1866" s="69" t="e" cm="1">
        <f t="array" ref="AH1866">_xlfn.XLOOKUP(Table1[[#This Row],[5 cm2 cell test code]:[5 cm2 cell test code]],[1]!Table1[[Test code]:[Test code]],[1]!Table1[Ionic resistance 10 mM KOH/Ohm cm2],"",0)</f>
        <v>#REF!</v>
      </c>
      <c r="AI1866" s="69" t="e" cm="1">
        <f t="array" ref="AI1866">_xlfn.XLOOKUP(Table1[[#This Row],[5 cm2 cell test code]:[5 cm2 cell test code]],[1]!Table1[[Test code]:[Test code]],[1]!Table1[Q_int_frac DIW 10 mM KOH],"",0)</f>
        <v>#REF!</v>
      </c>
      <c r="AJ1866" s="69" t="e" cm="1">
        <f t="array" ref="AJ1866">_xlfn.XLOOKUP(Table1[[#This Row],[5 cm2 cell test code]:[5 cm2 cell test code]],[1]!Table1[[Test code]:[Test code]],[1]!Table1[DIW conductivity (µS/cm)],"",0)</f>
        <v>#REF!</v>
      </c>
    </row>
    <row r="1867" spans="1:36">
      <c r="A1867" s="81"/>
      <c r="U1867" s="101"/>
      <c r="V1867" s="101"/>
      <c r="W1867" s="69" t="e" cm="1">
        <f t="array" ref="W1867">_xlfn.XLOOKUP(Table1[[#This Row],[5 cm2 cell test code]:[5 cm2 cell test code]],[1]!Table1[[Test code]:[Test code]],[1]!Table1[i @ 1.8 V DIW (A/cm2)],"",0)</f>
        <v>#REF!</v>
      </c>
      <c r="X1867" s="69" t="e" cm="1">
        <f t="array" ref="X1867">_xlfn.XLOOKUP(Table1[[#This Row],[5 cm2 cell test code]:[5 cm2 cell test code]],[1]!Table1[[Test code]:[Test code]],[1]!Table1[i @ 1.8 V 10 mM KOH (A/cm2)],"",0)</f>
        <v>#REF!</v>
      </c>
      <c r="Y1867" s="69" t="e" cm="1">
        <f t="array" ref="Y1867">_xlfn.XLOOKUP(Table1[[#This Row],[5 cm2 cell test code]:[5 cm2 cell test code]],[1]!Table1[[Test code]:[Test code]],[1]!Table1[3-E ƞ at 20mAcm-2 (mV)],"",0)</f>
        <v>#REF!</v>
      </c>
      <c r="Z1867" s="69" t="e" cm="1">
        <f t="array" ref="Z1867">_xlfn.XLOOKUP(Table1[[#This Row],[5 cm2 cell test code]:[5 cm2 cell test code]],[1]!Table1[[Test code]:[Test code]],[1]!Table1[3-E Tafel slope (mV/dec)],"",0)</f>
        <v>#REF!</v>
      </c>
      <c r="AA1867" s="69" t="e" cm="1">
        <f t="array" ref="AA1867">_xlfn.XLOOKUP(Table1[[#This Row],[5 cm2 cell test code]:[5 cm2 cell test code]],[1]!Table1[[Test code]:[Test code]],[1]!Table1[E @ 100 mA/cm2 DIW/V],"",0)</f>
        <v>#REF!</v>
      </c>
      <c r="AB1867" s="69" t="e" cm="1">
        <f t="array" ref="AB1867">_xlfn.XLOOKUP(Table1[[#This Row],[5 cm2 cell test code]:[5 cm2 cell test code]],[1]!Table1[[Test code]:[Test code]],[1]!Table1[E @ 100 mA/cm2 10 mM KOH/V],"",0)</f>
        <v>#REF!</v>
      </c>
      <c r="AC1867" s="69" t="e" cm="1">
        <f t="array" ref="AC1867">_xlfn.XLOOKUP(Table1[[#This Row],[5 cm2 cell test code]:[5 cm2 cell test code]],[1]!Table1[[Test code]:[Test code]],[1]!Table1[Anode ICR/mOhm],"",0)</f>
        <v>#REF!</v>
      </c>
      <c r="AD1867" s="69" t="e" cm="1">
        <f t="array" ref="AD1867">_xlfn.XLOOKUP(Table1[[#This Row],[5 cm2 cell test code]:[5 cm2 cell test code]],[1]!Table1[[Test code]:[Test code]],[1]!Table1[HFR DIW/ mOhm cm2],"",0)</f>
        <v>#REF!</v>
      </c>
      <c r="AE1867" s="69" t="e" cm="1">
        <f t="array" ref="AE1867">_xlfn.XLOOKUP(Table1[[#This Row],[5 cm2 cell test code]:[5 cm2 cell test code]],[1]!Table1[[Test code]:[Test code]],[1]!Table1[HFR 10 mM KOH/ mOhm cm2],"",0)</f>
        <v>#REF!</v>
      </c>
      <c r="AF1867" s="69" t="e" cm="1">
        <f t="array" ref="AF1867">_xlfn.XLOOKUP(Table1[[#This Row],[5 cm2 cell test code]:[5 cm2 cell test code]],[1]!Table1[[Test code]:[Test code]],[1]!Table1[Ionic resistance DIW/Ohm cm2],"",0)</f>
        <v>#REF!</v>
      </c>
      <c r="AG1867" s="69" t="e" cm="1">
        <f t="array" ref="AG1867">_xlfn.XLOOKUP(Table1[[#This Row],[5 cm2 cell test code]:[5 cm2 cell test code]],[1]!Table1[[Test code]:[Test code]],[1]!Table1[Q_int_frac DIW],"",0)</f>
        <v>#REF!</v>
      </c>
      <c r="AH1867" s="69" t="e" cm="1">
        <f t="array" ref="AH1867">_xlfn.XLOOKUP(Table1[[#This Row],[5 cm2 cell test code]:[5 cm2 cell test code]],[1]!Table1[[Test code]:[Test code]],[1]!Table1[Ionic resistance 10 mM KOH/Ohm cm2],"",0)</f>
        <v>#REF!</v>
      </c>
      <c r="AI1867" s="69" t="e" cm="1">
        <f t="array" ref="AI1867">_xlfn.XLOOKUP(Table1[[#This Row],[5 cm2 cell test code]:[5 cm2 cell test code]],[1]!Table1[[Test code]:[Test code]],[1]!Table1[Q_int_frac DIW 10 mM KOH],"",0)</f>
        <v>#REF!</v>
      </c>
      <c r="AJ1867" s="69" t="e" cm="1">
        <f t="array" ref="AJ1867">_xlfn.XLOOKUP(Table1[[#This Row],[5 cm2 cell test code]:[5 cm2 cell test code]],[1]!Table1[[Test code]:[Test code]],[1]!Table1[DIW conductivity (µS/cm)],"",0)</f>
        <v>#REF!</v>
      </c>
    </row>
    <row r="1868" spans="1:36">
      <c r="A1868" s="81"/>
      <c r="U1868" s="101"/>
      <c r="V1868" s="101"/>
      <c r="W1868" s="69" t="e" cm="1">
        <f t="array" ref="W1868">_xlfn.XLOOKUP(Table1[[#This Row],[5 cm2 cell test code]:[5 cm2 cell test code]],[1]!Table1[[Test code]:[Test code]],[1]!Table1[i @ 1.8 V DIW (A/cm2)],"",0)</f>
        <v>#REF!</v>
      </c>
      <c r="X1868" s="69" t="e" cm="1">
        <f t="array" ref="X1868">_xlfn.XLOOKUP(Table1[[#This Row],[5 cm2 cell test code]:[5 cm2 cell test code]],[1]!Table1[[Test code]:[Test code]],[1]!Table1[i @ 1.8 V 10 mM KOH (A/cm2)],"",0)</f>
        <v>#REF!</v>
      </c>
      <c r="Y1868" s="69" t="e" cm="1">
        <f t="array" ref="Y1868">_xlfn.XLOOKUP(Table1[[#This Row],[5 cm2 cell test code]:[5 cm2 cell test code]],[1]!Table1[[Test code]:[Test code]],[1]!Table1[3-E ƞ at 20mAcm-2 (mV)],"",0)</f>
        <v>#REF!</v>
      </c>
      <c r="Z1868" s="69" t="e" cm="1">
        <f t="array" ref="Z1868">_xlfn.XLOOKUP(Table1[[#This Row],[5 cm2 cell test code]:[5 cm2 cell test code]],[1]!Table1[[Test code]:[Test code]],[1]!Table1[3-E Tafel slope (mV/dec)],"",0)</f>
        <v>#REF!</v>
      </c>
      <c r="AA1868" s="69" t="e" cm="1">
        <f t="array" ref="AA1868">_xlfn.XLOOKUP(Table1[[#This Row],[5 cm2 cell test code]:[5 cm2 cell test code]],[1]!Table1[[Test code]:[Test code]],[1]!Table1[E @ 100 mA/cm2 DIW/V],"",0)</f>
        <v>#REF!</v>
      </c>
      <c r="AB1868" s="69" t="e" cm="1">
        <f t="array" ref="AB1868">_xlfn.XLOOKUP(Table1[[#This Row],[5 cm2 cell test code]:[5 cm2 cell test code]],[1]!Table1[[Test code]:[Test code]],[1]!Table1[E @ 100 mA/cm2 10 mM KOH/V],"",0)</f>
        <v>#REF!</v>
      </c>
      <c r="AC1868" s="69" t="e" cm="1">
        <f t="array" ref="AC1868">_xlfn.XLOOKUP(Table1[[#This Row],[5 cm2 cell test code]:[5 cm2 cell test code]],[1]!Table1[[Test code]:[Test code]],[1]!Table1[Anode ICR/mOhm],"",0)</f>
        <v>#REF!</v>
      </c>
      <c r="AD1868" s="69" t="e" cm="1">
        <f t="array" ref="AD1868">_xlfn.XLOOKUP(Table1[[#This Row],[5 cm2 cell test code]:[5 cm2 cell test code]],[1]!Table1[[Test code]:[Test code]],[1]!Table1[HFR DIW/ mOhm cm2],"",0)</f>
        <v>#REF!</v>
      </c>
      <c r="AE1868" s="69" t="e" cm="1">
        <f t="array" ref="AE1868">_xlfn.XLOOKUP(Table1[[#This Row],[5 cm2 cell test code]:[5 cm2 cell test code]],[1]!Table1[[Test code]:[Test code]],[1]!Table1[HFR 10 mM KOH/ mOhm cm2],"",0)</f>
        <v>#REF!</v>
      </c>
      <c r="AF1868" s="69" t="e" cm="1">
        <f t="array" ref="AF1868">_xlfn.XLOOKUP(Table1[[#This Row],[5 cm2 cell test code]:[5 cm2 cell test code]],[1]!Table1[[Test code]:[Test code]],[1]!Table1[Ionic resistance DIW/Ohm cm2],"",0)</f>
        <v>#REF!</v>
      </c>
      <c r="AG1868" s="69" t="e" cm="1">
        <f t="array" ref="AG1868">_xlfn.XLOOKUP(Table1[[#This Row],[5 cm2 cell test code]:[5 cm2 cell test code]],[1]!Table1[[Test code]:[Test code]],[1]!Table1[Q_int_frac DIW],"",0)</f>
        <v>#REF!</v>
      </c>
      <c r="AH1868" s="69" t="e" cm="1">
        <f t="array" ref="AH1868">_xlfn.XLOOKUP(Table1[[#This Row],[5 cm2 cell test code]:[5 cm2 cell test code]],[1]!Table1[[Test code]:[Test code]],[1]!Table1[Ionic resistance 10 mM KOH/Ohm cm2],"",0)</f>
        <v>#REF!</v>
      </c>
      <c r="AI1868" s="69" t="e" cm="1">
        <f t="array" ref="AI1868">_xlfn.XLOOKUP(Table1[[#This Row],[5 cm2 cell test code]:[5 cm2 cell test code]],[1]!Table1[[Test code]:[Test code]],[1]!Table1[Q_int_frac DIW 10 mM KOH],"",0)</f>
        <v>#REF!</v>
      </c>
      <c r="AJ1868" s="69" t="e" cm="1">
        <f t="array" ref="AJ1868">_xlfn.XLOOKUP(Table1[[#This Row],[5 cm2 cell test code]:[5 cm2 cell test code]],[1]!Table1[[Test code]:[Test code]],[1]!Table1[DIW conductivity (µS/cm)],"",0)</f>
        <v>#REF!</v>
      </c>
    </row>
    <row r="1869" spans="1:36">
      <c r="A1869" s="81"/>
      <c r="U1869" s="101"/>
      <c r="V1869" s="101"/>
      <c r="W1869" s="69" t="e" cm="1">
        <f t="array" ref="W1869">_xlfn.XLOOKUP(Table1[[#This Row],[5 cm2 cell test code]:[5 cm2 cell test code]],[1]!Table1[[Test code]:[Test code]],[1]!Table1[i @ 1.8 V DIW (A/cm2)],"",0)</f>
        <v>#REF!</v>
      </c>
      <c r="X1869" s="69" t="e" cm="1">
        <f t="array" ref="X1869">_xlfn.XLOOKUP(Table1[[#This Row],[5 cm2 cell test code]:[5 cm2 cell test code]],[1]!Table1[[Test code]:[Test code]],[1]!Table1[i @ 1.8 V 10 mM KOH (A/cm2)],"",0)</f>
        <v>#REF!</v>
      </c>
      <c r="Y1869" s="69" t="e" cm="1">
        <f t="array" ref="Y1869">_xlfn.XLOOKUP(Table1[[#This Row],[5 cm2 cell test code]:[5 cm2 cell test code]],[1]!Table1[[Test code]:[Test code]],[1]!Table1[3-E ƞ at 20mAcm-2 (mV)],"",0)</f>
        <v>#REF!</v>
      </c>
      <c r="Z1869" s="69" t="e" cm="1">
        <f t="array" ref="Z1869">_xlfn.XLOOKUP(Table1[[#This Row],[5 cm2 cell test code]:[5 cm2 cell test code]],[1]!Table1[[Test code]:[Test code]],[1]!Table1[3-E Tafel slope (mV/dec)],"",0)</f>
        <v>#REF!</v>
      </c>
      <c r="AA1869" s="69" t="e" cm="1">
        <f t="array" ref="AA1869">_xlfn.XLOOKUP(Table1[[#This Row],[5 cm2 cell test code]:[5 cm2 cell test code]],[1]!Table1[[Test code]:[Test code]],[1]!Table1[E @ 100 mA/cm2 DIW/V],"",0)</f>
        <v>#REF!</v>
      </c>
      <c r="AB1869" s="69" t="e" cm="1">
        <f t="array" ref="AB1869">_xlfn.XLOOKUP(Table1[[#This Row],[5 cm2 cell test code]:[5 cm2 cell test code]],[1]!Table1[[Test code]:[Test code]],[1]!Table1[E @ 100 mA/cm2 10 mM KOH/V],"",0)</f>
        <v>#REF!</v>
      </c>
      <c r="AC1869" s="69" t="e" cm="1">
        <f t="array" ref="AC1869">_xlfn.XLOOKUP(Table1[[#This Row],[5 cm2 cell test code]:[5 cm2 cell test code]],[1]!Table1[[Test code]:[Test code]],[1]!Table1[Anode ICR/mOhm],"",0)</f>
        <v>#REF!</v>
      </c>
      <c r="AD1869" s="69" t="e" cm="1">
        <f t="array" ref="AD1869">_xlfn.XLOOKUP(Table1[[#This Row],[5 cm2 cell test code]:[5 cm2 cell test code]],[1]!Table1[[Test code]:[Test code]],[1]!Table1[HFR DIW/ mOhm cm2],"",0)</f>
        <v>#REF!</v>
      </c>
      <c r="AE1869" s="69" t="e" cm="1">
        <f t="array" ref="AE1869">_xlfn.XLOOKUP(Table1[[#This Row],[5 cm2 cell test code]:[5 cm2 cell test code]],[1]!Table1[[Test code]:[Test code]],[1]!Table1[HFR 10 mM KOH/ mOhm cm2],"",0)</f>
        <v>#REF!</v>
      </c>
      <c r="AF1869" s="69" t="e" cm="1">
        <f t="array" ref="AF1869">_xlfn.XLOOKUP(Table1[[#This Row],[5 cm2 cell test code]:[5 cm2 cell test code]],[1]!Table1[[Test code]:[Test code]],[1]!Table1[Ionic resistance DIW/Ohm cm2],"",0)</f>
        <v>#REF!</v>
      </c>
      <c r="AG1869" s="69" t="e" cm="1">
        <f t="array" ref="AG1869">_xlfn.XLOOKUP(Table1[[#This Row],[5 cm2 cell test code]:[5 cm2 cell test code]],[1]!Table1[[Test code]:[Test code]],[1]!Table1[Q_int_frac DIW],"",0)</f>
        <v>#REF!</v>
      </c>
      <c r="AH1869" s="69" t="e" cm="1">
        <f t="array" ref="AH1869">_xlfn.XLOOKUP(Table1[[#This Row],[5 cm2 cell test code]:[5 cm2 cell test code]],[1]!Table1[[Test code]:[Test code]],[1]!Table1[Ionic resistance 10 mM KOH/Ohm cm2],"",0)</f>
        <v>#REF!</v>
      </c>
      <c r="AI1869" s="69" t="e" cm="1">
        <f t="array" ref="AI1869">_xlfn.XLOOKUP(Table1[[#This Row],[5 cm2 cell test code]:[5 cm2 cell test code]],[1]!Table1[[Test code]:[Test code]],[1]!Table1[Q_int_frac DIW 10 mM KOH],"",0)</f>
        <v>#REF!</v>
      </c>
      <c r="AJ1869" s="69" t="e" cm="1">
        <f t="array" ref="AJ1869">_xlfn.XLOOKUP(Table1[[#This Row],[5 cm2 cell test code]:[5 cm2 cell test code]],[1]!Table1[[Test code]:[Test code]],[1]!Table1[DIW conductivity (µS/cm)],"",0)</f>
        <v>#REF!</v>
      </c>
    </row>
    <row r="1870" spans="1:36">
      <c r="A1870" s="81"/>
      <c r="U1870" s="101"/>
      <c r="V1870" s="101"/>
      <c r="W1870" s="69" t="e" cm="1">
        <f t="array" ref="W1870">_xlfn.XLOOKUP(Table1[[#This Row],[5 cm2 cell test code]:[5 cm2 cell test code]],[1]!Table1[[Test code]:[Test code]],[1]!Table1[i @ 1.8 V DIW (A/cm2)],"",0)</f>
        <v>#REF!</v>
      </c>
      <c r="X1870" s="69" t="e" cm="1">
        <f t="array" ref="X1870">_xlfn.XLOOKUP(Table1[[#This Row],[5 cm2 cell test code]:[5 cm2 cell test code]],[1]!Table1[[Test code]:[Test code]],[1]!Table1[i @ 1.8 V 10 mM KOH (A/cm2)],"",0)</f>
        <v>#REF!</v>
      </c>
      <c r="Y1870" s="69" t="e" cm="1">
        <f t="array" ref="Y1870">_xlfn.XLOOKUP(Table1[[#This Row],[5 cm2 cell test code]:[5 cm2 cell test code]],[1]!Table1[[Test code]:[Test code]],[1]!Table1[3-E ƞ at 20mAcm-2 (mV)],"",0)</f>
        <v>#REF!</v>
      </c>
      <c r="Z1870" s="69" t="e" cm="1">
        <f t="array" ref="Z1870">_xlfn.XLOOKUP(Table1[[#This Row],[5 cm2 cell test code]:[5 cm2 cell test code]],[1]!Table1[[Test code]:[Test code]],[1]!Table1[3-E Tafel slope (mV/dec)],"",0)</f>
        <v>#REF!</v>
      </c>
      <c r="AA1870" s="69" t="e" cm="1">
        <f t="array" ref="AA1870">_xlfn.XLOOKUP(Table1[[#This Row],[5 cm2 cell test code]:[5 cm2 cell test code]],[1]!Table1[[Test code]:[Test code]],[1]!Table1[E @ 100 mA/cm2 DIW/V],"",0)</f>
        <v>#REF!</v>
      </c>
      <c r="AB1870" s="69" t="e" cm="1">
        <f t="array" ref="AB1870">_xlfn.XLOOKUP(Table1[[#This Row],[5 cm2 cell test code]:[5 cm2 cell test code]],[1]!Table1[[Test code]:[Test code]],[1]!Table1[E @ 100 mA/cm2 10 mM KOH/V],"",0)</f>
        <v>#REF!</v>
      </c>
      <c r="AC1870" s="69" t="e" cm="1">
        <f t="array" ref="AC1870">_xlfn.XLOOKUP(Table1[[#This Row],[5 cm2 cell test code]:[5 cm2 cell test code]],[1]!Table1[[Test code]:[Test code]],[1]!Table1[Anode ICR/mOhm],"",0)</f>
        <v>#REF!</v>
      </c>
      <c r="AD1870" s="69" t="e" cm="1">
        <f t="array" ref="AD1870">_xlfn.XLOOKUP(Table1[[#This Row],[5 cm2 cell test code]:[5 cm2 cell test code]],[1]!Table1[[Test code]:[Test code]],[1]!Table1[HFR DIW/ mOhm cm2],"",0)</f>
        <v>#REF!</v>
      </c>
      <c r="AE1870" s="69" t="e" cm="1">
        <f t="array" ref="AE1870">_xlfn.XLOOKUP(Table1[[#This Row],[5 cm2 cell test code]:[5 cm2 cell test code]],[1]!Table1[[Test code]:[Test code]],[1]!Table1[HFR 10 mM KOH/ mOhm cm2],"",0)</f>
        <v>#REF!</v>
      </c>
      <c r="AF1870" s="69" t="e" cm="1">
        <f t="array" ref="AF1870">_xlfn.XLOOKUP(Table1[[#This Row],[5 cm2 cell test code]:[5 cm2 cell test code]],[1]!Table1[[Test code]:[Test code]],[1]!Table1[Ionic resistance DIW/Ohm cm2],"",0)</f>
        <v>#REF!</v>
      </c>
      <c r="AG1870" s="69" t="e" cm="1">
        <f t="array" ref="AG1870">_xlfn.XLOOKUP(Table1[[#This Row],[5 cm2 cell test code]:[5 cm2 cell test code]],[1]!Table1[[Test code]:[Test code]],[1]!Table1[Q_int_frac DIW],"",0)</f>
        <v>#REF!</v>
      </c>
      <c r="AH1870" s="69" t="e" cm="1">
        <f t="array" ref="AH1870">_xlfn.XLOOKUP(Table1[[#This Row],[5 cm2 cell test code]:[5 cm2 cell test code]],[1]!Table1[[Test code]:[Test code]],[1]!Table1[Ionic resistance 10 mM KOH/Ohm cm2],"",0)</f>
        <v>#REF!</v>
      </c>
      <c r="AI1870" s="69" t="e" cm="1">
        <f t="array" ref="AI1870">_xlfn.XLOOKUP(Table1[[#This Row],[5 cm2 cell test code]:[5 cm2 cell test code]],[1]!Table1[[Test code]:[Test code]],[1]!Table1[Q_int_frac DIW 10 mM KOH],"",0)</f>
        <v>#REF!</v>
      </c>
      <c r="AJ1870" s="69" t="e" cm="1">
        <f t="array" ref="AJ1870">_xlfn.XLOOKUP(Table1[[#This Row],[5 cm2 cell test code]:[5 cm2 cell test code]],[1]!Table1[[Test code]:[Test code]],[1]!Table1[DIW conductivity (µS/cm)],"",0)</f>
        <v>#REF!</v>
      </c>
    </row>
    <row r="1871" spans="1:36">
      <c r="A1871" s="81"/>
      <c r="U1871" s="101"/>
      <c r="V1871" s="101"/>
      <c r="W1871" s="69" t="e" cm="1">
        <f t="array" ref="W1871">_xlfn.XLOOKUP(Table1[[#This Row],[5 cm2 cell test code]:[5 cm2 cell test code]],[1]!Table1[[Test code]:[Test code]],[1]!Table1[i @ 1.8 V DIW (A/cm2)],"",0)</f>
        <v>#REF!</v>
      </c>
      <c r="X1871" s="69" t="e" cm="1">
        <f t="array" ref="X1871">_xlfn.XLOOKUP(Table1[[#This Row],[5 cm2 cell test code]:[5 cm2 cell test code]],[1]!Table1[[Test code]:[Test code]],[1]!Table1[i @ 1.8 V 10 mM KOH (A/cm2)],"",0)</f>
        <v>#REF!</v>
      </c>
      <c r="Y1871" s="69" t="e" cm="1">
        <f t="array" ref="Y1871">_xlfn.XLOOKUP(Table1[[#This Row],[5 cm2 cell test code]:[5 cm2 cell test code]],[1]!Table1[[Test code]:[Test code]],[1]!Table1[3-E ƞ at 20mAcm-2 (mV)],"",0)</f>
        <v>#REF!</v>
      </c>
      <c r="Z1871" s="69" t="e" cm="1">
        <f t="array" ref="Z1871">_xlfn.XLOOKUP(Table1[[#This Row],[5 cm2 cell test code]:[5 cm2 cell test code]],[1]!Table1[[Test code]:[Test code]],[1]!Table1[3-E Tafel slope (mV/dec)],"",0)</f>
        <v>#REF!</v>
      </c>
      <c r="AA1871" s="69" t="e" cm="1">
        <f t="array" ref="AA1871">_xlfn.XLOOKUP(Table1[[#This Row],[5 cm2 cell test code]:[5 cm2 cell test code]],[1]!Table1[[Test code]:[Test code]],[1]!Table1[E @ 100 mA/cm2 DIW/V],"",0)</f>
        <v>#REF!</v>
      </c>
      <c r="AB1871" s="69" t="e" cm="1">
        <f t="array" ref="AB1871">_xlfn.XLOOKUP(Table1[[#This Row],[5 cm2 cell test code]:[5 cm2 cell test code]],[1]!Table1[[Test code]:[Test code]],[1]!Table1[E @ 100 mA/cm2 10 mM KOH/V],"",0)</f>
        <v>#REF!</v>
      </c>
      <c r="AC1871" s="69" t="e" cm="1">
        <f t="array" ref="AC1871">_xlfn.XLOOKUP(Table1[[#This Row],[5 cm2 cell test code]:[5 cm2 cell test code]],[1]!Table1[[Test code]:[Test code]],[1]!Table1[Anode ICR/mOhm],"",0)</f>
        <v>#REF!</v>
      </c>
      <c r="AD1871" s="69" t="e" cm="1">
        <f t="array" ref="AD1871">_xlfn.XLOOKUP(Table1[[#This Row],[5 cm2 cell test code]:[5 cm2 cell test code]],[1]!Table1[[Test code]:[Test code]],[1]!Table1[HFR DIW/ mOhm cm2],"",0)</f>
        <v>#REF!</v>
      </c>
      <c r="AE1871" s="69" t="e" cm="1">
        <f t="array" ref="AE1871">_xlfn.XLOOKUP(Table1[[#This Row],[5 cm2 cell test code]:[5 cm2 cell test code]],[1]!Table1[[Test code]:[Test code]],[1]!Table1[HFR 10 mM KOH/ mOhm cm2],"",0)</f>
        <v>#REF!</v>
      </c>
      <c r="AF1871" s="69" t="e" cm="1">
        <f t="array" ref="AF1871">_xlfn.XLOOKUP(Table1[[#This Row],[5 cm2 cell test code]:[5 cm2 cell test code]],[1]!Table1[[Test code]:[Test code]],[1]!Table1[Ionic resistance DIW/Ohm cm2],"",0)</f>
        <v>#REF!</v>
      </c>
      <c r="AG1871" s="69" t="e" cm="1">
        <f t="array" ref="AG1871">_xlfn.XLOOKUP(Table1[[#This Row],[5 cm2 cell test code]:[5 cm2 cell test code]],[1]!Table1[[Test code]:[Test code]],[1]!Table1[Q_int_frac DIW],"",0)</f>
        <v>#REF!</v>
      </c>
      <c r="AH1871" s="69" t="e" cm="1">
        <f t="array" ref="AH1871">_xlfn.XLOOKUP(Table1[[#This Row],[5 cm2 cell test code]:[5 cm2 cell test code]],[1]!Table1[[Test code]:[Test code]],[1]!Table1[Ionic resistance 10 mM KOH/Ohm cm2],"",0)</f>
        <v>#REF!</v>
      </c>
      <c r="AI1871" s="69" t="e" cm="1">
        <f t="array" ref="AI1871">_xlfn.XLOOKUP(Table1[[#This Row],[5 cm2 cell test code]:[5 cm2 cell test code]],[1]!Table1[[Test code]:[Test code]],[1]!Table1[Q_int_frac DIW 10 mM KOH],"",0)</f>
        <v>#REF!</v>
      </c>
      <c r="AJ1871" s="69" t="e" cm="1">
        <f t="array" ref="AJ1871">_xlfn.XLOOKUP(Table1[[#This Row],[5 cm2 cell test code]:[5 cm2 cell test code]],[1]!Table1[[Test code]:[Test code]],[1]!Table1[DIW conductivity (µS/cm)],"",0)</f>
        <v>#REF!</v>
      </c>
    </row>
    <row r="1872" spans="1:36">
      <c r="A1872" s="81"/>
      <c r="U1872" s="101"/>
      <c r="V1872" s="101"/>
      <c r="W1872" s="69" t="e" cm="1">
        <f t="array" ref="W1872">_xlfn.XLOOKUP(Table1[[#This Row],[5 cm2 cell test code]:[5 cm2 cell test code]],[1]!Table1[[Test code]:[Test code]],[1]!Table1[i @ 1.8 V DIW (A/cm2)],"",0)</f>
        <v>#REF!</v>
      </c>
      <c r="X1872" s="69" t="e" cm="1">
        <f t="array" ref="X1872">_xlfn.XLOOKUP(Table1[[#This Row],[5 cm2 cell test code]:[5 cm2 cell test code]],[1]!Table1[[Test code]:[Test code]],[1]!Table1[i @ 1.8 V 10 mM KOH (A/cm2)],"",0)</f>
        <v>#REF!</v>
      </c>
      <c r="Y1872" s="69" t="e" cm="1">
        <f t="array" ref="Y1872">_xlfn.XLOOKUP(Table1[[#This Row],[5 cm2 cell test code]:[5 cm2 cell test code]],[1]!Table1[[Test code]:[Test code]],[1]!Table1[3-E ƞ at 20mAcm-2 (mV)],"",0)</f>
        <v>#REF!</v>
      </c>
      <c r="Z1872" s="69" t="e" cm="1">
        <f t="array" ref="Z1872">_xlfn.XLOOKUP(Table1[[#This Row],[5 cm2 cell test code]:[5 cm2 cell test code]],[1]!Table1[[Test code]:[Test code]],[1]!Table1[3-E Tafel slope (mV/dec)],"",0)</f>
        <v>#REF!</v>
      </c>
      <c r="AA1872" s="69" t="e" cm="1">
        <f t="array" ref="AA1872">_xlfn.XLOOKUP(Table1[[#This Row],[5 cm2 cell test code]:[5 cm2 cell test code]],[1]!Table1[[Test code]:[Test code]],[1]!Table1[E @ 100 mA/cm2 DIW/V],"",0)</f>
        <v>#REF!</v>
      </c>
      <c r="AB1872" s="69" t="e" cm="1">
        <f t="array" ref="AB1872">_xlfn.XLOOKUP(Table1[[#This Row],[5 cm2 cell test code]:[5 cm2 cell test code]],[1]!Table1[[Test code]:[Test code]],[1]!Table1[E @ 100 mA/cm2 10 mM KOH/V],"",0)</f>
        <v>#REF!</v>
      </c>
      <c r="AC1872" s="69" t="e" cm="1">
        <f t="array" ref="AC1872">_xlfn.XLOOKUP(Table1[[#This Row],[5 cm2 cell test code]:[5 cm2 cell test code]],[1]!Table1[[Test code]:[Test code]],[1]!Table1[Anode ICR/mOhm],"",0)</f>
        <v>#REF!</v>
      </c>
      <c r="AD1872" s="69" t="e" cm="1">
        <f t="array" ref="AD1872">_xlfn.XLOOKUP(Table1[[#This Row],[5 cm2 cell test code]:[5 cm2 cell test code]],[1]!Table1[[Test code]:[Test code]],[1]!Table1[HFR DIW/ mOhm cm2],"",0)</f>
        <v>#REF!</v>
      </c>
      <c r="AE1872" s="69" t="e" cm="1">
        <f t="array" ref="AE1872">_xlfn.XLOOKUP(Table1[[#This Row],[5 cm2 cell test code]:[5 cm2 cell test code]],[1]!Table1[[Test code]:[Test code]],[1]!Table1[HFR 10 mM KOH/ mOhm cm2],"",0)</f>
        <v>#REF!</v>
      </c>
      <c r="AF1872" s="69" t="e" cm="1">
        <f t="array" ref="AF1872">_xlfn.XLOOKUP(Table1[[#This Row],[5 cm2 cell test code]:[5 cm2 cell test code]],[1]!Table1[[Test code]:[Test code]],[1]!Table1[Ionic resistance DIW/Ohm cm2],"",0)</f>
        <v>#REF!</v>
      </c>
      <c r="AG1872" s="69" t="e" cm="1">
        <f t="array" ref="AG1872">_xlfn.XLOOKUP(Table1[[#This Row],[5 cm2 cell test code]:[5 cm2 cell test code]],[1]!Table1[[Test code]:[Test code]],[1]!Table1[Q_int_frac DIW],"",0)</f>
        <v>#REF!</v>
      </c>
      <c r="AH1872" s="69" t="e" cm="1">
        <f t="array" ref="AH1872">_xlfn.XLOOKUP(Table1[[#This Row],[5 cm2 cell test code]:[5 cm2 cell test code]],[1]!Table1[[Test code]:[Test code]],[1]!Table1[Ionic resistance 10 mM KOH/Ohm cm2],"",0)</f>
        <v>#REF!</v>
      </c>
      <c r="AI1872" s="69" t="e" cm="1">
        <f t="array" ref="AI1872">_xlfn.XLOOKUP(Table1[[#This Row],[5 cm2 cell test code]:[5 cm2 cell test code]],[1]!Table1[[Test code]:[Test code]],[1]!Table1[Q_int_frac DIW 10 mM KOH],"",0)</f>
        <v>#REF!</v>
      </c>
      <c r="AJ1872" s="69" t="e" cm="1">
        <f t="array" ref="AJ1872">_xlfn.XLOOKUP(Table1[[#This Row],[5 cm2 cell test code]:[5 cm2 cell test code]],[1]!Table1[[Test code]:[Test code]],[1]!Table1[DIW conductivity (µS/cm)],"",0)</f>
        <v>#REF!</v>
      </c>
    </row>
    <row r="1873" spans="1:36">
      <c r="A1873" s="81"/>
      <c r="U1873" s="101"/>
      <c r="V1873" s="101"/>
      <c r="W1873" s="69" t="e" cm="1">
        <f t="array" ref="W1873">_xlfn.XLOOKUP(Table1[[#This Row],[5 cm2 cell test code]:[5 cm2 cell test code]],[1]!Table1[[Test code]:[Test code]],[1]!Table1[i @ 1.8 V DIW (A/cm2)],"",0)</f>
        <v>#REF!</v>
      </c>
      <c r="X1873" s="69" t="e" cm="1">
        <f t="array" ref="X1873">_xlfn.XLOOKUP(Table1[[#This Row],[5 cm2 cell test code]:[5 cm2 cell test code]],[1]!Table1[[Test code]:[Test code]],[1]!Table1[i @ 1.8 V 10 mM KOH (A/cm2)],"",0)</f>
        <v>#REF!</v>
      </c>
      <c r="Y1873" s="69" t="e" cm="1">
        <f t="array" ref="Y1873">_xlfn.XLOOKUP(Table1[[#This Row],[5 cm2 cell test code]:[5 cm2 cell test code]],[1]!Table1[[Test code]:[Test code]],[1]!Table1[3-E ƞ at 20mAcm-2 (mV)],"",0)</f>
        <v>#REF!</v>
      </c>
      <c r="Z1873" s="69" t="e" cm="1">
        <f t="array" ref="Z1873">_xlfn.XLOOKUP(Table1[[#This Row],[5 cm2 cell test code]:[5 cm2 cell test code]],[1]!Table1[[Test code]:[Test code]],[1]!Table1[3-E Tafel slope (mV/dec)],"",0)</f>
        <v>#REF!</v>
      </c>
      <c r="AA1873" s="69" t="e" cm="1">
        <f t="array" ref="AA1873">_xlfn.XLOOKUP(Table1[[#This Row],[5 cm2 cell test code]:[5 cm2 cell test code]],[1]!Table1[[Test code]:[Test code]],[1]!Table1[E @ 100 mA/cm2 DIW/V],"",0)</f>
        <v>#REF!</v>
      </c>
      <c r="AB1873" s="69" t="e" cm="1">
        <f t="array" ref="AB1873">_xlfn.XLOOKUP(Table1[[#This Row],[5 cm2 cell test code]:[5 cm2 cell test code]],[1]!Table1[[Test code]:[Test code]],[1]!Table1[E @ 100 mA/cm2 10 mM KOH/V],"",0)</f>
        <v>#REF!</v>
      </c>
      <c r="AC1873" s="69" t="e" cm="1">
        <f t="array" ref="AC1873">_xlfn.XLOOKUP(Table1[[#This Row],[5 cm2 cell test code]:[5 cm2 cell test code]],[1]!Table1[[Test code]:[Test code]],[1]!Table1[Anode ICR/mOhm],"",0)</f>
        <v>#REF!</v>
      </c>
      <c r="AD1873" s="69" t="e" cm="1">
        <f t="array" ref="AD1873">_xlfn.XLOOKUP(Table1[[#This Row],[5 cm2 cell test code]:[5 cm2 cell test code]],[1]!Table1[[Test code]:[Test code]],[1]!Table1[HFR DIW/ mOhm cm2],"",0)</f>
        <v>#REF!</v>
      </c>
      <c r="AE1873" s="69" t="e" cm="1">
        <f t="array" ref="AE1873">_xlfn.XLOOKUP(Table1[[#This Row],[5 cm2 cell test code]:[5 cm2 cell test code]],[1]!Table1[[Test code]:[Test code]],[1]!Table1[HFR 10 mM KOH/ mOhm cm2],"",0)</f>
        <v>#REF!</v>
      </c>
      <c r="AF1873" s="69" t="e" cm="1">
        <f t="array" ref="AF1873">_xlfn.XLOOKUP(Table1[[#This Row],[5 cm2 cell test code]:[5 cm2 cell test code]],[1]!Table1[[Test code]:[Test code]],[1]!Table1[Ionic resistance DIW/Ohm cm2],"",0)</f>
        <v>#REF!</v>
      </c>
      <c r="AG1873" s="69" t="e" cm="1">
        <f t="array" ref="AG1873">_xlfn.XLOOKUP(Table1[[#This Row],[5 cm2 cell test code]:[5 cm2 cell test code]],[1]!Table1[[Test code]:[Test code]],[1]!Table1[Q_int_frac DIW],"",0)</f>
        <v>#REF!</v>
      </c>
      <c r="AH1873" s="69" t="e" cm="1">
        <f t="array" ref="AH1873">_xlfn.XLOOKUP(Table1[[#This Row],[5 cm2 cell test code]:[5 cm2 cell test code]],[1]!Table1[[Test code]:[Test code]],[1]!Table1[Ionic resistance 10 mM KOH/Ohm cm2],"",0)</f>
        <v>#REF!</v>
      </c>
      <c r="AI1873" s="69" t="e" cm="1">
        <f t="array" ref="AI1873">_xlfn.XLOOKUP(Table1[[#This Row],[5 cm2 cell test code]:[5 cm2 cell test code]],[1]!Table1[[Test code]:[Test code]],[1]!Table1[Q_int_frac DIW 10 mM KOH],"",0)</f>
        <v>#REF!</v>
      </c>
      <c r="AJ1873" s="69" t="e" cm="1">
        <f t="array" ref="AJ1873">_xlfn.XLOOKUP(Table1[[#This Row],[5 cm2 cell test code]:[5 cm2 cell test code]],[1]!Table1[[Test code]:[Test code]],[1]!Table1[DIW conductivity (µS/cm)],"",0)</f>
        <v>#REF!</v>
      </c>
    </row>
    <row r="1874" spans="1:36">
      <c r="A1874" s="81"/>
      <c r="U1874" s="101"/>
      <c r="V1874" s="101"/>
      <c r="W1874" s="69" t="e" cm="1">
        <f t="array" ref="W1874">_xlfn.XLOOKUP(Table1[[#This Row],[5 cm2 cell test code]:[5 cm2 cell test code]],[1]!Table1[[Test code]:[Test code]],[1]!Table1[i @ 1.8 V DIW (A/cm2)],"",0)</f>
        <v>#REF!</v>
      </c>
      <c r="X1874" s="69" t="e" cm="1">
        <f t="array" ref="X1874">_xlfn.XLOOKUP(Table1[[#This Row],[5 cm2 cell test code]:[5 cm2 cell test code]],[1]!Table1[[Test code]:[Test code]],[1]!Table1[i @ 1.8 V 10 mM KOH (A/cm2)],"",0)</f>
        <v>#REF!</v>
      </c>
      <c r="Y1874" s="69" t="e" cm="1">
        <f t="array" ref="Y1874">_xlfn.XLOOKUP(Table1[[#This Row],[5 cm2 cell test code]:[5 cm2 cell test code]],[1]!Table1[[Test code]:[Test code]],[1]!Table1[3-E ƞ at 20mAcm-2 (mV)],"",0)</f>
        <v>#REF!</v>
      </c>
      <c r="Z1874" s="69" t="e" cm="1">
        <f t="array" ref="Z1874">_xlfn.XLOOKUP(Table1[[#This Row],[5 cm2 cell test code]:[5 cm2 cell test code]],[1]!Table1[[Test code]:[Test code]],[1]!Table1[3-E Tafel slope (mV/dec)],"",0)</f>
        <v>#REF!</v>
      </c>
      <c r="AA1874" s="69" t="e" cm="1">
        <f t="array" ref="AA1874">_xlfn.XLOOKUP(Table1[[#This Row],[5 cm2 cell test code]:[5 cm2 cell test code]],[1]!Table1[[Test code]:[Test code]],[1]!Table1[E @ 100 mA/cm2 DIW/V],"",0)</f>
        <v>#REF!</v>
      </c>
      <c r="AB1874" s="69" t="e" cm="1">
        <f t="array" ref="AB1874">_xlfn.XLOOKUP(Table1[[#This Row],[5 cm2 cell test code]:[5 cm2 cell test code]],[1]!Table1[[Test code]:[Test code]],[1]!Table1[E @ 100 mA/cm2 10 mM KOH/V],"",0)</f>
        <v>#REF!</v>
      </c>
      <c r="AC1874" s="69" t="e" cm="1">
        <f t="array" ref="AC1874">_xlfn.XLOOKUP(Table1[[#This Row],[5 cm2 cell test code]:[5 cm2 cell test code]],[1]!Table1[[Test code]:[Test code]],[1]!Table1[Anode ICR/mOhm],"",0)</f>
        <v>#REF!</v>
      </c>
      <c r="AD1874" s="69" t="e" cm="1">
        <f t="array" ref="AD1874">_xlfn.XLOOKUP(Table1[[#This Row],[5 cm2 cell test code]:[5 cm2 cell test code]],[1]!Table1[[Test code]:[Test code]],[1]!Table1[HFR DIW/ mOhm cm2],"",0)</f>
        <v>#REF!</v>
      </c>
      <c r="AE1874" s="69" t="e" cm="1">
        <f t="array" ref="AE1874">_xlfn.XLOOKUP(Table1[[#This Row],[5 cm2 cell test code]:[5 cm2 cell test code]],[1]!Table1[[Test code]:[Test code]],[1]!Table1[HFR 10 mM KOH/ mOhm cm2],"",0)</f>
        <v>#REF!</v>
      </c>
      <c r="AF1874" s="69" t="e" cm="1">
        <f t="array" ref="AF1874">_xlfn.XLOOKUP(Table1[[#This Row],[5 cm2 cell test code]:[5 cm2 cell test code]],[1]!Table1[[Test code]:[Test code]],[1]!Table1[Ionic resistance DIW/Ohm cm2],"",0)</f>
        <v>#REF!</v>
      </c>
      <c r="AG1874" s="69" t="e" cm="1">
        <f t="array" ref="AG1874">_xlfn.XLOOKUP(Table1[[#This Row],[5 cm2 cell test code]:[5 cm2 cell test code]],[1]!Table1[[Test code]:[Test code]],[1]!Table1[Q_int_frac DIW],"",0)</f>
        <v>#REF!</v>
      </c>
      <c r="AH1874" s="69" t="e" cm="1">
        <f t="array" ref="AH1874">_xlfn.XLOOKUP(Table1[[#This Row],[5 cm2 cell test code]:[5 cm2 cell test code]],[1]!Table1[[Test code]:[Test code]],[1]!Table1[Ionic resistance 10 mM KOH/Ohm cm2],"",0)</f>
        <v>#REF!</v>
      </c>
      <c r="AI1874" s="69" t="e" cm="1">
        <f t="array" ref="AI1874">_xlfn.XLOOKUP(Table1[[#This Row],[5 cm2 cell test code]:[5 cm2 cell test code]],[1]!Table1[[Test code]:[Test code]],[1]!Table1[Q_int_frac DIW 10 mM KOH],"",0)</f>
        <v>#REF!</v>
      </c>
      <c r="AJ1874" s="69" t="e" cm="1">
        <f t="array" ref="AJ1874">_xlfn.XLOOKUP(Table1[[#This Row],[5 cm2 cell test code]:[5 cm2 cell test code]],[1]!Table1[[Test code]:[Test code]],[1]!Table1[DIW conductivity (µS/cm)],"",0)</f>
        <v>#REF!</v>
      </c>
    </row>
    <row r="1875" spans="1:36">
      <c r="A1875" s="81"/>
      <c r="U1875" s="101"/>
      <c r="V1875" s="101"/>
      <c r="W1875" s="69" t="e" cm="1">
        <f t="array" ref="W1875">_xlfn.XLOOKUP(Table1[[#This Row],[5 cm2 cell test code]:[5 cm2 cell test code]],[1]!Table1[[Test code]:[Test code]],[1]!Table1[i @ 1.8 V DIW (A/cm2)],"",0)</f>
        <v>#REF!</v>
      </c>
      <c r="X1875" s="69" t="e" cm="1">
        <f t="array" ref="X1875">_xlfn.XLOOKUP(Table1[[#This Row],[5 cm2 cell test code]:[5 cm2 cell test code]],[1]!Table1[[Test code]:[Test code]],[1]!Table1[i @ 1.8 V 10 mM KOH (A/cm2)],"",0)</f>
        <v>#REF!</v>
      </c>
      <c r="Y1875" s="69" t="e" cm="1">
        <f t="array" ref="Y1875">_xlfn.XLOOKUP(Table1[[#This Row],[5 cm2 cell test code]:[5 cm2 cell test code]],[1]!Table1[[Test code]:[Test code]],[1]!Table1[3-E ƞ at 20mAcm-2 (mV)],"",0)</f>
        <v>#REF!</v>
      </c>
      <c r="Z1875" s="69" t="e" cm="1">
        <f t="array" ref="Z1875">_xlfn.XLOOKUP(Table1[[#This Row],[5 cm2 cell test code]:[5 cm2 cell test code]],[1]!Table1[[Test code]:[Test code]],[1]!Table1[3-E Tafel slope (mV/dec)],"",0)</f>
        <v>#REF!</v>
      </c>
      <c r="AA1875" s="69" t="e" cm="1">
        <f t="array" ref="AA1875">_xlfn.XLOOKUP(Table1[[#This Row],[5 cm2 cell test code]:[5 cm2 cell test code]],[1]!Table1[[Test code]:[Test code]],[1]!Table1[E @ 100 mA/cm2 DIW/V],"",0)</f>
        <v>#REF!</v>
      </c>
      <c r="AB1875" s="69" t="e" cm="1">
        <f t="array" ref="AB1875">_xlfn.XLOOKUP(Table1[[#This Row],[5 cm2 cell test code]:[5 cm2 cell test code]],[1]!Table1[[Test code]:[Test code]],[1]!Table1[E @ 100 mA/cm2 10 mM KOH/V],"",0)</f>
        <v>#REF!</v>
      </c>
      <c r="AC1875" s="69" t="e" cm="1">
        <f t="array" ref="AC1875">_xlfn.XLOOKUP(Table1[[#This Row],[5 cm2 cell test code]:[5 cm2 cell test code]],[1]!Table1[[Test code]:[Test code]],[1]!Table1[Anode ICR/mOhm],"",0)</f>
        <v>#REF!</v>
      </c>
      <c r="AD1875" s="69" t="e" cm="1">
        <f t="array" ref="AD1875">_xlfn.XLOOKUP(Table1[[#This Row],[5 cm2 cell test code]:[5 cm2 cell test code]],[1]!Table1[[Test code]:[Test code]],[1]!Table1[HFR DIW/ mOhm cm2],"",0)</f>
        <v>#REF!</v>
      </c>
      <c r="AE1875" s="69" t="e" cm="1">
        <f t="array" ref="AE1875">_xlfn.XLOOKUP(Table1[[#This Row],[5 cm2 cell test code]:[5 cm2 cell test code]],[1]!Table1[[Test code]:[Test code]],[1]!Table1[HFR 10 mM KOH/ mOhm cm2],"",0)</f>
        <v>#REF!</v>
      </c>
      <c r="AF1875" s="69" t="e" cm="1">
        <f t="array" ref="AF1875">_xlfn.XLOOKUP(Table1[[#This Row],[5 cm2 cell test code]:[5 cm2 cell test code]],[1]!Table1[[Test code]:[Test code]],[1]!Table1[Ionic resistance DIW/Ohm cm2],"",0)</f>
        <v>#REF!</v>
      </c>
      <c r="AG1875" s="69" t="e" cm="1">
        <f t="array" ref="AG1875">_xlfn.XLOOKUP(Table1[[#This Row],[5 cm2 cell test code]:[5 cm2 cell test code]],[1]!Table1[[Test code]:[Test code]],[1]!Table1[Q_int_frac DIW],"",0)</f>
        <v>#REF!</v>
      </c>
      <c r="AH1875" s="69" t="e" cm="1">
        <f t="array" ref="AH1875">_xlfn.XLOOKUP(Table1[[#This Row],[5 cm2 cell test code]:[5 cm2 cell test code]],[1]!Table1[[Test code]:[Test code]],[1]!Table1[Ionic resistance 10 mM KOH/Ohm cm2],"",0)</f>
        <v>#REF!</v>
      </c>
      <c r="AI1875" s="69" t="e" cm="1">
        <f t="array" ref="AI1875">_xlfn.XLOOKUP(Table1[[#This Row],[5 cm2 cell test code]:[5 cm2 cell test code]],[1]!Table1[[Test code]:[Test code]],[1]!Table1[Q_int_frac DIW 10 mM KOH],"",0)</f>
        <v>#REF!</v>
      </c>
      <c r="AJ1875" s="69" t="e" cm="1">
        <f t="array" ref="AJ1875">_xlfn.XLOOKUP(Table1[[#This Row],[5 cm2 cell test code]:[5 cm2 cell test code]],[1]!Table1[[Test code]:[Test code]],[1]!Table1[DIW conductivity (µS/cm)],"",0)</f>
        <v>#REF!</v>
      </c>
    </row>
    <row r="1876" spans="1:36">
      <c r="A1876" s="81"/>
      <c r="U1876" s="101"/>
      <c r="V1876" s="101"/>
      <c r="W1876" s="69" t="e" cm="1">
        <f t="array" ref="W1876">_xlfn.XLOOKUP(Table1[[#This Row],[5 cm2 cell test code]:[5 cm2 cell test code]],[1]!Table1[[Test code]:[Test code]],[1]!Table1[i @ 1.8 V DIW (A/cm2)],"",0)</f>
        <v>#REF!</v>
      </c>
      <c r="X1876" s="69" t="e" cm="1">
        <f t="array" ref="X1876">_xlfn.XLOOKUP(Table1[[#This Row],[5 cm2 cell test code]:[5 cm2 cell test code]],[1]!Table1[[Test code]:[Test code]],[1]!Table1[i @ 1.8 V 10 mM KOH (A/cm2)],"",0)</f>
        <v>#REF!</v>
      </c>
      <c r="Y1876" s="69" t="e" cm="1">
        <f t="array" ref="Y1876">_xlfn.XLOOKUP(Table1[[#This Row],[5 cm2 cell test code]:[5 cm2 cell test code]],[1]!Table1[[Test code]:[Test code]],[1]!Table1[3-E ƞ at 20mAcm-2 (mV)],"",0)</f>
        <v>#REF!</v>
      </c>
      <c r="Z1876" s="69" t="e" cm="1">
        <f t="array" ref="Z1876">_xlfn.XLOOKUP(Table1[[#This Row],[5 cm2 cell test code]:[5 cm2 cell test code]],[1]!Table1[[Test code]:[Test code]],[1]!Table1[3-E Tafel slope (mV/dec)],"",0)</f>
        <v>#REF!</v>
      </c>
      <c r="AA1876" s="69" t="e" cm="1">
        <f t="array" ref="AA1876">_xlfn.XLOOKUP(Table1[[#This Row],[5 cm2 cell test code]:[5 cm2 cell test code]],[1]!Table1[[Test code]:[Test code]],[1]!Table1[E @ 100 mA/cm2 DIW/V],"",0)</f>
        <v>#REF!</v>
      </c>
      <c r="AB1876" s="69" t="e" cm="1">
        <f t="array" ref="AB1876">_xlfn.XLOOKUP(Table1[[#This Row],[5 cm2 cell test code]:[5 cm2 cell test code]],[1]!Table1[[Test code]:[Test code]],[1]!Table1[E @ 100 mA/cm2 10 mM KOH/V],"",0)</f>
        <v>#REF!</v>
      </c>
      <c r="AC1876" s="69" t="e" cm="1">
        <f t="array" ref="AC1876">_xlfn.XLOOKUP(Table1[[#This Row],[5 cm2 cell test code]:[5 cm2 cell test code]],[1]!Table1[[Test code]:[Test code]],[1]!Table1[Anode ICR/mOhm],"",0)</f>
        <v>#REF!</v>
      </c>
      <c r="AD1876" s="69" t="e" cm="1">
        <f t="array" ref="AD1876">_xlfn.XLOOKUP(Table1[[#This Row],[5 cm2 cell test code]:[5 cm2 cell test code]],[1]!Table1[[Test code]:[Test code]],[1]!Table1[HFR DIW/ mOhm cm2],"",0)</f>
        <v>#REF!</v>
      </c>
      <c r="AE1876" s="69" t="e" cm="1">
        <f t="array" ref="AE1876">_xlfn.XLOOKUP(Table1[[#This Row],[5 cm2 cell test code]:[5 cm2 cell test code]],[1]!Table1[[Test code]:[Test code]],[1]!Table1[HFR 10 mM KOH/ mOhm cm2],"",0)</f>
        <v>#REF!</v>
      </c>
      <c r="AF1876" s="69" t="e" cm="1">
        <f t="array" ref="AF1876">_xlfn.XLOOKUP(Table1[[#This Row],[5 cm2 cell test code]:[5 cm2 cell test code]],[1]!Table1[[Test code]:[Test code]],[1]!Table1[Ionic resistance DIW/Ohm cm2],"",0)</f>
        <v>#REF!</v>
      </c>
      <c r="AG1876" s="69" t="e" cm="1">
        <f t="array" ref="AG1876">_xlfn.XLOOKUP(Table1[[#This Row],[5 cm2 cell test code]:[5 cm2 cell test code]],[1]!Table1[[Test code]:[Test code]],[1]!Table1[Q_int_frac DIW],"",0)</f>
        <v>#REF!</v>
      </c>
      <c r="AH1876" s="69" t="e" cm="1">
        <f t="array" ref="AH1876">_xlfn.XLOOKUP(Table1[[#This Row],[5 cm2 cell test code]:[5 cm2 cell test code]],[1]!Table1[[Test code]:[Test code]],[1]!Table1[Ionic resistance 10 mM KOH/Ohm cm2],"",0)</f>
        <v>#REF!</v>
      </c>
      <c r="AI1876" s="69" t="e" cm="1">
        <f t="array" ref="AI1876">_xlfn.XLOOKUP(Table1[[#This Row],[5 cm2 cell test code]:[5 cm2 cell test code]],[1]!Table1[[Test code]:[Test code]],[1]!Table1[Q_int_frac DIW 10 mM KOH],"",0)</f>
        <v>#REF!</v>
      </c>
      <c r="AJ1876" s="69" t="e" cm="1">
        <f t="array" ref="AJ1876">_xlfn.XLOOKUP(Table1[[#This Row],[5 cm2 cell test code]:[5 cm2 cell test code]],[1]!Table1[[Test code]:[Test code]],[1]!Table1[DIW conductivity (µS/cm)],"",0)</f>
        <v>#REF!</v>
      </c>
    </row>
    <row r="1877" spans="1:36">
      <c r="A1877" s="81"/>
      <c r="U1877" s="101"/>
      <c r="V1877" s="101"/>
      <c r="W1877" s="69" t="e" cm="1">
        <f t="array" ref="W1877">_xlfn.XLOOKUP(Table1[[#This Row],[5 cm2 cell test code]:[5 cm2 cell test code]],[1]!Table1[[Test code]:[Test code]],[1]!Table1[i @ 1.8 V DIW (A/cm2)],"",0)</f>
        <v>#REF!</v>
      </c>
      <c r="X1877" s="69" t="e" cm="1">
        <f t="array" ref="X1877">_xlfn.XLOOKUP(Table1[[#This Row],[5 cm2 cell test code]:[5 cm2 cell test code]],[1]!Table1[[Test code]:[Test code]],[1]!Table1[i @ 1.8 V 10 mM KOH (A/cm2)],"",0)</f>
        <v>#REF!</v>
      </c>
      <c r="Y1877" s="69" t="e" cm="1">
        <f t="array" ref="Y1877">_xlfn.XLOOKUP(Table1[[#This Row],[5 cm2 cell test code]:[5 cm2 cell test code]],[1]!Table1[[Test code]:[Test code]],[1]!Table1[3-E ƞ at 20mAcm-2 (mV)],"",0)</f>
        <v>#REF!</v>
      </c>
      <c r="Z1877" s="69" t="e" cm="1">
        <f t="array" ref="Z1877">_xlfn.XLOOKUP(Table1[[#This Row],[5 cm2 cell test code]:[5 cm2 cell test code]],[1]!Table1[[Test code]:[Test code]],[1]!Table1[3-E Tafel slope (mV/dec)],"",0)</f>
        <v>#REF!</v>
      </c>
      <c r="AA1877" s="69" t="e" cm="1">
        <f t="array" ref="AA1877">_xlfn.XLOOKUP(Table1[[#This Row],[5 cm2 cell test code]:[5 cm2 cell test code]],[1]!Table1[[Test code]:[Test code]],[1]!Table1[E @ 100 mA/cm2 DIW/V],"",0)</f>
        <v>#REF!</v>
      </c>
      <c r="AB1877" s="69" t="e" cm="1">
        <f t="array" ref="AB1877">_xlfn.XLOOKUP(Table1[[#This Row],[5 cm2 cell test code]:[5 cm2 cell test code]],[1]!Table1[[Test code]:[Test code]],[1]!Table1[E @ 100 mA/cm2 10 mM KOH/V],"",0)</f>
        <v>#REF!</v>
      </c>
      <c r="AC1877" s="69" t="e" cm="1">
        <f t="array" ref="AC1877">_xlfn.XLOOKUP(Table1[[#This Row],[5 cm2 cell test code]:[5 cm2 cell test code]],[1]!Table1[[Test code]:[Test code]],[1]!Table1[Anode ICR/mOhm],"",0)</f>
        <v>#REF!</v>
      </c>
      <c r="AD1877" s="69" t="e" cm="1">
        <f t="array" ref="AD1877">_xlfn.XLOOKUP(Table1[[#This Row],[5 cm2 cell test code]:[5 cm2 cell test code]],[1]!Table1[[Test code]:[Test code]],[1]!Table1[HFR DIW/ mOhm cm2],"",0)</f>
        <v>#REF!</v>
      </c>
      <c r="AE1877" s="69" t="e" cm="1">
        <f t="array" ref="AE1877">_xlfn.XLOOKUP(Table1[[#This Row],[5 cm2 cell test code]:[5 cm2 cell test code]],[1]!Table1[[Test code]:[Test code]],[1]!Table1[HFR 10 mM KOH/ mOhm cm2],"",0)</f>
        <v>#REF!</v>
      </c>
      <c r="AF1877" s="69" t="e" cm="1">
        <f t="array" ref="AF1877">_xlfn.XLOOKUP(Table1[[#This Row],[5 cm2 cell test code]:[5 cm2 cell test code]],[1]!Table1[[Test code]:[Test code]],[1]!Table1[Ionic resistance DIW/Ohm cm2],"",0)</f>
        <v>#REF!</v>
      </c>
      <c r="AG1877" s="69" t="e" cm="1">
        <f t="array" ref="AG1877">_xlfn.XLOOKUP(Table1[[#This Row],[5 cm2 cell test code]:[5 cm2 cell test code]],[1]!Table1[[Test code]:[Test code]],[1]!Table1[Q_int_frac DIW],"",0)</f>
        <v>#REF!</v>
      </c>
      <c r="AH1877" s="69" t="e" cm="1">
        <f t="array" ref="AH1877">_xlfn.XLOOKUP(Table1[[#This Row],[5 cm2 cell test code]:[5 cm2 cell test code]],[1]!Table1[[Test code]:[Test code]],[1]!Table1[Ionic resistance 10 mM KOH/Ohm cm2],"",0)</f>
        <v>#REF!</v>
      </c>
      <c r="AI1877" s="69" t="e" cm="1">
        <f t="array" ref="AI1877">_xlfn.XLOOKUP(Table1[[#This Row],[5 cm2 cell test code]:[5 cm2 cell test code]],[1]!Table1[[Test code]:[Test code]],[1]!Table1[Q_int_frac DIW 10 mM KOH],"",0)</f>
        <v>#REF!</v>
      </c>
      <c r="AJ1877" s="69" t="e" cm="1">
        <f t="array" ref="AJ1877">_xlfn.XLOOKUP(Table1[[#This Row],[5 cm2 cell test code]:[5 cm2 cell test code]],[1]!Table1[[Test code]:[Test code]],[1]!Table1[DIW conductivity (µS/cm)],"",0)</f>
        <v>#REF!</v>
      </c>
    </row>
    <row r="1878" spans="1:36">
      <c r="A1878" s="81"/>
      <c r="U1878" s="101"/>
      <c r="V1878" s="101"/>
      <c r="W1878" s="69" t="e" cm="1">
        <f t="array" ref="W1878">_xlfn.XLOOKUP(Table1[[#This Row],[5 cm2 cell test code]:[5 cm2 cell test code]],[1]!Table1[[Test code]:[Test code]],[1]!Table1[i @ 1.8 V DIW (A/cm2)],"",0)</f>
        <v>#REF!</v>
      </c>
      <c r="X1878" s="69" t="e" cm="1">
        <f t="array" ref="X1878">_xlfn.XLOOKUP(Table1[[#This Row],[5 cm2 cell test code]:[5 cm2 cell test code]],[1]!Table1[[Test code]:[Test code]],[1]!Table1[i @ 1.8 V 10 mM KOH (A/cm2)],"",0)</f>
        <v>#REF!</v>
      </c>
      <c r="Y1878" s="69" t="e" cm="1">
        <f t="array" ref="Y1878">_xlfn.XLOOKUP(Table1[[#This Row],[5 cm2 cell test code]:[5 cm2 cell test code]],[1]!Table1[[Test code]:[Test code]],[1]!Table1[3-E ƞ at 20mAcm-2 (mV)],"",0)</f>
        <v>#REF!</v>
      </c>
      <c r="Z1878" s="69" t="e" cm="1">
        <f t="array" ref="Z1878">_xlfn.XLOOKUP(Table1[[#This Row],[5 cm2 cell test code]:[5 cm2 cell test code]],[1]!Table1[[Test code]:[Test code]],[1]!Table1[3-E Tafel slope (mV/dec)],"",0)</f>
        <v>#REF!</v>
      </c>
      <c r="AA1878" s="69" t="e" cm="1">
        <f t="array" ref="AA1878">_xlfn.XLOOKUP(Table1[[#This Row],[5 cm2 cell test code]:[5 cm2 cell test code]],[1]!Table1[[Test code]:[Test code]],[1]!Table1[E @ 100 mA/cm2 DIW/V],"",0)</f>
        <v>#REF!</v>
      </c>
      <c r="AB1878" s="69" t="e" cm="1">
        <f t="array" ref="AB1878">_xlfn.XLOOKUP(Table1[[#This Row],[5 cm2 cell test code]:[5 cm2 cell test code]],[1]!Table1[[Test code]:[Test code]],[1]!Table1[E @ 100 mA/cm2 10 mM KOH/V],"",0)</f>
        <v>#REF!</v>
      </c>
      <c r="AC1878" s="69" t="e" cm="1">
        <f t="array" ref="AC1878">_xlfn.XLOOKUP(Table1[[#This Row],[5 cm2 cell test code]:[5 cm2 cell test code]],[1]!Table1[[Test code]:[Test code]],[1]!Table1[Anode ICR/mOhm],"",0)</f>
        <v>#REF!</v>
      </c>
      <c r="AD1878" s="69" t="e" cm="1">
        <f t="array" ref="AD1878">_xlfn.XLOOKUP(Table1[[#This Row],[5 cm2 cell test code]:[5 cm2 cell test code]],[1]!Table1[[Test code]:[Test code]],[1]!Table1[HFR DIW/ mOhm cm2],"",0)</f>
        <v>#REF!</v>
      </c>
      <c r="AE1878" s="69" t="e" cm="1">
        <f t="array" ref="AE1878">_xlfn.XLOOKUP(Table1[[#This Row],[5 cm2 cell test code]:[5 cm2 cell test code]],[1]!Table1[[Test code]:[Test code]],[1]!Table1[HFR 10 mM KOH/ mOhm cm2],"",0)</f>
        <v>#REF!</v>
      </c>
      <c r="AF1878" s="69" t="e" cm="1">
        <f t="array" ref="AF1878">_xlfn.XLOOKUP(Table1[[#This Row],[5 cm2 cell test code]:[5 cm2 cell test code]],[1]!Table1[[Test code]:[Test code]],[1]!Table1[Ionic resistance DIW/Ohm cm2],"",0)</f>
        <v>#REF!</v>
      </c>
      <c r="AG1878" s="69" t="e" cm="1">
        <f t="array" ref="AG1878">_xlfn.XLOOKUP(Table1[[#This Row],[5 cm2 cell test code]:[5 cm2 cell test code]],[1]!Table1[[Test code]:[Test code]],[1]!Table1[Q_int_frac DIW],"",0)</f>
        <v>#REF!</v>
      </c>
      <c r="AH1878" s="69" t="e" cm="1">
        <f t="array" ref="AH1878">_xlfn.XLOOKUP(Table1[[#This Row],[5 cm2 cell test code]:[5 cm2 cell test code]],[1]!Table1[[Test code]:[Test code]],[1]!Table1[Ionic resistance 10 mM KOH/Ohm cm2],"",0)</f>
        <v>#REF!</v>
      </c>
      <c r="AI1878" s="69" t="e" cm="1">
        <f t="array" ref="AI1878">_xlfn.XLOOKUP(Table1[[#This Row],[5 cm2 cell test code]:[5 cm2 cell test code]],[1]!Table1[[Test code]:[Test code]],[1]!Table1[Q_int_frac DIW 10 mM KOH],"",0)</f>
        <v>#REF!</v>
      </c>
      <c r="AJ1878" s="69" t="e" cm="1">
        <f t="array" ref="AJ1878">_xlfn.XLOOKUP(Table1[[#This Row],[5 cm2 cell test code]:[5 cm2 cell test code]],[1]!Table1[[Test code]:[Test code]],[1]!Table1[DIW conductivity (µS/cm)],"",0)</f>
        <v>#REF!</v>
      </c>
    </row>
    <row r="1879" spans="1:36">
      <c r="A1879" s="81"/>
      <c r="U1879" s="101"/>
      <c r="V1879" s="101"/>
      <c r="W1879" s="69" t="e" cm="1">
        <f t="array" ref="W1879">_xlfn.XLOOKUP(Table1[[#This Row],[5 cm2 cell test code]:[5 cm2 cell test code]],[1]!Table1[[Test code]:[Test code]],[1]!Table1[i @ 1.8 V DIW (A/cm2)],"",0)</f>
        <v>#REF!</v>
      </c>
      <c r="X1879" s="69" t="e" cm="1">
        <f t="array" ref="X1879">_xlfn.XLOOKUP(Table1[[#This Row],[5 cm2 cell test code]:[5 cm2 cell test code]],[1]!Table1[[Test code]:[Test code]],[1]!Table1[i @ 1.8 V 10 mM KOH (A/cm2)],"",0)</f>
        <v>#REF!</v>
      </c>
      <c r="Y1879" s="69" t="e" cm="1">
        <f t="array" ref="Y1879">_xlfn.XLOOKUP(Table1[[#This Row],[5 cm2 cell test code]:[5 cm2 cell test code]],[1]!Table1[[Test code]:[Test code]],[1]!Table1[3-E ƞ at 20mAcm-2 (mV)],"",0)</f>
        <v>#REF!</v>
      </c>
      <c r="Z1879" s="69" t="e" cm="1">
        <f t="array" ref="Z1879">_xlfn.XLOOKUP(Table1[[#This Row],[5 cm2 cell test code]:[5 cm2 cell test code]],[1]!Table1[[Test code]:[Test code]],[1]!Table1[3-E Tafel slope (mV/dec)],"",0)</f>
        <v>#REF!</v>
      </c>
      <c r="AA1879" s="69" t="e" cm="1">
        <f t="array" ref="AA1879">_xlfn.XLOOKUP(Table1[[#This Row],[5 cm2 cell test code]:[5 cm2 cell test code]],[1]!Table1[[Test code]:[Test code]],[1]!Table1[E @ 100 mA/cm2 DIW/V],"",0)</f>
        <v>#REF!</v>
      </c>
      <c r="AB1879" s="69" t="e" cm="1">
        <f t="array" ref="AB1879">_xlfn.XLOOKUP(Table1[[#This Row],[5 cm2 cell test code]:[5 cm2 cell test code]],[1]!Table1[[Test code]:[Test code]],[1]!Table1[E @ 100 mA/cm2 10 mM KOH/V],"",0)</f>
        <v>#REF!</v>
      </c>
      <c r="AC1879" s="69" t="e" cm="1">
        <f t="array" ref="AC1879">_xlfn.XLOOKUP(Table1[[#This Row],[5 cm2 cell test code]:[5 cm2 cell test code]],[1]!Table1[[Test code]:[Test code]],[1]!Table1[Anode ICR/mOhm],"",0)</f>
        <v>#REF!</v>
      </c>
      <c r="AD1879" s="69" t="e" cm="1">
        <f t="array" ref="AD1879">_xlfn.XLOOKUP(Table1[[#This Row],[5 cm2 cell test code]:[5 cm2 cell test code]],[1]!Table1[[Test code]:[Test code]],[1]!Table1[HFR DIW/ mOhm cm2],"",0)</f>
        <v>#REF!</v>
      </c>
      <c r="AE1879" s="69" t="e" cm="1">
        <f t="array" ref="AE1879">_xlfn.XLOOKUP(Table1[[#This Row],[5 cm2 cell test code]:[5 cm2 cell test code]],[1]!Table1[[Test code]:[Test code]],[1]!Table1[HFR 10 mM KOH/ mOhm cm2],"",0)</f>
        <v>#REF!</v>
      </c>
      <c r="AF1879" s="69" t="e" cm="1">
        <f t="array" ref="AF1879">_xlfn.XLOOKUP(Table1[[#This Row],[5 cm2 cell test code]:[5 cm2 cell test code]],[1]!Table1[[Test code]:[Test code]],[1]!Table1[Ionic resistance DIW/Ohm cm2],"",0)</f>
        <v>#REF!</v>
      </c>
      <c r="AG1879" s="69" t="e" cm="1">
        <f t="array" ref="AG1879">_xlfn.XLOOKUP(Table1[[#This Row],[5 cm2 cell test code]:[5 cm2 cell test code]],[1]!Table1[[Test code]:[Test code]],[1]!Table1[Q_int_frac DIW],"",0)</f>
        <v>#REF!</v>
      </c>
      <c r="AH1879" s="69" t="e" cm="1">
        <f t="array" ref="AH1879">_xlfn.XLOOKUP(Table1[[#This Row],[5 cm2 cell test code]:[5 cm2 cell test code]],[1]!Table1[[Test code]:[Test code]],[1]!Table1[Ionic resistance 10 mM KOH/Ohm cm2],"",0)</f>
        <v>#REF!</v>
      </c>
      <c r="AI1879" s="69" t="e" cm="1">
        <f t="array" ref="AI1879">_xlfn.XLOOKUP(Table1[[#This Row],[5 cm2 cell test code]:[5 cm2 cell test code]],[1]!Table1[[Test code]:[Test code]],[1]!Table1[Q_int_frac DIW 10 mM KOH],"",0)</f>
        <v>#REF!</v>
      </c>
      <c r="AJ1879" s="69" t="e" cm="1">
        <f t="array" ref="AJ1879">_xlfn.XLOOKUP(Table1[[#This Row],[5 cm2 cell test code]:[5 cm2 cell test code]],[1]!Table1[[Test code]:[Test code]],[1]!Table1[DIW conductivity (µS/cm)],"",0)</f>
        <v>#REF!</v>
      </c>
    </row>
    <row r="1880" spans="1:36">
      <c r="A1880" s="81"/>
      <c r="U1880" s="101"/>
      <c r="V1880" s="101"/>
      <c r="W1880" s="69" t="e" cm="1">
        <f t="array" ref="W1880">_xlfn.XLOOKUP(Table1[[#This Row],[5 cm2 cell test code]:[5 cm2 cell test code]],[1]!Table1[[Test code]:[Test code]],[1]!Table1[i @ 1.8 V DIW (A/cm2)],"",0)</f>
        <v>#REF!</v>
      </c>
      <c r="X1880" s="69" t="e" cm="1">
        <f t="array" ref="X1880">_xlfn.XLOOKUP(Table1[[#This Row],[5 cm2 cell test code]:[5 cm2 cell test code]],[1]!Table1[[Test code]:[Test code]],[1]!Table1[i @ 1.8 V 10 mM KOH (A/cm2)],"",0)</f>
        <v>#REF!</v>
      </c>
      <c r="Y1880" s="69" t="e" cm="1">
        <f t="array" ref="Y1880">_xlfn.XLOOKUP(Table1[[#This Row],[5 cm2 cell test code]:[5 cm2 cell test code]],[1]!Table1[[Test code]:[Test code]],[1]!Table1[3-E ƞ at 20mAcm-2 (mV)],"",0)</f>
        <v>#REF!</v>
      </c>
      <c r="Z1880" s="69" t="e" cm="1">
        <f t="array" ref="Z1880">_xlfn.XLOOKUP(Table1[[#This Row],[5 cm2 cell test code]:[5 cm2 cell test code]],[1]!Table1[[Test code]:[Test code]],[1]!Table1[3-E Tafel slope (mV/dec)],"",0)</f>
        <v>#REF!</v>
      </c>
      <c r="AA1880" s="69" t="e" cm="1">
        <f t="array" ref="AA1880">_xlfn.XLOOKUP(Table1[[#This Row],[5 cm2 cell test code]:[5 cm2 cell test code]],[1]!Table1[[Test code]:[Test code]],[1]!Table1[E @ 100 mA/cm2 DIW/V],"",0)</f>
        <v>#REF!</v>
      </c>
      <c r="AB1880" s="69" t="e" cm="1">
        <f t="array" ref="AB1880">_xlfn.XLOOKUP(Table1[[#This Row],[5 cm2 cell test code]:[5 cm2 cell test code]],[1]!Table1[[Test code]:[Test code]],[1]!Table1[E @ 100 mA/cm2 10 mM KOH/V],"",0)</f>
        <v>#REF!</v>
      </c>
      <c r="AC1880" s="69" t="e" cm="1">
        <f t="array" ref="AC1880">_xlfn.XLOOKUP(Table1[[#This Row],[5 cm2 cell test code]:[5 cm2 cell test code]],[1]!Table1[[Test code]:[Test code]],[1]!Table1[Anode ICR/mOhm],"",0)</f>
        <v>#REF!</v>
      </c>
      <c r="AD1880" s="69" t="e" cm="1">
        <f t="array" ref="AD1880">_xlfn.XLOOKUP(Table1[[#This Row],[5 cm2 cell test code]:[5 cm2 cell test code]],[1]!Table1[[Test code]:[Test code]],[1]!Table1[HFR DIW/ mOhm cm2],"",0)</f>
        <v>#REF!</v>
      </c>
      <c r="AE1880" s="69" t="e" cm="1">
        <f t="array" ref="AE1880">_xlfn.XLOOKUP(Table1[[#This Row],[5 cm2 cell test code]:[5 cm2 cell test code]],[1]!Table1[[Test code]:[Test code]],[1]!Table1[HFR 10 mM KOH/ mOhm cm2],"",0)</f>
        <v>#REF!</v>
      </c>
      <c r="AF1880" s="69" t="e" cm="1">
        <f t="array" ref="AF1880">_xlfn.XLOOKUP(Table1[[#This Row],[5 cm2 cell test code]:[5 cm2 cell test code]],[1]!Table1[[Test code]:[Test code]],[1]!Table1[Ionic resistance DIW/Ohm cm2],"",0)</f>
        <v>#REF!</v>
      </c>
      <c r="AG1880" s="69" t="e" cm="1">
        <f t="array" ref="AG1880">_xlfn.XLOOKUP(Table1[[#This Row],[5 cm2 cell test code]:[5 cm2 cell test code]],[1]!Table1[[Test code]:[Test code]],[1]!Table1[Q_int_frac DIW],"",0)</f>
        <v>#REF!</v>
      </c>
      <c r="AH1880" s="69" t="e" cm="1">
        <f t="array" ref="AH1880">_xlfn.XLOOKUP(Table1[[#This Row],[5 cm2 cell test code]:[5 cm2 cell test code]],[1]!Table1[[Test code]:[Test code]],[1]!Table1[Ionic resistance 10 mM KOH/Ohm cm2],"",0)</f>
        <v>#REF!</v>
      </c>
      <c r="AI1880" s="69" t="e" cm="1">
        <f t="array" ref="AI1880">_xlfn.XLOOKUP(Table1[[#This Row],[5 cm2 cell test code]:[5 cm2 cell test code]],[1]!Table1[[Test code]:[Test code]],[1]!Table1[Q_int_frac DIW 10 mM KOH],"",0)</f>
        <v>#REF!</v>
      </c>
      <c r="AJ1880" s="69" t="e" cm="1">
        <f t="array" ref="AJ1880">_xlfn.XLOOKUP(Table1[[#This Row],[5 cm2 cell test code]:[5 cm2 cell test code]],[1]!Table1[[Test code]:[Test code]],[1]!Table1[DIW conductivity (µS/cm)],"",0)</f>
        <v>#REF!</v>
      </c>
    </row>
    <row r="1881" spans="1:36">
      <c r="A1881" s="81"/>
      <c r="U1881" s="101"/>
      <c r="V1881" s="101"/>
      <c r="W1881" s="69" t="e" cm="1">
        <f t="array" ref="W1881">_xlfn.XLOOKUP(Table1[[#This Row],[5 cm2 cell test code]:[5 cm2 cell test code]],[1]!Table1[[Test code]:[Test code]],[1]!Table1[i @ 1.8 V DIW (A/cm2)],"",0)</f>
        <v>#REF!</v>
      </c>
      <c r="X1881" s="69" t="e" cm="1">
        <f t="array" ref="X1881">_xlfn.XLOOKUP(Table1[[#This Row],[5 cm2 cell test code]:[5 cm2 cell test code]],[1]!Table1[[Test code]:[Test code]],[1]!Table1[i @ 1.8 V 10 mM KOH (A/cm2)],"",0)</f>
        <v>#REF!</v>
      </c>
      <c r="Y1881" s="69" t="e" cm="1">
        <f t="array" ref="Y1881">_xlfn.XLOOKUP(Table1[[#This Row],[5 cm2 cell test code]:[5 cm2 cell test code]],[1]!Table1[[Test code]:[Test code]],[1]!Table1[3-E ƞ at 20mAcm-2 (mV)],"",0)</f>
        <v>#REF!</v>
      </c>
      <c r="Z1881" s="69" t="e" cm="1">
        <f t="array" ref="Z1881">_xlfn.XLOOKUP(Table1[[#This Row],[5 cm2 cell test code]:[5 cm2 cell test code]],[1]!Table1[[Test code]:[Test code]],[1]!Table1[3-E Tafel slope (mV/dec)],"",0)</f>
        <v>#REF!</v>
      </c>
      <c r="AA1881" s="69" t="e" cm="1">
        <f t="array" ref="AA1881">_xlfn.XLOOKUP(Table1[[#This Row],[5 cm2 cell test code]:[5 cm2 cell test code]],[1]!Table1[[Test code]:[Test code]],[1]!Table1[E @ 100 mA/cm2 DIW/V],"",0)</f>
        <v>#REF!</v>
      </c>
      <c r="AB1881" s="69" t="e" cm="1">
        <f t="array" ref="AB1881">_xlfn.XLOOKUP(Table1[[#This Row],[5 cm2 cell test code]:[5 cm2 cell test code]],[1]!Table1[[Test code]:[Test code]],[1]!Table1[E @ 100 mA/cm2 10 mM KOH/V],"",0)</f>
        <v>#REF!</v>
      </c>
      <c r="AC1881" s="69" t="e" cm="1">
        <f t="array" ref="AC1881">_xlfn.XLOOKUP(Table1[[#This Row],[5 cm2 cell test code]:[5 cm2 cell test code]],[1]!Table1[[Test code]:[Test code]],[1]!Table1[Anode ICR/mOhm],"",0)</f>
        <v>#REF!</v>
      </c>
      <c r="AD1881" s="69" t="e" cm="1">
        <f t="array" ref="AD1881">_xlfn.XLOOKUP(Table1[[#This Row],[5 cm2 cell test code]:[5 cm2 cell test code]],[1]!Table1[[Test code]:[Test code]],[1]!Table1[HFR DIW/ mOhm cm2],"",0)</f>
        <v>#REF!</v>
      </c>
      <c r="AE1881" s="69" t="e" cm="1">
        <f t="array" ref="AE1881">_xlfn.XLOOKUP(Table1[[#This Row],[5 cm2 cell test code]:[5 cm2 cell test code]],[1]!Table1[[Test code]:[Test code]],[1]!Table1[HFR 10 mM KOH/ mOhm cm2],"",0)</f>
        <v>#REF!</v>
      </c>
      <c r="AF1881" s="69" t="e" cm="1">
        <f t="array" ref="AF1881">_xlfn.XLOOKUP(Table1[[#This Row],[5 cm2 cell test code]:[5 cm2 cell test code]],[1]!Table1[[Test code]:[Test code]],[1]!Table1[Ionic resistance DIW/Ohm cm2],"",0)</f>
        <v>#REF!</v>
      </c>
      <c r="AG1881" s="69" t="e" cm="1">
        <f t="array" ref="AG1881">_xlfn.XLOOKUP(Table1[[#This Row],[5 cm2 cell test code]:[5 cm2 cell test code]],[1]!Table1[[Test code]:[Test code]],[1]!Table1[Q_int_frac DIW],"",0)</f>
        <v>#REF!</v>
      </c>
      <c r="AH1881" s="69" t="e" cm="1">
        <f t="array" ref="AH1881">_xlfn.XLOOKUP(Table1[[#This Row],[5 cm2 cell test code]:[5 cm2 cell test code]],[1]!Table1[[Test code]:[Test code]],[1]!Table1[Ionic resistance 10 mM KOH/Ohm cm2],"",0)</f>
        <v>#REF!</v>
      </c>
      <c r="AI1881" s="69" t="e" cm="1">
        <f t="array" ref="AI1881">_xlfn.XLOOKUP(Table1[[#This Row],[5 cm2 cell test code]:[5 cm2 cell test code]],[1]!Table1[[Test code]:[Test code]],[1]!Table1[Q_int_frac DIW 10 mM KOH],"",0)</f>
        <v>#REF!</v>
      </c>
      <c r="AJ1881" s="69" t="e" cm="1">
        <f t="array" ref="AJ1881">_xlfn.XLOOKUP(Table1[[#This Row],[5 cm2 cell test code]:[5 cm2 cell test code]],[1]!Table1[[Test code]:[Test code]],[1]!Table1[DIW conductivity (µS/cm)],"",0)</f>
        <v>#REF!</v>
      </c>
    </row>
    <row r="1882" spans="1:36">
      <c r="A1882" s="81"/>
      <c r="U1882" s="101"/>
      <c r="V1882" s="101"/>
      <c r="W1882" s="69" t="e" cm="1">
        <f t="array" ref="W1882">_xlfn.XLOOKUP(Table1[[#This Row],[5 cm2 cell test code]:[5 cm2 cell test code]],[1]!Table1[[Test code]:[Test code]],[1]!Table1[i @ 1.8 V DIW (A/cm2)],"",0)</f>
        <v>#REF!</v>
      </c>
      <c r="X1882" s="69" t="e" cm="1">
        <f t="array" ref="X1882">_xlfn.XLOOKUP(Table1[[#This Row],[5 cm2 cell test code]:[5 cm2 cell test code]],[1]!Table1[[Test code]:[Test code]],[1]!Table1[i @ 1.8 V 10 mM KOH (A/cm2)],"",0)</f>
        <v>#REF!</v>
      </c>
      <c r="Y1882" s="69" t="e" cm="1">
        <f t="array" ref="Y1882">_xlfn.XLOOKUP(Table1[[#This Row],[5 cm2 cell test code]:[5 cm2 cell test code]],[1]!Table1[[Test code]:[Test code]],[1]!Table1[3-E ƞ at 20mAcm-2 (mV)],"",0)</f>
        <v>#REF!</v>
      </c>
      <c r="Z1882" s="69" t="e" cm="1">
        <f t="array" ref="Z1882">_xlfn.XLOOKUP(Table1[[#This Row],[5 cm2 cell test code]:[5 cm2 cell test code]],[1]!Table1[[Test code]:[Test code]],[1]!Table1[3-E Tafel slope (mV/dec)],"",0)</f>
        <v>#REF!</v>
      </c>
      <c r="AA1882" s="69" t="e" cm="1">
        <f t="array" ref="AA1882">_xlfn.XLOOKUP(Table1[[#This Row],[5 cm2 cell test code]:[5 cm2 cell test code]],[1]!Table1[[Test code]:[Test code]],[1]!Table1[E @ 100 mA/cm2 DIW/V],"",0)</f>
        <v>#REF!</v>
      </c>
      <c r="AB1882" s="69" t="e" cm="1">
        <f t="array" ref="AB1882">_xlfn.XLOOKUP(Table1[[#This Row],[5 cm2 cell test code]:[5 cm2 cell test code]],[1]!Table1[[Test code]:[Test code]],[1]!Table1[E @ 100 mA/cm2 10 mM KOH/V],"",0)</f>
        <v>#REF!</v>
      </c>
      <c r="AC1882" s="69" t="e" cm="1">
        <f t="array" ref="AC1882">_xlfn.XLOOKUP(Table1[[#This Row],[5 cm2 cell test code]:[5 cm2 cell test code]],[1]!Table1[[Test code]:[Test code]],[1]!Table1[Anode ICR/mOhm],"",0)</f>
        <v>#REF!</v>
      </c>
      <c r="AD1882" s="69" t="e" cm="1">
        <f t="array" ref="AD1882">_xlfn.XLOOKUP(Table1[[#This Row],[5 cm2 cell test code]:[5 cm2 cell test code]],[1]!Table1[[Test code]:[Test code]],[1]!Table1[HFR DIW/ mOhm cm2],"",0)</f>
        <v>#REF!</v>
      </c>
      <c r="AE1882" s="69" t="e" cm="1">
        <f t="array" ref="AE1882">_xlfn.XLOOKUP(Table1[[#This Row],[5 cm2 cell test code]:[5 cm2 cell test code]],[1]!Table1[[Test code]:[Test code]],[1]!Table1[HFR 10 mM KOH/ mOhm cm2],"",0)</f>
        <v>#REF!</v>
      </c>
      <c r="AF1882" s="69" t="e" cm="1">
        <f t="array" ref="AF1882">_xlfn.XLOOKUP(Table1[[#This Row],[5 cm2 cell test code]:[5 cm2 cell test code]],[1]!Table1[[Test code]:[Test code]],[1]!Table1[Ionic resistance DIW/Ohm cm2],"",0)</f>
        <v>#REF!</v>
      </c>
      <c r="AG1882" s="69" t="e" cm="1">
        <f t="array" ref="AG1882">_xlfn.XLOOKUP(Table1[[#This Row],[5 cm2 cell test code]:[5 cm2 cell test code]],[1]!Table1[[Test code]:[Test code]],[1]!Table1[Q_int_frac DIW],"",0)</f>
        <v>#REF!</v>
      </c>
      <c r="AH1882" s="69" t="e" cm="1">
        <f t="array" ref="AH1882">_xlfn.XLOOKUP(Table1[[#This Row],[5 cm2 cell test code]:[5 cm2 cell test code]],[1]!Table1[[Test code]:[Test code]],[1]!Table1[Ionic resistance 10 mM KOH/Ohm cm2],"",0)</f>
        <v>#REF!</v>
      </c>
      <c r="AI1882" s="69" t="e" cm="1">
        <f t="array" ref="AI1882">_xlfn.XLOOKUP(Table1[[#This Row],[5 cm2 cell test code]:[5 cm2 cell test code]],[1]!Table1[[Test code]:[Test code]],[1]!Table1[Q_int_frac DIW 10 mM KOH],"",0)</f>
        <v>#REF!</v>
      </c>
      <c r="AJ1882" s="69" t="e" cm="1">
        <f t="array" ref="AJ1882">_xlfn.XLOOKUP(Table1[[#This Row],[5 cm2 cell test code]:[5 cm2 cell test code]],[1]!Table1[[Test code]:[Test code]],[1]!Table1[DIW conductivity (µS/cm)],"",0)</f>
        <v>#REF!</v>
      </c>
    </row>
    <row r="1883" spans="1:36">
      <c r="A1883" s="81"/>
      <c r="U1883" s="101"/>
      <c r="V1883" s="101"/>
      <c r="W1883" s="69" t="e" cm="1">
        <f t="array" ref="W1883">_xlfn.XLOOKUP(Table1[[#This Row],[5 cm2 cell test code]:[5 cm2 cell test code]],[1]!Table1[[Test code]:[Test code]],[1]!Table1[i @ 1.8 V DIW (A/cm2)],"",0)</f>
        <v>#REF!</v>
      </c>
      <c r="X1883" s="69" t="e" cm="1">
        <f t="array" ref="X1883">_xlfn.XLOOKUP(Table1[[#This Row],[5 cm2 cell test code]:[5 cm2 cell test code]],[1]!Table1[[Test code]:[Test code]],[1]!Table1[i @ 1.8 V 10 mM KOH (A/cm2)],"",0)</f>
        <v>#REF!</v>
      </c>
      <c r="Y1883" s="69" t="e" cm="1">
        <f t="array" ref="Y1883">_xlfn.XLOOKUP(Table1[[#This Row],[5 cm2 cell test code]:[5 cm2 cell test code]],[1]!Table1[[Test code]:[Test code]],[1]!Table1[3-E ƞ at 20mAcm-2 (mV)],"",0)</f>
        <v>#REF!</v>
      </c>
      <c r="Z1883" s="69" t="e" cm="1">
        <f t="array" ref="Z1883">_xlfn.XLOOKUP(Table1[[#This Row],[5 cm2 cell test code]:[5 cm2 cell test code]],[1]!Table1[[Test code]:[Test code]],[1]!Table1[3-E Tafel slope (mV/dec)],"",0)</f>
        <v>#REF!</v>
      </c>
      <c r="AA1883" s="69" t="e" cm="1">
        <f t="array" ref="AA1883">_xlfn.XLOOKUP(Table1[[#This Row],[5 cm2 cell test code]:[5 cm2 cell test code]],[1]!Table1[[Test code]:[Test code]],[1]!Table1[E @ 100 mA/cm2 DIW/V],"",0)</f>
        <v>#REF!</v>
      </c>
      <c r="AB1883" s="69" t="e" cm="1">
        <f t="array" ref="AB1883">_xlfn.XLOOKUP(Table1[[#This Row],[5 cm2 cell test code]:[5 cm2 cell test code]],[1]!Table1[[Test code]:[Test code]],[1]!Table1[E @ 100 mA/cm2 10 mM KOH/V],"",0)</f>
        <v>#REF!</v>
      </c>
      <c r="AC1883" s="69" t="e" cm="1">
        <f t="array" ref="AC1883">_xlfn.XLOOKUP(Table1[[#This Row],[5 cm2 cell test code]:[5 cm2 cell test code]],[1]!Table1[[Test code]:[Test code]],[1]!Table1[Anode ICR/mOhm],"",0)</f>
        <v>#REF!</v>
      </c>
      <c r="AD1883" s="69" t="e" cm="1">
        <f t="array" ref="AD1883">_xlfn.XLOOKUP(Table1[[#This Row],[5 cm2 cell test code]:[5 cm2 cell test code]],[1]!Table1[[Test code]:[Test code]],[1]!Table1[HFR DIW/ mOhm cm2],"",0)</f>
        <v>#REF!</v>
      </c>
      <c r="AE1883" s="69" t="e" cm="1">
        <f t="array" ref="AE1883">_xlfn.XLOOKUP(Table1[[#This Row],[5 cm2 cell test code]:[5 cm2 cell test code]],[1]!Table1[[Test code]:[Test code]],[1]!Table1[HFR 10 mM KOH/ mOhm cm2],"",0)</f>
        <v>#REF!</v>
      </c>
      <c r="AF1883" s="69" t="e" cm="1">
        <f t="array" ref="AF1883">_xlfn.XLOOKUP(Table1[[#This Row],[5 cm2 cell test code]:[5 cm2 cell test code]],[1]!Table1[[Test code]:[Test code]],[1]!Table1[Ionic resistance DIW/Ohm cm2],"",0)</f>
        <v>#REF!</v>
      </c>
      <c r="AG1883" s="69" t="e" cm="1">
        <f t="array" ref="AG1883">_xlfn.XLOOKUP(Table1[[#This Row],[5 cm2 cell test code]:[5 cm2 cell test code]],[1]!Table1[[Test code]:[Test code]],[1]!Table1[Q_int_frac DIW],"",0)</f>
        <v>#REF!</v>
      </c>
      <c r="AH1883" s="69" t="e" cm="1">
        <f t="array" ref="AH1883">_xlfn.XLOOKUP(Table1[[#This Row],[5 cm2 cell test code]:[5 cm2 cell test code]],[1]!Table1[[Test code]:[Test code]],[1]!Table1[Ionic resistance 10 mM KOH/Ohm cm2],"",0)</f>
        <v>#REF!</v>
      </c>
      <c r="AI1883" s="69" t="e" cm="1">
        <f t="array" ref="AI1883">_xlfn.XLOOKUP(Table1[[#This Row],[5 cm2 cell test code]:[5 cm2 cell test code]],[1]!Table1[[Test code]:[Test code]],[1]!Table1[Q_int_frac DIW 10 mM KOH],"",0)</f>
        <v>#REF!</v>
      </c>
      <c r="AJ1883" s="69" t="e" cm="1">
        <f t="array" ref="AJ1883">_xlfn.XLOOKUP(Table1[[#This Row],[5 cm2 cell test code]:[5 cm2 cell test code]],[1]!Table1[[Test code]:[Test code]],[1]!Table1[DIW conductivity (µS/cm)],"",0)</f>
        <v>#REF!</v>
      </c>
    </row>
    <row r="1884" spans="1:36">
      <c r="A1884" s="81"/>
      <c r="U1884" s="101"/>
      <c r="V1884" s="101"/>
      <c r="W1884" s="69" t="e" cm="1">
        <f t="array" ref="W1884">_xlfn.XLOOKUP(Table1[[#This Row],[5 cm2 cell test code]:[5 cm2 cell test code]],[1]!Table1[[Test code]:[Test code]],[1]!Table1[i @ 1.8 V DIW (A/cm2)],"",0)</f>
        <v>#REF!</v>
      </c>
      <c r="X1884" s="69" t="e" cm="1">
        <f t="array" ref="X1884">_xlfn.XLOOKUP(Table1[[#This Row],[5 cm2 cell test code]:[5 cm2 cell test code]],[1]!Table1[[Test code]:[Test code]],[1]!Table1[i @ 1.8 V 10 mM KOH (A/cm2)],"",0)</f>
        <v>#REF!</v>
      </c>
      <c r="Y1884" s="69" t="e" cm="1">
        <f t="array" ref="Y1884">_xlfn.XLOOKUP(Table1[[#This Row],[5 cm2 cell test code]:[5 cm2 cell test code]],[1]!Table1[[Test code]:[Test code]],[1]!Table1[3-E ƞ at 20mAcm-2 (mV)],"",0)</f>
        <v>#REF!</v>
      </c>
      <c r="Z1884" s="69" t="e" cm="1">
        <f t="array" ref="Z1884">_xlfn.XLOOKUP(Table1[[#This Row],[5 cm2 cell test code]:[5 cm2 cell test code]],[1]!Table1[[Test code]:[Test code]],[1]!Table1[3-E Tafel slope (mV/dec)],"",0)</f>
        <v>#REF!</v>
      </c>
      <c r="AA1884" s="69" t="e" cm="1">
        <f t="array" ref="AA1884">_xlfn.XLOOKUP(Table1[[#This Row],[5 cm2 cell test code]:[5 cm2 cell test code]],[1]!Table1[[Test code]:[Test code]],[1]!Table1[E @ 100 mA/cm2 DIW/V],"",0)</f>
        <v>#REF!</v>
      </c>
      <c r="AB1884" s="69" t="e" cm="1">
        <f t="array" ref="AB1884">_xlfn.XLOOKUP(Table1[[#This Row],[5 cm2 cell test code]:[5 cm2 cell test code]],[1]!Table1[[Test code]:[Test code]],[1]!Table1[E @ 100 mA/cm2 10 mM KOH/V],"",0)</f>
        <v>#REF!</v>
      </c>
      <c r="AC1884" s="69" t="e" cm="1">
        <f t="array" ref="AC1884">_xlfn.XLOOKUP(Table1[[#This Row],[5 cm2 cell test code]:[5 cm2 cell test code]],[1]!Table1[[Test code]:[Test code]],[1]!Table1[Anode ICR/mOhm],"",0)</f>
        <v>#REF!</v>
      </c>
      <c r="AD1884" s="69" t="e" cm="1">
        <f t="array" ref="AD1884">_xlfn.XLOOKUP(Table1[[#This Row],[5 cm2 cell test code]:[5 cm2 cell test code]],[1]!Table1[[Test code]:[Test code]],[1]!Table1[HFR DIW/ mOhm cm2],"",0)</f>
        <v>#REF!</v>
      </c>
      <c r="AE1884" s="69" t="e" cm="1">
        <f t="array" ref="AE1884">_xlfn.XLOOKUP(Table1[[#This Row],[5 cm2 cell test code]:[5 cm2 cell test code]],[1]!Table1[[Test code]:[Test code]],[1]!Table1[HFR 10 mM KOH/ mOhm cm2],"",0)</f>
        <v>#REF!</v>
      </c>
      <c r="AF1884" s="69" t="e" cm="1">
        <f t="array" ref="AF1884">_xlfn.XLOOKUP(Table1[[#This Row],[5 cm2 cell test code]:[5 cm2 cell test code]],[1]!Table1[[Test code]:[Test code]],[1]!Table1[Ionic resistance DIW/Ohm cm2],"",0)</f>
        <v>#REF!</v>
      </c>
      <c r="AG1884" s="69" t="e" cm="1">
        <f t="array" ref="AG1884">_xlfn.XLOOKUP(Table1[[#This Row],[5 cm2 cell test code]:[5 cm2 cell test code]],[1]!Table1[[Test code]:[Test code]],[1]!Table1[Q_int_frac DIW],"",0)</f>
        <v>#REF!</v>
      </c>
      <c r="AH1884" s="69" t="e" cm="1">
        <f t="array" ref="AH1884">_xlfn.XLOOKUP(Table1[[#This Row],[5 cm2 cell test code]:[5 cm2 cell test code]],[1]!Table1[[Test code]:[Test code]],[1]!Table1[Ionic resistance 10 mM KOH/Ohm cm2],"",0)</f>
        <v>#REF!</v>
      </c>
      <c r="AI1884" s="69" t="e" cm="1">
        <f t="array" ref="AI1884">_xlfn.XLOOKUP(Table1[[#This Row],[5 cm2 cell test code]:[5 cm2 cell test code]],[1]!Table1[[Test code]:[Test code]],[1]!Table1[Q_int_frac DIW 10 mM KOH],"",0)</f>
        <v>#REF!</v>
      </c>
      <c r="AJ1884" s="69" t="e" cm="1">
        <f t="array" ref="AJ1884">_xlfn.XLOOKUP(Table1[[#This Row],[5 cm2 cell test code]:[5 cm2 cell test code]],[1]!Table1[[Test code]:[Test code]],[1]!Table1[DIW conductivity (µS/cm)],"",0)</f>
        <v>#REF!</v>
      </c>
    </row>
    <row r="1885" spans="1:36">
      <c r="A1885" s="81"/>
      <c r="U1885" s="101"/>
      <c r="V1885" s="101"/>
      <c r="W1885" s="69" t="e" cm="1">
        <f t="array" ref="W1885">_xlfn.XLOOKUP(Table1[[#This Row],[5 cm2 cell test code]:[5 cm2 cell test code]],[1]!Table1[[Test code]:[Test code]],[1]!Table1[i @ 1.8 V DIW (A/cm2)],"",0)</f>
        <v>#REF!</v>
      </c>
      <c r="X1885" s="69" t="e" cm="1">
        <f t="array" ref="X1885">_xlfn.XLOOKUP(Table1[[#This Row],[5 cm2 cell test code]:[5 cm2 cell test code]],[1]!Table1[[Test code]:[Test code]],[1]!Table1[i @ 1.8 V 10 mM KOH (A/cm2)],"",0)</f>
        <v>#REF!</v>
      </c>
      <c r="Y1885" s="69" t="e" cm="1">
        <f t="array" ref="Y1885">_xlfn.XLOOKUP(Table1[[#This Row],[5 cm2 cell test code]:[5 cm2 cell test code]],[1]!Table1[[Test code]:[Test code]],[1]!Table1[3-E ƞ at 20mAcm-2 (mV)],"",0)</f>
        <v>#REF!</v>
      </c>
      <c r="Z1885" s="69" t="e" cm="1">
        <f t="array" ref="Z1885">_xlfn.XLOOKUP(Table1[[#This Row],[5 cm2 cell test code]:[5 cm2 cell test code]],[1]!Table1[[Test code]:[Test code]],[1]!Table1[3-E Tafel slope (mV/dec)],"",0)</f>
        <v>#REF!</v>
      </c>
      <c r="AA1885" s="69" t="e" cm="1">
        <f t="array" ref="AA1885">_xlfn.XLOOKUP(Table1[[#This Row],[5 cm2 cell test code]:[5 cm2 cell test code]],[1]!Table1[[Test code]:[Test code]],[1]!Table1[E @ 100 mA/cm2 DIW/V],"",0)</f>
        <v>#REF!</v>
      </c>
      <c r="AB1885" s="69" t="e" cm="1">
        <f t="array" ref="AB1885">_xlfn.XLOOKUP(Table1[[#This Row],[5 cm2 cell test code]:[5 cm2 cell test code]],[1]!Table1[[Test code]:[Test code]],[1]!Table1[E @ 100 mA/cm2 10 mM KOH/V],"",0)</f>
        <v>#REF!</v>
      </c>
      <c r="AC1885" s="69" t="e" cm="1">
        <f t="array" ref="AC1885">_xlfn.XLOOKUP(Table1[[#This Row],[5 cm2 cell test code]:[5 cm2 cell test code]],[1]!Table1[[Test code]:[Test code]],[1]!Table1[Anode ICR/mOhm],"",0)</f>
        <v>#REF!</v>
      </c>
      <c r="AD1885" s="69" t="e" cm="1">
        <f t="array" ref="AD1885">_xlfn.XLOOKUP(Table1[[#This Row],[5 cm2 cell test code]:[5 cm2 cell test code]],[1]!Table1[[Test code]:[Test code]],[1]!Table1[HFR DIW/ mOhm cm2],"",0)</f>
        <v>#REF!</v>
      </c>
      <c r="AE1885" s="69" t="e" cm="1">
        <f t="array" ref="AE1885">_xlfn.XLOOKUP(Table1[[#This Row],[5 cm2 cell test code]:[5 cm2 cell test code]],[1]!Table1[[Test code]:[Test code]],[1]!Table1[HFR 10 mM KOH/ mOhm cm2],"",0)</f>
        <v>#REF!</v>
      </c>
      <c r="AF1885" s="69" t="e" cm="1">
        <f t="array" ref="AF1885">_xlfn.XLOOKUP(Table1[[#This Row],[5 cm2 cell test code]:[5 cm2 cell test code]],[1]!Table1[[Test code]:[Test code]],[1]!Table1[Ionic resistance DIW/Ohm cm2],"",0)</f>
        <v>#REF!</v>
      </c>
      <c r="AG1885" s="69" t="e" cm="1">
        <f t="array" ref="AG1885">_xlfn.XLOOKUP(Table1[[#This Row],[5 cm2 cell test code]:[5 cm2 cell test code]],[1]!Table1[[Test code]:[Test code]],[1]!Table1[Q_int_frac DIW],"",0)</f>
        <v>#REF!</v>
      </c>
      <c r="AH1885" s="69" t="e" cm="1">
        <f t="array" ref="AH1885">_xlfn.XLOOKUP(Table1[[#This Row],[5 cm2 cell test code]:[5 cm2 cell test code]],[1]!Table1[[Test code]:[Test code]],[1]!Table1[Ionic resistance 10 mM KOH/Ohm cm2],"",0)</f>
        <v>#REF!</v>
      </c>
      <c r="AI1885" s="69" t="e" cm="1">
        <f t="array" ref="AI1885">_xlfn.XLOOKUP(Table1[[#This Row],[5 cm2 cell test code]:[5 cm2 cell test code]],[1]!Table1[[Test code]:[Test code]],[1]!Table1[Q_int_frac DIW 10 mM KOH],"",0)</f>
        <v>#REF!</v>
      </c>
      <c r="AJ1885" s="69" t="e" cm="1">
        <f t="array" ref="AJ1885">_xlfn.XLOOKUP(Table1[[#This Row],[5 cm2 cell test code]:[5 cm2 cell test code]],[1]!Table1[[Test code]:[Test code]],[1]!Table1[DIW conductivity (µS/cm)],"",0)</f>
        <v>#REF!</v>
      </c>
    </row>
    <row r="1886" spans="1:36">
      <c r="A1886" s="81"/>
      <c r="U1886" s="101"/>
      <c r="V1886" s="101"/>
      <c r="W1886" s="69" t="e" cm="1">
        <f t="array" ref="W1886">_xlfn.XLOOKUP(Table1[[#This Row],[5 cm2 cell test code]:[5 cm2 cell test code]],[1]!Table1[[Test code]:[Test code]],[1]!Table1[i @ 1.8 V DIW (A/cm2)],"",0)</f>
        <v>#REF!</v>
      </c>
      <c r="X1886" s="69" t="e" cm="1">
        <f t="array" ref="X1886">_xlfn.XLOOKUP(Table1[[#This Row],[5 cm2 cell test code]:[5 cm2 cell test code]],[1]!Table1[[Test code]:[Test code]],[1]!Table1[i @ 1.8 V 10 mM KOH (A/cm2)],"",0)</f>
        <v>#REF!</v>
      </c>
      <c r="Y1886" s="69" t="e" cm="1">
        <f t="array" ref="Y1886">_xlfn.XLOOKUP(Table1[[#This Row],[5 cm2 cell test code]:[5 cm2 cell test code]],[1]!Table1[[Test code]:[Test code]],[1]!Table1[3-E ƞ at 20mAcm-2 (mV)],"",0)</f>
        <v>#REF!</v>
      </c>
      <c r="Z1886" s="69" t="e" cm="1">
        <f t="array" ref="Z1886">_xlfn.XLOOKUP(Table1[[#This Row],[5 cm2 cell test code]:[5 cm2 cell test code]],[1]!Table1[[Test code]:[Test code]],[1]!Table1[3-E Tafel slope (mV/dec)],"",0)</f>
        <v>#REF!</v>
      </c>
      <c r="AA1886" s="69" t="e" cm="1">
        <f t="array" ref="AA1886">_xlfn.XLOOKUP(Table1[[#This Row],[5 cm2 cell test code]:[5 cm2 cell test code]],[1]!Table1[[Test code]:[Test code]],[1]!Table1[E @ 100 mA/cm2 DIW/V],"",0)</f>
        <v>#REF!</v>
      </c>
      <c r="AB1886" s="69" t="e" cm="1">
        <f t="array" ref="AB1886">_xlfn.XLOOKUP(Table1[[#This Row],[5 cm2 cell test code]:[5 cm2 cell test code]],[1]!Table1[[Test code]:[Test code]],[1]!Table1[E @ 100 mA/cm2 10 mM KOH/V],"",0)</f>
        <v>#REF!</v>
      </c>
      <c r="AC1886" s="69" t="e" cm="1">
        <f t="array" ref="AC1886">_xlfn.XLOOKUP(Table1[[#This Row],[5 cm2 cell test code]:[5 cm2 cell test code]],[1]!Table1[[Test code]:[Test code]],[1]!Table1[Anode ICR/mOhm],"",0)</f>
        <v>#REF!</v>
      </c>
      <c r="AD1886" s="69" t="e" cm="1">
        <f t="array" ref="AD1886">_xlfn.XLOOKUP(Table1[[#This Row],[5 cm2 cell test code]:[5 cm2 cell test code]],[1]!Table1[[Test code]:[Test code]],[1]!Table1[HFR DIW/ mOhm cm2],"",0)</f>
        <v>#REF!</v>
      </c>
      <c r="AE1886" s="69" t="e" cm="1">
        <f t="array" ref="AE1886">_xlfn.XLOOKUP(Table1[[#This Row],[5 cm2 cell test code]:[5 cm2 cell test code]],[1]!Table1[[Test code]:[Test code]],[1]!Table1[HFR 10 mM KOH/ mOhm cm2],"",0)</f>
        <v>#REF!</v>
      </c>
      <c r="AF1886" s="69" t="e" cm="1">
        <f t="array" ref="AF1886">_xlfn.XLOOKUP(Table1[[#This Row],[5 cm2 cell test code]:[5 cm2 cell test code]],[1]!Table1[[Test code]:[Test code]],[1]!Table1[Ionic resistance DIW/Ohm cm2],"",0)</f>
        <v>#REF!</v>
      </c>
      <c r="AG1886" s="69" t="e" cm="1">
        <f t="array" ref="AG1886">_xlfn.XLOOKUP(Table1[[#This Row],[5 cm2 cell test code]:[5 cm2 cell test code]],[1]!Table1[[Test code]:[Test code]],[1]!Table1[Q_int_frac DIW],"",0)</f>
        <v>#REF!</v>
      </c>
      <c r="AH1886" s="69" t="e" cm="1">
        <f t="array" ref="AH1886">_xlfn.XLOOKUP(Table1[[#This Row],[5 cm2 cell test code]:[5 cm2 cell test code]],[1]!Table1[[Test code]:[Test code]],[1]!Table1[Ionic resistance 10 mM KOH/Ohm cm2],"",0)</f>
        <v>#REF!</v>
      </c>
      <c r="AI1886" s="69" t="e" cm="1">
        <f t="array" ref="AI1886">_xlfn.XLOOKUP(Table1[[#This Row],[5 cm2 cell test code]:[5 cm2 cell test code]],[1]!Table1[[Test code]:[Test code]],[1]!Table1[Q_int_frac DIW 10 mM KOH],"",0)</f>
        <v>#REF!</v>
      </c>
      <c r="AJ1886" s="69" t="e" cm="1">
        <f t="array" ref="AJ1886">_xlfn.XLOOKUP(Table1[[#This Row],[5 cm2 cell test code]:[5 cm2 cell test code]],[1]!Table1[[Test code]:[Test code]],[1]!Table1[DIW conductivity (µS/cm)],"",0)</f>
        <v>#REF!</v>
      </c>
    </row>
    <row r="1887" spans="1:36">
      <c r="A1887" s="81"/>
      <c r="U1887" s="101"/>
      <c r="V1887" s="101"/>
      <c r="W1887" s="69" t="e" cm="1">
        <f t="array" ref="W1887">_xlfn.XLOOKUP(Table1[[#This Row],[5 cm2 cell test code]:[5 cm2 cell test code]],[1]!Table1[[Test code]:[Test code]],[1]!Table1[i @ 1.8 V DIW (A/cm2)],"",0)</f>
        <v>#REF!</v>
      </c>
      <c r="X1887" s="69" t="e" cm="1">
        <f t="array" ref="X1887">_xlfn.XLOOKUP(Table1[[#This Row],[5 cm2 cell test code]:[5 cm2 cell test code]],[1]!Table1[[Test code]:[Test code]],[1]!Table1[i @ 1.8 V 10 mM KOH (A/cm2)],"",0)</f>
        <v>#REF!</v>
      </c>
      <c r="Y1887" s="69" t="e" cm="1">
        <f t="array" ref="Y1887">_xlfn.XLOOKUP(Table1[[#This Row],[5 cm2 cell test code]:[5 cm2 cell test code]],[1]!Table1[[Test code]:[Test code]],[1]!Table1[3-E ƞ at 20mAcm-2 (mV)],"",0)</f>
        <v>#REF!</v>
      </c>
      <c r="Z1887" s="69" t="e" cm="1">
        <f t="array" ref="Z1887">_xlfn.XLOOKUP(Table1[[#This Row],[5 cm2 cell test code]:[5 cm2 cell test code]],[1]!Table1[[Test code]:[Test code]],[1]!Table1[3-E Tafel slope (mV/dec)],"",0)</f>
        <v>#REF!</v>
      </c>
      <c r="AA1887" s="69" t="e" cm="1">
        <f t="array" ref="AA1887">_xlfn.XLOOKUP(Table1[[#This Row],[5 cm2 cell test code]:[5 cm2 cell test code]],[1]!Table1[[Test code]:[Test code]],[1]!Table1[E @ 100 mA/cm2 DIW/V],"",0)</f>
        <v>#REF!</v>
      </c>
      <c r="AB1887" s="69" t="e" cm="1">
        <f t="array" ref="AB1887">_xlfn.XLOOKUP(Table1[[#This Row],[5 cm2 cell test code]:[5 cm2 cell test code]],[1]!Table1[[Test code]:[Test code]],[1]!Table1[E @ 100 mA/cm2 10 mM KOH/V],"",0)</f>
        <v>#REF!</v>
      </c>
      <c r="AC1887" s="69" t="e" cm="1">
        <f t="array" ref="AC1887">_xlfn.XLOOKUP(Table1[[#This Row],[5 cm2 cell test code]:[5 cm2 cell test code]],[1]!Table1[[Test code]:[Test code]],[1]!Table1[Anode ICR/mOhm],"",0)</f>
        <v>#REF!</v>
      </c>
      <c r="AD1887" s="69" t="e" cm="1">
        <f t="array" ref="AD1887">_xlfn.XLOOKUP(Table1[[#This Row],[5 cm2 cell test code]:[5 cm2 cell test code]],[1]!Table1[[Test code]:[Test code]],[1]!Table1[HFR DIW/ mOhm cm2],"",0)</f>
        <v>#REF!</v>
      </c>
      <c r="AE1887" s="69" t="e" cm="1">
        <f t="array" ref="AE1887">_xlfn.XLOOKUP(Table1[[#This Row],[5 cm2 cell test code]:[5 cm2 cell test code]],[1]!Table1[[Test code]:[Test code]],[1]!Table1[HFR 10 mM KOH/ mOhm cm2],"",0)</f>
        <v>#REF!</v>
      </c>
      <c r="AF1887" s="69" t="e" cm="1">
        <f t="array" ref="AF1887">_xlfn.XLOOKUP(Table1[[#This Row],[5 cm2 cell test code]:[5 cm2 cell test code]],[1]!Table1[[Test code]:[Test code]],[1]!Table1[Ionic resistance DIW/Ohm cm2],"",0)</f>
        <v>#REF!</v>
      </c>
      <c r="AG1887" s="69" t="e" cm="1">
        <f t="array" ref="AG1887">_xlfn.XLOOKUP(Table1[[#This Row],[5 cm2 cell test code]:[5 cm2 cell test code]],[1]!Table1[[Test code]:[Test code]],[1]!Table1[Q_int_frac DIW],"",0)</f>
        <v>#REF!</v>
      </c>
      <c r="AH1887" s="69" t="e" cm="1">
        <f t="array" ref="AH1887">_xlfn.XLOOKUP(Table1[[#This Row],[5 cm2 cell test code]:[5 cm2 cell test code]],[1]!Table1[[Test code]:[Test code]],[1]!Table1[Ionic resistance 10 mM KOH/Ohm cm2],"",0)</f>
        <v>#REF!</v>
      </c>
      <c r="AI1887" s="69" t="e" cm="1">
        <f t="array" ref="AI1887">_xlfn.XLOOKUP(Table1[[#This Row],[5 cm2 cell test code]:[5 cm2 cell test code]],[1]!Table1[[Test code]:[Test code]],[1]!Table1[Q_int_frac DIW 10 mM KOH],"",0)</f>
        <v>#REF!</v>
      </c>
      <c r="AJ1887" s="69" t="e" cm="1">
        <f t="array" ref="AJ1887">_xlfn.XLOOKUP(Table1[[#This Row],[5 cm2 cell test code]:[5 cm2 cell test code]],[1]!Table1[[Test code]:[Test code]],[1]!Table1[DIW conductivity (µS/cm)],"",0)</f>
        <v>#REF!</v>
      </c>
    </row>
    <row r="1888" spans="1:36">
      <c r="A1888" s="81"/>
      <c r="U1888" s="101"/>
      <c r="V1888" s="101"/>
      <c r="W1888" s="69" t="e" cm="1">
        <f t="array" ref="W1888">_xlfn.XLOOKUP(Table1[[#This Row],[5 cm2 cell test code]:[5 cm2 cell test code]],[1]!Table1[[Test code]:[Test code]],[1]!Table1[i @ 1.8 V DIW (A/cm2)],"",0)</f>
        <v>#REF!</v>
      </c>
      <c r="X1888" s="69" t="e" cm="1">
        <f t="array" ref="X1888">_xlfn.XLOOKUP(Table1[[#This Row],[5 cm2 cell test code]:[5 cm2 cell test code]],[1]!Table1[[Test code]:[Test code]],[1]!Table1[i @ 1.8 V 10 mM KOH (A/cm2)],"",0)</f>
        <v>#REF!</v>
      </c>
      <c r="Y1888" s="69" t="e" cm="1">
        <f t="array" ref="Y1888">_xlfn.XLOOKUP(Table1[[#This Row],[5 cm2 cell test code]:[5 cm2 cell test code]],[1]!Table1[[Test code]:[Test code]],[1]!Table1[3-E ƞ at 20mAcm-2 (mV)],"",0)</f>
        <v>#REF!</v>
      </c>
      <c r="Z1888" s="69" t="e" cm="1">
        <f t="array" ref="Z1888">_xlfn.XLOOKUP(Table1[[#This Row],[5 cm2 cell test code]:[5 cm2 cell test code]],[1]!Table1[[Test code]:[Test code]],[1]!Table1[3-E Tafel slope (mV/dec)],"",0)</f>
        <v>#REF!</v>
      </c>
      <c r="AA1888" s="69" t="e" cm="1">
        <f t="array" ref="AA1888">_xlfn.XLOOKUP(Table1[[#This Row],[5 cm2 cell test code]:[5 cm2 cell test code]],[1]!Table1[[Test code]:[Test code]],[1]!Table1[E @ 100 mA/cm2 DIW/V],"",0)</f>
        <v>#REF!</v>
      </c>
      <c r="AB1888" s="69" t="e" cm="1">
        <f t="array" ref="AB1888">_xlfn.XLOOKUP(Table1[[#This Row],[5 cm2 cell test code]:[5 cm2 cell test code]],[1]!Table1[[Test code]:[Test code]],[1]!Table1[E @ 100 mA/cm2 10 mM KOH/V],"",0)</f>
        <v>#REF!</v>
      </c>
      <c r="AC1888" s="69" t="e" cm="1">
        <f t="array" ref="AC1888">_xlfn.XLOOKUP(Table1[[#This Row],[5 cm2 cell test code]:[5 cm2 cell test code]],[1]!Table1[[Test code]:[Test code]],[1]!Table1[Anode ICR/mOhm],"",0)</f>
        <v>#REF!</v>
      </c>
      <c r="AD1888" s="69" t="e" cm="1">
        <f t="array" ref="AD1888">_xlfn.XLOOKUP(Table1[[#This Row],[5 cm2 cell test code]:[5 cm2 cell test code]],[1]!Table1[[Test code]:[Test code]],[1]!Table1[HFR DIW/ mOhm cm2],"",0)</f>
        <v>#REF!</v>
      </c>
      <c r="AE1888" s="69" t="e" cm="1">
        <f t="array" ref="AE1888">_xlfn.XLOOKUP(Table1[[#This Row],[5 cm2 cell test code]:[5 cm2 cell test code]],[1]!Table1[[Test code]:[Test code]],[1]!Table1[HFR 10 mM KOH/ mOhm cm2],"",0)</f>
        <v>#REF!</v>
      </c>
      <c r="AF1888" s="69" t="e" cm="1">
        <f t="array" ref="AF1888">_xlfn.XLOOKUP(Table1[[#This Row],[5 cm2 cell test code]:[5 cm2 cell test code]],[1]!Table1[[Test code]:[Test code]],[1]!Table1[Ionic resistance DIW/Ohm cm2],"",0)</f>
        <v>#REF!</v>
      </c>
      <c r="AG1888" s="69" t="e" cm="1">
        <f t="array" ref="AG1888">_xlfn.XLOOKUP(Table1[[#This Row],[5 cm2 cell test code]:[5 cm2 cell test code]],[1]!Table1[[Test code]:[Test code]],[1]!Table1[Q_int_frac DIW],"",0)</f>
        <v>#REF!</v>
      </c>
      <c r="AH1888" s="69" t="e" cm="1">
        <f t="array" ref="AH1888">_xlfn.XLOOKUP(Table1[[#This Row],[5 cm2 cell test code]:[5 cm2 cell test code]],[1]!Table1[[Test code]:[Test code]],[1]!Table1[Ionic resistance 10 mM KOH/Ohm cm2],"",0)</f>
        <v>#REF!</v>
      </c>
      <c r="AI1888" s="69" t="e" cm="1">
        <f t="array" ref="AI1888">_xlfn.XLOOKUP(Table1[[#This Row],[5 cm2 cell test code]:[5 cm2 cell test code]],[1]!Table1[[Test code]:[Test code]],[1]!Table1[Q_int_frac DIW 10 mM KOH],"",0)</f>
        <v>#REF!</v>
      </c>
      <c r="AJ1888" s="69" t="e" cm="1">
        <f t="array" ref="AJ1888">_xlfn.XLOOKUP(Table1[[#This Row],[5 cm2 cell test code]:[5 cm2 cell test code]],[1]!Table1[[Test code]:[Test code]],[1]!Table1[DIW conductivity (µS/cm)],"",0)</f>
        <v>#REF!</v>
      </c>
    </row>
    <row r="1889" spans="1:36">
      <c r="A1889" s="81"/>
      <c r="U1889" s="101"/>
      <c r="V1889" s="101"/>
      <c r="W1889" s="69" t="e" cm="1">
        <f t="array" ref="W1889">_xlfn.XLOOKUP(Table1[[#This Row],[5 cm2 cell test code]:[5 cm2 cell test code]],[1]!Table1[[Test code]:[Test code]],[1]!Table1[i @ 1.8 V DIW (A/cm2)],"",0)</f>
        <v>#REF!</v>
      </c>
      <c r="X1889" s="69" t="e" cm="1">
        <f t="array" ref="X1889">_xlfn.XLOOKUP(Table1[[#This Row],[5 cm2 cell test code]:[5 cm2 cell test code]],[1]!Table1[[Test code]:[Test code]],[1]!Table1[i @ 1.8 V 10 mM KOH (A/cm2)],"",0)</f>
        <v>#REF!</v>
      </c>
      <c r="Y1889" s="69" t="e" cm="1">
        <f t="array" ref="Y1889">_xlfn.XLOOKUP(Table1[[#This Row],[5 cm2 cell test code]:[5 cm2 cell test code]],[1]!Table1[[Test code]:[Test code]],[1]!Table1[3-E ƞ at 20mAcm-2 (mV)],"",0)</f>
        <v>#REF!</v>
      </c>
      <c r="Z1889" s="69" t="e" cm="1">
        <f t="array" ref="Z1889">_xlfn.XLOOKUP(Table1[[#This Row],[5 cm2 cell test code]:[5 cm2 cell test code]],[1]!Table1[[Test code]:[Test code]],[1]!Table1[3-E Tafel slope (mV/dec)],"",0)</f>
        <v>#REF!</v>
      </c>
      <c r="AA1889" s="69" t="e" cm="1">
        <f t="array" ref="AA1889">_xlfn.XLOOKUP(Table1[[#This Row],[5 cm2 cell test code]:[5 cm2 cell test code]],[1]!Table1[[Test code]:[Test code]],[1]!Table1[E @ 100 mA/cm2 DIW/V],"",0)</f>
        <v>#REF!</v>
      </c>
      <c r="AB1889" s="69" t="e" cm="1">
        <f t="array" ref="AB1889">_xlfn.XLOOKUP(Table1[[#This Row],[5 cm2 cell test code]:[5 cm2 cell test code]],[1]!Table1[[Test code]:[Test code]],[1]!Table1[E @ 100 mA/cm2 10 mM KOH/V],"",0)</f>
        <v>#REF!</v>
      </c>
      <c r="AC1889" s="69" t="e" cm="1">
        <f t="array" ref="AC1889">_xlfn.XLOOKUP(Table1[[#This Row],[5 cm2 cell test code]:[5 cm2 cell test code]],[1]!Table1[[Test code]:[Test code]],[1]!Table1[Anode ICR/mOhm],"",0)</f>
        <v>#REF!</v>
      </c>
      <c r="AD1889" s="69" t="e" cm="1">
        <f t="array" ref="AD1889">_xlfn.XLOOKUP(Table1[[#This Row],[5 cm2 cell test code]:[5 cm2 cell test code]],[1]!Table1[[Test code]:[Test code]],[1]!Table1[HFR DIW/ mOhm cm2],"",0)</f>
        <v>#REF!</v>
      </c>
      <c r="AE1889" s="69" t="e" cm="1">
        <f t="array" ref="AE1889">_xlfn.XLOOKUP(Table1[[#This Row],[5 cm2 cell test code]:[5 cm2 cell test code]],[1]!Table1[[Test code]:[Test code]],[1]!Table1[HFR 10 mM KOH/ mOhm cm2],"",0)</f>
        <v>#REF!</v>
      </c>
      <c r="AF1889" s="69" t="e" cm="1">
        <f t="array" ref="AF1889">_xlfn.XLOOKUP(Table1[[#This Row],[5 cm2 cell test code]:[5 cm2 cell test code]],[1]!Table1[[Test code]:[Test code]],[1]!Table1[Ionic resistance DIW/Ohm cm2],"",0)</f>
        <v>#REF!</v>
      </c>
      <c r="AG1889" s="69" t="e" cm="1">
        <f t="array" ref="AG1889">_xlfn.XLOOKUP(Table1[[#This Row],[5 cm2 cell test code]:[5 cm2 cell test code]],[1]!Table1[[Test code]:[Test code]],[1]!Table1[Q_int_frac DIW],"",0)</f>
        <v>#REF!</v>
      </c>
      <c r="AH1889" s="69" t="e" cm="1">
        <f t="array" ref="AH1889">_xlfn.XLOOKUP(Table1[[#This Row],[5 cm2 cell test code]:[5 cm2 cell test code]],[1]!Table1[[Test code]:[Test code]],[1]!Table1[Ionic resistance 10 mM KOH/Ohm cm2],"",0)</f>
        <v>#REF!</v>
      </c>
      <c r="AI1889" s="69" t="e" cm="1">
        <f t="array" ref="AI1889">_xlfn.XLOOKUP(Table1[[#This Row],[5 cm2 cell test code]:[5 cm2 cell test code]],[1]!Table1[[Test code]:[Test code]],[1]!Table1[Q_int_frac DIW 10 mM KOH],"",0)</f>
        <v>#REF!</v>
      </c>
      <c r="AJ1889" s="69" t="e" cm="1">
        <f t="array" ref="AJ1889">_xlfn.XLOOKUP(Table1[[#This Row],[5 cm2 cell test code]:[5 cm2 cell test code]],[1]!Table1[[Test code]:[Test code]],[1]!Table1[DIW conductivity (µS/cm)],"",0)</f>
        <v>#REF!</v>
      </c>
    </row>
    <row r="1890" spans="1:36">
      <c r="A1890" s="81"/>
      <c r="U1890" s="101"/>
      <c r="V1890" s="101"/>
      <c r="W1890" s="69" t="e" cm="1">
        <f t="array" ref="W1890">_xlfn.XLOOKUP(Table1[[#This Row],[5 cm2 cell test code]:[5 cm2 cell test code]],[1]!Table1[[Test code]:[Test code]],[1]!Table1[i @ 1.8 V DIW (A/cm2)],"",0)</f>
        <v>#REF!</v>
      </c>
      <c r="X1890" s="69" t="e" cm="1">
        <f t="array" ref="X1890">_xlfn.XLOOKUP(Table1[[#This Row],[5 cm2 cell test code]:[5 cm2 cell test code]],[1]!Table1[[Test code]:[Test code]],[1]!Table1[i @ 1.8 V 10 mM KOH (A/cm2)],"",0)</f>
        <v>#REF!</v>
      </c>
      <c r="Y1890" s="69" t="e" cm="1">
        <f t="array" ref="Y1890">_xlfn.XLOOKUP(Table1[[#This Row],[5 cm2 cell test code]:[5 cm2 cell test code]],[1]!Table1[[Test code]:[Test code]],[1]!Table1[3-E ƞ at 20mAcm-2 (mV)],"",0)</f>
        <v>#REF!</v>
      </c>
      <c r="Z1890" s="69" t="e" cm="1">
        <f t="array" ref="Z1890">_xlfn.XLOOKUP(Table1[[#This Row],[5 cm2 cell test code]:[5 cm2 cell test code]],[1]!Table1[[Test code]:[Test code]],[1]!Table1[3-E Tafel slope (mV/dec)],"",0)</f>
        <v>#REF!</v>
      </c>
      <c r="AA1890" s="69" t="e" cm="1">
        <f t="array" ref="AA1890">_xlfn.XLOOKUP(Table1[[#This Row],[5 cm2 cell test code]:[5 cm2 cell test code]],[1]!Table1[[Test code]:[Test code]],[1]!Table1[E @ 100 mA/cm2 DIW/V],"",0)</f>
        <v>#REF!</v>
      </c>
      <c r="AB1890" s="69" t="e" cm="1">
        <f t="array" ref="AB1890">_xlfn.XLOOKUP(Table1[[#This Row],[5 cm2 cell test code]:[5 cm2 cell test code]],[1]!Table1[[Test code]:[Test code]],[1]!Table1[E @ 100 mA/cm2 10 mM KOH/V],"",0)</f>
        <v>#REF!</v>
      </c>
      <c r="AC1890" s="69" t="e" cm="1">
        <f t="array" ref="AC1890">_xlfn.XLOOKUP(Table1[[#This Row],[5 cm2 cell test code]:[5 cm2 cell test code]],[1]!Table1[[Test code]:[Test code]],[1]!Table1[Anode ICR/mOhm],"",0)</f>
        <v>#REF!</v>
      </c>
      <c r="AD1890" s="69" t="e" cm="1">
        <f t="array" ref="AD1890">_xlfn.XLOOKUP(Table1[[#This Row],[5 cm2 cell test code]:[5 cm2 cell test code]],[1]!Table1[[Test code]:[Test code]],[1]!Table1[HFR DIW/ mOhm cm2],"",0)</f>
        <v>#REF!</v>
      </c>
      <c r="AE1890" s="69" t="e" cm="1">
        <f t="array" ref="AE1890">_xlfn.XLOOKUP(Table1[[#This Row],[5 cm2 cell test code]:[5 cm2 cell test code]],[1]!Table1[[Test code]:[Test code]],[1]!Table1[HFR 10 mM KOH/ mOhm cm2],"",0)</f>
        <v>#REF!</v>
      </c>
      <c r="AF1890" s="69" t="e" cm="1">
        <f t="array" ref="AF1890">_xlfn.XLOOKUP(Table1[[#This Row],[5 cm2 cell test code]:[5 cm2 cell test code]],[1]!Table1[[Test code]:[Test code]],[1]!Table1[Ionic resistance DIW/Ohm cm2],"",0)</f>
        <v>#REF!</v>
      </c>
      <c r="AG1890" s="69" t="e" cm="1">
        <f t="array" ref="AG1890">_xlfn.XLOOKUP(Table1[[#This Row],[5 cm2 cell test code]:[5 cm2 cell test code]],[1]!Table1[[Test code]:[Test code]],[1]!Table1[Q_int_frac DIW],"",0)</f>
        <v>#REF!</v>
      </c>
      <c r="AH1890" s="69" t="e" cm="1">
        <f t="array" ref="AH1890">_xlfn.XLOOKUP(Table1[[#This Row],[5 cm2 cell test code]:[5 cm2 cell test code]],[1]!Table1[[Test code]:[Test code]],[1]!Table1[Ionic resistance 10 mM KOH/Ohm cm2],"",0)</f>
        <v>#REF!</v>
      </c>
      <c r="AI1890" s="69" t="e" cm="1">
        <f t="array" ref="AI1890">_xlfn.XLOOKUP(Table1[[#This Row],[5 cm2 cell test code]:[5 cm2 cell test code]],[1]!Table1[[Test code]:[Test code]],[1]!Table1[Q_int_frac DIW 10 mM KOH],"",0)</f>
        <v>#REF!</v>
      </c>
      <c r="AJ1890" s="69" t="e" cm="1">
        <f t="array" ref="AJ1890">_xlfn.XLOOKUP(Table1[[#This Row],[5 cm2 cell test code]:[5 cm2 cell test code]],[1]!Table1[[Test code]:[Test code]],[1]!Table1[DIW conductivity (µS/cm)],"",0)</f>
        <v>#REF!</v>
      </c>
    </row>
    <row r="1891" spans="1:36">
      <c r="A1891" s="81"/>
      <c r="U1891" s="101"/>
      <c r="V1891" s="101"/>
      <c r="W1891" s="69" t="e" cm="1">
        <f t="array" ref="W1891">_xlfn.XLOOKUP(Table1[[#This Row],[5 cm2 cell test code]:[5 cm2 cell test code]],[1]!Table1[[Test code]:[Test code]],[1]!Table1[i @ 1.8 V DIW (A/cm2)],"",0)</f>
        <v>#REF!</v>
      </c>
      <c r="X1891" s="69" t="e" cm="1">
        <f t="array" ref="X1891">_xlfn.XLOOKUP(Table1[[#This Row],[5 cm2 cell test code]:[5 cm2 cell test code]],[1]!Table1[[Test code]:[Test code]],[1]!Table1[i @ 1.8 V 10 mM KOH (A/cm2)],"",0)</f>
        <v>#REF!</v>
      </c>
      <c r="Y1891" s="69" t="e" cm="1">
        <f t="array" ref="Y1891">_xlfn.XLOOKUP(Table1[[#This Row],[5 cm2 cell test code]:[5 cm2 cell test code]],[1]!Table1[[Test code]:[Test code]],[1]!Table1[3-E ƞ at 20mAcm-2 (mV)],"",0)</f>
        <v>#REF!</v>
      </c>
      <c r="Z1891" s="69" t="e" cm="1">
        <f t="array" ref="Z1891">_xlfn.XLOOKUP(Table1[[#This Row],[5 cm2 cell test code]:[5 cm2 cell test code]],[1]!Table1[[Test code]:[Test code]],[1]!Table1[3-E Tafel slope (mV/dec)],"",0)</f>
        <v>#REF!</v>
      </c>
      <c r="AA1891" s="69" t="e" cm="1">
        <f t="array" ref="AA1891">_xlfn.XLOOKUP(Table1[[#This Row],[5 cm2 cell test code]:[5 cm2 cell test code]],[1]!Table1[[Test code]:[Test code]],[1]!Table1[E @ 100 mA/cm2 DIW/V],"",0)</f>
        <v>#REF!</v>
      </c>
      <c r="AB1891" s="69" t="e" cm="1">
        <f t="array" ref="AB1891">_xlfn.XLOOKUP(Table1[[#This Row],[5 cm2 cell test code]:[5 cm2 cell test code]],[1]!Table1[[Test code]:[Test code]],[1]!Table1[E @ 100 mA/cm2 10 mM KOH/V],"",0)</f>
        <v>#REF!</v>
      </c>
      <c r="AC1891" s="69" t="e" cm="1">
        <f t="array" ref="AC1891">_xlfn.XLOOKUP(Table1[[#This Row],[5 cm2 cell test code]:[5 cm2 cell test code]],[1]!Table1[[Test code]:[Test code]],[1]!Table1[Anode ICR/mOhm],"",0)</f>
        <v>#REF!</v>
      </c>
      <c r="AD1891" s="69" t="e" cm="1">
        <f t="array" ref="AD1891">_xlfn.XLOOKUP(Table1[[#This Row],[5 cm2 cell test code]:[5 cm2 cell test code]],[1]!Table1[[Test code]:[Test code]],[1]!Table1[HFR DIW/ mOhm cm2],"",0)</f>
        <v>#REF!</v>
      </c>
      <c r="AE1891" s="69" t="e" cm="1">
        <f t="array" ref="AE1891">_xlfn.XLOOKUP(Table1[[#This Row],[5 cm2 cell test code]:[5 cm2 cell test code]],[1]!Table1[[Test code]:[Test code]],[1]!Table1[HFR 10 mM KOH/ mOhm cm2],"",0)</f>
        <v>#REF!</v>
      </c>
      <c r="AF1891" s="69" t="e" cm="1">
        <f t="array" ref="AF1891">_xlfn.XLOOKUP(Table1[[#This Row],[5 cm2 cell test code]:[5 cm2 cell test code]],[1]!Table1[[Test code]:[Test code]],[1]!Table1[Ionic resistance DIW/Ohm cm2],"",0)</f>
        <v>#REF!</v>
      </c>
      <c r="AG1891" s="69" t="e" cm="1">
        <f t="array" ref="AG1891">_xlfn.XLOOKUP(Table1[[#This Row],[5 cm2 cell test code]:[5 cm2 cell test code]],[1]!Table1[[Test code]:[Test code]],[1]!Table1[Q_int_frac DIW],"",0)</f>
        <v>#REF!</v>
      </c>
      <c r="AH1891" s="69" t="e" cm="1">
        <f t="array" ref="AH1891">_xlfn.XLOOKUP(Table1[[#This Row],[5 cm2 cell test code]:[5 cm2 cell test code]],[1]!Table1[[Test code]:[Test code]],[1]!Table1[Ionic resistance 10 mM KOH/Ohm cm2],"",0)</f>
        <v>#REF!</v>
      </c>
      <c r="AI1891" s="69" t="e" cm="1">
        <f t="array" ref="AI1891">_xlfn.XLOOKUP(Table1[[#This Row],[5 cm2 cell test code]:[5 cm2 cell test code]],[1]!Table1[[Test code]:[Test code]],[1]!Table1[Q_int_frac DIW 10 mM KOH],"",0)</f>
        <v>#REF!</v>
      </c>
      <c r="AJ1891" s="69" t="e" cm="1">
        <f t="array" ref="AJ1891">_xlfn.XLOOKUP(Table1[[#This Row],[5 cm2 cell test code]:[5 cm2 cell test code]],[1]!Table1[[Test code]:[Test code]],[1]!Table1[DIW conductivity (µS/cm)],"",0)</f>
        <v>#REF!</v>
      </c>
    </row>
    <row r="1892" spans="1:36">
      <c r="A1892" s="81"/>
      <c r="U1892" s="101"/>
      <c r="V1892" s="101"/>
      <c r="W1892" s="69" t="e" cm="1">
        <f t="array" ref="W1892">_xlfn.XLOOKUP(Table1[[#This Row],[5 cm2 cell test code]:[5 cm2 cell test code]],[1]!Table1[[Test code]:[Test code]],[1]!Table1[i @ 1.8 V DIW (A/cm2)],"",0)</f>
        <v>#REF!</v>
      </c>
      <c r="X1892" s="69" t="e" cm="1">
        <f t="array" ref="X1892">_xlfn.XLOOKUP(Table1[[#This Row],[5 cm2 cell test code]:[5 cm2 cell test code]],[1]!Table1[[Test code]:[Test code]],[1]!Table1[i @ 1.8 V 10 mM KOH (A/cm2)],"",0)</f>
        <v>#REF!</v>
      </c>
      <c r="Y1892" s="69" t="e" cm="1">
        <f t="array" ref="Y1892">_xlfn.XLOOKUP(Table1[[#This Row],[5 cm2 cell test code]:[5 cm2 cell test code]],[1]!Table1[[Test code]:[Test code]],[1]!Table1[3-E ƞ at 20mAcm-2 (mV)],"",0)</f>
        <v>#REF!</v>
      </c>
      <c r="Z1892" s="69" t="e" cm="1">
        <f t="array" ref="Z1892">_xlfn.XLOOKUP(Table1[[#This Row],[5 cm2 cell test code]:[5 cm2 cell test code]],[1]!Table1[[Test code]:[Test code]],[1]!Table1[3-E Tafel slope (mV/dec)],"",0)</f>
        <v>#REF!</v>
      </c>
      <c r="AA1892" s="69" t="e" cm="1">
        <f t="array" ref="AA1892">_xlfn.XLOOKUP(Table1[[#This Row],[5 cm2 cell test code]:[5 cm2 cell test code]],[1]!Table1[[Test code]:[Test code]],[1]!Table1[E @ 100 mA/cm2 DIW/V],"",0)</f>
        <v>#REF!</v>
      </c>
      <c r="AB1892" s="69" t="e" cm="1">
        <f t="array" ref="AB1892">_xlfn.XLOOKUP(Table1[[#This Row],[5 cm2 cell test code]:[5 cm2 cell test code]],[1]!Table1[[Test code]:[Test code]],[1]!Table1[E @ 100 mA/cm2 10 mM KOH/V],"",0)</f>
        <v>#REF!</v>
      </c>
      <c r="AC1892" s="69" t="e" cm="1">
        <f t="array" ref="AC1892">_xlfn.XLOOKUP(Table1[[#This Row],[5 cm2 cell test code]:[5 cm2 cell test code]],[1]!Table1[[Test code]:[Test code]],[1]!Table1[Anode ICR/mOhm],"",0)</f>
        <v>#REF!</v>
      </c>
      <c r="AD1892" s="69" t="e" cm="1">
        <f t="array" ref="AD1892">_xlfn.XLOOKUP(Table1[[#This Row],[5 cm2 cell test code]:[5 cm2 cell test code]],[1]!Table1[[Test code]:[Test code]],[1]!Table1[HFR DIW/ mOhm cm2],"",0)</f>
        <v>#REF!</v>
      </c>
      <c r="AE1892" s="69" t="e" cm="1">
        <f t="array" ref="AE1892">_xlfn.XLOOKUP(Table1[[#This Row],[5 cm2 cell test code]:[5 cm2 cell test code]],[1]!Table1[[Test code]:[Test code]],[1]!Table1[HFR 10 mM KOH/ mOhm cm2],"",0)</f>
        <v>#REF!</v>
      </c>
      <c r="AF1892" s="69" t="e" cm="1">
        <f t="array" ref="AF1892">_xlfn.XLOOKUP(Table1[[#This Row],[5 cm2 cell test code]:[5 cm2 cell test code]],[1]!Table1[[Test code]:[Test code]],[1]!Table1[Ionic resistance DIW/Ohm cm2],"",0)</f>
        <v>#REF!</v>
      </c>
      <c r="AG1892" s="69" t="e" cm="1">
        <f t="array" ref="AG1892">_xlfn.XLOOKUP(Table1[[#This Row],[5 cm2 cell test code]:[5 cm2 cell test code]],[1]!Table1[[Test code]:[Test code]],[1]!Table1[Q_int_frac DIW],"",0)</f>
        <v>#REF!</v>
      </c>
      <c r="AH1892" s="69" t="e" cm="1">
        <f t="array" ref="AH1892">_xlfn.XLOOKUP(Table1[[#This Row],[5 cm2 cell test code]:[5 cm2 cell test code]],[1]!Table1[[Test code]:[Test code]],[1]!Table1[Ionic resistance 10 mM KOH/Ohm cm2],"",0)</f>
        <v>#REF!</v>
      </c>
      <c r="AI1892" s="69" t="e" cm="1">
        <f t="array" ref="AI1892">_xlfn.XLOOKUP(Table1[[#This Row],[5 cm2 cell test code]:[5 cm2 cell test code]],[1]!Table1[[Test code]:[Test code]],[1]!Table1[Q_int_frac DIW 10 mM KOH],"",0)</f>
        <v>#REF!</v>
      </c>
      <c r="AJ1892" s="69" t="e" cm="1">
        <f t="array" ref="AJ1892">_xlfn.XLOOKUP(Table1[[#This Row],[5 cm2 cell test code]:[5 cm2 cell test code]],[1]!Table1[[Test code]:[Test code]],[1]!Table1[DIW conductivity (µS/cm)],"",0)</f>
        <v>#REF!</v>
      </c>
    </row>
    <row r="1893" spans="1:36">
      <c r="A1893" s="81"/>
      <c r="U1893" s="101"/>
      <c r="V1893" s="101"/>
      <c r="W1893" s="69" t="e" cm="1">
        <f t="array" ref="W1893">_xlfn.XLOOKUP(Table1[[#This Row],[5 cm2 cell test code]:[5 cm2 cell test code]],[1]!Table1[[Test code]:[Test code]],[1]!Table1[i @ 1.8 V DIW (A/cm2)],"",0)</f>
        <v>#REF!</v>
      </c>
      <c r="X1893" s="69" t="e" cm="1">
        <f t="array" ref="X1893">_xlfn.XLOOKUP(Table1[[#This Row],[5 cm2 cell test code]:[5 cm2 cell test code]],[1]!Table1[[Test code]:[Test code]],[1]!Table1[i @ 1.8 V 10 mM KOH (A/cm2)],"",0)</f>
        <v>#REF!</v>
      </c>
      <c r="Y1893" s="69" t="e" cm="1">
        <f t="array" ref="Y1893">_xlfn.XLOOKUP(Table1[[#This Row],[5 cm2 cell test code]:[5 cm2 cell test code]],[1]!Table1[[Test code]:[Test code]],[1]!Table1[3-E ƞ at 20mAcm-2 (mV)],"",0)</f>
        <v>#REF!</v>
      </c>
      <c r="Z1893" s="69" t="e" cm="1">
        <f t="array" ref="Z1893">_xlfn.XLOOKUP(Table1[[#This Row],[5 cm2 cell test code]:[5 cm2 cell test code]],[1]!Table1[[Test code]:[Test code]],[1]!Table1[3-E Tafel slope (mV/dec)],"",0)</f>
        <v>#REF!</v>
      </c>
      <c r="AA1893" s="69" t="e" cm="1">
        <f t="array" ref="AA1893">_xlfn.XLOOKUP(Table1[[#This Row],[5 cm2 cell test code]:[5 cm2 cell test code]],[1]!Table1[[Test code]:[Test code]],[1]!Table1[E @ 100 mA/cm2 DIW/V],"",0)</f>
        <v>#REF!</v>
      </c>
      <c r="AB1893" s="69" t="e" cm="1">
        <f t="array" ref="AB1893">_xlfn.XLOOKUP(Table1[[#This Row],[5 cm2 cell test code]:[5 cm2 cell test code]],[1]!Table1[[Test code]:[Test code]],[1]!Table1[E @ 100 mA/cm2 10 mM KOH/V],"",0)</f>
        <v>#REF!</v>
      </c>
      <c r="AC1893" s="69" t="e" cm="1">
        <f t="array" ref="AC1893">_xlfn.XLOOKUP(Table1[[#This Row],[5 cm2 cell test code]:[5 cm2 cell test code]],[1]!Table1[[Test code]:[Test code]],[1]!Table1[Anode ICR/mOhm],"",0)</f>
        <v>#REF!</v>
      </c>
      <c r="AD1893" s="69" t="e" cm="1">
        <f t="array" ref="AD1893">_xlfn.XLOOKUP(Table1[[#This Row],[5 cm2 cell test code]:[5 cm2 cell test code]],[1]!Table1[[Test code]:[Test code]],[1]!Table1[HFR DIW/ mOhm cm2],"",0)</f>
        <v>#REF!</v>
      </c>
      <c r="AE1893" s="69" t="e" cm="1">
        <f t="array" ref="AE1893">_xlfn.XLOOKUP(Table1[[#This Row],[5 cm2 cell test code]:[5 cm2 cell test code]],[1]!Table1[[Test code]:[Test code]],[1]!Table1[HFR 10 mM KOH/ mOhm cm2],"",0)</f>
        <v>#REF!</v>
      </c>
      <c r="AF1893" s="69" t="e" cm="1">
        <f t="array" ref="AF1893">_xlfn.XLOOKUP(Table1[[#This Row],[5 cm2 cell test code]:[5 cm2 cell test code]],[1]!Table1[[Test code]:[Test code]],[1]!Table1[Ionic resistance DIW/Ohm cm2],"",0)</f>
        <v>#REF!</v>
      </c>
      <c r="AG1893" s="69" t="e" cm="1">
        <f t="array" ref="AG1893">_xlfn.XLOOKUP(Table1[[#This Row],[5 cm2 cell test code]:[5 cm2 cell test code]],[1]!Table1[[Test code]:[Test code]],[1]!Table1[Q_int_frac DIW],"",0)</f>
        <v>#REF!</v>
      </c>
      <c r="AH1893" s="69" t="e" cm="1">
        <f t="array" ref="AH1893">_xlfn.XLOOKUP(Table1[[#This Row],[5 cm2 cell test code]:[5 cm2 cell test code]],[1]!Table1[[Test code]:[Test code]],[1]!Table1[Ionic resistance 10 mM KOH/Ohm cm2],"",0)</f>
        <v>#REF!</v>
      </c>
      <c r="AI1893" s="69" t="e" cm="1">
        <f t="array" ref="AI1893">_xlfn.XLOOKUP(Table1[[#This Row],[5 cm2 cell test code]:[5 cm2 cell test code]],[1]!Table1[[Test code]:[Test code]],[1]!Table1[Q_int_frac DIW 10 mM KOH],"",0)</f>
        <v>#REF!</v>
      </c>
      <c r="AJ1893" s="69" t="e" cm="1">
        <f t="array" ref="AJ1893">_xlfn.XLOOKUP(Table1[[#This Row],[5 cm2 cell test code]:[5 cm2 cell test code]],[1]!Table1[[Test code]:[Test code]],[1]!Table1[DIW conductivity (µS/cm)],"",0)</f>
        <v>#REF!</v>
      </c>
    </row>
    <row r="1894" spans="1:36">
      <c r="A1894" s="81"/>
      <c r="U1894" s="101"/>
      <c r="V1894" s="101"/>
      <c r="W1894" s="69" t="e" cm="1">
        <f t="array" ref="W1894">_xlfn.XLOOKUP(Table1[[#This Row],[5 cm2 cell test code]:[5 cm2 cell test code]],[1]!Table1[[Test code]:[Test code]],[1]!Table1[i @ 1.8 V DIW (A/cm2)],"",0)</f>
        <v>#REF!</v>
      </c>
      <c r="X1894" s="69" t="e" cm="1">
        <f t="array" ref="X1894">_xlfn.XLOOKUP(Table1[[#This Row],[5 cm2 cell test code]:[5 cm2 cell test code]],[1]!Table1[[Test code]:[Test code]],[1]!Table1[i @ 1.8 V 10 mM KOH (A/cm2)],"",0)</f>
        <v>#REF!</v>
      </c>
      <c r="Y1894" s="69" t="e" cm="1">
        <f t="array" ref="Y1894">_xlfn.XLOOKUP(Table1[[#This Row],[5 cm2 cell test code]:[5 cm2 cell test code]],[1]!Table1[[Test code]:[Test code]],[1]!Table1[3-E ƞ at 20mAcm-2 (mV)],"",0)</f>
        <v>#REF!</v>
      </c>
      <c r="Z1894" s="69" t="e" cm="1">
        <f t="array" ref="Z1894">_xlfn.XLOOKUP(Table1[[#This Row],[5 cm2 cell test code]:[5 cm2 cell test code]],[1]!Table1[[Test code]:[Test code]],[1]!Table1[3-E Tafel slope (mV/dec)],"",0)</f>
        <v>#REF!</v>
      </c>
      <c r="AA1894" s="69" t="e" cm="1">
        <f t="array" ref="AA1894">_xlfn.XLOOKUP(Table1[[#This Row],[5 cm2 cell test code]:[5 cm2 cell test code]],[1]!Table1[[Test code]:[Test code]],[1]!Table1[E @ 100 mA/cm2 DIW/V],"",0)</f>
        <v>#REF!</v>
      </c>
      <c r="AB1894" s="69" t="e" cm="1">
        <f t="array" ref="AB1894">_xlfn.XLOOKUP(Table1[[#This Row],[5 cm2 cell test code]:[5 cm2 cell test code]],[1]!Table1[[Test code]:[Test code]],[1]!Table1[E @ 100 mA/cm2 10 mM KOH/V],"",0)</f>
        <v>#REF!</v>
      </c>
      <c r="AC1894" s="69" t="e" cm="1">
        <f t="array" ref="AC1894">_xlfn.XLOOKUP(Table1[[#This Row],[5 cm2 cell test code]:[5 cm2 cell test code]],[1]!Table1[[Test code]:[Test code]],[1]!Table1[Anode ICR/mOhm],"",0)</f>
        <v>#REF!</v>
      </c>
      <c r="AD1894" s="69" t="e" cm="1">
        <f t="array" ref="AD1894">_xlfn.XLOOKUP(Table1[[#This Row],[5 cm2 cell test code]:[5 cm2 cell test code]],[1]!Table1[[Test code]:[Test code]],[1]!Table1[HFR DIW/ mOhm cm2],"",0)</f>
        <v>#REF!</v>
      </c>
      <c r="AE1894" s="69" t="e" cm="1">
        <f t="array" ref="AE1894">_xlfn.XLOOKUP(Table1[[#This Row],[5 cm2 cell test code]:[5 cm2 cell test code]],[1]!Table1[[Test code]:[Test code]],[1]!Table1[HFR 10 mM KOH/ mOhm cm2],"",0)</f>
        <v>#REF!</v>
      </c>
      <c r="AF1894" s="69" t="e" cm="1">
        <f t="array" ref="AF1894">_xlfn.XLOOKUP(Table1[[#This Row],[5 cm2 cell test code]:[5 cm2 cell test code]],[1]!Table1[[Test code]:[Test code]],[1]!Table1[Ionic resistance DIW/Ohm cm2],"",0)</f>
        <v>#REF!</v>
      </c>
      <c r="AG1894" s="69" t="e" cm="1">
        <f t="array" ref="AG1894">_xlfn.XLOOKUP(Table1[[#This Row],[5 cm2 cell test code]:[5 cm2 cell test code]],[1]!Table1[[Test code]:[Test code]],[1]!Table1[Q_int_frac DIW],"",0)</f>
        <v>#REF!</v>
      </c>
      <c r="AH1894" s="69" t="e" cm="1">
        <f t="array" ref="AH1894">_xlfn.XLOOKUP(Table1[[#This Row],[5 cm2 cell test code]:[5 cm2 cell test code]],[1]!Table1[[Test code]:[Test code]],[1]!Table1[Ionic resistance 10 mM KOH/Ohm cm2],"",0)</f>
        <v>#REF!</v>
      </c>
      <c r="AI1894" s="69" t="e" cm="1">
        <f t="array" ref="AI1894">_xlfn.XLOOKUP(Table1[[#This Row],[5 cm2 cell test code]:[5 cm2 cell test code]],[1]!Table1[[Test code]:[Test code]],[1]!Table1[Q_int_frac DIW 10 mM KOH],"",0)</f>
        <v>#REF!</v>
      </c>
      <c r="AJ1894" s="69" t="e" cm="1">
        <f t="array" ref="AJ1894">_xlfn.XLOOKUP(Table1[[#This Row],[5 cm2 cell test code]:[5 cm2 cell test code]],[1]!Table1[[Test code]:[Test code]],[1]!Table1[DIW conductivity (µS/cm)],"",0)</f>
        <v>#REF!</v>
      </c>
    </row>
    <row r="1895" spans="1:36">
      <c r="A1895" s="81"/>
      <c r="U1895" s="101"/>
      <c r="V1895" s="101"/>
      <c r="W1895" s="69" t="e" cm="1">
        <f t="array" ref="W1895">_xlfn.XLOOKUP(Table1[[#This Row],[5 cm2 cell test code]:[5 cm2 cell test code]],[1]!Table1[[Test code]:[Test code]],[1]!Table1[i @ 1.8 V DIW (A/cm2)],"",0)</f>
        <v>#REF!</v>
      </c>
      <c r="X1895" s="69" t="e" cm="1">
        <f t="array" ref="X1895">_xlfn.XLOOKUP(Table1[[#This Row],[5 cm2 cell test code]:[5 cm2 cell test code]],[1]!Table1[[Test code]:[Test code]],[1]!Table1[i @ 1.8 V 10 mM KOH (A/cm2)],"",0)</f>
        <v>#REF!</v>
      </c>
      <c r="Y1895" s="69" t="e" cm="1">
        <f t="array" ref="Y1895">_xlfn.XLOOKUP(Table1[[#This Row],[5 cm2 cell test code]:[5 cm2 cell test code]],[1]!Table1[[Test code]:[Test code]],[1]!Table1[3-E ƞ at 20mAcm-2 (mV)],"",0)</f>
        <v>#REF!</v>
      </c>
      <c r="Z1895" s="69" t="e" cm="1">
        <f t="array" ref="Z1895">_xlfn.XLOOKUP(Table1[[#This Row],[5 cm2 cell test code]:[5 cm2 cell test code]],[1]!Table1[[Test code]:[Test code]],[1]!Table1[3-E Tafel slope (mV/dec)],"",0)</f>
        <v>#REF!</v>
      </c>
      <c r="AA1895" s="69" t="e" cm="1">
        <f t="array" ref="AA1895">_xlfn.XLOOKUP(Table1[[#This Row],[5 cm2 cell test code]:[5 cm2 cell test code]],[1]!Table1[[Test code]:[Test code]],[1]!Table1[E @ 100 mA/cm2 DIW/V],"",0)</f>
        <v>#REF!</v>
      </c>
      <c r="AB1895" s="69" t="e" cm="1">
        <f t="array" ref="AB1895">_xlfn.XLOOKUP(Table1[[#This Row],[5 cm2 cell test code]:[5 cm2 cell test code]],[1]!Table1[[Test code]:[Test code]],[1]!Table1[E @ 100 mA/cm2 10 mM KOH/V],"",0)</f>
        <v>#REF!</v>
      </c>
      <c r="AC1895" s="69" t="e" cm="1">
        <f t="array" ref="AC1895">_xlfn.XLOOKUP(Table1[[#This Row],[5 cm2 cell test code]:[5 cm2 cell test code]],[1]!Table1[[Test code]:[Test code]],[1]!Table1[Anode ICR/mOhm],"",0)</f>
        <v>#REF!</v>
      </c>
      <c r="AD1895" s="69" t="e" cm="1">
        <f t="array" ref="AD1895">_xlfn.XLOOKUP(Table1[[#This Row],[5 cm2 cell test code]:[5 cm2 cell test code]],[1]!Table1[[Test code]:[Test code]],[1]!Table1[HFR DIW/ mOhm cm2],"",0)</f>
        <v>#REF!</v>
      </c>
      <c r="AE1895" s="69" t="e" cm="1">
        <f t="array" ref="AE1895">_xlfn.XLOOKUP(Table1[[#This Row],[5 cm2 cell test code]:[5 cm2 cell test code]],[1]!Table1[[Test code]:[Test code]],[1]!Table1[HFR 10 mM KOH/ mOhm cm2],"",0)</f>
        <v>#REF!</v>
      </c>
      <c r="AF1895" s="69" t="e" cm="1">
        <f t="array" ref="AF1895">_xlfn.XLOOKUP(Table1[[#This Row],[5 cm2 cell test code]:[5 cm2 cell test code]],[1]!Table1[[Test code]:[Test code]],[1]!Table1[Ionic resistance DIW/Ohm cm2],"",0)</f>
        <v>#REF!</v>
      </c>
      <c r="AG1895" s="69" t="e" cm="1">
        <f t="array" ref="AG1895">_xlfn.XLOOKUP(Table1[[#This Row],[5 cm2 cell test code]:[5 cm2 cell test code]],[1]!Table1[[Test code]:[Test code]],[1]!Table1[Q_int_frac DIW],"",0)</f>
        <v>#REF!</v>
      </c>
      <c r="AH1895" s="69" t="e" cm="1">
        <f t="array" ref="AH1895">_xlfn.XLOOKUP(Table1[[#This Row],[5 cm2 cell test code]:[5 cm2 cell test code]],[1]!Table1[[Test code]:[Test code]],[1]!Table1[Ionic resistance 10 mM KOH/Ohm cm2],"",0)</f>
        <v>#REF!</v>
      </c>
      <c r="AI1895" s="69" t="e" cm="1">
        <f t="array" ref="AI1895">_xlfn.XLOOKUP(Table1[[#This Row],[5 cm2 cell test code]:[5 cm2 cell test code]],[1]!Table1[[Test code]:[Test code]],[1]!Table1[Q_int_frac DIW 10 mM KOH],"",0)</f>
        <v>#REF!</v>
      </c>
      <c r="AJ1895" s="69" t="e" cm="1">
        <f t="array" ref="AJ1895">_xlfn.XLOOKUP(Table1[[#This Row],[5 cm2 cell test code]:[5 cm2 cell test code]],[1]!Table1[[Test code]:[Test code]],[1]!Table1[DIW conductivity (µS/cm)],"",0)</f>
        <v>#REF!</v>
      </c>
    </row>
    <row r="1896" spans="1:36">
      <c r="A1896" s="81"/>
      <c r="U1896" s="101"/>
      <c r="V1896" s="101"/>
      <c r="W1896" s="69" t="e" cm="1">
        <f t="array" ref="W1896">_xlfn.XLOOKUP(Table1[[#This Row],[5 cm2 cell test code]:[5 cm2 cell test code]],[1]!Table1[[Test code]:[Test code]],[1]!Table1[i @ 1.8 V DIW (A/cm2)],"",0)</f>
        <v>#REF!</v>
      </c>
      <c r="X1896" s="69" t="e" cm="1">
        <f t="array" ref="X1896">_xlfn.XLOOKUP(Table1[[#This Row],[5 cm2 cell test code]:[5 cm2 cell test code]],[1]!Table1[[Test code]:[Test code]],[1]!Table1[i @ 1.8 V 10 mM KOH (A/cm2)],"",0)</f>
        <v>#REF!</v>
      </c>
      <c r="Y1896" s="69" t="e" cm="1">
        <f t="array" ref="Y1896">_xlfn.XLOOKUP(Table1[[#This Row],[5 cm2 cell test code]:[5 cm2 cell test code]],[1]!Table1[[Test code]:[Test code]],[1]!Table1[3-E ƞ at 20mAcm-2 (mV)],"",0)</f>
        <v>#REF!</v>
      </c>
      <c r="Z1896" s="69" t="e" cm="1">
        <f t="array" ref="Z1896">_xlfn.XLOOKUP(Table1[[#This Row],[5 cm2 cell test code]:[5 cm2 cell test code]],[1]!Table1[[Test code]:[Test code]],[1]!Table1[3-E Tafel slope (mV/dec)],"",0)</f>
        <v>#REF!</v>
      </c>
      <c r="AA1896" s="69" t="e" cm="1">
        <f t="array" ref="AA1896">_xlfn.XLOOKUP(Table1[[#This Row],[5 cm2 cell test code]:[5 cm2 cell test code]],[1]!Table1[[Test code]:[Test code]],[1]!Table1[E @ 100 mA/cm2 DIW/V],"",0)</f>
        <v>#REF!</v>
      </c>
      <c r="AB1896" s="69" t="e" cm="1">
        <f t="array" ref="AB1896">_xlfn.XLOOKUP(Table1[[#This Row],[5 cm2 cell test code]:[5 cm2 cell test code]],[1]!Table1[[Test code]:[Test code]],[1]!Table1[E @ 100 mA/cm2 10 mM KOH/V],"",0)</f>
        <v>#REF!</v>
      </c>
      <c r="AC1896" s="69" t="e" cm="1">
        <f t="array" ref="AC1896">_xlfn.XLOOKUP(Table1[[#This Row],[5 cm2 cell test code]:[5 cm2 cell test code]],[1]!Table1[[Test code]:[Test code]],[1]!Table1[Anode ICR/mOhm],"",0)</f>
        <v>#REF!</v>
      </c>
      <c r="AD1896" s="69" t="e" cm="1">
        <f t="array" ref="AD1896">_xlfn.XLOOKUP(Table1[[#This Row],[5 cm2 cell test code]:[5 cm2 cell test code]],[1]!Table1[[Test code]:[Test code]],[1]!Table1[HFR DIW/ mOhm cm2],"",0)</f>
        <v>#REF!</v>
      </c>
      <c r="AE1896" s="69" t="e" cm="1">
        <f t="array" ref="AE1896">_xlfn.XLOOKUP(Table1[[#This Row],[5 cm2 cell test code]:[5 cm2 cell test code]],[1]!Table1[[Test code]:[Test code]],[1]!Table1[HFR 10 mM KOH/ mOhm cm2],"",0)</f>
        <v>#REF!</v>
      </c>
      <c r="AF1896" s="69" t="e" cm="1">
        <f t="array" ref="AF1896">_xlfn.XLOOKUP(Table1[[#This Row],[5 cm2 cell test code]:[5 cm2 cell test code]],[1]!Table1[[Test code]:[Test code]],[1]!Table1[Ionic resistance DIW/Ohm cm2],"",0)</f>
        <v>#REF!</v>
      </c>
      <c r="AG1896" s="69" t="e" cm="1">
        <f t="array" ref="AG1896">_xlfn.XLOOKUP(Table1[[#This Row],[5 cm2 cell test code]:[5 cm2 cell test code]],[1]!Table1[[Test code]:[Test code]],[1]!Table1[Q_int_frac DIW],"",0)</f>
        <v>#REF!</v>
      </c>
      <c r="AH1896" s="69" t="e" cm="1">
        <f t="array" ref="AH1896">_xlfn.XLOOKUP(Table1[[#This Row],[5 cm2 cell test code]:[5 cm2 cell test code]],[1]!Table1[[Test code]:[Test code]],[1]!Table1[Ionic resistance 10 mM KOH/Ohm cm2],"",0)</f>
        <v>#REF!</v>
      </c>
      <c r="AI1896" s="69" t="e" cm="1">
        <f t="array" ref="AI1896">_xlfn.XLOOKUP(Table1[[#This Row],[5 cm2 cell test code]:[5 cm2 cell test code]],[1]!Table1[[Test code]:[Test code]],[1]!Table1[Q_int_frac DIW 10 mM KOH],"",0)</f>
        <v>#REF!</v>
      </c>
      <c r="AJ1896" s="69" t="e" cm="1">
        <f t="array" ref="AJ1896">_xlfn.XLOOKUP(Table1[[#This Row],[5 cm2 cell test code]:[5 cm2 cell test code]],[1]!Table1[[Test code]:[Test code]],[1]!Table1[DIW conductivity (µS/cm)],"",0)</f>
        <v>#REF!</v>
      </c>
    </row>
    <row r="1897" spans="1:36">
      <c r="A1897" s="81"/>
      <c r="U1897" s="101"/>
      <c r="V1897" s="101"/>
      <c r="W1897" s="69" t="e" cm="1">
        <f t="array" ref="W1897">_xlfn.XLOOKUP(Table1[[#This Row],[5 cm2 cell test code]:[5 cm2 cell test code]],[1]!Table1[[Test code]:[Test code]],[1]!Table1[i @ 1.8 V DIW (A/cm2)],"",0)</f>
        <v>#REF!</v>
      </c>
      <c r="X1897" s="69" t="e" cm="1">
        <f t="array" ref="X1897">_xlfn.XLOOKUP(Table1[[#This Row],[5 cm2 cell test code]:[5 cm2 cell test code]],[1]!Table1[[Test code]:[Test code]],[1]!Table1[i @ 1.8 V 10 mM KOH (A/cm2)],"",0)</f>
        <v>#REF!</v>
      </c>
      <c r="Y1897" s="69" t="e" cm="1">
        <f t="array" ref="Y1897">_xlfn.XLOOKUP(Table1[[#This Row],[5 cm2 cell test code]:[5 cm2 cell test code]],[1]!Table1[[Test code]:[Test code]],[1]!Table1[3-E ƞ at 20mAcm-2 (mV)],"",0)</f>
        <v>#REF!</v>
      </c>
      <c r="Z1897" s="69" t="e" cm="1">
        <f t="array" ref="Z1897">_xlfn.XLOOKUP(Table1[[#This Row],[5 cm2 cell test code]:[5 cm2 cell test code]],[1]!Table1[[Test code]:[Test code]],[1]!Table1[3-E Tafel slope (mV/dec)],"",0)</f>
        <v>#REF!</v>
      </c>
      <c r="AA1897" s="69" t="e" cm="1">
        <f t="array" ref="AA1897">_xlfn.XLOOKUP(Table1[[#This Row],[5 cm2 cell test code]:[5 cm2 cell test code]],[1]!Table1[[Test code]:[Test code]],[1]!Table1[E @ 100 mA/cm2 DIW/V],"",0)</f>
        <v>#REF!</v>
      </c>
      <c r="AB1897" s="69" t="e" cm="1">
        <f t="array" ref="AB1897">_xlfn.XLOOKUP(Table1[[#This Row],[5 cm2 cell test code]:[5 cm2 cell test code]],[1]!Table1[[Test code]:[Test code]],[1]!Table1[E @ 100 mA/cm2 10 mM KOH/V],"",0)</f>
        <v>#REF!</v>
      </c>
      <c r="AC1897" s="69" t="e" cm="1">
        <f t="array" ref="AC1897">_xlfn.XLOOKUP(Table1[[#This Row],[5 cm2 cell test code]:[5 cm2 cell test code]],[1]!Table1[[Test code]:[Test code]],[1]!Table1[Anode ICR/mOhm],"",0)</f>
        <v>#REF!</v>
      </c>
      <c r="AD1897" s="69" t="e" cm="1">
        <f t="array" ref="AD1897">_xlfn.XLOOKUP(Table1[[#This Row],[5 cm2 cell test code]:[5 cm2 cell test code]],[1]!Table1[[Test code]:[Test code]],[1]!Table1[HFR DIW/ mOhm cm2],"",0)</f>
        <v>#REF!</v>
      </c>
      <c r="AE1897" s="69" t="e" cm="1">
        <f t="array" ref="AE1897">_xlfn.XLOOKUP(Table1[[#This Row],[5 cm2 cell test code]:[5 cm2 cell test code]],[1]!Table1[[Test code]:[Test code]],[1]!Table1[HFR 10 mM KOH/ mOhm cm2],"",0)</f>
        <v>#REF!</v>
      </c>
      <c r="AF1897" s="69" t="e" cm="1">
        <f t="array" ref="AF1897">_xlfn.XLOOKUP(Table1[[#This Row],[5 cm2 cell test code]:[5 cm2 cell test code]],[1]!Table1[[Test code]:[Test code]],[1]!Table1[Ionic resistance DIW/Ohm cm2],"",0)</f>
        <v>#REF!</v>
      </c>
      <c r="AG1897" s="69" t="e" cm="1">
        <f t="array" ref="AG1897">_xlfn.XLOOKUP(Table1[[#This Row],[5 cm2 cell test code]:[5 cm2 cell test code]],[1]!Table1[[Test code]:[Test code]],[1]!Table1[Q_int_frac DIW],"",0)</f>
        <v>#REF!</v>
      </c>
      <c r="AH1897" s="69" t="e" cm="1">
        <f t="array" ref="AH1897">_xlfn.XLOOKUP(Table1[[#This Row],[5 cm2 cell test code]:[5 cm2 cell test code]],[1]!Table1[[Test code]:[Test code]],[1]!Table1[Ionic resistance 10 mM KOH/Ohm cm2],"",0)</f>
        <v>#REF!</v>
      </c>
      <c r="AI1897" s="69" t="e" cm="1">
        <f t="array" ref="AI1897">_xlfn.XLOOKUP(Table1[[#This Row],[5 cm2 cell test code]:[5 cm2 cell test code]],[1]!Table1[[Test code]:[Test code]],[1]!Table1[Q_int_frac DIW 10 mM KOH],"",0)</f>
        <v>#REF!</v>
      </c>
      <c r="AJ1897" s="69" t="e" cm="1">
        <f t="array" ref="AJ1897">_xlfn.XLOOKUP(Table1[[#This Row],[5 cm2 cell test code]:[5 cm2 cell test code]],[1]!Table1[[Test code]:[Test code]],[1]!Table1[DIW conductivity (µS/cm)],"",0)</f>
        <v>#REF!</v>
      </c>
    </row>
    <row r="1898" spans="1:36">
      <c r="A1898" s="81"/>
      <c r="U1898" s="101"/>
      <c r="V1898" s="101"/>
      <c r="W1898" s="69" t="e" cm="1">
        <f t="array" ref="W1898">_xlfn.XLOOKUP(Table1[[#This Row],[5 cm2 cell test code]:[5 cm2 cell test code]],[1]!Table1[[Test code]:[Test code]],[1]!Table1[i @ 1.8 V DIW (A/cm2)],"",0)</f>
        <v>#REF!</v>
      </c>
      <c r="X1898" s="69" t="e" cm="1">
        <f t="array" ref="X1898">_xlfn.XLOOKUP(Table1[[#This Row],[5 cm2 cell test code]:[5 cm2 cell test code]],[1]!Table1[[Test code]:[Test code]],[1]!Table1[i @ 1.8 V 10 mM KOH (A/cm2)],"",0)</f>
        <v>#REF!</v>
      </c>
      <c r="Y1898" s="69" t="e" cm="1">
        <f t="array" ref="Y1898">_xlfn.XLOOKUP(Table1[[#This Row],[5 cm2 cell test code]:[5 cm2 cell test code]],[1]!Table1[[Test code]:[Test code]],[1]!Table1[3-E ƞ at 20mAcm-2 (mV)],"",0)</f>
        <v>#REF!</v>
      </c>
      <c r="Z1898" s="69" t="e" cm="1">
        <f t="array" ref="Z1898">_xlfn.XLOOKUP(Table1[[#This Row],[5 cm2 cell test code]:[5 cm2 cell test code]],[1]!Table1[[Test code]:[Test code]],[1]!Table1[3-E Tafel slope (mV/dec)],"",0)</f>
        <v>#REF!</v>
      </c>
      <c r="AA1898" s="69" t="e" cm="1">
        <f t="array" ref="AA1898">_xlfn.XLOOKUP(Table1[[#This Row],[5 cm2 cell test code]:[5 cm2 cell test code]],[1]!Table1[[Test code]:[Test code]],[1]!Table1[E @ 100 mA/cm2 DIW/V],"",0)</f>
        <v>#REF!</v>
      </c>
      <c r="AB1898" s="69" t="e" cm="1">
        <f t="array" ref="AB1898">_xlfn.XLOOKUP(Table1[[#This Row],[5 cm2 cell test code]:[5 cm2 cell test code]],[1]!Table1[[Test code]:[Test code]],[1]!Table1[E @ 100 mA/cm2 10 mM KOH/V],"",0)</f>
        <v>#REF!</v>
      </c>
      <c r="AC1898" s="69" t="e" cm="1">
        <f t="array" ref="AC1898">_xlfn.XLOOKUP(Table1[[#This Row],[5 cm2 cell test code]:[5 cm2 cell test code]],[1]!Table1[[Test code]:[Test code]],[1]!Table1[Anode ICR/mOhm],"",0)</f>
        <v>#REF!</v>
      </c>
      <c r="AD1898" s="69" t="e" cm="1">
        <f t="array" ref="AD1898">_xlfn.XLOOKUP(Table1[[#This Row],[5 cm2 cell test code]:[5 cm2 cell test code]],[1]!Table1[[Test code]:[Test code]],[1]!Table1[HFR DIW/ mOhm cm2],"",0)</f>
        <v>#REF!</v>
      </c>
      <c r="AE1898" s="69" t="e" cm="1">
        <f t="array" ref="AE1898">_xlfn.XLOOKUP(Table1[[#This Row],[5 cm2 cell test code]:[5 cm2 cell test code]],[1]!Table1[[Test code]:[Test code]],[1]!Table1[HFR 10 mM KOH/ mOhm cm2],"",0)</f>
        <v>#REF!</v>
      </c>
      <c r="AF1898" s="69" t="e" cm="1">
        <f t="array" ref="AF1898">_xlfn.XLOOKUP(Table1[[#This Row],[5 cm2 cell test code]:[5 cm2 cell test code]],[1]!Table1[[Test code]:[Test code]],[1]!Table1[Ionic resistance DIW/Ohm cm2],"",0)</f>
        <v>#REF!</v>
      </c>
      <c r="AG1898" s="69" t="e" cm="1">
        <f t="array" ref="AG1898">_xlfn.XLOOKUP(Table1[[#This Row],[5 cm2 cell test code]:[5 cm2 cell test code]],[1]!Table1[[Test code]:[Test code]],[1]!Table1[Q_int_frac DIW],"",0)</f>
        <v>#REF!</v>
      </c>
      <c r="AH1898" s="69" t="e" cm="1">
        <f t="array" ref="AH1898">_xlfn.XLOOKUP(Table1[[#This Row],[5 cm2 cell test code]:[5 cm2 cell test code]],[1]!Table1[[Test code]:[Test code]],[1]!Table1[Ionic resistance 10 mM KOH/Ohm cm2],"",0)</f>
        <v>#REF!</v>
      </c>
      <c r="AI1898" s="69" t="e" cm="1">
        <f t="array" ref="AI1898">_xlfn.XLOOKUP(Table1[[#This Row],[5 cm2 cell test code]:[5 cm2 cell test code]],[1]!Table1[[Test code]:[Test code]],[1]!Table1[Q_int_frac DIW 10 mM KOH],"",0)</f>
        <v>#REF!</v>
      </c>
      <c r="AJ1898" s="69" t="e" cm="1">
        <f t="array" ref="AJ1898">_xlfn.XLOOKUP(Table1[[#This Row],[5 cm2 cell test code]:[5 cm2 cell test code]],[1]!Table1[[Test code]:[Test code]],[1]!Table1[DIW conductivity (µS/cm)],"",0)</f>
        <v>#REF!</v>
      </c>
    </row>
    <row r="1899" spans="1:36">
      <c r="A1899" s="81"/>
      <c r="U1899" s="101"/>
      <c r="V1899" s="101"/>
      <c r="W1899" s="69" t="e" cm="1">
        <f t="array" ref="W1899">_xlfn.XLOOKUP(Table1[[#This Row],[5 cm2 cell test code]:[5 cm2 cell test code]],[1]!Table1[[Test code]:[Test code]],[1]!Table1[i @ 1.8 V DIW (A/cm2)],"",0)</f>
        <v>#REF!</v>
      </c>
      <c r="X1899" s="69" t="e" cm="1">
        <f t="array" ref="X1899">_xlfn.XLOOKUP(Table1[[#This Row],[5 cm2 cell test code]:[5 cm2 cell test code]],[1]!Table1[[Test code]:[Test code]],[1]!Table1[i @ 1.8 V 10 mM KOH (A/cm2)],"",0)</f>
        <v>#REF!</v>
      </c>
      <c r="Y1899" s="69" t="e" cm="1">
        <f t="array" ref="Y1899">_xlfn.XLOOKUP(Table1[[#This Row],[5 cm2 cell test code]:[5 cm2 cell test code]],[1]!Table1[[Test code]:[Test code]],[1]!Table1[3-E ƞ at 20mAcm-2 (mV)],"",0)</f>
        <v>#REF!</v>
      </c>
      <c r="Z1899" s="69" t="e" cm="1">
        <f t="array" ref="Z1899">_xlfn.XLOOKUP(Table1[[#This Row],[5 cm2 cell test code]:[5 cm2 cell test code]],[1]!Table1[[Test code]:[Test code]],[1]!Table1[3-E Tafel slope (mV/dec)],"",0)</f>
        <v>#REF!</v>
      </c>
      <c r="AA1899" s="69" t="e" cm="1">
        <f t="array" ref="AA1899">_xlfn.XLOOKUP(Table1[[#This Row],[5 cm2 cell test code]:[5 cm2 cell test code]],[1]!Table1[[Test code]:[Test code]],[1]!Table1[E @ 100 mA/cm2 DIW/V],"",0)</f>
        <v>#REF!</v>
      </c>
      <c r="AB1899" s="69" t="e" cm="1">
        <f t="array" ref="AB1899">_xlfn.XLOOKUP(Table1[[#This Row],[5 cm2 cell test code]:[5 cm2 cell test code]],[1]!Table1[[Test code]:[Test code]],[1]!Table1[E @ 100 mA/cm2 10 mM KOH/V],"",0)</f>
        <v>#REF!</v>
      </c>
      <c r="AC1899" s="69" t="e" cm="1">
        <f t="array" ref="AC1899">_xlfn.XLOOKUP(Table1[[#This Row],[5 cm2 cell test code]:[5 cm2 cell test code]],[1]!Table1[[Test code]:[Test code]],[1]!Table1[Anode ICR/mOhm],"",0)</f>
        <v>#REF!</v>
      </c>
      <c r="AD1899" s="69" t="e" cm="1">
        <f t="array" ref="AD1899">_xlfn.XLOOKUP(Table1[[#This Row],[5 cm2 cell test code]:[5 cm2 cell test code]],[1]!Table1[[Test code]:[Test code]],[1]!Table1[HFR DIW/ mOhm cm2],"",0)</f>
        <v>#REF!</v>
      </c>
      <c r="AE1899" s="69" t="e" cm="1">
        <f t="array" ref="AE1899">_xlfn.XLOOKUP(Table1[[#This Row],[5 cm2 cell test code]:[5 cm2 cell test code]],[1]!Table1[[Test code]:[Test code]],[1]!Table1[HFR 10 mM KOH/ mOhm cm2],"",0)</f>
        <v>#REF!</v>
      </c>
      <c r="AF1899" s="69" t="e" cm="1">
        <f t="array" ref="AF1899">_xlfn.XLOOKUP(Table1[[#This Row],[5 cm2 cell test code]:[5 cm2 cell test code]],[1]!Table1[[Test code]:[Test code]],[1]!Table1[Ionic resistance DIW/Ohm cm2],"",0)</f>
        <v>#REF!</v>
      </c>
      <c r="AG1899" s="69" t="e" cm="1">
        <f t="array" ref="AG1899">_xlfn.XLOOKUP(Table1[[#This Row],[5 cm2 cell test code]:[5 cm2 cell test code]],[1]!Table1[[Test code]:[Test code]],[1]!Table1[Q_int_frac DIW],"",0)</f>
        <v>#REF!</v>
      </c>
      <c r="AH1899" s="69" t="e" cm="1">
        <f t="array" ref="AH1899">_xlfn.XLOOKUP(Table1[[#This Row],[5 cm2 cell test code]:[5 cm2 cell test code]],[1]!Table1[[Test code]:[Test code]],[1]!Table1[Ionic resistance 10 mM KOH/Ohm cm2],"",0)</f>
        <v>#REF!</v>
      </c>
      <c r="AI1899" s="69" t="e" cm="1">
        <f t="array" ref="AI1899">_xlfn.XLOOKUP(Table1[[#This Row],[5 cm2 cell test code]:[5 cm2 cell test code]],[1]!Table1[[Test code]:[Test code]],[1]!Table1[Q_int_frac DIW 10 mM KOH],"",0)</f>
        <v>#REF!</v>
      </c>
      <c r="AJ1899" s="69" t="e" cm="1">
        <f t="array" ref="AJ1899">_xlfn.XLOOKUP(Table1[[#This Row],[5 cm2 cell test code]:[5 cm2 cell test code]],[1]!Table1[[Test code]:[Test code]],[1]!Table1[DIW conductivity (µS/cm)],"",0)</f>
        <v>#REF!</v>
      </c>
    </row>
    <row r="1900" spans="1:36">
      <c r="A1900" s="81"/>
      <c r="U1900" s="101"/>
      <c r="V1900" s="101"/>
      <c r="W1900" s="69" t="e" cm="1">
        <f t="array" ref="W1900">_xlfn.XLOOKUP(Table1[[#This Row],[5 cm2 cell test code]:[5 cm2 cell test code]],[1]!Table1[[Test code]:[Test code]],[1]!Table1[i @ 1.8 V DIW (A/cm2)],"",0)</f>
        <v>#REF!</v>
      </c>
      <c r="X1900" s="69" t="e" cm="1">
        <f t="array" ref="X1900">_xlfn.XLOOKUP(Table1[[#This Row],[5 cm2 cell test code]:[5 cm2 cell test code]],[1]!Table1[[Test code]:[Test code]],[1]!Table1[i @ 1.8 V 10 mM KOH (A/cm2)],"",0)</f>
        <v>#REF!</v>
      </c>
      <c r="Y1900" s="69" t="e" cm="1">
        <f t="array" ref="Y1900">_xlfn.XLOOKUP(Table1[[#This Row],[5 cm2 cell test code]:[5 cm2 cell test code]],[1]!Table1[[Test code]:[Test code]],[1]!Table1[3-E ƞ at 20mAcm-2 (mV)],"",0)</f>
        <v>#REF!</v>
      </c>
      <c r="Z1900" s="69" t="e" cm="1">
        <f t="array" ref="Z1900">_xlfn.XLOOKUP(Table1[[#This Row],[5 cm2 cell test code]:[5 cm2 cell test code]],[1]!Table1[[Test code]:[Test code]],[1]!Table1[3-E Tafel slope (mV/dec)],"",0)</f>
        <v>#REF!</v>
      </c>
      <c r="AA1900" s="69" t="e" cm="1">
        <f t="array" ref="AA1900">_xlfn.XLOOKUP(Table1[[#This Row],[5 cm2 cell test code]:[5 cm2 cell test code]],[1]!Table1[[Test code]:[Test code]],[1]!Table1[E @ 100 mA/cm2 DIW/V],"",0)</f>
        <v>#REF!</v>
      </c>
      <c r="AB1900" s="69" t="e" cm="1">
        <f t="array" ref="AB1900">_xlfn.XLOOKUP(Table1[[#This Row],[5 cm2 cell test code]:[5 cm2 cell test code]],[1]!Table1[[Test code]:[Test code]],[1]!Table1[E @ 100 mA/cm2 10 mM KOH/V],"",0)</f>
        <v>#REF!</v>
      </c>
      <c r="AC1900" s="69" t="e" cm="1">
        <f t="array" ref="AC1900">_xlfn.XLOOKUP(Table1[[#This Row],[5 cm2 cell test code]:[5 cm2 cell test code]],[1]!Table1[[Test code]:[Test code]],[1]!Table1[Anode ICR/mOhm],"",0)</f>
        <v>#REF!</v>
      </c>
      <c r="AD1900" s="69" t="e" cm="1">
        <f t="array" ref="AD1900">_xlfn.XLOOKUP(Table1[[#This Row],[5 cm2 cell test code]:[5 cm2 cell test code]],[1]!Table1[[Test code]:[Test code]],[1]!Table1[HFR DIW/ mOhm cm2],"",0)</f>
        <v>#REF!</v>
      </c>
      <c r="AE1900" s="69" t="e" cm="1">
        <f t="array" ref="AE1900">_xlfn.XLOOKUP(Table1[[#This Row],[5 cm2 cell test code]:[5 cm2 cell test code]],[1]!Table1[[Test code]:[Test code]],[1]!Table1[HFR 10 mM KOH/ mOhm cm2],"",0)</f>
        <v>#REF!</v>
      </c>
      <c r="AF1900" s="69" t="e" cm="1">
        <f t="array" ref="AF1900">_xlfn.XLOOKUP(Table1[[#This Row],[5 cm2 cell test code]:[5 cm2 cell test code]],[1]!Table1[[Test code]:[Test code]],[1]!Table1[Ionic resistance DIW/Ohm cm2],"",0)</f>
        <v>#REF!</v>
      </c>
      <c r="AG1900" s="69" t="e" cm="1">
        <f t="array" ref="AG1900">_xlfn.XLOOKUP(Table1[[#This Row],[5 cm2 cell test code]:[5 cm2 cell test code]],[1]!Table1[[Test code]:[Test code]],[1]!Table1[Q_int_frac DIW],"",0)</f>
        <v>#REF!</v>
      </c>
      <c r="AH1900" s="69" t="e" cm="1">
        <f t="array" ref="AH1900">_xlfn.XLOOKUP(Table1[[#This Row],[5 cm2 cell test code]:[5 cm2 cell test code]],[1]!Table1[[Test code]:[Test code]],[1]!Table1[Ionic resistance 10 mM KOH/Ohm cm2],"",0)</f>
        <v>#REF!</v>
      </c>
      <c r="AI1900" s="69" t="e" cm="1">
        <f t="array" ref="AI1900">_xlfn.XLOOKUP(Table1[[#This Row],[5 cm2 cell test code]:[5 cm2 cell test code]],[1]!Table1[[Test code]:[Test code]],[1]!Table1[Q_int_frac DIW 10 mM KOH],"",0)</f>
        <v>#REF!</v>
      </c>
      <c r="AJ1900" s="69" t="e" cm="1">
        <f t="array" ref="AJ1900">_xlfn.XLOOKUP(Table1[[#This Row],[5 cm2 cell test code]:[5 cm2 cell test code]],[1]!Table1[[Test code]:[Test code]],[1]!Table1[DIW conductivity (µS/cm)],"",0)</f>
        <v>#REF!</v>
      </c>
    </row>
    <row r="1901" spans="1:36">
      <c r="A1901" s="81"/>
      <c r="U1901" s="101"/>
      <c r="V1901" s="101"/>
      <c r="W1901" s="69" t="e" cm="1">
        <f t="array" ref="W1901">_xlfn.XLOOKUP(Table1[[#This Row],[5 cm2 cell test code]:[5 cm2 cell test code]],[1]!Table1[[Test code]:[Test code]],[1]!Table1[i @ 1.8 V DIW (A/cm2)],"",0)</f>
        <v>#REF!</v>
      </c>
      <c r="X1901" s="69" t="e" cm="1">
        <f t="array" ref="X1901">_xlfn.XLOOKUP(Table1[[#This Row],[5 cm2 cell test code]:[5 cm2 cell test code]],[1]!Table1[[Test code]:[Test code]],[1]!Table1[i @ 1.8 V 10 mM KOH (A/cm2)],"",0)</f>
        <v>#REF!</v>
      </c>
      <c r="Y1901" s="69" t="e" cm="1">
        <f t="array" ref="Y1901">_xlfn.XLOOKUP(Table1[[#This Row],[5 cm2 cell test code]:[5 cm2 cell test code]],[1]!Table1[[Test code]:[Test code]],[1]!Table1[3-E ƞ at 20mAcm-2 (mV)],"",0)</f>
        <v>#REF!</v>
      </c>
      <c r="Z1901" s="69" t="e" cm="1">
        <f t="array" ref="Z1901">_xlfn.XLOOKUP(Table1[[#This Row],[5 cm2 cell test code]:[5 cm2 cell test code]],[1]!Table1[[Test code]:[Test code]],[1]!Table1[3-E Tafel slope (mV/dec)],"",0)</f>
        <v>#REF!</v>
      </c>
      <c r="AA1901" s="69" t="e" cm="1">
        <f t="array" ref="AA1901">_xlfn.XLOOKUP(Table1[[#This Row],[5 cm2 cell test code]:[5 cm2 cell test code]],[1]!Table1[[Test code]:[Test code]],[1]!Table1[E @ 100 mA/cm2 DIW/V],"",0)</f>
        <v>#REF!</v>
      </c>
      <c r="AB1901" s="69" t="e" cm="1">
        <f t="array" ref="AB1901">_xlfn.XLOOKUP(Table1[[#This Row],[5 cm2 cell test code]:[5 cm2 cell test code]],[1]!Table1[[Test code]:[Test code]],[1]!Table1[E @ 100 mA/cm2 10 mM KOH/V],"",0)</f>
        <v>#REF!</v>
      </c>
      <c r="AC1901" s="69" t="e" cm="1">
        <f t="array" ref="AC1901">_xlfn.XLOOKUP(Table1[[#This Row],[5 cm2 cell test code]:[5 cm2 cell test code]],[1]!Table1[[Test code]:[Test code]],[1]!Table1[Anode ICR/mOhm],"",0)</f>
        <v>#REF!</v>
      </c>
      <c r="AD1901" s="69" t="e" cm="1">
        <f t="array" ref="AD1901">_xlfn.XLOOKUP(Table1[[#This Row],[5 cm2 cell test code]:[5 cm2 cell test code]],[1]!Table1[[Test code]:[Test code]],[1]!Table1[HFR DIW/ mOhm cm2],"",0)</f>
        <v>#REF!</v>
      </c>
      <c r="AE1901" s="69" t="e" cm="1">
        <f t="array" ref="AE1901">_xlfn.XLOOKUP(Table1[[#This Row],[5 cm2 cell test code]:[5 cm2 cell test code]],[1]!Table1[[Test code]:[Test code]],[1]!Table1[HFR 10 mM KOH/ mOhm cm2],"",0)</f>
        <v>#REF!</v>
      </c>
      <c r="AF1901" s="69" t="e" cm="1">
        <f t="array" ref="AF1901">_xlfn.XLOOKUP(Table1[[#This Row],[5 cm2 cell test code]:[5 cm2 cell test code]],[1]!Table1[[Test code]:[Test code]],[1]!Table1[Ionic resistance DIW/Ohm cm2],"",0)</f>
        <v>#REF!</v>
      </c>
      <c r="AG1901" s="69" t="e" cm="1">
        <f t="array" ref="AG1901">_xlfn.XLOOKUP(Table1[[#This Row],[5 cm2 cell test code]:[5 cm2 cell test code]],[1]!Table1[[Test code]:[Test code]],[1]!Table1[Q_int_frac DIW],"",0)</f>
        <v>#REF!</v>
      </c>
      <c r="AH1901" s="69" t="e" cm="1">
        <f t="array" ref="AH1901">_xlfn.XLOOKUP(Table1[[#This Row],[5 cm2 cell test code]:[5 cm2 cell test code]],[1]!Table1[[Test code]:[Test code]],[1]!Table1[Ionic resistance 10 mM KOH/Ohm cm2],"",0)</f>
        <v>#REF!</v>
      </c>
      <c r="AI1901" s="69" t="e" cm="1">
        <f t="array" ref="AI1901">_xlfn.XLOOKUP(Table1[[#This Row],[5 cm2 cell test code]:[5 cm2 cell test code]],[1]!Table1[[Test code]:[Test code]],[1]!Table1[Q_int_frac DIW 10 mM KOH],"",0)</f>
        <v>#REF!</v>
      </c>
      <c r="AJ1901" s="69" t="e" cm="1">
        <f t="array" ref="AJ1901">_xlfn.XLOOKUP(Table1[[#This Row],[5 cm2 cell test code]:[5 cm2 cell test code]],[1]!Table1[[Test code]:[Test code]],[1]!Table1[DIW conductivity (µS/cm)],"",0)</f>
        <v>#REF!</v>
      </c>
    </row>
    <row r="1902" spans="1:36">
      <c r="A1902" s="81"/>
      <c r="U1902" s="101"/>
      <c r="V1902" s="101"/>
      <c r="W1902" s="69" t="e" cm="1">
        <f t="array" ref="W1902">_xlfn.XLOOKUP(Table1[[#This Row],[5 cm2 cell test code]:[5 cm2 cell test code]],[1]!Table1[[Test code]:[Test code]],[1]!Table1[i @ 1.8 V DIW (A/cm2)],"",0)</f>
        <v>#REF!</v>
      </c>
      <c r="X1902" s="69" t="e" cm="1">
        <f t="array" ref="X1902">_xlfn.XLOOKUP(Table1[[#This Row],[5 cm2 cell test code]:[5 cm2 cell test code]],[1]!Table1[[Test code]:[Test code]],[1]!Table1[i @ 1.8 V 10 mM KOH (A/cm2)],"",0)</f>
        <v>#REF!</v>
      </c>
      <c r="Y1902" s="69" t="e" cm="1">
        <f t="array" ref="Y1902">_xlfn.XLOOKUP(Table1[[#This Row],[5 cm2 cell test code]:[5 cm2 cell test code]],[1]!Table1[[Test code]:[Test code]],[1]!Table1[3-E ƞ at 20mAcm-2 (mV)],"",0)</f>
        <v>#REF!</v>
      </c>
      <c r="Z1902" s="69" t="e" cm="1">
        <f t="array" ref="Z1902">_xlfn.XLOOKUP(Table1[[#This Row],[5 cm2 cell test code]:[5 cm2 cell test code]],[1]!Table1[[Test code]:[Test code]],[1]!Table1[3-E Tafel slope (mV/dec)],"",0)</f>
        <v>#REF!</v>
      </c>
      <c r="AA1902" s="69" t="e" cm="1">
        <f t="array" ref="AA1902">_xlfn.XLOOKUP(Table1[[#This Row],[5 cm2 cell test code]:[5 cm2 cell test code]],[1]!Table1[[Test code]:[Test code]],[1]!Table1[E @ 100 mA/cm2 DIW/V],"",0)</f>
        <v>#REF!</v>
      </c>
      <c r="AB1902" s="69" t="e" cm="1">
        <f t="array" ref="AB1902">_xlfn.XLOOKUP(Table1[[#This Row],[5 cm2 cell test code]:[5 cm2 cell test code]],[1]!Table1[[Test code]:[Test code]],[1]!Table1[E @ 100 mA/cm2 10 mM KOH/V],"",0)</f>
        <v>#REF!</v>
      </c>
      <c r="AC1902" s="69" t="e" cm="1">
        <f t="array" ref="AC1902">_xlfn.XLOOKUP(Table1[[#This Row],[5 cm2 cell test code]:[5 cm2 cell test code]],[1]!Table1[[Test code]:[Test code]],[1]!Table1[Anode ICR/mOhm],"",0)</f>
        <v>#REF!</v>
      </c>
      <c r="AD1902" s="69" t="e" cm="1">
        <f t="array" ref="AD1902">_xlfn.XLOOKUP(Table1[[#This Row],[5 cm2 cell test code]:[5 cm2 cell test code]],[1]!Table1[[Test code]:[Test code]],[1]!Table1[HFR DIW/ mOhm cm2],"",0)</f>
        <v>#REF!</v>
      </c>
      <c r="AE1902" s="69" t="e" cm="1">
        <f t="array" ref="AE1902">_xlfn.XLOOKUP(Table1[[#This Row],[5 cm2 cell test code]:[5 cm2 cell test code]],[1]!Table1[[Test code]:[Test code]],[1]!Table1[HFR 10 mM KOH/ mOhm cm2],"",0)</f>
        <v>#REF!</v>
      </c>
      <c r="AF1902" s="69" t="e" cm="1">
        <f t="array" ref="AF1902">_xlfn.XLOOKUP(Table1[[#This Row],[5 cm2 cell test code]:[5 cm2 cell test code]],[1]!Table1[[Test code]:[Test code]],[1]!Table1[Ionic resistance DIW/Ohm cm2],"",0)</f>
        <v>#REF!</v>
      </c>
      <c r="AG1902" s="69" t="e" cm="1">
        <f t="array" ref="AG1902">_xlfn.XLOOKUP(Table1[[#This Row],[5 cm2 cell test code]:[5 cm2 cell test code]],[1]!Table1[[Test code]:[Test code]],[1]!Table1[Q_int_frac DIW],"",0)</f>
        <v>#REF!</v>
      </c>
      <c r="AH1902" s="69" t="e" cm="1">
        <f t="array" ref="AH1902">_xlfn.XLOOKUP(Table1[[#This Row],[5 cm2 cell test code]:[5 cm2 cell test code]],[1]!Table1[[Test code]:[Test code]],[1]!Table1[Ionic resistance 10 mM KOH/Ohm cm2],"",0)</f>
        <v>#REF!</v>
      </c>
      <c r="AI1902" s="69" t="e" cm="1">
        <f t="array" ref="AI1902">_xlfn.XLOOKUP(Table1[[#This Row],[5 cm2 cell test code]:[5 cm2 cell test code]],[1]!Table1[[Test code]:[Test code]],[1]!Table1[Q_int_frac DIW 10 mM KOH],"",0)</f>
        <v>#REF!</v>
      </c>
      <c r="AJ1902" s="69" t="e" cm="1">
        <f t="array" ref="AJ1902">_xlfn.XLOOKUP(Table1[[#This Row],[5 cm2 cell test code]:[5 cm2 cell test code]],[1]!Table1[[Test code]:[Test code]],[1]!Table1[DIW conductivity (µS/cm)],"",0)</f>
        <v>#REF!</v>
      </c>
    </row>
    <row r="1903" spans="1:36">
      <c r="A1903" s="81"/>
      <c r="U1903" s="101"/>
      <c r="V1903" s="101"/>
      <c r="W1903" s="69" t="e" cm="1">
        <f t="array" ref="W1903">_xlfn.XLOOKUP(Table1[[#This Row],[5 cm2 cell test code]:[5 cm2 cell test code]],[1]!Table1[[Test code]:[Test code]],[1]!Table1[i @ 1.8 V DIW (A/cm2)],"",0)</f>
        <v>#REF!</v>
      </c>
      <c r="X1903" s="69" t="e" cm="1">
        <f t="array" ref="X1903">_xlfn.XLOOKUP(Table1[[#This Row],[5 cm2 cell test code]:[5 cm2 cell test code]],[1]!Table1[[Test code]:[Test code]],[1]!Table1[i @ 1.8 V 10 mM KOH (A/cm2)],"",0)</f>
        <v>#REF!</v>
      </c>
      <c r="Y1903" s="69" t="e" cm="1">
        <f t="array" ref="Y1903">_xlfn.XLOOKUP(Table1[[#This Row],[5 cm2 cell test code]:[5 cm2 cell test code]],[1]!Table1[[Test code]:[Test code]],[1]!Table1[3-E ƞ at 20mAcm-2 (mV)],"",0)</f>
        <v>#REF!</v>
      </c>
      <c r="Z1903" s="69" t="e" cm="1">
        <f t="array" ref="Z1903">_xlfn.XLOOKUP(Table1[[#This Row],[5 cm2 cell test code]:[5 cm2 cell test code]],[1]!Table1[[Test code]:[Test code]],[1]!Table1[3-E Tafel slope (mV/dec)],"",0)</f>
        <v>#REF!</v>
      </c>
      <c r="AA1903" s="69" t="e" cm="1">
        <f t="array" ref="AA1903">_xlfn.XLOOKUP(Table1[[#This Row],[5 cm2 cell test code]:[5 cm2 cell test code]],[1]!Table1[[Test code]:[Test code]],[1]!Table1[E @ 100 mA/cm2 DIW/V],"",0)</f>
        <v>#REF!</v>
      </c>
      <c r="AB1903" s="69" t="e" cm="1">
        <f t="array" ref="AB1903">_xlfn.XLOOKUP(Table1[[#This Row],[5 cm2 cell test code]:[5 cm2 cell test code]],[1]!Table1[[Test code]:[Test code]],[1]!Table1[E @ 100 mA/cm2 10 mM KOH/V],"",0)</f>
        <v>#REF!</v>
      </c>
      <c r="AC1903" s="69" t="e" cm="1">
        <f t="array" ref="AC1903">_xlfn.XLOOKUP(Table1[[#This Row],[5 cm2 cell test code]:[5 cm2 cell test code]],[1]!Table1[[Test code]:[Test code]],[1]!Table1[Anode ICR/mOhm],"",0)</f>
        <v>#REF!</v>
      </c>
      <c r="AD1903" s="69" t="e" cm="1">
        <f t="array" ref="AD1903">_xlfn.XLOOKUP(Table1[[#This Row],[5 cm2 cell test code]:[5 cm2 cell test code]],[1]!Table1[[Test code]:[Test code]],[1]!Table1[HFR DIW/ mOhm cm2],"",0)</f>
        <v>#REF!</v>
      </c>
      <c r="AE1903" s="69" t="e" cm="1">
        <f t="array" ref="AE1903">_xlfn.XLOOKUP(Table1[[#This Row],[5 cm2 cell test code]:[5 cm2 cell test code]],[1]!Table1[[Test code]:[Test code]],[1]!Table1[HFR 10 mM KOH/ mOhm cm2],"",0)</f>
        <v>#REF!</v>
      </c>
      <c r="AF1903" s="69" t="e" cm="1">
        <f t="array" ref="AF1903">_xlfn.XLOOKUP(Table1[[#This Row],[5 cm2 cell test code]:[5 cm2 cell test code]],[1]!Table1[[Test code]:[Test code]],[1]!Table1[Ionic resistance DIW/Ohm cm2],"",0)</f>
        <v>#REF!</v>
      </c>
      <c r="AG1903" s="69" t="e" cm="1">
        <f t="array" ref="AG1903">_xlfn.XLOOKUP(Table1[[#This Row],[5 cm2 cell test code]:[5 cm2 cell test code]],[1]!Table1[[Test code]:[Test code]],[1]!Table1[Q_int_frac DIW],"",0)</f>
        <v>#REF!</v>
      </c>
      <c r="AH1903" s="69" t="e" cm="1">
        <f t="array" ref="AH1903">_xlfn.XLOOKUP(Table1[[#This Row],[5 cm2 cell test code]:[5 cm2 cell test code]],[1]!Table1[[Test code]:[Test code]],[1]!Table1[Ionic resistance 10 mM KOH/Ohm cm2],"",0)</f>
        <v>#REF!</v>
      </c>
      <c r="AI1903" s="69" t="e" cm="1">
        <f t="array" ref="AI1903">_xlfn.XLOOKUP(Table1[[#This Row],[5 cm2 cell test code]:[5 cm2 cell test code]],[1]!Table1[[Test code]:[Test code]],[1]!Table1[Q_int_frac DIW 10 mM KOH],"",0)</f>
        <v>#REF!</v>
      </c>
      <c r="AJ1903" s="69" t="e" cm="1">
        <f t="array" ref="AJ1903">_xlfn.XLOOKUP(Table1[[#This Row],[5 cm2 cell test code]:[5 cm2 cell test code]],[1]!Table1[[Test code]:[Test code]],[1]!Table1[DIW conductivity (µS/cm)],"",0)</f>
        <v>#REF!</v>
      </c>
    </row>
    <row r="1904" spans="1:36">
      <c r="A1904" s="81"/>
      <c r="U1904" s="101"/>
      <c r="V1904" s="101"/>
      <c r="W1904" s="69" t="e" cm="1">
        <f t="array" ref="W1904">_xlfn.XLOOKUP(Table1[[#This Row],[5 cm2 cell test code]:[5 cm2 cell test code]],[1]!Table1[[Test code]:[Test code]],[1]!Table1[i @ 1.8 V DIW (A/cm2)],"",0)</f>
        <v>#REF!</v>
      </c>
      <c r="X1904" s="69" t="e" cm="1">
        <f t="array" ref="X1904">_xlfn.XLOOKUP(Table1[[#This Row],[5 cm2 cell test code]:[5 cm2 cell test code]],[1]!Table1[[Test code]:[Test code]],[1]!Table1[i @ 1.8 V 10 mM KOH (A/cm2)],"",0)</f>
        <v>#REF!</v>
      </c>
      <c r="Y1904" s="69" t="e" cm="1">
        <f t="array" ref="Y1904">_xlfn.XLOOKUP(Table1[[#This Row],[5 cm2 cell test code]:[5 cm2 cell test code]],[1]!Table1[[Test code]:[Test code]],[1]!Table1[3-E ƞ at 20mAcm-2 (mV)],"",0)</f>
        <v>#REF!</v>
      </c>
      <c r="Z1904" s="69" t="e" cm="1">
        <f t="array" ref="Z1904">_xlfn.XLOOKUP(Table1[[#This Row],[5 cm2 cell test code]:[5 cm2 cell test code]],[1]!Table1[[Test code]:[Test code]],[1]!Table1[3-E Tafel slope (mV/dec)],"",0)</f>
        <v>#REF!</v>
      </c>
      <c r="AA1904" s="69" t="e" cm="1">
        <f t="array" ref="AA1904">_xlfn.XLOOKUP(Table1[[#This Row],[5 cm2 cell test code]:[5 cm2 cell test code]],[1]!Table1[[Test code]:[Test code]],[1]!Table1[E @ 100 mA/cm2 DIW/V],"",0)</f>
        <v>#REF!</v>
      </c>
      <c r="AB1904" s="69" t="e" cm="1">
        <f t="array" ref="AB1904">_xlfn.XLOOKUP(Table1[[#This Row],[5 cm2 cell test code]:[5 cm2 cell test code]],[1]!Table1[[Test code]:[Test code]],[1]!Table1[E @ 100 mA/cm2 10 mM KOH/V],"",0)</f>
        <v>#REF!</v>
      </c>
      <c r="AC1904" s="69" t="e" cm="1">
        <f t="array" ref="AC1904">_xlfn.XLOOKUP(Table1[[#This Row],[5 cm2 cell test code]:[5 cm2 cell test code]],[1]!Table1[[Test code]:[Test code]],[1]!Table1[Anode ICR/mOhm],"",0)</f>
        <v>#REF!</v>
      </c>
      <c r="AD1904" s="69" t="e" cm="1">
        <f t="array" ref="AD1904">_xlfn.XLOOKUP(Table1[[#This Row],[5 cm2 cell test code]:[5 cm2 cell test code]],[1]!Table1[[Test code]:[Test code]],[1]!Table1[HFR DIW/ mOhm cm2],"",0)</f>
        <v>#REF!</v>
      </c>
      <c r="AE1904" s="69" t="e" cm="1">
        <f t="array" ref="AE1904">_xlfn.XLOOKUP(Table1[[#This Row],[5 cm2 cell test code]:[5 cm2 cell test code]],[1]!Table1[[Test code]:[Test code]],[1]!Table1[HFR 10 mM KOH/ mOhm cm2],"",0)</f>
        <v>#REF!</v>
      </c>
      <c r="AF1904" s="69" t="e" cm="1">
        <f t="array" ref="AF1904">_xlfn.XLOOKUP(Table1[[#This Row],[5 cm2 cell test code]:[5 cm2 cell test code]],[1]!Table1[[Test code]:[Test code]],[1]!Table1[Ionic resistance DIW/Ohm cm2],"",0)</f>
        <v>#REF!</v>
      </c>
      <c r="AG1904" s="69" t="e" cm="1">
        <f t="array" ref="AG1904">_xlfn.XLOOKUP(Table1[[#This Row],[5 cm2 cell test code]:[5 cm2 cell test code]],[1]!Table1[[Test code]:[Test code]],[1]!Table1[Q_int_frac DIW],"",0)</f>
        <v>#REF!</v>
      </c>
      <c r="AH1904" s="69" t="e" cm="1">
        <f t="array" ref="AH1904">_xlfn.XLOOKUP(Table1[[#This Row],[5 cm2 cell test code]:[5 cm2 cell test code]],[1]!Table1[[Test code]:[Test code]],[1]!Table1[Ionic resistance 10 mM KOH/Ohm cm2],"",0)</f>
        <v>#REF!</v>
      </c>
      <c r="AI1904" s="69" t="e" cm="1">
        <f t="array" ref="AI1904">_xlfn.XLOOKUP(Table1[[#This Row],[5 cm2 cell test code]:[5 cm2 cell test code]],[1]!Table1[[Test code]:[Test code]],[1]!Table1[Q_int_frac DIW 10 mM KOH],"",0)</f>
        <v>#REF!</v>
      </c>
      <c r="AJ1904" s="69" t="e" cm="1">
        <f t="array" ref="AJ1904">_xlfn.XLOOKUP(Table1[[#This Row],[5 cm2 cell test code]:[5 cm2 cell test code]],[1]!Table1[[Test code]:[Test code]],[1]!Table1[DIW conductivity (µS/cm)],"",0)</f>
        <v>#REF!</v>
      </c>
    </row>
    <row r="1905" spans="1:36">
      <c r="A1905" s="81"/>
      <c r="U1905" s="101"/>
      <c r="V1905" s="101"/>
      <c r="W1905" s="69" t="e" cm="1">
        <f t="array" ref="W1905">_xlfn.XLOOKUP(Table1[[#This Row],[5 cm2 cell test code]:[5 cm2 cell test code]],[1]!Table1[[Test code]:[Test code]],[1]!Table1[i @ 1.8 V DIW (A/cm2)],"",0)</f>
        <v>#REF!</v>
      </c>
      <c r="X1905" s="69" t="e" cm="1">
        <f t="array" ref="X1905">_xlfn.XLOOKUP(Table1[[#This Row],[5 cm2 cell test code]:[5 cm2 cell test code]],[1]!Table1[[Test code]:[Test code]],[1]!Table1[i @ 1.8 V 10 mM KOH (A/cm2)],"",0)</f>
        <v>#REF!</v>
      </c>
      <c r="Y1905" s="69" t="e" cm="1">
        <f t="array" ref="Y1905">_xlfn.XLOOKUP(Table1[[#This Row],[5 cm2 cell test code]:[5 cm2 cell test code]],[1]!Table1[[Test code]:[Test code]],[1]!Table1[3-E ƞ at 20mAcm-2 (mV)],"",0)</f>
        <v>#REF!</v>
      </c>
      <c r="Z1905" s="69" t="e" cm="1">
        <f t="array" ref="Z1905">_xlfn.XLOOKUP(Table1[[#This Row],[5 cm2 cell test code]:[5 cm2 cell test code]],[1]!Table1[[Test code]:[Test code]],[1]!Table1[3-E Tafel slope (mV/dec)],"",0)</f>
        <v>#REF!</v>
      </c>
      <c r="AA1905" s="69" t="e" cm="1">
        <f t="array" ref="AA1905">_xlfn.XLOOKUP(Table1[[#This Row],[5 cm2 cell test code]:[5 cm2 cell test code]],[1]!Table1[[Test code]:[Test code]],[1]!Table1[E @ 100 mA/cm2 DIW/V],"",0)</f>
        <v>#REF!</v>
      </c>
      <c r="AB1905" s="69" t="e" cm="1">
        <f t="array" ref="AB1905">_xlfn.XLOOKUP(Table1[[#This Row],[5 cm2 cell test code]:[5 cm2 cell test code]],[1]!Table1[[Test code]:[Test code]],[1]!Table1[E @ 100 mA/cm2 10 mM KOH/V],"",0)</f>
        <v>#REF!</v>
      </c>
      <c r="AC1905" s="69" t="e" cm="1">
        <f t="array" ref="AC1905">_xlfn.XLOOKUP(Table1[[#This Row],[5 cm2 cell test code]:[5 cm2 cell test code]],[1]!Table1[[Test code]:[Test code]],[1]!Table1[Anode ICR/mOhm],"",0)</f>
        <v>#REF!</v>
      </c>
      <c r="AD1905" s="69" t="e" cm="1">
        <f t="array" ref="AD1905">_xlfn.XLOOKUP(Table1[[#This Row],[5 cm2 cell test code]:[5 cm2 cell test code]],[1]!Table1[[Test code]:[Test code]],[1]!Table1[HFR DIW/ mOhm cm2],"",0)</f>
        <v>#REF!</v>
      </c>
      <c r="AE1905" s="69" t="e" cm="1">
        <f t="array" ref="AE1905">_xlfn.XLOOKUP(Table1[[#This Row],[5 cm2 cell test code]:[5 cm2 cell test code]],[1]!Table1[[Test code]:[Test code]],[1]!Table1[HFR 10 mM KOH/ mOhm cm2],"",0)</f>
        <v>#REF!</v>
      </c>
      <c r="AF1905" s="69" t="e" cm="1">
        <f t="array" ref="AF1905">_xlfn.XLOOKUP(Table1[[#This Row],[5 cm2 cell test code]:[5 cm2 cell test code]],[1]!Table1[[Test code]:[Test code]],[1]!Table1[Ionic resistance DIW/Ohm cm2],"",0)</f>
        <v>#REF!</v>
      </c>
      <c r="AG1905" s="69" t="e" cm="1">
        <f t="array" ref="AG1905">_xlfn.XLOOKUP(Table1[[#This Row],[5 cm2 cell test code]:[5 cm2 cell test code]],[1]!Table1[[Test code]:[Test code]],[1]!Table1[Q_int_frac DIW],"",0)</f>
        <v>#REF!</v>
      </c>
      <c r="AH1905" s="69" t="e" cm="1">
        <f t="array" ref="AH1905">_xlfn.XLOOKUP(Table1[[#This Row],[5 cm2 cell test code]:[5 cm2 cell test code]],[1]!Table1[[Test code]:[Test code]],[1]!Table1[Ionic resistance 10 mM KOH/Ohm cm2],"",0)</f>
        <v>#REF!</v>
      </c>
      <c r="AI1905" s="69" t="e" cm="1">
        <f t="array" ref="AI1905">_xlfn.XLOOKUP(Table1[[#This Row],[5 cm2 cell test code]:[5 cm2 cell test code]],[1]!Table1[[Test code]:[Test code]],[1]!Table1[Q_int_frac DIW 10 mM KOH],"",0)</f>
        <v>#REF!</v>
      </c>
      <c r="AJ1905" s="69" t="e" cm="1">
        <f t="array" ref="AJ1905">_xlfn.XLOOKUP(Table1[[#This Row],[5 cm2 cell test code]:[5 cm2 cell test code]],[1]!Table1[[Test code]:[Test code]],[1]!Table1[DIW conductivity (µS/cm)],"",0)</f>
        <v>#REF!</v>
      </c>
    </row>
    <row r="1906" spans="1:36">
      <c r="A1906" s="81"/>
      <c r="U1906" s="101"/>
      <c r="V1906" s="101"/>
      <c r="W1906" s="69" t="e" cm="1">
        <f t="array" ref="W1906">_xlfn.XLOOKUP(Table1[[#This Row],[5 cm2 cell test code]:[5 cm2 cell test code]],[1]!Table1[[Test code]:[Test code]],[1]!Table1[i @ 1.8 V DIW (A/cm2)],"",0)</f>
        <v>#REF!</v>
      </c>
      <c r="X1906" s="69" t="e" cm="1">
        <f t="array" ref="X1906">_xlfn.XLOOKUP(Table1[[#This Row],[5 cm2 cell test code]:[5 cm2 cell test code]],[1]!Table1[[Test code]:[Test code]],[1]!Table1[i @ 1.8 V 10 mM KOH (A/cm2)],"",0)</f>
        <v>#REF!</v>
      </c>
      <c r="Y1906" s="69" t="e" cm="1">
        <f t="array" ref="Y1906">_xlfn.XLOOKUP(Table1[[#This Row],[5 cm2 cell test code]:[5 cm2 cell test code]],[1]!Table1[[Test code]:[Test code]],[1]!Table1[3-E ƞ at 20mAcm-2 (mV)],"",0)</f>
        <v>#REF!</v>
      </c>
      <c r="Z1906" s="69" t="e" cm="1">
        <f t="array" ref="Z1906">_xlfn.XLOOKUP(Table1[[#This Row],[5 cm2 cell test code]:[5 cm2 cell test code]],[1]!Table1[[Test code]:[Test code]],[1]!Table1[3-E Tafel slope (mV/dec)],"",0)</f>
        <v>#REF!</v>
      </c>
      <c r="AA1906" s="69" t="e" cm="1">
        <f t="array" ref="AA1906">_xlfn.XLOOKUP(Table1[[#This Row],[5 cm2 cell test code]:[5 cm2 cell test code]],[1]!Table1[[Test code]:[Test code]],[1]!Table1[E @ 100 mA/cm2 DIW/V],"",0)</f>
        <v>#REF!</v>
      </c>
      <c r="AB1906" s="69" t="e" cm="1">
        <f t="array" ref="AB1906">_xlfn.XLOOKUP(Table1[[#This Row],[5 cm2 cell test code]:[5 cm2 cell test code]],[1]!Table1[[Test code]:[Test code]],[1]!Table1[E @ 100 mA/cm2 10 mM KOH/V],"",0)</f>
        <v>#REF!</v>
      </c>
      <c r="AC1906" s="69" t="e" cm="1">
        <f t="array" ref="AC1906">_xlfn.XLOOKUP(Table1[[#This Row],[5 cm2 cell test code]:[5 cm2 cell test code]],[1]!Table1[[Test code]:[Test code]],[1]!Table1[Anode ICR/mOhm],"",0)</f>
        <v>#REF!</v>
      </c>
      <c r="AD1906" s="69" t="e" cm="1">
        <f t="array" ref="AD1906">_xlfn.XLOOKUP(Table1[[#This Row],[5 cm2 cell test code]:[5 cm2 cell test code]],[1]!Table1[[Test code]:[Test code]],[1]!Table1[HFR DIW/ mOhm cm2],"",0)</f>
        <v>#REF!</v>
      </c>
      <c r="AE1906" s="69" t="e" cm="1">
        <f t="array" ref="AE1906">_xlfn.XLOOKUP(Table1[[#This Row],[5 cm2 cell test code]:[5 cm2 cell test code]],[1]!Table1[[Test code]:[Test code]],[1]!Table1[HFR 10 mM KOH/ mOhm cm2],"",0)</f>
        <v>#REF!</v>
      </c>
      <c r="AF1906" s="69" t="e" cm="1">
        <f t="array" ref="AF1906">_xlfn.XLOOKUP(Table1[[#This Row],[5 cm2 cell test code]:[5 cm2 cell test code]],[1]!Table1[[Test code]:[Test code]],[1]!Table1[Ionic resistance DIW/Ohm cm2],"",0)</f>
        <v>#REF!</v>
      </c>
      <c r="AG1906" s="69" t="e" cm="1">
        <f t="array" ref="AG1906">_xlfn.XLOOKUP(Table1[[#This Row],[5 cm2 cell test code]:[5 cm2 cell test code]],[1]!Table1[[Test code]:[Test code]],[1]!Table1[Q_int_frac DIW],"",0)</f>
        <v>#REF!</v>
      </c>
      <c r="AH1906" s="69" t="e" cm="1">
        <f t="array" ref="AH1906">_xlfn.XLOOKUP(Table1[[#This Row],[5 cm2 cell test code]:[5 cm2 cell test code]],[1]!Table1[[Test code]:[Test code]],[1]!Table1[Ionic resistance 10 mM KOH/Ohm cm2],"",0)</f>
        <v>#REF!</v>
      </c>
      <c r="AI1906" s="69" t="e" cm="1">
        <f t="array" ref="AI1906">_xlfn.XLOOKUP(Table1[[#This Row],[5 cm2 cell test code]:[5 cm2 cell test code]],[1]!Table1[[Test code]:[Test code]],[1]!Table1[Q_int_frac DIW 10 mM KOH],"",0)</f>
        <v>#REF!</v>
      </c>
      <c r="AJ1906" s="69" t="e" cm="1">
        <f t="array" ref="AJ1906">_xlfn.XLOOKUP(Table1[[#This Row],[5 cm2 cell test code]:[5 cm2 cell test code]],[1]!Table1[[Test code]:[Test code]],[1]!Table1[DIW conductivity (µS/cm)],"",0)</f>
        <v>#REF!</v>
      </c>
    </row>
    <row r="1907" spans="1:36">
      <c r="A1907" s="81"/>
      <c r="U1907" s="101"/>
      <c r="V1907" s="101"/>
      <c r="W1907" s="69" t="e" cm="1">
        <f t="array" ref="W1907">_xlfn.XLOOKUP(Table1[[#This Row],[5 cm2 cell test code]:[5 cm2 cell test code]],[1]!Table1[[Test code]:[Test code]],[1]!Table1[i @ 1.8 V DIW (A/cm2)],"",0)</f>
        <v>#REF!</v>
      </c>
      <c r="X1907" s="69" t="e" cm="1">
        <f t="array" ref="X1907">_xlfn.XLOOKUP(Table1[[#This Row],[5 cm2 cell test code]:[5 cm2 cell test code]],[1]!Table1[[Test code]:[Test code]],[1]!Table1[i @ 1.8 V 10 mM KOH (A/cm2)],"",0)</f>
        <v>#REF!</v>
      </c>
      <c r="Y1907" s="69" t="e" cm="1">
        <f t="array" ref="Y1907">_xlfn.XLOOKUP(Table1[[#This Row],[5 cm2 cell test code]:[5 cm2 cell test code]],[1]!Table1[[Test code]:[Test code]],[1]!Table1[3-E ƞ at 20mAcm-2 (mV)],"",0)</f>
        <v>#REF!</v>
      </c>
      <c r="Z1907" s="69" t="e" cm="1">
        <f t="array" ref="Z1907">_xlfn.XLOOKUP(Table1[[#This Row],[5 cm2 cell test code]:[5 cm2 cell test code]],[1]!Table1[[Test code]:[Test code]],[1]!Table1[3-E Tafel slope (mV/dec)],"",0)</f>
        <v>#REF!</v>
      </c>
      <c r="AA1907" s="69" t="e" cm="1">
        <f t="array" ref="AA1907">_xlfn.XLOOKUP(Table1[[#This Row],[5 cm2 cell test code]:[5 cm2 cell test code]],[1]!Table1[[Test code]:[Test code]],[1]!Table1[E @ 100 mA/cm2 DIW/V],"",0)</f>
        <v>#REF!</v>
      </c>
      <c r="AB1907" s="69" t="e" cm="1">
        <f t="array" ref="AB1907">_xlfn.XLOOKUP(Table1[[#This Row],[5 cm2 cell test code]:[5 cm2 cell test code]],[1]!Table1[[Test code]:[Test code]],[1]!Table1[E @ 100 mA/cm2 10 mM KOH/V],"",0)</f>
        <v>#REF!</v>
      </c>
      <c r="AC1907" s="69" t="e" cm="1">
        <f t="array" ref="AC1907">_xlfn.XLOOKUP(Table1[[#This Row],[5 cm2 cell test code]:[5 cm2 cell test code]],[1]!Table1[[Test code]:[Test code]],[1]!Table1[Anode ICR/mOhm],"",0)</f>
        <v>#REF!</v>
      </c>
      <c r="AD1907" s="69" t="e" cm="1">
        <f t="array" ref="AD1907">_xlfn.XLOOKUP(Table1[[#This Row],[5 cm2 cell test code]:[5 cm2 cell test code]],[1]!Table1[[Test code]:[Test code]],[1]!Table1[HFR DIW/ mOhm cm2],"",0)</f>
        <v>#REF!</v>
      </c>
      <c r="AE1907" s="69" t="e" cm="1">
        <f t="array" ref="AE1907">_xlfn.XLOOKUP(Table1[[#This Row],[5 cm2 cell test code]:[5 cm2 cell test code]],[1]!Table1[[Test code]:[Test code]],[1]!Table1[HFR 10 mM KOH/ mOhm cm2],"",0)</f>
        <v>#REF!</v>
      </c>
      <c r="AF1907" s="69" t="e" cm="1">
        <f t="array" ref="AF1907">_xlfn.XLOOKUP(Table1[[#This Row],[5 cm2 cell test code]:[5 cm2 cell test code]],[1]!Table1[[Test code]:[Test code]],[1]!Table1[Ionic resistance DIW/Ohm cm2],"",0)</f>
        <v>#REF!</v>
      </c>
      <c r="AG1907" s="69" t="e" cm="1">
        <f t="array" ref="AG1907">_xlfn.XLOOKUP(Table1[[#This Row],[5 cm2 cell test code]:[5 cm2 cell test code]],[1]!Table1[[Test code]:[Test code]],[1]!Table1[Q_int_frac DIW],"",0)</f>
        <v>#REF!</v>
      </c>
      <c r="AH1907" s="69" t="e" cm="1">
        <f t="array" ref="AH1907">_xlfn.XLOOKUP(Table1[[#This Row],[5 cm2 cell test code]:[5 cm2 cell test code]],[1]!Table1[[Test code]:[Test code]],[1]!Table1[Ionic resistance 10 mM KOH/Ohm cm2],"",0)</f>
        <v>#REF!</v>
      </c>
      <c r="AI1907" s="69" t="e" cm="1">
        <f t="array" ref="AI1907">_xlfn.XLOOKUP(Table1[[#This Row],[5 cm2 cell test code]:[5 cm2 cell test code]],[1]!Table1[[Test code]:[Test code]],[1]!Table1[Q_int_frac DIW 10 mM KOH],"",0)</f>
        <v>#REF!</v>
      </c>
      <c r="AJ1907" s="69" t="e" cm="1">
        <f t="array" ref="AJ1907">_xlfn.XLOOKUP(Table1[[#This Row],[5 cm2 cell test code]:[5 cm2 cell test code]],[1]!Table1[[Test code]:[Test code]],[1]!Table1[DIW conductivity (µS/cm)],"",0)</f>
        <v>#REF!</v>
      </c>
    </row>
    <row r="1908" spans="1:36">
      <c r="A1908" s="81"/>
      <c r="U1908" s="101"/>
      <c r="V1908" s="101"/>
      <c r="W1908" s="69" t="e" cm="1">
        <f t="array" ref="W1908">_xlfn.XLOOKUP(Table1[[#This Row],[5 cm2 cell test code]:[5 cm2 cell test code]],[1]!Table1[[Test code]:[Test code]],[1]!Table1[i @ 1.8 V DIW (A/cm2)],"",0)</f>
        <v>#REF!</v>
      </c>
      <c r="X1908" s="69" t="e" cm="1">
        <f t="array" ref="X1908">_xlfn.XLOOKUP(Table1[[#This Row],[5 cm2 cell test code]:[5 cm2 cell test code]],[1]!Table1[[Test code]:[Test code]],[1]!Table1[i @ 1.8 V 10 mM KOH (A/cm2)],"",0)</f>
        <v>#REF!</v>
      </c>
      <c r="Y1908" s="69" t="e" cm="1">
        <f t="array" ref="Y1908">_xlfn.XLOOKUP(Table1[[#This Row],[5 cm2 cell test code]:[5 cm2 cell test code]],[1]!Table1[[Test code]:[Test code]],[1]!Table1[3-E ƞ at 20mAcm-2 (mV)],"",0)</f>
        <v>#REF!</v>
      </c>
      <c r="Z1908" s="69" t="e" cm="1">
        <f t="array" ref="Z1908">_xlfn.XLOOKUP(Table1[[#This Row],[5 cm2 cell test code]:[5 cm2 cell test code]],[1]!Table1[[Test code]:[Test code]],[1]!Table1[3-E Tafel slope (mV/dec)],"",0)</f>
        <v>#REF!</v>
      </c>
      <c r="AA1908" s="69" t="e" cm="1">
        <f t="array" ref="AA1908">_xlfn.XLOOKUP(Table1[[#This Row],[5 cm2 cell test code]:[5 cm2 cell test code]],[1]!Table1[[Test code]:[Test code]],[1]!Table1[E @ 100 mA/cm2 DIW/V],"",0)</f>
        <v>#REF!</v>
      </c>
      <c r="AB1908" s="69" t="e" cm="1">
        <f t="array" ref="AB1908">_xlfn.XLOOKUP(Table1[[#This Row],[5 cm2 cell test code]:[5 cm2 cell test code]],[1]!Table1[[Test code]:[Test code]],[1]!Table1[E @ 100 mA/cm2 10 mM KOH/V],"",0)</f>
        <v>#REF!</v>
      </c>
      <c r="AC1908" s="69" t="e" cm="1">
        <f t="array" ref="AC1908">_xlfn.XLOOKUP(Table1[[#This Row],[5 cm2 cell test code]:[5 cm2 cell test code]],[1]!Table1[[Test code]:[Test code]],[1]!Table1[Anode ICR/mOhm],"",0)</f>
        <v>#REF!</v>
      </c>
      <c r="AD1908" s="69" t="e" cm="1">
        <f t="array" ref="AD1908">_xlfn.XLOOKUP(Table1[[#This Row],[5 cm2 cell test code]:[5 cm2 cell test code]],[1]!Table1[[Test code]:[Test code]],[1]!Table1[HFR DIW/ mOhm cm2],"",0)</f>
        <v>#REF!</v>
      </c>
      <c r="AE1908" s="69" t="e" cm="1">
        <f t="array" ref="AE1908">_xlfn.XLOOKUP(Table1[[#This Row],[5 cm2 cell test code]:[5 cm2 cell test code]],[1]!Table1[[Test code]:[Test code]],[1]!Table1[HFR 10 mM KOH/ mOhm cm2],"",0)</f>
        <v>#REF!</v>
      </c>
      <c r="AF1908" s="69" t="e" cm="1">
        <f t="array" ref="AF1908">_xlfn.XLOOKUP(Table1[[#This Row],[5 cm2 cell test code]:[5 cm2 cell test code]],[1]!Table1[[Test code]:[Test code]],[1]!Table1[Ionic resistance DIW/Ohm cm2],"",0)</f>
        <v>#REF!</v>
      </c>
      <c r="AG1908" s="69" t="e" cm="1">
        <f t="array" ref="AG1908">_xlfn.XLOOKUP(Table1[[#This Row],[5 cm2 cell test code]:[5 cm2 cell test code]],[1]!Table1[[Test code]:[Test code]],[1]!Table1[Q_int_frac DIW],"",0)</f>
        <v>#REF!</v>
      </c>
      <c r="AH1908" s="69" t="e" cm="1">
        <f t="array" ref="AH1908">_xlfn.XLOOKUP(Table1[[#This Row],[5 cm2 cell test code]:[5 cm2 cell test code]],[1]!Table1[[Test code]:[Test code]],[1]!Table1[Ionic resistance 10 mM KOH/Ohm cm2],"",0)</f>
        <v>#REF!</v>
      </c>
      <c r="AI1908" s="69" t="e" cm="1">
        <f t="array" ref="AI1908">_xlfn.XLOOKUP(Table1[[#This Row],[5 cm2 cell test code]:[5 cm2 cell test code]],[1]!Table1[[Test code]:[Test code]],[1]!Table1[Q_int_frac DIW 10 mM KOH],"",0)</f>
        <v>#REF!</v>
      </c>
      <c r="AJ1908" s="69" t="e" cm="1">
        <f t="array" ref="AJ1908">_xlfn.XLOOKUP(Table1[[#This Row],[5 cm2 cell test code]:[5 cm2 cell test code]],[1]!Table1[[Test code]:[Test code]],[1]!Table1[DIW conductivity (µS/cm)],"",0)</f>
        <v>#REF!</v>
      </c>
    </row>
    <row r="1909" spans="1:36">
      <c r="A1909" s="81"/>
      <c r="U1909" s="101"/>
      <c r="V1909" s="101"/>
      <c r="W1909" s="69" t="e" cm="1">
        <f t="array" ref="W1909">_xlfn.XLOOKUP(Table1[[#This Row],[5 cm2 cell test code]:[5 cm2 cell test code]],[1]!Table1[[Test code]:[Test code]],[1]!Table1[i @ 1.8 V DIW (A/cm2)],"",0)</f>
        <v>#REF!</v>
      </c>
      <c r="X1909" s="69" t="e" cm="1">
        <f t="array" ref="X1909">_xlfn.XLOOKUP(Table1[[#This Row],[5 cm2 cell test code]:[5 cm2 cell test code]],[1]!Table1[[Test code]:[Test code]],[1]!Table1[i @ 1.8 V 10 mM KOH (A/cm2)],"",0)</f>
        <v>#REF!</v>
      </c>
      <c r="Y1909" s="69" t="e" cm="1">
        <f t="array" ref="Y1909">_xlfn.XLOOKUP(Table1[[#This Row],[5 cm2 cell test code]:[5 cm2 cell test code]],[1]!Table1[[Test code]:[Test code]],[1]!Table1[3-E ƞ at 20mAcm-2 (mV)],"",0)</f>
        <v>#REF!</v>
      </c>
      <c r="Z1909" s="69" t="e" cm="1">
        <f t="array" ref="Z1909">_xlfn.XLOOKUP(Table1[[#This Row],[5 cm2 cell test code]:[5 cm2 cell test code]],[1]!Table1[[Test code]:[Test code]],[1]!Table1[3-E Tafel slope (mV/dec)],"",0)</f>
        <v>#REF!</v>
      </c>
      <c r="AA1909" s="69" t="e" cm="1">
        <f t="array" ref="AA1909">_xlfn.XLOOKUP(Table1[[#This Row],[5 cm2 cell test code]:[5 cm2 cell test code]],[1]!Table1[[Test code]:[Test code]],[1]!Table1[E @ 100 mA/cm2 DIW/V],"",0)</f>
        <v>#REF!</v>
      </c>
      <c r="AB1909" s="69" t="e" cm="1">
        <f t="array" ref="AB1909">_xlfn.XLOOKUP(Table1[[#This Row],[5 cm2 cell test code]:[5 cm2 cell test code]],[1]!Table1[[Test code]:[Test code]],[1]!Table1[E @ 100 mA/cm2 10 mM KOH/V],"",0)</f>
        <v>#REF!</v>
      </c>
      <c r="AC1909" s="69" t="e" cm="1">
        <f t="array" ref="AC1909">_xlfn.XLOOKUP(Table1[[#This Row],[5 cm2 cell test code]:[5 cm2 cell test code]],[1]!Table1[[Test code]:[Test code]],[1]!Table1[Anode ICR/mOhm],"",0)</f>
        <v>#REF!</v>
      </c>
      <c r="AD1909" s="69" t="e" cm="1">
        <f t="array" ref="AD1909">_xlfn.XLOOKUP(Table1[[#This Row],[5 cm2 cell test code]:[5 cm2 cell test code]],[1]!Table1[[Test code]:[Test code]],[1]!Table1[HFR DIW/ mOhm cm2],"",0)</f>
        <v>#REF!</v>
      </c>
      <c r="AE1909" s="69" t="e" cm="1">
        <f t="array" ref="AE1909">_xlfn.XLOOKUP(Table1[[#This Row],[5 cm2 cell test code]:[5 cm2 cell test code]],[1]!Table1[[Test code]:[Test code]],[1]!Table1[HFR 10 mM KOH/ mOhm cm2],"",0)</f>
        <v>#REF!</v>
      </c>
      <c r="AF1909" s="69" t="e" cm="1">
        <f t="array" ref="AF1909">_xlfn.XLOOKUP(Table1[[#This Row],[5 cm2 cell test code]:[5 cm2 cell test code]],[1]!Table1[[Test code]:[Test code]],[1]!Table1[Ionic resistance DIW/Ohm cm2],"",0)</f>
        <v>#REF!</v>
      </c>
      <c r="AG1909" s="69" t="e" cm="1">
        <f t="array" ref="AG1909">_xlfn.XLOOKUP(Table1[[#This Row],[5 cm2 cell test code]:[5 cm2 cell test code]],[1]!Table1[[Test code]:[Test code]],[1]!Table1[Q_int_frac DIW],"",0)</f>
        <v>#REF!</v>
      </c>
      <c r="AH1909" s="69" t="e" cm="1">
        <f t="array" ref="AH1909">_xlfn.XLOOKUP(Table1[[#This Row],[5 cm2 cell test code]:[5 cm2 cell test code]],[1]!Table1[[Test code]:[Test code]],[1]!Table1[Ionic resistance 10 mM KOH/Ohm cm2],"",0)</f>
        <v>#REF!</v>
      </c>
      <c r="AI1909" s="69" t="e" cm="1">
        <f t="array" ref="AI1909">_xlfn.XLOOKUP(Table1[[#This Row],[5 cm2 cell test code]:[5 cm2 cell test code]],[1]!Table1[[Test code]:[Test code]],[1]!Table1[Q_int_frac DIW 10 mM KOH],"",0)</f>
        <v>#REF!</v>
      </c>
      <c r="AJ1909" s="69" t="e" cm="1">
        <f t="array" ref="AJ1909">_xlfn.XLOOKUP(Table1[[#This Row],[5 cm2 cell test code]:[5 cm2 cell test code]],[1]!Table1[[Test code]:[Test code]],[1]!Table1[DIW conductivity (µS/cm)],"",0)</f>
        <v>#REF!</v>
      </c>
    </row>
    <row r="1910" spans="1:36">
      <c r="A1910" s="81"/>
      <c r="U1910" s="101"/>
      <c r="V1910" s="101"/>
      <c r="W1910" s="69" t="e" cm="1">
        <f t="array" ref="W1910">_xlfn.XLOOKUP(Table1[[#This Row],[5 cm2 cell test code]:[5 cm2 cell test code]],[1]!Table1[[Test code]:[Test code]],[1]!Table1[i @ 1.8 V DIW (A/cm2)],"",0)</f>
        <v>#REF!</v>
      </c>
      <c r="X1910" s="69" t="e" cm="1">
        <f t="array" ref="X1910">_xlfn.XLOOKUP(Table1[[#This Row],[5 cm2 cell test code]:[5 cm2 cell test code]],[1]!Table1[[Test code]:[Test code]],[1]!Table1[i @ 1.8 V 10 mM KOH (A/cm2)],"",0)</f>
        <v>#REF!</v>
      </c>
      <c r="Y1910" s="69" t="e" cm="1">
        <f t="array" ref="Y1910">_xlfn.XLOOKUP(Table1[[#This Row],[5 cm2 cell test code]:[5 cm2 cell test code]],[1]!Table1[[Test code]:[Test code]],[1]!Table1[3-E ƞ at 20mAcm-2 (mV)],"",0)</f>
        <v>#REF!</v>
      </c>
      <c r="Z1910" s="69" t="e" cm="1">
        <f t="array" ref="Z1910">_xlfn.XLOOKUP(Table1[[#This Row],[5 cm2 cell test code]:[5 cm2 cell test code]],[1]!Table1[[Test code]:[Test code]],[1]!Table1[3-E Tafel slope (mV/dec)],"",0)</f>
        <v>#REF!</v>
      </c>
      <c r="AA1910" s="69" t="e" cm="1">
        <f t="array" ref="AA1910">_xlfn.XLOOKUP(Table1[[#This Row],[5 cm2 cell test code]:[5 cm2 cell test code]],[1]!Table1[[Test code]:[Test code]],[1]!Table1[E @ 100 mA/cm2 DIW/V],"",0)</f>
        <v>#REF!</v>
      </c>
      <c r="AB1910" s="69" t="e" cm="1">
        <f t="array" ref="AB1910">_xlfn.XLOOKUP(Table1[[#This Row],[5 cm2 cell test code]:[5 cm2 cell test code]],[1]!Table1[[Test code]:[Test code]],[1]!Table1[E @ 100 mA/cm2 10 mM KOH/V],"",0)</f>
        <v>#REF!</v>
      </c>
      <c r="AC1910" s="69" t="e" cm="1">
        <f t="array" ref="AC1910">_xlfn.XLOOKUP(Table1[[#This Row],[5 cm2 cell test code]:[5 cm2 cell test code]],[1]!Table1[[Test code]:[Test code]],[1]!Table1[Anode ICR/mOhm],"",0)</f>
        <v>#REF!</v>
      </c>
      <c r="AD1910" s="69" t="e" cm="1">
        <f t="array" ref="AD1910">_xlfn.XLOOKUP(Table1[[#This Row],[5 cm2 cell test code]:[5 cm2 cell test code]],[1]!Table1[[Test code]:[Test code]],[1]!Table1[HFR DIW/ mOhm cm2],"",0)</f>
        <v>#REF!</v>
      </c>
      <c r="AE1910" s="69" t="e" cm="1">
        <f t="array" ref="AE1910">_xlfn.XLOOKUP(Table1[[#This Row],[5 cm2 cell test code]:[5 cm2 cell test code]],[1]!Table1[[Test code]:[Test code]],[1]!Table1[HFR 10 mM KOH/ mOhm cm2],"",0)</f>
        <v>#REF!</v>
      </c>
      <c r="AF1910" s="69" t="e" cm="1">
        <f t="array" ref="AF1910">_xlfn.XLOOKUP(Table1[[#This Row],[5 cm2 cell test code]:[5 cm2 cell test code]],[1]!Table1[[Test code]:[Test code]],[1]!Table1[Ionic resistance DIW/Ohm cm2],"",0)</f>
        <v>#REF!</v>
      </c>
      <c r="AG1910" s="69" t="e" cm="1">
        <f t="array" ref="AG1910">_xlfn.XLOOKUP(Table1[[#This Row],[5 cm2 cell test code]:[5 cm2 cell test code]],[1]!Table1[[Test code]:[Test code]],[1]!Table1[Q_int_frac DIW],"",0)</f>
        <v>#REF!</v>
      </c>
      <c r="AH1910" s="69" t="e" cm="1">
        <f t="array" ref="AH1910">_xlfn.XLOOKUP(Table1[[#This Row],[5 cm2 cell test code]:[5 cm2 cell test code]],[1]!Table1[[Test code]:[Test code]],[1]!Table1[Ionic resistance 10 mM KOH/Ohm cm2],"",0)</f>
        <v>#REF!</v>
      </c>
      <c r="AI1910" s="69" t="e" cm="1">
        <f t="array" ref="AI1910">_xlfn.XLOOKUP(Table1[[#This Row],[5 cm2 cell test code]:[5 cm2 cell test code]],[1]!Table1[[Test code]:[Test code]],[1]!Table1[Q_int_frac DIW 10 mM KOH],"",0)</f>
        <v>#REF!</v>
      </c>
      <c r="AJ1910" s="69" t="e" cm="1">
        <f t="array" ref="AJ1910">_xlfn.XLOOKUP(Table1[[#This Row],[5 cm2 cell test code]:[5 cm2 cell test code]],[1]!Table1[[Test code]:[Test code]],[1]!Table1[DIW conductivity (µS/cm)],"",0)</f>
        <v>#REF!</v>
      </c>
    </row>
    <row r="1911" spans="1:36">
      <c r="A1911" s="81"/>
      <c r="U1911" s="101"/>
      <c r="V1911" s="101"/>
      <c r="W1911" s="69" t="e" cm="1">
        <f t="array" ref="W1911">_xlfn.XLOOKUP(Table1[[#This Row],[5 cm2 cell test code]:[5 cm2 cell test code]],[1]!Table1[[Test code]:[Test code]],[1]!Table1[i @ 1.8 V DIW (A/cm2)],"",0)</f>
        <v>#REF!</v>
      </c>
      <c r="X1911" s="69" t="e" cm="1">
        <f t="array" ref="X1911">_xlfn.XLOOKUP(Table1[[#This Row],[5 cm2 cell test code]:[5 cm2 cell test code]],[1]!Table1[[Test code]:[Test code]],[1]!Table1[i @ 1.8 V 10 mM KOH (A/cm2)],"",0)</f>
        <v>#REF!</v>
      </c>
      <c r="Y1911" s="69" t="e" cm="1">
        <f t="array" ref="Y1911">_xlfn.XLOOKUP(Table1[[#This Row],[5 cm2 cell test code]:[5 cm2 cell test code]],[1]!Table1[[Test code]:[Test code]],[1]!Table1[3-E ƞ at 20mAcm-2 (mV)],"",0)</f>
        <v>#REF!</v>
      </c>
      <c r="Z1911" s="69" t="e" cm="1">
        <f t="array" ref="Z1911">_xlfn.XLOOKUP(Table1[[#This Row],[5 cm2 cell test code]:[5 cm2 cell test code]],[1]!Table1[[Test code]:[Test code]],[1]!Table1[3-E Tafel slope (mV/dec)],"",0)</f>
        <v>#REF!</v>
      </c>
      <c r="AA1911" s="69" t="e" cm="1">
        <f t="array" ref="AA1911">_xlfn.XLOOKUP(Table1[[#This Row],[5 cm2 cell test code]:[5 cm2 cell test code]],[1]!Table1[[Test code]:[Test code]],[1]!Table1[E @ 100 mA/cm2 DIW/V],"",0)</f>
        <v>#REF!</v>
      </c>
      <c r="AB1911" s="69" t="e" cm="1">
        <f t="array" ref="AB1911">_xlfn.XLOOKUP(Table1[[#This Row],[5 cm2 cell test code]:[5 cm2 cell test code]],[1]!Table1[[Test code]:[Test code]],[1]!Table1[E @ 100 mA/cm2 10 mM KOH/V],"",0)</f>
        <v>#REF!</v>
      </c>
      <c r="AC1911" s="69" t="e" cm="1">
        <f t="array" ref="AC1911">_xlfn.XLOOKUP(Table1[[#This Row],[5 cm2 cell test code]:[5 cm2 cell test code]],[1]!Table1[[Test code]:[Test code]],[1]!Table1[Anode ICR/mOhm],"",0)</f>
        <v>#REF!</v>
      </c>
      <c r="AD1911" s="69" t="e" cm="1">
        <f t="array" ref="AD1911">_xlfn.XLOOKUP(Table1[[#This Row],[5 cm2 cell test code]:[5 cm2 cell test code]],[1]!Table1[[Test code]:[Test code]],[1]!Table1[HFR DIW/ mOhm cm2],"",0)</f>
        <v>#REF!</v>
      </c>
      <c r="AE1911" s="69" t="e" cm="1">
        <f t="array" ref="AE1911">_xlfn.XLOOKUP(Table1[[#This Row],[5 cm2 cell test code]:[5 cm2 cell test code]],[1]!Table1[[Test code]:[Test code]],[1]!Table1[HFR 10 mM KOH/ mOhm cm2],"",0)</f>
        <v>#REF!</v>
      </c>
      <c r="AF1911" s="69" t="e" cm="1">
        <f t="array" ref="AF1911">_xlfn.XLOOKUP(Table1[[#This Row],[5 cm2 cell test code]:[5 cm2 cell test code]],[1]!Table1[[Test code]:[Test code]],[1]!Table1[Ionic resistance DIW/Ohm cm2],"",0)</f>
        <v>#REF!</v>
      </c>
      <c r="AG1911" s="69" t="e" cm="1">
        <f t="array" ref="AG1911">_xlfn.XLOOKUP(Table1[[#This Row],[5 cm2 cell test code]:[5 cm2 cell test code]],[1]!Table1[[Test code]:[Test code]],[1]!Table1[Q_int_frac DIW],"",0)</f>
        <v>#REF!</v>
      </c>
      <c r="AH1911" s="69" t="e" cm="1">
        <f t="array" ref="AH1911">_xlfn.XLOOKUP(Table1[[#This Row],[5 cm2 cell test code]:[5 cm2 cell test code]],[1]!Table1[[Test code]:[Test code]],[1]!Table1[Ionic resistance 10 mM KOH/Ohm cm2],"",0)</f>
        <v>#REF!</v>
      </c>
      <c r="AI1911" s="69" t="e" cm="1">
        <f t="array" ref="AI1911">_xlfn.XLOOKUP(Table1[[#This Row],[5 cm2 cell test code]:[5 cm2 cell test code]],[1]!Table1[[Test code]:[Test code]],[1]!Table1[Q_int_frac DIW 10 mM KOH],"",0)</f>
        <v>#REF!</v>
      </c>
      <c r="AJ1911" s="69" t="e" cm="1">
        <f t="array" ref="AJ1911">_xlfn.XLOOKUP(Table1[[#This Row],[5 cm2 cell test code]:[5 cm2 cell test code]],[1]!Table1[[Test code]:[Test code]],[1]!Table1[DIW conductivity (µS/cm)],"",0)</f>
        <v>#REF!</v>
      </c>
    </row>
    <row r="1912" spans="1:36">
      <c r="A1912" s="81"/>
      <c r="U1912" s="101"/>
      <c r="V1912" s="101"/>
      <c r="W1912" s="69" t="e" cm="1">
        <f t="array" ref="W1912">_xlfn.XLOOKUP(Table1[[#This Row],[5 cm2 cell test code]:[5 cm2 cell test code]],[1]!Table1[[Test code]:[Test code]],[1]!Table1[i @ 1.8 V DIW (A/cm2)],"",0)</f>
        <v>#REF!</v>
      </c>
      <c r="X1912" s="69" t="e" cm="1">
        <f t="array" ref="X1912">_xlfn.XLOOKUP(Table1[[#This Row],[5 cm2 cell test code]:[5 cm2 cell test code]],[1]!Table1[[Test code]:[Test code]],[1]!Table1[i @ 1.8 V 10 mM KOH (A/cm2)],"",0)</f>
        <v>#REF!</v>
      </c>
      <c r="Y1912" s="69" t="e" cm="1">
        <f t="array" ref="Y1912">_xlfn.XLOOKUP(Table1[[#This Row],[5 cm2 cell test code]:[5 cm2 cell test code]],[1]!Table1[[Test code]:[Test code]],[1]!Table1[3-E ƞ at 20mAcm-2 (mV)],"",0)</f>
        <v>#REF!</v>
      </c>
      <c r="Z1912" s="69" t="e" cm="1">
        <f t="array" ref="Z1912">_xlfn.XLOOKUP(Table1[[#This Row],[5 cm2 cell test code]:[5 cm2 cell test code]],[1]!Table1[[Test code]:[Test code]],[1]!Table1[3-E Tafel slope (mV/dec)],"",0)</f>
        <v>#REF!</v>
      </c>
      <c r="AA1912" s="69" t="e" cm="1">
        <f t="array" ref="AA1912">_xlfn.XLOOKUP(Table1[[#This Row],[5 cm2 cell test code]:[5 cm2 cell test code]],[1]!Table1[[Test code]:[Test code]],[1]!Table1[E @ 100 mA/cm2 DIW/V],"",0)</f>
        <v>#REF!</v>
      </c>
      <c r="AB1912" s="69" t="e" cm="1">
        <f t="array" ref="AB1912">_xlfn.XLOOKUP(Table1[[#This Row],[5 cm2 cell test code]:[5 cm2 cell test code]],[1]!Table1[[Test code]:[Test code]],[1]!Table1[E @ 100 mA/cm2 10 mM KOH/V],"",0)</f>
        <v>#REF!</v>
      </c>
      <c r="AC1912" s="69" t="e" cm="1">
        <f t="array" ref="AC1912">_xlfn.XLOOKUP(Table1[[#This Row],[5 cm2 cell test code]:[5 cm2 cell test code]],[1]!Table1[[Test code]:[Test code]],[1]!Table1[Anode ICR/mOhm],"",0)</f>
        <v>#REF!</v>
      </c>
      <c r="AD1912" s="69" t="e" cm="1">
        <f t="array" ref="AD1912">_xlfn.XLOOKUP(Table1[[#This Row],[5 cm2 cell test code]:[5 cm2 cell test code]],[1]!Table1[[Test code]:[Test code]],[1]!Table1[HFR DIW/ mOhm cm2],"",0)</f>
        <v>#REF!</v>
      </c>
      <c r="AE1912" s="69" t="e" cm="1">
        <f t="array" ref="AE1912">_xlfn.XLOOKUP(Table1[[#This Row],[5 cm2 cell test code]:[5 cm2 cell test code]],[1]!Table1[[Test code]:[Test code]],[1]!Table1[HFR 10 mM KOH/ mOhm cm2],"",0)</f>
        <v>#REF!</v>
      </c>
      <c r="AF1912" s="69" t="e" cm="1">
        <f t="array" ref="AF1912">_xlfn.XLOOKUP(Table1[[#This Row],[5 cm2 cell test code]:[5 cm2 cell test code]],[1]!Table1[[Test code]:[Test code]],[1]!Table1[Ionic resistance DIW/Ohm cm2],"",0)</f>
        <v>#REF!</v>
      </c>
      <c r="AG1912" s="69" t="e" cm="1">
        <f t="array" ref="AG1912">_xlfn.XLOOKUP(Table1[[#This Row],[5 cm2 cell test code]:[5 cm2 cell test code]],[1]!Table1[[Test code]:[Test code]],[1]!Table1[Q_int_frac DIW],"",0)</f>
        <v>#REF!</v>
      </c>
      <c r="AH1912" s="69" t="e" cm="1">
        <f t="array" ref="AH1912">_xlfn.XLOOKUP(Table1[[#This Row],[5 cm2 cell test code]:[5 cm2 cell test code]],[1]!Table1[[Test code]:[Test code]],[1]!Table1[Ionic resistance 10 mM KOH/Ohm cm2],"",0)</f>
        <v>#REF!</v>
      </c>
      <c r="AI1912" s="69" t="e" cm="1">
        <f t="array" ref="AI1912">_xlfn.XLOOKUP(Table1[[#This Row],[5 cm2 cell test code]:[5 cm2 cell test code]],[1]!Table1[[Test code]:[Test code]],[1]!Table1[Q_int_frac DIW 10 mM KOH],"",0)</f>
        <v>#REF!</v>
      </c>
      <c r="AJ1912" s="69" t="e" cm="1">
        <f t="array" ref="AJ1912">_xlfn.XLOOKUP(Table1[[#This Row],[5 cm2 cell test code]:[5 cm2 cell test code]],[1]!Table1[[Test code]:[Test code]],[1]!Table1[DIW conductivity (µS/cm)],"",0)</f>
        <v>#REF!</v>
      </c>
    </row>
    <row r="1913" spans="1:36">
      <c r="A1913" s="81"/>
      <c r="U1913" s="101"/>
      <c r="V1913" s="101"/>
      <c r="W1913" s="69" t="e" cm="1">
        <f t="array" ref="W1913">_xlfn.XLOOKUP(Table1[[#This Row],[5 cm2 cell test code]:[5 cm2 cell test code]],[1]!Table1[[Test code]:[Test code]],[1]!Table1[i @ 1.8 V DIW (A/cm2)],"",0)</f>
        <v>#REF!</v>
      </c>
      <c r="X1913" s="69" t="e" cm="1">
        <f t="array" ref="X1913">_xlfn.XLOOKUP(Table1[[#This Row],[5 cm2 cell test code]:[5 cm2 cell test code]],[1]!Table1[[Test code]:[Test code]],[1]!Table1[i @ 1.8 V 10 mM KOH (A/cm2)],"",0)</f>
        <v>#REF!</v>
      </c>
      <c r="Y1913" s="69" t="e" cm="1">
        <f t="array" ref="Y1913">_xlfn.XLOOKUP(Table1[[#This Row],[5 cm2 cell test code]:[5 cm2 cell test code]],[1]!Table1[[Test code]:[Test code]],[1]!Table1[3-E ƞ at 20mAcm-2 (mV)],"",0)</f>
        <v>#REF!</v>
      </c>
      <c r="Z1913" s="69" t="e" cm="1">
        <f t="array" ref="Z1913">_xlfn.XLOOKUP(Table1[[#This Row],[5 cm2 cell test code]:[5 cm2 cell test code]],[1]!Table1[[Test code]:[Test code]],[1]!Table1[3-E Tafel slope (mV/dec)],"",0)</f>
        <v>#REF!</v>
      </c>
      <c r="AA1913" s="69" t="e" cm="1">
        <f t="array" ref="AA1913">_xlfn.XLOOKUP(Table1[[#This Row],[5 cm2 cell test code]:[5 cm2 cell test code]],[1]!Table1[[Test code]:[Test code]],[1]!Table1[E @ 100 mA/cm2 DIW/V],"",0)</f>
        <v>#REF!</v>
      </c>
      <c r="AB1913" s="69" t="e" cm="1">
        <f t="array" ref="AB1913">_xlfn.XLOOKUP(Table1[[#This Row],[5 cm2 cell test code]:[5 cm2 cell test code]],[1]!Table1[[Test code]:[Test code]],[1]!Table1[E @ 100 mA/cm2 10 mM KOH/V],"",0)</f>
        <v>#REF!</v>
      </c>
      <c r="AC1913" s="69" t="e" cm="1">
        <f t="array" ref="AC1913">_xlfn.XLOOKUP(Table1[[#This Row],[5 cm2 cell test code]:[5 cm2 cell test code]],[1]!Table1[[Test code]:[Test code]],[1]!Table1[Anode ICR/mOhm],"",0)</f>
        <v>#REF!</v>
      </c>
      <c r="AD1913" s="69" t="e" cm="1">
        <f t="array" ref="AD1913">_xlfn.XLOOKUP(Table1[[#This Row],[5 cm2 cell test code]:[5 cm2 cell test code]],[1]!Table1[[Test code]:[Test code]],[1]!Table1[HFR DIW/ mOhm cm2],"",0)</f>
        <v>#REF!</v>
      </c>
      <c r="AE1913" s="69" t="e" cm="1">
        <f t="array" ref="AE1913">_xlfn.XLOOKUP(Table1[[#This Row],[5 cm2 cell test code]:[5 cm2 cell test code]],[1]!Table1[[Test code]:[Test code]],[1]!Table1[HFR 10 mM KOH/ mOhm cm2],"",0)</f>
        <v>#REF!</v>
      </c>
      <c r="AF1913" s="69" t="e" cm="1">
        <f t="array" ref="AF1913">_xlfn.XLOOKUP(Table1[[#This Row],[5 cm2 cell test code]:[5 cm2 cell test code]],[1]!Table1[[Test code]:[Test code]],[1]!Table1[Ionic resistance DIW/Ohm cm2],"",0)</f>
        <v>#REF!</v>
      </c>
      <c r="AG1913" s="69" t="e" cm="1">
        <f t="array" ref="AG1913">_xlfn.XLOOKUP(Table1[[#This Row],[5 cm2 cell test code]:[5 cm2 cell test code]],[1]!Table1[[Test code]:[Test code]],[1]!Table1[Q_int_frac DIW],"",0)</f>
        <v>#REF!</v>
      </c>
      <c r="AH1913" s="69" t="e" cm="1">
        <f t="array" ref="AH1913">_xlfn.XLOOKUP(Table1[[#This Row],[5 cm2 cell test code]:[5 cm2 cell test code]],[1]!Table1[[Test code]:[Test code]],[1]!Table1[Ionic resistance 10 mM KOH/Ohm cm2],"",0)</f>
        <v>#REF!</v>
      </c>
      <c r="AI1913" s="69" t="e" cm="1">
        <f t="array" ref="AI1913">_xlfn.XLOOKUP(Table1[[#This Row],[5 cm2 cell test code]:[5 cm2 cell test code]],[1]!Table1[[Test code]:[Test code]],[1]!Table1[Q_int_frac DIW 10 mM KOH],"",0)</f>
        <v>#REF!</v>
      </c>
      <c r="AJ1913" s="69" t="e" cm="1">
        <f t="array" ref="AJ1913">_xlfn.XLOOKUP(Table1[[#This Row],[5 cm2 cell test code]:[5 cm2 cell test code]],[1]!Table1[[Test code]:[Test code]],[1]!Table1[DIW conductivity (µS/cm)],"",0)</f>
        <v>#REF!</v>
      </c>
    </row>
    <row r="1914" spans="1:36">
      <c r="A1914" s="81"/>
      <c r="U1914" s="101"/>
      <c r="V1914" s="101"/>
      <c r="W1914" s="69" t="e" cm="1">
        <f t="array" ref="W1914">_xlfn.XLOOKUP(Table1[[#This Row],[5 cm2 cell test code]:[5 cm2 cell test code]],[1]!Table1[[Test code]:[Test code]],[1]!Table1[i @ 1.8 V DIW (A/cm2)],"",0)</f>
        <v>#REF!</v>
      </c>
      <c r="X1914" s="69" t="e" cm="1">
        <f t="array" ref="X1914">_xlfn.XLOOKUP(Table1[[#This Row],[5 cm2 cell test code]:[5 cm2 cell test code]],[1]!Table1[[Test code]:[Test code]],[1]!Table1[i @ 1.8 V 10 mM KOH (A/cm2)],"",0)</f>
        <v>#REF!</v>
      </c>
      <c r="Y1914" s="69" t="e" cm="1">
        <f t="array" ref="Y1914">_xlfn.XLOOKUP(Table1[[#This Row],[5 cm2 cell test code]:[5 cm2 cell test code]],[1]!Table1[[Test code]:[Test code]],[1]!Table1[3-E ƞ at 20mAcm-2 (mV)],"",0)</f>
        <v>#REF!</v>
      </c>
      <c r="Z1914" s="69" t="e" cm="1">
        <f t="array" ref="Z1914">_xlfn.XLOOKUP(Table1[[#This Row],[5 cm2 cell test code]:[5 cm2 cell test code]],[1]!Table1[[Test code]:[Test code]],[1]!Table1[3-E Tafel slope (mV/dec)],"",0)</f>
        <v>#REF!</v>
      </c>
      <c r="AA1914" s="69" t="e" cm="1">
        <f t="array" ref="AA1914">_xlfn.XLOOKUP(Table1[[#This Row],[5 cm2 cell test code]:[5 cm2 cell test code]],[1]!Table1[[Test code]:[Test code]],[1]!Table1[E @ 100 mA/cm2 DIW/V],"",0)</f>
        <v>#REF!</v>
      </c>
      <c r="AB1914" s="69" t="e" cm="1">
        <f t="array" ref="AB1914">_xlfn.XLOOKUP(Table1[[#This Row],[5 cm2 cell test code]:[5 cm2 cell test code]],[1]!Table1[[Test code]:[Test code]],[1]!Table1[E @ 100 mA/cm2 10 mM KOH/V],"",0)</f>
        <v>#REF!</v>
      </c>
      <c r="AC1914" s="69" t="e" cm="1">
        <f t="array" ref="AC1914">_xlfn.XLOOKUP(Table1[[#This Row],[5 cm2 cell test code]:[5 cm2 cell test code]],[1]!Table1[[Test code]:[Test code]],[1]!Table1[Anode ICR/mOhm],"",0)</f>
        <v>#REF!</v>
      </c>
      <c r="AD1914" s="69" t="e" cm="1">
        <f t="array" ref="AD1914">_xlfn.XLOOKUP(Table1[[#This Row],[5 cm2 cell test code]:[5 cm2 cell test code]],[1]!Table1[[Test code]:[Test code]],[1]!Table1[HFR DIW/ mOhm cm2],"",0)</f>
        <v>#REF!</v>
      </c>
      <c r="AE1914" s="69" t="e" cm="1">
        <f t="array" ref="AE1914">_xlfn.XLOOKUP(Table1[[#This Row],[5 cm2 cell test code]:[5 cm2 cell test code]],[1]!Table1[[Test code]:[Test code]],[1]!Table1[HFR 10 mM KOH/ mOhm cm2],"",0)</f>
        <v>#REF!</v>
      </c>
      <c r="AF1914" s="69" t="e" cm="1">
        <f t="array" ref="AF1914">_xlfn.XLOOKUP(Table1[[#This Row],[5 cm2 cell test code]:[5 cm2 cell test code]],[1]!Table1[[Test code]:[Test code]],[1]!Table1[Ionic resistance DIW/Ohm cm2],"",0)</f>
        <v>#REF!</v>
      </c>
      <c r="AG1914" s="69" t="e" cm="1">
        <f t="array" ref="AG1914">_xlfn.XLOOKUP(Table1[[#This Row],[5 cm2 cell test code]:[5 cm2 cell test code]],[1]!Table1[[Test code]:[Test code]],[1]!Table1[Q_int_frac DIW],"",0)</f>
        <v>#REF!</v>
      </c>
      <c r="AH1914" s="69" t="e" cm="1">
        <f t="array" ref="AH1914">_xlfn.XLOOKUP(Table1[[#This Row],[5 cm2 cell test code]:[5 cm2 cell test code]],[1]!Table1[[Test code]:[Test code]],[1]!Table1[Ionic resistance 10 mM KOH/Ohm cm2],"",0)</f>
        <v>#REF!</v>
      </c>
      <c r="AI1914" s="69" t="e" cm="1">
        <f t="array" ref="AI1914">_xlfn.XLOOKUP(Table1[[#This Row],[5 cm2 cell test code]:[5 cm2 cell test code]],[1]!Table1[[Test code]:[Test code]],[1]!Table1[Q_int_frac DIW 10 mM KOH],"",0)</f>
        <v>#REF!</v>
      </c>
      <c r="AJ1914" s="69" t="e" cm="1">
        <f t="array" ref="AJ1914">_xlfn.XLOOKUP(Table1[[#This Row],[5 cm2 cell test code]:[5 cm2 cell test code]],[1]!Table1[[Test code]:[Test code]],[1]!Table1[DIW conductivity (µS/cm)],"",0)</f>
        <v>#REF!</v>
      </c>
    </row>
    <row r="1915" spans="1:36">
      <c r="A1915" s="81"/>
      <c r="U1915" s="101"/>
      <c r="V1915" s="101"/>
      <c r="W1915" s="69" t="e" cm="1">
        <f t="array" ref="W1915">_xlfn.XLOOKUP(Table1[[#This Row],[5 cm2 cell test code]:[5 cm2 cell test code]],[1]!Table1[[Test code]:[Test code]],[1]!Table1[i @ 1.8 V DIW (A/cm2)],"",0)</f>
        <v>#REF!</v>
      </c>
      <c r="X1915" s="69" t="e" cm="1">
        <f t="array" ref="X1915">_xlfn.XLOOKUP(Table1[[#This Row],[5 cm2 cell test code]:[5 cm2 cell test code]],[1]!Table1[[Test code]:[Test code]],[1]!Table1[i @ 1.8 V 10 mM KOH (A/cm2)],"",0)</f>
        <v>#REF!</v>
      </c>
      <c r="Y1915" s="69" t="e" cm="1">
        <f t="array" ref="Y1915">_xlfn.XLOOKUP(Table1[[#This Row],[5 cm2 cell test code]:[5 cm2 cell test code]],[1]!Table1[[Test code]:[Test code]],[1]!Table1[3-E ƞ at 20mAcm-2 (mV)],"",0)</f>
        <v>#REF!</v>
      </c>
      <c r="Z1915" s="69" t="e" cm="1">
        <f t="array" ref="Z1915">_xlfn.XLOOKUP(Table1[[#This Row],[5 cm2 cell test code]:[5 cm2 cell test code]],[1]!Table1[[Test code]:[Test code]],[1]!Table1[3-E Tafel slope (mV/dec)],"",0)</f>
        <v>#REF!</v>
      </c>
      <c r="AA1915" s="69" t="e" cm="1">
        <f t="array" ref="AA1915">_xlfn.XLOOKUP(Table1[[#This Row],[5 cm2 cell test code]:[5 cm2 cell test code]],[1]!Table1[[Test code]:[Test code]],[1]!Table1[E @ 100 mA/cm2 DIW/V],"",0)</f>
        <v>#REF!</v>
      </c>
      <c r="AB1915" s="69" t="e" cm="1">
        <f t="array" ref="AB1915">_xlfn.XLOOKUP(Table1[[#This Row],[5 cm2 cell test code]:[5 cm2 cell test code]],[1]!Table1[[Test code]:[Test code]],[1]!Table1[E @ 100 mA/cm2 10 mM KOH/V],"",0)</f>
        <v>#REF!</v>
      </c>
      <c r="AC1915" s="69" t="e" cm="1">
        <f t="array" ref="AC1915">_xlfn.XLOOKUP(Table1[[#This Row],[5 cm2 cell test code]:[5 cm2 cell test code]],[1]!Table1[[Test code]:[Test code]],[1]!Table1[Anode ICR/mOhm],"",0)</f>
        <v>#REF!</v>
      </c>
      <c r="AD1915" s="69" t="e" cm="1">
        <f t="array" ref="AD1915">_xlfn.XLOOKUP(Table1[[#This Row],[5 cm2 cell test code]:[5 cm2 cell test code]],[1]!Table1[[Test code]:[Test code]],[1]!Table1[HFR DIW/ mOhm cm2],"",0)</f>
        <v>#REF!</v>
      </c>
      <c r="AE1915" s="69" t="e" cm="1">
        <f t="array" ref="AE1915">_xlfn.XLOOKUP(Table1[[#This Row],[5 cm2 cell test code]:[5 cm2 cell test code]],[1]!Table1[[Test code]:[Test code]],[1]!Table1[HFR 10 mM KOH/ mOhm cm2],"",0)</f>
        <v>#REF!</v>
      </c>
      <c r="AF1915" s="69" t="e" cm="1">
        <f t="array" ref="AF1915">_xlfn.XLOOKUP(Table1[[#This Row],[5 cm2 cell test code]:[5 cm2 cell test code]],[1]!Table1[[Test code]:[Test code]],[1]!Table1[Ionic resistance DIW/Ohm cm2],"",0)</f>
        <v>#REF!</v>
      </c>
      <c r="AG1915" s="69" t="e" cm="1">
        <f t="array" ref="AG1915">_xlfn.XLOOKUP(Table1[[#This Row],[5 cm2 cell test code]:[5 cm2 cell test code]],[1]!Table1[[Test code]:[Test code]],[1]!Table1[Q_int_frac DIW],"",0)</f>
        <v>#REF!</v>
      </c>
      <c r="AH1915" s="69" t="e" cm="1">
        <f t="array" ref="AH1915">_xlfn.XLOOKUP(Table1[[#This Row],[5 cm2 cell test code]:[5 cm2 cell test code]],[1]!Table1[[Test code]:[Test code]],[1]!Table1[Ionic resistance 10 mM KOH/Ohm cm2],"",0)</f>
        <v>#REF!</v>
      </c>
      <c r="AI1915" s="69" t="e" cm="1">
        <f t="array" ref="AI1915">_xlfn.XLOOKUP(Table1[[#This Row],[5 cm2 cell test code]:[5 cm2 cell test code]],[1]!Table1[[Test code]:[Test code]],[1]!Table1[Q_int_frac DIW 10 mM KOH],"",0)</f>
        <v>#REF!</v>
      </c>
      <c r="AJ1915" s="69" t="e" cm="1">
        <f t="array" ref="AJ1915">_xlfn.XLOOKUP(Table1[[#This Row],[5 cm2 cell test code]:[5 cm2 cell test code]],[1]!Table1[[Test code]:[Test code]],[1]!Table1[DIW conductivity (µS/cm)],"",0)</f>
        <v>#REF!</v>
      </c>
    </row>
    <row r="1916" spans="1:36">
      <c r="A1916" s="81"/>
      <c r="U1916" s="101"/>
      <c r="V1916" s="101"/>
      <c r="W1916" s="69" t="e" cm="1">
        <f t="array" ref="W1916">_xlfn.XLOOKUP(Table1[[#This Row],[5 cm2 cell test code]:[5 cm2 cell test code]],[1]!Table1[[Test code]:[Test code]],[1]!Table1[i @ 1.8 V DIW (A/cm2)],"",0)</f>
        <v>#REF!</v>
      </c>
      <c r="X1916" s="69" t="e" cm="1">
        <f t="array" ref="X1916">_xlfn.XLOOKUP(Table1[[#This Row],[5 cm2 cell test code]:[5 cm2 cell test code]],[1]!Table1[[Test code]:[Test code]],[1]!Table1[i @ 1.8 V 10 mM KOH (A/cm2)],"",0)</f>
        <v>#REF!</v>
      </c>
      <c r="Y1916" s="69" t="e" cm="1">
        <f t="array" ref="Y1916">_xlfn.XLOOKUP(Table1[[#This Row],[5 cm2 cell test code]:[5 cm2 cell test code]],[1]!Table1[[Test code]:[Test code]],[1]!Table1[3-E ƞ at 20mAcm-2 (mV)],"",0)</f>
        <v>#REF!</v>
      </c>
      <c r="Z1916" s="69" t="e" cm="1">
        <f t="array" ref="Z1916">_xlfn.XLOOKUP(Table1[[#This Row],[5 cm2 cell test code]:[5 cm2 cell test code]],[1]!Table1[[Test code]:[Test code]],[1]!Table1[3-E Tafel slope (mV/dec)],"",0)</f>
        <v>#REF!</v>
      </c>
      <c r="AA1916" s="69" t="e" cm="1">
        <f t="array" ref="AA1916">_xlfn.XLOOKUP(Table1[[#This Row],[5 cm2 cell test code]:[5 cm2 cell test code]],[1]!Table1[[Test code]:[Test code]],[1]!Table1[E @ 100 mA/cm2 DIW/V],"",0)</f>
        <v>#REF!</v>
      </c>
      <c r="AB1916" s="69" t="e" cm="1">
        <f t="array" ref="AB1916">_xlfn.XLOOKUP(Table1[[#This Row],[5 cm2 cell test code]:[5 cm2 cell test code]],[1]!Table1[[Test code]:[Test code]],[1]!Table1[E @ 100 mA/cm2 10 mM KOH/V],"",0)</f>
        <v>#REF!</v>
      </c>
      <c r="AC1916" s="69" t="e" cm="1">
        <f t="array" ref="AC1916">_xlfn.XLOOKUP(Table1[[#This Row],[5 cm2 cell test code]:[5 cm2 cell test code]],[1]!Table1[[Test code]:[Test code]],[1]!Table1[Anode ICR/mOhm],"",0)</f>
        <v>#REF!</v>
      </c>
      <c r="AD1916" s="69" t="e" cm="1">
        <f t="array" ref="AD1916">_xlfn.XLOOKUP(Table1[[#This Row],[5 cm2 cell test code]:[5 cm2 cell test code]],[1]!Table1[[Test code]:[Test code]],[1]!Table1[HFR DIW/ mOhm cm2],"",0)</f>
        <v>#REF!</v>
      </c>
      <c r="AE1916" s="69" t="e" cm="1">
        <f t="array" ref="AE1916">_xlfn.XLOOKUP(Table1[[#This Row],[5 cm2 cell test code]:[5 cm2 cell test code]],[1]!Table1[[Test code]:[Test code]],[1]!Table1[HFR 10 mM KOH/ mOhm cm2],"",0)</f>
        <v>#REF!</v>
      </c>
      <c r="AF1916" s="69" t="e" cm="1">
        <f t="array" ref="AF1916">_xlfn.XLOOKUP(Table1[[#This Row],[5 cm2 cell test code]:[5 cm2 cell test code]],[1]!Table1[[Test code]:[Test code]],[1]!Table1[Ionic resistance DIW/Ohm cm2],"",0)</f>
        <v>#REF!</v>
      </c>
      <c r="AG1916" s="69" t="e" cm="1">
        <f t="array" ref="AG1916">_xlfn.XLOOKUP(Table1[[#This Row],[5 cm2 cell test code]:[5 cm2 cell test code]],[1]!Table1[[Test code]:[Test code]],[1]!Table1[Q_int_frac DIW],"",0)</f>
        <v>#REF!</v>
      </c>
      <c r="AH1916" s="69" t="e" cm="1">
        <f t="array" ref="AH1916">_xlfn.XLOOKUP(Table1[[#This Row],[5 cm2 cell test code]:[5 cm2 cell test code]],[1]!Table1[[Test code]:[Test code]],[1]!Table1[Ionic resistance 10 mM KOH/Ohm cm2],"",0)</f>
        <v>#REF!</v>
      </c>
      <c r="AI1916" s="69" t="e" cm="1">
        <f t="array" ref="AI1916">_xlfn.XLOOKUP(Table1[[#This Row],[5 cm2 cell test code]:[5 cm2 cell test code]],[1]!Table1[[Test code]:[Test code]],[1]!Table1[Q_int_frac DIW 10 mM KOH],"",0)</f>
        <v>#REF!</v>
      </c>
      <c r="AJ1916" s="69" t="e" cm="1">
        <f t="array" ref="AJ1916">_xlfn.XLOOKUP(Table1[[#This Row],[5 cm2 cell test code]:[5 cm2 cell test code]],[1]!Table1[[Test code]:[Test code]],[1]!Table1[DIW conductivity (µS/cm)],"",0)</f>
        <v>#REF!</v>
      </c>
    </row>
    <row r="1917" spans="1:36">
      <c r="A1917" s="81"/>
      <c r="U1917" s="101"/>
      <c r="V1917" s="101"/>
      <c r="W1917" s="69" t="e" cm="1">
        <f t="array" ref="W1917">_xlfn.XLOOKUP(Table1[[#This Row],[5 cm2 cell test code]:[5 cm2 cell test code]],[1]!Table1[[Test code]:[Test code]],[1]!Table1[i @ 1.8 V DIW (A/cm2)],"",0)</f>
        <v>#REF!</v>
      </c>
      <c r="X1917" s="69" t="e" cm="1">
        <f t="array" ref="X1917">_xlfn.XLOOKUP(Table1[[#This Row],[5 cm2 cell test code]:[5 cm2 cell test code]],[1]!Table1[[Test code]:[Test code]],[1]!Table1[i @ 1.8 V 10 mM KOH (A/cm2)],"",0)</f>
        <v>#REF!</v>
      </c>
      <c r="Y1917" s="69" t="e" cm="1">
        <f t="array" ref="Y1917">_xlfn.XLOOKUP(Table1[[#This Row],[5 cm2 cell test code]:[5 cm2 cell test code]],[1]!Table1[[Test code]:[Test code]],[1]!Table1[3-E ƞ at 20mAcm-2 (mV)],"",0)</f>
        <v>#REF!</v>
      </c>
      <c r="Z1917" s="69" t="e" cm="1">
        <f t="array" ref="Z1917">_xlfn.XLOOKUP(Table1[[#This Row],[5 cm2 cell test code]:[5 cm2 cell test code]],[1]!Table1[[Test code]:[Test code]],[1]!Table1[3-E Tafel slope (mV/dec)],"",0)</f>
        <v>#REF!</v>
      </c>
      <c r="AA1917" s="69" t="e" cm="1">
        <f t="array" ref="AA1917">_xlfn.XLOOKUP(Table1[[#This Row],[5 cm2 cell test code]:[5 cm2 cell test code]],[1]!Table1[[Test code]:[Test code]],[1]!Table1[E @ 100 mA/cm2 DIW/V],"",0)</f>
        <v>#REF!</v>
      </c>
      <c r="AB1917" s="69" t="e" cm="1">
        <f t="array" ref="AB1917">_xlfn.XLOOKUP(Table1[[#This Row],[5 cm2 cell test code]:[5 cm2 cell test code]],[1]!Table1[[Test code]:[Test code]],[1]!Table1[E @ 100 mA/cm2 10 mM KOH/V],"",0)</f>
        <v>#REF!</v>
      </c>
      <c r="AC1917" s="69" t="e" cm="1">
        <f t="array" ref="AC1917">_xlfn.XLOOKUP(Table1[[#This Row],[5 cm2 cell test code]:[5 cm2 cell test code]],[1]!Table1[[Test code]:[Test code]],[1]!Table1[Anode ICR/mOhm],"",0)</f>
        <v>#REF!</v>
      </c>
      <c r="AD1917" s="69" t="e" cm="1">
        <f t="array" ref="AD1917">_xlfn.XLOOKUP(Table1[[#This Row],[5 cm2 cell test code]:[5 cm2 cell test code]],[1]!Table1[[Test code]:[Test code]],[1]!Table1[HFR DIW/ mOhm cm2],"",0)</f>
        <v>#REF!</v>
      </c>
      <c r="AE1917" s="69" t="e" cm="1">
        <f t="array" ref="AE1917">_xlfn.XLOOKUP(Table1[[#This Row],[5 cm2 cell test code]:[5 cm2 cell test code]],[1]!Table1[[Test code]:[Test code]],[1]!Table1[HFR 10 mM KOH/ mOhm cm2],"",0)</f>
        <v>#REF!</v>
      </c>
      <c r="AF1917" s="69" t="e" cm="1">
        <f t="array" ref="AF1917">_xlfn.XLOOKUP(Table1[[#This Row],[5 cm2 cell test code]:[5 cm2 cell test code]],[1]!Table1[[Test code]:[Test code]],[1]!Table1[Ionic resistance DIW/Ohm cm2],"",0)</f>
        <v>#REF!</v>
      </c>
      <c r="AG1917" s="69" t="e" cm="1">
        <f t="array" ref="AG1917">_xlfn.XLOOKUP(Table1[[#This Row],[5 cm2 cell test code]:[5 cm2 cell test code]],[1]!Table1[[Test code]:[Test code]],[1]!Table1[Q_int_frac DIW],"",0)</f>
        <v>#REF!</v>
      </c>
      <c r="AH1917" s="69" t="e" cm="1">
        <f t="array" ref="AH1917">_xlfn.XLOOKUP(Table1[[#This Row],[5 cm2 cell test code]:[5 cm2 cell test code]],[1]!Table1[[Test code]:[Test code]],[1]!Table1[Ionic resistance 10 mM KOH/Ohm cm2],"",0)</f>
        <v>#REF!</v>
      </c>
      <c r="AI1917" s="69" t="e" cm="1">
        <f t="array" ref="AI1917">_xlfn.XLOOKUP(Table1[[#This Row],[5 cm2 cell test code]:[5 cm2 cell test code]],[1]!Table1[[Test code]:[Test code]],[1]!Table1[Q_int_frac DIW 10 mM KOH],"",0)</f>
        <v>#REF!</v>
      </c>
      <c r="AJ1917" s="69" t="e" cm="1">
        <f t="array" ref="AJ1917">_xlfn.XLOOKUP(Table1[[#This Row],[5 cm2 cell test code]:[5 cm2 cell test code]],[1]!Table1[[Test code]:[Test code]],[1]!Table1[DIW conductivity (µS/cm)],"",0)</f>
        <v>#REF!</v>
      </c>
    </row>
    <row r="1918" spans="1:36">
      <c r="A1918" s="81"/>
      <c r="U1918" s="101"/>
      <c r="V1918" s="101"/>
      <c r="W1918" s="69" t="e" cm="1">
        <f t="array" ref="W1918">_xlfn.XLOOKUP(Table1[[#This Row],[5 cm2 cell test code]:[5 cm2 cell test code]],[1]!Table1[[Test code]:[Test code]],[1]!Table1[i @ 1.8 V DIW (A/cm2)],"",0)</f>
        <v>#REF!</v>
      </c>
      <c r="X1918" s="69" t="e" cm="1">
        <f t="array" ref="X1918">_xlfn.XLOOKUP(Table1[[#This Row],[5 cm2 cell test code]:[5 cm2 cell test code]],[1]!Table1[[Test code]:[Test code]],[1]!Table1[i @ 1.8 V 10 mM KOH (A/cm2)],"",0)</f>
        <v>#REF!</v>
      </c>
      <c r="Y1918" s="69" t="e" cm="1">
        <f t="array" ref="Y1918">_xlfn.XLOOKUP(Table1[[#This Row],[5 cm2 cell test code]:[5 cm2 cell test code]],[1]!Table1[[Test code]:[Test code]],[1]!Table1[3-E ƞ at 20mAcm-2 (mV)],"",0)</f>
        <v>#REF!</v>
      </c>
      <c r="Z1918" s="69" t="e" cm="1">
        <f t="array" ref="Z1918">_xlfn.XLOOKUP(Table1[[#This Row],[5 cm2 cell test code]:[5 cm2 cell test code]],[1]!Table1[[Test code]:[Test code]],[1]!Table1[3-E Tafel slope (mV/dec)],"",0)</f>
        <v>#REF!</v>
      </c>
      <c r="AA1918" s="69" t="e" cm="1">
        <f t="array" ref="AA1918">_xlfn.XLOOKUP(Table1[[#This Row],[5 cm2 cell test code]:[5 cm2 cell test code]],[1]!Table1[[Test code]:[Test code]],[1]!Table1[E @ 100 mA/cm2 DIW/V],"",0)</f>
        <v>#REF!</v>
      </c>
      <c r="AB1918" s="69" t="e" cm="1">
        <f t="array" ref="AB1918">_xlfn.XLOOKUP(Table1[[#This Row],[5 cm2 cell test code]:[5 cm2 cell test code]],[1]!Table1[[Test code]:[Test code]],[1]!Table1[E @ 100 mA/cm2 10 mM KOH/V],"",0)</f>
        <v>#REF!</v>
      </c>
      <c r="AC1918" s="69" t="e" cm="1">
        <f t="array" ref="AC1918">_xlfn.XLOOKUP(Table1[[#This Row],[5 cm2 cell test code]:[5 cm2 cell test code]],[1]!Table1[[Test code]:[Test code]],[1]!Table1[Anode ICR/mOhm],"",0)</f>
        <v>#REF!</v>
      </c>
      <c r="AD1918" s="69" t="e" cm="1">
        <f t="array" ref="AD1918">_xlfn.XLOOKUP(Table1[[#This Row],[5 cm2 cell test code]:[5 cm2 cell test code]],[1]!Table1[[Test code]:[Test code]],[1]!Table1[HFR DIW/ mOhm cm2],"",0)</f>
        <v>#REF!</v>
      </c>
      <c r="AE1918" s="69" t="e" cm="1">
        <f t="array" ref="AE1918">_xlfn.XLOOKUP(Table1[[#This Row],[5 cm2 cell test code]:[5 cm2 cell test code]],[1]!Table1[[Test code]:[Test code]],[1]!Table1[HFR 10 mM KOH/ mOhm cm2],"",0)</f>
        <v>#REF!</v>
      </c>
      <c r="AF1918" s="69" t="e" cm="1">
        <f t="array" ref="AF1918">_xlfn.XLOOKUP(Table1[[#This Row],[5 cm2 cell test code]:[5 cm2 cell test code]],[1]!Table1[[Test code]:[Test code]],[1]!Table1[Ionic resistance DIW/Ohm cm2],"",0)</f>
        <v>#REF!</v>
      </c>
      <c r="AG1918" s="69" t="e" cm="1">
        <f t="array" ref="AG1918">_xlfn.XLOOKUP(Table1[[#This Row],[5 cm2 cell test code]:[5 cm2 cell test code]],[1]!Table1[[Test code]:[Test code]],[1]!Table1[Q_int_frac DIW],"",0)</f>
        <v>#REF!</v>
      </c>
      <c r="AH1918" s="69" t="e" cm="1">
        <f t="array" ref="AH1918">_xlfn.XLOOKUP(Table1[[#This Row],[5 cm2 cell test code]:[5 cm2 cell test code]],[1]!Table1[[Test code]:[Test code]],[1]!Table1[Ionic resistance 10 mM KOH/Ohm cm2],"",0)</f>
        <v>#REF!</v>
      </c>
      <c r="AI1918" s="69" t="e" cm="1">
        <f t="array" ref="AI1918">_xlfn.XLOOKUP(Table1[[#This Row],[5 cm2 cell test code]:[5 cm2 cell test code]],[1]!Table1[[Test code]:[Test code]],[1]!Table1[Q_int_frac DIW 10 mM KOH],"",0)</f>
        <v>#REF!</v>
      </c>
      <c r="AJ1918" s="69" t="e" cm="1">
        <f t="array" ref="AJ1918">_xlfn.XLOOKUP(Table1[[#This Row],[5 cm2 cell test code]:[5 cm2 cell test code]],[1]!Table1[[Test code]:[Test code]],[1]!Table1[DIW conductivity (µS/cm)],"",0)</f>
        <v>#REF!</v>
      </c>
    </row>
    <row r="1919" spans="1:36">
      <c r="A1919" s="81"/>
      <c r="U1919" s="101"/>
      <c r="V1919" s="101"/>
      <c r="W1919" s="69" t="e" cm="1">
        <f t="array" ref="W1919">_xlfn.XLOOKUP(Table1[[#This Row],[5 cm2 cell test code]:[5 cm2 cell test code]],[1]!Table1[[Test code]:[Test code]],[1]!Table1[i @ 1.8 V DIW (A/cm2)],"",0)</f>
        <v>#REF!</v>
      </c>
      <c r="X1919" s="69" t="e" cm="1">
        <f t="array" ref="X1919">_xlfn.XLOOKUP(Table1[[#This Row],[5 cm2 cell test code]:[5 cm2 cell test code]],[1]!Table1[[Test code]:[Test code]],[1]!Table1[i @ 1.8 V 10 mM KOH (A/cm2)],"",0)</f>
        <v>#REF!</v>
      </c>
      <c r="Y1919" s="69" t="e" cm="1">
        <f t="array" ref="Y1919">_xlfn.XLOOKUP(Table1[[#This Row],[5 cm2 cell test code]:[5 cm2 cell test code]],[1]!Table1[[Test code]:[Test code]],[1]!Table1[3-E ƞ at 20mAcm-2 (mV)],"",0)</f>
        <v>#REF!</v>
      </c>
      <c r="Z1919" s="69" t="e" cm="1">
        <f t="array" ref="Z1919">_xlfn.XLOOKUP(Table1[[#This Row],[5 cm2 cell test code]:[5 cm2 cell test code]],[1]!Table1[[Test code]:[Test code]],[1]!Table1[3-E Tafel slope (mV/dec)],"",0)</f>
        <v>#REF!</v>
      </c>
      <c r="AA1919" s="69" t="e" cm="1">
        <f t="array" ref="AA1919">_xlfn.XLOOKUP(Table1[[#This Row],[5 cm2 cell test code]:[5 cm2 cell test code]],[1]!Table1[[Test code]:[Test code]],[1]!Table1[E @ 100 mA/cm2 DIW/V],"",0)</f>
        <v>#REF!</v>
      </c>
      <c r="AB1919" s="69" t="e" cm="1">
        <f t="array" ref="AB1919">_xlfn.XLOOKUP(Table1[[#This Row],[5 cm2 cell test code]:[5 cm2 cell test code]],[1]!Table1[[Test code]:[Test code]],[1]!Table1[E @ 100 mA/cm2 10 mM KOH/V],"",0)</f>
        <v>#REF!</v>
      </c>
      <c r="AC1919" s="69" t="e" cm="1">
        <f t="array" ref="AC1919">_xlfn.XLOOKUP(Table1[[#This Row],[5 cm2 cell test code]:[5 cm2 cell test code]],[1]!Table1[[Test code]:[Test code]],[1]!Table1[Anode ICR/mOhm],"",0)</f>
        <v>#REF!</v>
      </c>
      <c r="AD1919" s="69" t="e" cm="1">
        <f t="array" ref="AD1919">_xlfn.XLOOKUP(Table1[[#This Row],[5 cm2 cell test code]:[5 cm2 cell test code]],[1]!Table1[[Test code]:[Test code]],[1]!Table1[HFR DIW/ mOhm cm2],"",0)</f>
        <v>#REF!</v>
      </c>
      <c r="AE1919" s="69" t="e" cm="1">
        <f t="array" ref="AE1919">_xlfn.XLOOKUP(Table1[[#This Row],[5 cm2 cell test code]:[5 cm2 cell test code]],[1]!Table1[[Test code]:[Test code]],[1]!Table1[HFR 10 mM KOH/ mOhm cm2],"",0)</f>
        <v>#REF!</v>
      </c>
      <c r="AF1919" s="69" t="e" cm="1">
        <f t="array" ref="AF1919">_xlfn.XLOOKUP(Table1[[#This Row],[5 cm2 cell test code]:[5 cm2 cell test code]],[1]!Table1[[Test code]:[Test code]],[1]!Table1[Ionic resistance DIW/Ohm cm2],"",0)</f>
        <v>#REF!</v>
      </c>
      <c r="AG1919" s="69" t="e" cm="1">
        <f t="array" ref="AG1919">_xlfn.XLOOKUP(Table1[[#This Row],[5 cm2 cell test code]:[5 cm2 cell test code]],[1]!Table1[[Test code]:[Test code]],[1]!Table1[Q_int_frac DIW],"",0)</f>
        <v>#REF!</v>
      </c>
      <c r="AH1919" s="69" t="e" cm="1">
        <f t="array" ref="AH1919">_xlfn.XLOOKUP(Table1[[#This Row],[5 cm2 cell test code]:[5 cm2 cell test code]],[1]!Table1[[Test code]:[Test code]],[1]!Table1[Ionic resistance 10 mM KOH/Ohm cm2],"",0)</f>
        <v>#REF!</v>
      </c>
      <c r="AI1919" s="69" t="e" cm="1">
        <f t="array" ref="AI1919">_xlfn.XLOOKUP(Table1[[#This Row],[5 cm2 cell test code]:[5 cm2 cell test code]],[1]!Table1[[Test code]:[Test code]],[1]!Table1[Q_int_frac DIW 10 mM KOH],"",0)</f>
        <v>#REF!</v>
      </c>
      <c r="AJ1919" s="69" t="e" cm="1">
        <f t="array" ref="AJ1919">_xlfn.XLOOKUP(Table1[[#This Row],[5 cm2 cell test code]:[5 cm2 cell test code]],[1]!Table1[[Test code]:[Test code]],[1]!Table1[DIW conductivity (µS/cm)],"",0)</f>
        <v>#REF!</v>
      </c>
    </row>
    <row r="1920" spans="1:36">
      <c r="A1920" s="81"/>
      <c r="U1920" s="101"/>
      <c r="V1920" s="101"/>
      <c r="W1920" s="69" t="e" cm="1">
        <f t="array" ref="W1920">_xlfn.XLOOKUP(Table1[[#This Row],[5 cm2 cell test code]:[5 cm2 cell test code]],[1]!Table1[[Test code]:[Test code]],[1]!Table1[i @ 1.8 V DIW (A/cm2)],"",0)</f>
        <v>#REF!</v>
      </c>
      <c r="X1920" s="69" t="e" cm="1">
        <f t="array" ref="X1920">_xlfn.XLOOKUP(Table1[[#This Row],[5 cm2 cell test code]:[5 cm2 cell test code]],[1]!Table1[[Test code]:[Test code]],[1]!Table1[i @ 1.8 V 10 mM KOH (A/cm2)],"",0)</f>
        <v>#REF!</v>
      </c>
      <c r="Y1920" s="69" t="e" cm="1">
        <f t="array" ref="Y1920">_xlfn.XLOOKUP(Table1[[#This Row],[5 cm2 cell test code]:[5 cm2 cell test code]],[1]!Table1[[Test code]:[Test code]],[1]!Table1[3-E ƞ at 20mAcm-2 (mV)],"",0)</f>
        <v>#REF!</v>
      </c>
      <c r="Z1920" s="69" t="e" cm="1">
        <f t="array" ref="Z1920">_xlfn.XLOOKUP(Table1[[#This Row],[5 cm2 cell test code]:[5 cm2 cell test code]],[1]!Table1[[Test code]:[Test code]],[1]!Table1[3-E Tafel slope (mV/dec)],"",0)</f>
        <v>#REF!</v>
      </c>
      <c r="AA1920" s="69" t="e" cm="1">
        <f t="array" ref="AA1920">_xlfn.XLOOKUP(Table1[[#This Row],[5 cm2 cell test code]:[5 cm2 cell test code]],[1]!Table1[[Test code]:[Test code]],[1]!Table1[E @ 100 mA/cm2 DIW/V],"",0)</f>
        <v>#REF!</v>
      </c>
      <c r="AB1920" s="69" t="e" cm="1">
        <f t="array" ref="AB1920">_xlfn.XLOOKUP(Table1[[#This Row],[5 cm2 cell test code]:[5 cm2 cell test code]],[1]!Table1[[Test code]:[Test code]],[1]!Table1[E @ 100 mA/cm2 10 mM KOH/V],"",0)</f>
        <v>#REF!</v>
      </c>
      <c r="AC1920" s="69" t="e" cm="1">
        <f t="array" ref="AC1920">_xlfn.XLOOKUP(Table1[[#This Row],[5 cm2 cell test code]:[5 cm2 cell test code]],[1]!Table1[[Test code]:[Test code]],[1]!Table1[Anode ICR/mOhm],"",0)</f>
        <v>#REF!</v>
      </c>
      <c r="AD1920" s="69" t="e" cm="1">
        <f t="array" ref="AD1920">_xlfn.XLOOKUP(Table1[[#This Row],[5 cm2 cell test code]:[5 cm2 cell test code]],[1]!Table1[[Test code]:[Test code]],[1]!Table1[HFR DIW/ mOhm cm2],"",0)</f>
        <v>#REF!</v>
      </c>
      <c r="AE1920" s="69" t="e" cm="1">
        <f t="array" ref="AE1920">_xlfn.XLOOKUP(Table1[[#This Row],[5 cm2 cell test code]:[5 cm2 cell test code]],[1]!Table1[[Test code]:[Test code]],[1]!Table1[HFR 10 mM KOH/ mOhm cm2],"",0)</f>
        <v>#REF!</v>
      </c>
      <c r="AF1920" s="69" t="e" cm="1">
        <f t="array" ref="AF1920">_xlfn.XLOOKUP(Table1[[#This Row],[5 cm2 cell test code]:[5 cm2 cell test code]],[1]!Table1[[Test code]:[Test code]],[1]!Table1[Ionic resistance DIW/Ohm cm2],"",0)</f>
        <v>#REF!</v>
      </c>
      <c r="AG1920" s="69" t="e" cm="1">
        <f t="array" ref="AG1920">_xlfn.XLOOKUP(Table1[[#This Row],[5 cm2 cell test code]:[5 cm2 cell test code]],[1]!Table1[[Test code]:[Test code]],[1]!Table1[Q_int_frac DIW],"",0)</f>
        <v>#REF!</v>
      </c>
      <c r="AH1920" s="69" t="e" cm="1">
        <f t="array" ref="AH1920">_xlfn.XLOOKUP(Table1[[#This Row],[5 cm2 cell test code]:[5 cm2 cell test code]],[1]!Table1[[Test code]:[Test code]],[1]!Table1[Ionic resistance 10 mM KOH/Ohm cm2],"",0)</f>
        <v>#REF!</v>
      </c>
      <c r="AI1920" s="69" t="e" cm="1">
        <f t="array" ref="AI1920">_xlfn.XLOOKUP(Table1[[#This Row],[5 cm2 cell test code]:[5 cm2 cell test code]],[1]!Table1[[Test code]:[Test code]],[1]!Table1[Q_int_frac DIW 10 mM KOH],"",0)</f>
        <v>#REF!</v>
      </c>
      <c r="AJ1920" s="69" t="e" cm="1">
        <f t="array" ref="AJ1920">_xlfn.XLOOKUP(Table1[[#This Row],[5 cm2 cell test code]:[5 cm2 cell test code]],[1]!Table1[[Test code]:[Test code]],[1]!Table1[DIW conductivity (µS/cm)],"",0)</f>
        <v>#REF!</v>
      </c>
    </row>
    <row r="1921" spans="1:36">
      <c r="A1921" s="81"/>
      <c r="U1921" s="101"/>
      <c r="V1921" s="101"/>
      <c r="W1921" s="69" t="e" cm="1">
        <f t="array" ref="W1921">_xlfn.XLOOKUP(Table1[[#This Row],[5 cm2 cell test code]:[5 cm2 cell test code]],[1]!Table1[[Test code]:[Test code]],[1]!Table1[i @ 1.8 V DIW (A/cm2)],"",0)</f>
        <v>#REF!</v>
      </c>
      <c r="X1921" s="69" t="e" cm="1">
        <f t="array" ref="X1921">_xlfn.XLOOKUP(Table1[[#This Row],[5 cm2 cell test code]:[5 cm2 cell test code]],[1]!Table1[[Test code]:[Test code]],[1]!Table1[i @ 1.8 V 10 mM KOH (A/cm2)],"",0)</f>
        <v>#REF!</v>
      </c>
      <c r="Y1921" s="69" t="e" cm="1">
        <f t="array" ref="Y1921">_xlfn.XLOOKUP(Table1[[#This Row],[5 cm2 cell test code]:[5 cm2 cell test code]],[1]!Table1[[Test code]:[Test code]],[1]!Table1[3-E ƞ at 20mAcm-2 (mV)],"",0)</f>
        <v>#REF!</v>
      </c>
      <c r="Z1921" s="69" t="e" cm="1">
        <f t="array" ref="Z1921">_xlfn.XLOOKUP(Table1[[#This Row],[5 cm2 cell test code]:[5 cm2 cell test code]],[1]!Table1[[Test code]:[Test code]],[1]!Table1[3-E Tafel slope (mV/dec)],"",0)</f>
        <v>#REF!</v>
      </c>
      <c r="AA1921" s="69" t="e" cm="1">
        <f t="array" ref="AA1921">_xlfn.XLOOKUP(Table1[[#This Row],[5 cm2 cell test code]:[5 cm2 cell test code]],[1]!Table1[[Test code]:[Test code]],[1]!Table1[E @ 100 mA/cm2 DIW/V],"",0)</f>
        <v>#REF!</v>
      </c>
      <c r="AB1921" s="69" t="e" cm="1">
        <f t="array" ref="AB1921">_xlfn.XLOOKUP(Table1[[#This Row],[5 cm2 cell test code]:[5 cm2 cell test code]],[1]!Table1[[Test code]:[Test code]],[1]!Table1[E @ 100 mA/cm2 10 mM KOH/V],"",0)</f>
        <v>#REF!</v>
      </c>
      <c r="AC1921" s="69" t="e" cm="1">
        <f t="array" ref="AC1921">_xlfn.XLOOKUP(Table1[[#This Row],[5 cm2 cell test code]:[5 cm2 cell test code]],[1]!Table1[[Test code]:[Test code]],[1]!Table1[Anode ICR/mOhm],"",0)</f>
        <v>#REF!</v>
      </c>
      <c r="AD1921" s="69" t="e" cm="1">
        <f t="array" ref="AD1921">_xlfn.XLOOKUP(Table1[[#This Row],[5 cm2 cell test code]:[5 cm2 cell test code]],[1]!Table1[[Test code]:[Test code]],[1]!Table1[HFR DIW/ mOhm cm2],"",0)</f>
        <v>#REF!</v>
      </c>
      <c r="AE1921" s="69" t="e" cm="1">
        <f t="array" ref="AE1921">_xlfn.XLOOKUP(Table1[[#This Row],[5 cm2 cell test code]:[5 cm2 cell test code]],[1]!Table1[[Test code]:[Test code]],[1]!Table1[HFR 10 mM KOH/ mOhm cm2],"",0)</f>
        <v>#REF!</v>
      </c>
      <c r="AF1921" s="69" t="e" cm="1">
        <f t="array" ref="AF1921">_xlfn.XLOOKUP(Table1[[#This Row],[5 cm2 cell test code]:[5 cm2 cell test code]],[1]!Table1[[Test code]:[Test code]],[1]!Table1[Ionic resistance DIW/Ohm cm2],"",0)</f>
        <v>#REF!</v>
      </c>
      <c r="AG1921" s="69" t="e" cm="1">
        <f t="array" ref="AG1921">_xlfn.XLOOKUP(Table1[[#This Row],[5 cm2 cell test code]:[5 cm2 cell test code]],[1]!Table1[[Test code]:[Test code]],[1]!Table1[Q_int_frac DIW],"",0)</f>
        <v>#REF!</v>
      </c>
      <c r="AH1921" s="69" t="e" cm="1">
        <f t="array" ref="AH1921">_xlfn.XLOOKUP(Table1[[#This Row],[5 cm2 cell test code]:[5 cm2 cell test code]],[1]!Table1[[Test code]:[Test code]],[1]!Table1[Ionic resistance 10 mM KOH/Ohm cm2],"",0)</f>
        <v>#REF!</v>
      </c>
      <c r="AI1921" s="69" t="e" cm="1">
        <f t="array" ref="AI1921">_xlfn.XLOOKUP(Table1[[#This Row],[5 cm2 cell test code]:[5 cm2 cell test code]],[1]!Table1[[Test code]:[Test code]],[1]!Table1[Q_int_frac DIW 10 mM KOH],"",0)</f>
        <v>#REF!</v>
      </c>
      <c r="AJ1921" s="69" t="e" cm="1">
        <f t="array" ref="AJ1921">_xlfn.XLOOKUP(Table1[[#This Row],[5 cm2 cell test code]:[5 cm2 cell test code]],[1]!Table1[[Test code]:[Test code]],[1]!Table1[DIW conductivity (µS/cm)],"",0)</f>
        <v>#REF!</v>
      </c>
    </row>
    <row r="1922" spans="1:36">
      <c r="A1922" s="81"/>
      <c r="U1922" s="101"/>
      <c r="V1922" s="101"/>
      <c r="W1922" s="69" t="e" cm="1">
        <f t="array" ref="W1922">_xlfn.XLOOKUP(Table1[[#This Row],[5 cm2 cell test code]:[5 cm2 cell test code]],[1]!Table1[[Test code]:[Test code]],[1]!Table1[i @ 1.8 V DIW (A/cm2)],"",0)</f>
        <v>#REF!</v>
      </c>
      <c r="X1922" s="69" t="e" cm="1">
        <f t="array" ref="X1922">_xlfn.XLOOKUP(Table1[[#This Row],[5 cm2 cell test code]:[5 cm2 cell test code]],[1]!Table1[[Test code]:[Test code]],[1]!Table1[i @ 1.8 V 10 mM KOH (A/cm2)],"",0)</f>
        <v>#REF!</v>
      </c>
      <c r="Y1922" s="69" t="e" cm="1">
        <f t="array" ref="Y1922">_xlfn.XLOOKUP(Table1[[#This Row],[5 cm2 cell test code]:[5 cm2 cell test code]],[1]!Table1[[Test code]:[Test code]],[1]!Table1[3-E ƞ at 20mAcm-2 (mV)],"",0)</f>
        <v>#REF!</v>
      </c>
      <c r="Z1922" s="69" t="e" cm="1">
        <f t="array" ref="Z1922">_xlfn.XLOOKUP(Table1[[#This Row],[5 cm2 cell test code]:[5 cm2 cell test code]],[1]!Table1[[Test code]:[Test code]],[1]!Table1[3-E Tafel slope (mV/dec)],"",0)</f>
        <v>#REF!</v>
      </c>
      <c r="AA1922" s="69" t="e" cm="1">
        <f t="array" ref="AA1922">_xlfn.XLOOKUP(Table1[[#This Row],[5 cm2 cell test code]:[5 cm2 cell test code]],[1]!Table1[[Test code]:[Test code]],[1]!Table1[E @ 100 mA/cm2 DIW/V],"",0)</f>
        <v>#REF!</v>
      </c>
      <c r="AB1922" s="69" t="e" cm="1">
        <f t="array" ref="AB1922">_xlfn.XLOOKUP(Table1[[#This Row],[5 cm2 cell test code]:[5 cm2 cell test code]],[1]!Table1[[Test code]:[Test code]],[1]!Table1[E @ 100 mA/cm2 10 mM KOH/V],"",0)</f>
        <v>#REF!</v>
      </c>
      <c r="AC1922" s="69" t="e" cm="1">
        <f t="array" ref="AC1922">_xlfn.XLOOKUP(Table1[[#This Row],[5 cm2 cell test code]:[5 cm2 cell test code]],[1]!Table1[[Test code]:[Test code]],[1]!Table1[Anode ICR/mOhm],"",0)</f>
        <v>#REF!</v>
      </c>
      <c r="AD1922" s="69" t="e" cm="1">
        <f t="array" ref="AD1922">_xlfn.XLOOKUP(Table1[[#This Row],[5 cm2 cell test code]:[5 cm2 cell test code]],[1]!Table1[[Test code]:[Test code]],[1]!Table1[HFR DIW/ mOhm cm2],"",0)</f>
        <v>#REF!</v>
      </c>
      <c r="AE1922" s="69" t="e" cm="1">
        <f t="array" ref="AE1922">_xlfn.XLOOKUP(Table1[[#This Row],[5 cm2 cell test code]:[5 cm2 cell test code]],[1]!Table1[[Test code]:[Test code]],[1]!Table1[HFR 10 mM KOH/ mOhm cm2],"",0)</f>
        <v>#REF!</v>
      </c>
      <c r="AF1922" s="69" t="e" cm="1">
        <f t="array" ref="AF1922">_xlfn.XLOOKUP(Table1[[#This Row],[5 cm2 cell test code]:[5 cm2 cell test code]],[1]!Table1[[Test code]:[Test code]],[1]!Table1[Ionic resistance DIW/Ohm cm2],"",0)</f>
        <v>#REF!</v>
      </c>
      <c r="AG1922" s="69" t="e" cm="1">
        <f t="array" ref="AG1922">_xlfn.XLOOKUP(Table1[[#This Row],[5 cm2 cell test code]:[5 cm2 cell test code]],[1]!Table1[[Test code]:[Test code]],[1]!Table1[Q_int_frac DIW],"",0)</f>
        <v>#REF!</v>
      </c>
      <c r="AH1922" s="69" t="e" cm="1">
        <f t="array" ref="AH1922">_xlfn.XLOOKUP(Table1[[#This Row],[5 cm2 cell test code]:[5 cm2 cell test code]],[1]!Table1[[Test code]:[Test code]],[1]!Table1[Ionic resistance 10 mM KOH/Ohm cm2],"",0)</f>
        <v>#REF!</v>
      </c>
      <c r="AI1922" s="69" t="e" cm="1">
        <f t="array" ref="AI1922">_xlfn.XLOOKUP(Table1[[#This Row],[5 cm2 cell test code]:[5 cm2 cell test code]],[1]!Table1[[Test code]:[Test code]],[1]!Table1[Q_int_frac DIW 10 mM KOH],"",0)</f>
        <v>#REF!</v>
      </c>
      <c r="AJ1922" s="69" t="e" cm="1">
        <f t="array" ref="AJ1922">_xlfn.XLOOKUP(Table1[[#This Row],[5 cm2 cell test code]:[5 cm2 cell test code]],[1]!Table1[[Test code]:[Test code]],[1]!Table1[DIW conductivity (µS/cm)],"",0)</f>
        <v>#REF!</v>
      </c>
    </row>
    <row r="1923" spans="1:36">
      <c r="A1923" s="81"/>
      <c r="U1923" s="101"/>
      <c r="V1923" s="101"/>
      <c r="W1923" s="69" t="e" cm="1">
        <f t="array" ref="W1923">_xlfn.XLOOKUP(Table1[[#This Row],[5 cm2 cell test code]:[5 cm2 cell test code]],[1]!Table1[[Test code]:[Test code]],[1]!Table1[i @ 1.8 V DIW (A/cm2)],"",0)</f>
        <v>#REF!</v>
      </c>
      <c r="X1923" s="69" t="e" cm="1">
        <f t="array" ref="X1923">_xlfn.XLOOKUP(Table1[[#This Row],[5 cm2 cell test code]:[5 cm2 cell test code]],[1]!Table1[[Test code]:[Test code]],[1]!Table1[i @ 1.8 V 10 mM KOH (A/cm2)],"",0)</f>
        <v>#REF!</v>
      </c>
      <c r="Y1923" s="69" t="e" cm="1">
        <f t="array" ref="Y1923">_xlfn.XLOOKUP(Table1[[#This Row],[5 cm2 cell test code]:[5 cm2 cell test code]],[1]!Table1[[Test code]:[Test code]],[1]!Table1[3-E ƞ at 20mAcm-2 (mV)],"",0)</f>
        <v>#REF!</v>
      </c>
      <c r="Z1923" s="69" t="e" cm="1">
        <f t="array" ref="Z1923">_xlfn.XLOOKUP(Table1[[#This Row],[5 cm2 cell test code]:[5 cm2 cell test code]],[1]!Table1[[Test code]:[Test code]],[1]!Table1[3-E Tafel slope (mV/dec)],"",0)</f>
        <v>#REF!</v>
      </c>
      <c r="AA1923" s="69" t="e" cm="1">
        <f t="array" ref="AA1923">_xlfn.XLOOKUP(Table1[[#This Row],[5 cm2 cell test code]:[5 cm2 cell test code]],[1]!Table1[[Test code]:[Test code]],[1]!Table1[E @ 100 mA/cm2 DIW/V],"",0)</f>
        <v>#REF!</v>
      </c>
      <c r="AB1923" s="69" t="e" cm="1">
        <f t="array" ref="AB1923">_xlfn.XLOOKUP(Table1[[#This Row],[5 cm2 cell test code]:[5 cm2 cell test code]],[1]!Table1[[Test code]:[Test code]],[1]!Table1[E @ 100 mA/cm2 10 mM KOH/V],"",0)</f>
        <v>#REF!</v>
      </c>
      <c r="AC1923" s="69" t="e" cm="1">
        <f t="array" ref="AC1923">_xlfn.XLOOKUP(Table1[[#This Row],[5 cm2 cell test code]:[5 cm2 cell test code]],[1]!Table1[[Test code]:[Test code]],[1]!Table1[Anode ICR/mOhm],"",0)</f>
        <v>#REF!</v>
      </c>
      <c r="AD1923" s="69" t="e" cm="1">
        <f t="array" ref="AD1923">_xlfn.XLOOKUP(Table1[[#This Row],[5 cm2 cell test code]:[5 cm2 cell test code]],[1]!Table1[[Test code]:[Test code]],[1]!Table1[HFR DIW/ mOhm cm2],"",0)</f>
        <v>#REF!</v>
      </c>
      <c r="AE1923" s="69" t="e" cm="1">
        <f t="array" ref="AE1923">_xlfn.XLOOKUP(Table1[[#This Row],[5 cm2 cell test code]:[5 cm2 cell test code]],[1]!Table1[[Test code]:[Test code]],[1]!Table1[HFR 10 mM KOH/ mOhm cm2],"",0)</f>
        <v>#REF!</v>
      </c>
      <c r="AF1923" s="69" t="e" cm="1">
        <f t="array" ref="AF1923">_xlfn.XLOOKUP(Table1[[#This Row],[5 cm2 cell test code]:[5 cm2 cell test code]],[1]!Table1[[Test code]:[Test code]],[1]!Table1[Ionic resistance DIW/Ohm cm2],"",0)</f>
        <v>#REF!</v>
      </c>
      <c r="AG1923" s="69" t="e" cm="1">
        <f t="array" ref="AG1923">_xlfn.XLOOKUP(Table1[[#This Row],[5 cm2 cell test code]:[5 cm2 cell test code]],[1]!Table1[[Test code]:[Test code]],[1]!Table1[Q_int_frac DIW],"",0)</f>
        <v>#REF!</v>
      </c>
      <c r="AH1923" s="69" t="e" cm="1">
        <f t="array" ref="AH1923">_xlfn.XLOOKUP(Table1[[#This Row],[5 cm2 cell test code]:[5 cm2 cell test code]],[1]!Table1[[Test code]:[Test code]],[1]!Table1[Ionic resistance 10 mM KOH/Ohm cm2],"",0)</f>
        <v>#REF!</v>
      </c>
      <c r="AI1923" s="69" t="e" cm="1">
        <f t="array" ref="AI1923">_xlfn.XLOOKUP(Table1[[#This Row],[5 cm2 cell test code]:[5 cm2 cell test code]],[1]!Table1[[Test code]:[Test code]],[1]!Table1[Q_int_frac DIW 10 mM KOH],"",0)</f>
        <v>#REF!</v>
      </c>
      <c r="AJ1923" s="69" t="e" cm="1">
        <f t="array" ref="AJ1923">_xlfn.XLOOKUP(Table1[[#This Row],[5 cm2 cell test code]:[5 cm2 cell test code]],[1]!Table1[[Test code]:[Test code]],[1]!Table1[DIW conductivity (µS/cm)],"",0)</f>
        <v>#REF!</v>
      </c>
    </row>
    <row r="1924" spans="1:36">
      <c r="A1924" s="81"/>
      <c r="U1924" s="101"/>
      <c r="V1924" s="101"/>
      <c r="W1924" s="69" t="e" cm="1">
        <f t="array" ref="W1924">_xlfn.XLOOKUP(Table1[[#This Row],[5 cm2 cell test code]:[5 cm2 cell test code]],[1]!Table1[[Test code]:[Test code]],[1]!Table1[i @ 1.8 V DIW (A/cm2)],"",0)</f>
        <v>#REF!</v>
      </c>
      <c r="X1924" s="69" t="e" cm="1">
        <f t="array" ref="X1924">_xlfn.XLOOKUP(Table1[[#This Row],[5 cm2 cell test code]:[5 cm2 cell test code]],[1]!Table1[[Test code]:[Test code]],[1]!Table1[i @ 1.8 V 10 mM KOH (A/cm2)],"",0)</f>
        <v>#REF!</v>
      </c>
      <c r="Y1924" s="69" t="e" cm="1">
        <f t="array" ref="Y1924">_xlfn.XLOOKUP(Table1[[#This Row],[5 cm2 cell test code]:[5 cm2 cell test code]],[1]!Table1[[Test code]:[Test code]],[1]!Table1[3-E ƞ at 20mAcm-2 (mV)],"",0)</f>
        <v>#REF!</v>
      </c>
      <c r="Z1924" s="69" t="e" cm="1">
        <f t="array" ref="Z1924">_xlfn.XLOOKUP(Table1[[#This Row],[5 cm2 cell test code]:[5 cm2 cell test code]],[1]!Table1[[Test code]:[Test code]],[1]!Table1[3-E Tafel slope (mV/dec)],"",0)</f>
        <v>#REF!</v>
      </c>
      <c r="AA1924" s="69" t="e" cm="1">
        <f t="array" ref="AA1924">_xlfn.XLOOKUP(Table1[[#This Row],[5 cm2 cell test code]:[5 cm2 cell test code]],[1]!Table1[[Test code]:[Test code]],[1]!Table1[E @ 100 mA/cm2 DIW/V],"",0)</f>
        <v>#REF!</v>
      </c>
      <c r="AB1924" s="69" t="e" cm="1">
        <f t="array" ref="AB1924">_xlfn.XLOOKUP(Table1[[#This Row],[5 cm2 cell test code]:[5 cm2 cell test code]],[1]!Table1[[Test code]:[Test code]],[1]!Table1[E @ 100 mA/cm2 10 mM KOH/V],"",0)</f>
        <v>#REF!</v>
      </c>
      <c r="AC1924" s="69" t="e" cm="1">
        <f t="array" ref="AC1924">_xlfn.XLOOKUP(Table1[[#This Row],[5 cm2 cell test code]:[5 cm2 cell test code]],[1]!Table1[[Test code]:[Test code]],[1]!Table1[Anode ICR/mOhm],"",0)</f>
        <v>#REF!</v>
      </c>
      <c r="AD1924" s="69" t="e" cm="1">
        <f t="array" ref="AD1924">_xlfn.XLOOKUP(Table1[[#This Row],[5 cm2 cell test code]:[5 cm2 cell test code]],[1]!Table1[[Test code]:[Test code]],[1]!Table1[HFR DIW/ mOhm cm2],"",0)</f>
        <v>#REF!</v>
      </c>
      <c r="AE1924" s="69" t="e" cm="1">
        <f t="array" ref="AE1924">_xlfn.XLOOKUP(Table1[[#This Row],[5 cm2 cell test code]:[5 cm2 cell test code]],[1]!Table1[[Test code]:[Test code]],[1]!Table1[HFR 10 mM KOH/ mOhm cm2],"",0)</f>
        <v>#REF!</v>
      </c>
      <c r="AF1924" s="69" t="e" cm="1">
        <f t="array" ref="AF1924">_xlfn.XLOOKUP(Table1[[#This Row],[5 cm2 cell test code]:[5 cm2 cell test code]],[1]!Table1[[Test code]:[Test code]],[1]!Table1[Ionic resistance DIW/Ohm cm2],"",0)</f>
        <v>#REF!</v>
      </c>
      <c r="AG1924" s="69" t="e" cm="1">
        <f t="array" ref="AG1924">_xlfn.XLOOKUP(Table1[[#This Row],[5 cm2 cell test code]:[5 cm2 cell test code]],[1]!Table1[[Test code]:[Test code]],[1]!Table1[Q_int_frac DIW],"",0)</f>
        <v>#REF!</v>
      </c>
      <c r="AH1924" s="69" t="e" cm="1">
        <f t="array" ref="AH1924">_xlfn.XLOOKUP(Table1[[#This Row],[5 cm2 cell test code]:[5 cm2 cell test code]],[1]!Table1[[Test code]:[Test code]],[1]!Table1[Ionic resistance 10 mM KOH/Ohm cm2],"",0)</f>
        <v>#REF!</v>
      </c>
      <c r="AI1924" s="69" t="e" cm="1">
        <f t="array" ref="AI1924">_xlfn.XLOOKUP(Table1[[#This Row],[5 cm2 cell test code]:[5 cm2 cell test code]],[1]!Table1[[Test code]:[Test code]],[1]!Table1[Q_int_frac DIW 10 mM KOH],"",0)</f>
        <v>#REF!</v>
      </c>
      <c r="AJ1924" s="69" t="e" cm="1">
        <f t="array" ref="AJ1924">_xlfn.XLOOKUP(Table1[[#This Row],[5 cm2 cell test code]:[5 cm2 cell test code]],[1]!Table1[[Test code]:[Test code]],[1]!Table1[DIW conductivity (µS/cm)],"",0)</f>
        <v>#REF!</v>
      </c>
    </row>
    <row r="1925" spans="1:36">
      <c r="A1925" s="81"/>
      <c r="U1925" s="101"/>
      <c r="V1925" s="101"/>
      <c r="W1925" s="69" t="e" cm="1">
        <f t="array" ref="W1925">_xlfn.XLOOKUP(Table1[[#This Row],[5 cm2 cell test code]:[5 cm2 cell test code]],[1]!Table1[[Test code]:[Test code]],[1]!Table1[i @ 1.8 V DIW (A/cm2)],"",0)</f>
        <v>#REF!</v>
      </c>
      <c r="X1925" s="69" t="e" cm="1">
        <f t="array" ref="X1925">_xlfn.XLOOKUP(Table1[[#This Row],[5 cm2 cell test code]:[5 cm2 cell test code]],[1]!Table1[[Test code]:[Test code]],[1]!Table1[i @ 1.8 V 10 mM KOH (A/cm2)],"",0)</f>
        <v>#REF!</v>
      </c>
      <c r="Y1925" s="69" t="e" cm="1">
        <f t="array" ref="Y1925">_xlfn.XLOOKUP(Table1[[#This Row],[5 cm2 cell test code]:[5 cm2 cell test code]],[1]!Table1[[Test code]:[Test code]],[1]!Table1[3-E ƞ at 20mAcm-2 (mV)],"",0)</f>
        <v>#REF!</v>
      </c>
      <c r="Z1925" s="69" t="e" cm="1">
        <f t="array" ref="Z1925">_xlfn.XLOOKUP(Table1[[#This Row],[5 cm2 cell test code]:[5 cm2 cell test code]],[1]!Table1[[Test code]:[Test code]],[1]!Table1[3-E Tafel slope (mV/dec)],"",0)</f>
        <v>#REF!</v>
      </c>
      <c r="AA1925" s="69" t="e" cm="1">
        <f t="array" ref="AA1925">_xlfn.XLOOKUP(Table1[[#This Row],[5 cm2 cell test code]:[5 cm2 cell test code]],[1]!Table1[[Test code]:[Test code]],[1]!Table1[E @ 100 mA/cm2 DIW/V],"",0)</f>
        <v>#REF!</v>
      </c>
      <c r="AB1925" s="69" t="e" cm="1">
        <f t="array" ref="AB1925">_xlfn.XLOOKUP(Table1[[#This Row],[5 cm2 cell test code]:[5 cm2 cell test code]],[1]!Table1[[Test code]:[Test code]],[1]!Table1[E @ 100 mA/cm2 10 mM KOH/V],"",0)</f>
        <v>#REF!</v>
      </c>
      <c r="AC1925" s="69" t="e" cm="1">
        <f t="array" ref="AC1925">_xlfn.XLOOKUP(Table1[[#This Row],[5 cm2 cell test code]:[5 cm2 cell test code]],[1]!Table1[[Test code]:[Test code]],[1]!Table1[Anode ICR/mOhm],"",0)</f>
        <v>#REF!</v>
      </c>
      <c r="AD1925" s="69" t="e" cm="1">
        <f t="array" ref="AD1925">_xlfn.XLOOKUP(Table1[[#This Row],[5 cm2 cell test code]:[5 cm2 cell test code]],[1]!Table1[[Test code]:[Test code]],[1]!Table1[HFR DIW/ mOhm cm2],"",0)</f>
        <v>#REF!</v>
      </c>
      <c r="AE1925" s="69" t="e" cm="1">
        <f t="array" ref="AE1925">_xlfn.XLOOKUP(Table1[[#This Row],[5 cm2 cell test code]:[5 cm2 cell test code]],[1]!Table1[[Test code]:[Test code]],[1]!Table1[HFR 10 mM KOH/ mOhm cm2],"",0)</f>
        <v>#REF!</v>
      </c>
      <c r="AF1925" s="69" t="e" cm="1">
        <f t="array" ref="AF1925">_xlfn.XLOOKUP(Table1[[#This Row],[5 cm2 cell test code]:[5 cm2 cell test code]],[1]!Table1[[Test code]:[Test code]],[1]!Table1[Ionic resistance DIW/Ohm cm2],"",0)</f>
        <v>#REF!</v>
      </c>
      <c r="AG1925" s="69" t="e" cm="1">
        <f t="array" ref="AG1925">_xlfn.XLOOKUP(Table1[[#This Row],[5 cm2 cell test code]:[5 cm2 cell test code]],[1]!Table1[[Test code]:[Test code]],[1]!Table1[Q_int_frac DIW],"",0)</f>
        <v>#REF!</v>
      </c>
      <c r="AH1925" s="69" t="e" cm="1">
        <f t="array" ref="AH1925">_xlfn.XLOOKUP(Table1[[#This Row],[5 cm2 cell test code]:[5 cm2 cell test code]],[1]!Table1[[Test code]:[Test code]],[1]!Table1[Ionic resistance 10 mM KOH/Ohm cm2],"",0)</f>
        <v>#REF!</v>
      </c>
      <c r="AI1925" s="69" t="e" cm="1">
        <f t="array" ref="AI1925">_xlfn.XLOOKUP(Table1[[#This Row],[5 cm2 cell test code]:[5 cm2 cell test code]],[1]!Table1[[Test code]:[Test code]],[1]!Table1[Q_int_frac DIW 10 mM KOH],"",0)</f>
        <v>#REF!</v>
      </c>
      <c r="AJ1925" s="69" t="e" cm="1">
        <f t="array" ref="AJ1925">_xlfn.XLOOKUP(Table1[[#This Row],[5 cm2 cell test code]:[5 cm2 cell test code]],[1]!Table1[[Test code]:[Test code]],[1]!Table1[DIW conductivity (µS/cm)],"",0)</f>
        <v>#REF!</v>
      </c>
    </row>
    <row r="1926" spans="1:36">
      <c r="A1926" s="81"/>
      <c r="U1926" s="101"/>
      <c r="V1926" s="101"/>
      <c r="W1926" s="69" t="e" cm="1">
        <f t="array" ref="W1926">_xlfn.XLOOKUP(Table1[[#This Row],[5 cm2 cell test code]:[5 cm2 cell test code]],[1]!Table1[[Test code]:[Test code]],[1]!Table1[i @ 1.8 V DIW (A/cm2)],"",0)</f>
        <v>#REF!</v>
      </c>
      <c r="X1926" s="69" t="e" cm="1">
        <f t="array" ref="X1926">_xlfn.XLOOKUP(Table1[[#This Row],[5 cm2 cell test code]:[5 cm2 cell test code]],[1]!Table1[[Test code]:[Test code]],[1]!Table1[i @ 1.8 V 10 mM KOH (A/cm2)],"",0)</f>
        <v>#REF!</v>
      </c>
      <c r="Y1926" s="69" t="e" cm="1">
        <f t="array" ref="Y1926">_xlfn.XLOOKUP(Table1[[#This Row],[5 cm2 cell test code]:[5 cm2 cell test code]],[1]!Table1[[Test code]:[Test code]],[1]!Table1[3-E ƞ at 20mAcm-2 (mV)],"",0)</f>
        <v>#REF!</v>
      </c>
      <c r="Z1926" s="69" t="e" cm="1">
        <f t="array" ref="Z1926">_xlfn.XLOOKUP(Table1[[#This Row],[5 cm2 cell test code]:[5 cm2 cell test code]],[1]!Table1[[Test code]:[Test code]],[1]!Table1[3-E Tafel slope (mV/dec)],"",0)</f>
        <v>#REF!</v>
      </c>
      <c r="AA1926" s="69" t="e" cm="1">
        <f t="array" ref="AA1926">_xlfn.XLOOKUP(Table1[[#This Row],[5 cm2 cell test code]:[5 cm2 cell test code]],[1]!Table1[[Test code]:[Test code]],[1]!Table1[E @ 100 mA/cm2 DIW/V],"",0)</f>
        <v>#REF!</v>
      </c>
      <c r="AB1926" s="69" t="e" cm="1">
        <f t="array" ref="AB1926">_xlfn.XLOOKUP(Table1[[#This Row],[5 cm2 cell test code]:[5 cm2 cell test code]],[1]!Table1[[Test code]:[Test code]],[1]!Table1[E @ 100 mA/cm2 10 mM KOH/V],"",0)</f>
        <v>#REF!</v>
      </c>
      <c r="AC1926" s="69" t="e" cm="1">
        <f t="array" ref="AC1926">_xlfn.XLOOKUP(Table1[[#This Row],[5 cm2 cell test code]:[5 cm2 cell test code]],[1]!Table1[[Test code]:[Test code]],[1]!Table1[Anode ICR/mOhm],"",0)</f>
        <v>#REF!</v>
      </c>
      <c r="AD1926" s="69" t="e" cm="1">
        <f t="array" ref="AD1926">_xlfn.XLOOKUP(Table1[[#This Row],[5 cm2 cell test code]:[5 cm2 cell test code]],[1]!Table1[[Test code]:[Test code]],[1]!Table1[HFR DIW/ mOhm cm2],"",0)</f>
        <v>#REF!</v>
      </c>
      <c r="AE1926" s="69" t="e" cm="1">
        <f t="array" ref="AE1926">_xlfn.XLOOKUP(Table1[[#This Row],[5 cm2 cell test code]:[5 cm2 cell test code]],[1]!Table1[[Test code]:[Test code]],[1]!Table1[HFR 10 mM KOH/ mOhm cm2],"",0)</f>
        <v>#REF!</v>
      </c>
      <c r="AF1926" s="69" t="e" cm="1">
        <f t="array" ref="AF1926">_xlfn.XLOOKUP(Table1[[#This Row],[5 cm2 cell test code]:[5 cm2 cell test code]],[1]!Table1[[Test code]:[Test code]],[1]!Table1[Ionic resistance DIW/Ohm cm2],"",0)</f>
        <v>#REF!</v>
      </c>
      <c r="AG1926" s="69" t="e" cm="1">
        <f t="array" ref="AG1926">_xlfn.XLOOKUP(Table1[[#This Row],[5 cm2 cell test code]:[5 cm2 cell test code]],[1]!Table1[[Test code]:[Test code]],[1]!Table1[Q_int_frac DIW],"",0)</f>
        <v>#REF!</v>
      </c>
      <c r="AH1926" s="69" t="e" cm="1">
        <f t="array" ref="AH1926">_xlfn.XLOOKUP(Table1[[#This Row],[5 cm2 cell test code]:[5 cm2 cell test code]],[1]!Table1[[Test code]:[Test code]],[1]!Table1[Ionic resistance 10 mM KOH/Ohm cm2],"",0)</f>
        <v>#REF!</v>
      </c>
      <c r="AI1926" s="69" t="e" cm="1">
        <f t="array" ref="AI1926">_xlfn.XLOOKUP(Table1[[#This Row],[5 cm2 cell test code]:[5 cm2 cell test code]],[1]!Table1[[Test code]:[Test code]],[1]!Table1[Q_int_frac DIW 10 mM KOH],"",0)</f>
        <v>#REF!</v>
      </c>
      <c r="AJ1926" s="69" t="e" cm="1">
        <f t="array" ref="AJ1926">_xlfn.XLOOKUP(Table1[[#This Row],[5 cm2 cell test code]:[5 cm2 cell test code]],[1]!Table1[[Test code]:[Test code]],[1]!Table1[DIW conductivity (µS/cm)],"",0)</f>
        <v>#REF!</v>
      </c>
    </row>
    <row r="1927" spans="1:36">
      <c r="A1927" s="81"/>
      <c r="U1927" s="101"/>
      <c r="V1927" s="101"/>
      <c r="W1927" s="69" t="e" cm="1">
        <f t="array" ref="W1927">_xlfn.XLOOKUP(Table1[[#This Row],[5 cm2 cell test code]:[5 cm2 cell test code]],[1]!Table1[[Test code]:[Test code]],[1]!Table1[i @ 1.8 V DIW (A/cm2)],"",0)</f>
        <v>#REF!</v>
      </c>
      <c r="X1927" s="69" t="e" cm="1">
        <f t="array" ref="X1927">_xlfn.XLOOKUP(Table1[[#This Row],[5 cm2 cell test code]:[5 cm2 cell test code]],[1]!Table1[[Test code]:[Test code]],[1]!Table1[i @ 1.8 V 10 mM KOH (A/cm2)],"",0)</f>
        <v>#REF!</v>
      </c>
      <c r="Y1927" s="69" t="e" cm="1">
        <f t="array" ref="Y1927">_xlfn.XLOOKUP(Table1[[#This Row],[5 cm2 cell test code]:[5 cm2 cell test code]],[1]!Table1[[Test code]:[Test code]],[1]!Table1[3-E ƞ at 20mAcm-2 (mV)],"",0)</f>
        <v>#REF!</v>
      </c>
      <c r="Z1927" s="69" t="e" cm="1">
        <f t="array" ref="Z1927">_xlfn.XLOOKUP(Table1[[#This Row],[5 cm2 cell test code]:[5 cm2 cell test code]],[1]!Table1[[Test code]:[Test code]],[1]!Table1[3-E Tafel slope (mV/dec)],"",0)</f>
        <v>#REF!</v>
      </c>
      <c r="AA1927" s="69" t="e" cm="1">
        <f t="array" ref="AA1927">_xlfn.XLOOKUP(Table1[[#This Row],[5 cm2 cell test code]:[5 cm2 cell test code]],[1]!Table1[[Test code]:[Test code]],[1]!Table1[E @ 100 mA/cm2 DIW/V],"",0)</f>
        <v>#REF!</v>
      </c>
      <c r="AB1927" s="69" t="e" cm="1">
        <f t="array" ref="AB1927">_xlfn.XLOOKUP(Table1[[#This Row],[5 cm2 cell test code]:[5 cm2 cell test code]],[1]!Table1[[Test code]:[Test code]],[1]!Table1[E @ 100 mA/cm2 10 mM KOH/V],"",0)</f>
        <v>#REF!</v>
      </c>
      <c r="AC1927" s="69" t="e" cm="1">
        <f t="array" ref="AC1927">_xlfn.XLOOKUP(Table1[[#This Row],[5 cm2 cell test code]:[5 cm2 cell test code]],[1]!Table1[[Test code]:[Test code]],[1]!Table1[Anode ICR/mOhm],"",0)</f>
        <v>#REF!</v>
      </c>
      <c r="AD1927" s="69" t="e" cm="1">
        <f t="array" ref="AD1927">_xlfn.XLOOKUP(Table1[[#This Row],[5 cm2 cell test code]:[5 cm2 cell test code]],[1]!Table1[[Test code]:[Test code]],[1]!Table1[HFR DIW/ mOhm cm2],"",0)</f>
        <v>#REF!</v>
      </c>
      <c r="AE1927" s="69" t="e" cm="1">
        <f t="array" ref="AE1927">_xlfn.XLOOKUP(Table1[[#This Row],[5 cm2 cell test code]:[5 cm2 cell test code]],[1]!Table1[[Test code]:[Test code]],[1]!Table1[HFR 10 mM KOH/ mOhm cm2],"",0)</f>
        <v>#REF!</v>
      </c>
      <c r="AF1927" s="69" t="e" cm="1">
        <f t="array" ref="AF1927">_xlfn.XLOOKUP(Table1[[#This Row],[5 cm2 cell test code]:[5 cm2 cell test code]],[1]!Table1[[Test code]:[Test code]],[1]!Table1[Ionic resistance DIW/Ohm cm2],"",0)</f>
        <v>#REF!</v>
      </c>
      <c r="AG1927" s="69" t="e" cm="1">
        <f t="array" ref="AG1927">_xlfn.XLOOKUP(Table1[[#This Row],[5 cm2 cell test code]:[5 cm2 cell test code]],[1]!Table1[[Test code]:[Test code]],[1]!Table1[Q_int_frac DIW],"",0)</f>
        <v>#REF!</v>
      </c>
      <c r="AH1927" s="69" t="e" cm="1">
        <f t="array" ref="AH1927">_xlfn.XLOOKUP(Table1[[#This Row],[5 cm2 cell test code]:[5 cm2 cell test code]],[1]!Table1[[Test code]:[Test code]],[1]!Table1[Ionic resistance 10 mM KOH/Ohm cm2],"",0)</f>
        <v>#REF!</v>
      </c>
      <c r="AI1927" s="69" t="e" cm="1">
        <f t="array" ref="AI1927">_xlfn.XLOOKUP(Table1[[#This Row],[5 cm2 cell test code]:[5 cm2 cell test code]],[1]!Table1[[Test code]:[Test code]],[1]!Table1[Q_int_frac DIW 10 mM KOH],"",0)</f>
        <v>#REF!</v>
      </c>
      <c r="AJ1927" s="69" t="e" cm="1">
        <f t="array" ref="AJ1927">_xlfn.XLOOKUP(Table1[[#This Row],[5 cm2 cell test code]:[5 cm2 cell test code]],[1]!Table1[[Test code]:[Test code]],[1]!Table1[DIW conductivity (µS/cm)],"",0)</f>
        <v>#REF!</v>
      </c>
    </row>
    <row r="1928" spans="1:36">
      <c r="A1928" s="81"/>
      <c r="U1928" s="101"/>
      <c r="V1928" s="101"/>
      <c r="W1928" s="69" t="e" cm="1">
        <f t="array" ref="W1928">_xlfn.XLOOKUP(Table1[[#This Row],[5 cm2 cell test code]:[5 cm2 cell test code]],[1]!Table1[[Test code]:[Test code]],[1]!Table1[i @ 1.8 V DIW (A/cm2)],"",0)</f>
        <v>#REF!</v>
      </c>
      <c r="X1928" s="69" t="e" cm="1">
        <f t="array" ref="X1928">_xlfn.XLOOKUP(Table1[[#This Row],[5 cm2 cell test code]:[5 cm2 cell test code]],[1]!Table1[[Test code]:[Test code]],[1]!Table1[i @ 1.8 V 10 mM KOH (A/cm2)],"",0)</f>
        <v>#REF!</v>
      </c>
      <c r="Y1928" s="69" t="e" cm="1">
        <f t="array" ref="Y1928">_xlfn.XLOOKUP(Table1[[#This Row],[5 cm2 cell test code]:[5 cm2 cell test code]],[1]!Table1[[Test code]:[Test code]],[1]!Table1[3-E ƞ at 20mAcm-2 (mV)],"",0)</f>
        <v>#REF!</v>
      </c>
      <c r="Z1928" s="69" t="e" cm="1">
        <f t="array" ref="Z1928">_xlfn.XLOOKUP(Table1[[#This Row],[5 cm2 cell test code]:[5 cm2 cell test code]],[1]!Table1[[Test code]:[Test code]],[1]!Table1[3-E Tafel slope (mV/dec)],"",0)</f>
        <v>#REF!</v>
      </c>
      <c r="AA1928" s="69" t="e" cm="1">
        <f t="array" ref="AA1928">_xlfn.XLOOKUP(Table1[[#This Row],[5 cm2 cell test code]:[5 cm2 cell test code]],[1]!Table1[[Test code]:[Test code]],[1]!Table1[E @ 100 mA/cm2 DIW/V],"",0)</f>
        <v>#REF!</v>
      </c>
      <c r="AB1928" s="69" t="e" cm="1">
        <f t="array" ref="AB1928">_xlfn.XLOOKUP(Table1[[#This Row],[5 cm2 cell test code]:[5 cm2 cell test code]],[1]!Table1[[Test code]:[Test code]],[1]!Table1[E @ 100 mA/cm2 10 mM KOH/V],"",0)</f>
        <v>#REF!</v>
      </c>
      <c r="AC1928" s="69" t="e" cm="1">
        <f t="array" ref="AC1928">_xlfn.XLOOKUP(Table1[[#This Row],[5 cm2 cell test code]:[5 cm2 cell test code]],[1]!Table1[[Test code]:[Test code]],[1]!Table1[Anode ICR/mOhm],"",0)</f>
        <v>#REF!</v>
      </c>
      <c r="AD1928" s="69" t="e" cm="1">
        <f t="array" ref="AD1928">_xlfn.XLOOKUP(Table1[[#This Row],[5 cm2 cell test code]:[5 cm2 cell test code]],[1]!Table1[[Test code]:[Test code]],[1]!Table1[HFR DIW/ mOhm cm2],"",0)</f>
        <v>#REF!</v>
      </c>
      <c r="AE1928" s="69" t="e" cm="1">
        <f t="array" ref="AE1928">_xlfn.XLOOKUP(Table1[[#This Row],[5 cm2 cell test code]:[5 cm2 cell test code]],[1]!Table1[[Test code]:[Test code]],[1]!Table1[HFR 10 mM KOH/ mOhm cm2],"",0)</f>
        <v>#REF!</v>
      </c>
      <c r="AF1928" s="69" t="e" cm="1">
        <f t="array" ref="AF1928">_xlfn.XLOOKUP(Table1[[#This Row],[5 cm2 cell test code]:[5 cm2 cell test code]],[1]!Table1[[Test code]:[Test code]],[1]!Table1[Ionic resistance DIW/Ohm cm2],"",0)</f>
        <v>#REF!</v>
      </c>
      <c r="AG1928" s="69" t="e" cm="1">
        <f t="array" ref="AG1928">_xlfn.XLOOKUP(Table1[[#This Row],[5 cm2 cell test code]:[5 cm2 cell test code]],[1]!Table1[[Test code]:[Test code]],[1]!Table1[Q_int_frac DIW],"",0)</f>
        <v>#REF!</v>
      </c>
      <c r="AH1928" s="69" t="e" cm="1">
        <f t="array" ref="AH1928">_xlfn.XLOOKUP(Table1[[#This Row],[5 cm2 cell test code]:[5 cm2 cell test code]],[1]!Table1[[Test code]:[Test code]],[1]!Table1[Ionic resistance 10 mM KOH/Ohm cm2],"",0)</f>
        <v>#REF!</v>
      </c>
      <c r="AI1928" s="69" t="e" cm="1">
        <f t="array" ref="AI1928">_xlfn.XLOOKUP(Table1[[#This Row],[5 cm2 cell test code]:[5 cm2 cell test code]],[1]!Table1[[Test code]:[Test code]],[1]!Table1[Q_int_frac DIW 10 mM KOH],"",0)</f>
        <v>#REF!</v>
      </c>
      <c r="AJ1928" s="69" t="e" cm="1">
        <f t="array" ref="AJ1928">_xlfn.XLOOKUP(Table1[[#This Row],[5 cm2 cell test code]:[5 cm2 cell test code]],[1]!Table1[[Test code]:[Test code]],[1]!Table1[DIW conductivity (µS/cm)],"",0)</f>
        <v>#REF!</v>
      </c>
    </row>
    <row r="1929" spans="1:36">
      <c r="A1929" s="81"/>
      <c r="U1929" s="101"/>
      <c r="V1929" s="101"/>
      <c r="W1929" s="69" t="e" cm="1">
        <f t="array" ref="W1929">_xlfn.XLOOKUP(Table1[[#This Row],[5 cm2 cell test code]:[5 cm2 cell test code]],[1]!Table1[[Test code]:[Test code]],[1]!Table1[i @ 1.8 V DIW (A/cm2)],"",0)</f>
        <v>#REF!</v>
      </c>
      <c r="X1929" s="69" t="e" cm="1">
        <f t="array" ref="X1929">_xlfn.XLOOKUP(Table1[[#This Row],[5 cm2 cell test code]:[5 cm2 cell test code]],[1]!Table1[[Test code]:[Test code]],[1]!Table1[i @ 1.8 V 10 mM KOH (A/cm2)],"",0)</f>
        <v>#REF!</v>
      </c>
      <c r="Y1929" s="69" t="e" cm="1">
        <f t="array" ref="Y1929">_xlfn.XLOOKUP(Table1[[#This Row],[5 cm2 cell test code]:[5 cm2 cell test code]],[1]!Table1[[Test code]:[Test code]],[1]!Table1[3-E ƞ at 20mAcm-2 (mV)],"",0)</f>
        <v>#REF!</v>
      </c>
      <c r="Z1929" s="69" t="e" cm="1">
        <f t="array" ref="Z1929">_xlfn.XLOOKUP(Table1[[#This Row],[5 cm2 cell test code]:[5 cm2 cell test code]],[1]!Table1[[Test code]:[Test code]],[1]!Table1[3-E Tafel slope (mV/dec)],"",0)</f>
        <v>#REF!</v>
      </c>
      <c r="AA1929" s="69" t="e" cm="1">
        <f t="array" ref="AA1929">_xlfn.XLOOKUP(Table1[[#This Row],[5 cm2 cell test code]:[5 cm2 cell test code]],[1]!Table1[[Test code]:[Test code]],[1]!Table1[E @ 100 mA/cm2 DIW/V],"",0)</f>
        <v>#REF!</v>
      </c>
      <c r="AB1929" s="69" t="e" cm="1">
        <f t="array" ref="AB1929">_xlfn.XLOOKUP(Table1[[#This Row],[5 cm2 cell test code]:[5 cm2 cell test code]],[1]!Table1[[Test code]:[Test code]],[1]!Table1[E @ 100 mA/cm2 10 mM KOH/V],"",0)</f>
        <v>#REF!</v>
      </c>
      <c r="AC1929" s="69" t="e" cm="1">
        <f t="array" ref="AC1929">_xlfn.XLOOKUP(Table1[[#This Row],[5 cm2 cell test code]:[5 cm2 cell test code]],[1]!Table1[[Test code]:[Test code]],[1]!Table1[Anode ICR/mOhm],"",0)</f>
        <v>#REF!</v>
      </c>
      <c r="AD1929" s="69" t="e" cm="1">
        <f t="array" ref="AD1929">_xlfn.XLOOKUP(Table1[[#This Row],[5 cm2 cell test code]:[5 cm2 cell test code]],[1]!Table1[[Test code]:[Test code]],[1]!Table1[HFR DIW/ mOhm cm2],"",0)</f>
        <v>#REF!</v>
      </c>
      <c r="AE1929" s="69" t="e" cm="1">
        <f t="array" ref="AE1929">_xlfn.XLOOKUP(Table1[[#This Row],[5 cm2 cell test code]:[5 cm2 cell test code]],[1]!Table1[[Test code]:[Test code]],[1]!Table1[HFR 10 mM KOH/ mOhm cm2],"",0)</f>
        <v>#REF!</v>
      </c>
      <c r="AF1929" s="69" t="e" cm="1">
        <f t="array" ref="AF1929">_xlfn.XLOOKUP(Table1[[#This Row],[5 cm2 cell test code]:[5 cm2 cell test code]],[1]!Table1[[Test code]:[Test code]],[1]!Table1[Ionic resistance DIW/Ohm cm2],"",0)</f>
        <v>#REF!</v>
      </c>
      <c r="AG1929" s="69" t="e" cm="1">
        <f t="array" ref="AG1929">_xlfn.XLOOKUP(Table1[[#This Row],[5 cm2 cell test code]:[5 cm2 cell test code]],[1]!Table1[[Test code]:[Test code]],[1]!Table1[Q_int_frac DIW],"",0)</f>
        <v>#REF!</v>
      </c>
      <c r="AH1929" s="69" t="e" cm="1">
        <f t="array" ref="AH1929">_xlfn.XLOOKUP(Table1[[#This Row],[5 cm2 cell test code]:[5 cm2 cell test code]],[1]!Table1[[Test code]:[Test code]],[1]!Table1[Ionic resistance 10 mM KOH/Ohm cm2],"",0)</f>
        <v>#REF!</v>
      </c>
      <c r="AI1929" s="69" t="e" cm="1">
        <f t="array" ref="AI1929">_xlfn.XLOOKUP(Table1[[#This Row],[5 cm2 cell test code]:[5 cm2 cell test code]],[1]!Table1[[Test code]:[Test code]],[1]!Table1[Q_int_frac DIW 10 mM KOH],"",0)</f>
        <v>#REF!</v>
      </c>
      <c r="AJ1929" s="69" t="e" cm="1">
        <f t="array" ref="AJ1929">_xlfn.XLOOKUP(Table1[[#This Row],[5 cm2 cell test code]:[5 cm2 cell test code]],[1]!Table1[[Test code]:[Test code]],[1]!Table1[DIW conductivity (µS/cm)],"",0)</f>
        <v>#REF!</v>
      </c>
    </row>
    <row r="1930" spans="1:36">
      <c r="A1930" s="81"/>
      <c r="U1930" s="101"/>
      <c r="V1930" s="101"/>
      <c r="W1930" s="69" t="e" cm="1">
        <f t="array" ref="W1930">_xlfn.XLOOKUP(Table1[[#This Row],[5 cm2 cell test code]:[5 cm2 cell test code]],[1]!Table1[[Test code]:[Test code]],[1]!Table1[i @ 1.8 V DIW (A/cm2)],"",0)</f>
        <v>#REF!</v>
      </c>
      <c r="X1930" s="69" t="e" cm="1">
        <f t="array" ref="X1930">_xlfn.XLOOKUP(Table1[[#This Row],[5 cm2 cell test code]:[5 cm2 cell test code]],[1]!Table1[[Test code]:[Test code]],[1]!Table1[i @ 1.8 V 10 mM KOH (A/cm2)],"",0)</f>
        <v>#REF!</v>
      </c>
      <c r="Y1930" s="69" t="e" cm="1">
        <f t="array" ref="Y1930">_xlfn.XLOOKUP(Table1[[#This Row],[5 cm2 cell test code]:[5 cm2 cell test code]],[1]!Table1[[Test code]:[Test code]],[1]!Table1[3-E ƞ at 20mAcm-2 (mV)],"",0)</f>
        <v>#REF!</v>
      </c>
      <c r="Z1930" s="69" t="e" cm="1">
        <f t="array" ref="Z1930">_xlfn.XLOOKUP(Table1[[#This Row],[5 cm2 cell test code]:[5 cm2 cell test code]],[1]!Table1[[Test code]:[Test code]],[1]!Table1[3-E Tafel slope (mV/dec)],"",0)</f>
        <v>#REF!</v>
      </c>
      <c r="AA1930" s="69" t="e" cm="1">
        <f t="array" ref="AA1930">_xlfn.XLOOKUP(Table1[[#This Row],[5 cm2 cell test code]:[5 cm2 cell test code]],[1]!Table1[[Test code]:[Test code]],[1]!Table1[E @ 100 mA/cm2 DIW/V],"",0)</f>
        <v>#REF!</v>
      </c>
      <c r="AB1930" s="69" t="e" cm="1">
        <f t="array" ref="AB1930">_xlfn.XLOOKUP(Table1[[#This Row],[5 cm2 cell test code]:[5 cm2 cell test code]],[1]!Table1[[Test code]:[Test code]],[1]!Table1[E @ 100 mA/cm2 10 mM KOH/V],"",0)</f>
        <v>#REF!</v>
      </c>
      <c r="AC1930" s="69" t="e" cm="1">
        <f t="array" ref="AC1930">_xlfn.XLOOKUP(Table1[[#This Row],[5 cm2 cell test code]:[5 cm2 cell test code]],[1]!Table1[[Test code]:[Test code]],[1]!Table1[Anode ICR/mOhm],"",0)</f>
        <v>#REF!</v>
      </c>
      <c r="AD1930" s="69" t="e" cm="1">
        <f t="array" ref="AD1930">_xlfn.XLOOKUP(Table1[[#This Row],[5 cm2 cell test code]:[5 cm2 cell test code]],[1]!Table1[[Test code]:[Test code]],[1]!Table1[HFR DIW/ mOhm cm2],"",0)</f>
        <v>#REF!</v>
      </c>
      <c r="AE1930" s="69" t="e" cm="1">
        <f t="array" ref="AE1930">_xlfn.XLOOKUP(Table1[[#This Row],[5 cm2 cell test code]:[5 cm2 cell test code]],[1]!Table1[[Test code]:[Test code]],[1]!Table1[HFR 10 mM KOH/ mOhm cm2],"",0)</f>
        <v>#REF!</v>
      </c>
      <c r="AF1930" s="69" t="e" cm="1">
        <f t="array" ref="AF1930">_xlfn.XLOOKUP(Table1[[#This Row],[5 cm2 cell test code]:[5 cm2 cell test code]],[1]!Table1[[Test code]:[Test code]],[1]!Table1[Ionic resistance DIW/Ohm cm2],"",0)</f>
        <v>#REF!</v>
      </c>
      <c r="AG1930" s="69" t="e" cm="1">
        <f t="array" ref="AG1930">_xlfn.XLOOKUP(Table1[[#This Row],[5 cm2 cell test code]:[5 cm2 cell test code]],[1]!Table1[[Test code]:[Test code]],[1]!Table1[Q_int_frac DIW],"",0)</f>
        <v>#REF!</v>
      </c>
      <c r="AH1930" s="69" t="e" cm="1">
        <f t="array" ref="AH1930">_xlfn.XLOOKUP(Table1[[#This Row],[5 cm2 cell test code]:[5 cm2 cell test code]],[1]!Table1[[Test code]:[Test code]],[1]!Table1[Ionic resistance 10 mM KOH/Ohm cm2],"",0)</f>
        <v>#REF!</v>
      </c>
      <c r="AI1930" s="69" t="e" cm="1">
        <f t="array" ref="AI1930">_xlfn.XLOOKUP(Table1[[#This Row],[5 cm2 cell test code]:[5 cm2 cell test code]],[1]!Table1[[Test code]:[Test code]],[1]!Table1[Q_int_frac DIW 10 mM KOH],"",0)</f>
        <v>#REF!</v>
      </c>
      <c r="AJ1930" s="69" t="e" cm="1">
        <f t="array" ref="AJ1930">_xlfn.XLOOKUP(Table1[[#This Row],[5 cm2 cell test code]:[5 cm2 cell test code]],[1]!Table1[[Test code]:[Test code]],[1]!Table1[DIW conductivity (µS/cm)],"",0)</f>
        <v>#REF!</v>
      </c>
    </row>
    <row r="1931" spans="1:36">
      <c r="A1931" s="81"/>
      <c r="U1931" s="101"/>
      <c r="V1931" s="101"/>
      <c r="W1931" s="69" t="e" cm="1">
        <f t="array" ref="W1931">_xlfn.XLOOKUP(Table1[[#This Row],[5 cm2 cell test code]:[5 cm2 cell test code]],[1]!Table1[[Test code]:[Test code]],[1]!Table1[i @ 1.8 V DIW (A/cm2)],"",0)</f>
        <v>#REF!</v>
      </c>
      <c r="X1931" s="69" t="e" cm="1">
        <f t="array" ref="X1931">_xlfn.XLOOKUP(Table1[[#This Row],[5 cm2 cell test code]:[5 cm2 cell test code]],[1]!Table1[[Test code]:[Test code]],[1]!Table1[i @ 1.8 V 10 mM KOH (A/cm2)],"",0)</f>
        <v>#REF!</v>
      </c>
      <c r="Y1931" s="69" t="e" cm="1">
        <f t="array" ref="Y1931">_xlfn.XLOOKUP(Table1[[#This Row],[5 cm2 cell test code]:[5 cm2 cell test code]],[1]!Table1[[Test code]:[Test code]],[1]!Table1[3-E ƞ at 20mAcm-2 (mV)],"",0)</f>
        <v>#REF!</v>
      </c>
      <c r="Z1931" s="69" t="e" cm="1">
        <f t="array" ref="Z1931">_xlfn.XLOOKUP(Table1[[#This Row],[5 cm2 cell test code]:[5 cm2 cell test code]],[1]!Table1[[Test code]:[Test code]],[1]!Table1[3-E Tafel slope (mV/dec)],"",0)</f>
        <v>#REF!</v>
      </c>
      <c r="AA1931" s="69" t="e" cm="1">
        <f t="array" ref="AA1931">_xlfn.XLOOKUP(Table1[[#This Row],[5 cm2 cell test code]:[5 cm2 cell test code]],[1]!Table1[[Test code]:[Test code]],[1]!Table1[E @ 100 mA/cm2 DIW/V],"",0)</f>
        <v>#REF!</v>
      </c>
      <c r="AB1931" s="69" t="e" cm="1">
        <f t="array" ref="AB1931">_xlfn.XLOOKUP(Table1[[#This Row],[5 cm2 cell test code]:[5 cm2 cell test code]],[1]!Table1[[Test code]:[Test code]],[1]!Table1[E @ 100 mA/cm2 10 mM KOH/V],"",0)</f>
        <v>#REF!</v>
      </c>
      <c r="AC1931" s="69" t="e" cm="1">
        <f t="array" ref="AC1931">_xlfn.XLOOKUP(Table1[[#This Row],[5 cm2 cell test code]:[5 cm2 cell test code]],[1]!Table1[[Test code]:[Test code]],[1]!Table1[Anode ICR/mOhm],"",0)</f>
        <v>#REF!</v>
      </c>
      <c r="AD1931" s="69" t="e" cm="1">
        <f t="array" ref="AD1931">_xlfn.XLOOKUP(Table1[[#This Row],[5 cm2 cell test code]:[5 cm2 cell test code]],[1]!Table1[[Test code]:[Test code]],[1]!Table1[HFR DIW/ mOhm cm2],"",0)</f>
        <v>#REF!</v>
      </c>
      <c r="AE1931" s="69" t="e" cm="1">
        <f t="array" ref="AE1931">_xlfn.XLOOKUP(Table1[[#This Row],[5 cm2 cell test code]:[5 cm2 cell test code]],[1]!Table1[[Test code]:[Test code]],[1]!Table1[HFR 10 mM KOH/ mOhm cm2],"",0)</f>
        <v>#REF!</v>
      </c>
      <c r="AF1931" s="69" t="e" cm="1">
        <f t="array" ref="AF1931">_xlfn.XLOOKUP(Table1[[#This Row],[5 cm2 cell test code]:[5 cm2 cell test code]],[1]!Table1[[Test code]:[Test code]],[1]!Table1[Ionic resistance DIW/Ohm cm2],"",0)</f>
        <v>#REF!</v>
      </c>
      <c r="AG1931" s="69" t="e" cm="1">
        <f t="array" ref="AG1931">_xlfn.XLOOKUP(Table1[[#This Row],[5 cm2 cell test code]:[5 cm2 cell test code]],[1]!Table1[[Test code]:[Test code]],[1]!Table1[Q_int_frac DIW],"",0)</f>
        <v>#REF!</v>
      </c>
      <c r="AH1931" s="69" t="e" cm="1">
        <f t="array" ref="AH1931">_xlfn.XLOOKUP(Table1[[#This Row],[5 cm2 cell test code]:[5 cm2 cell test code]],[1]!Table1[[Test code]:[Test code]],[1]!Table1[Ionic resistance 10 mM KOH/Ohm cm2],"",0)</f>
        <v>#REF!</v>
      </c>
      <c r="AI1931" s="69" t="e" cm="1">
        <f t="array" ref="AI1931">_xlfn.XLOOKUP(Table1[[#This Row],[5 cm2 cell test code]:[5 cm2 cell test code]],[1]!Table1[[Test code]:[Test code]],[1]!Table1[Q_int_frac DIW 10 mM KOH],"",0)</f>
        <v>#REF!</v>
      </c>
      <c r="AJ1931" s="69" t="e" cm="1">
        <f t="array" ref="AJ1931">_xlfn.XLOOKUP(Table1[[#This Row],[5 cm2 cell test code]:[5 cm2 cell test code]],[1]!Table1[[Test code]:[Test code]],[1]!Table1[DIW conductivity (µS/cm)],"",0)</f>
        <v>#REF!</v>
      </c>
    </row>
    <row r="1932" spans="1:36">
      <c r="A1932" s="81"/>
      <c r="U1932" s="101"/>
      <c r="V1932" s="101"/>
      <c r="W1932" s="69" t="e" cm="1">
        <f t="array" ref="W1932">_xlfn.XLOOKUP(Table1[[#This Row],[5 cm2 cell test code]:[5 cm2 cell test code]],[1]!Table1[[Test code]:[Test code]],[1]!Table1[i @ 1.8 V DIW (A/cm2)],"",0)</f>
        <v>#REF!</v>
      </c>
      <c r="X1932" s="69" t="e" cm="1">
        <f t="array" ref="X1932">_xlfn.XLOOKUP(Table1[[#This Row],[5 cm2 cell test code]:[5 cm2 cell test code]],[1]!Table1[[Test code]:[Test code]],[1]!Table1[i @ 1.8 V 10 mM KOH (A/cm2)],"",0)</f>
        <v>#REF!</v>
      </c>
      <c r="Y1932" s="69" t="e" cm="1">
        <f t="array" ref="Y1932">_xlfn.XLOOKUP(Table1[[#This Row],[5 cm2 cell test code]:[5 cm2 cell test code]],[1]!Table1[[Test code]:[Test code]],[1]!Table1[3-E ƞ at 20mAcm-2 (mV)],"",0)</f>
        <v>#REF!</v>
      </c>
      <c r="Z1932" s="69" t="e" cm="1">
        <f t="array" ref="Z1932">_xlfn.XLOOKUP(Table1[[#This Row],[5 cm2 cell test code]:[5 cm2 cell test code]],[1]!Table1[[Test code]:[Test code]],[1]!Table1[3-E Tafel slope (mV/dec)],"",0)</f>
        <v>#REF!</v>
      </c>
      <c r="AA1932" s="69" t="e" cm="1">
        <f t="array" ref="AA1932">_xlfn.XLOOKUP(Table1[[#This Row],[5 cm2 cell test code]:[5 cm2 cell test code]],[1]!Table1[[Test code]:[Test code]],[1]!Table1[E @ 100 mA/cm2 DIW/V],"",0)</f>
        <v>#REF!</v>
      </c>
      <c r="AB1932" s="69" t="e" cm="1">
        <f t="array" ref="AB1932">_xlfn.XLOOKUP(Table1[[#This Row],[5 cm2 cell test code]:[5 cm2 cell test code]],[1]!Table1[[Test code]:[Test code]],[1]!Table1[E @ 100 mA/cm2 10 mM KOH/V],"",0)</f>
        <v>#REF!</v>
      </c>
      <c r="AC1932" s="69" t="e" cm="1">
        <f t="array" ref="AC1932">_xlfn.XLOOKUP(Table1[[#This Row],[5 cm2 cell test code]:[5 cm2 cell test code]],[1]!Table1[[Test code]:[Test code]],[1]!Table1[Anode ICR/mOhm],"",0)</f>
        <v>#REF!</v>
      </c>
      <c r="AD1932" s="69" t="e" cm="1">
        <f t="array" ref="AD1932">_xlfn.XLOOKUP(Table1[[#This Row],[5 cm2 cell test code]:[5 cm2 cell test code]],[1]!Table1[[Test code]:[Test code]],[1]!Table1[HFR DIW/ mOhm cm2],"",0)</f>
        <v>#REF!</v>
      </c>
      <c r="AE1932" s="69" t="e" cm="1">
        <f t="array" ref="AE1932">_xlfn.XLOOKUP(Table1[[#This Row],[5 cm2 cell test code]:[5 cm2 cell test code]],[1]!Table1[[Test code]:[Test code]],[1]!Table1[HFR 10 mM KOH/ mOhm cm2],"",0)</f>
        <v>#REF!</v>
      </c>
      <c r="AF1932" s="69" t="e" cm="1">
        <f t="array" ref="AF1932">_xlfn.XLOOKUP(Table1[[#This Row],[5 cm2 cell test code]:[5 cm2 cell test code]],[1]!Table1[[Test code]:[Test code]],[1]!Table1[Ionic resistance DIW/Ohm cm2],"",0)</f>
        <v>#REF!</v>
      </c>
      <c r="AG1932" s="69" t="e" cm="1">
        <f t="array" ref="AG1932">_xlfn.XLOOKUP(Table1[[#This Row],[5 cm2 cell test code]:[5 cm2 cell test code]],[1]!Table1[[Test code]:[Test code]],[1]!Table1[Q_int_frac DIW],"",0)</f>
        <v>#REF!</v>
      </c>
      <c r="AH1932" s="69" t="e" cm="1">
        <f t="array" ref="AH1932">_xlfn.XLOOKUP(Table1[[#This Row],[5 cm2 cell test code]:[5 cm2 cell test code]],[1]!Table1[[Test code]:[Test code]],[1]!Table1[Ionic resistance 10 mM KOH/Ohm cm2],"",0)</f>
        <v>#REF!</v>
      </c>
      <c r="AI1932" s="69" t="e" cm="1">
        <f t="array" ref="AI1932">_xlfn.XLOOKUP(Table1[[#This Row],[5 cm2 cell test code]:[5 cm2 cell test code]],[1]!Table1[[Test code]:[Test code]],[1]!Table1[Q_int_frac DIW 10 mM KOH],"",0)</f>
        <v>#REF!</v>
      </c>
      <c r="AJ1932" s="69" t="e" cm="1">
        <f t="array" ref="AJ1932">_xlfn.XLOOKUP(Table1[[#This Row],[5 cm2 cell test code]:[5 cm2 cell test code]],[1]!Table1[[Test code]:[Test code]],[1]!Table1[DIW conductivity (µS/cm)],"",0)</f>
        <v>#REF!</v>
      </c>
    </row>
    <row r="1933" spans="1:36">
      <c r="A1933" s="81"/>
      <c r="U1933" s="101"/>
      <c r="V1933" s="101"/>
      <c r="W1933" s="69" t="e" cm="1">
        <f t="array" ref="W1933">_xlfn.XLOOKUP(Table1[[#This Row],[5 cm2 cell test code]:[5 cm2 cell test code]],[1]!Table1[[Test code]:[Test code]],[1]!Table1[i @ 1.8 V DIW (A/cm2)],"",0)</f>
        <v>#REF!</v>
      </c>
      <c r="X1933" s="69" t="e" cm="1">
        <f t="array" ref="X1933">_xlfn.XLOOKUP(Table1[[#This Row],[5 cm2 cell test code]:[5 cm2 cell test code]],[1]!Table1[[Test code]:[Test code]],[1]!Table1[i @ 1.8 V 10 mM KOH (A/cm2)],"",0)</f>
        <v>#REF!</v>
      </c>
      <c r="Y1933" s="69" t="e" cm="1">
        <f t="array" ref="Y1933">_xlfn.XLOOKUP(Table1[[#This Row],[5 cm2 cell test code]:[5 cm2 cell test code]],[1]!Table1[[Test code]:[Test code]],[1]!Table1[3-E ƞ at 20mAcm-2 (mV)],"",0)</f>
        <v>#REF!</v>
      </c>
      <c r="Z1933" s="69" t="e" cm="1">
        <f t="array" ref="Z1933">_xlfn.XLOOKUP(Table1[[#This Row],[5 cm2 cell test code]:[5 cm2 cell test code]],[1]!Table1[[Test code]:[Test code]],[1]!Table1[3-E Tafel slope (mV/dec)],"",0)</f>
        <v>#REF!</v>
      </c>
      <c r="AA1933" s="69" t="e" cm="1">
        <f t="array" ref="AA1933">_xlfn.XLOOKUP(Table1[[#This Row],[5 cm2 cell test code]:[5 cm2 cell test code]],[1]!Table1[[Test code]:[Test code]],[1]!Table1[E @ 100 mA/cm2 DIW/V],"",0)</f>
        <v>#REF!</v>
      </c>
      <c r="AB1933" s="69" t="e" cm="1">
        <f t="array" ref="AB1933">_xlfn.XLOOKUP(Table1[[#This Row],[5 cm2 cell test code]:[5 cm2 cell test code]],[1]!Table1[[Test code]:[Test code]],[1]!Table1[E @ 100 mA/cm2 10 mM KOH/V],"",0)</f>
        <v>#REF!</v>
      </c>
      <c r="AC1933" s="69" t="e" cm="1">
        <f t="array" ref="AC1933">_xlfn.XLOOKUP(Table1[[#This Row],[5 cm2 cell test code]:[5 cm2 cell test code]],[1]!Table1[[Test code]:[Test code]],[1]!Table1[Anode ICR/mOhm],"",0)</f>
        <v>#REF!</v>
      </c>
      <c r="AD1933" s="69" t="e" cm="1">
        <f t="array" ref="AD1933">_xlfn.XLOOKUP(Table1[[#This Row],[5 cm2 cell test code]:[5 cm2 cell test code]],[1]!Table1[[Test code]:[Test code]],[1]!Table1[HFR DIW/ mOhm cm2],"",0)</f>
        <v>#REF!</v>
      </c>
      <c r="AE1933" s="69" t="e" cm="1">
        <f t="array" ref="AE1933">_xlfn.XLOOKUP(Table1[[#This Row],[5 cm2 cell test code]:[5 cm2 cell test code]],[1]!Table1[[Test code]:[Test code]],[1]!Table1[HFR 10 mM KOH/ mOhm cm2],"",0)</f>
        <v>#REF!</v>
      </c>
      <c r="AF1933" s="69" t="e" cm="1">
        <f t="array" ref="AF1933">_xlfn.XLOOKUP(Table1[[#This Row],[5 cm2 cell test code]:[5 cm2 cell test code]],[1]!Table1[[Test code]:[Test code]],[1]!Table1[Ionic resistance DIW/Ohm cm2],"",0)</f>
        <v>#REF!</v>
      </c>
      <c r="AG1933" s="69" t="e" cm="1">
        <f t="array" ref="AG1933">_xlfn.XLOOKUP(Table1[[#This Row],[5 cm2 cell test code]:[5 cm2 cell test code]],[1]!Table1[[Test code]:[Test code]],[1]!Table1[Q_int_frac DIW],"",0)</f>
        <v>#REF!</v>
      </c>
      <c r="AH1933" s="69" t="e" cm="1">
        <f t="array" ref="AH1933">_xlfn.XLOOKUP(Table1[[#This Row],[5 cm2 cell test code]:[5 cm2 cell test code]],[1]!Table1[[Test code]:[Test code]],[1]!Table1[Ionic resistance 10 mM KOH/Ohm cm2],"",0)</f>
        <v>#REF!</v>
      </c>
      <c r="AI1933" s="69" t="e" cm="1">
        <f t="array" ref="AI1933">_xlfn.XLOOKUP(Table1[[#This Row],[5 cm2 cell test code]:[5 cm2 cell test code]],[1]!Table1[[Test code]:[Test code]],[1]!Table1[Q_int_frac DIW 10 mM KOH],"",0)</f>
        <v>#REF!</v>
      </c>
      <c r="AJ1933" s="69" t="e" cm="1">
        <f t="array" ref="AJ1933">_xlfn.XLOOKUP(Table1[[#This Row],[5 cm2 cell test code]:[5 cm2 cell test code]],[1]!Table1[[Test code]:[Test code]],[1]!Table1[DIW conductivity (µS/cm)],"",0)</f>
        <v>#REF!</v>
      </c>
    </row>
    <row r="1934" spans="1:36">
      <c r="A1934" s="81"/>
      <c r="U1934" s="101"/>
      <c r="V1934" s="101"/>
      <c r="W1934" s="69" t="e" cm="1">
        <f t="array" ref="W1934">_xlfn.XLOOKUP(Table1[[#This Row],[5 cm2 cell test code]:[5 cm2 cell test code]],[1]!Table1[[Test code]:[Test code]],[1]!Table1[i @ 1.8 V DIW (A/cm2)],"",0)</f>
        <v>#REF!</v>
      </c>
      <c r="X1934" s="69" t="e" cm="1">
        <f t="array" ref="X1934">_xlfn.XLOOKUP(Table1[[#This Row],[5 cm2 cell test code]:[5 cm2 cell test code]],[1]!Table1[[Test code]:[Test code]],[1]!Table1[i @ 1.8 V 10 mM KOH (A/cm2)],"",0)</f>
        <v>#REF!</v>
      </c>
      <c r="Y1934" s="69" t="e" cm="1">
        <f t="array" ref="Y1934">_xlfn.XLOOKUP(Table1[[#This Row],[5 cm2 cell test code]:[5 cm2 cell test code]],[1]!Table1[[Test code]:[Test code]],[1]!Table1[3-E ƞ at 20mAcm-2 (mV)],"",0)</f>
        <v>#REF!</v>
      </c>
      <c r="Z1934" s="69" t="e" cm="1">
        <f t="array" ref="Z1934">_xlfn.XLOOKUP(Table1[[#This Row],[5 cm2 cell test code]:[5 cm2 cell test code]],[1]!Table1[[Test code]:[Test code]],[1]!Table1[3-E Tafel slope (mV/dec)],"",0)</f>
        <v>#REF!</v>
      </c>
      <c r="AA1934" s="69" t="e" cm="1">
        <f t="array" ref="AA1934">_xlfn.XLOOKUP(Table1[[#This Row],[5 cm2 cell test code]:[5 cm2 cell test code]],[1]!Table1[[Test code]:[Test code]],[1]!Table1[E @ 100 mA/cm2 DIW/V],"",0)</f>
        <v>#REF!</v>
      </c>
      <c r="AB1934" s="69" t="e" cm="1">
        <f t="array" ref="AB1934">_xlfn.XLOOKUP(Table1[[#This Row],[5 cm2 cell test code]:[5 cm2 cell test code]],[1]!Table1[[Test code]:[Test code]],[1]!Table1[E @ 100 mA/cm2 10 mM KOH/V],"",0)</f>
        <v>#REF!</v>
      </c>
      <c r="AC1934" s="69" t="e" cm="1">
        <f t="array" ref="AC1934">_xlfn.XLOOKUP(Table1[[#This Row],[5 cm2 cell test code]:[5 cm2 cell test code]],[1]!Table1[[Test code]:[Test code]],[1]!Table1[Anode ICR/mOhm],"",0)</f>
        <v>#REF!</v>
      </c>
      <c r="AD1934" s="69" t="e" cm="1">
        <f t="array" ref="AD1934">_xlfn.XLOOKUP(Table1[[#This Row],[5 cm2 cell test code]:[5 cm2 cell test code]],[1]!Table1[[Test code]:[Test code]],[1]!Table1[HFR DIW/ mOhm cm2],"",0)</f>
        <v>#REF!</v>
      </c>
      <c r="AE1934" s="69" t="e" cm="1">
        <f t="array" ref="AE1934">_xlfn.XLOOKUP(Table1[[#This Row],[5 cm2 cell test code]:[5 cm2 cell test code]],[1]!Table1[[Test code]:[Test code]],[1]!Table1[HFR 10 mM KOH/ mOhm cm2],"",0)</f>
        <v>#REF!</v>
      </c>
      <c r="AF1934" s="69" t="e" cm="1">
        <f t="array" ref="AF1934">_xlfn.XLOOKUP(Table1[[#This Row],[5 cm2 cell test code]:[5 cm2 cell test code]],[1]!Table1[[Test code]:[Test code]],[1]!Table1[Ionic resistance DIW/Ohm cm2],"",0)</f>
        <v>#REF!</v>
      </c>
      <c r="AG1934" s="69" t="e" cm="1">
        <f t="array" ref="AG1934">_xlfn.XLOOKUP(Table1[[#This Row],[5 cm2 cell test code]:[5 cm2 cell test code]],[1]!Table1[[Test code]:[Test code]],[1]!Table1[Q_int_frac DIW],"",0)</f>
        <v>#REF!</v>
      </c>
      <c r="AH1934" s="69" t="e" cm="1">
        <f t="array" ref="AH1934">_xlfn.XLOOKUP(Table1[[#This Row],[5 cm2 cell test code]:[5 cm2 cell test code]],[1]!Table1[[Test code]:[Test code]],[1]!Table1[Ionic resistance 10 mM KOH/Ohm cm2],"",0)</f>
        <v>#REF!</v>
      </c>
      <c r="AI1934" s="69" t="e" cm="1">
        <f t="array" ref="AI1934">_xlfn.XLOOKUP(Table1[[#This Row],[5 cm2 cell test code]:[5 cm2 cell test code]],[1]!Table1[[Test code]:[Test code]],[1]!Table1[Q_int_frac DIW 10 mM KOH],"",0)</f>
        <v>#REF!</v>
      </c>
      <c r="AJ1934" s="69" t="e" cm="1">
        <f t="array" ref="AJ1934">_xlfn.XLOOKUP(Table1[[#This Row],[5 cm2 cell test code]:[5 cm2 cell test code]],[1]!Table1[[Test code]:[Test code]],[1]!Table1[DIW conductivity (µS/cm)],"",0)</f>
        <v>#REF!</v>
      </c>
    </row>
    <row r="1935" spans="1:36">
      <c r="A1935" s="81"/>
      <c r="U1935" s="101"/>
      <c r="V1935" s="101"/>
      <c r="W1935" s="69" t="e" cm="1">
        <f t="array" ref="W1935">_xlfn.XLOOKUP(Table1[[#This Row],[5 cm2 cell test code]:[5 cm2 cell test code]],[1]!Table1[[Test code]:[Test code]],[1]!Table1[i @ 1.8 V DIW (A/cm2)],"",0)</f>
        <v>#REF!</v>
      </c>
      <c r="X1935" s="69" t="e" cm="1">
        <f t="array" ref="X1935">_xlfn.XLOOKUP(Table1[[#This Row],[5 cm2 cell test code]:[5 cm2 cell test code]],[1]!Table1[[Test code]:[Test code]],[1]!Table1[i @ 1.8 V 10 mM KOH (A/cm2)],"",0)</f>
        <v>#REF!</v>
      </c>
      <c r="Y1935" s="69" t="e" cm="1">
        <f t="array" ref="Y1935">_xlfn.XLOOKUP(Table1[[#This Row],[5 cm2 cell test code]:[5 cm2 cell test code]],[1]!Table1[[Test code]:[Test code]],[1]!Table1[3-E ƞ at 20mAcm-2 (mV)],"",0)</f>
        <v>#REF!</v>
      </c>
      <c r="Z1935" s="69" t="e" cm="1">
        <f t="array" ref="Z1935">_xlfn.XLOOKUP(Table1[[#This Row],[5 cm2 cell test code]:[5 cm2 cell test code]],[1]!Table1[[Test code]:[Test code]],[1]!Table1[3-E Tafel slope (mV/dec)],"",0)</f>
        <v>#REF!</v>
      </c>
      <c r="AA1935" s="69" t="e" cm="1">
        <f t="array" ref="AA1935">_xlfn.XLOOKUP(Table1[[#This Row],[5 cm2 cell test code]:[5 cm2 cell test code]],[1]!Table1[[Test code]:[Test code]],[1]!Table1[E @ 100 mA/cm2 DIW/V],"",0)</f>
        <v>#REF!</v>
      </c>
      <c r="AB1935" s="69" t="e" cm="1">
        <f t="array" ref="AB1935">_xlfn.XLOOKUP(Table1[[#This Row],[5 cm2 cell test code]:[5 cm2 cell test code]],[1]!Table1[[Test code]:[Test code]],[1]!Table1[E @ 100 mA/cm2 10 mM KOH/V],"",0)</f>
        <v>#REF!</v>
      </c>
      <c r="AC1935" s="69" t="e" cm="1">
        <f t="array" ref="AC1935">_xlfn.XLOOKUP(Table1[[#This Row],[5 cm2 cell test code]:[5 cm2 cell test code]],[1]!Table1[[Test code]:[Test code]],[1]!Table1[Anode ICR/mOhm],"",0)</f>
        <v>#REF!</v>
      </c>
      <c r="AD1935" s="69" t="e" cm="1">
        <f t="array" ref="AD1935">_xlfn.XLOOKUP(Table1[[#This Row],[5 cm2 cell test code]:[5 cm2 cell test code]],[1]!Table1[[Test code]:[Test code]],[1]!Table1[HFR DIW/ mOhm cm2],"",0)</f>
        <v>#REF!</v>
      </c>
      <c r="AE1935" s="69" t="e" cm="1">
        <f t="array" ref="AE1935">_xlfn.XLOOKUP(Table1[[#This Row],[5 cm2 cell test code]:[5 cm2 cell test code]],[1]!Table1[[Test code]:[Test code]],[1]!Table1[HFR 10 mM KOH/ mOhm cm2],"",0)</f>
        <v>#REF!</v>
      </c>
      <c r="AF1935" s="69" t="e" cm="1">
        <f t="array" ref="AF1935">_xlfn.XLOOKUP(Table1[[#This Row],[5 cm2 cell test code]:[5 cm2 cell test code]],[1]!Table1[[Test code]:[Test code]],[1]!Table1[Ionic resistance DIW/Ohm cm2],"",0)</f>
        <v>#REF!</v>
      </c>
      <c r="AG1935" s="69" t="e" cm="1">
        <f t="array" ref="AG1935">_xlfn.XLOOKUP(Table1[[#This Row],[5 cm2 cell test code]:[5 cm2 cell test code]],[1]!Table1[[Test code]:[Test code]],[1]!Table1[Q_int_frac DIW],"",0)</f>
        <v>#REF!</v>
      </c>
      <c r="AH1935" s="69" t="e" cm="1">
        <f t="array" ref="AH1935">_xlfn.XLOOKUP(Table1[[#This Row],[5 cm2 cell test code]:[5 cm2 cell test code]],[1]!Table1[[Test code]:[Test code]],[1]!Table1[Ionic resistance 10 mM KOH/Ohm cm2],"",0)</f>
        <v>#REF!</v>
      </c>
      <c r="AI1935" s="69" t="e" cm="1">
        <f t="array" ref="AI1935">_xlfn.XLOOKUP(Table1[[#This Row],[5 cm2 cell test code]:[5 cm2 cell test code]],[1]!Table1[[Test code]:[Test code]],[1]!Table1[Q_int_frac DIW 10 mM KOH],"",0)</f>
        <v>#REF!</v>
      </c>
      <c r="AJ1935" s="69" t="e" cm="1">
        <f t="array" ref="AJ1935">_xlfn.XLOOKUP(Table1[[#This Row],[5 cm2 cell test code]:[5 cm2 cell test code]],[1]!Table1[[Test code]:[Test code]],[1]!Table1[DIW conductivity (µS/cm)],"",0)</f>
        <v>#REF!</v>
      </c>
    </row>
    <row r="1936" spans="1:36">
      <c r="A1936" s="81"/>
      <c r="U1936" s="101"/>
      <c r="V1936" s="101"/>
      <c r="W1936" s="69" t="e" cm="1">
        <f t="array" ref="W1936">_xlfn.XLOOKUP(Table1[[#This Row],[5 cm2 cell test code]:[5 cm2 cell test code]],[1]!Table1[[Test code]:[Test code]],[1]!Table1[i @ 1.8 V DIW (A/cm2)],"",0)</f>
        <v>#REF!</v>
      </c>
      <c r="X1936" s="69" t="e" cm="1">
        <f t="array" ref="X1936">_xlfn.XLOOKUP(Table1[[#This Row],[5 cm2 cell test code]:[5 cm2 cell test code]],[1]!Table1[[Test code]:[Test code]],[1]!Table1[i @ 1.8 V 10 mM KOH (A/cm2)],"",0)</f>
        <v>#REF!</v>
      </c>
      <c r="Y1936" s="69" t="e" cm="1">
        <f t="array" ref="Y1936">_xlfn.XLOOKUP(Table1[[#This Row],[5 cm2 cell test code]:[5 cm2 cell test code]],[1]!Table1[[Test code]:[Test code]],[1]!Table1[3-E ƞ at 20mAcm-2 (mV)],"",0)</f>
        <v>#REF!</v>
      </c>
      <c r="Z1936" s="69" t="e" cm="1">
        <f t="array" ref="Z1936">_xlfn.XLOOKUP(Table1[[#This Row],[5 cm2 cell test code]:[5 cm2 cell test code]],[1]!Table1[[Test code]:[Test code]],[1]!Table1[3-E Tafel slope (mV/dec)],"",0)</f>
        <v>#REF!</v>
      </c>
      <c r="AA1936" s="69" t="e" cm="1">
        <f t="array" ref="AA1936">_xlfn.XLOOKUP(Table1[[#This Row],[5 cm2 cell test code]:[5 cm2 cell test code]],[1]!Table1[[Test code]:[Test code]],[1]!Table1[E @ 100 mA/cm2 DIW/V],"",0)</f>
        <v>#REF!</v>
      </c>
      <c r="AB1936" s="69" t="e" cm="1">
        <f t="array" ref="AB1936">_xlfn.XLOOKUP(Table1[[#This Row],[5 cm2 cell test code]:[5 cm2 cell test code]],[1]!Table1[[Test code]:[Test code]],[1]!Table1[E @ 100 mA/cm2 10 mM KOH/V],"",0)</f>
        <v>#REF!</v>
      </c>
      <c r="AC1936" s="69" t="e" cm="1">
        <f t="array" ref="AC1936">_xlfn.XLOOKUP(Table1[[#This Row],[5 cm2 cell test code]:[5 cm2 cell test code]],[1]!Table1[[Test code]:[Test code]],[1]!Table1[Anode ICR/mOhm],"",0)</f>
        <v>#REF!</v>
      </c>
      <c r="AD1936" s="69" t="e" cm="1">
        <f t="array" ref="AD1936">_xlfn.XLOOKUP(Table1[[#This Row],[5 cm2 cell test code]:[5 cm2 cell test code]],[1]!Table1[[Test code]:[Test code]],[1]!Table1[HFR DIW/ mOhm cm2],"",0)</f>
        <v>#REF!</v>
      </c>
      <c r="AE1936" s="69" t="e" cm="1">
        <f t="array" ref="AE1936">_xlfn.XLOOKUP(Table1[[#This Row],[5 cm2 cell test code]:[5 cm2 cell test code]],[1]!Table1[[Test code]:[Test code]],[1]!Table1[HFR 10 mM KOH/ mOhm cm2],"",0)</f>
        <v>#REF!</v>
      </c>
      <c r="AF1936" s="69" t="e" cm="1">
        <f t="array" ref="AF1936">_xlfn.XLOOKUP(Table1[[#This Row],[5 cm2 cell test code]:[5 cm2 cell test code]],[1]!Table1[[Test code]:[Test code]],[1]!Table1[Ionic resistance DIW/Ohm cm2],"",0)</f>
        <v>#REF!</v>
      </c>
      <c r="AG1936" s="69" t="e" cm="1">
        <f t="array" ref="AG1936">_xlfn.XLOOKUP(Table1[[#This Row],[5 cm2 cell test code]:[5 cm2 cell test code]],[1]!Table1[[Test code]:[Test code]],[1]!Table1[Q_int_frac DIW],"",0)</f>
        <v>#REF!</v>
      </c>
      <c r="AH1936" s="69" t="e" cm="1">
        <f t="array" ref="AH1936">_xlfn.XLOOKUP(Table1[[#This Row],[5 cm2 cell test code]:[5 cm2 cell test code]],[1]!Table1[[Test code]:[Test code]],[1]!Table1[Ionic resistance 10 mM KOH/Ohm cm2],"",0)</f>
        <v>#REF!</v>
      </c>
      <c r="AI1936" s="69" t="e" cm="1">
        <f t="array" ref="AI1936">_xlfn.XLOOKUP(Table1[[#This Row],[5 cm2 cell test code]:[5 cm2 cell test code]],[1]!Table1[[Test code]:[Test code]],[1]!Table1[Q_int_frac DIW 10 mM KOH],"",0)</f>
        <v>#REF!</v>
      </c>
      <c r="AJ1936" s="69" t="e" cm="1">
        <f t="array" ref="AJ1936">_xlfn.XLOOKUP(Table1[[#This Row],[5 cm2 cell test code]:[5 cm2 cell test code]],[1]!Table1[[Test code]:[Test code]],[1]!Table1[DIW conductivity (µS/cm)],"",0)</f>
        <v>#REF!</v>
      </c>
    </row>
    <row r="1937" spans="1:36">
      <c r="A1937" s="81"/>
      <c r="U1937" s="101"/>
      <c r="V1937" s="101"/>
      <c r="W1937" s="69" t="e" cm="1">
        <f t="array" ref="W1937">_xlfn.XLOOKUP(Table1[[#This Row],[5 cm2 cell test code]:[5 cm2 cell test code]],[1]!Table1[[Test code]:[Test code]],[1]!Table1[i @ 1.8 V DIW (A/cm2)],"",0)</f>
        <v>#REF!</v>
      </c>
      <c r="X1937" s="69" t="e" cm="1">
        <f t="array" ref="X1937">_xlfn.XLOOKUP(Table1[[#This Row],[5 cm2 cell test code]:[5 cm2 cell test code]],[1]!Table1[[Test code]:[Test code]],[1]!Table1[i @ 1.8 V 10 mM KOH (A/cm2)],"",0)</f>
        <v>#REF!</v>
      </c>
      <c r="Y1937" s="69" t="e" cm="1">
        <f t="array" ref="Y1937">_xlfn.XLOOKUP(Table1[[#This Row],[5 cm2 cell test code]:[5 cm2 cell test code]],[1]!Table1[[Test code]:[Test code]],[1]!Table1[3-E ƞ at 20mAcm-2 (mV)],"",0)</f>
        <v>#REF!</v>
      </c>
      <c r="Z1937" s="69" t="e" cm="1">
        <f t="array" ref="Z1937">_xlfn.XLOOKUP(Table1[[#This Row],[5 cm2 cell test code]:[5 cm2 cell test code]],[1]!Table1[[Test code]:[Test code]],[1]!Table1[3-E Tafel slope (mV/dec)],"",0)</f>
        <v>#REF!</v>
      </c>
      <c r="AA1937" s="69" t="e" cm="1">
        <f t="array" ref="AA1937">_xlfn.XLOOKUP(Table1[[#This Row],[5 cm2 cell test code]:[5 cm2 cell test code]],[1]!Table1[[Test code]:[Test code]],[1]!Table1[E @ 100 mA/cm2 DIW/V],"",0)</f>
        <v>#REF!</v>
      </c>
      <c r="AB1937" s="69" t="e" cm="1">
        <f t="array" ref="AB1937">_xlfn.XLOOKUP(Table1[[#This Row],[5 cm2 cell test code]:[5 cm2 cell test code]],[1]!Table1[[Test code]:[Test code]],[1]!Table1[E @ 100 mA/cm2 10 mM KOH/V],"",0)</f>
        <v>#REF!</v>
      </c>
      <c r="AC1937" s="69" t="e" cm="1">
        <f t="array" ref="AC1937">_xlfn.XLOOKUP(Table1[[#This Row],[5 cm2 cell test code]:[5 cm2 cell test code]],[1]!Table1[[Test code]:[Test code]],[1]!Table1[Anode ICR/mOhm],"",0)</f>
        <v>#REF!</v>
      </c>
      <c r="AD1937" s="69" t="e" cm="1">
        <f t="array" ref="AD1937">_xlfn.XLOOKUP(Table1[[#This Row],[5 cm2 cell test code]:[5 cm2 cell test code]],[1]!Table1[[Test code]:[Test code]],[1]!Table1[HFR DIW/ mOhm cm2],"",0)</f>
        <v>#REF!</v>
      </c>
      <c r="AE1937" s="69" t="e" cm="1">
        <f t="array" ref="AE1937">_xlfn.XLOOKUP(Table1[[#This Row],[5 cm2 cell test code]:[5 cm2 cell test code]],[1]!Table1[[Test code]:[Test code]],[1]!Table1[HFR 10 mM KOH/ mOhm cm2],"",0)</f>
        <v>#REF!</v>
      </c>
      <c r="AF1937" s="69" t="e" cm="1">
        <f t="array" ref="AF1937">_xlfn.XLOOKUP(Table1[[#This Row],[5 cm2 cell test code]:[5 cm2 cell test code]],[1]!Table1[[Test code]:[Test code]],[1]!Table1[Ionic resistance DIW/Ohm cm2],"",0)</f>
        <v>#REF!</v>
      </c>
      <c r="AG1937" s="69" t="e" cm="1">
        <f t="array" ref="AG1937">_xlfn.XLOOKUP(Table1[[#This Row],[5 cm2 cell test code]:[5 cm2 cell test code]],[1]!Table1[[Test code]:[Test code]],[1]!Table1[Q_int_frac DIW],"",0)</f>
        <v>#REF!</v>
      </c>
      <c r="AH1937" s="69" t="e" cm="1">
        <f t="array" ref="AH1937">_xlfn.XLOOKUP(Table1[[#This Row],[5 cm2 cell test code]:[5 cm2 cell test code]],[1]!Table1[[Test code]:[Test code]],[1]!Table1[Ionic resistance 10 mM KOH/Ohm cm2],"",0)</f>
        <v>#REF!</v>
      </c>
      <c r="AI1937" s="69" t="e" cm="1">
        <f t="array" ref="AI1937">_xlfn.XLOOKUP(Table1[[#This Row],[5 cm2 cell test code]:[5 cm2 cell test code]],[1]!Table1[[Test code]:[Test code]],[1]!Table1[Q_int_frac DIW 10 mM KOH],"",0)</f>
        <v>#REF!</v>
      </c>
      <c r="AJ1937" s="69" t="e" cm="1">
        <f t="array" ref="AJ1937">_xlfn.XLOOKUP(Table1[[#This Row],[5 cm2 cell test code]:[5 cm2 cell test code]],[1]!Table1[[Test code]:[Test code]],[1]!Table1[DIW conductivity (µS/cm)],"",0)</f>
        <v>#REF!</v>
      </c>
    </row>
    <row r="1938" spans="1:36">
      <c r="A1938" s="81"/>
      <c r="U1938" s="101"/>
      <c r="V1938" s="101"/>
      <c r="W1938" s="69" t="e" cm="1">
        <f t="array" ref="W1938">_xlfn.XLOOKUP(Table1[[#This Row],[5 cm2 cell test code]:[5 cm2 cell test code]],[1]!Table1[[Test code]:[Test code]],[1]!Table1[i @ 1.8 V DIW (A/cm2)],"",0)</f>
        <v>#REF!</v>
      </c>
      <c r="X1938" s="69" t="e" cm="1">
        <f t="array" ref="X1938">_xlfn.XLOOKUP(Table1[[#This Row],[5 cm2 cell test code]:[5 cm2 cell test code]],[1]!Table1[[Test code]:[Test code]],[1]!Table1[i @ 1.8 V 10 mM KOH (A/cm2)],"",0)</f>
        <v>#REF!</v>
      </c>
      <c r="Y1938" s="69" t="e" cm="1">
        <f t="array" ref="Y1938">_xlfn.XLOOKUP(Table1[[#This Row],[5 cm2 cell test code]:[5 cm2 cell test code]],[1]!Table1[[Test code]:[Test code]],[1]!Table1[3-E ƞ at 20mAcm-2 (mV)],"",0)</f>
        <v>#REF!</v>
      </c>
      <c r="Z1938" s="69" t="e" cm="1">
        <f t="array" ref="Z1938">_xlfn.XLOOKUP(Table1[[#This Row],[5 cm2 cell test code]:[5 cm2 cell test code]],[1]!Table1[[Test code]:[Test code]],[1]!Table1[3-E Tafel slope (mV/dec)],"",0)</f>
        <v>#REF!</v>
      </c>
      <c r="AA1938" s="69" t="e" cm="1">
        <f t="array" ref="AA1938">_xlfn.XLOOKUP(Table1[[#This Row],[5 cm2 cell test code]:[5 cm2 cell test code]],[1]!Table1[[Test code]:[Test code]],[1]!Table1[E @ 100 mA/cm2 DIW/V],"",0)</f>
        <v>#REF!</v>
      </c>
      <c r="AB1938" s="69" t="e" cm="1">
        <f t="array" ref="AB1938">_xlfn.XLOOKUP(Table1[[#This Row],[5 cm2 cell test code]:[5 cm2 cell test code]],[1]!Table1[[Test code]:[Test code]],[1]!Table1[E @ 100 mA/cm2 10 mM KOH/V],"",0)</f>
        <v>#REF!</v>
      </c>
      <c r="AC1938" s="69" t="e" cm="1">
        <f t="array" ref="AC1938">_xlfn.XLOOKUP(Table1[[#This Row],[5 cm2 cell test code]:[5 cm2 cell test code]],[1]!Table1[[Test code]:[Test code]],[1]!Table1[Anode ICR/mOhm],"",0)</f>
        <v>#REF!</v>
      </c>
      <c r="AD1938" s="69" t="e" cm="1">
        <f t="array" ref="AD1938">_xlfn.XLOOKUP(Table1[[#This Row],[5 cm2 cell test code]:[5 cm2 cell test code]],[1]!Table1[[Test code]:[Test code]],[1]!Table1[HFR DIW/ mOhm cm2],"",0)</f>
        <v>#REF!</v>
      </c>
      <c r="AE1938" s="69" t="e" cm="1">
        <f t="array" ref="AE1938">_xlfn.XLOOKUP(Table1[[#This Row],[5 cm2 cell test code]:[5 cm2 cell test code]],[1]!Table1[[Test code]:[Test code]],[1]!Table1[HFR 10 mM KOH/ mOhm cm2],"",0)</f>
        <v>#REF!</v>
      </c>
      <c r="AF1938" s="69" t="e" cm="1">
        <f t="array" ref="AF1938">_xlfn.XLOOKUP(Table1[[#This Row],[5 cm2 cell test code]:[5 cm2 cell test code]],[1]!Table1[[Test code]:[Test code]],[1]!Table1[Ionic resistance DIW/Ohm cm2],"",0)</f>
        <v>#REF!</v>
      </c>
      <c r="AG1938" s="69" t="e" cm="1">
        <f t="array" ref="AG1938">_xlfn.XLOOKUP(Table1[[#This Row],[5 cm2 cell test code]:[5 cm2 cell test code]],[1]!Table1[[Test code]:[Test code]],[1]!Table1[Q_int_frac DIW],"",0)</f>
        <v>#REF!</v>
      </c>
      <c r="AH1938" s="69" t="e" cm="1">
        <f t="array" ref="AH1938">_xlfn.XLOOKUP(Table1[[#This Row],[5 cm2 cell test code]:[5 cm2 cell test code]],[1]!Table1[[Test code]:[Test code]],[1]!Table1[Ionic resistance 10 mM KOH/Ohm cm2],"",0)</f>
        <v>#REF!</v>
      </c>
      <c r="AI1938" s="69" t="e" cm="1">
        <f t="array" ref="AI1938">_xlfn.XLOOKUP(Table1[[#This Row],[5 cm2 cell test code]:[5 cm2 cell test code]],[1]!Table1[[Test code]:[Test code]],[1]!Table1[Q_int_frac DIW 10 mM KOH],"",0)</f>
        <v>#REF!</v>
      </c>
      <c r="AJ1938" s="69" t="e" cm="1">
        <f t="array" ref="AJ1938">_xlfn.XLOOKUP(Table1[[#This Row],[5 cm2 cell test code]:[5 cm2 cell test code]],[1]!Table1[[Test code]:[Test code]],[1]!Table1[DIW conductivity (µS/cm)],"",0)</f>
        <v>#REF!</v>
      </c>
    </row>
    <row r="1939" spans="1:36">
      <c r="A1939" s="81"/>
      <c r="U1939" s="101"/>
      <c r="V1939" s="101"/>
      <c r="W1939" s="69" t="e" cm="1">
        <f t="array" ref="W1939">_xlfn.XLOOKUP(Table1[[#This Row],[5 cm2 cell test code]:[5 cm2 cell test code]],[1]!Table1[[Test code]:[Test code]],[1]!Table1[i @ 1.8 V DIW (A/cm2)],"",0)</f>
        <v>#REF!</v>
      </c>
      <c r="X1939" s="69" t="e" cm="1">
        <f t="array" ref="X1939">_xlfn.XLOOKUP(Table1[[#This Row],[5 cm2 cell test code]:[5 cm2 cell test code]],[1]!Table1[[Test code]:[Test code]],[1]!Table1[i @ 1.8 V 10 mM KOH (A/cm2)],"",0)</f>
        <v>#REF!</v>
      </c>
      <c r="Y1939" s="69" t="e" cm="1">
        <f t="array" ref="Y1939">_xlfn.XLOOKUP(Table1[[#This Row],[5 cm2 cell test code]:[5 cm2 cell test code]],[1]!Table1[[Test code]:[Test code]],[1]!Table1[3-E ƞ at 20mAcm-2 (mV)],"",0)</f>
        <v>#REF!</v>
      </c>
      <c r="Z1939" s="69" t="e" cm="1">
        <f t="array" ref="Z1939">_xlfn.XLOOKUP(Table1[[#This Row],[5 cm2 cell test code]:[5 cm2 cell test code]],[1]!Table1[[Test code]:[Test code]],[1]!Table1[3-E Tafel slope (mV/dec)],"",0)</f>
        <v>#REF!</v>
      </c>
      <c r="AA1939" s="69" t="e" cm="1">
        <f t="array" ref="AA1939">_xlfn.XLOOKUP(Table1[[#This Row],[5 cm2 cell test code]:[5 cm2 cell test code]],[1]!Table1[[Test code]:[Test code]],[1]!Table1[E @ 100 mA/cm2 DIW/V],"",0)</f>
        <v>#REF!</v>
      </c>
      <c r="AB1939" s="69" t="e" cm="1">
        <f t="array" ref="AB1939">_xlfn.XLOOKUP(Table1[[#This Row],[5 cm2 cell test code]:[5 cm2 cell test code]],[1]!Table1[[Test code]:[Test code]],[1]!Table1[E @ 100 mA/cm2 10 mM KOH/V],"",0)</f>
        <v>#REF!</v>
      </c>
      <c r="AC1939" s="69" t="e" cm="1">
        <f t="array" ref="AC1939">_xlfn.XLOOKUP(Table1[[#This Row],[5 cm2 cell test code]:[5 cm2 cell test code]],[1]!Table1[[Test code]:[Test code]],[1]!Table1[Anode ICR/mOhm],"",0)</f>
        <v>#REF!</v>
      </c>
      <c r="AD1939" s="69" t="e" cm="1">
        <f t="array" ref="AD1939">_xlfn.XLOOKUP(Table1[[#This Row],[5 cm2 cell test code]:[5 cm2 cell test code]],[1]!Table1[[Test code]:[Test code]],[1]!Table1[HFR DIW/ mOhm cm2],"",0)</f>
        <v>#REF!</v>
      </c>
      <c r="AE1939" s="69" t="e" cm="1">
        <f t="array" ref="AE1939">_xlfn.XLOOKUP(Table1[[#This Row],[5 cm2 cell test code]:[5 cm2 cell test code]],[1]!Table1[[Test code]:[Test code]],[1]!Table1[HFR 10 mM KOH/ mOhm cm2],"",0)</f>
        <v>#REF!</v>
      </c>
      <c r="AF1939" s="69" t="e" cm="1">
        <f t="array" ref="AF1939">_xlfn.XLOOKUP(Table1[[#This Row],[5 cm2 cell test code]:[5 cm2 cell test code]],[1]!Table1[[Test code]:[Test code]],[1]!Table1[Ionic resistance DIW/Ohm cm2],"",0)</f>
        <v>#REF!</v>
      </c>
      <c r="AG1939" s="69" t="e" cm="1">
        <f t="array" ref="AG1939">_xlfn.XLOOKUP(Table1[[#This Row],[5 cm2 cell test code]:[5 cm2 cell test code]],[1]!Table1[[Test code]:[Test code]],[1]!Table1[Q_int_frac DIW],"",0)</f>
        <v>#REF!</v>
      </c>
      <c r="AH1939" s="69" t="e" cm="1">
        <f t="array" ref="AH1939">_xlfn.XLOOKUP(Table1[[#This Row],[5 cm2 cell test code]:[5 cm2 cell test code]],[1]!Table1[[Test code]:[Test code]],[1]!Table1[Ionic resistance 10 mM KOH/Ohm cm2],"",0)</f>
        <v>#REF!</v>
      </c>
      <c r="AI1939" s="69" t="e" cm="1">
        <f t="array" ref="AI1939">_xlfn.XLOOKUP(Table1[[#This Row],[5 cm2 cell test code]:[5 cm2 cell test code]],[1]!Table1[[Test code]:[Test code]],[1]!Table1[Q_int_frac DIW 10 mM KOH],"",0)</f>
        <v>#REF!</v>
      </c>
      <c r="AJ1939" s="69" t="e" cm="1">
        <f t="array" ref="AJ1939">_xlfn.XLOOKUP(Table1[[#This Row],[5 cm2 cell test code]:[5 cm2 cell test code]],[1]!Table1[[Test code]:[Test code]],[1]!Table1[DIW conductivity (µS/cm)],"",0)</f>
        <v>#REF!</v>
      </c>
    </row>
    <row r="1940" spans="1:36">
      <c r="A1940" s="81"/>
      <c r="U1940" s="101"/>
      <c r="V1940" s="101"/>
      <c r="W1940" s="69" t="e" cm="1">
        <f t="array" ref="W1940">_xlfn.XLOOKUP(Table1[[#This Row],[5 cm2 cell test code]:[5 cm2 cell test code]],[1]!Table1[[Test code]:[Test code]],[1]!Table1[i @ 1.8 V DIW (A/cm2)],"",0)</f>
        <v>#REF!</v>
      </c>
      <c r="X1940" s="69" t="e" cm="1">
        <f t="array" ref="X1940">_xlfn.XLOOKUP(Table1[[#This Row],[5 cm2 cell test code]:[5 cm2 cell test code]],[1]!Table1[[Test code]:[Test code]],[1]!Table1[i @ 1.8 V 10 mM KOH (A/cm2)],"",0)</f>
        <v>#REF!</v>
      </c>
      <c r="Y1940" s="69" t="e" cm="1">
        <f t="array" ref="Y1940">_xlfn.XLOOKUP(Table1[[#This Row],[5 cm2 cell test code]:[5 cm2 cell test code]],[1]!Table1[[Test code]:[Test code]],[1]!Table1[3-E ƞ at 20mAcm-2 (mV)],"",0)</f>
        <v>#REF!</v>
      </c>
      <c r="Z1940" s="69" t="e" cm="1">
        <f t="array" ref="Z1940">_xlfn.XLOOKUP(Table1[[#This Row],[5 cm2 cell test code]:[5 cm2 cell test code]],[1]!Table1[[Test code]:[Test code]],[1]!Table1[3-E Tafel slope (mV/dec)],"",0)</f>
        <v>#REF!</v>
      </c>
      <c r="AA1940" s="69" t="e" cm="1">
        <f t="array" ref="AA1940">_xlfn.XLOOKUP(Table1[[#This Row],[5 cm2 cell test code]:[5 cm2 cell test code]],[1]!Table1[[Test code]:[Test code]],[1]!Table1[E @ 100 mA/cm2 DIW/V],"",0)</f>
        <v>#REF!</v>
      </c>
      <c r="AB1940" s="69" t="e" cm="1">
        <f t="array" ref="AB1940">_xlfn.XLOOKUP(Table1[[#This Row],[5 cm2 cell test code]:[5 cm2 cell test code]],[1]!Table1[[Test code]:[Test code]],[1]!Table1[E @ 100 mA/cm2 10 mM KOH/V],"",0)</f>
        <v>#REF!</v>
      </c>
      <c r="AC1940" s="69" t="e" cm="1">
        <f t="array" ref="AC1940">_xlfn.XLOOKUP(Table1[[#This Row],[5 cm2 cell test code]:[5 cm2 cell test code]],[1]!Table1[[Test code]:[Test code]],[1]!Table1[Anode ICR/mOhm],"",0)</f>
        <v>#REF!</v>
      </c>
      <c r="AD1940" s="69" t="e" cm="1">
        <f t="array" ref="AD1940">_xlfn.XLOOKUP(Table1[[#This Row],[5 cm2 cell test code]:[5 cm2 cell test code]],[1]!Table1[[Test code]:[Test code]],[1]!Table1[HFR DIW/ mOhm cm2],"",0)</f>
        <v>#REF!</v>
      </c>
      <c r="AE1940" s="69" t="e" cm="1">
        <f t="array" ref="AE1940">_xlfn.XLOOKUP(Table1[[#This Row],[5 cm2 cell test code]:[5 cm2 cell test code]],[1]!Table1[[Test code]:[Test code]],[1]!Table1[HFR 10 mM KOH/ mOhm cm2],"",0)</f>
        <v>#REF!</v>
      </c>
      <c r="AF1940" s="69" t="e" cm="1">
        <f t="array" ref="AF1940">_xlfn.XLOOKUP(Table1[[#This Row],[5 cm2 cell test code]:[5 cm2 cell test code]],[1]!Table1[[Test code]:[Test code]],[1]!Table1[Ionic resistance DIW/Ohm cm2],"",0)</f>
        <v>#REF!</v>
      </c>
      <c r="AG1940" s="69" t="e" cm="1">
        <f t="array" ref="AG1940">_xlfn.XLOOKUP(Table1[[#This Row],[5 cm2 cell test code]:[5 cm2 cell test code]],[1]!Table1[[Test code]:[Test code]],[1]!Table1[Q_int_frac DIW],"",0)</f>
        <v>#REF!</v>
      </c>
      <c r="AH1940" s="69" t="e" cm="1">
        <f t="array" ref="AH1940">_xlfn.XLOOKUP(Table1[[#This Row],[5 cm2 cell test code]:[5 cm2 cell test code]],[1]!Table1[[Test code]:[Test code]],[1]!Table1[Ionic resistance 10 mM KOH/Ohm cm2],"",0)</f>
        <v>#REF!</v>
      </c>
      <c r="AI1940" s="69" t="e" cm="1">
        <f t="array" ref="AI1940">_xlfn.XLOOKUP(Table1[[#This Row],[5 cm2 cell test code]:[5 cm2 cell test code]],[1]!Table1[[Test code]:[Test code]],[1]!Table1[Q_int_frac DIW 10 mM KOH],"",0)</f>
        <v>#REF!</v>
      </c>
      <c r="AJ1940" s="69" t="e" cm="1">
        <f t="array" ref="AJ1940">_xlfn.XLOOKUP(Table1[[#This Row],[5 cm2 cell test code]:[5 cm2 cell test code]],[1]!Table1[[Test code]:[Test code]],[1]!Table1[DIW conductivity (µS/cm)],"",0)</f>
        <v>#REF!</v>
      </c>
    </row>
    <row r="1941" spans="1:36">
      <c r="A1941" s="81"/>
      <c r="U1941" s="101"/>
      <c r="V1941" s="101"/>
      <c r="W1941" s="69" t="e" cm="1">
        <f t="array" ref="W1941">_xlfn.XLOOKUP(Table1[[#This Row],[5 cm2 cell test code]:[5 cm2 cell test code]],[1]!Table1[[Test code]:[Test code]],[1]!Table1[i @ 1.8 V DIW (A/cm2)],"",0)</f>
        <v>#REF!</v>
      </c>
      <c r="X1941" s="69" t="e" cm="1">
        <f t="array" ref="X1941">_xlfn.XLOOKUP(Table1[[#This Row],[5 cm2 cell test code]:[5 cm2 cell test code]],[1]!Table1[[Test code]:[Test code]],[1]!Table1[i @ 1.8 V 10 mM KOH (A/cm2)],"",0)</f>
        <v>#REF!</v>
      </c>
      <c r="Y1941" s="69" t="e" cm="1">
        <f t="array" ref="Y1941">_xlfn.XLOOKUP(Table1[[#This Row],[5 cm2 cell test code]:[5 cm2 cell test code]],[1]!Table1[[Test code]:[Test code]],[1]!Table1[3-E ƞ at 20mAcm-2 (mV)],"",0)</f>
        <v>#REF!</v>
      </c>
      <c r="Z1941" s="69" t="e" cm="1">
        <f t="array" ref="Z1941">_xlfn.XLOOKUP(Table1[[#This Row],[5 cm2 cell test code]:[5 cm2 cell test code]],[1]!Table1[[Test code]:[Test code]],[1]!Table1[3-E Tafel slope (mV/dec)],"",0)</f>
        <v>#REF!</v>
      </c>
      <c r="AA1941" s="69" t="e" cm="1">
        <f t="array" ref="AA1941">_xlfn.XLOOKUP(Table1[[#This Row],[5 cm2 cell test code]:[5 cm2 cell test code]],[1]!Table1[[Test code]:[Test code]],[1]!Table1[E @ 100 mA/cm2 DIW/V],"",0)</f>
        <v>#REF!</v>
      </c>
      <c r="AB1941" s="69" t="e" cm="1">
        <f t="array" ref="AB1941">_xlfn.XLOOKUP(Table1[[#This Row],[5 cm2 cell test code]:[5 cm2 cell test code]],[1]!Table1[[Test code]:[Test code]],[1]!Table1[E @ 100 mA/cm2 10 mM KOH/V],"",0)</f>
        <v>#REF!</v>
      </c>
      <c r="AC1941" s="69" t="e" cm="1">
        <f t="array" ref="AC1941">_xlfn.XLOOKUP(Table1[[#This Row],[5 cm2 cell test code]:[5 cm2 cell test code]],[1]!Table1[[Test code]:[Test code]],[1]!Table1[Anode ICR/mOhm],"",0)</f>
        <v>#REF!</v>
      </c>
      <c r="AD1941" s="69" t="e" cm="1">
        <f t="array" ref="AD1941">_xlfn.XLOOKUP(Table1[[#This Row],[5 cm2 cell test code]:[5 cm2 cell test code]],[1]!Table1[[Test code]:[Test code]],[1]!Table1[HFR DIW/ mOhm cm2],"",0)</f>
        <v>#REF!</v>
      </c>
      <c r="AE1941" s="69" t="e" cm="1">
        <f t="array" ref="AE1941">_xlfn.XLOOKUP(Table1[[#This Row],[5 cm2 cell test code]:[5 cm2 cell test code]],[1]!Table1[[Test code]:[Test code]],[1]!Table1[HFR 10 mM KOH/ mOhm cm2],"",0)</f>
        <v>#REF!</v>
      </c>
      <c r="AF1941" s="69" t="e" cm="1">
        <f t="array" ref="AF1941">_xlfn.XLOOKUP(Table1[[#This Row],[5 cm2 cell test code]:[5 cm2 cell test code]],[1]!Table1[[Test code]:[Test code]],[1]!Table1[Ionic resistance DIW/Ohm cm2],"",0)</f>
        <v>#REF!</v>
      </c>
      <c r="AG1941" s="69" t="e" cm="1">
        <f t="array" ref="AG1941">_xlfn.XLOOKUP(Table1[[#This Row],[5 cm2 cell test code]:[5 cm2 cell test code]],[1]!Table1[[Test code]:[Test code]],[1]!Table1[Q_int_frac DIW],"",0)</f>
        <v>#REF!</v>
      </c>
      <c r="AH1941" s="69" t="e" cm="1">
        <f t="array" ref="AH1941">_xlfn.XLOOKUP(Table1[[#This Row],[5 cm2 cell test code]:[5 cm2 cell test code]],[1]!Table1[[Test code]:[Test code]],[1]!Table1[Ionic resistance 10 mM KOH/Ohm cm2],"",0)</f>
        <v>#REF!</v>
      </c>
      <c r="AI1941" s="69" t="e" cm="1">
        <f t="array" ref="AI1941">_xlfn.XLOOKUP(Table1[[#This Row],[5 cm2 cell test code]:[5 cm2 cell test code]],[1]!Table1[[Test code]:[Test code]],[1]!Table1[Q_int_frac DIW 10 mM KOH],"",0)</f>
        <v>#REF!</v>
      </c>
      <c r="AJ1941" s="69" t="e" cm="1">
        <f t="array" ref="AJ1941">_xlfn.XLOOKUP(Table1[[#This Row],[5 cm2 cell test code]:[5 cm2 cell test code]],[1]!Table1[[Test code]:[Test code]],[1]!Table1[DIW conductivity (µS/cm)],"",0)</f>
        <v>#REF!</v>
      </c>
    </row>
    <row r="1942" spans="1:36">
      <c r="A1942" s="81"/>
      <c r="U1942" s="101"/>
      <c r="V1942" s="101"/>
      <c r="W1942" s="69" t="e" cm="1">
        <f t="array" ref="W1942">_xlfn.XLOOKUP(Table1[[#This Row],[5 cm2 cell test code]:[5 cm2 cell test code]],[1]!Table1[[Test code]:[Test code]],[1]!Table1[i @ 1.8 V DIW (A/cm2)],"",0)</f>
        <v>#REF!</v>
      </c>
      <c r="X1942" s="69" t="e" cm="1">
        <f t="array" ref="X1942">_xlfn.XLOOKUP(Table1[[#This Row],[5 cm2 cell test code]:[5 cm2 cell test code]],[1]!Table1[[Test code]:[Test code]],[1]!Table1[i @ 1.8 V 10 mM KOH (A/cm2)],"",0)</f>
        <v>#REF!</v>
      </c>
      <c r="Y1942" s="69" t="e" cm="1">
        <f t="array" ref="Y1942">_xlfn.XLOOKUP(Table1[[#This Row],[5 cm2 cell test code]:[5 cm2 cell test code]],[1]!Table1[[Test code]:[Test code]],[1]!Table1[3-E ƞ at 20mAcm-2 (mV)],"",0)</f>
        <v>#REF!</v>
      </c>
      <c r="Z1942" s="69" t="e" cm="1">
        <f t="array" ref="Z1942">_xlfn.XLOOKUP(Table1[[#This Row],[5 cm2 cell test code]:[5 cm2 cell test code]],[1]!Table1[[Test code]:[Test code]],[1]!Table1[3-E Tafel slope (mV/dec)],"",0)</f>
        <v>#REF!</v>
      </c>
      <c r="AA1942" s="69" t="e" cm="1">
        <f t="array" ref="AA1942">_xlfn.XLOOKUP(Table1[[#This Row],[5 cm2 cell test code]:[5 cm2 cell test code]],[1]!Table1[[Test code]:[Test code]],[1]!Table1[E @ 100 mA/cm2 DIW/V],"",0)</f>
        <v>#REF!</v>
      </c>
      <c r="AB1942" s="69" t="e" cm="1">
        <f t="array" ref="AB1942">_xlfn.XLOOKUP(Table1[[#This Row],[5 cm2 cell test code]:[5 cm2 cell test code]],[1]!Table1[[Test code]:[Test code]],[1]!Table1[E @ 100 mA/cm2 10 mM KOH/V],"",0)</f>
        <v>#REF!</v>
      </c>
      <c r="AC1942" s="69" t="e" cm="1">
        <f t="array" ref="AC1942">_xlfn.XLOOKUP(Table1[[#This Row],[5 cm2 cell test code]:[5 cm2 cell test code]],[1]!Table1[[Test code]:[Test code]],[1]!Table1[Anode ICR/mOhm],"",0)</f>
        <v>#REF!</v>
      </c>
      <c r="AD1942" s="69" t="e" cm="1">
        <f t="array" ref="AD1942">_xlfn.XLOOKUP(Table1[[#This Row],[5 cm2 cell test code]:[5 cm2 cell test code]],[1]!Table1[[Test code]:[Test code]],[1]!Table1[HFR DIW/ mOhm cm2],"",0)</f>
        <v>#REF!</v>
      </c>
      <c r="AE1942" s="69" t="e" cm="1">
        <f t="array" ref="AE1942">_xlfn.XLOOKUP(Table1[[#This Row],[5 cm2 cell test code]:[5 cm2 cell test code]],[1]!Table1[[Test code]:[Test code]],[1]!Table1[HFR 10 mM KOH/ mOhm cm2],"",0)</f>
        <v>#REF!</v>
      </c>
      <c r="AF1942" s="69" t="e" cm="1">
        <f t="array" ref="AF1942">_xlfn.XLOOKUP(Table1[[#This Row],[5 cm2 cell test code]:[5 cm2 cell test code]],[1]!Table1[[Test code]:[Test code]],[1]!Table1[Ionic resistance DIW/Ohm cm2],"",0)</f>
        <v>#REF!</v>
      </c>
      <c r="AG1942" s="69" t="e" cm="1">
        <f t="array" ref="AG1942">_xlfn.XLOOKUP(Table1[[#This Row],[5 cm2 cell test code]:[5 cm2 cell test code]],[1]!Table1[[Test code]:[Test code]],[1]!Table1[Q_int_frac DIW],"",0)</f>
        <v>#REF!</v>
      </c>
      <c r="AH1942" s="69" t="e" cm="1">
        <f t="array" ref="AH1942">_xlfn.XLOOKUP(Table1[[#This Row],[5 cm2 cell test code]:[5 cm2 cell test code]],[1]!Table1[[Test code]:[Test code]],[1]!Table1[Ionic resistance 10 mM KOH/Ohm cm2],"",0)</f>
        <v>#REF!</v>
      </c>
      <c r="AI1942" s="69" t="e" cm="1">
        <f t="array" ref="AI1942">_xlfn.XLOOKUP(Table1[[#This Row],[5 cm2 cell test code]:[5 cm2 cell test code]],[1]!Table1[[Test code]:[Test code]],[1]!Table1[Q_int_frac DIW 10 mM KOH],"",0)</f>
        <v>#REF!</v>
      </c>
      <c r="AJ1942" s="69" t="e" cm="1">
        <f t="array" ref="AJ1942">_xlfn.XLOOKUP(Table1[[#This Row],[5 cm2 cell test code]:[5 cm2 cell test code]],[1]!Table1[[Test code]:[Test code]],[1]!Table1[DIW conductivity (µS/cm)],"",0)</f>
        <v>#REF!</v>
      </c>
    </row>
    <row r="1943" spans="1:36">
      <c r="A1943" s="81"/>
      <c r="U1943" s="101"/>
      <c r="V1943" s="101"/>
      <c r="W1943" s="69" t="e" cm="1">
        <f t="array" ref="W1943">_xlfn.XLOOKUP(Table1[[#This Row],[5 cm2 cell test code]:[5 cm2 cell test code]],[1]!Table1[[Test code]:[Test code]],[1]!Table1[i @ 1.8 V DIW (A/cm2)],"",0)</f>
        <v>#REF!</v>
      </c>
      <c r="X1943" s="69" t="e" cm="1">
        <f t="array" ref="X1943">_xlfn.XLOOKUP(Table1[[#This Row],[5 cm2 cell test code]:[5 cm2 cell test code]],[1]!Table1[[Test code]:[Test code]],[1]!Table1[i @ 1.8 V 10 mM KOH (A/cm2)],"",0)</f>
        <v>#REF!</v>
      </c>
      <c r="Y1943" s="69" t="e" cm="1">
        <f t="array" ref="Y1943">_xlfn.XLOOKUP(Table1[[#This Row],[5 cm2 cell test code]:[5 cm2 cell test code]],[1]!Table1[[Test code]:[Test code]],[1]!Table1[3-E ƞ at 20mAcm-2 (mV)],"",0)</f>
        <v>#REF!</v>
      </c>
      <c r="Z1943" s="69" t="e" cm="1">
        <f t="array" ref="Z1943">_xlfn.XLOOKUP(Table1[[#This Row],[5 cm2 cell test code]:[5 cm2 cell test code]],[1]!Table1[[Test code]:[Test code]],[1]!Table1[3-E Tafel slope (mV/dec)],"",0)</f>
        <v>#REF!</v>
      </c>
      <c r="AA1943" s="69" t="e" cm="1">
        <f t="array" ref="AA1943">_xlfn.XLOOKUP(Table1[[#This Row],[5 cm2 cell test code]:[5 cm2 cell test code]],[1]!Table1[[Test code]:[Test code]],[1]!Table1[E @ 100 mA/cm2 DIW/V],"",0)</f>
        <v>#REF!</v>
      </c>
      <c r="AB1943" s="69" t="e" cm="1">
        <f t="array" ref="AB1943">_xlfn.XLOOKUP(Table1[[#This Row],[5 cm2 cell test code]:[5 cm2 cell test code]],[1]!Table1[[Test code]:[Test code]],[1]!Table1[E @ 100 mA/cm2 10 mM KOH/V],"",0)</f>
        <v>#REF!</v>
      </c>
      <c r="AC1943" s="69" t="e" cm="1">
        <f t="array" ref="AC1943">_xlfn.XLOOKUP(Table1[[#This Row],[5 cm2 cell test code]:[5 cm2 cell test code]],[1]!Table1[[Test code]:[Test code]],[1]!Table1[Anode ICR/mOhm],"",0)</f>
        <v>#REF!</v>
      </c>
      <c r="AD1943" s="69" t="e" cm="1">
        <f t="array" ref="AD1943">_xlfn.XLOOKUP(Table1[[#This Row],[5 cm2 cell test code]:[5 cm2 cell test code]],[1]!Table1[[Test code]:[Test code]],[1]!Table1[HFR DIW/ mOhm cm2],"",0)</f>
        <v>#REF!</v>
      </c>
      <c r="AE1943" s="69" t="e" cm="1">
        <f t="array" ref="AE1943">_xlfn.XLOOKUP(Table1[[#This Row],[5 cm2 cell test code]:[5 cm2 cell test code]],[1]!Table1[[Test code]:[Test code]],[1]!Table1[HFR 10 mM KOH/ mOhm cm2],"",0)</f>
        <v>#REF!</v>
      </c>
      <c r="AF1943" s="69" t="e" cm="1">
        <f t="array" ref="AF1943">_xlfn.XLOOKUP(Table1[[#This Row],[5 cm2 cell test code]:[5 cm2 cell test code]],[1]!Table1[[Test code]:[Test code]],[1]!Table1[Ionic resistance DIW/Ohm cm2],"",0)</f>
        <v>#REF!</v>
      </c>
      <c r="AG1943" s="69" t="e" cm="1">
        <f t="array" ref="AG1943">_xlfn.XLOOKUP(Table1[[#This Row],[5 cm2 cell test code]:[5 cm2 cell test code]],[1]!Table1[[Test code]:[Test code]],[1]!Table1[Q_int_frac DIW],"",0)</f>
        <v>#REF!</v>
      </c>
      <c r="AH1943" s="69" t="e" cm="1">
        <f t="array" ref="AH1943">_xlfn.XLOOKUP(Table1[[#This Row],[5 cm2 cell test code]:[5 cm2 cell test code]],[1]!Table1[[Test code]:[Test code]],[1]!Table1[Ionic resistance 10 mM KOH/Ohm cm2],"",0)</f>
        <v>#REF!</v>
      </c>
      <c r="AI1943" s="69" t="e" cm="1">
        <f t="array" ref="AI1943">_xlfn.XLOOKUP(Table1[[#This Row],[5 cm2 cell test code]:[5 cm2 cell test code]],[1]!Table1[[Test code]:[Test code]],[1]!Table1[Q_int_frac DIW 10 mM KOH],"",0)</f>
        <v>#REF!</v>
      </c>
      <c r="AJ1943" s="69" t="e" cm="1">
        <f t="array" ref="AJ1943">_xlfn.XLOOKUP(Table1[[#This Row],[5 cm2 cell test code]:[5 cm2 cell test code]],[1]!Table1[[Test code]:[Test code]],[1]!Table1[DIW conductivity (µS/cm)],"",0)</f>
        <v>#REF!</v>
      </c>
    </row>
    <row r="1944" spans="1:36">
      <c r="A1944" s="81"/>
      <c r="U1944" s="101"/>
      <c r="V1944" s="101"/>
      <c r="W1944" s="69" t="e" cm="1">
        <f t="array" ref="W1944">_xlfn.XLOOKUP(Table1[[#This Row],[5 cm2 cell test code]:[5 cm2 cell test code]],[1]!Table1[[Test code]:[Test code]],[1]!Table1[i @ 1.8 V DIW (A/cm2)],"",0)</f>
        <v>#REF!</v>
      </c>
      <c r="X1944" s="69" t="e" cm="1">
        <f t="array" ref="X1944">_xlfn.XLOOKUP(Table1[[#This Row],[5 cm2 cell test code]:[5 cm2 cell test code]],[1]!Table1[[Test code]:[Test code]],[1]!Table1[i @ 1.8 V 10 mM KOH (A/cm2)],"",0)</f>
        <v>#REF!</v>
      </c>
      <c r="Y1944" s="69" t="e" cm="1">
        <f t="array" ref="Y1944">_xlfn.XLOOKUP(Table1[[#This Row],[5 cm2 cell test code]:[5 cm2 cell test code]],[1]!Table1[[Test code]:[Test code]],[1]!Table1[3-E ƞ at 20mAcm-2 (mV)],"",0)</f>
        <v>#REF!</v>
      </c>
      <c r="Z1944" s="69" t="e" cm="1">
        <f t="array" ref="Z1944">_xlfn.XLOOKUP(Table1[[#This Row],[5 cm2 cell test code]:[5 cm2 cell test code]],[1]!Table1[[Test code]:[Test code]],[1]!Table1[3-E Tafel slope (mV/dec)],"",0)</f>
        <v>#REF!</v>
      </c>
      <c r="AA1944" s="69" t="e" cm="1">
        <f t="array" ref="AA1944">_xlfn.XLOOKUP(Table1[[#This Row],[5 cm2 cell test code]:[5 cm2 cell test code]],[1]!Table1[[Test code]:[Test code]],[1]!Table1[E @ 100 mA/cm2 DIW/V],"",0)</f>
        <v>#REF!</v>
      </c>
      <c r="AB1944" s="69" t="e" cm="1">
        <f t="array" ref="AB1944">_xlfn.XLOOKUP(Table1[[#This Row],[5 cm2 cell test code]:[5 cm2 cell test code]],[1]!Table1[[Test code]:[Test code]],[1]!Table1[E @ 100 mA/cm2 10 mM KOH/V],"",0)</f>
        <v>#REF!</v>
      </c>
      <c r="AC1944" s="69" t="e" cm="1">
        <f t="array" ref="AC1944">_xlfn.XLOOKUP(Table1[[#This Row],[5 cm2 cell test code]:[5 cm2 cell test code]],[1]!Table1[[Test code]:[Test code]],[1]!Table1[Anode ICR/mOhm],"",0)</f>
        <v>#REF!</v>
      </c>
      <c r="AD1944" s="69" t="e" cm="1">
        <f t="array" ref="AD1944">_xlfn.XLOOKUP(Table1[[#This Row],[5 cm2 cell test code]:[5 cm2 cell test code]],[1]!Table1[[Test code]:[Test code]],[1]!Table1[HFR DIW/ mOhm cm2],"",0)</f>
        <v>#REF!</v>
      </c>
      <c r="AE1944" s="69" t="e" cm="1">
        <f t="array" ref="AE1944">_xlfn.XLOOKUP(Table1[[#This Row],[5 cm2 cell test code]:[5 cm2 cell test code]],[1]!Table1[[Test code]:[Test code]],[1]!Table1[HFR 10 mM KOH/ mOhm cm2],"",0)</f>
        <v>#REF!</v>
      </c>
      <c r="AF1944" s="69" t="e" cm="1">
        <f t="array" ref="AF1944">_xlfn.XLOOKUP(Table1[[#This Row],[5 cm2 cell test code]:[5 cm2 cell test code]],[1]!Table1[[Test code]:[Test code]],[1]!Table1[Ionic resistance DIW/Ohm cm2],"",0)</f>
        <v>#REF!</v>
      </c>
      <c r="AG1944" s="69" t="e" cm="1">
        <f t="array" ref="AG1944">_xlfn.XLOOKUP(Table1[[#This Row],[5 cm2 cell test code]:[5 cm2 cell test code]],[1]!Table1[[Test code]:[Test code]],[1]!Table1[Q_int_frac DIW],"",0)</f>
        <v>#REF!</v>
      </c>
      <c r="AH1944" s="69" t="e" cm="1">
        <f t="array" ref="AH1944">_xlfn.XLOOKUP(Table1[[#This Row],[5 cm2 cell test code]:[5 cm2 cell test code]],[1]!Table1[[Test code]:[Test code]],[1]!Table1[Ionic resistance 10 mM KOH/Ohm cm2],"",0)</f>
        <v>#REF!</v>
      </c>
      <c r="AI1944" s="69" t="e" cm="1">
        <f t="array" ref="AI1944">_xlfn.XLOOKUP(Table1[[#This Row],[5 cm2 cell test code]:[5 cm2 cell test code]],[1]!Table1[[Test code]:[Test code]],[1]!Table1[Q_int_frac DIW 10 mM KOH],"",0)</f>
        <v>#REF!</v>
      </c>
      <c r="AJ1944" s="69" t="e" cm="1">
        <f t="array" ref="AJ1944">_xlfn.XLOOKUP(Table1[[#This Row],[5 cm2 cell test code]:[5 cm2 cell test code]],[1]!Table1[[Test code]:[Test code]],[1]!Table1[DIW conductivity (µS/cm)],"",0)</f>
        <v>#REF!</v>
      </c>
    </row>
    <row r="1945" spans="1:36">
      <c r="A1945" s="81"/>
      <c r="U1945" s="101"/>
      <c r="V1945" s="101"/>
      <c r="W1945" s="69" t="e" cm="1">
        <f t="array" ref="W1945">_xlfn.XLOOKUP(Table1[[#This Row],[5 cm2 cell test code]:[5 cm2 cell test code]],[1]!Table1[[Test code]:[Test code]],[1]!Table1[i @ 1.8 V DIW (A/cm2)],"",0)</f>
        <v>#REF!</v>
      </c>
      <c r="X1945" s="69" t="e" cm="1">
        <f t="array" ref="X1945">_xlfn.XLOOKUP(Table1[[#This Row],[5 cm2 cell test code]:[5 cm2 cell test code]],[1]!Table1[[Test code]:[Test code]],[1]!Table1[i @ 1.8 V 10 mM KOH (A/cm2)],"",0)</f>
        <v>#REF!</v>
      </c>
      <c r="Y1945" s="69" t="e" cm="1">
        <f t="array" ref="Y1945">_xlfn.XLOOKUP(Table1[[#This Row],[5 cm2 cell test code]:[5 cm2 cell test code]],[1]!Table1[[Test code]:[Test code]],[1]!Table1[3-E ƞ at 20mAcm-2 (mV)],"",0)</f>
        <v>#REF!</v>
      </c>
      <c r="Z1945" s="69" t="e" cm="1">
        <f t="array" ref="Z1945">_xlfn.XLOOKUP(Table1[[#This Row],[5 cm2 cell test code]:[5 cm2 cell test code]],[1]!Table1[[Test code]:[Test code]],[1]!Table1[3-E Tafel slope (mV/dec)],"",0)</f>
        <v>#REF!</v>
      </c>
      <c r="AA1945" s="69" t="e" cm="1">
        <f t="array" ref="AA1945">_xlfn.XLOOKUP(Table1[[#This Row],[5 cm2 cell test code]:[5 cm2 cell test code]],[1]!Table1[[Test code]:[Test code]],[1]!Table1[E @ 100 mA/cm2 DIW/V],"",0)</f>
        <v>#REF!</v>
      </c>
      <c r="AB1945" s="69" t="e" cm="1">
        <f t="array" ref="AB1945">_xlfn.XLOOKUP(Table1[[#This Row],[5 cm2 cell test code]:[5 cm2 cell test code]],[1]!Table1[[Test code]:[Test code]],[1]!Table1[E @ 100 mA/cm2 10 mM KOH/V],"",0)</f>
        <v>#REF!</v>
      </c>
      <c r="AC1945" s="69" t="e" cm="1">
        <f t="array" ref="AC1945">_xlfn.XLOOKUP(Table1[[#This Row],[5 cm2 cell test code]:[5 cm2 cell test code]],[1]!Table1[[Test code]:[Test code]],[1]!Table1[Anode ICR/mOhm],"",0)</f>
        <v>#REF!</v>
      </c>
      <c r="AD1945" s="69" t="e" cm="1">
        <f t="array" ref="AD1945">_xlfn.XLOOKUP(Table1[[#This Row],[5 cm2 cell test code]:[5 cm2 cell test code]],[1]!Table1[[Test code]:[Test code]],[1]!Table1[HFR DIW/ mOhm cm2],"",0)</f>
        <v>#REF!</v>
      </c>
      <c r="AE1945" s="69" t="e" cm="1">
        <f t="array" ref="AE1945">_xlfn.XLOOKUP(Table1[[#This Row],[5 cm2 cell test code]:[5 cm2 cell test code]],[1]!Table1[[Test code]:[Test code]],[1]!Table1[HFR 10 mM KOH/ mOhm cm2],"",0)</f>
        <v>#REF!</v>
      </c>
      <c r="AF1945" s="69" t="e" cm="1">
        <f t="array" ref="AF1945">_xlfn.XLOOKUP(Table1[[#This Row],[5 cm2 cell test code]:[5 cm2 cell test code]],[1]!Table1[[Test code]:[Test code]],[1]!Table1[Ionic resistance DIW/Ohm cm2],"",0)</f>
        <v>#REF!</v>
      </c>
      <c r="AG1945" s="69" t="e" cm="1">
        <f t="array" ref="AG1945">_xlfn.XLOOKUP(Table1[[#This Row],[5 cm2 cell test code]:[5 cm2 cell test code]],[1]!Table1[[Test code]:[Test code]],[1]!Table1[Q_int_frac DIW],"",0)</f>
        <v>#REF!</v>
      </c>
      <c r="AH1945" s="69" t="e" cm="1">
        <f t="array" ref="AH1945">_xlfn.XLOOKUP(Table1[[#This Row],[5 cm2 cell test code]:[5 cm2 cell test code]],[1]!Table1[[Test code]:[Test code]],[1]!Table1[Ionic resistance 10 mM KOH/Ohm cm2],"",0)</f>
        <v>#REF!</v>
      </c>
      <c r="AI1945" s="69" t="e" cm="1">
        <f t="array" ref="AI1945">_xlfn.XLOOKUP(Table1[[#This Row],[5 cm2 cell test code]:[5 cm2 cell test code]],[1]!Table1[[Test code]:[Test code]],[1]!Table1[Q_int_frac DIW 10 mM KOH],"",0)</f>
        <v>#REF!</v>
      </c>
      <c r="AJ1945" s="69" t="e" cm="1">
        <f t="array" ref="AJ1945">_xlfn.XLOOKUP(Table1[[#This Row],[5 cm2 cell test code]:[5 cm2 cell test code]],[1]!Table1[[Test code]:[Test code]],[1]!Table1[DIW conductivity (µS/cm)],"",0)</f>
        <v>#REF!</v>
      </c>
    </row>
    <row r="1946" spans="1:36">
      <c r="A1946" s="81"/>
      <c r="U1946" s="101"/>
      <c r="V1946" s="101"/>
      <c r="W1946" s="69" t="e" cm="1">
        <f t="array" ref="W1946">_xlfn.XLOOKUP(Table1[[#This Row],[5 cm2 cell test code]:[5 cm2 cell test code]],[1]!Table1[[Test code]:[Test code]],[1]!Table1[i @ 1.8 V DIW (A/cm2)],"",0)</f>
        <v>#REF!</v>
      </c>
      <c r="X1946" s="69" t="e" cm="1">
        <f t="array" ref="X1946">_xlfn.XLOOKUP(Table1[[#This Row],[5 cm2 cell test code]:[5 cm2 cell test code]],[1]!Table1[[Test code]:[Test code]],[1]!Table1[i @ 1.8 V 10 mM KOH (A/cm2)],"",0)</f>
        <v>#REF!</v>
      </c>
      <c r="Y1946" s="69" t="e" cm="1">
        <f t="array" ref="Y1946">_xlfn.XLOOKUP(Table1[[#This Row],[5 cm2 cell test code]:[5 cm2 cell test code]],[1]!Table1[[Test code]:[Test code]],[1]!Table1[3-E ƞ at 20mAcm-2 (mV)],"",0)</f>
        <v>#REF!</v>
      </c>
      <c r="Z1946" s="69" t="e" cm="1">
        <f t="array" ref="Z1946">_xlfn.XLOOKUP(Table1[[#This Row],[5 cm2 cell test code]:[5 cm2 cell test code]],[1]!Table1[[Test code]:[Test code]],[1]!Table1[3-E Tafel slope (mV/dec)],"",0)</f>
        <v>#REF!</v>
      </c>
      <c r="AA1946" s="69" t="e" cm="1">
        <f t="array" ref="AA1946">_xlfn.XLOOKUP(Table1[[#This Row],[5 cm2 cell test code]:[5 cm2 cell test code]],[1]!Table1[[Test code]:[Test code]],[1]!Table1[E @ 100 mA/cm2 DIW/V],"",0)</f>
        <v>#REF!</v>
      </c>
      <c r="AB1946" s="69" t="e" cm="1">
        <f t="array" ref="AB1946">_xlfn.XLOOKUP(Table1[[#This Row],[5 cm2 cell test code]:[5 cm2 cell test code]],[1]!Table1[[Test code]:[Test code]],[1]!Table1[E @ 100 mA/cm2 10 mM KOH/V],"",0)</f>
        <v>#REF!</v>
      </c>
      <c r="AC1946" s="69" t="e" cm="1">
        <f t="array" ref="AC1946">_xlfn.XLOOKUP(Table1[[#This Row],[5 cm2 cell test code]:[5 cm2 cell test code]],[1]!Table1[[Test code]:[Test code]],[1]!Table1[Anode ICR/mOhm],"",0)</f>
        <v>#REF!</v>
      </c>
      <c r="AD1946" s="69" t="e" cm="1">
        <f t="array" ref="AD1946">_xlfn.XLOOKUP(Table1[[#This Row],[5 cm2 cell test code]:[5 cm2 cell test code]],[1]!Table1[[Test code]:[Test code]],[1]!Table1[HFR DIW/ mOhm cm2],"",0)</f>
        <v>#REF!</v>
      </c>
      <c r="AE1946" s="69" t="e" cm="1">
        <f t="array" ref="AE1946">_xlfn.XLOOKUP(Table1[[#This Row],[5 cm2 cell test code]:[5 cm2 cell test code]],[1]!Table1[[Test code]:[Test code]],[1]!Table1[HFR 10 mM KOH/ mOhm cm2],"",0)</f>
        <v>#REF!</v>
      </c>
      <c r="AF1946" s="69" t="e" cm="1">
        <f t="array" ref="AF1946">_xlfn.XLOOKUP(Table1[[#This Row],[5 cm2 cell test code]:[5 cm2 cell test code]],[1]!Table1[[Test code]:[Test code]],[1]!Table1[Ionic resistance DIW/Ohm cm2],"",0)</f>
        <v>#REF!</v>
      </c>
      <c r="AG1946" s="69" t="e" cm="1">
        <f t="array" ref="AG1946">_xlfn.XLOOKUP(Table1[[#This Row],[5 cm2 cell test code]:[5 cm2 cell test code]],[1]!Table1[[Test code]:[Test code]],[1]!Table1[Q_int_frac DIW],"",0)</f>
        <v>#REF!</v>
      </c>
      <c r="AH1946" s="69" t="e" cm="1">
        <f t="array" ref="AH1946">_xlfn.XLOOKUP(Table1[[#This Row],[5 cm2 cell test code]:[5 cm2 cell test code]],[1]!Table1[[Test code]:[Test code]],[1]!Table1[Ionic resistance 10 mM KOH/Ohm cm2],"",0)</f>
        <v>#REF!</v>
      </c>
      <c r="AI1946" s="69" t="e" cm="1">
        <f t="array" ref="AI1946">_xlfn.XLOOKUP(Table1[[#This Row],[5 cm2 cell test code]:[5 cm2 cell test code]],[1]!Table1[[Test code]:[Test code]],[1]!Table1[Q_int_frac DIW 10 mM KOH],"",0)</f>
        <v>#REF!</v>
      </c>
      <c r="AJ1946" s="69" t="e" cm="1">
        <f t="array" ref="AJ1946">_xlfn.XLOOKUP(Table1[[#This Row],[5 cm2 cell test code]:[5 cm2 cell test code]],[1]!Table1[[Test code]:[Test code]],[1]!Table1[DIW conductivity (µS/cm)],"",0)</f>
        <v>#REF!</v>
      </c>
    </row>
    <row r="1947" spans="1:36">
      <c r="A1947" s="81"/>
      <c r="U1947" s="101"/>
      <c r="V1947" s="101"/>
      <c r="W1947" s="69" t="e" cm="1">
        <f t="array" ref="W1947">_xlfn.XLOOKUP(Table1[[#This Row],[5 cm2 cell test code]:[5 cm2 cell test code]],[1]!Table1[[Test code]:[Test code]],[1]!Table1[i @ 1.8 V DIW (A/cm2)],"",0)</f>
        <v>#REF!</v>
      </c>
      <c r="X1947" s="69" t="e" cm="1">
        <f t="array" ref="X1947">_xlfn.XLOOKUP(Table1[[#This Row],[5 cm2 cell test code]:[5 cm2 cell test code]],[1]!Table1[[Test code]:[Test code]],[1]!Table1[i @ 1.8 V 10 mM KOH (A/cm2)],"",0)</f>
        <v>#REF!</v>
      </c>
      <c r="Y1947" s="69" t="e" cm="1">
        <f t="array" ref="Y1947">_xlfn.XLOOKUP(Table1[[#This Row],[5 cm2 cell test code]:[5 cm2 cell test code]],[1]!Table1[[Test code]:[Test code]],[1]!Table1[3-E ƞ at 20mAcm-2 (mV)],"",0)</f>
        <v>#REF!</v>
      </c>
      <c r="Z1947" s="69" t="e" cm="1">
        <f t="array" ref="Z1947">_xlfn.XLOOKUP(Table1[[#This Row],[5 cm2 cell test code]:[5 cm2 cell test code]],[1]!Table1[[Test code]:[Test code]],[1]!Table1[3-E Tafel slope (mV/dec)],"",0)</f>
        <v>#REF!</v>
      </c>
      <c r="AA1947" s="69" t="e" cm="1">
        <f t="array" ref="AA1947">_xlfn.XLOOKUP(Table1[[#This Row],[5 cm2 cell test code]:[5 cm2 cell test code]],[1]!Table1[[Test code]:[Test code]],[1]!Table1[E @ 100 mA/cm2 DIW/V],"",0)</f>
        <v>#REF!</v>
      </c>
      <c r="AB1947" s="69" t="e" cm="1">
        <f t="array" ref="AB1947">_xlfn.XLOOKUP(Table1[[#This Row],[5 cm2 cell test code]:[5 cm2 cell test code]],[1]!Table1[[Test code]:[Test code]],[1]!Table1[E @ 100 mA/cm2 10 mM KOH/V],"",0)</f>
        <v>#REF!</v>
      </c>
      <c r="AC1947" s="69" t="e" cm="1">
        <f t="array" ref="AC1947">_xlfn.XLOOKUP(Table1[[#This Row],[5 cm2 cell test code]:[5 cm2 cell test code]],[1]!Table1[[Test code]:[Test code]],[1]!Table1[Anode ICR/mOhm],"",0)</f>
        <v>#REF!</v>
      </c>
      <c r="AD1947" s="69" t="e" cm="1">
        <f t="array" ref="AD1947">_xlfn.XLOOKUP(Table1[[#This Row],[5 cm2 cell test code]:[5 cm2 cell test code]],[1]!Table1[[Test code]:[Test code]],[1]!Table1[HFR DIW/ mOhm cm2],"",0)</f>
        <v>#REF!</v>
      </c>
      <c r="AE1947" s="69" t="e" cm="1">
        <f t="array" ref="AE1947">_xlfn.XLOOKUP(Table1[[#This Row],[5 cm2 cell test code]:[5 cm2 cell test code]],[1]!Table1[[Test code]:[Test code]],[1]!Table1[HFR 10 mM KOH/ mOhm cm2],"",0)</f>
        <v>#REF!</v>
      </c>
      <c r="AF1947" s="69" t="e" cm="1">
        <f t="array" ref="AF1947">_xlfn.XLOOKUP(Table1[[#This Row],[5 cm2 cell test code]:[5 cm2 cell test code]],[1]!Table1[[Test code]:[Test code]],[1]!Table1[Ionic resistance DIW/Ohm cm2],"",0)</f>
        <v>#REF!</v>
      </c>
      <c r="AG1947" s="69" t="e" cm="1">
        <f t="array" ref="AG1947">_xlfn.XLOOKUP(Table1[[#This Row],[5 cm2 cell test code]:[5 cm2 cell test code]],[1]!Table1[[Test code]:[Test code]],[1]!Table1[Q_int_frac DIW],"",0)</f>
        <v>#REF!</v>
      </c>
      <c r="AH1947" s="69" t="e" cm="1">
        <f t="array" ref="AH1947">_xlfn.XLOOKUP(Table1[[#This Row],[5 cm2 cell test code]:[5 cm2 cell test code]],[1]!Table1[[Test code]:[Test code]],[1]!Table1[Ionic resistance 10 mM KOH/Ohm cm2],"",0)</f>
        <v>#REF!</v>
      </c>
      <c r="AI1947" s="69" t="e" cm="1">
        <f t="array" ref="AI1947">_xlfn.XLOOKUP(Table1[[#This Row],[5 cm2 cell test code]:[5 cm2 cell test code]],[1]!Table1[[Test code]:[Test code]],[1]!Table1[Q_int_frac DIW 10 mM KOH],"",0)</f>
        <v>#REF!</v>
      </c>
      <c r="AJ1947" s="69" t="e" cm="1">
        <f t="array" ref="AJ1947">_xlfn.XLOOKUP(Table1[[#This Row],[5 cm2 cell test code]:[5 cm2 cell test code]],[1]!Table1[[Test code]:[Test code]],[1]!Table1[DIW conductivity (µS/cm)],"",0)</f>
        <v>#REF!</v>
      </c>
    </row>
    <row r="1948" spans="1:36">
      <c r="A1948" s="81"/>
      <c r="U1948" s="101"/>
      <c r="V1948" s="101"/>
      <c r="W1948" s="69" t="e" cm="1">
        <f t="array" ref="W1948">_xlfn.XLOOKUP(Table1[[#This Row],[5 cm2 cell test code]:[5 cm2 cell test code]],[1]!Table1[[Test code]:[Test code]],[1]!Table1[i @ 1.8 V DIW (A/cm2)],"",0)</f>
        <v>#REF!</v>
      </c>
      <c r="X1948" s="69" t="e" cm="1">
        <f t="array" ref="X1948">_xlfn.XLOOKUP(Table1[[#This Row],[5 cm2 cell test code]:[5 cm2 cell test code]],[1]!Table1[[Test code]:[Test code]],[1]!Table1[i @ 1.8 V 10 mM KOH (A/cm2)],"",0)</f>
        <v>#REF!</v>
      </c>
      <c r="Y1948" s="69" t="e" cm="1">
        <f t="array" ref="Y1948">_xlfn.XLOOKUP(Table1[[#This Row],[5 cm2 cell test code]:[5 cm2 cell test code]],[1]!Table1[[Test code]:[Test code]],[1]!Table1[3-E ƞ at 20mAcm-2 (mV)],"",0)</f>
        <v>#REF!</v>
      </c>
      <c r="Z1948" s="69" t="e" cm="1">
        <f t="array" ref="Z1948">_xlfn.XLOOKUP(Table1[[#This Row],[5 cm2 cell test code]:[5 cm2 cell test code]],[1]!Table1[[Test code]:[Test code]],[1]!Table1[3-E Tafel slope (mV/dec)],"",0)</f>
        <v>#REF!</v>
      </c>
      <c r="AA1948" s="69" t="e" cm="1">
        <f t="array" ref="AA1948">_xlfn.XLOOKUP(Table1[[#This Row],[5 cm2 cell test code]:[5 cm2 cell test code]],[1]!Table1[[Test code]:[Test code]],[1]!Table1[E @ 100 mA/cm2 DIW/V],"",0)</f>
        <v>#REF!</v>
      </c>
      <c r="AB1948" s="69" t="e" cm="1">
        <f t="array" ref="AB1948">_xlfn.XLOOKUP(Table1[[#This Row],[5 cm2 cell test code]:[5 cm2 cell test code]],[1]!Table1[[Test code]:[Test code]],[1]!Table1[E @ 100 mA/cm2 10 mM KOH/V],"",0)</f>
        <v>#REF!</v>
      </c>
      <c r="AC1948" s="69" t="e" cm="1">
        <f t="array" ref="AC1948">_xlfn.XLOOKUP(Table1[[#This Row],[5 cm2 cell test code]:[5 cm2 cell test code]],[1]!Table1[[Test code]:[Test code]],[1]!Table1[Anode ICR/mOhm],"",0)</f>
        <v>#REF!</v>
      </c>
      <c r="AD1948" s="69" t="e" cm="1">
        <f t="array" ref="AD1948">_xlfn.XLOOKUP(Table1[[#This Row],[5 cm2 cell test code]:[5 cm2 cell test code]],[1]!Table1[[Test code]:[Test code]],[1]!Table1[HFR DIW/ mOhm cm2],"",0)</f>
        <v>#REF!</v>
      </c>
      <c r="AE1948" s="69" t="e" cm="1">
        <f t="array" ref="AE1948">_xlfn.XLOOKUP(Table1[[#This Row],[5 cm2 cell test code]:[5 cm2 cell test code]],[1]!Table1[[Test code]:[Test code]],[1]!Table1[HFR 10 mM KOH/ mOhm cm2],"",0)</f>
        <v>#REF!</v>
      </c>
      <c r="AF1948" s="69" t="e" cm="1">
        <f t="array" ref="AF1948">_xlfn.XLOOKUP(Table1[[#This Row],[5 cm2 cell test code]:[5 cm2 cell test code]],[1]!Table1[[Test code]:[Test code]],[1]!Table1[Ionic resistance DIW/Ohm cm2],"",0)</f>
        <v>#REF!</v>
      </c>
      <c r="AG1948" s="69" t="e" cm="1">
        <f t="array" ref="AG1948">_xlfn.XLOOKUP(Table1[[#This Row],[5 cm2 cell test code]:[5 cm2 cell test code]],[1]!Table1[[Test code]:[Test code]],[1]!Table1[Q_int_frac DIW],"",0)</f>
        <v>#REF!</v>
      </c>
      <c r="AH1948" s="69" t="e" cm="1">
        <f t="array" ref="AH1948">_xlfn.XLOOKUP(Table1[[#This Row],[5 cm2 cell test code]:[5 cm2 cell test code]],[1]!Table1[[Test code]:[Test code]],[1]!Table1[Ionic resistance 10 mM KOH/Ohm cm2],"",0)</f>
        <v>#REF!</v>
      </c>
      <c r="AI1948" s="69" t="e" cm="1">
        <f t="array" ref="AI1948">_xlfn.XLOOKUP(Table1[[#This Row],[5 cm2 cell test code]:[5 cm2 cell test code]],[1]!Table1[[Test code]:[Test code]],[1]!Table1[Q_int_frac DIW 10 mM KOH],"",0)</f>
        <v>#REF!</v>
      </c>
      <c r="AJ1948" s="69" t="e" cm="1">
        <f t="array" ref="AJ1948">_xlfn.XLOOKUP(Table1[[#This Row],[5 cm2 cell test code]:[5 cm2 cell test code]],[1]!Table1[[Test code]:[Test code]],[1]!Table1[DIW conductivity (µS/cm)],"",0)</f>
        <v>#REF!</v>
      </c>
    </row>
    <row r="1949" spans="1:36">
      <c r="A1949" s="81"/>
      <c r="U1949" s="101"/>
      <c r="V1949" s="101"/>
      <c r="W1949" s="69" t="e" cm="1">
        <f t="array" ref="W1949">_xlfn.XLOOKUP(Table1[[#This Row],[5 cm2 cell test code]:[5 cm2 cell test code]],[1]!Table1[[Test code]:[Test code]],[1]!Table1[i @ 1.8 V DIW (A/cm2)],"",0)</f>
        <v>#REF!</v>
      </c>
      <c r="X1949" s="69" t="e" cm="1">
        <f t="array" ref="X1949">_xlfn.XLOOKUP(Table1[[#This Row],[5 cm2 cell test code]:[5 cm2 cell test code]],[1]!Table1[[Test code]:[Test code]],[1]!Table1[i @ 1.8 V 10 mM KOH (A/cm2)],"",0)</f>
        <v>#REF!</v>
      </c>
      <c r="Y1949" s="69" t="e" cm="1">
        <f t="array" ref="Y1949">_xlfn.XLOOKUP(Table1[[#This Row],[5 cm2 cell test code]:[5 cm2 cell test code]],[1]!Table1[[Test code]:[Test code]],[1]!Table1[3-E ƞ at 20mAcm-2 (mV)],"",0)</f>
        <v>#REF!</v>
      </c>
      <c r="Z1949" s="69" t="e" cm="1">
        <f t="array" ref="Z1949">_xlfn.XLOOKUP(Table1[[#This Row],[5 cm2 cell test code]:[5 cm2 cell test code]],[1]!Table1[[Test code]:[Test code]],[1]!Table1[3-E Tafel slope (mV/dec)],"",0)</f>
        <v>#REF!</v>
      </c>
      <c r="AA1949" s="69" t="e" cm="1">
        <f t="array" ref="AA1949">_xlfn.XLOOKUP(Table1[[#This Row],[5 cm2 cell test code]:[5 cm2 cell test code]],[1]!Table1[[Test code]:[Test code]],[1]!Table1[E @ 100 mA/cm2 DIW/V],"",0)</f>
        <v>#REF!</v>
      </c>
      <c r="AB1949" s="69" t="e" cm="1">
        <f t="array" ref="AB1949">_xlfn.XLOOKUP(Table1[[#This Row],[5 cm2 cell test code]:[5 cm2 cell test code]],[1]!Table1[[Test code]:[Test code]],[1]!Table1[E @ 100 mA/cm2 10 mM KOH/V],"",0)</f>
        <v>#REF!</v>
      </c>
      <c r="AC1949" s="69" t="e" cm="1">
        <f t="array" ref="AC1949">_xlfn.XLOOKUP(Table1[[#This Row],[5 cm2 cell test code]:[5 cm2 cell test code]],[1]!Table1[[Test code]:[Test code]],[1]!Table1[Anode ICR/mOhm],"",0)</f>
        <v>#REF!</v>
      </c>
      <c r="AD1949" s="69" t="e" cm="1">
        <f t="array" ref="AD1949">_xlfn.XLOOKUP(Table1[[#This Row],[5 cm2 cell test code]:[5 cm2 cell test code]],[1]!Table1[[Test code]:[Test code]],[1]!Table1[HFR DIW/ mOhm cm2],"",0)</f>
        <v>#REF!</v>
      </c>
      <c r="AE1949" s="69" t="e" cm="1">
        <f t="array" ref="AE1949">_xlfn.XLOOKUP(Table1[[#This Row],[5 cm2 cell test code]:[5 cm2 cell test code]],[1]!Table1[[Test code]:[Test code]],[1]!Table1[HFR 10 mM KOH/ mOhm cm2],"",0)</f>
        <v>#REF!</v>
      </c>
      <c r="AF1949" s="69" t="e" cm="1">
        <f t="array" ref="AF1949">_xlfn.XLOOKUP(Table1[[#This Row],[5 cm2 cell test code]:[5 cm2 cell test code]],[1]!Table1[[Test code]:[Test code]],[1]!Table1[Ionic resistance DIW/Ohm cm2],"",0)</f>
        <v>#REF!</v>
      </c>
      <c r="AG1949" s="69" t="e" cm="1">
        <f t="array" ref="AG1949">_xlfn.XLOOKUP(Table1[[#This Row],[5 cm2 cell test code]:[5 cm2 cell test code]],[1]!Table1[[Test code]:[Test code]],[1]!Table1[Q_int_frac DIW],"",0)</f>
        <v>#REF!</v>
      </c>
      <c r="AH1949" s="69" t="e" cm="1">
        <f t="array" ref="AH1949">_xlfn.XLOOKUP(Table1[[#This Row],[5 cm2 cell test code]:[5 cm2 cell test code]],[1]!Table1[[Test code]:[Test code]],[1]!Table1[Ionic resistance 10 mM KOH/Ohm cm2],"",0)</f>
        <v>#REF!</v>
      </c>
      <c r="AI1949" s="69" t="e" cm="1">
        <f t="array" ref="AI1949">_xlfn.XLOOKUP(Table1[[#This Row],[5 cm2 cell test code]:[5 cm2 cell test code]],[1]!Table1[[Test code]:[Test code]],[1]!Table1[Q_int_frac DIW 10 mM KOH],"",0)</f>
        <v>#REF!</v>
      </c>
      <c r="AJ1949" s="69" t="e" cm="1">
        <f t="array" ref="AJ1949">_xlfn.XLOOKUP(Table1[[#This Row],[5 cm2 cell test code]:[5 cm2 cell test code]],[1]!Table1[[Test code]:[Test code]],[1]!Table1[DIW conductivity (µS/cm)],"",0)</f>
        <v>#REF!</v>
      </c>
    </row>
    <row r="1950" spans="1:36">
      <c r="A1950" s="81"/>
      <c r="U1950" s="101"/>
      <c r="V1950" s="101"/>
      <c r="W1950" s="69" t="e" cm="1">
        <f t="array" ref="W1950">_xlfn.XLOOKUP(Table1[[#This Row],[5 cm2 cell test code]:[5 cm2 cell test code]],[1]!Table1[[Test code]:[Test code]],[1]!Table1[i @ 1.8 V DIW (A/cm2)],"",0)</f>
        <v>#REF!</v>
      </c>
      <c r="X1950" s="69" t="e" cm="1">
        <f t="array" ref="X1950">_xlfn.XLOOKUP(Table1[[#This Row],[5 cm2 cell test code]:[5 cm2 cell test code]],[1]!Table1[[Test code]:[Test code]],[1]!Table1[i @ 1.8 V 10 mM KOH (A/cm2)],"",0)</f>
        <v>#REF!</v>
      </c>
      <c r="Y1950" s="69" t="e" cm="1">
        <f t="array" ref="Y1950">_xlfn.XLOOKUP(Table1[[#This Row],[5 cm2 cell test code]:[5 cm2 cell test code]],[1]!Table1[[Test code]:[Test code]],[1]!Table1[3-E ƞ at 20mAcm-2 (mV)],"",0)</f>
        <v>#REF!</v>
      </c>
      <c r="Z1950" s="69" t="e" cm="1">
        <f t="array" ref="Z1950">_xlfn.XLOOKUP(Table1[[#This Row],[5 cm2 cell test code]:[5 cm2 cell test code]],[1]!Table1[[Test code]:[Test code]],[1]!Table1[3-E Tafel slope (mV/dec)],"",0)</f>
        <v>#REF!</v>
      </c>
      <c r="AA1950" s="69" t="e" cm="1">
        <f t="array" ref="AA1950">_xlfn.XLOOKUP(Table1[[#This Row],[5 cm2 cell test code]:[5 cm2 cell test code]],[1]!Table1[[Test code]:[Test code]],[1]!Table1[E @ 100 mA/cm2 DIW/V],"",0)</f>
        <v>#REF!</v>
      </c>
      <c r="AB1950" s="69" t="e" cm="1">
        <f t="array" ref="AB1950">_xlfn.XLOOKUP(Table1[[#This Row],[5 cm2 cell test code]:[5 cm2 cell test code]],[1]!Table1[[Test code]:[Test code]],[1]!Table1[E @ 100 mA/cm2 10 mM KOH/V],"",0)</f>
        <v>#REF!</v>
      </c>
      <c r="AC1950" s="69" t="e" cm="1">
        <f t="array" ref="AC1950">_xlfn.XLOOKUP(Table1[[#This Row],[5 cm2 cell test code]:[5 cm2 cell test code]],[1]!Table1[[Test code]:[Test code]],[1]!Table1[Anode ICR/mOhm],"",0)</f>
        <v>#REF!</v>
      </c>
      <c r="AD1950" s="69" t="e" cm="1">
        <f t="array" ref="AD1950">_xlfn.XLOOKUP(Table1[[#This Row],[5 cm2 cell test code]:[5 cm2 cell test code]],[1]!Table1[[Test code]:[Test code]],[1]!Table1[HFR DIW/ mOhm cm2],"",0)</f>
        <v>#REF!</v>
      </c>
      <c r="AE1950" s="69" t="e" cm="1">
        <f t="array" ref="AE1950">_xlfn.XLOOKUP(Table1[[#This Row],[5 cm2 cell test code]:[5 cm2 cell test code]],[1]!Table1[[Test code]:[Test code]],[1]!Table1[HFR 10 mM KOH/ mOhm cm2],"",0)</f>
        <v>#REF!</v>
      </c>
      <c r="AF1950" s="69" t="e" cm="1">
        <f t="array" ref="AF1950">_xlfn.XLOOKUP(Table1[[#This Row],[5 cm2 cell test code]:[5 cm2 cell test code]],[1]!Table1[[Test code]:[Test code]],[1]!Table1[Ionic resistance DIW/Ohm cm2],"",0)</f>
        <v>#REF!</v>
      </c>
      <c r="AG1950" s="69" t="e" cm="1">
        <f t="array" ref="AG1950">_xlfn.XLOOKUP(Table1[[#This Row],[5 cm2 cell test code]:[5 cm2 cell test code]],[1]!Table1[[Test code]:[Test code]],[1]!Table1[Q_int_frac DIW],"",0)</f>
        <v>#REF!</v>
      </c>
      <c r="AH1950" s="69" t="e" cm="1">
        <f t="array" ref="AH1950">_xlfn.XLOOKUP(Table1[[#This Row],[5 cm2 cell test code]:[5 cm2 cell test code]],[1]!Table1[[Test code]:[Test code]],[1]!Table1[Ionic resistance 10 mM KOH/Ohm cm2],"",0)</f>
        <v>#REF!</v>
      </c>
      <c r="AI1950" s="69" t="e" cm="1">
        <f t="array" ref="AI1950">_xlfn.XLOOKUP(Table1[[#This Row],[5 cm2 cell test code]:[5 cm2 cell test code]],[1]!Table1[[Test code]:[Test code]],[1]!Table1[Q_int_frac DIW 10 mM KOH],"",0)</f>
        <v>#REF!</v>
      </c>
      <c r="AJ1950" s="69" t="e" cm="1">
        <f t="array" ref="AJ1950">_xlfn.XLOOKUP(Table1[[#This Row],[5 cm2 cell test code]:[5 cm2 cell test code]],[1]!Table1[[Test code]:[Test code]],[1]!Table1[DIW conductivity (µS/cm)],"",0)</f>
        <v>#REF!</v>
      </c>
    </row>
    <row r="1951" spans="1:36">
      <c r="A1951" s="81"/>
      <c r="U1951" s="101"/>
      <c r="V1951" s="101"/>
      <c r="W1951" s="69" t="e" cm="1">
        <f t="array" ref="W1951">_xlfn.XLOOKUP(Table1[[#This Row],[5 cm2 cell test code]:[5 cm2 cell test code]],[1]!Table1[[Test code]:[Test code]],[1]!Table1[i @ 1.8 V DIW (A/cm2)],"",0)</f>
        <v>#REF!</v>
      </c>
      <c r="X1951" s="69" t="e" cm="1">
        <f t="array" ref="X1951">_xlfn.XLOOKUP(Table1[[#This Row],[5 cm2 cell test code]:[5 cm2 cell test code]],[1]!Table1[[Test code]:[Test code]],[1]!Table1[i @ 1.8 V 10 mM KOH (A/cm2)],"",0)</f>
        <v>#REF!</v>
      </c>
      <c r="Y1951" s="69" t="e" cm="1">
        <f t="array" ref="Y1951">_xlfn.XLOOKUP(Table1[[#This Row],[5 cm2 cell test code]:[5 cm2 cell test code]],[1]!Table1[[Test code]:[Test code]],[1]!Table1[3-E ƞ at 20mAcm-2 (mV)],"",0)</f>
        <v>#REF!</v>
      </c>
      <c r="Z1951" s="69" t="e" cm="1">
        <f t="array" ref="Z1951">_xlfn.XLOOKUP(Table1[[#This Row],[5 cm2 cell test code]:[5 cm2 cell test code]],[1]!Table1[[Test code]:[Test code]],[1]!Table1[3-E Tafel slope (mV/dec)],"",0)</f>
        <v>#REF!</v>
      </c>
      <c r="AA1951" s="69" t="e" cm="1">
        <f t="array" ref="AA1951">_xlfn.XLOOKUP(Table1[[#This Row],[5 cm2 cell test code]:[5 cm2 cell test code]],[1]!Table1[[Test code]:[Test code]],[1]!Table1[E @ 100 mA/cm2 DIW/V],"",0)</f>
        <v>#REF!</v>
      </c>
      <c r="AB1951" s="69" t="e" cm="1">
        <f t="array" ref="AB1951">_xlfn.XLOOKUP(Table1[[#This Row],[5 cm2 cell test code]:[5 cm2 cell test code]],[1]!Table1[[Test code]:[Test code]],[1]!Table1[E @ 100 mA/cm2 10 mM KOH/V],"",0)</f>
        <v>#REF!</v>
      </c>
      <c r="AC1951" s="69" t="e" cm="1">
        <f t="array" ref="AC1951">_xlfn.XLOOKUP(Table1[[#This Row],[5 cm2 cell test code]:[5 cm2 cell test code]],[1]!Table1[[Test code]:[Test code]],[1]!Table1[Anode ICR/mOhm],"",0)</f>
        <v>#REF!</v>
      </c>
      <c r="AD1951" s="69" t="e" cm="1">
        <f t="array" ref="AD1951">_xlfn.XLOOKUP(Table1[[#This Row],[5 cm2 cell test code]:[5 cm2 cell test code]],[1]!Table1[[Test code]:[Test code]],[1]!Table1[HFR DIW/ mOhm cm2],"",0)</f>
        <v>#REF!</v>
      </c>
      <c r="AE1951" s="69" t="e" cm="1">
        <f t="array" ref="AE1951">_xlfn.XLOOKUP(Table1[[#This Row],[5 cm2 cell test code]:[5 cm2 cell test code]],[1]!Table1[[Test code]:[Test code]],[1]!Table1[HFR 10 mM KOH/ mOhm cm2],"",0)</f>
        <v>#REF!</v>
      </c>
      <c r="AF1951" s="69" t="e" cm="1">
        <f t="array" ref="AF1951">_xlfn.XLOOKUP(Table1[[#This Row],[5 cm2 cell test code]:[5 cm2 cell test code]],[1]!Table1[[Test code]:[Test code]],[1]!Table1[Ionic resistance DIW/Ohm cm2],"",0)</f>
        <v>#REF!</v>
      </c>
      <c r="AG1951" s="69" t="e" cm="1">
        <f t="array" ref="AG1951">_xlfn.XLOOKUP(Table1[[#This Row],[5 cm2 cell test code]:[5 cm2 cell test code]],[1]!Table1[[Test code]:[Test code]],[1]!Table1[Q_int_frac DIW],"",0)</f>
        <v>#REF!</v>
      </c>
      <c r="AH1951" s="69" t="e" cm="1">
        <f t="array" ref="AH1951">_xlfn.XLOOKUP(Table1[[#This Row],[5 cm2 cell test code]:[5 cm2 cell test code]],[1]!Table1[[Test code]:[Test code]],[1]!Table1[Ionic resistance 10 mM KOH/Ohm cm2],"",0)</f>
        <v>#REF!</v>
      </c>
      <c r="AI1951" s="69" t="e" cm="1">
        <f t="array" ref="AI1951">_xlfn.XLOOKUP(Table1[[#This Row],[5 cm2 cell test code]:[5 cm2 cell test code]],[1]!Table1[[Test code]:[Test code]],[1]!Table1[Q_int_frac DIW 10 mM KOH],"",0)</f>
        <v>#REF!</v>
      </c>
      <c r="AJ1951" s="69" t="e" cm="1">
        <f t="array" ref="AJ1951">_xlfn.XLOOKUP(Table1[[#This Row],[5 cm2 cell test code]:[5 cm2 cell test code]],[1]!Table1[[Test code]:[Test code]],[1]!Table1[DIW conductivity (µS/cm)],"",0)</f>
        <v>#REF!</v>
      </c>
    </row>
    <row r="1952" spans="1:36">
      <c r="A1952" s="81"/>
      <c r="U1952" s="101"/>
      <c r="V1952" s="101"/>
      <c r="W1952" s="69" t="e" cm="1">
        <f t="array" ref="W1952">_xlfn.XLOOKUP(Table1[[#This Row],[5 cm2 cell test code]:[5 cm2 cell test code]],[1]!Table1[[Test code]:[Test code]],[1]!Table1[i @ 1.8 V DIW (A/cm2)],"",0)</f>
        <v>#REF!</v>
      </c>
      <c r="X1952" s="69" t="e" cm="1">
        <f t="array" ref="X1952">_xlfn.XLOOKUP(Table1[[#This Row],[5 cm2 cell test code]:[5 cm2 cell test code]],[1]!Table1[[Test code]:[Test code]],[1]!Table1[i @ 1.8 V 10 mM KOH (A/cm2)],"",0)</f>
        <v>#REF!</v>
      </c>
      <c r="Y1952" s="69" t="e" cm="1">
        <f t="array" ref="Y1952">_xlfn.XLOOKUP(Table1[[#This Row],[5 cm2 cell test code]:[5 cm2 cell test code]],[1]!Table1[[Test code]:[Test code]],[1]!Table1[3-E ƞ at 20mAcm-2 (mV)],"",0)</f>
        <v>#REF!</v>
      </c>
      <c r="Z1952" s="69" t="e" cm="1">
        <f t="array" ref="Z1952">_xlfn.XLOOKUP(Table1[[#This Row],[5 cm2 cell test code]:[5 cm2 cell test code]],[1]!Table1[[Test code]:[Test code]],[1]!Table1[3-E Tafel slope (mV/dec)],"",0)</f>
        <v>#REF!</v>
      </c>
      <c r="AA1952" s="69" t="e" cm="1">
        <f t="array" ref="AA1952">_xlfn.XLOOKUP(Table1[[#This Row],[5 cm2 cell test code]:[5 cm2 cell test code]],[1]!Table1[[Test code]:[Test code]],[1]!Table1[E @ 100 mA/cm2 DIW/V],"",0)</f>
        <v>#REF!</v>
      </c>
      <c r="AB1952" s="69" t="e" cm="1">
        <f t="array" ref="AB1952">_xlfn.XLOOKUP(Table1[[#This Row],[5 cm2 cell test code]:[5 cm2 cell test code]],[1]!Table1[[Test code]:[Test code]],[1]!Table1[E @ 100 mA/cm2 10 mM KOH/V],"",0)</f>
        <v>#REF!</v>
      </c>
      <c r="AC1952" s="69" t="e" cm="1">
        <f t="array" ref="AC1952">_xlfn.XLOOKUP(Table1[[#This Row],[5 cm2 cell test code]:[5 cm2 cell test code]],[1]!Table1[[Test code]:[Test code]],[1]!Table1[Anode ICR/mOhm],"",0)</f>
        <v>#REF!</v>
      </c>
      <c r="AD1952" s="69" t="e" cm="1">
        <f t="array" ref="AD1952">_xlfn.XLOOKUP(Table1[[#This Row],[5 cm2 cell test code]:[5 cm2 cell test code]],[1]!Table1[[Test code]:[Test code]],[1]!Table1[HFR DIW/ mOhm cm2],"",0)</f>
        <v>#REF!</v>
      </c>
      <c r="AE1952" s="69" t="e" cm="1">
        <f t="array" ref="AE1952">_xlfn.XLOOKUP(Table1[[#This Row],[5 cm2 cell test code]:[5 cm2 cell test code]],[1]!Table1[[Test code]:[Test code]],[1]!Table1[HFR 10 mM KOH/ mOhm cm2],"",0)</f>
        <v>#REF!</v>
      </c>
      <c r="AF1952" s="69" t="e" cm="1">
        <f t="array" ref="AF1952">_xlfn.XLOOKUP(Table1[[#This Row],[5 cm2 cell test code]:[5 cm2 cell test code]],[1]!Table1[[Test code]:[Test code]],[1]!Table1[Ionic resistance DIW/Ohm cm2],"",0)</f>
        <v>#REF!</v>
      </c>
      <c r="AG1952" s="69" t="e" cm="1">
        <f t="array" ref="AG1952">_xlfn.XLOOKUP(Table1[[#This Row],[5 cm2 cell test code]:[5 cm2 cell test code]],[1]!Table1[[Test code]:[Test code]],[1]!Table1[Q_int_frac DIW],"",0)</f>
        <v>#REF!</v>
      </c>
      <c r="AH1952" s="69" t="e" cm="1">
        <f t="array" ref="AH1952">_xlfn.XLOOKUP(Table1[[#This Row],[5 cm2 cell test code]:[5 cm2 cell test code]],[1]!Table1[[Test code]:[Test code]],[1]!Table1[Ionic resistance 10 mM KOH/Ohm cm2],"",0)</f>
        <v>#REF!</v>
      </c>
      <c r="AI1952" s="69" t="e" cm="1">
        <f t="array" ref="AI1952">_xlfn.XLOOKUP(Table1[[#This Row],[5 cm2 cell test code]:[5 cm2 cell test code]],[1]!Table1[[Test code]:[Test code]],[1]!Table1[Q_int_frac DIW 10 mM KOH],"",0)</f>
        <v>#REF!</v>
      </c>
      <c r="AJ1952" s="69" t="e" cm="1">
        <f t="array" ref="AJ1952">_xlfn.XLOOKUP(Table1[[#This Row],[5 cm2 cell test code]:[5 cm2 cell test code]],[1]!Table1[[Test code]:[Test code]],[1]!Table1[DIW conductivity (µS/cm)],"",0)</f>
        <v>#REF!</v>
      </c>
    </row>
    <row r="1953" spans="1:36">
      <c r="A1953" s="81"/>
      <c r="U1953" s="101"/>
      <c r="V1953" s="101"/>
      <c r="W1953" s="69" t="e" cm="1">
        <f t="array" ref="W1953">_xlfn.XLOOKUP(Table1[[#This Row],[5 cm2 cell test code]:[5 cm2 cell test code]],[1]!Table1[[Test code]:[Test code]],[1]!Table1[i @ 1.8 V DIW (A/cm2)],"",0)</f>
        <v>#REF!</v>
      </c>
      <c r="X1953" s="69" t="e" cm="1">
        <f t="array" ref="X1953">_xlfn.XLOOKUP(Table1[[#This Row],[5 cm2 cell test code]:[5 cm2 cell test code]],[1]!Table1[[Test code]:[Test code]],[1]!Table1[i @ 1.8 V 10 mM KOH (A/cm2)],"",0)</f>
        <v>#REF!</v>
      </c>
      <c r="Y1953" s="69" t="e" cm="1">
        <f t="array" ref="Y1953">_xlfn.XLOOKUP(Table1[[#This Row],[5 cm2 cell test code]:[5 cm2 cell test code]],[1]!Table1[[Test code]:[Test code]],[1]!Table1[3-E ƞ at 20mAcm-2 (mV)],"",0)</f>
        <v>#REF!</v>
      </c>
      <c r="Z1953" s="69" t="e" cm="1">
        <f t="array" ref="Z1953">_xlfn.XLOOKUP(Table1[[#This Row],[5 cm2 cell test code]:[5 cm2 cell test code]],[1]!Table1[[Test code]:[Test code]],[1]!Table1[3-E Tafel slope (mV/dec)],"",0)</f>
        <v>#REF!</v>
      </c>
      <c r="AA1953" s="69" t="e" cm="1">
        <f t="array" ref="AA1953">_xlfn.XLOOKUP(Table1[[#This Row],[5 cm2 cell test code]:[5 cm2 cell test code]],[1]!Table1[[Test code]:[Test code]],[1]!Table1[E @ 100 mA/cm2 DIW/V],"",0)</f>
        <v>#REF!</v>
      </c>
      <c r="AB1953" s="69" t="e" cm="1">
        <f t="array" ref="AB1953">_xlfn.XLOOKUP(Table1[[#This Row],[5 cm2 cell test code]:[5 cm2 cell test code]],[1]!Table1[[Test code]:[Test code]],[1]!Table1[E @ 100 mA/cm2 10 mM KOH/V],"",0)</f>
        <v>#REF!</v>
      </c>
      <c r="AC1953" s="69" t="e" cm="1">
        <f t="array" ref="AC1953">_xlfn.XLOOKUP(Table1[[#This Row],[5 cm2 cell test code]:[5 cm2 cell test code]],[1]!Table1[[Test code]:[Test code]],[1]!Table1[Anode ICR/mOhm],"",0)</f>
        <v>#REF!</v>
      </c>
      <c r="AD1953" s="69" t="e" cm="1">
        <f t="array" ref="AD1953">_xlfn.XLOOKUP(Table1[[#This Row],[5 cm2 cell test code]:[5 cm2 cell test code]],[1]!Table1[[Test code]:[Test code]],[1]!Table1[HFR DIW/ mOhm cm2],"",0)</f>
        <v>#REF!</v>
      </c>
      <c r="AE1953" s="69" t="e" cm="1">
        <f t="array" ref="AE1953">_xlfn.XLOOKUP(Table1[[#This Row],[5 cm2 cell test code]:[5 cm2 cell test code]],[1]!Table1[[Test code]:[Test code]],[1]!Table1[HFR 10 mM KOH/ mOhm cm2],"",0)</f>
        <v>#REF!</v>
      </c>
      <c r="AF1953" s="69" t="e" cm="1">
        <f t="array" ref="AF1953">_xlfn.XLOOKUP(Table1[[#This Row],[5 cm2 cell test code]:[5 cm2 cell test code]],[1]!Table1[[Test code]:[Test code]],[1]!Table1[Ionic resistance DIW/Ohm cm2],"",0)</f>
        <v>#REF!</v>
      </c>
      <c r="AG1953" s="69" t="e" cm="1">
        <f t="array" ref="AG1953">_xlfn.XLOOKUP(Table1[[#This Row],[5 cm2 cell test code]:[5 cm2 cell test code]],[1]!Table1[[Test code]:[Test code]],[1]!Table1[Q_int_frac DIW],"",0)</f>
        <v>#REF!</v>
      </c>
      <c r="AH1953" s="69" t="e" cm="1">
        <f t="array" ref="AH1953">_xlfn.XLOOKUP(Table1[[#This Row],[5 cm2 cell test code]:[5 cm2 cell test code]],[1]!Table1[[Test code]:[Test code]],[1]!Table1[Ionic resistance 10 mM KOH/Ohm cm2],"",0)</f>
        <v>#REF!</v>
      </c>
      <c r="AI1953" s="69" t="e" cm="1">
        <f t="array" ref="AI1953">_xlfn.XLOOKUP(Table1[[#This Row],[5 cm2 cell test code]:[5 cm2 cell test code]],[1]!Table1[[Test code]:[Test code]],[1]!Table1[Q_int_frac DIW 10 mM KOH],"",0)</f>
        <v>#REF!</v>
      </c>
      <c r="AJ1953" s="69" t="e" cm="1">
        <f t="array" ref="AJ1953">_xlfn.XLOOKUP(Table1[[#This Row],[5 cm2 cell test code]:[5 cm2 cell test code]],[1]!Table1[[Test code]:[Test code]],[1]!Table1[DIW conductivity (µS/cm)],"",0)</f>
        <v>#REF!</v>
      </c>
    </row>
    <row r="1954" spans="1:36">
      <c r="A1954" s="81"/>
      <c r="U1954" s="101"/>
      <c r="V1954" s="101"/>
      <c r="W1954" s="69" t="e" cm="1">
        <f t="array" ref="W1954">_xlfn.XLOOKUP(Table1[[#This Row],[5 cm2 cell test code]:[5 cm2 cell test code]],[1]!Table1[[Test code]:[Test code]],[1]!Table1[i @ 1.8 V DIW (A/cm2)],"",0)</f>
        <v>#REF!</v>
      </c>
      <c r="X1954" s="69" t="e" cm="1">
        <f t="array" ref="X1954">_xlfn.XLOOKUP(Table1[[#This Row],[5 cm2 cell test code]:[5 cm2 cell test code]],[1]!Table1[[Test code]:[Test code]],[1]!Table1[i @ 1.8 V 10 mM KOH (A/cm2)],"",0)</f>
        <v>#REF!</v>
      </c>
      <c r="Y1954" s="69" t="e" cm="1">
        <f t="array" ref="Y1954">_xlfn.XLOOKUP(Table1[[#This Row],[5 cm2 cell test code]:[5 cm2 cell test code]],[1]!Table1[[Test code]:[Test code]],[1]!Table1[3-E ƞ at 20mAcm-2 (mV)],"",0)</f>
        <v>#REF!</v>
      </c>
      <c r="Z1954" s="69" t="e" cm="1">
        <f t="array" ref="Z1954">_xlfn.XLOOKUP(Table1[[#This Row],[5 cm2 cell test code]:[5 cm2 cell test code]],[1]!Table1[[Test code]:[Test code]],[1]!Table1[3-E Tafel slope (mV/dec)],"",0)</f>
        <v>#REF!</v>
      </c>
      <c r="AA1954" s="69" t="e" cm="1">
        <f t="array" ref="AA1954">_xlfn.XLOOKUP(Table1[[#This Row],[5 cm2 cell test code]:[5 cm2 cell test code]],[1]!Table1[[Test code]:[Test code]],[1]!Table1[E @ 100 mA/cm2 DIW/V],"",0)</f>
        <v>#REF!</v>
      </c>
      <c r="AB1954" s="69" t="e" cm="1">
        <f t="array" ref="AB1954">_xlfn.XLOOKUP(Table1[[#This Row],[5 cm2 cell test code]:[5 cm2 cell test code]],[1]!Table1[[Test code]:[Test code]],[1]!Table1[E @ 100 mA/cm2 10 mM KOH/V],"",0)</f>
        <v>#REF!</v>
      </c>
      <c r="AC1954" s="69" t="e" cm="1">
        <f t="array" ref="AC1954">_xlfn.XLOOKUP(Table1[[#This Row],[5 cm2 cell test code]:[5 cm2 cell test code]],[1]!Table1[[Test code]:[Test code]],[1]!Table1[Anode ICR/mOhm],"",0)</f>
        <v>#REF!</v>
      </c>
      <c r="AD1954" s="69" t="e" cm="1">
        <f t="array" ref="AD1954">_xlfn.XLOOKUP(Table1[[#This Row],[5 cm2 cell test code]:[5 cm2 cell test code]],[1]!Table1[[Test code]:[Test code]],[1]!Table1[HFR DIW/ mOhm cm2],"",0)</f>
        <v>#REF!</v>
      </c>
      <c r="AE1954" s="69" t="e" cm="1">
        <f t="array" ref="AE1954">_xlfn.XLOOKUP(Table1[[#This Row],[5 cm2 cell test code]:[5 cm2 cell test code]],[1]!Table1[[Test code]:[Test code]],[1]!Table1[HFR 10 mM KOH/ mOhm cm2],"",0)</f>
        <v>#REF!</v>
      </c>
      <c r="AF1954" s="69" t="e" cm="1">
        <f t="array" ref="AF1954">_xlfn.XLOOKUP(Table1[[#This Row],[5 cm2 cell test code]:[5 cm2 cell test code]],[1]!Table1[[Test code]:[Test code]],[1]!Table1[Ionic resistance DIW/Ohm cm2],"",0)</f>
        <v>#REF!</v>
      </c>
      <c r="AG1954" s="69" t="e" cm="1">
        <f t="array" ref="AG1954">_xlfn.XLOOKUP(Table1[[#This Row],[5 cm2 cell test code]:[5 cm2 cell test code]],[1]!Table1[[Test code]:[Test code]],[1]!Table1[Q_int_frac DIW],"",0)</f>
        <v>#REF!</v>
      </c>
      <c r="AH1954" s="69" t="e" cm="1">
        <f t="array" ref="AH1954">_xlfn.XLOOKUP(Table1[[#This Row],[5 cm2 cell test code]:[5 cm2 cell test code]],[1]!Table1[[Test code]:[Test code]],[1]!Table1[Ionic resistance 10 mM KOH/Ohm cm2],"",0)</f>
        <v>#REF!</v>
      </c>
      <c r="AI1954" s="69" t="e" cm="1">
        <f t="array" ref="AI1954">_xlfn.XLOOKUP(Table1[[#This Row],[5 cm2 cell test code]:[5 cm2 cell test code]],[1]!Table1[[Test code]:[Test code]],[1]!Table1[Q_int_frac DIW 10 mM KOH],"",0)</f>
        <v>#REF!</v>
      </c>
      <c r="AJ1954" s="69" t="e" cm="1">
        <f t="array" ref="AJ1954">_xlfn.XLOOKUP(Table1[[#This Row],[5 cm2 cell test code]:[5 cm2 cell test code]],[1]!Table1[[Test code]:[Test code]],[1]!Table1[DIW conductivity (µS/cm)],"",0)</f>
        <v>#REF!</v>
      </c>
    </row>
    <row r="1955" spans="1:36">
      <c r="A1955" s="81"/>
      <c r="U1955" s="101"/>
      <c r="V1955" s="101"/>
      <c r="W1955" s="69" t="e" cm="1">
        <f t="array" ref="W1955">_xlfn.XLOOKUP(Table1[[#This Row],[5 cm2 cell test code]:[5 cm2 cell test code]],[1]!Table1[[Test code]:[Test code]],[1]!Table1[i @ 1.8 V DIW (A/cm2)],"",0)</f>
        <v>#REF!</v>
      </c>
      <c r="X1955" s="69" t="e" cm="1">
        <f t="array" ref="X1955">_xlfn.XLOOKUP(Table1[[#This Row],[5 cm2 cell test code]:[5 cm2 cell test code]],[1]!Table1[[Test code]:[Test code]],[1]!Table1[i @ 1.8 V 10 mM KOH (A/cm2)],"",0)</f>
        <v>#REF!</v>
      </c>
      <c r="Y1955" s="69" t="e" cm="1">
        <f t="array" ref="Y1955">_xlfn.XLOOKUP(Table1[[#This Row],[5 cm2 cell test code]:[5 cm2 cell test code]],[1]!Table1[[Test code]:[Test code]],[1]!Table1[3-E ƞ at 20mAcm-2 (mV)],"",0)</f>
        <v>#REF!</v>
      </c>
      <c r="Z1955" s="69" t="e" cm="1">
        <f t="array" ref="Z1955">_xlfn.XLOOKUP(Table1[[#This Row],[5 cm2 cell test code]:[5 cm2 cell test code]],[1]!Table1[[Test code]:[Test code]],[1]!Table1[3-E Tafel slope (mV/dec)],"",0)</f>
        <v>#REF!</v>
      </c>
      <c r="AA1955" s="69" t="e" cm="1">
        <f t="array" ref="AA1955">_xlfn.XLOOKUP(Table1[[#This Row],[5 cm2 cell test code]:[5 cm2 cell test code]],[1]!Table1[[Test code]:[Test code]],[1]!Table1[E @ 100 mA/cm2 DIW/V],"",0)</f>
        <v>#REF!</v>
      </c>
      <c r="AB1955" s="69" t="e" cm="1">
        <f t="array" ref="AB1955">_xlfn.XLOOKUP(Table1[[#This Row],[5 cm2 cell test code]:[5 cm2 cell test code]],[1]!Table1[[Test code]:[Test code]],[1]!Table1[E @ 100 mA/cm2 10 mM KOH/V],"",0)</f>
        <v>#REF!</v>
      </c>
      <c r="AC1955" s="69" t="e" cm="1">
        <f t="array" ref="AC1955">_xlfn.XLOOKUP(Table1[[#This Row],[5 cm2 cell test code]:[5 cm2 cell test code]],[1]!Table1[[Test code]:[Test code]],[1]!Table1[Anode ICR/mOhm],"",0)</f>
        <v>#REF!</v>
      </c>
      <c r="AD1955" s="69" t="e" cm="1">
        <f t="array" ref="AD1955">_xlfn.XLOOKUP(Table1[[#This Row],[5 cm2 cell test code]:[5 cm2 cell test code]],[1]!Table1[[Test code]:[Test code]],[1]!Table1[HFR DIW/ mOhm cm2],"",0)</f>
        <v>#REF!</v>
      </c>
      <c r="AE1955" s="69" t="e" cm="1">
        <f t="array" ref="AE1955">_xlfn.XLOOKUP(Table1[[#This Row],[5 cm2 cell test code]:[5 cm2 cell test code]],[1]!Table1[[Test code]:[Test code]],[1]!Table1[HFR 10 mM KOH/ mOhm cm2],"",0)</f>
        <v>#REF!</v>
      </c>
      <c r="AF1955" s="69" t="e" cm="1">
        <f t="array" ref="AF1955">_xlfn.XLOOKUP(Table1[[#This Row],[5 cm2 cell test code]:[5 cm2 cell test code]],[1]!Table1[[Test code]:[Test code]],[1]!Table1[Ionic resistance DIW/Ohm cm2],"",0)</f>
        <v>#REF!</v>
      </c>
      <c r="AG1955" s="69" t="e" cm="1">
        <f t="array" ref="AG1955">_xlfn.XLOOKUP(Table1[[#This Row],[5 cm2 cell test code]:[5 cm2 cell test code]],[1]!Table1[[Test code]:[Test code]],[1]!Table1[Q_int_frac DIW],"",0)</f>
        <v>#REF!</v>
      </c>
      <c r="AH1955" s="69" t="e" cm="1">
        <f t="array" ref="AH1955">_xlfn.XLOOKUP(Table1[[#This Row],[5 cm2 cell test code]:[5 cm2 cell test code]],[1]!Table1[[Test code]:[Test code]],[1]!Table1[Ionic resistance 10 mM KOH/Ohm cm2],"",0)</f>
        <v>#REF!</v>
      </c>
      <c r="AI1955" s="69" t="e" cm="1">
        <f t="array" ref="AI1955">_xlfn.XLOOKUP(Table1[[#This Row],[5 cm2 cell test code]:[5 cm2 cell test code]],[1]!Table1[[Test code]:[Test code]],[1]!Table1[Q_int_frac DIW 10 mM KOH],"",0)</f>
        <v>#REF!</v>
      </c>
      <c r="AJ1955" s="69" t="e" cm="1">
        <f t="array" ref="AJ1955">_xlfn.XLOOKUP(Table1[[#This Row],[5 cm2 cell test code]:[5 cm2 cell test code]],[1]!Table1[[Test code]:[Test code]],[1]!Table1[DIW conductivity (µS/cm)],"",0)</f>
        <v>#REF!</v>
      </c>
    </row>
    <row r="1956" spans="1:36">
      <c r="A1956" s="81"/>
      <c r="U1956" s="101"/>
      <c r="V1956" s="101"/>
      <c r="W1956" s="69" t="e" cm="1">
        <f t="array" ref="W1956">_xlfn.XLOOKUP(Table1[[#This Row],[5 cm2 cell test code]:[5 cm2 cell test code]],[1]!Table1[[Test code]:[Test code]],[1]!Table1[i @ 1.8 V DIW (A/cm2)],"",0)</f>
        <v>#REF!</v>
      </c>
      <c r="X1956" s="69" t="e" cm="1">
        <f t="array" ref="X1956">_xlfn.XLOOKUP(Table1[[#This Row],[5 cm2 cell test code]:[5 cm2 cell test code]],[1]!Table1[[Test code]:[Test code]],[1]!Table1[i @ 1.8 V 10 mM KOH (A/cm2)],"",0)</f>
        <v>#REF!</v>
      </c>
      <c r="Y1956" s="69" t="e" cm="1">
        <f t="array" ref="Y1956">_xlfn.XLOOKUP(Table1[[#This Row],[5 cm2 cell test code]:[5 cm2 cell test code]],[1]!Table1[[Test code]:[Test code]],[1]!Table1[3-E ƞ at 20mAcm-2 (mV)],"",0)</f>
        <v>#REF!</v>
      </c>
      <c r="Z1956" s="69" t="e" cm="1">
        <f t="array" ref="Z1956">_xlfn.XLOOKUP(Table1[[#This Row],[5 cm2 cell test code]:[5 cm2 cell test code]],[1]!Table1[[Test code]:[Test code]],[1]!Table1[3-E Tafel slope (mV/dec)],"",0)</f>
        <v>#REF!</v>
      </c>
      <c r="AA1956" s="69" t="e" cm="1">
        <f t="array" ref="AA1956">_xlfn.XLOOKUP(Table1[[#This Row],[5 cm2 cell test code]:[5 cm2 cell test code]],[1]!Table1[[Test code]:[Test code]],[1]!Table1[E @ 100 mA/cm2 DIW/V],"",0)</f>
        <v>#REF!</v>
      </c>
      <c r="AB1956" s="69" t="e" cm="1">
        <f t="array" ref="AB1956">_xlfn.XLOOKUP(Table1[[#This Row],[5 cm2 cell test code]:[5 cm2 cell test code]],[1]!Table1[[Test code]:[Test code]],[1]!Table1[E @ 100 mA/cm2 10 mM KOH/V],"",0)</f>
        <v>#REF!</v>
      </c>
      <c r="AC1956" s="69" t="e" cm="1">
        <f t="array" ref="AC1956">_xlfn.XLOOKUP(Table1[[#This Row],[5 cm2 cell test code]:[5 cm2 cell test code]],[1]!Table1[[Test code]:[Test code]],[1]!Table1[Anode ICR/mOhm],"",0)</f>
        <v>#REF!</v>
      </c>
      <c r="AD1956" s="69" t="e" cm="1">
        <f t="array" ref="AD1956">_xlfn.XLOOKUP(Table1[[#This Row],[5 cm2 cell test code]:[5 cm2 cell test code]],[1]!Table1[[Test code]:[Test code]],[1]!Table1[HFR DIW/ mOhm cm2],"",0)</f>
        <v>#REF!</v>
      </c>
      <c r="AE1956" s="69" t="e" cm="1">
        <f t="array" ref="AE1956">_xlfn.XLOOKUP(Table1[[#This Row],[5 cm2 cell test code]:[5 cm2 cell test code]],[1]!Table1[[Test code]:[Test code]],[1]!Table1[HFR 10 mM KOH/ mOhm cm2],"",0)</f>
        <v>#REF!</v>
      </c>
      <c r="AF1956" s="69" t="e" cm="1">
        <f t="array" ref="AF1956">_xlfn.XLOOKUP(Table1[[#This Row],[5 cm2 cell test code]:[5 cm2 cell test code]],[1]!Table1[[Test code]:[Test code]],[1]!Table1[Ionic resistance DIW/Ohm cm2],"",0)</f>
        <v>#REF!</v>
      </c>
      <c r="AG1956" s="69" t="e" cm="1">
        <f t="array" ref="AG1956">_xlfn.XLOOKUP(Table1[[#This Row],[5 cm2 cell test code]:[5 cm2 cell test code]],[1]!Table1[[Test code]:[Test code]],[1]!Table1[Q_int_frac DIW],"",0)</f>
        <v>#REF!</v>
      </c>
      <c r="AH1956" s="69" t="e" cm="1">
        <f t="array" ref="AH1956">_xlfn.XLOOKUP(Table1[[#This Row],[5 cm2 cell test code]:[5 cm2 cell test code]],[1]!Table1[[Test code]:[Test code]],[1]!Table1[Ionic resistance 10 mM KOH/Ohm cm2],"",0)</f>
        <v>#REF!</v>
      </c>
      <c r="AI1956" s="69" t="e" cm="1">
        <f t="array" ref="AI1956">_xlfn.XLOOKUP(Table1[[#This Row],[5 cm2 cell test code]:[5 cm2 cell test code]],[1]!Table1[[Test code]:[Test code]],[1]!Table1[Q_int_frac DIW 10 mM KOH],"",0)</f>
        <v>#REF!</v>
      </c>
      <c r="AJ1956" s="69" t="e" cm="1">
        <f t="array" ref="AJ1956">_xlfn.XLOOKUP(Table1[[#This Row],[5 cm2 cell test code]:[5 cm2 cell test code]],[1]!Table1[[Test code]:[Test code]],[1]!Table1[DIW conductivity (µS/cm)],"",0)</f>
        <v>#REF!</v>
      </c>
    </row>
    <row r="1957" spans="1:36">
      <c r="A1957" s="81"/>
      <c r="U1957" s="101"/>
      <c r="V1957" s="101"/>
      <c r="W1957" s="69" t="e" cm="1">
        <f t="array" ref="W1957">_xlfn.XLOOKUP(Table1[[#This Row],[5 cm2 cell test code]:[5 cm2 cell test code]],[1]!Table1[[Test code]:[Test code]],[1]!Table1[i @ 1.8 V DIW (A/cm2)],"",0)</f>
        <v>#REF!</v>
      </c>
      <c r="X1957" s="69" t="e" cm="1">
        <f t="array" ref="X1957">_xlfn.XLOOKUP(Table1[[#This Row],[5 cm2 cell test code]:[5 cm2 cell test code]],[1]!Table1[[Test code]:[Test code]],[1]!Table1[i @ 1.8 V 10 mM KOH (A/cm2)],"",0)</f>
        <v>#REF!</v>
      </c>
      <c r="Y1957" s="69" t="e" cm="1">
        <f t="array" ref="Y1957">_xlfn.XLOOKUP(Table1[[#This Row],[5 cm2 cell test code]:[5 cm2 cell test code]],[1]!Table1[[Test code]:[Test code]],[1]!Table1[3-E ƞ at 20mAcm-2 (mV)],"",0)</f>
        <v>#REF!</v>
      </c>
      <c r="Z1957" s="69" t="e" cm="1">
        <f t="array" ref="Z1957">_xlfn.XLOOKUP(Table1[[#This Row],[5 cm2 cell test code]:[5 cm2 cell test code]],[1]!Table1[[Test code]:[Test code]],[1]!Table1[3-E Tafel slope (mV/dec)],"",0)</f>
        <v>#REF!</v>
      </c>
      <c r="AA1957" s="69" t="e" cm="1">
        <f t="array" ref="AA1957">_xlfn.XLOOKUP(Table1[[#This Row],[5 cm2 cell test code]:[5 cm2 cell test code]],[1]!Table1[[Test code]:[Test code]],[1]!Table1[E @ 100 mA/cm2 DIW/V],"",0)</f>
        <v>#REF!</v>
      </c>
      <c r="AB1957" s="69" t="e" cm="1">
        <f t="array" ref="AB1957">_xlfn.XLOOKUP(Table1[[#This Row],[5 cm2 cell test code]:[5 cm2 cell test code]],[1]!Table1[[Test code]:[Test code]],[1]!Table1[E @ 100 mA/cm2 10 mM KOH/V],"",0)</f>
        <v>#REF!</v>
      </c>
      <c r="AC1957" s="69" t="e" cm="1">
        <f t="array" ref="AC1957">_xlfn.XLOOKUP(Table1[[#This Row],[5 cm2 cell test code]:[5 cm2 cell test code]],[1]!Table1[[Test code]:[Test code]],[1]!Table1[Anode ICR/mOhm],"",0)</f>
        <v>#REF!</v>
      </c>
      <c r="AD1957" s="69" t="e" cm="1">
        <f t="array" ref="AD1957">_xlfn.XLOOKUP(Table1[[#This Row],[5 cm2 cell test code]:[5 cm2 cell test code]],[1]!Table1[[Test code]:[Test code]],[1]!Table1[HFR DIW/ mOhm cm2],"",0)</f>
        <v>#REF!</v>
      </c>
      <c r="AE1957" s="69" t="e" cm="1">
        <f t="array" ref="AE1957">_xlfn.XLOOKUP(Table1[[#This Row],[5 cm2 cell test code]:[5 cm2 cell test code]],[1]!Table1[[Test code]:[Test code]],[1]!Table1[HFR 10 mM KOH/ mOhm cm2],"",0)</f>
        <v>#REF!</v>
      </c>
      <c r="AF1957" s="69" t="e" cm="1">
        <f t="array" ref="AF1957">_xlfn.XLOOKUP(Table1[[#This Row],[5 cm2 cell test code]:[5 cm2 cell test code]],[1]!Table1[[Test code]:[Test code]],[1]!Table1[Ionic resistance DIW/Ohm cm2],"",0)</f>
        <v>#REF!</v>
      </c>
      <c r="AG1957" s="69" t="e" cm="1">
        <f t="array" ref="AG1957">_xlfn.XLOOKUP(Table1[[#This Row],[5 cm2 cell test code]:[5 cm2 cell test code]],[1]!Table1[[Test code]:[Test code]],[1]!Table1[Q_int_frac DIW],"",0)</f>
        <v>#REF!</v>
      </c>
      <c r="AH1957" s="69" t="e" cm="1">
        <f t="array" ref="AH1957">_xlfn.XLOOKUP(Table1[[#This Row],[5 cm2 cell test code]:[5 cm2 cell test code]],[1]!Table1[[Test code]:[Test code]],[1]!Table1[Ionic resistance 10 mM KOH/Ohm cm2],"",0)</f>
        <v>#REF!</v>
      </c>
      <c r="AI1957" s="69" t="e" cm="1">
        <f t="array" ref="AI1957">_xlfn.XLOOKUP(Table1[[#This Row],[5 cm2 cell test code]:[5 cm2 cell test code]],[1]!Table1[[Test code]:[Test code]],[1]!Table1[Q_int_frac DIW 10 mM KOH],"",0)</f>
        <v>#REF!</v>
      </c>
      <c r="AJ1957" s="69" t="e" cm="1">
        <f t="array" ref="AJ1957">_xlfn.XLOOKUP(Table1[[#This Row],[5 cm2 cell test code]:[5 cm2 cell test code]],[1]!Table1[[Test code]:[Test code]],[1]!Table1[DIW conductivity (µS/cm)],"",0)</f>
        <v>#REF!</v>
      </c>
    </row>
    <row r="1958" spans="1:36">
      <c r="A1958" s="81"/>
      <c r="U1958" s="101"/>
      <c r="V1958" s="101"/>
      <c r="W1958" s="69" t="e" cm="1">
        <f t="array" ref="W1958">_xlfn.XLOOKUP(Table1[[#This Row],[5 cm2 cell test code]:[5 cm2 cell test code]],[1]!Table1[[Test code]:[Test code]],[1]!Table1[i @ 1.8 V DIW (A/cm2)],"",0)</f>
        <v>#REF!</v>
      </c>
      <c r="X1958" s="69" t="e" cm="1">
        <f t="array" ref="X1958">_xlfn.XLOOKUP(Table1[[#This Row],[5 cm2 cell test code]:[5 cm2 cell test code]],[1]!Table1[[Test code]:[Test code]],[1]!Table1[i @ 1.8 V 10 mM KOH (A/cm2)],"",0)</f>
        <v>#REF!</v>
      </c>
      <c r="Y1958" s="69" t="e" cm="1">
        <f t="array" ref="Y1958">_xlfn.XLOOKUP(Table1[[#This Row],[5 cm2 cell test code]:[5 cm2 cell test code]],[1]!Table1[[Test code]:[Test code]],[1]!Table1[3-E ƞ at 20mAcm-2 (mV)],"",0)</f>
        <v>#REF!</v>
      </c>
      <c r="Z1958" s="69" t="e" cm="1">
        <f t="array" ref="Z1958">_xlfn.XLOOKUP(Table1[[#This Row],[5 cm2 cell test code]:[5 cm2 cell test code]],[1]!Table1[[Test code]:[Test code]],[1]!Table1[3-E Tafel slope (mV/dec)],"",0)</f>
        <v>#REF!</v>
      </c>
      <c r="AA1958" s="69" t="e" cm="1">
        <f t="array" ref="AA1958">_xlfn.XLOOKUP(Table1[[#This Row],[5 cm2 cell test code]:[5 cm2 cell test code]],[1]!Table1[[Test code]:[Test code]],[1]!Table1[E @ 100 mA/cm2 DIW/V],"",0)</f>
        <v>#REF!</v>
      </c>
      <c r="AB1958" s="69" t="e" cm="1">
        <f t="array" ref="AB1958">_xlfn.XLOOKUP(Table1[[#This Row],[5 cm2 cell test code]:[5 cm2 cell test code]],[1]!Table1[[Test code]:[Test code]],[1]!Table1[E @ 100 mA/cm2 10 mM KOH/V],"",0)</f>
        <v>#REF!</v>
      </c>
      <c r="AC1958" s="69" t="e" cm="1">
        <f t="array" ref="AC1958">_xlfn.XLOOKUP(Table1[[#This Row],[5 cm2 cell test code]:[5 cm2 cell test code]],[1]!Table1[[Test code]:[Test code]],[1]!Table1[Anode ICR/mOhm],"",0)</f>
        <v>#REF!</v>
      </c>
      <c r="AD1958" s="69" t="e" cm="1">
        <f t="array" ref="AD1958">_xlfn.XLOOKUP(Table1[[#This Row],[5 cm2 cell test code]:[5 cm2 cell test code]],[1]!Table1[[Test code]:[Test code]],[1]!Table1[HFR DIW/ mOhm cm2],"",0)</f>
        <v>#REF!</v>
      </c>
      <c r="AE1958" s="69" t="e" cm="1">
        <f t="array" ref="AE1958">_xlfn.XLOOKUP(Table1[[#This Row],[5 cm2 cell test code]:[5 cm2 cell test code]],[1]!Table1[[Test code]:[Test code]],[1]!Table1[HFR 10 mM KOH/ mOhm cm2],"",0)</f>
        <v>#REF!</v>
      </c>
      <c r="AF1958" s="69" t="e" cm="1">
        <f t="array" ref="AF1958">_xlfn.XLOOKUP(Table1[[#This Row],[5 cm2 cell test code]:[5 cm2 cell test code]],[1]!Table1[[Test code]:[Test code]],[1]!Table1[Ionic resistance DIW/Ohm cm2],"",0)</f>
        <v>#REF!</v>
      </c>
      <c r="AG1958" s="69" t="e" cm="1">
        <f t="array" ref="AG1958">_xlfn.XLOOKUP(Table1[[#This Row],[5 cm2 cell test code]:[5 cm2 cell test code]],[1]!Table1[[Test code]:[Test code]],[1]!Table1[Q_int_frac DIW],"",0)</f>
        <v>#REF!</v>
      </c>
      <c r="AH1958" s="69" t="e" cm="1">
        <f t="array" ref="AH1958">_xlfn.XLOOKUP(Table1[[#This Row],[5 cm2 cell test code]:[5 cm2 cell test code]],[1]!Table1[[Test code]:[Test code]],[1]!Table1[Ionic resistance 10 mM KOH/Ohm cm2],"",0)</f>
        <v>#REF!</v>
      </c>
      <c r="AI1958" s="69" t="e" cm="1">
        <f t="array" ref="AI1958">_xlfn.XLOOKUP(Table1[[#This Row],[5 cm2 cell test code]:[5 cm2 cell test code]],[1]!Table1[[Test code]:[Test code]],[1]!Table1[Q_int_frac DIW 10 mM KOH],"",0)</f>
        <v>#REF!</v>
      </c>
      <c r="AJ1958" s="69" t="e" cm="1">
        <f t="array" ref="AJ1958">_xlfn.XLOOKUP(Table1[[#This Row],[5 cm2 cell test code]:[5 cm2 cell test code]],[1]!Table1[[Test code]:[Test code]],[1]!Table1[DIW conductivity (µS/cm)],"",0)</f>
        <v>#REF!</v>
      </c>
    </row>
    <row r="1959" spans="1:36">
      <c r="A1959" s="81"/>
      <c r="U1959" s="101"/>
      <c r="V1959" s="101"/>
      <c r="W1959" s="69" t="e" cm="1">
        <f t="array" ref="W1959">_xlfn.XLOOKUP(Table1[[#This Row],[5 cm2 cell test code]:[5 cm2 cell test code]],[1]!Table1[[Test code]:[Test code]],[1]!Table1[i @ 1.8 V DIW (A/cm2)],"",0)</f>
        <v>#REF!</v>
      </c>
      <c r="X1959" s="69" t="e" cm="1">
        <f t="array" ref="X1959">_xlfn.XLOOKUP(Table1[[#This Row],[5 cm2 cell test code]:[5 cm2 cell test code]],[1]!Table1[[Test code]:[Test code]],[1]!Table1[i @ 1.8 V 10 mM KOH (A/cm2)],"",0)</f>
        <v>#REF!</v>
      </c>
      <c r="Y1959" s="69" t="e" cm="1">
        <f t="array" ref="Y1959">_xlfn.XLOOKUP(Table1[[#This Row],[5 cm2 cell test code]:[5 cm2 cell test code]],[1]!Table1[[Test code]:[Test code]],[1]!Table1[3-E ƞ at 20mAcm-2 (mV)],"",0)</f>
        <v>#REF!</v>
      </c>
      <c r="Z1959" s="69" t="e" cm="1">
        <f t="array" ref="Z1959">_xlfn.XLOOKUP(Table1[[#This Row],[5 cm2 cell test code]:[5 cm2 cell test code]],[1]!Table1[[Test code]:[Test code]],[1]!Table1[3-E Tafel slope (mV/dec)],"",0)</f>
        <v>#REF!</v>
      </c>
      <c r="AA1959" s="69" t="e" cm="1">
        <f t="array" ref="AA1959">_xlfn.XLOOKUP(Table1[[#This Row],[5 cm2 cell test code]:[5 cm2 cell test code]],[1]!Table1[[Test code]:[Test code]],[1]!Table1[E @ 100 mA/cm2 DIW/V],"",0)</f>
        <v>#REF!</v>
      </c>
      <c r="AB1959" s="69" t="e" cm="1">
        <f t="array" ref="AB1959">_xlfn.XLOOKUP(Table1[[#This Row],[5 cm2 cell test code]:[5 cm2 cell test code]],[1]!Table1[[Test code]:[Test code]],[1]!Table1[E @ 100 mA/cm2 10 mM KOH/V],"",0)</f>
        <v>#REF!</v>
      </c>
      <c r="AC1959" s="69" t="e" cm="1">
        <f t="array" ref="AC1959">_xlfn.XLOOKUP(Table1[[#This Row],[5 cm2 cell test code]:[5 cm2 cell test code]],[1]!Table1[[Test code]:[Test code]],[1]!Table1[Anode ICR/mOhm],"",0)</f>
        <v>#REF!</v>
      </c>
      <c r="AD1959" s="69" t="e" cm="1">
        <f t="array" ref="AD1959">_xlfn.XLOOKUP(Table1[[#This Row],[5 cm2 cell test code]:[5 cm2 cell test code]],[1]!Table1[[Test code]:[Test code]],[1]!Table1[HFR DIW/ mOhm cm2],"",0)</f>
        <v>#REF!</v>
      </c>
      <c r="AE1959" s="69" t="e" cm="1">
        <f t="array" ref="AE1959">_xlfn.XLOOKUP(Table1[[#This Row],[5 cm2 cell test code]:[5 cm2 cell test code]],[1]!Table1[[Test code]:[Test code]],[1]!Table1[HFR 10 mM KOH/ mOhm cm2],"",0)</f>
        <v>#REF!</v>
      </c>
      <c r="AF1959" s="69" t="e" cm="1">
        <f t="array" ref="AF1959">_xlfn.XLOOKUP(Table1[[#This Row],[5 cm2 cell test code]:[5 cm2 cell test code]],[1]!Table1[[Test code]:[Test code]],[1]!Table1[Ionic resistance DIW/Ohm cm2],"",0)</f>
        <v>#REF!</v>
      </c>
      <c r="AG1959" s="69" t="e" cm="1">
        <f t="array" ref="AG1959">_xlfn.XLOOKUP(Table1[[#This Row],[5 cm2 cell test code]:[5 cm2 cell test code]],[1]!Table1[[Test code]:[Test code]],[1]!Table1[Q_int_frac DIW],"",0)</f>
        <v>#REF!</v>
      </c>
      <c r="AH1959" s="69" t="e" cm="1">
        <f t="array" ref="AH1959">_xlfn.XLOOKUP(Table1[[#This Row],[5 cm2 cell test code]:[5 cm2 cell test code]],[1]!Table1[[Test code]:[Test code]],[1]!Table1[Ionic resistance 10 mM KOH/Ohm cm2],"",0)</f>
        <v>#REF!</v>
      </c>
      <c r="AI1959" s="69" t="e" cm="1">
        <f t="array" ref="AI1959">_xlfn.XLOOKUP(Table1[[#This Row],[5 cm2 cell test code]:[5 cm2 cell test code]],[1]!Table1[[Test code]:[Test code]],[1]!Table1[Q_int_frac DIW 10 mM KOH],"",0)</f>
        <v>#REF!</v>
      </c>
      <c r="AJ1959" s="69" t="e" cm="1">
        <f t="array" ref="AJ1959">_xlfn.XLOOKUP(Table1[[#This Row],[5 cm2 cell test code]:[5 cm2 cell test code]],[1]!Table1[[Test code]:[Test code]],[1]!Table1[DIW conductivity (µS/cm)],"",0)</f>
        <v>#REF!</v>
      </c>
    </row>
    <row r="1960" spans="1:36">
      <c r="A1960" s="81"/>
      <c r="U1960" s="101"/>
      <c r="V1960" s="101"/>
      <c r="W1960" s="69" t="e" cm="1">
        <f t="array" ref="W1960">_xlfn.XLOOKUP(Table1[[#This Row],[5 cm2 cell test code]:[5 cm2 cell test code]],[1]!Table1[[Test code]:[Test code]],[1]!Table1[i @ 1.8 V DIW (A/cm2)],"",0)</f>
        <v>#REF!</v>
      </c>
      <c r="X1960" s="69" t="e" cm="1">
        <f t="array" ref="X1960">_xlfn.XLOOKUP(Table1[[#This Row],[5 cm2 cell test code]:[5 cm2 cell test code]],[1]!Table1[[Test code]:[Test code]],[1]!Table1[i @ 1.8 V 10 mM KOH (A/cm2)],"",0)</f>
        <v>#REF!</v>
      </c>
      <c r="Y1960" s="69" t="e" cm="1">
        <f t="array" ref="Y1960">_xlfn.XLOOKUP(Table1[[#This Row],[5 cm2 cell test code]:[5 cm2 cell test code]],[1]!Table1[[Test code]:[Test code]],[1]!Table1[3-E ƞ at 20mAcm-2 (mV)],"",0)</f>
        <v>#REF!</v>
      </c>
      <c r="Z1960" s="69" t="e" cm="1">
        <f t="array" ref="Z1960">_xlfn.XLOOKUP(Table1[[#This Row],[5 cm2 cell test code]:[5 cm2 cell test code]],[1]!Table1[[Test code]:[Test code]],[1]!Table1[3-E Tafel slope (mV/dec)],"",0)</f>
        <v>#REF!</v>
      </c>
      <c r="AA1960" s="69" t="e" cm="1">
        <f t="array" ref="AA1960">_xlfn.XLOOKUP(Table1[[#This Row],[5 cm2 cell test code]:[5 cm2 cell test code]],[1]!Table1[[Test code]:[Test code]],[1]!Table1[E @ 100 mA/cm2 DIW/V],"",0)</f>
        <v>#REF!</v>
      </c>
      <c r="AB1960" s="69" t="e" cm="1">
        <f t="array" ref="AB1960">_xlfn.XLOOKUP(Table1[[#This Row],[5 cm2 cell test code]:[5 cm2 cell test code]],[1]!Table1[[Test code]:[Test code]],[1]!Table1[E @ 100 mA/cm2 10 mM KOH/V],"",0)</f>
        <v>#REF!</v>
      </c>
      <c r="AC1960" s="69" t="e" cm="1">
        <f t="array" ref="AC1960">_xlfn.XLOOKUP(Table1[[#This Row],[5 cm2 cell test code]:[5 cm2 cell test code]],[1]!Table1[[Test code]:[Test code]],[1]!Table1[Anode ICR/mOhm],"",0)</f>
        <v>#REF!</v>
      </c>
      <c r="AD1960" s="69" t="e" cm="1">
        <f t="array" ref="AD1960">_xlfn.XLOOKUP(Table1[[#This Row],[5 cm2 cell test code]:[5 cm2 cell test code]],[1]!Table1[[Test code]:[Test code]],[1]!Table1[HFR DIW/ mOhm cm2],"",0)</f>
        <v>#REF!</v>
      </c>
      <c r="AE1960" s="69" t="e" cm="1">
        <f t="array" ref="AE1960">_xlfn.XLOOKUP(Table1[[#This Row],[5 cm2 cell test code]:[5 cm2 cell test code]],[1]!Table1[[Test code]:[Test code]],[1]!Table1[HFR 10 mM KOH/ mOhm cm2],"",0)</f>
        <v>#REF!</v>
      </c>
      <c r="AF1960" s="69" t="e" cm="1">
        <f t="array" ref="AF1960">_xlfn.XLOOKUP(Table1[[#This Row],[5 cm2 cell test code]:[5 cm2 cell test code]],[1]!Table1[[Test code]:[Test code]],[1]!Table1[Ionic resistance DIW/Ohm cm2],"",0)</f>
        <v>#REF!</v>
      </c>
      <c r="AG1960" s="69" t="e" cm="1">
        <f t="array" ref="AG1960">_xlfn.XLOOKUP(Table1[[#This Row],[5 cm2 cell test code]:[5 cm2 cell test code]],[1]!Table1[[Test code]:[Test code]],[1]!Table1[Q_int_frac DIW],"",0)</f>
        <v>#REF!</v>
      </c>
      <c r="AH1960" s="69" t="e" cm="1">
        <f t="array" ref="AH1960">_xlfn.XLOOKUP(Table1[[#This Row],[5 cm2 cell test code]:[5 cm2 cell test code]],[1]!Table1[[Test code]:[Test code]],[1]!Table1[Ionic resistance 10 mM KOH/Ohm cm2],"",0)</f>
        <v>#REF!</v>
      </c>
      <c r="AI1960" s="69" t="e" cm="1">
        <f t="array" ref="AI1960">_xlfn.XLOOKUP(Table1[[#This Row],[5 cm2 cell test code]:[5 cm2 cell test code]],[1]!Table1[[Test code]:[Test code]],[1]!Table1[Q_int_frac DIW 10 mM KOH],"",0)</f>
        <v>#REF!</v>
      </c>
      <c r="AJ1960" s="69" t="e" cm="1">
        <f t="array" ref="AJ1960">_xlfn.XLOOKUP(Table1[[#This Row],[5 cm2 cell test code]:[5 cm2 cell test code]],[1]!Table1[[Test code]:[Test code]],[1]!Table1[DIW conductivity (µS/cm)],"",0)</f>
        <v>#REF!</v>
      </c>
    </row>
    <row r="1961" spans="1:36">
      <c r="A1961" s="81"/>
      <c r="U1961" s="101"/>
      <c r="V1961" s="101"/>
      <c r="W1961" s="69" t="e" cm="1">
        <f t="array" ref="W1961">_xlfn.XLOOKUP(Table1[[#This Row],[5 cm2 cell test code]:[5 cm2 cell test code]],[1]!Table1[[Test code]:[Test code]],[1]!Table1[i @ 1.8 V DIW (A/cm2)],"",0)</f>
        <v>#REF!</v>
      </c>
      <c r="X1961" s="69" t="e" cm="1">
        <f t="array" ref="X1961">_xlfn.XLOOKUP(Table1[[#This Row],[5 cm2 cell test code]:[5 cm2 cell test code]],[1]!Table1[[Test code]:[Test code]],[1]!Table1[i @ 1.8 V 10 mM KOH (A/cm2)],"",0)</f>
        <v>#REF!</v>
      </c>
      <c r="Y1961" s="69" t="e" cm="1">
        <f t="array" ref="Y1961">_xlfn.XLOOKUP(Table1[[#This Row],[5 cm2 cell test code]:[5 cm2 cell test code]],[1]!Table1[[Test code]:[Test code]],[1]!Table1[3-E ƞ at 20mAcm-2 (mV)],"",0)</f>
        <v>#REF!</v>
      </c>
      <c r="Z1961" s="69" t="e" cm="1">
        <f t="array" ref="Z1961">_xlfn.XLOOKUP(Table1[[#This Row],[5 cm2 cell test code]:[5 cm2 cell test code]],[1]!Table1[[Test code]:[Test code]],[1]!Table1[3-E Tafel slope (mV/dec)],"",0)</f>
        <v>#REF!</v>
      </c>
      <c r="AA1961" s="69" t="e" cm="1">
        <f t="array" ref="AA1961">_xlfn.XLOOKUP(Table1[[#This Row],[5 cm2 cell test code]:[5 cm2 cell test code]],[1]!Table1[[Test code]:[Test code]],[1]!Table1[E @ 100 mA/cm2 DIW/V],"",0)</f>
        <v>#REF!</v>
      </c>
      <c r="AB1961" s="69" t="e" cm="1">
        <f t="array" ref="AB1961">_xlfn.XLOOKUP(Table1[[#This Row],[5 cm2 cell test code]:[5 cm2 cell test code]],[1]!Table1[[Test code]:[Test code]],[1]!Table1[E @ 100 mA/cm2 10 mM KOH/V],"",0)</f>
        <v>#REF!</v>
      </c>
      <c r="AC1961" s="69" t="e" cm="1">
        <f t="array" ref="AC1961">_xlfn.XLOOKUP(Table1[[#This Row],[5 cm2 cell test code]:[5 cm2 cell test code]],[1]!Table1[[Test code]:[Test code]],[1]!Table1[Anode ICR/mOhm],"",0)</f>
        <v>#REF!</v>
      </c>
      <c r="AD1961" s="69" t="e" cm="1">
        <f t="array" ref="AD1961">_xlfn.XLOOKUP(Table1[[#This Row],[5 cm2 cell test code]:[5 cm2 cell test code]],[1]!Table1[[Test code]:[Test code]],[1]!Table1[HFR DIW/ mOhm cm2],"",0)</f>
        <v>#REF!</v>
      </c>
      <c r="AE1961" s="69" t="e" cm="1">
        <f t="array" ref="AE1961">_xlfn.XLOOKUP(Table1[[#This Row],[5 cm2 cell test code]:[5 cm2 cell test code]],[1]!Table1[[Test code]:[Test code]],[1]!Table1[HFR 10 mM KOH/ mOhm cm2],"",0)</f>
        <v>#REF!</v>
      </c>
      <c r="AF1961" s="69" t="e" cm="1">
        <f t="array" ref="AF1961">_xlfn.XLOOKUP(Table1[[#This Row],[5 cm2 cell test code]:[5 cm2 cell test code]],[1]!Table1[[Test code]:[Test code]],[1]!Table1[Ionic resistance DIW/Ohm cm2],"",0)</f>
        <v>#REF!</v>
      </c>
      <c r="AG1961" s="69" t="e" cm="1">
        <f t="array" ref="AG1961">_xlfn.XLOOKUP(Table1[[#This Row],[5 cm2 cell test code]:[5 cm2 cell test code]],[1]!Table1[[Test code]:[Test code]],[1]!Table1[Q_int_frac DIW],"",0)</f>
        <v>#REF!</v>
      </c>
      <c r="AH1961" s="69" t="e" cm="1">
        <f t="array" ref="AH1961">_xlfn.XLOOKUP(Table1[[#This Row],[5 cm2 cell test code]:[5 cm2 cell test code]],[1]!Table1[[Test code]:[Test code]],[1]!Table1[Ionic resistance 10 mM KOH/Ohm cm2],"",0)</f>
        <v>#REF!</v>
      </c>
      <c r="AI1961" s="69" t="e" cm="1">
        <f t="array" ref="AI1961">_xlfn.XLOOKUP(Table1[[#This Row],[5 cm2 cell test code]:[5 cm2 cell test code]],[1]!Table1[[Test code]:[Test code]],[1]!Table1[Q_int_frac DIW 10 mM KOH],"",0)</f>
        <v>#REF!</v>
      </c>
      <c r="AJ1961" s="69" t="e" cm="1">
        <f t="array" ref="AJ1961">_xlfn.XLOOKUP(Table1[[#This Row],[5 cm2 cell test code]:[5 cm2 cell test code]],[1]!Table1[[Test code]:[Test code]],[1]!Table1[DIW conductivity (µS/cm)],"",0)</f>
        <v>#REF!</v>
      </c>
    </row>
    <row r="1962" spans="1:36">
      <c r="A1962" s="81"/>
      <c r="U1962" s="101"/>
      <c r="V1962" s="101"/>
      <c r="W1962" s="69" t="e" cm="1">
        <f t="array" ref="W1962">_xlfn.XLOOKUP(Table1[[#This Row],[5 cm2 cell test code]:[5 cm2 cell test code]],[1]!Table1[[Test code]:[Test code]],[1]!Table1[i @ 1.8 V DIW (A/cm2)],"",0)</f>
        <v>#REF!</v>
      </c>
      <c r="X1962" s="69" t="e" cm="1">
        <f t="array" ref="X1962">_xlfn.XLOOKUP(Table1[[#This Row],[5 cm2 cell test code]:[5 cm2 cell test code]],[1]!Table1[[Test code]:[Test code]],[1]!Table1[i @ 1.8 V 10 mM KOH (A/cm2)],"",0)</f>
        <v>#REF!</v>
      </c>
      <c r="Y1962" s="69" t="e" cm="1">
        <f t="array" ref="Y1962">_xlfn.XLOOKUP(Table1[[#This Row],[5 cm2 cell test code]:[5 cm2 cell test code]],[1]!Table1[[Test code]:[Test code]],[1]!Table1[3-E ƞ at 20mAcm-2 (mV)],"",0)</f>
        <v>#REF!</v>
      </c>
      <c r="Z1962" s="69" t="e" cm="1">
        <f t="array" ref="Z1962">_xlfn.XLOOKUP(Table1[[#This Row],[5 cm2 cell test code]:[5 cm2 cell test code]],[1]!Table1[[Test code]:[Test code]],[1]!Table1[3-E Tafel slope (mV/dec)],"",0)</f>
        <v>#REF!</v>
      </c>
      <c r="AA1962" s="69" t="e" cm="1">
        <f t="array" ref="AA1962">_xlfn.XLOOKUP(Table1[[#This Row],[5 cm2 cell test code]:[5 cm2 cell test code]],[1]!Table1[[Test code]:[Test code]],[1]!Table1[E @ 100 mA/cm2 DIW/V],"",0)</f>
        <v>#REF!</v>
      </c>
      <c r="AB1962" s="69" t="e" cm="1">
        <f t="array" ref="AB1962">_xlfn.XLOOKUP(Table1[[#This Row],[5 cm2 cell test code]:[5 cm2 cell test code]],[1]!Table1[[Test code]:[Test code]],[1]!Table1[E @ 100 mA/cm2 10 mM KOH/V],"",0)</f>
        <v>#REF!</v>
      </c>
      <c r="AC1962" s="69" t="e" cm="1">
        <f t="array" ref="AC1962">_xlfn.XLOOKUP(Table1[[#This Row],[5 cm2 cell test code]:[5 cm2 cell test code]],[1]!Table1[[Test code]:[Test code]],[1]!Table1[Anode ICR/mOhm],"",0)</f>
        <v>#REF!</v>
      </c>
      <c r="AD1962" s="69" t="e" cm="1">
        <f t="array" ref="AD1962">_xlfn.XLOOKUP(Table1[[#This Row],[5 cm2 cell test code]:[5 cm2 cell test code]],[1]!Table1[[Test code]:[Test code]],[1]!Table1[HFR DIW/ mOhm cm2],"",0)</f>
        <v>#REF!</v>
      </c>
      <c r="AE1962" s="69" t="e" cm="1">
        <f t="array" ref="AE1962">_xlfn.XLOOKUP(Table1[[#This Row],[5 cm2 cell test code]:[5 cm2 cell test code]],[1]!Table1[[Test code]:[Test code]],[1]!Table1[HFR 10 mM KOH/ mOhm cm2],"",0)</f>
        <v>#REF!</v>
      </c>
      <c r="AF1962" s="69" t="e" cm="1">
        <f t="array" ref="AF1962">_xlfn.XLOOKUP(Table1[[#This Row],[5 cm2 cell test code]:[5 cm2 cell test code]],[1]!Table1[[Test code]:[Test code]],[1]!Table1[Ionic resistance DIW/Ohm cm2],"",0)</f>
        <v>#REF!</v>
      </c>
      <c r="AG1962" s="69" t="e" cm="1">
        <f t="array" ref="AG1962">_xlfn.XLOOKUP(Table1[[#This Row],[5 cm2 cell test code]:[5 cm2 cell test code]],[1]!Table1[[Test code]:[Test code]],[1]!Table1[Q_int_frac DIW],"",0)</f>
        <v>#REF!</v>
      </c>
      <c r="AH1962" s="69" t="e" cm="1">
        <f t="array" ref="AH1962">_xlfn.XLOOKUP(Table1[[#This Row],[5 cm2 cell test code]:[5 cm2 cell test code]],[1]!Table1[[Test code]:[Test code]],[1]!Table1[Ionic resistance 10 mM KOH/Ohm cm2],"",0)</f>
        <v>#REF!</v>
      </c>
      <c r="AI1962" s="69" t="e" cm="1">
        <f t="array" ref="AI1962">_xlfn.XLOOKUP(Table1[[#This Row],[5 cm2 cell test code]:[5 cm2 cell test code]],[1]!Table1[[Test code]:[Test code]],[1]!Table1[Q_int_frac DIW 10 mM KOH],"",0)</f>
        <v>#REF!</v>
      </c>
      <c r="AJ1962" s="69" t="e" cm="1">
        <f t="array" ref="AJ1962">_xlfn.XLOOKUP(Table1[[#This Row],[5 cm2 cell test code]:[5 cm2 cell test code]],[1]!Table1[[Test code]:[Test code]],[1]!Table1[DIW conductivity (µS/cm)],"",0)</f>
        <v>#REF!</v>
      </c>
    </row>
    <row r="1963" spans="1:36">
      <c r="A1963" s="81"/>
      <c r="U1963" s="101"/>
      <c r="V1963" s="101"/>
      <c r="W1963" s="69" t="e" cm="1">
        <f t="array" ref="W1963">_xlfn.XLOOKUP(Table1[[#This Row],[5 cm2 cell test code]:[5 cm2 cell test code]],[1]!Table1[[Test code]:[Test code]],[1]!Table1[i @ 1.8 V DIW (A/cm2)],"",0)</f>
        <v>#REF!</v>
      </c>
      <c r="X1963" s="69" t="e" cm="1">
        <f t="array" ref="X1963">_xlfn.XLOOKUP(Table1[[#This Row],[5 cm2 cell test code]:[5 cm2 cell test code]],[1]!Table1[[Test code]:[Test code]],[1]!Table1[i @ 1.8 V 10 mM KOH (A/cm2)],"",0)</f>
        <v>#REF!</v>
      </c>
      <c r="Y1963" s="69" t="e" cm="1">
        <f t="array" ref="Y1963">_xlfn.XLOOKUP(Table1[[#This Row],[5 cm2 cell test code]:[5 cm2 cell test code]],[1]!Table1[[Test code]:[Test code]],[1]!Table1[3-E ƞ at 20mAcm-2 (mV)],"",0)</f>
        <v>#REF!</v>
      </c>
      <c r="Z1963" s="69" t="e" cm="1">
        <f t="array" ref="Z1963">_xlfn.XLOOKUP(Table1[[#This Row],[5 cm2 cell test code]:[5 cm2 cell test code]],[1]!Table1[[Test code]:[Test code]],[1]!Table1[3-E Tafel slope (mV/dec)],"",0)</f>
        <v>#REF!</v>
      </c>
      <c r="AA1963" s="69" t="e" cm="1">
        <f t="array" ref="AA1963">_xlfn.XLOOKUP(Table1[[#This Row],[5 cm2 cell test code]:[5 cm2 cell test code]],[1]!Table1[[Test code]:[Test code]],[1]!Table1[E @ 100 mA/cm2 DIW/V],"",0)</f>
        <v>#REF!</v>
      </c>
      <c r="AB1963" s="69" t="e" cm="1">
        <f t="array" ref="AB1963">_xlfn.XLOOKUP(Table1[[#This Row],[5 cm2 cell test code]:[5 cm2 cell test code]],[1]!Table1[[Test code]:[Test code]],[1]!Table1[E @ 100 mA/cm2 10 mM KOH/V],"",0)</f>
        <v>#REF!</v>
      </c>
      <c r="AC1963" s="69" t="e" cm="1">
        <f t="array" ref="AC1963">_xlfn.XLOOKUP(Table1[[#This Row],[5 cm2 cell test code]:[5 cm2 cell test code]],[1]!Table1[[Test code]:[Test code]],[1]!Table1[Anode ICR/mOhm],"",0)</f>
        <v>#REF!</v>
      </c>
      <c r="AD1963" s="69" t="e" cm="1">
        <f t="array" ref="AD1963">_xlfn.XLOOKUP(Table1[[#This Row],[5 cm2 cell test code]:[5 cm2 cell test code]],[1]!Table1[[Test code]:[Test code]],[1]!Table1[HFR DIW/ mOhm cm2],"",0)</f>
        <v>#REF!</v>
      </c>
      <c r="AE1963" s="69" t="e" cm="1">
        <f t="array" ref="AE1963">_xlfn.XLOOKUP(Table1[[#This Row],[5 cm2 cell test code]:[5 cm2 cell test code]],[1]!Table1[[Test code]:[Test code]],[1]!Table1[HFR 10 mM KOH/ mOhm cm2],"",0)</f>
        <v>#REF!</v>
      </c>
      <c r="AF1963" s="69" t="e" cm="1">
        <f t="array" ref="AF1963">_xlfn.XLOOKUP(Table1[[#This Row],[5 cm2 cell test code]:[5 cm2 cell test code]],[1]!Table1[[Test code]:[Test code]],[1]!Table1[Ionic resistance DIW/Ohm cm2],"",0)</f>
        <v>#REF!</v>
      </c>
      <c r="AG1963" s="69" t="e" cm="1">
        <f t="array" ref="AG1963">_xlfn.XLOOKUP(Table1[[#This Row],[5 cm2 cell test code]:[5 cm2 cell test code]],[1]!Table1[[Test code]:[Test code]],[1]!Table1[Q_int_frac DIW],"",0)</f>
        <v>#REF!</v>
      </c>
      <c r="AH1963" s="69" t="e" cm="1">
        <f t="array" ref="AH1963">_xlfn.XLOOKUP(Table1[[#This Row],[5 cm2 cell test code]:[5 cm2 cell test code]],[1]!Table1[[Test code]:[Test code]],[1]!Table1[Ionic resistance 10 mM KOH/Ohm cm2],"",0)</f>
        <v>#REF!</v>
      </c>
      <c r="AI1963" s="69" t="e" cm="1">
        <f t="array" ref="AI1963">_xlfn.XLOOKUP(Table1[[#This Row],[5 cm2 cell test code]:[5 cm2 cell test code]],[1]!Table1[[Test code]:[Test code]],[1]!Table1[Q_int_frac DIW 10 mM KOH],"",0)</f>
        <v>#REF!</v>
      </c>
      <c r="AJ1963" s="69" t="e" cm="1">
        <f t="array" ref="AJ1963">_xlfn.XLOOKUP(Table1[[#This Row],[5 cm2 cell test code]:[5 cm2 cell test code]],[1]!Table1[[Test code]:[Test code]],[1]!Table1[DIW conductivity (µS/cm)],"",0)</f>
        <v>#REF!</v>
      </c>
    </row>
    <row r="1964" spans="1:36">
      <c r="A1964" s="81"/>
      <c r="U1964" s="101"/>
      <c r="V1964" s="101"/>
      <c r="W1964" s="69" t="e" cm="1">
        <f t="array" ref="W1964">_xlfn.XLOOKUP(Table1[[#This Row],[5 cm2 cell test code]:[5 cm2 cell test code]],[1]!Table1[[Test code]:[Test code]],[1]!Table1[i @ 1.8 V DIW (A/cm2)],"",0)</f>
        <v>#REF!</v>
      </c>
      <c r="X1964" s="69" t="e" cm="1">
        <f t="array" ref="X1964">_xlfn.XLOOKUP(Table1[[#This Row],[5 cm2 cell test code]:[5 cm2 cell test code]],[1]!Table1[[Test code]:[Test code]],[1]!Table1[i @ 1.8 V 10 mM KOH (A/cm2)],"",0)</f>
        <v>#REF!</v>
      </c>
      <c r="Y1964" s="69" t="e" cm="1">
        <f t="array" ref="Y1964">_xlfn.XLOOKUP(Table1[[#This Row],[5 cm2 cell test code]:[5 cm2 cell test code]],[1]!Table1[[Test code]:[Test code]],[1]!Table1[3-E ƞ at 20mAcm-2 (mV)],"",0)</f>
        <v>#REF!</v>
      </c>
      <c r="Z1964" s="69" t="e" cm="1">
        <f t="array" ref="Z1964">_xlfn.XLOOKUP(Table1[[#This Row],[5 cm2 cell test code]:[5 cm2 cell test code]],[1]!Table1[[Test code]:[Test code]],[1]!Table1[3-E Tafel slope (mV/dec)],"",0)</f>
        <v>#REF!</v>
      </c>
      <c r="AA1964" s="69" t="e" cm="1">
        <f t="array" ref="AA1964">_xlfn.XLOOKUP(Table1[[#This Row],[5 cm2 cell test code]:[5 cm2 cell test code]],[1]!Table1[[Test code]:[Test code]],[1]!Table1[E @ 100 mA/cm2 DIW/V],"",0)</f>
        <v>#REF!</v>
      </c>
      <c r="AB1964" s="69" t="e" cm="1">
        <f t="array" ref="AB1964">_xlfn.XLOOKUP(Table1[[#This Row],[5 cm2 cell test code]:[5 cm2 cell test code]],[1]!Table1[[Test code]:[Test code]],[1]!Table1[E @ 100 mA/cm2 10 mM KOH/V],"",0)</f>
        <v>#REF!</v>
      </c>
      <c r="AC1964" s="69" t="e" cm="1">
        <f t="array" ref="AC1964">_xlfn.XLOOKUP(Table1[[#This Row],[5 cm2 cell test code]:[5 cm2 cell test code]],[1]!Table1[[Test code]:[Test code]],[1]!Table1[Anode ICR/mOhm],"",0)</f>
        <v>#REF!</v>
      </c>
      <c r="AD1964" s="69" t="e" cm="1">
        <f t="array" ref="AD1964">_xlfn.XLOOKUP(Table1[[#This Row],[5 cm2 cell test code]:[5 cm2 cell test code]],[1]!Table1[[Test code]:[Test code]],[1]!Table1[HFR DIW/ mOhm cm2],"",0)</f>
        <v>#REF!</v>
      </c>
      <c r="AE1964" s="69" t="e" cm="1">
        <f t="array" ref="AE1964">_xlfn.XLOOKUP(Table1[[#This Row],[5 cm2 cell test code]:[5 cm2 cell test code]],[1]!Table1[[Test code]:[Test code]],[1]!Table1[HFR 10 mM KOH/ mOhm cm2],"",0)</f>
        <v>#REF!</v>
      </c>
      <c r="AF1964" s="69" t="e" cm="1">
        <f t="array" ref="AF1964">_xlfn.XLOOKUP(Table1[[#This Row],[5 cm2 cell test code]:[5 cm2 cell test code]],[1]!Table1[[Test code]:[Test code]],[1]!Table1[Ionic resistance DIW/Ohm cm2],"",0)</f>
        <v>#REF!</v>
      </c>
      <c r="AG1964" s="69" t="e" cm="1">
        <f t="array" ref="AG1964">_xlfn.XLOOKUP(Table1[[#This Row],[5 cm2 cell test code]:[5 cm2 cell test code]],[1]!Table1[[Test code]:[Test code]],[1]!Table1[Q_int_frac DIW],"",0)</f>
        <v>#REF!</v>
      </c>
      <c r="AH1964" s="69" t="e" cm="1">
        <f t="array" ref="AH1964">_xlfn.XLOOKUP(Table1[[#This Row],[5 cm2 cell test code]:[5 cm2 cell test code]],[1]!Table1[[Test code]:[Test code]],[1]!Table1[Ionic resistance 10 mM KOH/Ohm cm2],"",0)</f>
        <v>#REF!</v>
      </c>
      <c r="AI1964" s="69" t="e" cm="1">
        <f t="array" ref="AI1964">_xlfn.XLOOKUP(Table1[[#This Row],[5 cm2 cell test code]:[5 cm2 cell test code]],[1]!Table1[[Test code]:[Test code]],[1]!Table1[Q_int_frac DIW 10 mM KOH],"",0)</f>
        <v>#REF!</v>
      </c>
      <c r="AJ1964" s="69" t="e" cm="1">
        <f t="array" ref="AJ1964">_xlfn.XLOOKUP(Table1[[#This Row],[5 cm2 cell test code]:[5 cm2 cell test code]],[1]!Table1[[Test code]:[Test code]],[1]!Table1[DIW conductivity (µS/cm)],"",0)</f>
        <v>#REF!</v>
      </c>
    </row>
    <row r="1965" spans="1:36">
      <c r="A1965" s="81"/>
      <c r="U1965" s="101"/>
      <c r="V1965" s="101"/>
      <c r="W1965" s="69" t="e" cm="1">
        <f t="array" ref="W1965">_xlfn.XLOOKUP(Table1[[#This Row],[5 cm2 cell test code]:[5 cm2 cell test code]],[1]!Table1[[Test code]:[Test code]],[1]!Table1[i @ 1.8 V DIW (A/cm2)],"",0)</f>
        <v>#REF!</v>
      </c>
      <c r="X1965" s="69" t="e" cm="1">
        <f t="array" ref="X1965">_xlfn.XLOOKUP(Table1[[#This Row],[5 cm2 cell test code]:[5 cm2 cell test code]],[1]!Table1[[Test code]:[Test code]],[1]!Table1[i @ 1.8 V 10 mM KOH (A/cm2)],"",0)</f>
        <v>#REF!</v>
      </c>
      <c r="Y1965" s="69" t="e" cm="1">
        <f t="array" ref="Y1965">_xlfn.XLOOKUP(Table1[[#This Row],[5 cm2 cell test code]:[5 cm2 cell test code]],[1]!Table1[[Test code]:[Test code]],[1]!Table1[3-E ƞ at 20mAcm-2 (mV)],"",0)</f>
        <v>#REF!</v>
      </c>
      <c r="Z1965" s="69" t="e" cm="1">
        <f t="array" ref="Z1965">_xlfn.XLOOKUP(Table1[[#This Row],[5 cm2 cell test code]:[5 cm2 cell test code]],[1]!Table1[[Test code]:[Test code]],[1]!Table1[3-E Tafel slope (mV/dec)],"",0)</f>
        <v>#REF!</v>
      </c>
      <c r="AA1965" s="69" t="e" cm="1">
        <f t="array" ref="AA1965">_xlfn.XLOOKUP(Table1[[#This Row],[5 cm2 cell test code]:[5 cm2 cell test code]],[1]!Table1[[Test code]:[Test code]],[1]!Table1[E @ 100 mA/cm2 DIW/V],"",0)</f>
        <v>#REF!</v>
      </c>
      <c r="AB1965" s="69" t="e" cm="1">
        <f t="array" ref="AB1965">_xlfn.XLOOKUP(Table1[[#This Row],[5 cm2 cell test code]:[5 cm2 cell test code]],[1]!Table1[[Test code]:[Test code]],[1]!Table1[E @ 100 mA/cm2 10 mM KOH/V],"",0)</f>
        <v>#REF!</v>
      </c>
      <c r="AC1965" s="69" t="e" cm="1">
        <f t="array" ref="AC1965">_xlfn.XLOOKUP(Table1[[#This Row],[5 cm2 cell test code]:[5 cm2 cell test code]],[1]!Table1[[Test code]:[Test code]],[1]!Table1[Anode ICR/mOhm],"",0)</f>
        <v>#REF!</v>
      </c>
      <c r="AD1965" s="69" t="e" cm="1">
        <f t="array" ref="AD1965">_xlfn.XLOOKUP(Table1[[#This Row],[5 cm2 cell test code]:[5 cm2 cell test code]],[1]!Table1[[Test code]:[Test code]],[1]!Table1[HFR DIW/ mOhm cm2],"",0)</f>
        <v>#REF!</v>
      </c>
      <c r="AE1965" s="69" t="e" cm="1">
        <f t="array" ref="AE1965">_xlfn.XLOOKUP(Table1[[#This Row],[5 cm2 cell test code]:[5 cm2 cell test code]],[1]!Table1[[Test code]:[Test code]],[1]!Table1[HFR 10 mM KOH/ mOhm cm2],"",0)</f>
        <v>#REF!</v>
      </c>
      <c r="AF1965" s="69" t="e" cm="1">
        <f t="array" ref="AF1965">_xlfn.XLOOKUP(Table1[[#This Row],[5 cm2 cell test code]:[5 cm2 cell test code]],[1]!Table1[[Test code]:[Test code]],[1]!Table1[Ionic resistance DIW/Ohm cm2],"",0)</f>
        <v>#REF!</v>
      </c>
      <c r="AG1965" s="69" t="e" cm="1">
        <f t="array" ref="AG1965">_xlfn.XLOOKUP(Table1[[#This Row],[5 cm2 cell test code]:[5 cm2 cell test code]],[1]!Table1[[Test code]:[Test code]],[1]!Table1[Q_int_frac DIW],"",0)</f>
        <v>#REF!</v>
      </c>
      <c r="AH1965" s="69" t="e" cm="1">
        <f t="array" ref="AH1965">_xlfn.XLOOKUP(Table1[[#This Row],[5 cm2 cell test code]:[5 cm2 cell test code]],[1]!Table1[[Test code]:[Test code]],[1]!Table1[Ionic resistance 10 mM KOH/Ohm cm2],"",0)</f>
        <v>#REF!</v>
      </c>
      <c r="AI1965" s="69" t="e" cm="1">
        <f t="array" ref="AI1965">_xlfn.XLOOKUP(Table1[[#This Row],[5 cm2 cell test code]:[5 cm2 cell test code]],[1]!Table1[[Test code]:[Test code]],[1]!Table1[Q_int_frac DIW 10 mM KOH],"",0)</f>
        <v>#REF!</v>
      </c>
      <c r="AJ1965" s="69" t="e" cm="1">
        <f t="array" ref="AJ1965">_xlfn.XLOOKUP(Table1[[#This Row],[5 cm2 cell test code]:[5 cm2 cell test code]],[1]!Table1[[Test code]:[Test code]],[1]!Table1[DIW conductivity (µS/cm)],"",0)</f>
        <v>#REF!</v>
      </c>
    </row>
    <row r="1966" spans="1:36">
      <c r="A1966" s="81"/>
      <c r="U1966" s="101"/>
      <c r="V1966" s="101"/>
      <c r="W1966" s="69" t="e" cm="1">
        <f t="array" ref="W1966">_xlfn.XLOOKUP(Table1[[#This Row],[5 cm2 cell test code]:[5 cm2 cell test code]],[1]!Table1[[Test code]:[Test code]],[1]!Table1[i @ 1.8 V DIW (A/cm2)],"",0)</f>
        <v>#REF!</v>
      </c>
      <c r="X1966" s="69" t="e" cm="1">
        <f t="array" ref="X1966">_xlfn.XLOOKUP(Table1[[#This Row],[5 cm2 cell test code]:[5 cm2 cell test code]],[1]!Table1[[Test code]:[Test code]],[1]!Table1[i @ 1.8 V 10 mM KOH (A/cm2)],"",0)</f>
        <v>#REF!</v>
      </c>
      <c r="Y1966" s="69" t="e" cm="1">
        <f t="array" ref="Y1966">_xlfn.XLOOKUP(Table1[[#This Row],[5 cm2 cell test code]:[5 cm2 cell test code]],[1]!Table1[[Test code]:[Test code]],[1]!Table1[3-E ƞ at 20mAcm-2 (mV)],"",0)</f>
        <v>#REF!</v>
      </c>
      <c r="Z1966" s="69" t="e" cm="1">
        <f t="array" ref="Z1966">_xlfn.XLOOKUP(Table1[[#This Row],[5 cm2 cell test code]:[5 cm2 cell test code]],[1]!Table1[[Test code]:[Test code]],[1]!Table1[3-E Tafel slope (mV/dec)],"",0)</f>
        <v>#REF!</v>
      </c>
      <c r="AA1966" s="69" t="e" cm="1">
        <f t="array" ref="AA1966">_xlfn.XLOOKUP(Table1[[#This Row],[5 cm2 cell test code]:[5 cm2 cell test code]],[1]!Table1[[Test code]:[Test code]],[1]!Table1[E @ 100 mA/cm2 DIW/V],"",0)</f>
        <v>#REF!</v>
      </c>
      <c r="AB1966" s="69" t="e" cm="1">
        <f t="array" ref="AB1966">_xlfn.XLOOKUP(Table1[[#This Row],[5 cm2 cell test code]:[5 cm2 cell test code]],[1]!Table1[[Test code]:[Test code]],[1]!Table1[E @ 100 mA/cm2 10 mM KOH/V],"",0)</f>
        <v>#REF!</v>
      </c>
      <c r="AC1966" s="69" t="e" cm="1">
        <f t="array" ref="AC1966">_xlfn.XLOOKUP(Table1[[#This Row],[5 cm2 cell test code]:[5 cm2 cell test code]],[1]!Table1[[Test code]:[Test code]],[1]!Table1[Anode ICR/mOhm],"",0)</f>
        <v>#REF!</v>
      </c>
      <c r="AD1966" s="69" t="e" cm="1">
        <f t="array" ref="AD1966">_xlfn.XLOOKUP(Table1[[#This Row],[5 cm2 cell test code]:[5 cm2 cell test code]],[1]!Table1[[Test code]:[Test code]],[1]!Table1[HFR DIW/ mOhm cm2],"",0)</f>
        <v>#REF!</v>
      </c>
      <c r="AE1966" s="69" t="e" cm="1">
        <f t="array" ref="AE1966">_xlfn.XLOOKUP(Table1[[#This Row],[5 cm2 cell test code]:[5 cm2 cell test code]],[1]!Table1[[Test code]:[Test code]],[1]!Table1[HFR 10 mM KOH/ mOhm cm2],"",0)</f>
        <v>#REF!</v>
      </c>
      <c r="AF1966" s="69" t="e" cm="1">
        <f t="array" ref="AF1966">_xlfn.XLOOKUP(Table1[[#This Row],[5 cm2 cell test code]:[5 cm2 cell test code]],[1]!Table1[[Test code]:[Test code]],[1]!Table1[Ionic resistance DIW/Ohm cm2],"",0)</f>
        <v>#REF!</v>
      </c>
      <c r="AG1966" s="69" t="e" cm="1">
        <f t="array" ref="AG1966">_xlfn.XLOOKUP(Table1[[#This Row],[5 cm2 cell test code]:[5 cm2 cell test code]],[1]!Table1[[Test code]:[Test code]],[1]!Table1[Q_int_frac DIW],"",0)</f>
        <v>#REF!</v>
      </c>
      <c r="AH1966" s="69" t="e" cm="1">
        <f t="array" ref="AH1966">_xlfn.XLOOKUP(Table1[[#This Row],[5 cm2 cell test code]:[5 cm2 cell test code]],[1]!Table1[[Test code]:[Test code]],[1]!Table1[Ionic resistance 10 mM KOH/Ohm cm2],"",0)</f>
        <v>#REF!</v>
      </c>
      <c r="AI1966" s="69" t="e" cm="1">
        <f t="array" ref="AI1966">_xlfn.XLOOKUP(Table1[[#This Row],[5 cm2 cell test code]:[5 cm2 cell test code]],[1]!Table1[[Test code]:[Test code]],[1]!Table1[Q_int_frac DIW 10 mM KOH],"",0)</f>
        <v>#REF!</v>
      </c>
      <c r="AJ1966" s="69" t="e" cm="1">
        <f t="array" ref="AJ1966">_xlfn.XLOOKUP(Table1[[#This Row],[5 cm2 cell test code]:[5 cm2 cell test code]],[1]!Table1[[Test code]:[Test code]],[1]!Table1[DIW conductivity (µS/cm)],"",0)</f>
        <v>#REF!</v>
      </c>
    </row>
    <row r="1967" spans="1:36">
      <c r="A1967" s="81"/>
      <c r="U1967" s="101"/>
      <c r="V1967" s="101"/>
      <c r="W1967" s="69" t="e" cm="1">
        <f t="array" ref="W1967">_xlfn.XLOOKUP(Table1[[#This Row],[5 cm2 cell test code]:[5 cm2 cell test code]],[1]!Table1[[Test code]:[Test code]],[1]!Table1[i @ 1.8 V DIW (A/cm2)],"",0)</f>
        <v>#REF!</v>
      </c>
      <c r="X1967" s="69" t="e" cm="1">
        <f t="array" ref="X1967">_xlfn.XLOOKUP(Table1[[#This Row],[5 cm2 cell test code]:[5 cm2 cell test code]],[1]!Table1[[Test code]:[Test code]],[1]!Table1[i @ 1.8 V 10 mM KOH (A/cm2)],"",0)</f>
        <v>#REF!</v>
      </c>
      <c r="Y1967" s="69" t="e" cm="1">
        <f t="array" ref="Y1967">_xlfn.XLOOKUP(Table1[[#This Row],[5 cm2 cell test code]:[5 cm2 cell test code]],[1]!Table1[[Test code]:[Test code]],[1]!Table1[3-E ƞ at 20mAcm-2 (mV)],"",0)</f>
        <v>#REF!</v>
      </c>
      <c r="Z1967" s="69" t="e" cm="1">
        <f t="array" ref="Z1967">_xlfn.XLOOKUP(Table1[[#This Row],[5 cm2 cell test code]:[5 cm2 cell test code]],[1]!Table1[[Test code]:[Test code]],[1]!Table1[3-E Tafel slope (mV/dec)],"",0)</f>
        <v>#REF!</v>
      </c>
      <c r="AA1967" s="69" t="e" cm="1">
        <f t="array" ref="AA1967">_xlfn.XLOOKUP(Table1[[#This Row],[5 cm2 cell test code]:[5 cm2 cell test code]],[1]!Table1[[Test code]:[Test code]],[1]!Table1[E @ 100 mA/cm2 DIW/V],"",0)</f>
        <v>#REF!</v>
      </c>
      <c r="AB1967" s="69" t="e" cm="1">
        <f t="array" ref="AB1967">_xlfn.XLOOKUP(Table1[[#This Row],[5 cm2 cell test code]:[5 cm2 cell test code]],[1]!Table1[[Test code]:[Test code]],[1]!Table1[E @ 100 mA/cm2 10 mM KOH/V],"",0)</f>
        <v>#REF!</v>
      </c>
      <c r="AC1967" s="69" t="e" cm="1">
        <f t="array" ref="AC1967">_xlfn.XLOOKUP(Table1[[#This Row],[5 cm2 cell test code]:[5 cm2 cell test code]],[1]!Table1[[Test code]:[Test code]],[1]!Table1[Anode ICR/mOhm],"",0)</f>
        <v>#REF!</v>
      </c>
      <c r="AD1967" s="69" t="e" cm="1">
        <f t="array" ref="AD1967">_xlfn.XLOOKUP(Table1[[#This Row],[5 cm2 cell test code]:[5 cm2 cell test code]],[1]!Table1[[Test code]:[Test code]],[1]!Table1[HFR DIW/ mOhm cm2],"",0)</f>
        <v>#REF!</v>
      </c>
      <c r="AE1967" s="69" t="e" cm="1">
        <f t="array" ref="AE1967">_xlfn.XLOOKUP(Table1[[#This Row],[5 cm2 cell test code]:[5 cm2 cell test code]],[1]!Table1[[Test code]:[Test code]],[1]!Table1[HFR 10 mM KOH/ mOhm cm2],"",0)</f>
        <v>#REF!</v>
      </c>
      <c r="AF1967" s="69" t="e" cm="1">
        <f t="array" ref="AF1967">_xlfn.XLOOKUP(Table1[[#This Row],[5 cm2 cell test code]:[5 cm2 cell test code]],[1]!Table1[[Test code]:[Test code]],[1]!Table1[Ionic resistance DIW/Ohm cm2],"",0)</f>
        <v>#REF!</v>
      </c>
      <c r="AG1967" s="69" t="e" cm="1">
        <f t="array" ref="AG1967">_xlfn.XLOOKUP(Table1[[#This Row],[5 cm2 cell test code]:[5 cm2 cell test code]],[1]!Table1[[Test code]:[Test code]],[1]!Table1[Q_int_frac DIW],"",0)</f>
        <v>#REF!</v>
      </c>
      <c r="AH1967" s="69" t="e" cm="1">
        <f t="array" ref="AH1967">_xlfn.XLOOKUP(Table1[[#This Row],[5 cm2 cell test code]:[5 cm2 cell test code]],[1]!Table1[[Test code]:[Test code]],[1]!Table1[Ionic resistance 10 mM KOH/Ohm cm2],"",0)</f>
        <v>#REF!</v>
      </c>
      <c r="AI1967" s="69" t="e" cm="1">
        <f t="array" ref="AI1967">_xlfn.XLOOKUP(Table1[[#This Row],[5 cm2 cell test code]:[5 cm2 cell test code]],[1]!Table1[[Test code]:[Test code]],[1]!Table1[Q_int_frac DIW 10 mM KOH],"",0)</f>
        <v>#REF!</v>
      </c>
      <c r="AJ1967" s="69" t="e" cm="1">
        <f t="array" ref="AJ1967">_xlfn.XLOOKUP(Table1[[#This Row],[5 cm2 cell test code]:[5 cm2 cell test code]],[1]!Table1[[Test code]:[Test code]],[1]!Table1[DIW conductivity (µS/cm)],"",0)</f>
        <v>#REF!</v>
      </c>
    </row>
    <row r="1968" spans="1:36">
      <c r="A1968" s="81"/>
      <c r="U1968" s="101"/>
      <c r="V1968" s="101"/>
      <c r="W1968" s="69" t="e" cm="1">
        <f t="array" ref="W1968">_xlfn.XLOOKUP(Table1[[#This Row],[5 cm2 cell test code]:[5 cm2 cell test code]],[1]!Table1[[Test code]:[Test code]],[1]!Table1[i @ 1.8 V DIW (A/cm2)],"",0)</f>
        <v>#REF!</v>
      </c>
      <c r="X1968" s="69" t="e" cm="1">
        <f t="array" ref="X1968">_xlfn.XLOOKUP(Table1[[#This Row],[5 cm2 cell test code]:[5 cm2 cell test code]],[1]!Table1[[Test code]:[Test code]],[1]!Table1[i @ 1.8 V 10 mM KOH (A/cm2)],"",0)</f>
        <v>#REF!</v>
      </c>
      <c r="Y1968" s="69" t="e" cm="1">
        <f t="array" ref="Y1968">_xlfn.XLOOKUP(Table1[[#This Row],[5 cm2 cell test code]:[5 cm2 cell test code]],[1]!Table1[[Test code]:[Test code]],[1]!Table1[3-E ƞ at 20mAcm-2 (mV)],"",0)</f>
        <v>#REF!</v>
      </c>
      <c r="Z1968" s="69" t="e" cm="1">
        <f t="array" ref="Z1968">_xlfn.XLOOKUP(Table1[[#This Row],[5 cm2 cell test code]:[5 cm2 cell test code]],[1]!Table1[[Test code]:[Test code]],[1]!Table1[3-E Tafel slope (mV/dec)],"",0)</f>
        <v>#REF!</v>
      </c>
      <c r="AA1968" s="69" t="e" cm="1">
        <f t="array" ref="AA1968">_xlfn.XLOOKUP(Table1[[#This Row],[5 cm2 cell test code]:[5 cm2 cell test code]],[1]!Table1[[Test code]:[Test code]],[1]!Table1[E @ 100 mA/cm2 DIW/V],"",0)</f>
        <v>#REF!</v>
      </c>
      <c r="AB1968" s="69" t="e" cm="1">
        <f t="array" ref="AB1968">_xlfn.XLOOKUP(Table1[[#This Row],[5 cm2 cell test code]:[5 cm2 cell test code]],[1]!Table1[[Test code]:[Test code]],[1]!Table1[E @ 100 mA/cm2 10 mM KOH/V],"",0)</f>
        <v>#REF!</v>
      </c>
      <c r="AC1968" s="69" t="e" cm="1">
        <f t="array" ref="AC1968">_xlfn.XLOOKUP(Table1[[#This Row],[5 cm2 cell test code]:[5 cm2 cell test code]],[1]!Table1[[Test code]:[Test code]],[1]!Table1[Anode ICR/mOhm],"",0)</f>
        <v>#REF!</v>
      </c>
      <c r="AD1968" s="69" t="e" cm="1">
        <f t="array" ref="AD1968">_xlfn.XLOOKUP(Table1[[#This Row],[5 cm2 cell test code]:[5 cm2 cell test code]],[1]!Table1[[Test code]:[Test code]],[1]!Table1[HFR DIW/ mOhm cm2],"",0)</f>
        <v>#REF!</v>
      </c>
      <c r="AE1968" s="69" t="e" cm="1">
        <f t="array" ref="AE1968">_xlfn.XLOOKUP(Table1[[#This Row],[5 cm2 cell test code]:[5 cm2 cell test code]],[1]!Table1[[Test code]:[Test code]],[1]!Table1[HFR 10 mM KOH/ mOhm cm2],"",0)</f>
        <v>#REF!</v>
      </c>
      <c r="AF1968" s="69" t="e" cm="1">
        <f t="array" ref="AF1968">_xlfn.XLOOKUP(Table1[[#This Row],[5 cm2 cell test code]:[5 cm2 cell test code]],[1]!Table1[[Test code]:[Test code]],[1]!Table1[Ionic resistance DIW/Ohm cm2],"",0)</f>
        <v>#REF!</v>
      </c>
      <c r="AG1968" s="69" t="e" cm="1">
        <f t="array" ref="AG1968">_xlfn.XLOOKUP(Table1[[#This Row],[5 cm2 cell test code]:[5 cm2 cell test code]],[1]!Table1[[Test code]:[Test code]],[1]!Table1[Q_int_frac DIW],"",0)</f>
        <v>#REF!</v>
      </c>
      <c r="AH1968" s="69" t="e" cm="1">
        <f t="array" ref="AH1968">_xlfn.XLOOKUP(Table1[[#This Row],[5 cm2 cell test code]:[5 cm2 cell test code]],[1]!Table1[[Test code]:[Test code]],[1]!Table1[Ionic resistance 10 mM KOH/Ohm cm2],"",0)</f>
        <v>#REF!</v>
      </c>
      <c r="AI1968" s="69" t="e" cm="1">
        <f t="array" ref="AI1968">_xlfn.XLOOKUP(Table1[[#This Row],[5 cm2 cell test code]:[5 cm2 cell test code]],[1]!Table1[[Test code]:[Test code]],[1]!Table1[Q_int_frac DIW 10 mM KOH],"",0)</f>
        <v>#REF!</v>
      </c>
      <c r="AJ1968" s="69" t="e" cm="1">
        <f t="array" ref="AJ1968">_xlfn.XLOOKUP(Table1[[#This Row],[5 cm2 cell test code]:[5 cm2 cell test code]],[1]!Table1[[Test code]:[Test code]],[1]!Table1[DIW conductivity (µS/cm)],"",0)</f>
        <v>#REF!</v>
      </c>
    </row>
    <row r="1969" spans="1:36">
      <c r="A1969" s="81"/>
      <c r="U1969" s="101"/>
      <c r="V1969" s="101"/>
      <c r="W1969" s="69" t="e" cm="1">
        <f t="array" ref="W1969">_xlfn.XLOOKUP(Table1[[#This Row],[5 cm2 cell test code]:[5 cm2 cell test code]],[1]!Table1[[Test code]:[Test code]],[1]!Table1[i @ 1.8 V DIW (A/cm2)],"",0)</f>
        <v>#REF!</v>
      </c>
      <c r="X1969" s="69" t="e" cm="1">
        <f t="array" ref="X1969">_xlfn.XLOOKUP(Table1[[#This Row],[5 cm2 cell test code]:[5 cm2 cell test code]],[1]!Table1[[Test code]:[Test code]],[1]!Table1[i @ 1.8 V 10 mM KOH (A/cm2)],"",0)</f>
        <v>#REF!</v>
      </c>
      <c r="Y1969" s="69" t="e" cm="1">
        <f t="array" ref="Y1969">_xlfn.XLOOKUP(Table1[[#This Row],[5 cm2 cell test code]:[5 cm2 cell test code]],[1]!Table1[[Test code]:[Test code]],[1]!Table1[3-E ƞ at 20mAcm-2 (mV)],"",0)</f>
        <v>#REF!</v>
      </c>
      <c r="Z1969" s="69" t="e" cm="1">
        <f t="array" ref="Z1969">_xlfn.XLOOKUP(Table1[[#This Row],[5 cm2 cell test code]:[5 cm2 cell test code]],[1]!Table1[[Test code]:[Test code]],[1]!Table1[3-E Tafel slope (mV/dec)],"",0)</f>
        <v>#REF!</v>
      </c>
      <c r="AA1969" s="69" t="e" cm="1">
        <f t="array" ref="AA1969">_xlfn.XLOOKUP(Table1[[#This Row],[5 cm2 cell test code]:[5 cm2 cell test code]],[1]!Table1[[Test code]:[Test code]],[1]!Table1[E @ 100 mA/cm2 DIW/V],"",0)</f>
        <v>#REF!</v>
      </c>
      <c r="AB1969" s="69" t="e" cm="1">
        <f t="array" ref="AB1969">_xlfn.XLOOKUP(Table1[[#This Row],[5 cm2 cell test code]:[5 cm2 cell test code]],[1]!Table1[[Test code]:[Test code]],[1]!Table1[E @ 100 mA/cm2 10 mM KOH/V],"",0)</f>
        <v>#REF!</v>
      </c>
      <c r="AC1969" s="69" t="e" cm="1">
        <f t="array" ref="AC1969">_xlfn.XLOOKUP(Table1[[#This Row],[5 cm2 cell test code]:[5 cm2 cell test code]],[1]!Table1[[Test code]:[Test code]],[1]!Table1[Anode ICR/mOhm],"",0)</f>
        <v>#REF!</v>
      </c>
      <c r="AD1969" s="69" t="e" cm="1">
        <f t="array" ref="AD1969">_xlfn.XLOOKUP(Table1[[#This Row],[5 cm2 cell test code]:[5 cm2 cell test code]],[1]!Table1[[Test code]:[Test code]],[1]!Table1[HFR DIW/ mOhm cm2],"",0)</f>
        <v>#REF!</v>
      </c>
      <c r="AE1969" s="69" t="e" cm="1">
        <f t="array" ref="AE1969">_xlfn.XLOOKUP(Table1[[#This Row],[5 cm2 cell test code]:[5 cm2 cell test code]],[1]!Table1[[Test code]:[Test code]],[1]!Table1[HFR 10 mM KOH/ mOhm cm2],"",0)</f>
        <v>#REF!</v>
      </c>
      <c r="AF1969" s="69" t="e" cm="1">
        <f t="array" ref="AF1969">_xlfn.XLOOKUP(Table1[[#This Row],[5 cm2 cell test code]:[5 cm2 cell test code]],[1]!Table1[[Test code]:[Test code]],[1]!Table1[Ionic resistance DIW/Ohm cm2],"",0)</f>
        <v>#REF!</v>
      </c>
      <c r="AG1969" s="69" t="e" cm="1">
        <f t="array" ref="AG1969">_xlfn.XLOOKUP(Table1[[#This Row],[5 cm2 cell test code]:[5 cm2 cell test code]],[1]!Table1[[Test code]:[Test code]],[1]!Table1[Q_int_frac DIW],"",0)</f>
        <v>#REF!</v>
      </c>
      <c r="AH1969" s="69" t="e" cm="1">
        <f t="array" ref="AH1969">_xlfn.XLOOKUP(Table1[[#This Row],[5 cm2 cell test code]:[5 cm2 cell test code]],[1]!Table1[[Test code]:[Test code]],[1]!Table1[Ionic resistance 10 mM KOH/Ohm cm2],"",0)</f>
        <v>#REF!</v>
      </c>
      <c r="AI1969" s="69" t="e" cm="1">
        <f t="array" ref="AI1969">_xlfn.XLOOKUP(Table1[[#This Row],[5 cm2 cell test code]:[5 cm2 cell test code]],[1]!Table1[[Test code]:[Test code]],[1]!Table1[Q_int_frac DIW 10 mM KOH],"",0)</f>
        <v>#REF!</v>
      </c>
      <c r="AJ1969" s="69" t="e" cm="1">
        <f t="array" ref="AJ1969">_xlfn.XLOOKUP(Table1[[#This Row],[5 cm2 cell test code]:[5 cm2 cell test code]],[1]!Table1[[Test code]:[Test code]],[1]!Table1[DIW conductivity (µS/cm)],"",0)</f>
        <v>#REF!</v>
      </c>
    </row>
    <row r="1970" spans="1:36">
      <c r="A1970" s="81"/>
      <c r="U1970" s="101"/>
      <c r="V1970" s="101"/>
      <c r="W1970" s="69" t="e" cm="1">
        <f t="array" ref="W1970">_xlfn.XLOOKUP(Table1[[#This Row],[5 cm2 cell test code]:[5 cm2 cell test code]],[1]!Table1[[Test code]:[Test code]],[1]!Table1[i @ 1.8 V DIW (A/cm2)],"",0)</f>
        <v>#REF!</v>
      </c>
      <c r="X1970" s="69" t="e" cm="1">
        <f t="array" ref="X1970">_xlfn.XLOOKUP(Table1[[#This Row],[5 cm2 cell test code]:[5 cm2 cell test code]],[1]!Table1[[Test code]:[Test code]],[1]!Table1[i @ 1.8 V 10 mM KOH (A/cm2)],"",0)</f>
        <v>#REF!</v>
      </c>
      <c r="Y1970" s="69" t="e" cm="1">
        <f t="array" ref="Y1970">_xlfn.XLOOKUP(Table1[[#This Row],[5 cm2 cell test code]:[5 cm2 cell test code]],[1]!Table1[[Test code]:[Test code]],[1]!Table1[3-E ƞ at 20mAcm-2 (mV)],"",0)</f>
        <v>#REF!</v>
      </c>
      <c r="Z1970" s="69" t="e" cm="1">
        <f t="array" ref="Z1970">_xlfn.XLOOKUP(Table1[[#This Row],[5 cm2 cell test code]:[5 cm2 cell test code]],[1]!Table1[[Test code]:[Test code]],[1]!Table1[3-E Tafel slope (mV/dec)],"",0)</f>
        <v>#REF!</v>
      </c>
      <c r="AA1970" s="69" t="e" cm="1">
        <f t="array" ref="AA1970">_xlfn.XLOOKUP(Table1[[#This Row],[5 cm2 cell test code]:[5 cm2 cell test code]],[1]!Table1[[Test code]:[Test code]],[1]!Table1[E @ 100 mA/cm2 DIW/V],"",0)</f>
        <v>#REF!</v>
      </c>
      <c r="AB1970" s="69" t="e" cm="1">
        <f t="array" ref="AB1970">_xlfn.XLOOKUP(Table1[[#This Row],[5 cm2 cell test code]:[5 cm2 cell test code]],[1]!Table1[[Test code]:[Test code]],[1]!Table1[E @ 100 mA/cm2 10 mM KOH/V],"",0)</f>
        <v>#REF!</v>
      </c>
      <c r="AC1970" s="69" t="e" cm="1">
        <f t="array" ref="AC1970">_xlfn.XLOOKUP(Table1[[#This Row],[5 cm2 cell test code]:[5 cm2 cell test code]],[1]!Table1[[Test code]:[Test code]],[1]!Table1[Anode ICR/mOhm],"",0)</f>
        <v>#REF!</v>
      </c>
      <c r="AD1970" s="69" t="e" cm="1">
        <f t="array" ref="AD1970">_xlfn.XLOOKUP(Table1[[#This Row],[5 cm2 cell test code]:[5 cm2 cell test code]],[1]!Table1[[Test code]:[Test code]],[1]!Table1[HFR DIW/ mOhm cm2],"",0)</f>
        <v>#REF!</v>
      </c>
      <c r="AE1970" s="69" t="e" cm="1">
        <f t="array" ref="AE1970">_xlfn.XLOOKUP(Table1[[#This Row],[5 cm2 cell test code]:[5 cm2 cell test code]],[1]!Table1[[Test code]:[Test code]],[1]!Table1[HFR 10 mM KOH/ mOhm cm2],"",0)</f>
        <v>#REF!</v>
      </c>
      <c r="AF1970" s="69" t="e" cm="1">
        <f t="array" ref="AF1970">_xlfn.XLOOKUP(Table1[[#This Row],[5 cm2 cell test code]:[5 cm2 cell test code]],[1]!Table1[[Test code]:[Test code]],[1]!Table1[Ionic resistance DIW/Ohm cm2],"",0)</f>
        <v>#REF!</v>
      </c>
      <c r="AG1970" s="69" t="e" cm="1">
        <f t="array" ref="AG1970">_xlfn.XLOOKUP(Table1[[#This Row],[5 cm2 cell test code]:[5 cm2 cell test code]],[1]!Table1[[Test code]:[Test code]],[1]!Table1[Q_int_frac DIW],"",0)</f>
        <v>#REF!</v>
      </c>
      <c r="AH1970" s="69" t="e" cm="1">
        <f t="array" ref="AH1970">_xlfn.XLOOKUP(Table1[[#This Row],[5 cm2 cell test code]:[5 cm2 cell test code]],[1]!Table1[[Test code]:[Test code]],[1]!Table1[Ionic resistance 10 mM KOH/Ohm cm2],"",0)</f>
        <v>#REF!</v>
      </c>
      <c r="AI1970" s="69" t="e" cm="1">
        <f t="array" ref="AI1970">_xlfn.XLOOKUP(Table1[[#This Row],[5 cm2 cell test code]:[5 cm2 cell test code]],[1]!Table1[[Test code]:[Test code]],[1]!Table1[Q_int_frac DIW 10 mM KOH],"",0)</f>
        <v>#REF!</v>
      </c>
      <c r="AJ1970" s="69" t="e" cm="1">
        <f t="array" ref="AJ1970">_xlfn.XLOOKUP(Table1[[#This Row],[5 cm2 cell test code]:[5 cm2 cell test code]],[1]!Table1[[Test code]:[Test code]],[1]!Table1[DIW conductivity (µS/cm)],"",0)</f>
        <v>#REF!</v>
      </c>
    </row>
    <row r="1971" spans="1:36">
      <c r="A1971" s="81"/>
      <c r="U1971" s="101"/>
      <c r="V1971" s="101"/>
      <c r="W1971" s="69" t="e" cm="1">
        <f t="array" ref="W1971">_xlfn.XLOOKUP(Table1[[#This Row],[5 cm2 cell test code]:[5 cm2 cell test code]],[1]!Table1[[Test code]:[Test code]],[1]!Table1[i @ 1.8 V DIW (A/cm2)],"",0)</f>
        <v>#REF!</v>
      </c>
      <c r="X1971" s="69" t="e" cm="1">
        <f t="array" ref="X1971">_xlfn.XLOOKUP(Table1[[#This Row],[5 cm2 cell test code]:[5 cm2 cell test code]],[1]!Table1[[Test code]:[Test code]],[1]!Table1[i @ 1.8 V 10 mM KOH (A/cm2)],"",0)</f>
        <v>#REF!</v>
      </c>
      <c r="Y1971" s="69" t="e" cm="1">
        <f t="array" ref="Y1971">_xlfn.XLOOKUP(Table1[[#This Row],[5 cm2 cell test code]:[5 cm2 cell test code]],[1]!Table1[[Test code]:[Test code]],[1]!Table1[3-E ƞ at 20mAcm-2 (mV)],"",0)</f>
        <v>#REF!</v>
      </c>
      <c r="Z1971" s="69" t="e" cm="1">
        <f t="array" ref="Z1971">_xlfn.XLOOKUP(Table1[[#This Row],[5 cm2 cell test code]:[5 cm2 cell test code]],[1]!Table1[[Test code]:[Test code]],[1]!Table1[3-E Tafel slope (mV/dec)],"",0)</f>
        <v>#REF!</v>
      </c>
      <c r="AA1971" s="69" t="e" cm="1">
        <f t="array" ref="AA1971">_xlfn.XLOOKUP(Table1[[#This Row],[5 cm2 cell test code]:[5 cm2 cell test code]],[1]!Table1[[Test code]:[Test code]],[1]!Table1[E @ 100 mA/cm2 DIW/V],"",0)</f>
        <v>#REF!</v>
      </c>
      <c r="AB1971" s="69" t="e" cm="1">
        <f t="array" ref="AB1971">_xlfn.XLOOKUP(Table1[[#This Row],[5 cm2 cell test code]:[5 cm2 cell test code]],[1]!Table1[[Test code]:[Test code]],[1]!Table1[E @ 100 mA/cm2 10 mM KOH/V],"",0)</f>
        <v>#REF!</v>
      </c>
      <c r="AC1971" s="69" t="e" cm="1">
        <f t="array" ref="AC1971">_xlfn.XLOOKUP(Table1[[#This Row],[5 cm2 cell test code]:[5 cm2 cell test code]],[1]!Table1[[Test code]:[Test code]],[1]!Table1[Anode ICR/mOhm],"",0)</f>
        <v>#REF!</v>
      </c>
      <c r="AD1971" s="69" t="e" cm="1">
        <f t="array" ref="AD1971">_xlfn.XLOOKUP(Table1[[#This Row],[5 cm2 cell test code]:[5 cm2 cell test code]],[1]!Table1[[Test code]:[Test code]],[1]!Table1[HFR DIW/ mOhm cm2],"",0)</f>
        <v>#REF!</v>
      </c>
      <c r="AE1971" s="69" t="e" cm="1">
        <f t="array" ref="AE1971">_xlfn.XLOOKUP(Table1[[#This Row],[5 cm2 cell test code]:[5 cm2 cell test code]],[1]!Table1[[Test code]:[Test code]],[1]!Table1[HFR 10 mM KOH/ mOhm cm2],"",0)</f>
        <v>#REF!</v>
      </c>
      <c r="AF1971" s="69" t="e" cm="1">
        <f t="array" ref="AF1971">_xlfn.XLOOKUP(Table1[[#This Row],[5 cm2 cell test code]:[5 cm2 cell test code]],[1]!Table1[[Test code]:[Test code]],[1]!Table1[Ionic resistance DIW/Ohm cm2],"",0)</f>
        <v>#REF!</v>
      </c>
      <c r="AG1971" s="69" t="e" cm="1">
        <f t="array" ref="AG1971">_xlfn.XLOOKUP(Table1[[#This Row],[5 cm2 cell test code]:[5 cm2 cell test code]],[1]!Table1[[Test code]:[Test code]],[1]!Table1[Q_int_frac DIW],"",0)</f>
        <v>#REF!</v>
      </c>
      <c r="AH1971" s="69" t="e" cm="1">
        <f t="array" ref="AH1971">_xlfn.XLOOKUP(Table1[[#This Row],[5 cm2 cell test code]:[5 cm2 cell test code]],[1]!Table1[[Test code]:[Test code]],[1]!Table1[Ionic resistance 10 mM KOH/Ohm cm2],"",0)</f>
        <v>#REF!</v>
      </c>
      <c r="AI1971" s="69" t="e" cm="1">
        <f t="array" ref="AI1971">_xlfn.XLOOKUP(Table1[[#This Row],[5 cm2 cell test code]:[5 cm2 cell test code]],[1]!Table1[[Test code]:[Test code]],[1]!Table1[Q_int_frac DIW 10 mM KOH],"",0)</f>
        <v>#REF!</v>
      </c>
      <c r="AJ1971" s="69" t="e" cm="1">
        <f t="array" ref="AJ1971">_xlfn.XLOOKUP(Table1[[#This Row],[5 cm2 cell test code]:[5 cm2 cell test code]],[1]!Table1[[Test code]:[Test code]],[1]!Table1[DIW conductivity (µS/cm)],"",0)</f>
        <v>#REF!</v>
      </c>
    </row>
    <row r="1972" spans="1:36">
      <c r="A1972" s="81"/>
      <c r="U1972" s="101"/>
      <c r="V1972" s="101"/>
      <c r="W1972" s="69" t="e" cm="1">
        <f t="array" ref="W1972">_xlfn.XLOOKUP(Table1[[#This Row],[5 cm2 cell test code]:[5 cm2 cell test code]],[1]!Table1[[Test code]:[Test code]],[1]!Table1[i @ 1.8 V DIW (A/cm2)],"",0)</f>
        <v>#REF!</v>
      </c>
      <c r="X1972" s="69" t="e" cm="1">
        <f t="array" ref="X1972">_xlfn.XLOOKUP(Table1[[#This Row],[5 cm2 cell test code]:[5 cm2 cell test code]],[1]!Table1[[Test code]:[Test code]],[1]!Table1[i @ 1.8 V 10 mM KOH (A/cm2)],"",0)</f>
        <v>#REF!</v>
      </c>
      <c r="Y1972" s="69" t="e" cm="1">
        <f t="array" ref="Y1972">_xlfn.XLOOKUP(Table1[[#This Row],[5 cm2 cell test code]:[5 cm2 cell test code]],[1]!Table1[[Test code]:[Test code]],[1]!Table1[3-E ƞ at 20mAcm-2 (mV)],"",0)</f>
        <v>#REF!</v>
      </c>
      <c r="Z1972" s="69" t="e" cm="1">
        <f t="array" ref="Z1972">_xlfn.XLOOKUP(Table1[[#This Row],[5 cm2 cell test code]:[5 cm2 cell test code]],[1]!Table1[[Test code]:[Test code]],[1]!Table1[3-E Tafel slope (mV/dec)],"",0)</f>
        <v>#REF!</v>
      </c>
      <c r="AA1972" s="69" t="e" cm="1">
        <f t="array" ref="AA1972">_xlfn.XLOOKUP(Table1[[#This Row],[5 cm2 cell test code]:[5 cm2 cell test code]],[1]!Table1[[Test code]:[Test code]],[1]!Table1[E @ 100 mA/cm2 DIW/V],"",0)</f>
        <v>#REF!</v>
      </c>
      <c r="AB1972" s="69" t="e" cm="1">
        <f t="array" ref="AB1972">_xlfn.XLOOKUP(Table1[[#This Row],[5 cm2 cell test code]:[5 cm2 cell test code]],[1]!Table1[[Test code]:[Test code]],[1]!Table1[E @ 100 mA/cm2 10 mM KOH/V],"",0)</f>
        <v>#REF!</v>
      </c>
      <c r="AC1972" s="69" t="e" cm="1">
        <f t="array" ref="AC1972">_xlfn.XLOOKUP(Table1[[#This Row],[5 cm2 cell test code]:[5 cm2 cell test code]],[1]!Table1[[Test code]:[Test code]],[1]!Table1[Anode ICR/mOhm],"",0)</f>
        <v>#REF!</v>
      </c>
      <c r="AD1972" s="69" t="e" cm="1">
        <f t="array" ref="AD1972">_xlfn.XLOOKUP(Table1[[#This Row],[5 cm2 cell test code]:[5 cm2 cell test code]],[1]!Table1[[Test code]:[Test code]],[1]!Table1[HFR DIW/ mOhm cm2],"",0)</f>
        <v>#REF!</v>
      </c>
      <c r="AE1972" s="69" t="e" cm="1">
        <f t="array" ref="AE1972">_xlfn.XLOOKUP(Table1[[#This Row],[5 cm2 cell test code]:[5 cm2 cell test code]],[1]!Table1[[Test code]:[Test code]],[1]!Table1[HFR 10 mM KOH/ mOhm cm2],"",0)</f>
        <v>#REF!</v>
      </c>
      <c r="AF1972" s="69" t="e" cm="1">
        <f t="array" ref="AF1972">_xlfn.XLOOKUP(Table1[[#This Row],[5 cm2 cell test code]:[5 cm2 cell test code]],[1]!Table1[[Test code]:[Test code]],[1]!Table1[Ionic resistance DIW/Ohm cm2],"",0)</f>
        <v>#REF!</v>
      </c>
      <c r="AG1972" s="69" t="e" cm="1">
        <f t="array" ref="AG1972">_xlfn.XLOOKUP(Table1[[#This Row],[5 cm2 cell test code]:[5 cm2 cell test code]],[1]!Table1[[Test code]:[Test code]],[1]!Table1[Q_int_frac DIW],"",0)</f>
        <v>#REF!</v>
      </c>
      <c r="AH1972" s="69" t="e" cm="1">
        <f t="array" ref="AH1972">_xlfn.XLOOKUP(Table1[[#This Row],[5 cm2 cell test code]:[5 cm2 cell test code]],[1]!Table1[[Test code]:[Test code]],[1]!Table1[Ionic resistance 10 mM KOH/Ohm cm2],"",0)</f>
        <v>#REF!</v>
      </c>
      <c r="AI1972" s="69" t="e" cm="1">
        <f t="array" ref="AI1972">_xlfn.XLOOKUP(Table1[[#This Row],[5 cm2 cell test code]:[5 cm2 cell test code]],[1]!Table1[[Test code]:[Test code]],[1]!Table1[Q_int_frac DIW 10 mM KOH],"",0)</f>
        <v>#REF!</v>
      </c>
      <c r="AJ1972" s="69" t="e" cm="1">
        <f t="array" ref="AJ1972">_xlfn.XLOOKUP(Table1[[#This Row],[5 cm2 cell test code]:[5 cm2 cell test code]],[1]!Table1[[Test code]:[Test code]],[1]!Table1[DIW conductivity (µS/cm)],"",0)</f>
        <v>#REF!</v>
      </c>
    </row>
    <row r="1973" spans="1:36">
      <c r="A1973" s="81"/>
      <c r="U1973" s="101"/>
      <c r="V1973" s="101"/>
      <c r="W1973" s="69" t="e" cm="1">
        <f t="array" ref="W1973">_xlfn.XLOOKUP(Table1[[#This Row],[5 cm2 cell test code]:[5 cm2 cell test code]],[1]!Table1[[Test code]:[Test code]],[1]!Table1[i @ 1.8 V DIW (A/cm2)],"",0)</f>
        <v>#REF!</v>
      </c>
      <c r="X1973" s="69" t="e" cm="1">
        <f t="array" ref="X1973">_xlfn.XLOOKUP(Table1[[#This Row],[5 cm2 cell test code]:[5 cm2 cell test code]],[1]!Table1[[Test code]:[Test code]],[1]!Table1[i @ 1.8 V 10 mM KOH (A/cm2)],"",0)</f>
        <v>#REF!</v>
      </c>
      <c r="Y1973" s="69" t="e" cm="1">
        <f t="array" ref="Y1973">_xlfn.XLOOKUP(Table1[[#This Row],[5 cm2 cell test code]:[5 cm2 cell test code]],[1]!Table1[[Test code]:[Test code]],[1]!Table1[3-E ƞ at 20mAcm-2 (mV)],"",0)</f>
        <v>#REF!</v>
      </c>
      <c r="Z1973" s="69" t="e" cm="1">
        <f t="array" ref="Z1973">_xlfn.XLOOKUP(Table1[[#This Row],[5 cm2 cell test code]:[5 cm2 cell test code]],[1]!Table1[[Test code]:[Test code]],[1]!Table1[3-E Tafel slope (mV/dec)],"",0)</f>
        <v>#REF!</v>
      </c>
      <c r="AA1973" s="69" t="e" cm="1">
        <f t="array" ref="AA1973">_xlfn.XLOOKUP(Table1[[#This Row],[5 cm2 cell test code]:[5 cm2 cell test code]],[1]!Table1[[Test code]:[Test code]],[1]!Table1[E @ 100 mA/cm2 DIW/V],"",0)</f>
        <v>#REF!</v>
      </c>
      <c r="AB1973" s="69" t="e" cm="1">
        <f t="array" ref="AB1973">_xlfn.XLOOKUP(Table1[[#This Row],[5 cm2 cell test code]:[5 cm2 cell test code]],[1]!Table1[[Test code]:[Test code]],[1]!Table1[E @ 100 mA/cm2 10 mM KOH/V],"",0)</f>
        <v>#REF!</v>
      </c>
      <c r="AC1973" s="69" t="e" cm="1">
        <f t="array" ref="AC1973">_xlfn.XLOOKUP(Table1[[#This Row],[5 cm2 cell test code]:[5 cm2 cell test code]],[1]!Table1[[Test code]:[Test code]],[1]!Table1[Anode ICR/mOhm],"",0)</f>
        <v>#REF!</v>
      </c>
      <c r="AD1973" s="69" t="e" cm="1">
        <f t="array" ref="AD1973">_xlfn.XLOOKUP(Table1[[#This Row],[5 cm2 cell test code]:[5 cm2 cell test code]],[1]!Table1[[Test code]:[Test code]],[1]!Table1[HFR DIW/ mOhm cm2],"",0)</f>
        <v>#REF!</v>
      </c>
      <c r="AE1973" s="69" t="e" cm="1">
        <f t="array" ref="AE1973">_xlfn.XLOOKUP(Table1[[#This Row],[5 cm2 cell test code]:[5 cm2 cell test code]],[1]!Table1[[Test code]:[Test code]],[1]!Table1[HFR 10 mM KOH/ mOhm cm2],"",0)</f>
        <v>#REF!</v>
      </c>
      <c r="AF1973" s="69" t="e" cm="1">
        <f t="array" ref="AF1973">_xlfn.XLOOKUP(Table1[[#This Row],[5 cm2 cell test code]:[5 cm2 cell test code]],[1]!Table1[[Test code]:[Test code]],[1]!Table1[Ionic resistance DIW/Ohm cm2],"",0)</f>
        <v>#REF!</v>
      </c>
      <c r="AG1973" s="69" t="e" cm="1">
        <f t="array" ref="AG1973">_xlfn.XLOOKUP(Table1[[#This Row],[5 cm2 cell test code]:[5 cm2 cell test code]],[1]!Table1[[Test code]:[Test code]],[1]!Table1[Q_int_frac DIW],"",0)</f>
        <v>#REF!</v>
      </c>
      <c r="AH1973" s="69" t="e" cm="1">
        <f t="array" ref="AH1973">_xlfn.XLOOKUP(Table1[[#This Row],[5 cm2 cell test code]:[5 cm2 cell test code]],[1]!Table1[[Test code]:[Test code]],[1]!Table1[Ionic resistance 10 mM KOH/Ohm cm2],"",0)</f>
        <v>#REF!</v>
      </c>
      <c r="AI1973" s="69" t="e" cm="1">
        <f t="array" ref="AI1973">_xlfn.XLOOKUP(Table1[[#This Row],[5 cm2 cell test code]:[5 cm2 cell test code]],[1]!Table1[[Test code]:[Test code]],[1]!Table1[Q_int_frac DIW 10 mM KOH],"",0)</f>
        <v>#REF!</v>
      </c>
      <c r="AJ1973" s="69" t="e" cm="1">
        <f t="array" ref="AJ1973">_xlfn.XLOOKUP(Table1[[#This Row],[5 cm2 cell test code]:[5 cm2 cell test code]],[1]!Table1[[Test code]:[Test code]],[1]!Table1[DIW conductivity (µS/cm)],"",0)</f>
        <v>#REF!</v>
      </c>
    </row>
    <row r="1974" spans="1:36">
      <c r="A1974" s="81"/>
      <c r="U1974" s="101"/>
      <c r="V1974" s="101"/>
      <c r="W1974" s="69" t="e" cm="1">
        <f t="array" ref="W1974">_xlfn.XLOOKUP(Table1[[#This Row],[5 cm2 cell test code]:[5 cm2 cell test code]],[1]!Table1[[Test code]:[Test code]],[1]!Table1[i @ 1.8 V DIW (A/cm2)],"",0)</f>
        <v>#REF!</v>
      </c>
      <c r="X1974" s="69" t="e" cm="1">
        <f t="array" ref="X1974">_xlfn.XLOOKUP(Table1[[#This Row],[5 cm2 cell test code]:[5 cm2 cell test code]],[1]!Table1[[Test code]:[Test code]],[1]!Table1[i @ 1.8 V 10 mM KOH (A/cm2)],"",0)</f>
        <v>#REF!</v>
      </c>
      <c r="Y1974" s="69" t="e" cm="1">
        <f t="array" ref="Y1974">_xlfn.XLOOKUP(Table1[[#This Row],[5 cm2 cell test code]:[5 cm2 cell test code]],[1]!Table1[[Test code]:[Test code]],[1]!Table1[3-E ƞ at 20mAcm-2 (mV)],"",0)</f>
        <v>#REF!</v>
      </c>
      <c r="Z1974" s="69" t="e" cm="1">
        <f t="array" ref="Z1974">_xlfn.XLOOKUP(Table1[[#This Row],[5 cm2 cell test code]:[5 cm2 cell test code]],[1]!Table1[[Test code]:[Test code]],[1]!Table1[3-E Tafel slope (mV/dec)],"",0)</f>
        <v>#REF!</v>
      </c>
      <c r="AA1974" s="69" t="e" cm="1">
        <f t="array" ref="AA1974">_xlfn.XLOOKUP(Table1[[#This Row],[5 cm2 cell test code]:[5 cm2 cell test code]],[1]!Table1[[Test code]:[Test code]],[1]!Table1[E @ 100 mA/cm2 DIW/V],"",0)</f>
        <v>#REF!</v>
      </c>
      <c r="AB1974" s="69" t="e" cm="1">
        <f t="array" ref="AB1974">_xlfn.XLOOKUP(Table1[[#This Row],[5 cm2 cell test code]:[5 cm2 cell test code]],[1]!Table1[[Test code]:[Test code]],[1]!Table1[E @ 100 mA/cm2 10 mM KOH/V],"",0)</f>
        <v>#REF!</v>
      </c>
      <c r="AC1974" s="69" t="e" cm="1">
        <f t="array" ref="AC1974">_xlfn.XLOOKUP(Table1[[#This Row],[5 cm2 cell test code]:[5 cm2 cell test code]],[1]!Table1[[Test code]:[Test code]],[1]!Table1[Anode ICR/mOhm],"",0)</f>
        <v>#REF!</v>
      </c>
      <c r="AD1974" s="69" t="e" cm="1">
        <f t="array" ref="AD1974">_xlfn.XLOOKUP(Table1[[#This Row],[5 cm2 cell test code]:[5 cm2 cell test code]],[1]!Table1[[Test code]:[Test code]],[1]!Table1[HFR DIW/ mOhm cm2],"",0)</f>
        <v>#REF!</v>
      </c>
      <c r="AE1974" s="69" t="e" cm="1">
        <f t="array" ref="AE1974">_xlfn.XLOOKUP(Table1[[#This Row],[5 cm2 cell test code]:[5 cm2 cell test code]],[1]!Table1[[Test code]:[Test code]],[1]!Table1[HFR 10 mM KOH/ mOhm cm2],"",0)</f>
        <v>#REF!</v>
      </c>
      <c r="AF1974" s="69" t="e" cm="1">
        <f t="array" ref="AF1974">_xlfn.XLOOKUP(Table1[[#This Row],[5 cm2 cell test code]:[5 cm2 cell test code]],[1]!Table1[[Test code]:[Test code]],[1]!Table1[Ionic resistance DIW/Ohm cm2],"",0)</f>
        <v>#REF!</v>
      </c>
      <c r="AG1974" s="69" t="e" cm="1">
        <f t="array" ref="AG1974">_xlfn.XLOOKUP(Table1[[#This Row],[5 cm2 cell test code]:[5 cm2 cell test code]],[1]!Table1[[Test code]:[Test code]],[1]!Table1[Q_int_frac DIW],"",0)</f>
        <v>#REF!</v>
      </c>
      <c r="AH1974" s="69" t="e" cm="1">
        <f t="array" ref="AH1974">_xlfn.XLOOKUP(Table1[[#This Row],[5 cm2 cell test code]:[5 cm2 cell test code]],[1]!Table1[[Test code]:[Test code]],[1]!Table1[Ionic resistance 10 mM KOH/Ohm cm2],"",0)</f>
        <v>#REF!</v>
      </c>
      <c r="AI1974" s="69" t="e" cm="1">
        <f t="array" ref="AI1974">_xlfn.XLOOKUP(Table1[[#This Row],[5 cm2 cell test code]:[5 cm2 cell test code]],[1]!Table1[[Test code]:[Test code]],[1]!Table1[Q_int_frac DIW 10 mM KOH],"",0)</f>
        <v>#REF!</v>
      </c>
      <c r="AJ1974" s="69" t="e" cm="1">
        <f t="array" ref="AJ1974">_xlfn.XLOOKUP(Table1[[#This Row],[5 cm2 cell test code]:[5 cm2 cell test code]],[1]!Table1[[Test code]:[Test code]],[1]!Table1[DIW conductivity (µS/cm)],"",0)</f>
        <v>#REF!</v>
      </c>
    </row>
    <row r="1975" spans="1:36">
      <c r="A1975" s="81"/>
      <c r="U1975" s="101"/>
      <c r="V1975" s="101"/>
      <c r="W1975" s="69" t="e" cm="1">
        <f t="array" ref="W1975">_xlfn.XLOOKUP(Table1[[#This Row],[5 cm2 cell test code]:[5 cm2 cell test code]],[1]!Table1[[Test code]:[Test code]],[1]!Table1[i @ 1.8 V DIW (A/cm2)],"",0)</f>
        <v>#REF!</v>
      </c>
      <c r="X1975" s="69" t="e" cm="1">
        <f t="array" ref="X1975">_xlfn.XLOOKUP(Table1[[#This Row],[5 cm2 cell test code]:[5 cm2 cell test code]],[1]!Table1[[Test code]:[Test code]],[1]!Table1[i @ 1.8 V 10 mM KOH (A/cm2)],"",0)</f>
        <v>#REF!</v>
      </c>
      <c r="Y1975" s="69" t="e" cm="1">
        <f t="array" ref="Y1975">_xlfn.XLOOKUP(Table1[[#This Row],[5 cm2 cell test code]:[5 cm2 cell test code]],[1]!Table1[[Test code]:[Test code]],[1]!Table1[3-E ƞ at 20mAcm-2 (mV)],"",0)</f>
        <v>#REF!</v>
      </c>
      <c r="Z1975" s="69" t="e" cm="1">
        <f t="array" ref="Z1975">_xlfn.XLOOKUP(Table1[[#This Row],[5 cm2 cell test code]:[5 cm2 cell test code]],[1]!Table1[[Test code]:[Test code]],[1]!Table1[3-E Tafel slope (mV/dec)],"",0)</f>
        <v>#REF!</v>
      </c>
      <c r="AA1975" s="69" t="e" cm="1">
        <f t="array" ref="AA1975">_xlfn.XLOOKUP(Table1[[#This Row],[5 cm2 cell test code]:[5 cm2 cell test code]],[1]!Table1[[Test code]:[Test code]],[1]!Table1[E @ 100 mA/cm2 DIW/V],"",0)</f>
        <v>#REF!</v>
      </c>
      <c r="AB1975" s="69" t="e" cm="1">
        <f t="array" ref="AB1975">_xlfn.XLOOKUP(Table1[[#This Row],[5 cm2 cell test code]:[5 cm2 cell test code]],[1]!Table1[[Test code]:[Test code]],[1]!Table1[E @ 100 mA/cm2 10 mM KOH/V],"",0)</f>
        <v>#REF!</v>
      </c>
      <c r="AC1975" s="69" t="e" cm="1">
        <f t="array" ref="AC1975">_xlfn.XLOOKUP(Table1[[#This Row],[5 cm2 cell test code]:[5 cm2 cell test code]],[1]!Table1[[Test code]:[Test code]],[1]!Table1[Anode ICR/mOhm],"",0)</f>
        <v>#REF!</v>
      </c>
      <c r="AD1975" s="69" t="e" cm="1">
        <f t="array" ref="AD1975">_xlfn.XLOOKUP(Table1[[#This Row],[5 cm2 cell test code]:[5 cm2 cell test code]],[1]!Table1[[Test code]:[Test code]],[1]!Table1[HFR DIW/ mOhm cm2],"",0)</f>
        <v>#REF!</v>
      </c>
      <c r="AE1975" s="69" t="e" cm="1">
        <f t="array" ref="AE1975">_xlfn.XLOOKUP(Table1[[#This Row],[5 cm2 cell test code]:[5 cm2 cell test code]],[1]!Table1[[Test code]:[Test code]],[1]!Table1[HFR 10 mM KOH/ mOhm cm2],"",0)</f>
        <v>#REF!</v>
      </c>
      <c r="AF1975" s="69" t="e" cm="1">
        <f t="array" ref="AF1975">_xlfn.XLOOKUP(Table1[[#This Row],[5 cm2 cell test code]:[5 cm2 cell test code]],[1]!Table1[[Test code]:[Test code]],[1]!Table1[Ionic resistance DIW/Ohm cm2],"",0)</f>
        <v>#REF!</v>
      </c>
      <c r="AG1975" s="69" t="e" cm="1">
        <f t="array" ref="AG1975">_xlfn.XLOOKUP(Table1[[#This Row],[5 cm2 cell test code]:[5 cm2 cell test code]],[1]!Table1[[Test code]:[Test code]],[1]!Table1[Q_int_frac DIW],"",0)</f>
        <v>#REF!</v>
      </c>
      <c r="AH1975" s="69" t="e" cm="1">
        <f t="array" ref="AH1975">_xlfn.XLOOKUP(Table1[[#This Row],[5 cm2 cell test code]:[5 cm2 cell test code]],[1]!Table1[[Test code]:[Test code]],[1]!Table1[Ionic resistance 10 mM KOH/Ohm cm2],"",0)</f>
        <v>#REF!</v>
      </c>
      <c r="AI1975" s="69" t="e" cm="1">
        <f t="array" ref="AI1975">_xlfn.XLOOKUP(Table1[[#This Row],[5 cm2 cell test code]:[5 cm2 cell test code]],[1]!Table1[[Test code]:[Test code]],[1]!Table1[Q_int_frac DIW 10 mM KOH],"",0)</f>
        <v>#REF!</v>
      </c>
      <c r="AJ1975" s="69" t="e" cm="1">
        <f t="array" ref="AJ1975">_xlfn.XLOOKUP(Table1[[#This Row],[5 cm2 cell test code]:[5 cm2 cell test code]],[1]!Table1[[Test code]:[Test code]],[1]!Table1[DIW conductivity (µS/cm)],"",0)</f>
        <v>#REF!</v>
      </c>
    </row>
    <row r="1976" spans="1:36">
      <c r="A1976" s="81"/>
      <c r="U1976" s="101"/>
      <c r="V1976" s="101"/>
      <c r="W1976" s="69" t="e" cm="1">
        <f t="array" ref="W1976">_xlfn.XLOOKUP(Table1[[#This Row],[5 cm2 cell test code]:[5 cm2 cell test code]],[1]!Table1[[Test code]:[Test code]],[1]!Table1[i @ 1.8 V DIW (A/cm2)],"",0)</f>
        <v>#REF!</v>
      </c>
      <c r="X1976" s="69" t="e" cm="1">
        <f t="array" ref="X1976">_xlfn.XLOOKUP(Table1[[#This Row],[5 cm2 cell test code]:[5 cm2 cell test code]],[1]!Table1[[Test code]:[Test code]],[1]!Table1[i @ 1.8 V 10 mM KOH (A/cm2)],"",0)</f>
        <v>#REF!</v>
      </c>
      <c r="Y1976" s="69" t="e" cm="1">
        <f t="array" ref="Y1976">_xlfn.XLOOKUP(Table1[[#This Row],[5 cm2 cell test code]:[5 cm2 cell test code]],[1]!Table1[[Test code]:[Test code]],[1]!Table1[3-E ƞ at 20mAcm-2 (mV)],"",0)</f>
        <v>#REF!</v>
      </c>
      <c r="Z1976" s="69" t="e" cm="1">
        <f t="array" ref="Z1976">_xlfn.XLOOKUP(Table1[[#This Row],[5 cm2 cell test code]:[5 cm2 cell test code]],[1]!Table1[[Test code]:[Test code]],[1]!Table1[3-E Tafel slope (mV/dec)],"",0)</f>
        <v>#REF!</v>
      </c>
      <c r="AA1976" s="69" t="e" cm="1">
        <f t="array" ref="AA1976">_xlfn.XLOOKUP(Table1[[#This Row],[5 cm2 cell test code]:[5 cm2 cell test code]],[1]!Table1[[Test code]:[Test code]],[1]!Table1[E @ 100 mA/cm2 DIW/V],"",0)</f>
        <v>#REF!</v>
      </c>
      <c r="AB1976" s="69" t="e" cm="1">
        <f t="array" ref="AB1976">_xlfn.XLOOKUP(Table1[[#This Row],[5 cm2 cell test code]:[5 cm2 cell test code]],[1]!Table1[[Test code]:[Test code]],[1]!Table1[E @ 100 mA/cm2 10 mM KOH/V],"",0)</f>
        <v>#REF!</v>
      </c>
      <c r="AC1976" s="69" t="e" cm="1">
        <f t="array" ref="AC1976">_xlfn.XLOOKUP(Table1[[#This Row],[5 cm2 cell test code]:[5 cm2 cell test code]],[1]!Table1[[Test code]:[Test code]],[1]!Table1[Anode ICR/mOhm],"",0)</f>
        <v>#REF!</v>
      </c>
      <c r="AD1976" s="69" t="e" cm="1">
        <f t="array" ref="AD1976">_xlfn.XLOOKUP(Table1[[#This Row],[5 cm2 cell test code]:[5 cm2 cell test code]],[1]!Table1[[Test code]:[Test code]],[1]!Table1[HFR DIW/ mOhm cm2],"",0)</f>
        <v>#REF!</v>
      </c>
      <c r="AE1976" s="69" t="e" cm="1">
        <f t="array" ref="AE1976">_xlfn.XLOOKUP(Table1[[#This Row],[5 cm2 cell test code]:[5 cm2 cell test code]],[1]!Table1[[Test code]:[Test code]],[1]!Table1[HFR 10 mM KOH/ mOhm cm2],"",0)</f>
        <v>#REF!</v>
      </c>
      <c r="AF1976" s="69" t="e" cm="1">
        <f t="array" ref="AF1976">_xlfn.XLOOKUP(Table1[[#This Row],[5 cm2 cell test code]:[5 cm2 cell test code]],[1]!Table1[[Test code]:[Test code]],[1]!Table1[Ionic resistance DIW/Ohm cm2],"",0)</f>
        <v>#REF!</v>
      </c>
      <c r="AG1976" s="69" t="e" cm="1">
        <f t="array" ref="AG1976">_xlfn.XLOOKUP(Table1[[#This Row],[5 cm2 cell test code]:[5 cm2 cell test code]],[1]!Table1[[Test code]:[Test code]],[1]!Table1[Q_int_frac DIW],"",0)</f>
        <v>#REF!</v>
      </c>
      <c r="AH1976" s="69" t="e" cm="1">
        <f t="array" ref="AH1976">_xlfn.XLOOKUP(Table1[[#This Row],[5 cm2 cell test code]:[5 cm2 cell test code]],[1]!Table1[[Test code]:[Test code]],[1]!Table1[Ionic resistance 10 mM KOH/Ohm cm2],"",0)</f>
        <v>#REF!</v>
      </c>
      <c r="AI1976" s="69" t="e" cm="1">
        <f t="array" ref="AI1976">_xlfn.XLOOKUP(Table1[[#This Row],[5 cm2 cell test code]:[5 cm2 cell test code]],[1]!Table1[[Test code]:[Test code]],[1]!Table1[Q_int_frac DIW 10 mM KOH],"",0)</f>
        <v>#REF!</v>
      </c>
      <c r="AJ1976" s="69" t="e" cm="1">
        <f t="array" ref="AJ1976">_xlfn.XLOOKUP(Table1[[#This Row],[5 cm2 cell test code]:[5 cm2 cell test code]],[1]!Table1[[Test code]:[Test code]],[1]!Table1[DIW conductivity (µS/cm)],"",0)</f>
        <v>#REF!</v>
      </c>
    </row>
    <row r="1977" spans="1:36">
      <c r="A1977" s="81"/>
      <c r="U1977" s="101"/>
      <c r="V1977" s="101"/>
      <c r="W1977" s="69" t="e" cm="1">
        <f t="array" ref="W1977">_xlfn.XLOOKUP(Table1[[#This Row],[5 cm2 cell test code]:[5 cm2 cell test code]],[1]!Table1[[Test code]:[Test code]],[1]!Table1[i @ 1.8 V DIW (A/cm2)],"",0)</f>
        <v>#REF!</v>
      </c>
      <c r="X1977" s="69" t="e" cm="1">
        <f t="array" ref="X1977">_xlfn.XLOOKUP(Table1[[#This Row],[5 cm2 cell test code]:[5 cm2 cell test code]],[1]!Table1[[Test code]:[Test code]],[1]!Table1[i @ 1.8 V 10 mM KOH (A/cm2)],"",0)</f>
        <v>#REF!</v>
      </c>
      <c r="Y1977" s="69" t="e" cm="1">
        <f t="array" ref="Y1977">_xlfn.XLOOKUP(Table1[[#This Row],[5 cm2 cell test code]:[5 cm2 cell test code]],[1]!Table1[[Test code]:[Test code]],[1]!Table1[3-E ƞ at 20mAcm-2 (mV)],"",0)</f>
        <v>#REF!</v>
      </c>
      <c r="Z1977" s="69" t="e" cm="1">
        <f t="array" ref="Z1977">_xlfn.XLOOKUP(Table1[[#This Row],[5 cm2 cell test code]:[5 cm2 cell test code]],[1]!Table1[[Test code]:[Test code]],[1]!Table1[3-E Tafel slope (mV/dec)],"",0)</f>
        <v>#REF!</v>
      </c>
      <c r="AA1977" s="69" t="e" cm="1">
        <f t="array" ref="AA1977">_xlfn.XLOOKUP(Table1[[#This Row],[5 cm2 cell test code]:[5 cm2 cell test code]],[1]!Table1[[Test code]:[Test code]],[1]!Table1[E @ 100 mA/cm2 DIW/V],"",0)</f>
        <v>#REF!</v>
      </c>
      <c r="AB1977" s="69" t="e" cm="1">
        <f t="array" ref="AB1977">_xlfn.XLOOKUP(Table1[[#This Row],[5 cm2 cell test code]:[5 cm2 cell test code]],[1]!Table1[[Test code]:[Test code]],[1]!Table1[E @ 100 mA/cm2 10 mM KOH/V],"",0)</f>
        <v>#REF!</v>
      </c>
      <c r="AC1977" s="69" t="e" cm="1">
        <f t="array" ref="AC1977">_xlfn.XLOOKUP(Table1[[#This Row],[5 cm2 cell test code]:[5 cm2 cell test code]],[1]!Table1[[Test code]:[Test code]],[1]!Table1[Anode ICR/mOhm],"",0)</f>
        <v>#REF!</v>
      </c>
      <c r="AD1977" s="69" t="e" cm="1">
        <f t="array" ref="AD1977">_xlfn.XLOOKUP(Table1[[#This Row],[5 cm2 cell test code]:[5 cm2 cell test code]],[1]!Table1[[Test code]:[Test code]],[1]!Table1[HFR DIW/ mOhm cm2],"",0)</f>
        <v>#REF!</v>
      </c>
      <c r="AE1977" s="69" t="e" cm="1">
        <f t="array" ref="AE1977">_xlfn.XLOOKUP(Table1[[#This Row],[5 cm2 cell test code]:[5 cm2 cell test code]],[1]!Table1[[Test code]:[Test code]],[1]!Table1[HFR 10 mM KOH/ mOhm cm2],"",0)</f>
        <v>#REF!</v>
      </c>
      <c r="AF1977" s="69" t="e" cm="1">
        <f t="array" ref="AF1977">_xlfn.XLOOKUP(Table1[[#This Row],[5 cm2 cell test code]:[5 cm2 cell test code]],[1]!Table1[[Test code]:[Test code]],[1]!Table1[Ionic resistance DIW/Ohm cm2],"",0)</f>
        <v>#REF!</v>
      </c>
      <c r="AG1977" s="69" t="e" cm="1">
        <f t="array" ref="AG1977">_xlfn.XLOOKUP(Table1[[#This Row],[5 cm2 cell test code]:[5 cm2 cell test code]],[1]!Table1[[Test code]:[Test code]],[1]!Table1[Q_int_frac DIW],"",0)</f>
        <v>#REF!</v>
      </c>
      <c r="AH1977" s="69" t="e" cm="1">
        <f t="array" ref="AH1977">_xlfn.XLOOKUP(Table1[[#This Row],[5 cm2 cell test code]:[5 cm2 cell test code]],[1]!Table1[[Test code]:[Test code]],[1]!Table1[Ionic resistance 10 mM KOH/Ohm cm2],"",0)</f>
        <v>#REF!</v>
      </c>
      <c r="AI1977" s="69" t="e" cm="1">
        <f t="array" ref="AI1977">_xlfn.XLOOKUP(Table1[[#This Row],[5 cm2 cell test code]:[5 cm2 cell test code]],[1]!Table1[[Test code]:[Test code]],[1]!Table1[Q_int_frac DIW 10 mM KOH],"",0)</f>
        <v>#REF!</v>
      </c>
      <c r="AJ1977" s="69" t="e" cm="1">
        <f t="array" ref="AJ1977">_xlfn.XLOOKUP(Table1[[#This Row],[5 cm2 cell test code]:[5 cm2 cell test code]],[1]!Table1[[Test code]:[Test code]],[1]!Table1[DIW conductivity (µS/cm)],"",0)</f>
        <v>#REF!</v>
      </c>
    </row>
    <row r="1978" spans="1:36">
      <c r="A1978" s="81"/>
      <c r="U1978" s="101"/>
      <c r="V1978" s="101"/>
      <c r="W1978" s="69" t="e" cm="1">
        <f t="array" ref="W1978">_xlfn.XLOOKUP(Table1[[#This Row],[5 cm2 cell test code]:[5 cm2 cell test code]],[1]!Table1[[Test code]:[Test code]],[1]!Table1[i @ 1.8 V DIW (A/cm2)],"",0)</f>
        <v>#REF!</v>
      </c>
      <c r="X1978" s="69" t="e" cm="1">
        <f t="array" ref="X1978">_xlfn.XLOOKUP(Table1[[#This Row],[5 cm2 cell test code]:[5 cm2 cell test code]],[1]!Table1[[Test code]:[Test code]],[1]!Table1[i @ 1.8 V 10 mM KOH (A/cm2)],"",0)</f>
        <v>#REF!</v>
      </c>
      <c r="Y1978" s="69" t="e" cm="1">
        <f t="array" ref="Y1978">_xlfn.XLOOKUP(Table1[[#This Row],[5 cm2 cell test code]:[5 cm2 cell test code]],[1]!Table1[[Test code]:[Test code]],[1]!Table1[3-E ƞ at 20mAcm-2 (mV)],"",0)</f>
        <v>#REF!</v>
      </c>
      <c r="Z1978" s="69" t="e" cm="1">
        <f t="array" ref="Z1978">_xlfn.XLOOKUP(Table1[[#This Row],[5 cm2 cell test code]:[5 cm2 cell test code]],[1]!Table1[[Test code]:[Test code]],[1]!Table1[3-E Tafel slope (mV/dec)],"",0)</f>
        <v>#REF!</v>
      </c>
      <c r="AA1978" s="69" t="e" cm="1">
        <f t="array" ref="AA1978">_xlfn.XLOOKUP(Table1[[#This Row],[5 cm2 cell test code]:[5 cm2 cell test code]],[1]!Table1[[Test code]:[Test code]],[1]!Table1[E @ 100 mA/cm2 DIW/V],"",0)</f>
        <v>#REF!</v>
      </c>
      <c r="AB1978" s="69" t="e" cm="1">
        <f t="array" ref="AB1978">_xlfn.XLOOKUP(Table1[[#This Row],[5 cm2 cell test code]:[5 cm2 cell test code]],[1]!Table1[[Test code]:[Test code]],[1]!Table1[E @ 100 mA/cm2 10 mM KOH/V],"",0)</f>
        <v>#REF!</v>
      </c>
      <c r="AC1978" s="69" t="e" cm="1">
        <f t="array" ref="AC1978">_xlfn.XLOOKUP(Table1[[#This Row],[5 cm2 cell test code]:[5 cm2 cell test code]],[1]!Table1[[Test code]:[Test code]],[1]!Table1[Anode ICR/mOhm],"",0)</f>
        <v>#REF!</v>
      </c>
      <c r="AD1978" s="69" t="e" cm="1">
        <f t="array" ref="AD1978">_xlfn.XLOOKUP(Table1[[#This Row],[5 cm2 cell test code]:[5 cm2 cell test code]],[1]!Table1[[Test code]:[Test code]],[1]!Table1[HFR DIW/ mOhm cm2],"",0)</f>
        <v>#REF!</v>
      </c>
      <c r="AE1978" s="69" t="e" cm="1">
        <f t="array" ref="AE1978">_xlfn.XLOOKUP(Table1[[#This Row],[5 cm2 cell test code]:[5 cm2 cell test code]],[1]!Table1[[Test code]:[Test code]],[1]!Table1[HFR 10 mM KOH/ mOhm cm2],"",0)</f>
        <v>#REF!</v>
      </c>
      <c r="AF1978" s="69" t="e" cm="1">
        <f t="array" ref="AF1978">_xlfn.XLOOKUP(Table1[[#This Row],[5 cm2 cell test code]:[5 cm2 cell test code]],[1]!Table1[[Test code]:[Test code]],[1]!Table1[Ionic resistance DIW/Ohm cm2],"",0)</f>
        <v>#REF!</v>
      </c>
      <c r="AG1978" s="69" t="e" cm="1">
        <f t="array" ref="AG1978">_xlfn.XLOOKUP(Table1[[#This Row],[5 cm2 cell test code]:[5 cm2 cell test code]],[1]!Table1[[Test code]:[Test code]],[1]!Table1[Q_int_frac DIW],"",0)</f>
        <v>#REF!</v>
      </c>
      <c r="AH1978" s="69" t="e" cm="1">
        <f t="array" ref="AH1978">_xlfn.XLOOKUP(Table1[[#This Row],[5 cm2 cell test code]:[5 cm2 cell test code]],[1]!Table1[[Test code]:[Test code]],[1]!Table1[Ionic resistance 10 mM KOH/Ohm cm2],"",0)</f>
        <v>#REF!</v>
      </c>
      <c r="AI1978" s="69" t="e" cm="1">
        <f t="array" ref="AI1978">_xlfn.XLOOKUP(Table1[[#This Row],[5 cm2 cell test code]:[5 cm2 cell test code]],[1]!Table1[[Test code]:[Test code]],[1]!Table1[Q_int_frac DIW 10 mM KOH],"",0)</f>
        <v>#REF!</v>
      </c>
      <c r="AJ1978" s="69" t="e" cm="1">
        <f t="array" ref="AJ1978">_xlfn.XLOOKUP(Table1[[#This Row],[5 cm2 cell test code]:[5 cm2 cell test code]],[1]!Table1[[Test code]:[Test code]],[1]!Table1[DIW conductivity (µS/cm)],"",0)</f>
        <v>#REF!</v>
      </c>
    </row>
    <row r="1979" spans="1:36">
      <c r="A1979" s="81"/>
      <c r="U1979" s="101"/>
      <c r="V1979" s="101"/>
      <c r="W1979" s="69" t="e" cm="1">
        <f t="array" ref="W1979">_xlfn.XLOOKUP(Table1[[#This Row],[5 cm2 cell test code]:[5 cm2 cell test code]],[1]!Table1[[Test code]:[Test code]],[1]!Table1[i @ 1.8 V DIW (A/cm2)],"",0)</f>
        <v>#REF!</v>
      </c>
      <c r="X1979" s="69" t="e" cm="1">
        <f t="array" ref="X1979">_xlfn.XLOOKUP(Table1[[#This Row],[5 cm2 cell test code]:[5 cm2 cell test code]],[1]!Table1[[Test code]:[Test code]],[1]!Table1[i @ 1.8 V 10 mM KOH (A/cm2)],"",0)</f>
        <v>#REF!</v>
      </c>
      <c r="Y1979" s="69" t="e" cm="1">
        <f t="array" ref="Y1979">_xlfn.XLOOKUP(Table1[[#This Row],[5 cm2 cell test code]:[5 cm2 cell test code]],[1]!Table1[[Test code]:[Test code]],[1]!Table1[3-E ƞ at 20mAcm-2 (mV)],"",0)</f>
        <v>#REF!</v>
      </c>
      <c r="Z1979" s="69" t="e" cm="1">
        <f t="array" ref="Z1979">_xlfn.XLOOKUP(Table1[[#This Row],[5 cm2 cell test code]:[5 cm2 cell test code]],[1]!Table1[[Test code]:[Test code]],[1]!Table1[3-E Tafel slope (mV/dec)],"",0)</f>
        <v>#REF!</v>
      </c>
      <c r="AA1979" s="69" t="e" cm="1">
        <f t="array" ref="AA1979">_xlfn.XLOOKUP(Table1[[#This Row],[5 cm2 cell test code]:[5 cm2 cell test code]],[1]!Table1[[Test code]:[Test code]],[1]!Table1[E @ 100 mA/cm2 DIW/V],"",0)</f>
        <v>#REF!</v>
      </c>
      <c r="AB1979" s="69" t="e" cm="1">
        <f t="array" ref="AB1979">_xlfn.XLOOKUP(Table1[[#This Row],[5 cm2 cell test code]:[5 cm2 cell test code]],[1]!Table1[[Test code]:[Test code]],[1]!Table1[E @ 100 mA/cm2 10 mM KOH/V],"",0)</f>
        <v>#REF!</v>
      </c>
      <c r="AC1979" s="69" t="e" cm="1">
        <f t="array" ref="AC1979">_xlfn.XLOOKUP(Table1[[#This Row],[5 cm2 cell test code]:[5 cm2 cell test code]],[1]!Table1[[Test code]:[Test code]],[1]!Table1[Anode ICR/mOhm],"",0)</f>
        <v>#REF!</v>
      </c>
      <c r="AD1979" s="69" t="e" cm="1">
        <f t="array" ref="AD1979">_xlfn.XLOOKUP(Table1[[#This Row],[5 cm2 cell test code]:[5 cm2 cell test code]],[1]!Table1[[Test code]:[Test code]],[1]!Table1[HFR DIW/ mOhm cm2],"",0)</f>
        <v>#REF!</v>
      </c>
      <c r="AE1979" s="69" t="e" cm="1">
        <f t="array" ref="AE1979">_xlfn.XLOOKUP(Table1[[#This Row],[5 cm2 cell test code]:[5 cm2 cell test code]],[1]!Table1[[Test code]:[Test code]],[1]!Table1[HFR 10 mM KOH/ mOhm cm2],"",0)</f>
        <v>#REF!</v>
      </c>
      <c r="AF1979" s="69" t="e" cm="1">
        <f t="array" ref="AF1979">_xlfn.XLOOKUP(Table1[[#This Row],[5 cm2 cell test code]:[5 cm2 cell test code]],[1]!Table1[[Test code]:[Test code]],[1]!Table1[Ionic resistance DIW/Ohm cm2],"",0)</f>
        <v>#REF!</v>
      </c>
      <c r="AG1979" s="69" t="e" cm="1">
        <f t="array" ref="AG1979">_xlfn.XLOOKUP(Table1[[#This Row],[5 cm2 cell test code]:[5 cm2 cell test code]],[1]!Table1[[Test code]:[Test code]],[1]!Table1[Q_int_frac DIW],"",0)</f>
        <v>#REF!</v>
      </c>
      <c r="AH1979" s="69" t="e" cm="1">
        <f t="array" ref="AH1979">_xlfn.XLOOKUP(Table1[[#This Row],[5 cm2 cell test code]:[5 cm2 cell test code]],[1]!Table1[[Test code]:[Test code]],[1]!Table1[Ionic resistance 10 mM KOH/Ohm cm2],"",0)</f>
        <v>#REF!</v>
      </c>
      <c r="AI1979" s="69" t="e" cm="1">
        <f t="array" ref="AI1979">_xlfn.XLOOKUP(Table1[[#This Row],[5 cm2 cell test code]:[5 cm2 cell test code]],[1]!Table1[[Test code]:[Test code]],[1]!Table1[Q_int_frac DIW 10 mM KOH],"",0)</f>
        <v>#REF!</v>
      </c>
      <c r="AJ1979" s="69" t="e" cm="1">
        <f t="array" ref="AJ1979">_xlfn.XLOOKUP(Table1[[#This Row],[5 cm2 cell test code]:[5 cm2 cell test code]],[1]!Table1[[Test code]:[Test code]],[1]!Table1[DIW conductivity (µS/cm)],"",0)</f>
        <v>#REF!</v>
      </c>
    </row>
    <row r="1980" spans="1:36">
      <c r="A1980" s="81"/>
      <c r="U1980" s="101"/>
      <c r="V1980" s="101"/>
      <c r="W1980" s="69" t="e" cm="1">
        <f t="array" ref="W1980">_xlfn.XLOOKUP(Table1[[#This Row],[5 cm2 cell test code]:[5 cm2 cell test code]],[1]!Table1[[Test code]:[Test code]],[1]!Table1[i @ 1.8 V DIW (A/cm2)],"",0)</f>
        <v>#REF!</v>
      </c>
      <c r="X1980" s="69" t="e" cm="1">
        <f t="array" ref="X1980">_xlfn.XLOOKUP(Table1[[#This Row],[5 cm2 cell test code]:[5 cm2 cell test code]],[1]!Table1[[Test code]:[Test code]],[1]!Table1[i @ 1.8 V 10 mM KOH (A/cm2)],"",0)</f>
        <v>#REF!</v>
      </c>
      <c r="Y1980" s="69" t="e" cm="1">
        <f t="array" ref="Y1980">_xlfn.XLOOKUP(Table1[[#This Row],[5 cm2 cell test code]:[5 cm2 cell test code]],[1]!Table1[[Test code]:[Test code]],[1]!Table1[3-E ƞ at 20mAcm-2 (mV)],"",0)</f>
        <v>#REF!</v>
      </c>
      <c r="Z1980" s="69" t="e" cm="1">
        <f t="array" ref="Z1980">_xlfn.XLOOKUP(Table1[[#This Row],[5 cm2 cell test code]:[5 cm2 cell test code]],[1]!Table1[[Test code]:[Test code]],[1]!Table1[3-E Tafel slope (mV/dec)],"",0)</f>
        <v>#REF!</v>
      </c>
      <c r="AA1980" s="69" t="e" cm="1">
        <f t="array" ref="AA1980">_xlfn.XLOOKUP(Table1[[#This Row],[5 cm2 cell test code]:[5 cm2 cell test code]],[1]!Table1[[Test code]:[Test code]],[1]!Table1[E @ 100 mA/cm2 DIW/V],"",0)</f>
        <v>#REF!</v>
      </c>
      <c r="AB1980" s="69" t="e" cm="1">
        <f t="array" ref="AB1980">_xlfn.XLOOKUP(Table1[[#This Row],[5 cm2 cell test code]:[5 cm2 cell test code]],[1]!Table1[[Test code]:[Test code]],[1]!Table1[E @ 100 mA/cm2 10 mM KOH/V],"",0)</f>
        <v>#REF!</v>
      </c>
      <c r="AC1980" s="69" t="e" cm="1">
        <f t="array" ref="AC1980">_xlfn.XLOOKUP(Table1[[#This Row],[5 cm2 cell test code]:[5 cm2 cell test code]],[1]!Table1[[Test code]:[Test code]],[1]!Table1[Anode ICR/mOhm],"",0)</f>
        <v>#REF!</v>
      </c>
      <c r="AD1980" s="69" t="e" cm="1">
        <f t="array" ref="AD1980">_xlfn.XLOOKUP(Table1[[#This Row],[5 cm2 cell test code]:[5 cm2 cell test code]],[1]!Table1[[Test code]:[Test code]],[1]!Table1[HFR DIW/ mOhm cm2],"",0)</f>
        <v>#REF!</v>
      </c>
      <c r="AE1980" s="69" t="e" cm="1">
        <f t="array" ref="AE1980">_xlfn.XLOOKUP(Table1[[#This Row],[5 cm2 cell test code]:[5 cm2 cell test code]],[1]!Table1[[Test code]:[Test code]],[1]!Table1[HFR 10 mM KOH/ mOhm cm2],"",0)</f>
        <v>#REF!</v>
      </c>
      <c r="AF1980" s="69" t="e" cm="1">
        <f t="array" ref="AF1980">_xlfn.XLOOKUP(Table1[[#This Row],[5 cm2 cell test code]:[5 cm2 cell test code]],[1]!Table1[[Test code]:[Test code]],[1]!Table1[Ionic resistance DIW/Ohm cm2],"",0)</f>
        <v>#REF!</v>
      </c>
      <c r="AG1980" s="69" t="e" cm="1">
        <f t="array" ref="AG1980">_xlfn.XLOOKUP(Table1[[#This Row],[5 cm2 cell test code]:[5 cm2 cell test code]],[1]!Table1[[Test code]:[Test code]],[1]!Table1[Q_int_frac DIW],"",0)</f>
        <v>#REF!</v>
      </c>
      <c r="AH1980" s="69" t="e" cm="1">
        <f t="array" ref="AH1980">_xlfn.XLOOKUP(Table1[[#This Row],[5 cm2 cell test code]:[5 cm2 cell test code]],[1]!Table1[[Test code]:[Test code]],[1]!Table1[Ionic resistance 10 mM KOH/Ohm cm2],"",0)</f>
        <v>#REF!</v>
      </c>
      <c r="AI1980" s="69" t="e" cm="1">
        <f t="array" ref="AI1980">_xlfn.XLOOKUP(Table1[[#This Row],[5 cm2 cell test code]:[5 cm2 cell test code]],[1]!Table1[[Test code]:[Test code]],[1]!Table1[Q_int_frac DIW 10 mM KOH],"",0)</f>
        <v>#REF!</v>
      </c>
      <c r="AJ1980" s="69" t="e" cm="1">
        <f t="array" ref="AJ1980">_xlfn.XLOOKUP(Table1[[#This Row],[5 cm2 cell test code]:[5 cm2 cell test code]],[1]!Table1[[Test code]:[Test code]],[1]!Table1[DIW conductivity (µS/cm)],"",0)</f>
        <v>#REF!</v>
      </c>
    </row>
    <row r="1981" spans="1:36">
      <c r="A1981" s="81"/>
      <c r="U1981" s="101"/>
      <c r="V1981" s="101"/>
      <c r="W1981" s="69" t="e" cm="1">
        <f t="array" ref="W1981">_xlfn.XLOOKUP(Table1[[#This Row],[5 cm2 cell test code]:[5 cm2 cell test code]],[1]!Table1[[Test code]:[Test code]],[1]!Table1[i @ 1.8 V DIW (A/cm2)],"",0)</f>
        <v>#REF!</v>
      </c>
      <c r="X1981" s="69" t="e" cm="1">
        <f t="array" ref="X1981">_xlfn.XLOOKUP(Table1[[#This Row],[5 cm2 cell test code]:[5 cm2 cell test code]],[1]!Table1[[Test code]:[Test code]],[1]!Table1[i @ 1.8 V 10 mM KOH (A/cm2)],"",0)</f>
        <v>#REF!</v>
      </c>
      <c r="Y1981" s="69" t="e" cm="1">
        <f t="array" ref="Y1981">_xlfn.XLOOKUP(Table1[[#This Row],[5 cm2 cell test code]:[5 cm2 cell test code]],[1]!Table1[[Test code]:[Test code]],[1]!Table1[3-E ƞ at 20mAcm-2 (mV)],"",0)</f>
        <v>#REF!</v>
      </c>
      <c r="Z1981" s="69" t="e" cm="1">
        <f t="array" ref="Z1981">_xlfn.XLOOKUP(Table1[[#This Row],[5 cm2 cell test code]:[5 cm2 cell test code]],[1]!Table1[[Test code]:[Test code]],[1]!Table1[3-E Tafel slope (mV/dec)],"",0)</f>
        <v>#REF!</v>
      </c>
      <c r="AA1981" s="69" t="e" cm="1">
        <f t="array" ref="AA1981">_xlfn.XLOOKUP(Table1[[#This Row],[5 cm2 cell test code]:[5 cm2 cell test code]],[1]!Table1[[Test code]:[Test code]],[1]!Table1[E @ 100 mA/cm2 DIW/V],"",0)</f>
        <v>#REF!</v>
      </c>
      <c r="AB1981" s="69" t="e" cm="1">
        <f t="array" ref="AB1981">_xlfn.XLOOKUP(Table1[[#This Row],[5 cm2 cell test code]:[5 cm2 cell test code]],[1]!Table1[[Test code]:[Test code]],[1]!Table1[E @ 100 mA/cm2 10 mM KOH/V],"",0)</f>
        <v>#REF!</v>
      </c>
      <c r="AC1981" s="69" t="e" cm="1">
        <f t="array" ref="AC1981">_xlfn.XLOOKUP(Table1[[#This Row],[5 cm2 cell test code]:[5 cm2 cell test code]],[1]!Table1[[Test code]:[Test code]],[1]!Table1[Anode ICR/mOhm],"",0)</f>
        <v>#REF!</v>
      </c>
      <c r="AD1981" s="69" t="e" cm="1">
        <f t="array" ref="AD1981">_xlfn.XLOOKUP(Table1[[#This Row],[5 cm2 cell test code]:[5 cm2 cell test code]],[1]!Table1[[Test code]:[Test code]],[1]!Table1[HFR DIW/ mOhm cm2],"",0)</f>
        <v>#REF!</v>
      </c>
      <c r="AE1981" s="69" t="e" cm="1">
        <f t="array" ref="AE1981">_xlfn.XLOOKUP(Table1[[#This Row],[5 cm2 cell test code]:[5 cm2 cell test code]],[1]!Table1[[Test code]:[Test code]],[1]!Table1[HFR 10 mM KOH/ mOhm cm2],"",0)</f>
        <v>#REF!</v>
      </c>
      <c r="AF1981" s="69" t="e" cm="1">
        <f t="array" ref="AF1981">_xlfn.XLOOKUP(Table1[[#This Row],[5 cm2 cell test code]:[5 cm2 cell test code]],[1]!Table1[[Test code]:[Test code]],[1]!Table1[Ionic resistance DIW/Ohm cm2],"",0)</f>
        <v>#REF!</v>
      </c>
      <c r="AG1981" s="69" t="e" cm="1">
        <f t="array" ref="AG1981">_xlfn.XLOOKUP(Table1[[#This Row],[5 cm2 cell test code]:[5 cm2 cell test code]],[1]!Table1[[Test code]:[Test code]],[1]!Table1[Q_int_frac DIW],"",0)</f>
        <v>#REF!</v>
      </c>
      <c r="AH1981" s="69" t="e" cm="1">
        <f t="array" ref="AH1981">_xlfn.XLOOKUP(Table1[[#This Row],[5 cm2 cell test code]:[5 cm2 cell test code]],[1]!Table1[[Test code]:[Test code]],[1]!Table1[Ionic resistance 10 mM KOH/Ohm cm2],"",0)</f>
        <v>#REF!</v>
      </c>
      <c r="AI1981" s="69" t="e" cm="1">
        <f t="array" ref="AI1981">_xlfn.XLOOKUP(Table1[[#This Row],[5 cm2 cell test code]:[5 cm2 cell test code]],[1]!Table1[[Test code]:[Test code]],[1]!Table1[Q_int_frac DIW 10 mM KOH],"",0)</f>
        <v>#REF!</v>
      </c>
      <c r="AJ1981" s="69" t="e" cm="1">
        <f t="array" ref="AJ1981">_xlfn.XLOOKUP(Table1[[#This Row],[5 cm2 cell test code]:[5 cm2 cell test code]],[1]!Table1[[Test code]:[Test code]],[1]!Table1[DIW conductivity (µS/cm)],"",0)</f>
        <v>#REF!</v>
      </c>
    </row>
    <row r="1982" spans="1:36">
      <c r="A1982" s="81"/>
      <c r="U1982" s="101"/>
      <c r="V1982" s="101"/>
      <c r="W1982" s="69" t="e" cm="1">
        <f t="array" ref="W1982">_xlfn.XLOOKUP(Table1[[#This Row],[5 cm2 cell test code]:[5 cm2 cell test code]],[1]!Table1[[Test code]:[Test code]],[1]!Table1[i @ 1.8 V DIW (A/cm2)],"",0)</f>
        <v>#REF!</v>
      </c>
      <c r="X1982" s="69" t="e" cm="1">
        <f t="array" ref="X1982">_xlfn.XLOOKUP(Table1[[#This Row],[5 cm2 cell test code]:[5 cm2 cell test code]],[1]!Table1[[Test code]:[Test code]],[1]!Table1[i @ 1.8 V 10 mM KOH (A/cm2)],"",0)</f>
        <v>#REF!</v>
      </c>
      <c r="Y1982" s="69" t="e" cm="1">
        <f t="array" ref="Y1982">_xlfn.XLOOKUP(Table1[[#This Row],[5 cm2 cell test code]:[5 cm2 cell test code]],[1]!Table1[[Test code]:[Test code]],[1]!Table1[3-E ƞ at 20mAcm-2 (mV)],"",0)</f>
        <v>#REF!</v>
      </c>
      <c r="Z1982" s="69" t="e" cm="1">
        <f t="array" ref="Z1982">_xlfn.XLOOKUP(Table1[[#This Row],[5 cm2 cell test code]:[5 cm2 cell test code]],[1]!Table1[[Test code]:[Test code]],[1]!Table1[3-E Tafel slope (mV/dec)],"",0)</f>
        <v>#REF!</v>
      </c>
      <c r="AA1982" s="69" t="e" cm="1">
        <f t="array" ref="AA1982">_xlfn.XLOOKUP(Table1[[#This Row],[5 cm2 cell test code]:[5 cm2 cell test code]],[1]!Table1[[Test code]:[Test code]],[1]!Table1[E @ 100 mA/cm2 DIW/V],"",0)</f>
        <v>#REF!</v>
      </c>
      <c r="AB1982" s="69" t="e" cm="1">
        <f t="array" ref="AB1982">_xlfn.XLOOKUP(Table1[[#This Row],[5 cm2 cell test code]:[5 cm2 cell test code]],[1]!Table1[[Test code]:[Test code]],[1]!Table1[E @ 100 mA/cm2 10 mM KOH/V],"",0)</f>
        <v>#REF!</v>
      </c>
      <c r="AC1982" s="69" t="e" cm="1">
        <f t="array" ref="AC1982">_xlfn.XLOOKUP(Table1[[#This Row],[5 cm2 cell test code]:[5 cm2 cell test code]],[1]!Table1[[Test code]:[Test code]],[1]!Table1[Anode ICR/mOhm],"",0)</f>
        <v>#REF!</v>
      </c>
      <c r="AD1982" s="69" t="e" cm="1">
        <f t="array" ref="AD1982">_xlfn.XLOOKUP(Table1[[#This Row],[5 cm2 cell test code]:[5 cm2 cell test code]],[1]!Table1[[Test code]:[Test code]],[1]!Table1[HFR DIW/ mOhm cm2],"",0)</f>
        <v>#REF!</v>
      </c>
      <c r="AE1982" s="69" t="e" cm="1">
        <f t="array" ref="AE1982">_xlfn.XLOOKUP(Table1[[#This Row],[5 cm2 cell test code]:[5 cm2 cell test code]],[1]!Table1[[Test code]:[Test code]],[1]!Table1[HFR 10 mM KOH/ mOhm cm2],"",0)</f>
        <v>#REF!</v>
      </c>
      <c r="AF1982" s="69" t="e" cm="1">
        <f t="array" ref="AF1982">_xlfn.XLOOKUP(Table1[[#This Row],[5 cm2 cell test code]:[5 cm2 cell test code]],[1]!Table1[[Test code]:[Test code]],[1]!Table1[Ionic resistance DIW/Ohm cm2],"",0)</f>
        <v>#REF!</v>
      </c>
      <c r="AG1982" s="69" t="e" cm="1">
        <f t="array" ref="AG1982">_xlfn.XLOOKUP(Table1[[#This Row],[5 cm2 cell test code]:[5 cm2 cell test code]],[1]!Table1[[Test code]:[Test code]],[1]!Table1[Q_int_frac DIW],"",0)</f>
        <v>#REF!</v>
      </c>
      <c r="AH1982" s="69" t="e" cm="1">
        <f t="array" ref="AH1982">_xlfn.XLOOKUP(Table1[[#This Row],[5 cm2 cell test code]:[5 cm2 cell test code]],[1]!Table1[[Test code]:[Test code]],[1]!Table1[Ionic resistance 10 mM KOH/Ohm cm2],"",0)</f>
        <v>#REF!</v>
      </c>
      <c r="AI1982" s="69" t="e" cm="1">
        <f t="array" ref="AI1982">_xlfn.XLOOKUP(Table1[[#This Row],[5 cm2 cell test code]:[5 cm2 cell test code]],[1]!Table1[[Test code]:[Test code]],[1]!Table1[Q_int_frac DIW 10 mM KOH],"",0)</f>
        <v>#REF!</v>
      </c>
      <c r="AJ1982" s="69" t="e" cm="1">
        <f t="array" ref="AJ1982">_xlfn.XLOOKUP(Table1[[#This Row],[5 cm2 cell test code]:[5 cm2 cell test code]],[1]!Table1[[Test code]:[Test code]],[1]!Table1[DIW conductivity (µS/cm)],"",0)</f>
        <v>#REF!</v>
      </c>
    </row>
    <row r="1983" spans="1:36">
      <c r="A1983" s="81"/>
      <c r="U1983" s="101"/>
      <c r="V1983" s="101"/>
      <c r="W1983" s="69" t="e" cm="1">
        <f t="array" ref="W1983">_xlfn.XLOOKUP(Table1[[#This Row],[5 cm2 cell test code]:[5 cm2 cell test code]],[1]!Table1[[Test code]:[Test code]],[1]!Table1[i @ 1.8 V DIW (A/cm2)],"",0)</f>
        <v>#REF!</v>
      </c>
      <c r="X1983" s="69" t="e" cm="1">
        <f t="array" ref="X1983">_xlfn.XLOOKUP(Table1[[#This Row],[5 cm2 cell test code]:[5 cm2 cell test code]],[1]!Table1[[Test code]:[Test code]],[1]!Table1[i @ 1.8 V 10 mM KOH (A/cm2)],"",0)</f>
        <v>#REF!</v>
      </c>
      <c r="Y1983" s="69" t="e" cm="1">
        <f t="array" ref="Y1983">_xlfn.XLOOKUP(Table1[[#This Row],[5 cm2 cell test code]:[5 cm2 cell test code]],[1]!Table1[[Test code]:[Test code]],[1]!Table1[3-E ƞ at 20mAcm-2 (mV)],"",0)</f>
        <v>#REF!</v>
      </c>
      <c r="Z1983" s="69" t="e" cm="1">
        <f t="array" ref="Z1983">_xlfn.XLOOKUP(Table1[[#This Row],[5 cm2 cell test code]:[5 cm2 cell test code]],[1]!Table1[[Test code]:[Test code]],[1]!Table1[3-E Tafel slope (mV/dec)],"",0)</f>
        <v>#REF!</v>
      </c>
      <c r="AA1983" s="69" t="e" cm="1">
        <f t="array" ref="AA1983">_xlfn.XLOOKUP(Table1[[#This Row],[5 cm2 cell test code]:[5 cm2 cell test code]],[1]!Table1[[Test code]:[Test code]],[1]!Table1[E @ 100 mA/cm2 DIW/V],"",0)</f>
        <v>#REF!</v>
      </c>
      <c r="AB1983" s="69" t="e" cm="1">
        <f t="array" ref="AB1983">_xlfn.XLOOKUP(Table1[[#This Row],[5 cm2 cell test code]:[5 cm2 cell test code]],[1]!Table1[[Test code]:[Test code]],[1]!Table1[E @ 100 mA/cm2 10 mM KOH/V],"",0)</f>
        <v>#REF!</v>
      </c>
      <c r="AC1983" s="69" t="e" cm="1">
        <f t="array" ref="AC1983">_xlfn.XLOOKUP(Table1[[#This Row],[5 cm2 cell test code]:[5 cm2 cell test code]],[1]!Table1[[Test code]:[Test code]],[1]!Table1[Anode ICR/mOhm],"",0)</f>
        <v>#REF!</v>
      </c>
      <c r="AD1983" s="69" t="e" cm="1">
        <f t="array" ref="AD1983">_xlfn.XLOOKUP(Table1[[#This Row],[5 cm2 cell test code]:[5 cm2 cell test code]],[1]!Table1[[Test code]:[Test code]],[1]!Table1[HFR DIW/ mOhm cm2],"",0)</f>
        <v>#REF!</v>
      </c>
      <c r="AE1983" s="69" t="e" cm="1">
        <f t="array" ref="AE1983">_xlfn.XLOOKUP(Table1[[#This Row],[5 cm2 cell test code]:[5 cm2 cell test code]],[1]!Table1[[Test code]:[Test code]],[1]!Table1[HFR 10 mM KOH/ mOhm cm2],"",0)</f>
        <v>#REF!</v>
      </c>
      <c r="AF1983" s="69" t="e" cm="1">
        <f t="array" ref="AF1983">_xlfn.XLOOKUP(Table1[[#This Row],[5 cm2 cell test code]:[5 cm2 cell test code]],[1]!Table1[[Test code]:[Test code]],[1]!Table1[Ionic resistance DIW/Ohm cm2],"",0)</f>
        <v>#REF!</v>
      </c>
      <c r="AG1983" s="69" t="e" cm="1">
        <f t="array" ref="AG1983">_xlfn.XLOOKUP(Table1[[#This Row],[5 cm2 cell test code]:[5 cm2 cell test code]],[1]!Table1[[Test code]:[Test code]],[1]!Table1[Q_int_frac DIW],"",0)</f>
        <v>#REF!</v>
      </c>
      <c r="AH1983" s="69" t="e" cm="1">
        <f t="array" ref="AH1983">_xlfn.XLOOKUP(Table1[[#This Row],[5 cm2 cell test code]:[5 cm2 cell test code]],[1]!Table1[[Test code]:[Test code]],[1]!Table1[Ionic resistance 10 mM KOH/Ohm cm2],"",0)</f>
        <v>#REF!</v>
      </c>
      <c r="AI1983" s="69" t="e" cm="1">
        <f t="array" ref="AI1983">_xlfn.XLOOKUP(Table1[[#This Row],[5 cm2 cell test code]:[5 cm2 cell test code]],[1]!Table1[[Test code]:[Test code]],[1]!Table1[Q_int_frac DIW 10 mM KOH],"",0)</f>
        <v>#REF!</v>
      </c>
      <c r="AJ1983" s="69" t="e" cm="1">
        <f t="array" ref="AJ1983">_xlfn.XLOOKUP(Table1[[#This Row],[5 cm2 cell test code]:[5 cm2 cell test code]],[1]!Table1[[Test code]:[Test code]],[1]!Table1[DIW conductivity (µS/cm)],"",0)</f>
        <v>#REF!</v>
      </c>
    </row>
    <row r="1984" spans="1:36">
      <c r="A1984" s="81"/>
      <c r="U1984" s="101"/>
      <c r="V1984" s="101"/>
      <c r="W1984" s="69" t="e" cm="1">
        <f t="array" ref="W1984">_xlfn.XLOOKUP(Table1[[#This Row],[5 cm2 cell test code]:[5 cm2 cell test code]],[1]!Table1[[Test code]:[Test code]],[1]!Table1[i @ 1.8 V DIW (A/cm2)],"",0)</f>
        <v>#REF!</v>
      </c>
      <c r="X1984" s="69" t="e" cm="1">
        <f t="array" ref="X1984">_xlfn.XLOOKUP(Table1[[#This Row],[5 cm2 cell test code]:[5 cm2 cell test code]],[1]!Table1[[Test code]:[Test code]],[1]!Table1[i @ 1.8 V 10 mM KOH (A/cm2)],"",0)</f>
        <v>#REF!</v>
      </c>
      <c r="Y1984" s="69" t="e" cm="1">
        <f t="array" ref="Y1984">_xlfn.XLOOKUP(Table1[[#This Row],[5 cm2 cell test code]:[5 cm2 cell test code]],[1]!Table1[[Test code]:[Test code]],[1]!Table1[3-E ƞ at 20mAcm-2 (mV)],"",0)</f>
        <v>#REF!</v>
      </c>
      <c r="Z1984" s="69" t="e" cm="1">
        <f t="array" ref="Z1984">_xlfn.XLOOKUP(Table1[[#This Row],[5 cm2 cell test code]:[5 cm2 cell test code]],[1]!Table1[[Test code]:[Test code]],[1]!Table1[3-E Tafel slope (mV/dec)],"",0)</f>
        <v>#REF!</v>
      </c>
      <c r="AA1984" s="69" t="e" cm="1">
        <f t="array" ref="AA1984">_xlfn.XLOOKUP(Table1[[#This Row],[5 cm2 cell test code]:[5 cm2 cell test code]],[1]!Table1[[Test code]:[Test code]],[1]!Table1[E @ 100 mA/cm2 DIW/V],"",0)</f>
        <v>#REF!</v>
      </c>
      <c r="AB1984" s="69" t="e" cm="1">
        <f t="array" ref="AB1984">_xlfn.XLOOKUP(Table1[[#This Row],[5 cm2 cell test code]:[5 cm2 cell test code]],[1]!Table1[[Test code]:[Test code]],[1]!Table1[E @ 100 mA/cm2 10 mM KOH/V],"",0)</f>
        <v>#REF!</v>
      </c>
      <c r="AC1984" s="69" t="e" cm="1">
        <f t="array" ref="AC1984">_xlfn.XLOOKUP(Table1[[#This Row],[5 cm2 cell test code]:[5 cm2 cell test code]],[1]!Table1[[Test code]:[Test code]],[1]!Table1[Anode ICR/mOhm],"",0)</f>
        <v>#REF!</v>
      </c>
      <c r="AD1984" s="69" t="e" cm="1">
        <f t="array" ref="AD1984">_xlfn.XLOOKUP(Table1[[#This Row],[5 cm2 cell test code]:[5 cm2 cell test code]],[1]!Table1[[Test code]:[Test code]],[1]!Table1[HFR DIW/ mOhm cm2],"",0)</f>
        <v>#REF!</v>
      </c>
      <c r="AE1984" s="69" t="e" cm="1">
        <f t="array" ref="AE1984">_xlfn.XLOOKUP(Table1[[#This Row],[5 cm2 cell test code]:[5 cm2 cell test code]],[1]!Table1[[Test code]:[Test code]],[1]!Table1[HFR 10 mM KOH/ mOhm cm2],"",0)</f>
        <v>#REF!</v>
      </c>
      <c r="AF1984" s="69" t="e" cm="1">
        <f t="array" ref="AF1984">_xlfn.XLOOKUP(Table1[[#This Row],[5 cm2 cell test code]:[5 cm2 cell test code]],[1]!Table1[[Test code]:[Test code]],[1]!Table1[Ionic resistance DIW/Ohm cm2],"",0)</f>
        <v>#REF!</v>
      </c>
      <c r="AG1984" s="69" t="e" cm="1">
        <f t="array" ref="AG1984">_xlfn.XLOOKUP(Table1[[#This Row],[5 cm2 cell test code]:[5 cm2 cell test code]],[1]!Table1[[Test code]:[Test code]],[1]!Table1[Q_int_frac DIW],"",0)</f>
        <v>#REF!</v>
      </c>
      <c r="AH1984" s="69" t="e" cm="1">
        <f t="array" ref="AH1984">_xlfn.XLOOKUP(Table1[[#This Row],[5 cm2 cell test code]:[5 cm2 cell test code]],[1]!Table1[[Test code]:[Test code]],[1]!Table1[Ionic resistance 10 mM KOH/Ohm cm2],"",0)</f>
        <v>#REF!</v>
      </c>
      <c r="AI1984" s="69" t="e" cm="1">
        <f t="array" ref="AI1984">_xlfn.XLOOKUP(Table1[[#This Row],[5 cm2 cell test code]:[5 cm2 cell test code]],[1]!Table1[[Test code]:[Test code]],[1]!Table1[Q_int_frac DIW 10 mM KOH],"",0)</f>
        <v>#REF!</v>
      </c>
      <c r="AJ1984" s="69" t="e" cm="1">
        <f t="array" ref="AJ1984">_xlfn.XLOOKUP(Table1[[#This Row],[5 cm2 cell test code]:[5 cm2 cell test code]],[1]!Table1[[Test code]:[Test code]],[1]!Table1[DIW conductivity (µS/cm)],"",0)</f>
        <v>#REF!</v>
      </c>
    </row>
    <row r="1985" spans="1:36">
      <c r="A1985" s="81"/>
      <c r="U1985" s="101"/>
      <c r="V1985" s="101"/>
      <c r="W1985" s="69" t="e" cm="1">
        <f t="array" ref="W1985">_xlfn.XLOOKUP(Table1[[#This Row],[5 cm2 cell test code]:[5 cm2 cell test code]],[1]!Table1[[Test code]:[Test code]],[1]!Table1[i @ 1.8 V DIW (A/cm2)],"",0)</f>
        <v>#REF!</v>
      </c>
      <c r="X1985" s="69" t="e" cm="1">
        <f t="array" ref="X1985">_xlfn.XLOOKUP(Table1[[#This Row],[5 cm2 cell test code]:[5 cm2 cell test code]],[1]!Table1[[Test code]:[Test code]],[1]!Table1[i @ 1.8 V 10 mM KOH (A/cm2)],"",0)</f>
        <v>#REF!</v>
      </c>
      <c r="Y1985" s="69" t="e" cm="1">
        <f t="array" ref="Y1985">_xlfn.XLOOKUP(Table1[[#This Row],[5 cm2 cell test code]:[5 cm2 cell test code]],[1]!Table1[[Test code]:[Test code]],[1]!Table1[3-E ƞ at 20mAcm-2 (mV)],"",0)</f>
        <v>#REF!</v>
      </c>
      <c r="Z1985" s="69" t="e" cm="1">
        <f t="array" ref="Z1985">_xlfn.XLOOKUP(Table1[[#This Row],[5 cm2 cell test code]:[5 cm2 cell test code]],[1]!Table1[[Test code]:[Test code]],[1]!Table1[3-E Tafel slope (mV/dec)],"",0)</f>
        <v>#REF!</v>
      </c>
      <c r="AA1985" s="69" t="e" cm="1">
        <f t="array" ref="AA1985">_xlfn.XLOOKUP(Table1[[#This Row],[5 cm2 cell test code]:[5 cm2 cell test code]],[1]!Table1[[Test code]:[Test code]],[1]!Table1[E @ 100 mA/cm2 DIW/V],"",0)</f>
        <v>#REF!</v>
      </c>
      <c r="AB1985" s="69" t="e" cm="1">
        <f t="array" ref="AB1985">_xlfn.XLOOKUP(Table1[[#This Row],[5 cm2 cell test code]:[5 cm2 cell test code]],[1]!Table1[[Test code]:[Test code]],[1]!Table1[E @ 100 mA/cm2 10 mM KOH/V],"",0)</f>
        <v>#REF!</v>
      </c>
      <c r="AC1985" s="69" t="e" cm="1">
        <f t="array" ref="AC1985">_xlfn.XLOOKUP(Table1[[#This Row],[5 cm2 cell test code]:[5 cm2 cell test code]],[1]!Table1[[Test code]:[Test code]],[1]!Table1[Anode ICR/mOhm],"",0)</f>
        <v>#REF!</v>
      </c>
      <c r="AD1985" s="69" t="e" cm="1">
        <f t="array" ref="AD1985">_xlfn.XLOOKUP(Table1[[#This Row],[5 cm2 cell test code]:[5 cm2 cell test code]],[1]!Table1[[Test code]:[Test code]],[1]!Table1[HFR DIW/ mOhm cm2],"",0)</f>
        <v>#REF!</v>
      </c>
      <c r="AE1985" s="69" t="e" cm="1">
        <f t="array" ref="AE1985">_xlfn.XLOOKUP(Table1[[#This Row],[5 cm2 cell test code]:[5 cm2 cell test code]],[1]!Table1[[Test code]:[Test code]],[1]!Table1[HFR 10 mM KOH/ mOhm cm2],"",0)</f>
        <v>#REF!</v>
      </c>
      <c r="AF1985" s="69" t="e" cm="1">
        <f t="array" ref="AF1985">_xlfn.XLOOKUP(Table1[[#This Row],[5 cm2 cell test code]:[5 cm2 cell test code]],[1]!Table1[[Test code]:[Test code]],[1]!Table1[Ionic resistance DIW/Ohm cm2],"",0)</f>
        <v>#REF!</v>
      </c>
      <c r="AG1985" s="69" t="e" cm="1">
        <f t="array" ref="AG1985">_xlfn.XLOOKUP(Table1[[#This Row],[5 cm2 cell test code]:[5 cm2 cell test code]],[1]!Table1[[Test code]:[Test code]],[1]!Table1[Q_int_frac DIW],"",0)</f>
        <v>#REF!</v>
      </c>
      <c r="AH1985" s="69" t="e" cm="1">
        <f t="array" ref="AH1985">_xlfn.XLOOKUP(Table1[[#This Row],[5 cm2 cell test code]:[5 cm2 cell test code]],[1]!Table1[[Test code]:[Test code]],[1]!Table1[Ionic resistance 10 mM KOH/Ohm cm2],"",0)</f>
        <v>#REF!</v>
      </c>
      <c r="AI1985" s="69" t="e" cm="1">
        <f t="array" ref="AI1985">_xlfn.XLOOKUP(Table1[[#This Row],[5 cm2 cell test code]:[5 cm2 cell test code]],[1]!Table1[[Test code]:[Test code]],[1]!Table1[Q_int_frac DIW 10 mM KOH],"",0)</f>
        <v>#REF!</v>
      </c>
      <c r="AJ1985" s="69" t="e" cm="1">
        <f t="array" ref="AJ1985">_xlfn.XLOOKUP(Table1[[#This Row],[5 cm2 cell test code]:[5 cm2 cell test code]],[1]!Table1[[Test code]:[Test code]],[1]!Table1[DIW conductivity (µS/cm)],"",0)</f>
        <v>#REF!</v>
      </c>
    </row>
    <row r="1986" spans="1:36">
      <c r="A1986" s="81"/>
      <c r="U1986" s="101"/>
      <c r="V1986" s="101"/>
      <c r="W1986" s="69" t="e" cm="1">
        <f t="array" ref="W1986">_xlfn.XLOOKUP(Table1[[#This Row],[5 cm2 cell test code]:[5 cm2 cell test code]],[1]!Table1[[Test code]:[Test code]],[1]!Table1[i @ 1.8 V DIW (A/cm2)],"",0)</f>
        <v>#REF!</v>
      </c>
      <c r="X1986" s="69" t="e" cm="1">
        <f t="array" ref="X1986">_xlfn.XLOOKUP(Table1[[#This Row],[5 cm2 cell test code]:[5 cm2 cell test code]],[1]!Table1[[Test code]:[Test code]],[1]!Table1[i @ 1.8 V 10 mM KOH (A/cm2)],"",0)</f>
        <v>#REF!</v>
      </c>
      <c r="Y1986" s="69" t="e" cm="1">
        <f t="array" ref="Y1986">_xlfn.XLOOKUP(Table1[[#This Row],[5 cm2 cell test code]:[5 cm2 cell test code]],[1]!Table1[[Test code]:[Test code]],[1]!Table1[3-E ƞ at 20mAcm-2 (mV)],"",0)</f>
        <v>#REF!</v>
      </c>
      <c r="Z1986" s="69" t="e" cm="1">
        <f t="array" ref="Z1986">_xlfn.XLOOKUP(Table1[[#This Row],[5 cm2 cell test code]:[5 cm2 cell test code]],[1]!Table1[[Test code]:[Test code]],[1]!Table1[3-E Tafel slope (mV/dec)],"",0)</f>
        <v>#REF!</v>
      </c>
      <c r="AA1986" s="69" t="e" cm="1">
        <f t="array" ref="AA1986">_xlfn.XLOOKUP(Table1[[#This Row],[5 cm2 cell test code]:[5 cm2 cell test code]],[1]!Table1[[Test code]:[Test code]],[1]!Table1[E @ 100 mA/cm2 DIW/V],"",0)</f>
        <v>#REF!</v>
      </c>
      <c r="AB1986" s="69" t="e" cm="1">
        <f t="array" ref="AB1986">_xlfn.XLOOKUP(Table1[[#This Row],[5 cm2 cell test code]:[5 cm2 cell test code]],[1]!Table1[[Test code]:[Test code]],[1]!Table1[E @ 100 mA/cm2 10 mM KOH/V],"",0)</f>
        <v>#REF!</v>
      </c>
      <c r="AC1986" s="69" t="e" cm="1">
        <f t="array" ref="AC1986">_xlfn.XLOOKUP(Table1[[#This Row],[5 cm2 cell test code]:[5 cm2 cell test code]],[1]!Table1[[Test code]:[Test code]],[1]!Table1[Anode ICR/mOhm],"",0)</f>
        <v>#REF!</v>
      </c>
      <c r="AD1986" s="69" t="e" cm="1">
        <f t="array" ref="AD1986">_xlfn.XLOOKUP(Table1[[#This Row],[5 cm2 cell test code]:[5 cm2 cell test code]],[1]!Table1[[Test code]:[Test code]],[1]!Table1[HFR DIW/ mOhm cm2],"",0)</f>
        <v>#REF!</v>
      </c>
      <c r="AE1986" s="69" t="e" cm="1">
        <f t="array" ref="AE1986">_xlfn.XLOOKUP(Table1[[#This Row],[5 cm2 cell test code]:[5 cm2 cell test code]],[1]!Table1[[Test code]:[Test code]],[1]!Table1[HFR 10 mM KOH/ mOhm cm2],"",0)</f>
        <v>#REF!</v>
      </c>
      <c r="AF1986" s="69" t="e" cm="1">
        <f t="array" ref="AF1986">_xlfn.XLOOKUP(Table1[[#This Row],[5 cm2 cell test code]:[5 cm2 cell test code]],[1]!Table1[[Test code]:[Test code]],[1]!Table1[Ionic resistance DIW/Ohm cm2],"",0)</f>
        <v>#REF!</v>
      </c>
      <c r="AG1986" s="69" t="e" cm="1">
        <f t="array" ref="AG1986">_xlfn.XLOOKUP(Table1[[#This Row],[5 cm2 cell test code]:[5 cm2 cell test code]],[1]!Table1[[Test code]:[Test code]],[1]!Table1[Q_int_frac DIW],"",0)</f>
        <v>#REF!</v>
      </c>
      <c r="AH1986" s="69" t="e" cm="1">
        <f t="array" ref="AH1986">_xlfn.XLOOKUP(Table1[[#This Row],[5 cm2 cell test code]:[5 cm2 cell test code]],[1]!Table1[[Test code]:[Test code]],[1]!Table1[Ionic resistance 10 mM KOH/Ohm cm2],"",0)</f>
        <v>#REF!</v>
      </c>
      <c r="AI1986" s="69" t="e" cm="1">
        <f t="array" ref="AI1986">_xlfn.XLOOKUP(Table1[[#This Row],[5 cm2 cell test code]:[5 cm2 cell test code]],[1]!Table1[[Test code]:[Test code]],[1]!Table1[Q_int_frac DIW 10 mM KOH],"",0)</f>
        <v>#REF!</v>
      </c>
      <c r="AJ1986" s="69" t="e" cm="1">
        <f t="array" ref="AJ1986">_xlfn.XLOOKUP(Table1[[#This Row],[5 cm2 cell test code]:[5 cm2 cell test code]],[1]!Table1[[Test code]:[Test code]],[1]!Table1[DIW conductivity (µS/cm)],"",0)</f>
        <v>#REF!</v>
      </c>
    </row>
    <row r="1987" spans="1:36">
      <c r="A1987" s="81"/>
      <c r="U1987" s="101"/>
      <c r="V1987" s="101"/>
      <c r="W1987" s="69" t="e" cm="1">
        <f t="array" ref="W1987">_xlfn.XLOOKUP(Table1[[#This Row],[5 cm2 cell test code]:[5 cm2 cell test code]],[1]!Table1[[Test code]:[Test code]],[1]!Table1[i @ 1.8 V DIW (A/cm2)],"",0)</f>
        <v>#REF!</v>
      </c>
      <c r="X1987" s="69" t="e" cm="1">
        <f t="array" ref="X1987">_xlfn.XLOOKUP(Table1[[#This Row],[5 cm2 cell test code]:[5 cm2 cell test code]],[1]!Table1[[Test code]:[Test code]],[1]!Table1[i @ 1.8 V 10 mM KOH (A/cm2)],"",0)</f>
        <v>#REF!</v>
      </c>
      <c r="Y1987" s="69" t="e" cm="1">
        <f t="array" ref="Y1987">_xlfn.XLOOKUP(Table1[[#This Row],[5 cm2 cell test code]:[5 cm2 cell test code]],[1]!Table1[[Test code]:[Test code]],[1]!Table1[3-E ƞ at 20mAcm-2 (mV)],"",0)</f>
        <v>#REF!</v>
      </c>
      <c r="Z1987" s="69" t="e" cm="1">
        <f t="array" ref="Z1987">_xlfn.XLOOKUP(Table1[[#This Row],[5 cm2 cell test code]:[5 cm2 cell test code]],[1]!Table1[[Test code]:[Test code]],[1]!Table1[3-E Tafel slope (mV/dec)],"",0)</f>
        <v>#REF!</v>
      </c>
      <c r="AA1987" s="69" t="e" cm="1">
        <f t="array" ref="AA1987">_xlfn.XLOOKUP(Table1[[#This Row],[5 cm2 cell test code]:[5 cm2 cell test code]],[1]!Table1[[Test code]:[Test code]],[1]!Table1[E @ 100 mA/cm2 DIW/V],"",0)</f>
        <v>#REF!</v>
      </c>
      <c r="AB1987" s="69" t="e" cm="1">
        <f t="array" ref="AB1987">_xlfn.XLOOKUP(Table1[[#This Row],[5 cm2 cell test code]:[5 cm2 cell test code]],[1]!Table1[[Test code]:[Test code]],[1]!Table1[E @ 100 mA/cm2 10 mM KOH/V],"",0)</f>
        <v>#REF!</v>
      </c>
      <c r="AC1987" s="69" t="e" cm="1">
        <f t="array" ref="AC1987">_xlfn.XLOOKUP(Table1[[#This Row],[5 cm2 cell test code]:[5 cm2 cell test code]],[1]!Table1[[Test code]:[Test code]],[1]!Table1[Anode ICR/mOhm],"",0)</f>
        <v>#REF!</v>
      </c>
      <c r="AD1987" s="69" t="e" cm="1">
        <f t="array" ref="AD1987">_xlfn.XLOOKUP(Table1[[#This Row],[5 cm2 cell test code]:[5 cm2 cell test code]],[1]!Table1[[Test code]:[Test code]],[1]!Table1[HFR DIW/ mOhm cm2],"",0)</f>
        <v>#REF!</v>
      </c>
      <c r="AE1987" s="69" t="e" cm="1">
        <f t="array" ref="AE1987">_xlfn.XLOOKUP(Table1[[#This Row],[5 cm2 cell test code]:[5 cm2 cell test code]],[1]!Table1[[Test code]:[Test code]],[1]!Table1[HFR 10 mM KOH/ mOhm cm2],"",0)</f>
        <v>#REF!</v>
      </c>
      <c r="AF1987" s="69" t="e" cm="1">
        <f t="array" ref="AF1987">_xlfn.XLOOKUP(Table1[[#This Row],[5 cm2 cell test code]:[5 cm2 cell test code]],[1]!Table1[[Test code]:[Test code]],[1]!Table1[Ionic resistance DIW/Ohm cm2],"",0)</f>
        <v>#REF!</v>
      </c>
      <c r="AG1987" s="69" t="e" cm="1">
        <f t="array" ref="AG1987">_xlfn.XLOOKUP(Table1[[#This Row],[5 cm2 cell test code]:[5 cm2 cell test code]],[1]!Table1[[Test code]:[Test code]],[1]!Table1[Q_int_frac DIW],"",0)</f>
        <v>#REF!</v>
      </c>
      <c r="AH1987" s="69" t="e" cm="1">
        <f t="array" ref="AH1987">_xlfn.XLOOKUP(Table1[[#This Row],[5 cm2 cell test code]:[5 cm2 cell test code]],[1]!Table1[[Test code]:[Test code]],[1]!Table1[Ionic resistance 10 mM KOH/Ohm cm2],"",0)</f>
        <v>#REF!</v>
      </c>
      <c r="AI1987" s="69" t="e" cm="1">
        <f t="array" ref="AI1987">_xlfn.XLOOKUP(Table1[[#This Row],[5 cm2 cell test code]:[5 cm2 cell test code]],[1]!Table1[[Test code]:[Test code]],[1]!Table1[Q_int_frac DIW 10 mM KOH],"",0)</f>
        <v>#REF!</v>
      </c>
      <c r="AJ1987" s="69" t="e" cm="1">
        <f t="array" ref="AJ1987">_xlfn.XLOOKUP(Table1[[#This Row],[5 cm2 cell test code]:[5 cm2 cell test code]],[1]!Table1[[Test code]:[Test code]],[1]!Table1[DIW conductivity (µS/cm)],"",0)</f>
        <v>#REF!</v>
      </c>
    </row>
    <row r="1988" spans="1:36">
      <c r="A1988" s="81"/>
      <c r="U1988" s="101"/>
      <c r="V1988" s="101"/>
      <c r="W1988" s="69" t="e" cm="1">
        <f t="array" ref="W1988">_xlfn.XLOOKUP(Table1[[#This Row],[5 cm2 cell test code]:[5 cm2 cell test code]],[1]!Table1[[Test code]:[Test code]],[1]!Table1[i @ 1.8 V DIW (A/cm2)],"",0)</f>
        <v>#REF!</v>
      </c>
      <c r="X1988" s="69" t="e" cm="1">
        <f t="array" ref="X1988">_xlfn.XLOOKUP(Table1[[#This Row],[5 cm2 cell test code]:[5 cm2 cell test code]],[1]!Table1[[Test code]:[Test code]],[1]!Table1[i @ 1.8 V 10 mM KOH (A/cm2)],"",0)</f>
        <v>#REF!</v>
      </c>
      <c r="Y1988" s="69" t="e" cm="1">
        <f t="array" ref="Y1988">_xlfn.XLOOKUP(Table1[[#This Row],[5 cm2 cell test code]:[5 cm2 cell test code]],[1]!Table1[[Test code]:[Test code]],[1]!Table1[3-E ƞ at 20mAcm-2 (mV)],"",0)</f>
        <v>#REF!</v>
      </c>
      <c r="Z1988" s="69" t="e" cm="1">
        <f t="array" ref="Z1988">_xlfn.XLOOKUP(Table1[[#This Row],[5 cm2 cell test code]:[5 cm2 cell test code]],[1]!Table1[[Test code]:[Test code]],[1]!Table1[3-E Tafel slope (mV/dec)],"",0)</f>
        <v>#REF!</v>
      </c>
      <c r="AA1988" s="69" t="e" cm="1">
        <f t="array" ref="AA1988">_xlfn.XLOOKUP(Table1[[#This Row],[5 cm2 cell test code]:[5 cm2 cell test code]],[1]!Table1[[Test code]:[Test code]],[1]!Table1[E @ 100 mA/cm2 DIW/V],"",0)</f>
        <v>#REF!</v>
      </c>
      <c r="AB1988" s="69" t="e" cm="1">
        <f t="array" ref="AB1988">_xlfn.XLOOKUP(Table1[[#This Row],[5 cm2 cell test code]:[5 cm2 cell test code]],[1]!Table1[[Test code]:[Test code]],[1]!Table1[E @ 100 mA/cm2 10 mM KOH/V],"",0)</f>
        <v>#REF!</v>
      </c>
      <c r="AC1988" s="69" t="e" cm="1">
        <f t="array" ref="AC1988">_xlfn.XLOOKUP(Table1[[#This Row],[5 cm2 cell test code]:[5 cm2 cell test code]],[1]!Table1[[Test code]:[Test code]],[1]!Table1[Anode ICR/mOhm],"",0)</f>
        <v>#REF!</v>
      </c>
      <c r="AD1988" s="69" t="e" cm="1">
        <f t="array" ref="AD1988">_xlfn.XLOOKUP(Table1[[#This Row],[5 cm2 cell test code]:[5 cm2 cell test code]],[1]!Table1[[Test code]:[Test code]],[1]!Table1[HFR DIW/ mOhm cm2],"",0)</f>
        <v>#REF!</v>
      </c>
      <c r="AE1988" s="69" t="e" cm="1">
        <f t="array" ref="AE1988">_xlfn.XLOOKUP(Table1[[#This Row],[5 cm2 cell test code]:[5 cm2 cell test code]],[1]!Table1[[Test code]:[Test code]],[1]!Table1[HFR 10 mM KOH/ mOhm cm2],"",0)</f>
        <v>#REF!</v>
      </c>
      <c r="AF1988" s="69" t="e" cm="1">
        <f t="array" ref="AF1988">_xlfn.XLOOKUP(Table1[[#This Row],[5 cm2 cell test code]:[5 cm2 cell test code]],[1]!Table1[[Test code]:[Test code]],[1]!Table1[Ionic resistance DIW/Ohm cm2],"",0)</f>
        <v>#REF!</v>
      </c>
      <c r="AG1988" s="69" t="e" cm="1">
        <f t="array" ref="AG1988">_xlfn.XLOOKUP(Table1[[#This Row],[5 cm2 cell test code]:[5 cm2 cell test code]],[1]!Table1[[Test code]:[Test code]],[1]!Table1[Q_int_frac DIW],"",0)</f>
        <v>#REF!</v>
      </c>
      <c r="AH1988" s="69" t="e" cm="1">
        <f t="array" ref="AH1988">_xlfn.XLOOKUP(Table1[[#This Row],[5 cm2 cell test code]:[5 cm2 cell test code]],[1]!Table1[[Test code]:[Test code]],[1]!Table1[Ionic resistance 10 mM KOH/Ohm cm2],"",0)</f>
        <v>#REF!</v>
      </c>
      <c r="AI1988" s="69" t="e" cm="1">
        <f t="array" ref="AI1988">_xlfn.XLOOKUP(Table1[[#This Row],[5 cm2 cell test code]:[5 cm2 cell test code]],[1]!Table1[[Test code]:[Test code]],[1]!Table1[Q_int_frac DIW 10 mM KOH],"",0)</f>
        <v>#REF!</v>
      </c>
      <c r="AJ1988" s="69" t="e" cm="1">
        <f t="array" ref="AJ1988">_xlfn.XLOOKUP(Table1[[#This Row],[5 cm2 cell test code]:[5 cm2 cell test code]],[1]!Table1[[Test code]:[Test code]],[1]!Table1[DIW conductivity (µS/cm)],"",0)</f>
        <v>#REF!</v>
      </c>
    </row>
    <row r="1989" spans="1:36">
      <c r="A1989" s="81"/>
      <c r="U1989" s="101"/>
      <c r="V1989" s="101"/>
      <c r="W1989" s="69" t="e" cm="1">
        <f t="array" ref="W1989">_xlfn.XLOOKUP(Table1[[#This Row],[5 cm2 cell test code]:[5 cm2 cell test code]],[1]!Table1[[Test code]:[Test code]],[1]!Table1[i @ 1.8 V DIW (A/cm2)],"",0)</f>
        <v>#REF!</v>
      </c>
      <c r="X1989" s="69" t="e" cm="1">
        <f t="array" ref="X1989">_xlfn.XLOOKUP(Table1[[#This Row],[5 cm2 cell test code]:[5 cm2 cell test code]],[1]!Table1[[Test code]:[Test code]],[1]!Table1[i @ 1.8 V 10 mM KOH (A/cm2)],"",0)</f>
        <v>#REF!</v>
      </c>
      <c r="Y1989" s="69" t="e" cm="1">
        <f t="array" ref="Y1989">_xlfn.XLOOKUP(Table1[[#This Row],[5 cm2 cell test code]:[5 cm2 cell test code]],[1]!Table1[[Test code]:[Test code]],[1]!Table1[3-E ƞ at 20mAcm-2 (mV)],"",0)</f>
        <v>#REF!</v>
      </c>
      <c r="Z1989" s="69" t="e" cm="1">
        <f t="array" ref="Z1989">_xlfn.XLOOKUP(Table1[[#This Row],[5 cm2 cell test code]:[5 cm2 cell test code]],[1]!Table1[[Test code]:[Test code]],[1]!Table1[3-E Tafel slope (mV/dec)],"",0)</f>
        <v>#REF!</v>
      </c>
      <c r="AA1989" s="69" t="e" cm="1">
        <f t="array" ref="AA1989">_xlfn.XLOOKUP(Table1[[#This Row],[5 cm2 cell test code]:[5 cm2 cell test code]],[1]!Table1[[Test code]:[Test code]],[1]!Table1[E @ 100 mA/cm2 DIW/V],"",0)</f>
        <v>#REF!</v>
      </c>
      <c r="AB1989" s="69" t="e" cm="1">
        <f t="array" ref="AB1989">_xlfn.XLOOKUP(Table1[[#This Row],[5 cm2 cell test code]:[5 cm2 cell test code]],[1]!Table1[[Test code]:[Test code]],[1]!Table1[E @ 100 mA/cm2 10 mM KOH/V],"",0)</f>
        <v>#REF!</v>
      </c>
      <c r="AC1989" s="69" t="e" cm="1">
        <f t="array" ref="AC1989">_xlfn.XLOOKUP(Table1[[#This Row],[5 cm2 cell test code]:[5 cm2 cell test code]],[1]!Table1[[Test code]:[Test code]],[1]!Table1[Anode ICR/mOhm],"",0)</f>
        <v>#REF!</v>
      </c>
      <c r="AD1989" s="69" t="e" cm="1">
        <f t="array" ref="AD1989">_xlfn.XLOOKUP(Table1[[#This Row],[5 cm2 cell test code]:[5 cm2 cell test code]],[1]!Table1[[Test code]:[Test code]],[1]!Table1[HFR DIW/ mOhm cm2],"",0)</f>
        <v>#REF!</v>
      </c>
      <c r="AE1989" s="69" t="e" cm="1">
        <f t="array" ref="AE1989">_xlfn.XLOOKUP(Table1[[#This Row],[5 cm2 cell test code]:[5 cm2 cell test code]],[1]!Table1[[Test code]:[Test code]],[1]!Table1[HFR 10 mM KOH/ mOhm cm2],"",0)</f>
        <v>#REF!</v>
      </c>
      <c r="AF1989" s="69" t="e" cm="1">
        <f t="array" ref="AF1989">_xlfn.XLOOKUP(Table1[[#This Row],[5 cm2 cell test code]:[5 cm2 cell test code]],[1]!Table1[[Test code]:[Test code]],[1]!Table1[Ionic resistance DIW/Ohm cm2],"",0)</f>
        <v>#REF!</v>
      </c>
      <c r="AG1989" s="69" t="e" cm="1">
        <f t="array" ref="AG1989">_xlfn.XLOOKUP(Table1[[#This Row],[5 cm2 cell test code]:[5 cm2 cell test code]],[1]!Table1[[Test code]:[Test code]],[1]!Table1[Q_int_frac DIW],"",0)</f>
        <v>#REF!</v>
      </c>
      <c r="AH1989" s="69" t="e" cm="1">
        <f t="array" ref="AH1989">_xlfn.XLOOKUP(Table1[[#This Row],[5 cm2 cell test code]:[5 cm2 cell test code]],[1]!Table1[[Test code]:[Test code]],[1]!Table1[Ionic resistance 10 mM KOH/Ohm cm2],"",0)</f>
        <v>#REF!</v>
      </c>
      <c r="AI1989" s="69" t="e" cm="1">
        <f t="array" ref="AI1989">_xlfn.XLOOKUP(Table1[[#This Row],[5 cm2 cell test code]:[5 cm2 cell test code]],[1]!Table1[[Test code]:[Test code]],[1]!Table1[Q_int_frac DIW 10 mM KOH],"",0)</f>
        <v>#REF!</v>
      </c>
      <c r="AJ1989" s="69" t="e" cm="1">
        <f t="array" ref="AJ1989">_xlfn.XLOOKUP(Table1[[#This Row],[5 cm2 cell test code]:[5 cm2 cell test code]],[1]!Table1[[Test code]:[Test code]],[1]!Table1[DIW conductivity (µS/cm)],"",0)</f>
        <v>#REF!</v>
      </c>
    </row>
    <row r="1990" spans="1:36">
      <c r="A1990" s="81"/>
      <c r="U1990" s="101"/>
      <c r="V1990" s="101"/>
      <c r="W1990" s="69" t="e" cm="1">
        <f t="array" ref="W1990">_xlfn.XLOOKUP(Table1[[#This Row],[5 cm2 cell test code]:[5 cm2 cell test code]],[1]!Table1[[Test code]:[Test code]],[1]!Table1[i @ 1.8 V DIW (A/cm2)],"",0)</f>
        <v>#REF!</v>
      </c>
      <c r="X1990" s="69" t="e" cm="1">
        <f t="array" ref="X1990">_xlfn.XLOOKUP(Table1[[#This Row],[5 cm2 cell test code]:[5 cm2 cell test code]],[1]!Table1[[Test code]:[Test code]],[1]!Table1[i @ 1.8 V 10 mM KOH (A/cm2)],"",0)</f>
        <v>#REF!</v>
      </c>
      <c r="Y1990" s="69" t="e" cm="1">
        <f t="array" ref="Y1990">_xlfn.XLOOKUP(Table1[[#This Row],[5 cm2 cell test code]:[5 cm2 cell test code]],[1]!Table1[[Test code]:[Test code]],[1]!Table1[3-E ƞ at 20mAcm-2 (mV)],"",0)</f>
        <v>#REF!</v>
      </c>
      <c r="Z1990" s="69" t="e" cm="1">
        <f t="array" ref="Z1990">_xlfn.XLOOKUP(Table1[[#This Row],[5 cm2 cell test code]:[5 cm2 cell test code]],[1]!Table1[[Test code]:[Test code]],[1]!Table1[3-E Tafel slope (mV/dec)],"",0)</f>
        <v>#REF!</v>
      </c>
      <c r="AA1990" s="69" t="e" cm="1">
        <f t="array" ref="AA1990">_xlfn.XLOOKUP(Table1[[#This Row],[5 cm2 cell test code]:[5 cm2 cell test code]],[1]!Table1[[Test code]:[Test code]],[1]!Table1[E @ 100 mA/cm2 DIW/V],"",0)</f>
        <v>#REF!</v>
      </c>
      <c r="AB1990" s="69" t="e" cm="1">
        <f t="array" ref="AB1990">_xlfn.XLOOKUP(Table1[[#This Row],[5 cm2 cell test code]:[5 cm2 cell test code]],[1]!Table1[[Test code]:[Test code]],[1]!Table1[E @ 100 mA/cm2 10 mM KOH/V],"",0)</f>
        <v>#REF!</v>
      </c>
      <c r="AC1990" s="69" t="e" cm="1">
        <f t="array" ref="AC1990">_xlfn.XLOOKUP(Table1[[#This Row],[5 cm2 cell test code]:[5 cm2 cell test code]],[1]!Table1[[Test code]:[Test code]],[1]!Table1[Anode ICR/mOhm],"",0)</f>
        <v>#REF!</v>
      </c>
      <c r="AD1990" s="69" t="e" cm="1">
        <f t="array" ref="AD1990">_xlfn.XLOOKUP(Table1[[#This Row],[5 cm2 cell test code]:[5 cm2 cell test code]],[1]!Table1[[Test code]:[Test code]],[1]!Table1[HFR DIW/ mOhm cm2],"",0)</f>
        <v>#REF!</v>
      </c>
      <c r="AE1990" s="69" t="e" cm="1">
        <f t="array" ref="AE1990">_xlfn.XLOOKUP(Table1[[#This Row],[5 cm2 cell test code]:[5 cm2 cell test code]],[1]!Table1[[Test code]:[Test code]],[1]!Table1[HFR 10 mM KOH/ mOhm cm2],"",0)</f>
        <v>#REF!</v>
      </c>
      <c r="AF1990" s="69" t="e" cm="1">
        <f t="array" ref="AF1990">_xlfn.XLOOKUP(Table1[[#This Row],[5 cm2 cell test code]:[5 cm2 cell test code]],[1]!Table1[[Test code]:[Test code]],[1]!Table1[Ionic resistance DIW/Ohm cm2],"",0)</f>
        <v>#REF!</v>
      </c>
      <c r="AG1990" s="69" t="e" cm="1">
        <f t="array" ref="AG1990">_xlfn.XLOOKUP(Table1[[#This Row],[5 cm2 cell test code]:[5 cm2 cell test code]],[1]!Table1[[Test code]:[Test code]],[1]!Table1[Q_int_frac DIW],"",0)</f>
        <v>#REF!</v>
      </c>
      <c r="AH1990" s="69" t="e" cm="1">
        <f t="array" ref="AH1990">_xlfn.XLOOKUP(Table1[[#This Row],[5 cm2 cell test code]:[5 cm2 cell test code]],[1]!Table1[[Test code]:[Test code]],[1]!Table1[Ionic resistance 10 mM KOH/Ohm cm2],"",0)</f>
        <v>#REF!</v>
      </c>
      <c r="AI1990" s="69" t="e" cm="1">
        <f t="array" ref="AI1990">_xlfn.XLOOKUP(Table1[[#This Row],[5 cm2 cell test code]:[5 cm2 cell test code]],[1]!Table1[[Test code]:[Test code]],[1]!Table1[Q_int_frac DIW 10 mM KOH],"",0)</f>
        <v>#REF!</v>
      </c>
      <c r="AJ1990" s="69" t="e" cm="1">
        <f t="array" ref="AJ1990">_xlfn.XLOOKUP(Table1[[#This Row],[5 cm2 cell test code]:[5 cm2 cell test code]],[1]!Table1[[Test code]:[Test code]],[1]!Table1[DIW conductivity (µS/cm)],"",0)</f>
        <v>#REF!</v>
      </c>
    </row>
    <row r="1991" spans="1:36">
      <c r="A1991" s="81"/>
      <c r="U1991" s="101"/>
      <c r="V1991" s="101"/>
      <c r="W1991" s="69" t="e" cm="1">
        <f t="array" ref="W1991">_xlfn.XLOOKUP(Table1[[#This Row],[5 cm2 cell test code]:[5 cm2 cell test code]],[1]!Table1[[Test code]:[Test code]],[1]!Table1[i @ 1.8 V DIW (A/cm2)],"",0)</f>
        <v>#REF!</v>
      </c>
      <c r="X1991" s="69" t="e" cm="1">
        <f t="array" ref="X1991">_xlfn.XLOOKUP(Table1[[#This Row],[5 cm2 cell test code]:[5 cm2 cell test code]],[1]!Table1[[Test code]:[Test code]],[1]!Table1[i @ 1.8 V 10 mM KOH (A/cm2)],"",0)</f>
        <v>#REF!</v>
      </c>
      <c r="Y1991" s="69" t="e" cm="1">
        <f t="array" ref="Y1991">_xlfn.XLOOKUP(Table1[[#This Row],[5 cm2 cell test code]:[5 cm2 cell test code]],[1]!Table1[[Test code]:[Test code]],[1]!Table1[3-E ƞ at 20mAcm-2 (mV)],"",0)</f>
        <v>#REF!</v>
      </c>
      <c r="Z1991" s="69" t="e" cm="1">
        <f t="array" ref="Z1991">_xlfn.XLOOKUP(Table1[[#This Row],[5 cm2 cell test code]:[5 cm2 cell test code]],[1]!Table1[[Test code]:[Test code]],[1]!Table1[3-E Tafel slope (mV/dec)],"",0)</f>
        <v>#REF!</v>
      </c>
      <c r="AA1991" s="69" t="e" cm="1">
        <f t="array" ref="AA1991">_xlfn.XLOOKUP(Table1[[#This Row],[5 cm2 cell test code]:[5 cm2 cell test code]],[1]!Table1[[Test code]:[Test code]],[1]!Table1[E @ 100 mA/cm2 DIW/V],"",0)</f>
        <v>#REF!</v>
      </c>
      <c r="AB1991" s="69" t="e" cm="1">
        <f t="array" ref="AB1991">_xlfn.XLOOKUP(Table1[[#This Row],[5 cm2 cell test code]:[5 cm2 cell test code]],[1]!Table1[[Test code]:[Test code]],[1]!Table1[E @ 100 mA/cm2 10 mM KOH/V],"",0)</f>
        <v>#REF!</v>
      </c>
      <c r="AC1991" s="69" t="e" cm="1">
        <f t="array" ref="AC1991">_xlfn.XLOOKUP(Table1[[#This Row],[5 cm2 cell test code]:[5 cm2 cell test code]],[1]!Table1[[Test code]:[Test code]],[1]!Table1[Anode ICR/mOhm],"",0)</f>
        <v>#REF!</v>
      </c>
      <c r="AD1991" s="69" t="e" cm="1">
        <f t="array" ref="AD1991">_xlfn.XLOOKUP(Table1[[#This Row],[5 cm2 cell test code]:[5 cm2 cell test code]],[1]!Table1[[Test code]:[Test code]],[1]!Table1[HFR DIW/ mOhm cm2],"",0)</f>
        <v>#REF!</v>
      </c>
      <c r="AE1991" s="69" t="e" cm="1">
        <f t="array" ref="AE1991">_xlfn.XLOOKUP(Table1[[#This Row],[5 cm2 cell test code]:[5 cm2 cell test code]],[1]!Table1[[Test code]:[Test code]],[1]!Table1[HFR 10 mM KOH/ mOhm cm2],"",0)</f>
        <v>#REF!</v>
      </c>
      <c r="AF1991" s="69" t="e" cm="1">
        <f t="array" ref="AF1991">_xlfn.XLOOKUP(Table1[[#This Row],[5 cm2 cell test code]:[5 cm2 cell test code]],[1]!Table1[[Test code]:[Test code]],[1]!Table1[Ionic resistance DIW/Ohm cm2],"",0)</f>
        <v>#REF!</v>
      </c>
      <c r="AG1991" s="69" t="e" cm="1">
        <f t="array" ref="AG1991">_xlfn.XLOOKUP(Table1[[#This Row],[5 cm2 cell test code]:[5 cm2 cell test code]],[1]!Table1[[Test code]:[Test code]],[1]!Table1[Q_int_frac DIW],"",0)</f>
        <v>#REF!</v>
      </c>
      <c r="AH1991" s="69" t="e" cm="1">
        <f t="array" ref="AH1991">_xlfn.XLOOKUP(Table1[[#This Row],[5 cm2 cell test code]:[5 cm2 cell test code]],[1]!Table1[[Test code]:[Test code]],[1]!Table1[Ionic resistance 10 mM KOH/Ohm cm2],"",0)</f>
        <v>#REF!</v>
      </c>
      <c r="AI1991" s="69" t="e" cm="1">
        <f t="array" ref="AI1991">_xlfn.XLOOKUP(Table1[[#This Row],[5 cm2 cell test code]:[5 cm2 cell test code]],[1]!Table1[[Test code]:[Test code]],[1]!Table1[Q_int_frac DIW 10 mM KOH],"",0)</f>
        <v>#REF!</v>
      </c>
      <c r="AJ1991" s="69" t="e" cm="1">
        <f t="array" ref="AJ1991">_xlfn.XLOOKUP(Table1[[#This Row],[5 cm2 cell test code]:[5 cm2 cell test code]],[1]!Table1[[Test code]:[Test code]],[1]!Table1[DIW conductivity (µS/cm)],"",0)</f>
        <v>#REF!</v>
      </c>
    </row>
    <row r="1992" spans="1:36">
      <c r="A1992" s="81"/>
      <c r="U1992" s="101"/>
      <c r="V1992" s="101"/>
      <c r="W1992" s="69" t="e" cm="1">
        <f t="array" ref="W1992">_xlfn.XLOOKUP(Table1[[#This Row],[5 cm2 cell test code]:[5 cm2 cell test code]],[1]!Table1[[Test code]:[Test code]],[1]!Table1[i @ 1.8 V DIW (A/cm2)],"",0)</f>
        <v>#REF!</v>
      </c>
      <c r="X1992" s="69" t="e" cm="1">
        <f t="array" ref="X1992">_xlfn.XLOOKUP(Table1[[#This Row],[5 cm2 cell test code]:[5 cm2 cell test code]],[1]!Table1[[Test code]:[Test code]],[1]!Table1[i @ 1.8 V 10 mM KOH (A/cm2)],"",0)</f>
        <v>#REF!</v>
      </c>
      <c r="Y1992" s="69" t="e" cm="1">
        <f t="array" ref="Y1992">_xlfn.XLOOKUP(Table1[[#This Row],[5 cm2 cell test code]:[5 cm2 cell test code]],[1]!Table1[[Test code]:[Test code]],[1]!Table1[3-E ƞ at 20mAcm-2 (mV)],"",0)</f>
        <v>#REF!</v>
      </c>
      <c r="Z1992" s="69" t="e" cm="1">
        <f t="array" ref="Z1992">_xlfn.XLOOKUP(Table1[[#This Row],[5 cm2 cell test code]:[5 cm2 cell test code]],[1]!Table1[[Test code]:[Test code]],[1]!Table1[3-E Tafel slope (mV/dec)],"",0)</f>
        <v>#REF!</v>
      </c>
      <c r="AA1992" s="69" t="e" cm="1">
        <f t="array" ref="AA1992">_xlfn.XLOOKUP(Table1[[#This Row],[5 cm2 cell test code]:[5 cm2 cell test code]],[1]!Table1[[Test code]:[Test code]],[1]!Table1[E @ 100 mA/cm2 DIW/V],"",0)</f>
        <v>#REF!</v>
      </c>
      <c r="AB1992" s="69" t="e" cm="1">
        <f t="array" ref="AB1992">_xlfn.XLOOKUP(Table1[[#This Row],[5 cm2 cell test code]:[5 cm2 cell test code]],[1]!Table1[[Test code]:[Test code]],[1]!Table1[E @ 100 mA/cm2 10 mM KOH/V],"",0)</f>
        <v>#REF!</v>
      </c>
      <c r="AC1992" s="69" t="e" cm="1">
        <f t="array" ref="AC1992">_xlfn.XLOOKUP(Table1[[#This Row],[5 cm2 cell test code]:[5 cm2 cell test code]],[1]!Table1[[Test code]:[Test code]],[1]!Table1[Anode ICR/mOhm],"",0)</f>
        <v>#REF!</v>
      </c>
      <c r="AD1992" s="69" t="e" cm="1">
        <f t="array" ref="AD1992">_xlfn.XLOOKUP(Table1[[#This Row],[5 cm2 cell test code]:[5 cm2 cell test code]],[1]!Table1[[Test code]:[Test code]],[1]!Table1[HFR DIW/ mOhm cm2],"",0)</f>
        <v>#REF!</v>
      </c>
      <c r="AE1992" s="69" t="e" cm="1">
        <f t="array" ref="AE1992">_xlfn.XLOOKUP(Table1[[#This Row],[5 cm2 cell test code]:[5 cm2 cell test code]],[1]!Table1[[Test code]:[Test code]],[1]!Table1[HFR 10 mM KOH/ mOhm cm2],"",0)</f>
        <v>#REF!</v>
      </c>
      <c r="AF1992" s="69" t="e" cm="1">
        <f t="array" ref="AF1992">_xlfn.XLOOKUP(Table1[[#This Row],[5 cm2 cell test code]:[5 cm2 cell test code]],[1]!Table1[[Test code]:[Test code]],[1]!Table1[Ionic resistance DIW/Ohm cm2],"",0)</f>
        <v>#REF!</v>
      </c>
      <c r="AG1992" s="69" t="e" cm="1">
        <f t="array" ref="AG1992">_xlfn.XLOOKUP(Table1[[#This Row],[5 cm2 cell test code]:[5 cm2 cell test code]],[1]!Table1[[Test code]:[Test code]],[1]!Table1[Q_int_frac DIW],"",0)</f>
        <v>#REF!</v>
      </c>
      <c r="AH1992" s="69" t="e" cm="1">
        <f t="array" ref="AH1992">_xlfn.XLOOKUP(Table1[[#This Row],[5 cm2 cell test code]:[5 cm2 cell test code]],[1]!Table1[[Test code]:[Test code]],[1]!Table1[Ionic resistance 10 mM KOH/Ohm cm2],"",0)</f>
        <v>#REF!</v>
      </c>
      <c r="AI1992" s="69" t="e" cm="1">
        <f t="array" ref="AI1992">_xlfn.XLOOKUP(Table1[[#This Row],[5 cm2 cell test code]:[5 cm2 cell test code]],[1]!Table1[[Test code]:[Test code]],[1]!Table1[Q_int_frac DIW 10 mM KOH],"",0)</f>
        <v>#REF!</v>
      </c>
      <c r="AJ1992" s="69" t="e" cm="1">
        <f t="array" ref="AJ1992">_xlfn.XLOOKUP(Table1[[#This Row],[5 cm2 cell test code]:[5 cm2 cell test code]],[1]!Table1[[Test code]:[Test code]],[1]!Table1[DIW conductivity (µS/cm)],"",0)</f>
        <v>#REF!</v>
      </c>
    </row>
    <row r="1993" spans="1:36">
      <c r="A1993" s="81"/>
      <c r="U1993" s="101"/>
      <c r="V1993" s="101"/>
      <c r="W1993" s="69" t="e" cm="1">
        <f t="array" ref="W1993">_xlfn.XLOOKUP(Table1[[#This Row],[5 cm2 cell test code]:[5 cm2 cell test code]],[1]!Table1[[Test code]:[Test code]],[1]!Table1[i @ 1.8 V DIW (A/cm2)],"",0)</f>
        <v>#REF!</v>
      </c>
      <c r="X1993" s="69" t="e" cm="1">
        <f t="array" ref="X1993">_xlfn.XLOOKUP(Table1[[#This Row],[5 cm2 cell test code]:[5 cm2 cell test code]],[1]!Table1[[Test code]:[Test code]],[1]!Table1[i @ 1.8 V 10 mM KOH (A/cm2)],"",0)</f>
        <v>#REF!</v>
      </c>
      <c r="Y1993" s="69" t="e" cm="1">
        <f t="array" ref="Y1993">_xlfn.XLOOKUP(Table1[[#This Row],[5 cm2 cell test code]:[5 cm2 cell test code]],[1]!Table1[[Test code]:[Test code]],[1]!Table1[3-E ƞ at 20mAcm-2 (mV)],"",0)</f>
        <v>#REF!</v>
      </c>
      <c r="Z1993" s="69" t="e" cm="1">
        <f t="array" ref="Z1993">_xlfn.XLOOKUP(Table1[[#This Row],[5 cm2 cell test code]:[5 cm2 cell test code]],[1]!Table1[[Test code]:[Test code]],[1]!Table1[3-E Tafel slope (mV/dec)],"",0)</f>
        <v>#REF!</v>
      </c>
      <c r="AA1993" s="69" t="e" cm="1">
        <f t="array" ref="AA1993">_xlfn.XLOOKUP(Table1[[#This Row],[5 cm2 cell test code]:[5 cm2 cell test code]],[1]!Table1[[Test code]:[Test code]],[1]!Table1[E @ 100 mA/cm2 DIW/V],"",0)</f>
        <v>#REF!</v>
      </c>
      <c r="AB1993" s="69" t="e" cm="1">
        <f t="array" ref="AB1993">_xlfn.XLOOKUP(Table1[[#This Row],[5 cm2 cell test code]:[5 cm2 cell test code]],[1]!Table1[[Test code]:[Test code]],[1]!Table1[E @ 100 mA/cm2 10 mM KOH/V],"",0)</f>
        <v>#REF!</v>
      </c>
      <c r="AC1993" s="69" t="e" cm="1">
        <f t="array" ref="AC1993">_xlfn.XLOOKUP(Table1[[#This Row],[5 cm2 cell test code]:[5 cm2 cell test code]],[1]!Table1[[Test code]:[Test code]],[1]!Table1[Anode ICR/mOhm],"",0)</f>
        <v>#REF!</v>
      </c>
      <c r="AD1993" s="69" t="e" cm="1">
        <f t="array" ref="AD1993">_xlfn.XLOOKUP(Table1[[#This Row],[5 cm2 cell test code]:[5 cm2 cell test code]],[1]!Table1[[Test code]:[Test code]],[1]!Table1[HFR DIW/ mOhm cm2],"",0)</f>
        <v>#REF!</v>
      </c>
      <c r="AE1993" s="69" t="e" cm="1">
        <f t="array" ref="AE1993">_xlfn.XLOOKUP(Table1[[#This Row],[5 cm2 cell test code]:[5 cm2 cell test code]],[1]!Table1[[Test code]:[Test code]],[1]!Table1[HFR 10 mM KOH/ mOhm cm2],"",0)</f>
        <v>#REF!</v>
      </c>
      <c r="AF1993" s="69" t="e" cm="1">
        <f t="array" ref="AF1993">_xlfn.XLOOKUP(Table1[[#This Row],[5 cm2 cell test code]:[5 cm2 cell test code]],[1]!Table1[[Test code]:[Test code]],[1]!Table1[Ionic resistance DIW/Ohm cm2],"",0)</f>
        <v>#REF!</v>
      </c>
      <c r="AG1993" s="69" t="e" cm="1">
        <f t="array" ref="AG1993">_xlfn.XLOOKUP(Table1[[#This Row],[5 cm2 cell test code]:[5 cm2 cell test code]],[1]!Table1[[Test code]:[Test code]],[1]!Table1[Q_int_frac DIW],"",0)</f>
        <v>#REF!</v>
      </c>
      <c r="AH1993" s="69" t="e" cm="1">
        <f t="array" ref="AH1993">_xlfn.XLOOKUP(Table1[[#This Row],[5 cm2 cell test code]:[5 cm2 cell test code]],[1]!Table1[[Test code]:[Test code]],[1]!Table1[Ionic resistance 10 mM KOH/Ohm cm2],"",0)</f>
        <v>#REF!</v>
      </c>
      <c r="AI1993" s="69" t="e" cm="1">
        <f t="array" ref="AI1993">_xlfn.XLOOKUP(Table1[[#This Row],[5 cm2 cell test code]:[5 cm2 cell test code]],[1]!Table1[[Test code]:[Test code]],[1]!Table1[Q_int_frac DIW 10 mM KOH],"",0)</f>
        <v>#REF!</v>
      </c>
      <c r="AJ1993" s="69" t="e" cm="1">
        <f t="array" ref="AJ1993">_xlfn.XLOOKUP(Table1[[#This Row],[5 cm2 cell test code]:[5 cm2 cell test code]],[1]!Table1[[Test code]:[Test code]],[1]!Table1[DIW conductivity (µS/cm)],"",0)</f>
        <v>#REF!</v>
      </c>
    </row>
    <row r="1994" spans="1:36">
      <c r="A1994" s="81"/>
      <c r="U1994" s="101"/>
      <c r="V1994" s="101"/>
      <c r="W1994" s="69" t="e" cm="1">
        <f t="array" ref="W1994">_xlfn.XLOOKUP(Table1[[#This Row],[5 cm2 cell test code]:[5 cm2 cell test code]],[1]!Table1[[Test code]:[Test code]],[1]!Table1[i @ 1.8 V DIW (A/cm2)],"",0)</f>
        <v>#REF!</v>
      </c>
      <c r="X1994" s="69" t="e" cm="1">
        <f t="array" ref="X1994">_xlfn.XLOOKUP(Table1[[#This Row],[5 cm2 cell test code]:[5 cm2 cell test code]],[1]!Table1[[Test code]:[Test code]],[1]!Table1[i @ 1.8 V 10 mM KOH (A/cm2)],"",0)</f>
        <v>#REF!</v>
      </c>
      <c r="Y1994" s="69" t="e" cm="1">
        <f t="array" ref="Y1994">_xlfn.XLOOKUP(Table1[[#This Row],[5 cm2 cell test code]:[5 cm2 cell test code]],[1]!Table1[[Test code]:[Test code]],[1]!Table1[3-E ƞ at 20mAcm-2 (mV)],"",0)</f>
        <v>#REF!</v>
      </c>
      <c r="Z1994" s="69" t="e" cm="1">
        <f t="array" ref="Z1994">_xlfn.XLOOKUP(Table1[[#This Row],[5 cm2 cell test code]:[5 cm2 cell test code]],[1]!Table1[[Test code]:[Test code]],[1]!Table1[3-E Tafel slope (mV/dec)],"",0)</f>
        <v>#REF!</v>
      </c>
      <c r="AA1994" s="69" t="e" cm="1">
        <f t="array" ref="AA1994">_xlfn.XLOOKUP(Table1[[#This Row],[5 cm2 cell test code]:[5 cm2 cell test code]],[1]!Table1[[Test code]:[Test code]],[1]!Table1[E @ 100 mA/cm2 DIW/V],"",0)</f>
        <v>#REF!</v>
      </c>
      <c r="AB1994" s="69" t="e" cm="1">
        <f t="array" ref="AB1994">_xlfn.XLOOKUP(Table1[[#This Row],[5 cm2 cell test code]:[5 cm2 cell test code]],[1]!Table1[[Test code]:[Test code]],[1]!Table1[E @ 100 mA/cm2 10 mM KOH/V],"",0)</f>
        <v>#REF!</v>
      </c>
      <c r="AC1994" s="69" t="e" cm="1">
        <f t="array" ref="AC1994">_xlfn.XLOOKUP(Table1[[#This Row],[5 cm2 cell test code]:[5 cm2 cell test code]],[1]!Table1[[Test code]:[Test code]],[1]!Table1[Anode ICR/mOhm],"",0)</f>
        <v>#REF!</v>
      </c>
      <c r="AD1994" s="69" t="e" cm="1">
        <f t="array" ref="AD1994">_xlfn.XLOOKUP(Table1[[#This Row],[5 cm2 cell test code]:[5 cm2 cell test code]],[1]!Table1[[Test code]:[Test code]],[1]!Table1[HFR DIW/ mOhm cm2],"",0)</f>
        <v>#REF!</v>
      </c>
      <c r="AE1994" s="69" t="e" cm="1">
        <f t="array" ref="AE1994">_xlfn.XLOOKUP(Table1[[#This Row],[5 cm2 cell test code]:[5 cm2 cell test code]],[1]!Table1[[Test code]:[Test code]],[1]!Table1[HFR 10 mM KOH/ mOhm cm2],"",0)</f>
        <v>#REF!</v>
      </c>
      <c r="AF1994" s="69" t="e" cm="1">
        <f t="array" ref="AF1994">_xlfn.XLOOKUP(Table1[[#This Row],[5 cm2 cell test code]:[5 cm2 cell test code]],[1]!Table1[[Test code]:[Test code]],[1]!Table1[Ionic resistance DIW/Ohm cm2],"",0)</f>
        <v>#REF!</v>
      </c>
      <c r="AG1994" s="69" t="e" cm="1">
        <f t="array" ref="AG1994">_xlfn.XLOOKUP(Table1[[#This Row],[5 cm2 cell test code]:[5 cm2 cell test code]],[1]!Table1[[Test code]:[Test code]],[1]!Table1[Q_int_frac DIW],"",0)</f>
        <v>#REF!</v>
      </c>
      <c r="AH1994" s="69" t="e" cm="1">
        <f t="array" ref="AH1994">_xlfn.XLOOKUP(Table1[[#This Row],[5 cm2 cell test code]:[5 cm2 cell test code]],[1]!Table1[[Test code]:[Test code]],[1]!Table1[Ionic resistance 10 mM KOH/Ohm cm2],"",0)</f>
        <v>#REF!</v>
      </c>
      <c r="AI1994" s="69" t="e" cm="1">
        <f t="array" ref="AI1994">_xlfn.XLOOKUP(Table1[[#This Row],[5 cm2 cell test code]:[5 cm2 cell test code]],[1]!Table1[[Test code]:[Test code]],[1]!Table1[Q_int_frac DIW 10 mM KOH],"",0)</f>
        <v>#REF!</v>
      </c>
      <c r="AJ1994" s="69" t="e" cm="1">
        <f t="array" ref="AJ1994">_xlfn.XLOOKUP(Table1[[#This Row],[5 cm2 cell test code]:[5 cm2 cell test code]],[1]!Table1[[Test code]:[Test code]],[1]!Table1[DIW conductivity (µS/cm)],"",0)</f>
        <v>#REF!</v>
      </c>
    </row>
    <row r="1995" spans="1:36">
      <c r="A1995" s="81"/>
      <c r="U1995" s="101"/>
      <c r="V1995" s="101"/>
      <c r="W1995" s="69" t="e" cm="1">
        <f t="array" ref="W1995">_xlfn.XLOOKUP(Table1[[#This Row],[5 cm2 cell test code]:[5 cm2 cell test code]],[1]!Table1[[Test code]:[Test code]],[1]!Table1[i @ 1.8 V DIW (A/cm2)],"",0)</f>
        <v>#REF!</v>
      </c>
      <c r="X1995" s="69" t="e" cm="1">
        <f t="array" ref="X1995">_xlfn.XLOOKUP(Table1[[#This Row],[5 cm2 cell test code]:[5 cm2 cell test code]],[1]!Table1[[Test code]:[Test code]],[1]!Table1[i @ 1.8 V 10 mM KOH (A/cm2)],"",0)</f>
        <v>#REF!</v>
      </c>
      <c r="Y1995" s="69" t="e" cm="1">
        <f t="array" ref="Y1995">_xlfn.XLOOKUP(Table1[[#This Row],[5 cm2 cell test code]:[5 cm2 cell test code]],[1]!Table1[[Test code]:[Test code]],[1]!Table1[3-E ƞ at 20mAcm-2 (mV)],"",0)</f>
        <v>#REF!</v>
      </c>
      <c r="Z1995" s="69" t="e" cm="1">
        <f t="array" ref="Z1995">_xlfn.XLOOKUP(Table1[[#This Row],[5 cm2 cell test code]:[5 cm2 cell test code]],[1]!Table1[[Test code]:[Test code]],[1]!Table1[3-E Tafel slope (mV/dec)],"",0)</f>
        <v>#REF!</v>
      </c>
      <c r="AA1995" s="69" t="e" cm="1">
        <f t="array" ref="AA1995">_xlfn.XLOOKUP(Table1[[#This Row],[5 cm2 cell test code]:[5 cm2 cell test code]],[1]!Table1[[Test code]:[Test code]],[1]!Table1[E @ 100 mA/cm2 DIW/V],"",0)</f>
        <v>#REF!</v>
      </c>
      <c r="AB1995" s="69" t="e" cm="1">
        <f t="array" ref="AB1995">_xlfn.XLOOKUP(Table1[[#This Row],[5 cm2 cell test code]:[5 cm2 cell test code]],[1]!Table1[[Test code]:[Test code]],[1]!Table1[E @ 100 mA/cm2 10 mM KOH/V],"",0)</f>
        <v>#REF!</v>
      </c>
      <c r="AC1995" s="69" t="e" cm="1">
        <f t="array" ref="AC1995">_xlfn.XLOOKUP(Table1[[#This Row],[5 cm2 cell test code]:[5 cm2 cell test code]],[1]!Table1[[Test code]:[Test code]],[1]!Table1[Anode ICR/mOhm],"",0)</f>
        <v>#REF!</v>
      </c>
      <c r="AD1995" s="69" t="e" cm="1">
        <f t="array" ref="AD1995">_xlfn.XLOOKUP(Table1[[#This Row],[5 cm2 cell test code]:[5 cm2 cell test code]],[1]!Table1[[Test code]:[Test code]],[1]!Table1[HFR DIW/ mOhm cm2],"",0)</f>
        <v>#REF!</v>
      </c>
      <c r="AE1995" s="69" t="e" cm="1">
        <f t="array" ref="AE1995">_xlfn.XLOOKUP(Table1[[#This Row],[5 cm2 cell test code]:[5 cm2 cell test code]],[1]!Table1[[Test code]:[Test code]],[1]!Table1[HFR 10 mM KOH/ mOhm cm2],"",0)</f>
        <v>#REF!</v>
      </c>
      <c r="AF1995" s="69" t="e" cm="1">
        <f t="array" ref="AF1995">_xlfn.XLOOKUP(Table1[[#This Row],[5 cm2 cell test code]:[5 cm2 cell test code]],[1]!Table1[[Test code]:[Test code]],[1]!Table1[Ionic resistance DIW/Ohm cm2],"",0)</f>
        <v>#REF!</v>
      </c>
      <c r="AG1995" s="69" t="e" cm="1">
        <f t="array" ref="AG1995">_xlfn.XLOOKUP(Table1[[#This Row],[5 cm2 cell test code]:[5 cm2 cell test code]],[1]!Table1[[Test code]:[Test code]],[1]!Table1[Q_int_frac DIW],"",0)</f>
        <v>#REF!</v>
      </c>
      <c r="AH1995" s="69" t="e" cm="1">
        <f t="array" ref="AH1995">_xlfn.XLOOKUP(Table1[[#This Row],[5 cm2 cell test code]:[5 cm2 cell test code]],[1]!Table1[[Test code]:[Test code]],[1]!Table1[Ionic resistance 10 mM KOH/Ohm cm2],"",0)</f>
        <v>#REF!</v>
      </c>
      <c r="AI1995" s="69" t="e" cm="1">
        <f t="array" ref="AI1995">_xlfn.XLOOKUP(Table1[[#This Row],[5 cm2 cell test code]:[5 cm2 cell test code]],[1]!Table1[[Test code]:[Test code]],[1]!Table1[Q_int_frac DIW 10 mM KOH],"",0)</f>
        <v>#REF!</v>
      </c>
      <c r="AJ1995" s="69" t="e" cm="1">
        <f t="array" ref="AJ1995">_xlfn.XLOOKUP(Table1[[#This Row],[5 cm2 cell test code]:[5 cm2 cell test code]],[1]!Table1[[Test code]:[Test code]],[1]!Table1[DIW conductivity (µS/cm)],"",0)</f>
        <v>#REF!</v>
      </c>
    </row>
    <row r="1996" spans="1:36">
      <c r="A1996" s="81"/>
      <c r="U1996" s="101"/>
      <c r="V1996" s="101"/>
      <c r="W1996" s="69" t="e" cm="1">
        <f t="array" ref="W1996">_xlfn.XLOOKUP(Table1[[#This Row],[5 cm2 cell test code]:[5 cm2 cell test code]],[1]!Table1[[Test code]:[Test code]],[1]!Table1[i @ 1.8 V DIW (A/cm2)],"",0)</f>
        <v>#REF!</v>
      </c>
      <c r="X1996" s="69" t="e" cm="1">
        <f t="array" ref="X1996">_xlfn.XLOOKUP(Table1[[#This Row],[5 cm2 cell test code]:[5 cm2 cell test code]],[1]!Table1[[Test code]:[Test code]],[1]!Table1[i @ 1.8 V 10 mM KOH (A/cm2)],"",0)</f>
        <v>#REF!</v>
      </c>
      <c r="Y1996" s="69" t="e" cm="1">
        <f t="array" ref="Y1996">_xlfn.XLOOKUP(Table1[[#This Row],[5 cm2 cell test code]:[5 cm2 cell test code]],[1]!Table1[[Test code]:[Test code]],[1]!Table1[3-E ƞ at 20mAcm-2 (mV)],"",0)</f>
        <v>#REF!</v>
      </c>
      <c r="Z1996" s="69" t="e" cm="1">
        <f t="array" ref="Z1996">_xlfn.XLOOKUP(Table1[[#This Row],[5 cm2 cell test code]:[5 cm2 cell test code]],[1]!Table1[[Test code]:[Test code]],[1]!Table1[3-E Tafel slope (mV/dec)],"",0)</f>
        <v>#REF!</v>
      </c>
      <c r="AA1996" s="69" t="e" cm="1">
        <f t="array" ref="AA1996">_xlfn.XLOOKUP(Table1[[#This Row],[5 cm2 cell test code]:[5 cm2 cell test code]],[1]!Table1[[Test code]:[Test code]],[1]!Table1[E @ 100 mA/cm2 DIW/V],"",0)</f>
        <v>#REF!</v>
      </c>
      <c r="AB1996" s="69" t="e" cm="1">
        <f t="array" ref="AB1996">_xlfn.XLOOKUP(Table1[[#This Row],[5 cm2 cell test code]:[5 cm2 cell test code]],[1]!Table1[[Test code]:[Test code]],[1]!Table1[E @ 100 mA/cm2 10 mM KOH/V],"",0)</f>
        <v>#REF!</v>
      </c>
      <c r="AC1996" s="69" t="e" cm="1">
        <f t="array" ref="AC1996">_xlfn.XLOOKUP(Table1[[#This Row],[5 cm2 cell test code]:[5 cm2 cell test code]],[1]!Table1[[Test code]:[Test code]],[1]!Table1[Anode ICR/mOhm],"",0)</f>
        <v>#REF!</v>
      </c>
      <c r="AD1996" s="69" t="e" cm="1">
        <f t="array" ref="AD1996">_xlfn.XLOOKUP(Table1[[#This Row],[5 cm2 cell test code]:[5 cm2 cell test code]],[1]!Table1[[Test code]:[Test code]],[1]!Table1[HFR DIW/ mOhm cm2],"",0)</f>
        <v>#REF!</v>
      </c>
      <c r="AE1996" s="69" t="e" cm="1">
        <f t="array" ref="AE1996">_xlfn.XLOOKUP(Table1[[#This Row],[5 cm2 cell test code]:[5 cm2 cell test code]],[1]!Table1[[Test code]:[Test code]],[1]!Table1[HFR 10 mM KOH/ mOhm cm2],"",0)</f>
        <v>#REF!</v>
      </c>
      <c r="AF1996" s="69" t="e" cm="1">
        <f t="array" ref="AF1996">_xlfn.XLOOKUP(Table1[[#This Row],[5 cm2 cell test code]:[5 cm2 cell test code]],[1]!Table1[[Test code]:[Test code]],[1]!Table1[Ionic resistance DIW/Ohm cm2],"",0)</f>
        <v>#REF!</v>
      </c>
      <c r="AG1996" s="69" t="e" cm="1">
        <f t="array" ref="AG1996">_xlfn.XLOOKUP(Table1[[#This Row],[5 cm2 cell test code]:[5 cm2 cell test code]],[1]!Table1[[Test code]:[Test code]],[1]!Table1[Q_int_frac DIW],"",0)</f>
        <v>#REF!</v>
      </c>
      <c r="AH1996" s="69" t="e" cm="1">
        <f t="array" ref="AH1996">_xlfn.XLOOKUP(Table1[[#This Row],[5 cm2 cell test code]:[5 cm2 cell test code]],[1]!Table1[[Test code]:[Test code]],[1]!Table1[Ionic resistance 10 mM KOH/Ohm cm2],"",0)</f>
        <v>#REF!</v>
      </c>
      <c r="AI1996" s="69" t="e" cm="1">
        <f t="array" ref="AI1996">_xlfn.XLOOKUP(Table1[[#This Row],[5 cm2 cell test code]:[5 cm2 cell test code]],[1]!Table1[[Test code]:[Test code]],[1]!Table1[Q_int_frac DIW 10 mM KOH],"",0)</f>
        <v>#REF!</v>
      </c>
      <c r="AJ1996" s="69" t="e" cm="1">
        <f t="array" ref="AJ1996">_xlfn.XLOOKUP(Table1[[#This Row],[5 cm2 cell test code]:[5 cm2 cell test code]],[1]!Table1[[Test code]:[Test code]],[1]!Table1[DIW conductivity (µS/cm)],"",0)</f>
        <v>#REF!</v>
      </c>
    </row>
    <row r="1997" spans="1:36">
      <c r="A1997" s="81"/>
      <c r="U1997" s="101"/>
      <c r="V1997" s="101"/>
      <c r="W1997" s="69" t="e" cm="1">
        <f t="array" ref="W1997">_xlfn.XLOOKUP(Table1[[#This Row],[5 cm2 cell test code]:[5 cm2 cell test code]],[1]!Table1[[Test code]:[Test code]],[1]!Table1[i @ 1.8 V DIW (A/cm2)],"",0)</f>
        <v>#REF!</v>
      </c>
      <c r="X1997" s="69" t="e" cm="1">
        <f t="array" ref="X1997">_xlfn.XLOOKUP(Table1[[#This Row],[5 cm2 cell test code]:[5 cm2 cell test code]],[1]!Table1[[Test code]:[Test code]],[1]!Table1[i @ 1.8 V 10 mM KOH (A/cm2)],"",0)</f>
        <v>#REF!</v>
      </c>
      <c r="Y1997" s="69" t="e" cm="1">
        <f t="array" ref="Y1997">_xlfn.XLOOKUP(Table1[[#This Row],[5 cm2 cell test code]:[5 cm2 cell test code]],[1]!Table1[[Test code]:[Test code]],[1]!Table1[3-E ƞ at 20mAcm-2 (mV)],"",0)</f>
        <v>#REF!</v>
      </c>
      <c r="Z1997" s="69" t="e" cm="1">
        <f t="array" ref="Z1997">_xlfn.XLOOKUP(Table1[[#This Row],[5 cm2 cell test code]:[5 cm2 cell test code]],[1]!Table1[[Test code]:[Test code]],[1]!Table1[3-E Tafel slope (mV/dec)],"",0)</f>
        <v>#REF!</v>
      </c>
      <c r="AA1997" s="69" t="e" cm="1">
        <f t="array" ref="AA1997">_xlfn.XLOOKUP(Table1[[#This Row],[5 cm2 cell test code]:[5 cm2 cell test code]],[1]!Table1[[Test code]:[Test code]],[1]!Table1[E @ 100 mA/cm2 DIW/V],"",0)</f>
        <v>#REF!</v>
      </c>
      <c r="AB1997" s="69" t="e" cm="1">
        <f t="array" ref="AB1997">_xlfn.XLOOKUP(Table1[[#This Row],[5 cm2 cell test code]:[5 cm2 cell test code]],[1]!Table1[[Test code]:[Test code]],[1]!Table1[E @ 100 mA/cm2 10 mM KOH/V],"",0)</f>
        <v>#REF!</v>
      </c>
      <c r="AC1997" s="69" t="e" cm="1">
        <f t="array" ref="AC1997">_xlfn.XLOOKUP(Table1[[#This Row],[5 cm2 cell test code]:[5 cm2 cell test code]],[1]!Table1[[Test code]:[Test code]],[1]!Table1[Anode ICR/mOhm],"",0)</f>
        <v>#REF!</v>
      </c>
      <c r="AD1997" s="69" t="e" cm="1">
        <f t="array" ref="AD1997">_xlfn.XLOOKUP(Table1[[#This Row],[5 cm2 cell test code]:[5 cm2 cell test code]],[1]!Table1[[Test code]:[Test code]],[1]!Table1[HFR DIW/ mOhm cm2],"",0)</f>
        <v>#REF!</v>
      </c>
      <c r="AE1997" s="69" t="e" cm="1">
        <f t="array" ref="AE1997">_xlfn.XLOOKUP(Table1[[#This Row],[5 cm2 cell test code]:[5 cm2 cell test code]],[1]!Table1[[Test code]:[Test code]],[1]!Table1[HFR 10 mM KOH/ mOhm cm2],"",0)</f>
        <v>#REF!</v>
      </c>
      <c r="AF1997" s="69" t="e" cm="1">
        <f t="array" ref="AF1997">_xlfn.XLOOKUP(Table1[[#This Row],[5 cm2 cell test code]:[5 cm2 cell test code]],[1]!Table1[[Test code]:[Test code]],[1]!Table1[Ionic resistance DIW/Ohm cm2],"",0)</f>
        <v>#REF!</v>
      </c>
      <c r="AG1997" s="69" t="e" cm="1">
        <f t="array" ref="AG1997">_xlfn.XLOOKUP(Table1[[#This Row],[5 cm2 cell test code]:[5 cm2 cell test code]],[1]!Table1[[Test code]:[Test code]],[1]!Table1[Q_int_frac DIW],"",0)</f>
        <v>#REF!</v>
      </c>
      <c r="AH1997" s="69" t="e" cm="1">
        <f t="array" ref="AH1997">_xlfn.XLOOKUP(Table1[[#This Row],[5 cm2 cell test code]:[5 cm2 cell test code]],[1]!Table1[[Test code]:[Test code]],[1]!Table1[Ionic resistance 10 mM KOH/Ohm cm2],"",0)</f>
        <v>#REF!</v>
      </c>
      <c r="AI1997" s="69" t="e" cm="1">
        <f t="array" ref="AI1997">_xlfn.XLOOKUP(Table1[[#This Row],[5 cm2 cell test code]:[5 cm2 cell test code]],[1]!Table1[[Test code]:[Test code]],[1]!Table1[Q_int_frac DIW 10 mM KOH],"",0)</f>
        <v>#REF!</v>
      </c>
      <c r="AJ1997" s="69" t="e" cm="1">
        <f t="array" ref="AJ1997">_xlfn.XLOOKUP(Table1[[#This Row],[5 cm2 cell test code]:[5 cm2 cell test code]],[1]!Table1[[Test code]:[Test code]],[1]!Table1[DIW conductivity (µS/cm)],"",0)</f>
        <v>#REF!</v>
      </c>
    </row>
    <row r="1998" spans="1:36">
      <c r="A1998" s="81"/>
      <c r="U1998" s="101"/>
      <c r="V1998" s="101"/>
      <c r="W1998" s="69" t="e" cm="1">
        <f t="array" ref="W1998">_xlfn.XLOOKUP(Table1[[#This Row],[5 cm2 cell test code]:[5 cm2 cell test code]],[1]!Table1[[Test code]:[Test code]],[1]!Table1[i @ 1.8 V DIW (A/cm2)],"",0)</f>
        <v>#REF!</v>
      </c>
      <c r="X1998" s="69" t="e" cm="1">
        <f t="array" ref="X1998">_xlfn.XLOOKUP(Table1[[#This Row],[5 cm2 cell test code]:[5 cm2 cell test code]],[1]!Table1[[Test code]:[Test code]],[1]!Table1[i @ 1.8 V 10 mM KOH (A/cm2)],"",0)</f>
        <v>#REF!</v>
      </c>
      <c r="Y1998" s="69" t="e" cm="1">
        <f t="array" ref="Y1998">_xlfn.XLOOKUP(Table1[[#This Row],[5 cm2 cell test code]:[5 cm2 cell test code]],[1]!Table1[[Test code]:[Test code]],[1]!Table1[3-E ƞ at 20mAcm-2 (mV)],"",0)</f>
        <v>#REF!</v>
      </c>
      <c r="Z1998" s="69" t="e" cm="1">
        <f t="array" ref="Z1998">_xlfn.XLOOKUP(Table1[[#This Row],[5 cm2 cell test code]:[5 cm2 cell test code]],[1]!Table1[[Test code]:[Test code]],[1]!Table1[3-E Tafel slope (mV/dec)],"",0)</f>
        <v>#REF!</v>
      </c>
      <c r="AA1998" s="69" t="e" cm="1">
        <f t="array" ref="AA1998">_xlfn.XLOOKUP(Table1[[#This Row],[5 cm2 cell test code]:[5 cm2 cell test code]],[1]!Table1[[Test code]:[Test code]],[1]!Table1[E @ 100 mA/cm2 DIW/V],"",0)</f>
        <v>#REF!</v>
      </c>
      <c r="AB1998" s="69" t="e" cm="1">
        <f t="array" ref="AB1998">_xlfn.XLOOKUP(Table1[[#This Row],[5 cm2 cell test code]:[5 cm2 cell test code]],[1]!Table1[[Test code]:[Test code]],[1]!Table1[E @ 100 mA/cm2 10 mM KOH/V],"",0)</f>
        <v>#REF!</v>
      </c>
      <c r="AC1998" s="69" t="e" cm="1">
        <f t="array" ref="AC1998">_xlfn.XLOOKUP(Table1[[#This Row],[5 cm2 cell test code]:[5 cm2 cell test code]],[1]!Table1[[Test code]:[Test code]],[1]!Table1[Anode ICR/mOhm],"",0)</f>
        <v>#REF!</v>
      </c>
      <c r="AD1998" s="69" t="e" cm="1">
        <f t="array" ref="AD1998">_xlfn.XLOOKUP(Table1[[#This Row],[5 cm2 cell test code]:[5 cm2 cell test code]],[1]!Table1[[Test code]:[Test code]],[1]!Table1[HFR DIW/ mOhm cm2],"",0)</f>
        <v>#REF!</v>
      </c>
      <c r="AE1998" s="69" t="e" cm="1">
        <f t="array" ref="AE1998">_xlfn.XLOOKUP(Table1[[#This Row],[5 cm2 cell test code]:[5 cm2 cell test code]],[1]!Table1[[Test code]:[Test code]],[1]!Table1[HFR 10 mM KOH/ mOhm cm2],"",0)</f>
        <v>#REF!</v>
      </c>
      <c r="AF1998" s="69" t="e" cm="1">
        <f t="array" ref="AF1998">_xlfn.XLOOKUP(Table1[[#This Row],[5 cm2 cell test code]:[5 cm2 cell test code]],[1]!Table1[[Test code]:[Test code]],[1]!Table1[Ionic resistance DIW/Ohm cm2],"",0)</f>
        <v>#REF!</v>
      </c>
      <c r="AG1998" s="69" t="e" cm="1">
        <f t="array" ref="AG1998">_xlfn.XLOOKUP(Table1[[#This Row],[5 cm2 cell test code]:[5 cm2 cell test code]],[1]!Table1[[Test code]:[Test code]],[1]!Table1[Q_int_frac DIW],"",0)</f>
        <v>#REF!</v>
      </c>
      <c r="AH1998" s="69" t="e" cm="1">
        <f t="array" ref="AH1998">_xlfn.XLOOKUP(Table1[[#This Row],[5 cm2 cell test code]:[5 cm2 cell test code]],[1]!Table1[[Test code]:[Test code]],[1]!Table1[Ionic resistance 10 mM KOH/Ohm cm2],"",0)</f>
        <v>#REF!</v>
      </c>
      <c r="AI1998" s="69" t="e" cm="1">
        <f t="array" ref="AI1998">_xlfn.XLOOKUP(Table1[[#This Row],[5 cm2 cell test code]:[5 cm2 cell test code]],[1]!Table1[[Test code]:[Test code]],[1]!Table1[Q_int_frac DIW 10 mM KOH],"",0)</f>
        <v>#REF!</v>
      </c>
      <c r="AJ1998" s="69" t="e" cm="1">
        <f t="array" ref="AJ1998">_xlfn.XLOOKUP(Table1[[#This Row],[5 cm2 cell test code]:[5 cm2 cell test code]],[1]!Table1[[Test code]:[Test code]],[1]!Table1[DIW conductivity (µS/cm)],"",0)</f>
        <v>#REF!</v>
      </c>
    </row>
    <row r="1999" spans="1:36">
      <c r="A1999" s="81"/>
      <c r="U1999" s="101"/>
      <c r="V1999" s="101"/>
      <c r="W1999" s="69" t="e" cm="1">
        <f t="array" ref="W1999">_xlfn.XLOOKUP(Table1[[#This Row],[5 cm2 cell test code]:[5 cm2 cell test code]],[1]!Table1[[Test code]:[Test code]],[1]!Table1[i @ 1.8 V DIW (A/cm2)],"",0)</f>
        <v>#REF!</v>
      </c>
      <c r="X1999" s="69" t="e" cm="1">
        <f t="array" ref="X1999">_xlfn.XLOOKUP(Table1[[#This Row],[5 cm2 cell test code]:[5 cm2 cell test code]],[1]!Table1[[Test code]:[Test code]],[1]!Table1[i @ 1.8 V 10 mM KOH (A/cm2)],"",0)</f>
        <v>#REF!</v>
      </c>
      <c r="Y1999" s="69" t="e" cm="1">
        <f t="array" ref="Y1999">_xlfn.XLOOKUP(Table1[[#This Row],[5 cm2 cell test code]:[5 cm2 cell test code]],[1]!Table1[[Test code]:[Test code]],[1]!Table1[3-E ƞ at 20mAcm-2 (mV)],"",0)</f>
        <v>#REF!</v>
      </c>
      <c r="Z1999" s="69" t="e" cm="1">
        <f t="array" ref="Z1999">_xlfn.XLOOKUP(Table1[[#This Row],[5 cm2 cell test code]:[5 cm2 cell test code]],[1]!Table1[[Test code]:[Test code]],[1]!Table1[3-E Tafel slope (mV/dec)],"",0)</f>
        <v>#REF!</v>
      </c>
      <c r="AA1999" s="69" t="e" cm="1">
        <f t="array" ref="AA1999">_xlfn.XLOOKUP(Table1[[#This Row],[5 cm2 cell test code]:[5 cm2 cell test code]],[1]!Table1[[Test code]:[Test code]],[1]!Table1[E @ 100 mA/cm2 DIW/V],"",0)</f>
        <v>#REF!</v>
      </c>
      <c r="AB1999" s="69" t="e" cm="1">
        <f t="array" ref="AB1999">_xlfn.XLOOKUP(Table1[[#This Row],[5 cm2 cell test code]:[5 cm2 cell test code]],[1]!Table1[[Test code]:[Test code]],[1]!Table1[E @ 100 mA/cm2 10 mM KOH/V],"",0)</f>
        <v>#REF!</v>
      </c>
      <c r="AC1999" s="69" t="e" cm="1">
        <f t="array" ref="AC1999">_xlfn.XLOOKUP(Table1[[#This Row],[5 cm2 cell test code]:[5 cm2 cell test code]],[1]!Table1[[Test code]:[Test code]],[1]!Table1[Anode ICR/mOhm],"",0)</f>
        <v>#REF!</v>
      </c>
      <c r="AD1999" s="69" t="e" cm="1">
        <f t="array" ref="AD1999">_xlfn.XLOOKUP(Table1[[#This Row],[5 cm2 cell test code]:[5 cm2 cell test code]],[1]!Table1[[Test code]:[Test code]],[1]!Table1[HFR DIW/ mOhm cm2],"",0)</f>
        <v>#REF!</v>
      </c>
      <c r="AE1999" s="69" t="e" cm="1">
        <f t="array" ref="AE1999">_xlfn.XLOOKUP(Table1[[#This Row],[5 cm2 cell test code]:[5 cm2 cell test code]],[1]!Table1[[Test code]:[Test code]],[1]!Table1[HFR 10 mM KOH/ mOhm cm2],"",0)</f>
        <v>#REF!</v>
      </c>
      <c r="AF1999" s="69" t="e" cm="1">
        <f t="array" ref="AF1999">_xlfn.XLOOKUP(Table1[[#This Row],[5 cm2 cell test code]:[5 cm2 cell test code]],[1]!Table1[[Test code]:[Test code]],[1]!Table1[Ionic resistance DIW/Ohm cm2],"",0)</f>
        <v>#REF!</v>
      </c>
      <c r="AG1999" s="69" t="e" cm="1">
        <f t="array" ref="AG1999">_xlfn.XLOOKUP(Table1[[#This Row],[5 cm2 cell test code]:[5 cm2 cell test code]],[1]!Table1[[Test code]:[Test code]],[1]!Table1[Q_int_frac DIW],"",0)</f>
        <v>#REF!</v>
      </c>
      <c r="AH1999" s="69" t="e" cm="1">
        <f t="array" ref="AH1999">_xlfn.XLOOKUP(Table1[[#This Row],[5 cm2 cell test code]:[5 cm2 cell test code]],[1]!Table1[[Test code]:[Test code]],[1]!Table1[Ionic resistance 10 mM KOH/Ohm cm2],"",0)</f>
        <v>#REF!</v>
      </c>
      <c r="AI1999" s="69" t="e" cm="1">
        <f t="array" ref="AI1999">_xlfn.XLOOKUP(Table1[[#This Row],[5 cm2 cell test code]:[5 cm2 cell test code]],[1]!Table1[[Test code]:[Test code]],[1]!Table1[Q_int_frac DIW 10 mM KOH],"",0)</f>
        <v>#REF!</v>
      </c>
      <c r="AJ1999" s="69" t="e" cm="1">
        <f t="array" ref="AJ1999">_xlfn.XLOOKUP(Table1[[#This Row],[5 cm2 cell test code]:[5 cm2 cell test code]],[1]!Table1[[Test code]:[Test code]],[1]!Table1[DIW conductivity (µS/cm)],"",0)</f>
        <v>#REF!</v>
      </c>
    </row>
    <row r="2000" spans="1:36">
      <c r="A2000" s="81"/>
      <c r="U2000" s="101"/>
      <c r="V2000" s="101"/>
      <c r="W2000" s="69" t="e" cm="1">
        <f t="array" ref="W2000">_xlfn.XLOOKUP(Table1[[#This Row],[5 cm2 cell test code]:[5 cm2 cell test code]],[1]!Table1[[Test code]:[Test code]],[1]!Table1[i @ 1.8 V DIW (A/cm2)],"",0)</f>
        <v>#REF!</v>
      </c>
      <c r="X2000" s="69" t="e" cm="1">
        <f t="array" ref="X2000">_xlfn.XLOOKUP(Table1[[#This Row],[5 cm2 cell test code]:[5 cm2 cell test code]],[1]!Table1[[Test code]:[Test code]],[1]!Table1[i @ 1.8 V 10 mM KOH (A/cm2)],"",0)</f>
        <v>#REF!</v>
      </c>
      <c r="Y2000" s="69" t="e" cm="1">
        <f t="array" ref="Y2000">_xlfn.XLOOKUP(Table1[[#This Row],[5 cm2 cell test code]:[5 cm2 cell test code]],[1]!Table1[[Test code]:[Test code]],[1]!Table1[3-E ƞ at 20mAcm-2 (mV)],"",0)</f>
        <v>#REF!</v>
      </c>
      <c r="Z2000" s="69" t="e" cm="1">
        <f t="array" ref="Z2000">_xlfn.XLOOKUP(Table1[[#This Row],[5 cm2 cell test code]:[5 cm2 cell test code]],[1]!Table1[[Test code]:[Test code]],[1]!Table1[3-E Tafel slope (mV/dec)],"",0)</f>
        <v>#REF!</v>
      </c>
      <c r="AA2000" s="69" t="e" cm="1">
        <f t="array" ref="AA2000">_xlfn.XLOOKUP(Table1[[#This Row],[5 cm2 cell test code]:[5 cm2 cell test code]],[1]!Table1[[Test code]:[Test code]],[1]!Table1[E @ 100 mA/cm2 DIW/V],"",0)</f>
        <v>#REF!</v>
      </c>
      <c r="AB2000" s="69" t="e" cm="1">
        <f t="array" ref="AB2000">_xlfn.XLOOKUP(Table1[[#This Row],[5 cm2 cell test code]:[5 cm2 cell test code]],[1]!Table1[[Test code]:[Test code]],[1]!Table1[E @ 100 mA/cm2 10 mM KOH/V],"",0)</f>
        <v>#REF!</v>
      </c>
      <c r="AC2000" s="69" t="e" cm="1">
        <f t="array" ref="AC2000">_xlfn.XLOOKUP(Table1[[#This Row],[5 cm2 cell test code]:[5 cm2 cell test code]],[1]!Table1[[Test code]:[Test code]],[1]!Table1[Anode ICR/mOhm],"",0)</f>
        <v>#REF!</v>
      </c>
      <c r="AD2000" s="69" t="e" cm="1">
        <f t="array" ref="AD2000">_xlfn.XLOOKUP(Table1[[#This Row],[5 cm2 cell test code]:[5 cm2 cell test code]],[1]!Table1[[Test code]:[Test code]],[1]!Table1[HFR DIW/ mOhm cm2],"",0)</f>
        <v>#REF!</v>
      </c>
      <c r="AE2000" s="69" t="e" cm="1">
        <f t="array" ref="AE2000">_xlfn.XLOOKUP(Table1[[#This Row],[5 cm2 cell test code]:[5 cm2 cell test code]],[1]!Table1[[Test code]:[Test code]],[1]!Table1[HFR 10 mM KOH/ mOhm cm2],"",0)</f>
        <v>#REF!</v>
      </c>
      <c r="AF2000" s="69" t="e" cm="1">
        <f t="array" ref="AF2000">_xlfn.XLOOKUP(Table1[[#This Row],[5 cm2 cell test code]:[5 cm2 cell test code]],[1]!Table1[[Test code]:[Test code]],[1]!Table1[Ionic resistance DIW/Ohm cm2],"",0)</f>
        <v>#REF!</v>
      </c>
      <c r="AG2000" s="69" t="e" cm="1">
        <f t="array" ref="AG2000">_xlfn.XLOOKUP(Table1[[#This Row],[5 cm2 cell test code]:[5 cm2 cell test code]],[1]!Table1[[Test code]:[Test code]],[1]!Table1[Q_int_frac DIW],"",0)</f>
        <v>#REF!</v>
      </c>
      <c r="AH2000" s="69" t="e" cm="1">
        <f t="array" ref="AH2000">_xlfn.XLOOKUP(Table1[[#This Row],[5 cm2 cell test code]:[5 cm2 cell test code]],[1]!Table1[[Test code]:[Test code]],[1]!Table1[Ionic resistance 10 mM KOH/Ohm cm2],"",0)</f>
        <v>#REF!</v>
      </c>
      <c r="AI2000" s="69" t="e" cm="1">
        <f t="array" ref="AI2000">_xlfn.XLOOKUP(Table1[[#This Row],[5 cm2 cell test code]:[5 cm2 cell test code]],[1]!Table1[[Test code]:[Test code]],[1]!Table1[Q_int_frac DIW 10 mM KOH],"",0)</f>
        <v>#REF!</v>
      </c>
      <c r="AJ2000" s="69" t="e" cm="1">
        <f t="array" ref="AJ2000">_xlfn.XLOOKUP(Table1[[#This Row],[5 cm2 cell test code]:[5 cm2 cell test code]],[1]!Table1[[Test code]:[Test code]],[1]!Table1[DIW conductivity (µS/cm)],"",0)</f>
        <v>#REF!</v>
      </c>
    </row>
    <row r="2001" spans="1:36">
      <c r="A2001" s="81"/>
      <c r="U2001" s="101"/>
      <c r="V2001" s="101"/>
      <c r="W2001" s="69" t="e" cm="1">
        <f t="array" ref="W2001">_xlfn.XLOOKUP(Table1[[#This Row],[5 cm2 cell test code]:[5 cm2 cell test code]],[1]!Table1[[Test code]:[Test code]],[1]!Table1[i @ 1.8 V DIW (A/cm2)],"",0)</f>
        <v>#REF!</v>
      </c>
      <c r="X2001" s="69" t="e" cm="1">
        <f t="array" ref="X2001">_xlfn.XLOOKUP(Table1[[#This Row],[5 cm2 cell test code]:[5 cm2 cell test code]],[1]!Table1[[Test code]:[Test code]],[1]!Table1[i @ 1.8 V 10 mM KOH (A/cm2)],"",0)</f>
        <v>#REF!</v>
      </c>
      <c r="Y2001" s="69" t="e" cm="1">
        <f t="array" ref="Y2001">_xlfn.XLOOKUP(Table1[[#This Row],[5 cm2 cell test code]:[5 cm2 cell test code]],[1]!Table1[[Test code]:[Test code]],[1]!Table1[3-E ƞ at 20mAcm-2 (mV)],"",0)</f>
        <v>#REF!</v>
      </c>
      <c r="Z2001" s="69" t="e" cm="1">
        <f t="array" ref="Z2001">_xlfn.XLOOKUP(Table1[[#This Row],[5 cm2 cell test code]:[5 cm2 cell test code]],[1]!Table1[[Test code]:[Test code]],[1]!Table1[3-E Tafel slope (mV/dec)],"",0)</f>
        <v>#REF!</v>
      </c>
      <c r="AA2001" s="69" t="e" cm="1">
        <f t="array" ref="AA2001">_xlfn.XLOOKUP(Table1[[#This Row],[5 cm2 cell test code]:[5 cm2 cell test code]],[1]!Table1[[Test code]:[Test code]],[1]!Table1[E @ 100 mA/cm2 DIW/V],"",0)</f>
        <v>#REF!</v>
      </c>
      <c r="AB2001" s="69" t="e" cm="1">
        <f t="array" ref="AB2001">_xlfn.XLOOKUP(Table1[[#This Row],[5 cm2 cell test code]:[5 cm2 cell test code]],[1]!Table1[[Test code]:[Test code]],[1]!Table1[E @ 100 mA/cm2 10 mM KOH/V],"",0)</f>
        <v>#REF!</v>
      </c>
      <c r="AC2001" s="69" t="e" cm="1">
        <f t="array" ref="AC2001">_xlfn.XLOOKUP(Table1[[#This Row],[5 cm2 cell test code]:[5 cm2 cell test code]],[1]!Table1[[Test code]:[Test code]],[1]!Table1[Anode ICR/mOhm],"",0)</f>
        <v>#REF!</v>
      </c>
      <c r="AD2001" s="69" t="e" cm="1">
        <f t="array" ref="AD2001">_xlfn.XLOOKUP(Table1[[#This Row],[5 cm2 cell test code]:[5 cm2 cell test code]],[1]!Table1[[Test code]:[Test code]],[1]!Table1[HFR DIW/ mOhm cm2],"",0)</f>
        <v>#REF!</v>
      </c>
      <c r="AE2001" s="69" t="e" cm="1">
        <f t="array" ref="AE2001">_xlfn.XLOOKUP(Table1[[#This Row],[5 cm2 cell test code]:[5 cm2 cell test code]],[1]!Table1[[Test code]:[Test code]],[1]!Table1[HFR 10 mM KOH/ mOhm cm2],"",0)</f>
        <v>#REF!</v>
      </c>
      <c r="AF2001" s="69" t="e" cm="1">
        <f t="array" ref="AF2001">_xlfn.XLOOKUP(Table1[[#This Row],[5 cm2 cell test code]:[5 cm2 cell test code]],[1]!Table1[[Test code]:[Test code]],[1]!Table1[Ionic resistance DIW/Ohm cm2],"",0)</f>
        <v>#REF!</v>
      </c>
      <c r="AG2001" s="69" t="e" cm="1">
        <f t="array" ref="AG2001">_xlfn.XLOOKUP(Table1[[#This Row],[5 cm2 cell test code]:[5 cm2 cell test code]],[1]!Table1[[Test code]:[Test code]],[1]!Table1[Q_int_frac DIW],"",0)</f>
        <v>#REF!</v>
      </c>
      <c r="AH2001" s="69" t="e" cm="1">
        <f t="array" ref="AH2001">_xlfn.XLOOKUP(Table1[[#This Row],[5 cm2 cell test code]:[5 cm2 cell test code]],[1]!Table1[[Test code]:[Test code]],[1]!Table1[Ionic resistance 10 mM KOH/Ohm cm2],"",0)</f>
        <v>#REF!</v>
      </c>
      <c r="AI2001" s="69" t="e" cm="1">
        <f t="array" ref="AI2001">_xlfn.XLOOKUP(Table1[[#This Row],[5 cm2 cell test code]:[5 cm2 cell test code]],[1]!Table1[[Test code]:[Test code]],[1]!Table1[Q_int_frac DIW 10 mM KOH],"",0)</f>
        <v>#REF!</v>
      </c>
      <c r="AJ2001" s="69" t="e" cm="1">
        <f t="array" ref="AJ2001">_xlfn.XLOOKUP(Table1[[#This Row],[5 cm2 cell test code]:[5 cm2 cell test code]],[1]!Table1[[Test code]:[Test code]],[1]!Table1[DIW conductivity (µS/cm)],"",0)</f>
        <v>#REF!</v>
      </c>
    </row>
    <row r="2002" spans="1:36">
      <c r="A2002" s="81"/>
      <c r="U2002" s="101"/>
      <c r="V2002" s="101"/>
      <c r="W2002" s="69" t="e" cm="1">
        <f t="array" ref="W2002">_xlfn.XLOOKUP(Table1[[#This Row],[5 cm2 cell test code]:[5 cm2 cell test code]],[1]!Table1[[Test code]:[Test code]],[1]!Table1[i @ 1.8 V DIW (A/cm2)],"",0)</f>
        <v>#REF!</v>
      </c>
      <c r="X2002" s="69" t="e" cm="1">
        <f t="array" ref="X2002">_xlfn.XLOOKUP(Table1[[#This Row],[5 cm2 cell test code]:[5 cm2 cell test code]],[1]!Table1[[Test code]:[Test code]],[1]!Table1[i @ 1.8 V 10 mM KOH (A/cm2)],"",0)</f>
        <v>#REF!</v>
      </c>
      <c r="Y2002" s="69" t="e" cm="1">
        <f t="array" ref="Y2002">_xlfn.XLOOKUP(Table1[[#This Row],[5 cm2 cell test code]:[5 cm2 cell test code]],[1]!Table1[[Test code]:[Test code]],[1]!Table1[3-E ƞ at 20mAcm-2 (mV)],"",0)</f>
        <v>#REF!</v>
      </c>
      <c r="Z2002" s="69" t="e" cm="1">
        <f t="array" ref="Z2002">_xlfn.XLOOKUP(Table1[[#This Row],[5 cm2 cell test code]:[5 cm2 cell test code]],[1]!Table1[[Test code]:[Test code]],[1]!Table1[3-E Tafel slope (mV/dec)],"",0)</f>
        <v>#REF!</v>
      </c>
      <c r="AA2002" s="69" t="e" cm="1">
        <f t="array" ref="AA2002">_xlfn.XLOOKUP(Table1[[#This Row],[5 cm2 cell test code]:[5 cm2 cell test code]],[1]!Table1[[Test code]:[Test code]],[1]!Table1[E @ 100 mA/cm2 DIW/V],"",0)</f>
        <v>#REF!</v>
      </c>
      <c r="AB2002" s="69" t="e" cm="1">
        <f t="array" ref="AB2002">_xlfn.XLOOKUP(Table1[[#This Row],[5 cm2 cell test code]:[5 cm2 cell test code]],[1]!Table1[[Test code]:[Test code]],[1]!Table1[E @ 100 mA/cm2 10 mM KOH/V],"",0)</f>
        <v>#REF!</v>
      </c>
      <c r="AC2002" s="69" t="e" cm="1">
        <f t="array" ref="AC2002">_xlfn.XLOOKUP(Table1[[#This Row],[5 cm2 cell test code]:[5 cm2 cell test code]],[1]!Table1[[Test code]:[Test code]],[1]!Table1[Anode ICR/mOhm],"",0)</f>
        <v>#REF!</v>
      </c>
      <c r="AD2002" s="69" t="e" cm="1">
        <f t="array" ref="AD2002">_xlfn.XLOOKUP(Table1[[#This Row],[5 cm2 cell test code]:[5 cm2 cell test code]],[1]!Table1[[Test code]:[Test code]],[1]!Table1[HFR DIW/ mOhm cm2],"",0)</f>
        <v>#REF!</v>
      </c>
      <c r="AE2002" s="69" t="e" cm="1">
        <f t="array" ref="AE2002">_xlfn.XLOOKUP(Table1[[#This Row],[5 cm2 cell test code]:[5 cm2 cell test code]],[1]!Table1[[Test code]:[Test code]],[1]!Table1[HFR 10 mM KOH/ mOhm cm2],"",0)</f>
        <v>#REF!</v>
      </c>
      <c r="AF2002" s="69" t="e" cm="1">
        <f t="array" ref="AF2002">_xlfn.XLOOKUP(Table1[[#This Row],[5 cm2 cell test code]:[5 cm2 cell test code]],[1]!Table1[[Test code]:[Test code]],[1]!Table1[Ionic resistance DIW/Ohm cm2],"",0)</f>
        <v>#REF!</v>
      </c>
      <c r="AG2002" s="69" t="e" cm="1">
        <f t="array" ref="AG2002">_xlfn.XLOOKUP(Table1[[#This Row],[5 cm2 cell test code]:[5 cm2 cell test code]],[1]!Table1[[Test code]:[Test code]],[1]!Table1[Q_int_frac DIW],"",0)</f>
        <v>#REF!</v>
      </c>
      <c r="AH2002" s="69" t="e" cm="1">
        <f t="array" ref="AH2002">_xlfn.XLOOKUP(Table1[[#This Row],[5 cm2 cell test code]:[5 cm2 cell test code]],[1]!Table1[[Test code]:[Test code]],[1]!Table1[Ionic resistance 10 mM KOH/Ohm cm2],"",0)</f>
        <v>#REF!</v>
      </c>
      <c r="AI2002" s="69" t="e" cm="1">
        <f t="array" ref="AI2002">_xlfn.XLOOKUP(Table1[[#This Row],[5 cm2 cell test code]:[5 cm2 cell test code]],[1]!Table1[[Test code]:[Test code]],[1]!Table1[Q_int_frac DIW 10 mM KOH],"",0)</f>
        <v>#REF!</v>
      </c>
      <c r="AJ2002" s="69" t="e" cm="1">
        <f t="array" ref="AJ2002">_xlfn.XLOOKUP(Table1[[#This Row],[5 cm2 cell test code]:[5 cm2 cell test code]],[1]!Table1[[Test code]:[Test code]],[1]!Table1[DIW conductivity (µS/cm)],"",0)</f>
        <v>#REF!</v>
      </c>
    </row>
    <row r="2003" spans="1:36">
      <c r="A2003" s="81"/>
      <c r="U2003" s="101"/>
      <c r="V2003" s="101"/>
      <c r="W2003" s="69" t="e" cm="1">
        <f t="array" ref="W2003">_xlfn.XLOOKUP(Table1[[#This Row],[5 cm2 cell test code]:[5 cm2 cell test code]],[1]!Table1[[Test code]:[Test code]],[1]!Table1[i @ 1.8 V DIW (A/cm2)],"",0)</f>
        <v>#REF!</v>
      </c>
      <c r="X2003" s="69" t="e" cm="1">
        <f t="array" ref="X2003">_xlfn.XLOOKUP(Table1[[#This Row],[5 cm2 cell test code]:[5 cm2 cell test code]],[1]!Table1[[Test code]:[Test code]],[1]!Table1[i @ 1.8 V 10 mM KOH (A/cm2)],"",0)</f>
        <v>#REF!</v>
      </c>
      <c r="Y2003" s="69" t="e" cm="1">
        <f t="array" ref="Y2003">_xlfn.XLOOKUP(Table1[[#This Row],[5 cm2 cell test code]:[5 cm2 cell test code]],[1]!Table1[[Test code]:[Test code]],[1]!Table1[3-E ƞ at 20mAcm-2 (mV)],"",0)</f>
        <v>#REF!</v>
      </c>
      <c r="Z2003" s="69" t="e" cm="1">
        <f t="array" ref="Z2003">_xlfn.XLOOKUP(Table1[[#This Row],[5 cm2 cell test code]:[5 cm2 cell test code]],[1]!Table1[[Test code]:[Test code]],[1]!Table1[3-E Tafel slope (mV/dec)],"",0)</f>
        <v>#REF!</v>
      </c>
      <c r="AA2003" s="69" t="e" cm="1">
        <f t="array" ref="AA2003">_xlfn.XLOOKUP(Table1[[#This Row],[5 cm2 cell test code]:[5 cm2 cell test code]],[1]!Table1[[Test code]:[Test code]],[1]!Table1[E @ 100 mA/cm2 DIW/V],"",0)</f>
        <v>#REF!</v>
      </c>
      <c r="AB2003" s="69" t="e" cm="1">
        <f t="array" ref="AB2003">_xlfn.XLOOKUP(Table1[[#This Row],[5 cm2 cell test code]:[5 cm2 cell test code]],[1]!Table1[[Test code]:[Test code]],[1]!Table1[E @ 100 mA/cm2 10 mM KOH/V],"",0)</f>
        <v>#REF!</v>
      </c>
      <c r="AC2003" s="69" t="e" cm="1">
        <f t="array" ref="AC2003">_xlfn.XLOOKUP(Table1[[#This Row],[5 cm2 cell test code]:[5 cm2 cell test code]],[1]!Table1[[Test code]:[Test code]],[1]!Table1[Anode ICR/mOhm],"",0)</f>
        <v>#REF!</v>
      </c>
      <c r="AD2003" s="69" t="e" cm="1">
        <f t="array" ref="AD2003">_xlfn.XLOOKUP(Table1[[#This Row],[5 cm2 cell test code]:[5 cm2 cell test code]],[1]!Table1[[Test code]:[Test code]],[1]!Table1[HFR DIW/ mOhm cm2],"",0)</f>
        <v>#REF!</v>
      </c>
      <c r="AE2003" s="69" t="e" cm="1">
        <f t="array" ref="AE2003">_xlfn.XLOOKUP(Table1[[#This Row],[5 cm2 cell test code]:[5 cm2 cell test code]],[1]!Table1[[Test code]:[Test code]],[1]!Table1[HFR 10 mM KOH/ mOhm cm2],"",0)</f>
        <v>#REF!</v>
      </c>
      <c r="AF2003" s="69" t="e" cm="1">
        <f t="array" ref="AF2003">_xlfn.XLOOKUP(Table1[[#This Row],[5 cm2 cell test code]:[5 cm2 cell test code]],[1]!Table1[[Test code]:[Test code]],[1]!Table1[Ionic resistance DIW/Ohm cm2],"",0)</f>
        <v>#REF!</v>
      </c>
      <c r="AG2003" s="69" t="e" cm="1">
        <f t="array" ref="AG2003">_xlfn.XLOOKUP(Table1[[#This Row],[5 cm2 cell test code]:[5 cm2 cell test code]],[1]!Table1[[Test code]:[Test code]],[1]!Table1[Q_int_frac DIW],"",0)</f>
        <v>#REF!</v>
      </c>
      <c r="AH2003" s="69" t="e" cm="1">
        <f t="array" ref="AH2003">_xlfn.XLOOKUP(Table1[[#This Row],[5 cm2 cell test code]:[5 cm2 cell test code]],[1]!Table1[[Test code]:[Test code]],[1]!Table1[Ionic resistance 10 mM KOH/Ohm cm2],"",0)</f>
        <v>#REF!</v>
      </c>
      <c r="AI2003" s="69" t="e" cm="1">
        <f t="array" ref="AI2003">_xlfn.XLOOKUP(Table1[[#This Row],[5 cm2 cell test code]:[5 cm2 cell test code]],[1]!Table1[[Test code]:[Test code]],[1]!Table1[Q_int_frac DIW 10 mM KOH],"",0)</f>
        <v>#REF!</v>
      </c>
      <c r="AJ2003" s="69" t="e" cm="1">
        <f t="array" ref="AJ2003">_xlfn.XLOOKUP(Table1[[#This Row],[5 cm2 cell test code]:[5 cm2 cell test code]],[1]!Table1[[Test code]:[Test code]],[1]!Table1[DIW conductivity (µS/cm)],"",0)</f>
        <v>#REF!</v>
      </c>
    </row>
    <row r="2004" spans="1:36">
      <c r="A2004" s="81"/>
      <c r="U2004" s="101"/>
      <c r="V2004" s="101"/>
      <c r="W2004" s="69" t="e" cm="1">
        <f t="array" ref="W2004">_xlfn.XLOOKUP(Table1[[#This Row],[5 cm2 cell test code]:[5 cm2 cell test code]],[1]!Table1[[Test code]:[Test code]],[1]!Table1[i @ 1.8 V DIW (A/cm2)],"",0)</f>
        <v>#REF!</v>
      </c>
      <c r="X2004" s="69" t="e" cm="1">
        <f t="array" ref="X2004">_xlfn.XLOOKUP(Table1[[#This Row],[5 cm2 cell test code]:[5 cm2 cell test code]],[1]!Table1[[Test code]:[Test code]],[1]!Table1[i @ 1.8 V 10 mM KOH (A/cm2)],"",0)</f>
        <v>#REF!</v>
      </c>
      <c r="Y2004" s="69" t="e" cm="1">
        <f t="array" ref="Y2004">_xlfn.XLOOKUP(Table1[[#This Row],[5 cm2 cell test code]:[5 cm2 cell test code]],[1]!Table1[[Test code]:[Test code]],[1]!Table1[3-E ƞ at 20mAcm-2 (mV)],"",0)</f>
        <v>#REF!</v>
      </c>
      <c r="Z2004" s="69" t="e" cm="1">
        <f t="array" ref="Z2004">_xlfn.XLOOKUP(Table1[[#This Row],[5 cm2 cell test code]:[5 cm2 cell test code]],[1]!Table1[[Test code]:[Test code]],[1]!Table1[3-E Tafel slope (mV/dec)],"",0)</f>
        <v>#REF!</v>
      </c>
      <c r="AA2004" s="69" t="e" cm="1">
        <f t="array" ref="AA2004">_xlfn.XLOOKUP(Table1[[#This Row],[5 cm2 cell test code]:[5 cm2 cell test code]],[1]!Table1[[Test code]:[Test code]],[1]!Table1[E @ 100 mA/cm2 DIW/V],"",0)</f>
        <v>#REF!</v>
      </c>
      <c r="AB2004" s="69" t="e" cm="1">
        <f t="array" ref="AB2004">_xlfn.XLOOKUP(Table1[[#This Row],[5 cm2 cell test code]:[5 cm2 cell test code]],[1]!Table1[[Test code]:[Test code]],[1]!Table1[E @ 100 mA/cm2 10 mM KOH/V],"",0)</f>
        <v>#REF!</v>
      </c>
      <c r="AC2004" s="69" t="e" cm="1">
        <f t="array" ref="AC2004">_xlfn.XLOOKUP(Table1[[#This Row],[5 cm2 cell test code]:[5 cm2 cell test code]],[1]!Table1[[Test code]:[Test code]],[1]!Table1[Anode ICR/mOhm],"",0)</f>
        <v>#REF!</v>
      </c>
      <c r="AD2004" s="69" t="e" cm="1">
        <f t="array" ref="AD2004">_xlfn.XLOOKUP(Table1[[#This Row],[5 cm2 cell test code]:[5 cm2 cell test code]],[1]!Table1[[Test code]:[Test code]],[1]!Table1[HFR DIW/ mOhm cm2],"",0)</f>
        <v>#REF!</v>
      </c>
      <c r="AE2004" s="69" t="e" cm="1">
        <f t="array" ref="AE2004">_xlfn.XLOOKUP(Table1[[#This Row],[5 cm2 cell test code]:[5 cm2 cell test code]],[1]!Table1[[Test code]:[Test code]],[1]!Table1[HFR 10 mM KOH/ mOhm cm2],"",0)</f>
        <v>#REF!</v>
      </c>
      <c r="AF2004" s="69" t="e" cm="1">
        <f t="array" ref="AF2004">_xlfn.XLOOKUP(Table1[[#This Row],[5 cm2 cell test code]:[5 cm2 cell test code]],[1]!Table1[[Test code]:[Test code]],[1]!Table1[Ionic resistance DIW/Ohm cm2],"",0)</f>
        <v>#REF!</v>
      </c>
      <c r="AG2004" s="69" t="e" cm="1">
        <f t="array" ref="AG2004">_xlfn.XLOOKUP(Table1[[#This Row],[5 cm2 cell test code]:[5 cm2 cell test code]],[1]!Table1[[Test code]:[Test code]],[1]!Table1[Q_int_frac DIW],"",0)</f>
        <v>#REF!</v>
      </c>
      <c r="AH2004" s="69" t="e" cm="1">
        <f t="array" ref="AH2004">_xlfn.XLOOKUP(Table1[[#This Row],[5 cm2 cell test code]:[5 cm2 cell test code]],[1]!Table1[[Test code]:[Test code]],[1]!Table1[Ionic resistance 10 mM KOH/Ohm cm2],"",0)</f>
        <v>#REF!</v>
      </c>
      <c r="AI2004" s="69" t="e" cm="1">
        <f t="array" ref="AI2004">_xlfn.XLOOKUP(Table1[[#This Row],[5 cm2 cell test code]:[5 cm2 cell test code]],[1]!Table1[[Test code]:[Test code]],[1]!Table1[Q_int_frac DIW 10 mM KOH],"",0)</f>
        <v>#REF!</v>
      </c>
      <c r="AJ2004" s="69" t="e" cm="1">
        <f t="array" ref="AJ2004">_xlfn.XLOOKUP(Table1[[#This Row],[5 cm2 cell test code]:[5 cm2 cell test code]],[1]!Table1[[Test code]:[Test code]],[1]!Table1[DIW conductivity (µS/cm)],"",0)</f>
        <v>#REF!</v>
      </c>
    </row>
    <row r="2005" spans="1:36">
      <c r="A2005" s="81"/>
      <c r="U2005" s="101"/>
      <c r="V2005" s="101"/>
      <c r="W2005" s="69" t="e" cm="1">
        <f t="array" ref="W2005">_xlfn.XLOOKUP(Table1[[#This Row],[5 cm2 cell test code]:[5 cm2 cell test code]],[1]!Table1[[Test code]:[Test code]],[1]!Table1[i @ 1.8 V DIW (A/cm2)],"",0)</f>
        <v>#REF!</v>
      </c>
      <c r="X2005" s="69" t="e" cm="1">
        <f t="array" ref="X2005">_xlfn.XLOOKUP(Table1[[#This Row],[5 cm2 cell test code]:[5 cm2 cell test code]],[1]!Table1[[Test code]:[Test code]],[1]!Table1[i @ 1.8 V 10 mM KOH (A/cm2)],"",0)</f>
        <v>#REF!</v>
      </c>
      <c r="Y2005" s="69" t="e" cm="1">
        <f t="array" ref="Y2005">_xlfn.XLOOKUP(Table1[[#This Row],[5 cm2 cell test code]:[5 cm2 cell test code]],[1]!Table1[[Test code]:[Test code]],[1]!Table1[3-E ƞ at 20mAcm-2 (mV)],"",0)</f>
        <v>#REF!</v>
      </c>
      <c r="Z2005" s="69" t="e" cm="1">
        <f t="array" ref="Z2005">_xlfn.XLOOKUP(Table1[[#This Row],[5 cm2 cell test code]:[5 cm2 cell test code]],[1]!Table1[[Test code]:[Test code]],[1]!Table1[3-E Tafel slope (mV/dec)],"",0)</f>
        <v>#REF!</v>
      </c>
      <c r="AA2005" s="69" t="e" cm="1">
        <f t="array" ref="AA2005">_xlfn.XLOOKUP(Table1[[#This Row],[5 cm2 cell test code]:[5 cm2 cell test code]],[1]!Table1[[Test code]:[Test code]],[1]!Table1[E @ 100 mA/cm2 DIW/V],"",0)</f>
        <v>#REF!</v>
      </c>
      <c r="AB2005" s="69" t="e" cm="1">
        <f t="array" ref="AB2005">_xlfn.XLOOKUP(Table1[[#This Row],[5 cm2 cell test code]:[5 cm2 cell test code]],[1]!Table1[[Test code]:[Test code]],[1]!Table1[E @ 100 mA/cm2 10 mM KOH/V],"",0)</f>
        <v>#REF!</v>
      </c>
      <c r="AC2005" s="69" t="e" cm="1">
        <f t="array" ref="AC2005">_xlfn.XLOOKUP(Table1[[#This Row],[5 cm2 cell test code]:[5 cm2 cell test code]],[1]!Table1[[Test code]:[Test code]],[1]!Table1[Anode ICR/mOhm],"",0)</f>
        <v>#REF!</v>
      </c>
      <c r="AD2005" s="69" t="e" cm="1">
        <f t="array" ref="AD2005">_xlfn.XLOOKUP(Table1[[#This Row],[5 cm2 cell test code]:[5 cm2 cell test code]],[1]!Table1[[Test code]:[Test code]],[1]!Table1[HFR DIW/ mOhm cm2],"",0)</f>
        <v>#REF!</v>
      </c>
      <c r="AE2005" s="69" t="e" cm="1">
        <f t="array" ref="AE2005">_xlfn.XLOOKUP(Table1[[#This Row],[5 cm2 cell test code]:[5 cm2 cell test code]],[1]!Table1[[Test code]:[Test code]],[1]!Table1[HFR 10 mM KOH/ mOhm cm2],"",0)</f>
        <v>#REF!</v>
      </c>
      <c r="AF2005" s="69" t="e" cm="1">
        <f t="array" ref="AF2005">_xlfn.XLOOKUP(Table1[[#This Row],[5 cm2 cell test code]:[5 cm2 cell test code]],[1]!Table1[[Test code]:[Test code]],[1]!Table1[Ionic resistance DIW/Ohm cm2],"",0)</f>
        <v>#REF!</v>
      </c>
      <c r="AG2005" s="69" t="e" cm="1">
        <f t="array" ref="AG2005">_xlfn.XLOOKUP(Table1[[#This Row],[5 cm2 cell test code]:[5 cm2 cell test code]],[1]!Table1[[Test code]:[Test code]],[1]!Table1[Q_int_frac DIW],"",0)</f>
        <v>#REF!</v>
      </c>
      <c r="AH2005" s="69" t="e" cm="1">
        <f t="array" ref="AH2005">_xlfn.XLOOKUP(Table1[[#This Row],[5 cm2 cell test code]:[5 cm2 cell test code]],[1]!Table1[[Test code]:[Test code]],[1]!Table1[Ionic resistance 10 mM KOH/Ohm cm2],"",0)</f>
        <v>#REF!</v>
      </c>
      <c r="AI2005" s="69" t="e" cm="1">
        <f t="array" ref="AI2005">_xlfn.XLOOKUP(Table1[[#This Row],[5 cm2 cell test code]:[5 cm2 cell test code]],[1]!Table1[[Test code]:[Test code]],[1]!Table1[Q_int_frac DIW 10 mM KOH],"",0)</f>
        <v>#REF!</v>
      </c>
      <c r="AJ2005" s="69" t="e" cm="1">
        <f t="array" ref="AJ2005">_xlfn.XLOOKUP(Table1[[#This Row],[5 cm2 cell test code]:[5 cm2 cell test code]],[1]!Table1[[Test code]:[Test code]],[1]!Table1[DIW conductivity (µS/cm)],"",0)</f>
        <v>#REF!</v>
      </c>
    </row>
    <row r="2006" spans="1:36">
      <c r="A2006" s="81"/>
      <c r="U2006" s="101"/>
      <c r="V2006" s="101"/>
      <c r="W2006" s="69" t="e" cm="1">
        <f t="array" ref="W2006">_xlfn.XLOOKUP(Table1[[#This Row],[5 cm2 cell test code]:[5 cm2 cell test code]],[1]!Table1[[Test code]:[Test code]],[1]!Table1[i @ 1.8 V DIW (A/cm2)],"",0)</f>
        <v>#REF!</v>
      </c>
      <c r="X2006" s="69" t="e" cm="1">
        <f t="array" ref="X2006">_xlfn.XLOOKUP(Table1[[#This Row],[5 cm2 cell test code]:[5 cm2 cell test code]],[1]!Table1[[Test code]:[Test code]],[1]!Table1[i @ 1.8 V 10 mM KOH (A/cm2)],"",0)</f>
        <v>#REF!</v>
      </c>
      <c r="Y2006" s="69" t="e" cm="1">
        <f t="array" ref="Y2006">_xlfn.XLOOKUP(Table1[[#This Row],[5 cm2 cell test code]:[5 cm2 cell test code]],[1]!Table1[[Test code]:[Test code]],[1]!Table1[3-E ƞ at 20mAcm-2 (mV)],"",0)</f>
        <v>#REF!</v>
      </c>
      <c r="Z2006" s="69" t="e" cm="1">
        <f t="array" ref="Z2006">_xlfn.XLOOKUP(Table1[[#This Row],[5 cm2 cell test code]:[5 cm2 cell test code]],[1]!Table1[[Test code]:[Test code]],[1]!Table1[3-E Tafel slope (mV/dec)],"",0)</f>
        <v>#REF!</v>
      </c>
      <c r="AA2006" s="69" t="e" cm="1">
        <f t="array" ref="AA2006">_xlfn.XLOOKUP(Table1[[#This Row],[5 cm2 cell test code]:[5 cm2 cell test code]],[1]!Table1[[Test code]:[Test code]],[1]!Table1[E @ 100 mA/cm2 DIW/V],"",0)</f>
        <v>#REF!</v>
      </c>
      <c r="AB2006" s="69" t="e" cm="1">
        <f t="array" ref="AB2006">_xlfn.XLOOKUP(Table1[[#This Row],[5 cm2 cell test code]:[5 cm2 cell test code]],[1]!Table1[[Test code]:[Test code]],[1]!Table1[E @ 100 mA/cm2 10 mM KOH/V],"",0)</f>
        <v>#REF!</v>
      </c>
      <c r="AC2006" s="69" t="e" cm="1">
        <f t="array" ref="AC2006">_xlfn.XLOOKUP(Table1[[#This Row],[5 cm2 cell test code]:[5 cm2 cell test code]],[1]!Table1[[Test code]:[Test code]],[1]!Table1[Anode ICR/mOhm],"",0)</f>
        <v>#REF!</v>
      </c>
      <c r="AD2006" s="69" t="e" cm="1">
        <f t="array" ref="AD2006">_xlfn.XLOOKUP(Table1[[#This Row],[5 cm2 cell test code]:[5 cm2 cell test code]],[1]!Table1[[Test code]:[Test code]],[1]!Table1[HFR DIW/ mOhm cm2],"",0)</f>
        <v>#REF!</v>
      </c>
      <c r="AE2006" s="69" t="e" cm="1">
        <f t="array" ref="AE2006">_xlfn.XLOOKUP(Table1[[#This Row],[5 cm2 cell test code]:[5 cm2 cell test code]],[1]!Table1[[Test code]:[Test code]],[1]!Table1[HFR 10 mM KOH/ mOhm cm2],"",0)</f>
        <v>#REF!</v>
      </c>
      <c r="AF2006" s="69" t="e" cm="1">
        <f t="array" ref="AF2006">_xlfn.XLOOKUP(Table1[[#This Row],[5 cm2 cell test code]:[5 cm2 cell test code]],[1]!Table1[[Test code]:[Test code]],[1]!Table1[Ionic resistance DIW/Ohm cm2],"",0)</f>
        <v>#REF!</v>
      </c>
      <c r="AG2006" s="69" t="e" cm="1">
        <f t="array" ref="AG2006">_xlfn.XLOOKUP(Table1[[#This Row],[5 cm2 cell test code]:[5 cm2 cell test code]],[1]!Table1[[Test code]:[Test code]],[1]!Table1[Q_int_frac DIW],"",0)</f>
        <v>#REF!</v>
      </c>
      <c r="AH2006" s="69" t="e" cm="1">
        <f t="array" ref="AH2006">_xlfn.XLOOKUP(Table1[[#This Row],[5 cm2 cell test code]:[5 cm2 cell test code]],[1]!Table1[[Test code]:[Test code]],[1]!Table1[Ionic resistance 10 mM KOH/Ohm cm2],"",0)</f>
        <v>#REF!</v>
      </c>
      <c r="AI2006" s="69" t="e" cm="1">
        <f t="array" ref="AI2006">_xlfn.XLOOKUP(Table1[[#This Row],[5 cm2 cell test code]:[5 cm2 cell test code]],[1]!Table1[[Test code]:[Test code]],[1]!Table1[Q_int_frac DIW 10 mM KOH],"",0)</f>
        <v>#REF!</v>
      </c>
      <c r="AJ2006" s="69" t="e" cm="1">
        <f t="array" ref="AJ2006">_xlfn.XLOOKUP(Table1[[#This Row],[5 cm2 cell test code]:[5 cm2 cell test code]],[1]!Table1[[Test code]:[Test code]],[1]!Table1[DIW conductivity (µS/cm)],"",0)</f>
        <v>#REF!</v>
      </c>
    </row>
    <row r="2007" spans="1:36">
      <c r="A2007" s="81"/>
      <c r="U2007" s="101"/>
      <c r="V2007" s="101"/>
      <c r="W2007" s="69" t="e" cm="1">
        <f t="array" ref="W2007">_xlfn.XLOOKUP(Table1[[#This Row],[5 cm2 cell test code]:[5 cm2 cell test code]],[1]!Table1[[Test code]:[Test code]],[1]!Table1[i @ 1.8 V DIW (A/cm2)],"",0)</f>
        <v>#REF!</v>
      </c>
      <c r="X2007" s="69" t="e" cm="1">
        <f t="array" ref="X2007">_xlfn.XLOOKUP(Table1[[#This Row],[5 cm2 cell test code]:[5 cm2 cell test code]],[1]!Table1[[Test code]:[Test code]],[1]!Table1[i @ 1.8 V 10 mM KOH (A/cm2)],"",0)</f>
        <v>#REF!</v>
      </c>
      <c r="Y2007" s="69" t="e" cm="1">
        <f t="array" ref="Y2007">_xlfn.XLOOKUP(Table1[[#This Row],[5 cm2 cell test code]:[5 cm2 cell test code]],[1]!Table1[[Test code]:[Test code]],[1]!Table1[3-E ƞ at 20mAcm-2 (mV)],"",0)</f>
        <v>#REF!</v>
      </c>
      <c r="Z2007" s="69" t="e" cm="1">
        <f t="array" ref="Z2007">_xlfn.XLOOKUP(Table1[[#This Row],[5 cm2 cell test code]:[5 cm2 cell test code]],[1]!Table1[[Test code]:[Test code]],[1]!Table1[3-E Tafel slope (mV/dec)],"",0)</f>
        <v>#REF!</v>
      </c>
      <c r="AA2007" s="69" t="e" cm="1">
        <f t="array" ref="AA2007">_xlfn.XLOOKUP(Table1[[#This Row],[5 cm2 cell test code]:[5 cm2 cell test code]],[1]!Table1[[Test code]:[Test code]],[1]!Table1[E @ 100 mA/cm2 DIW/V],"",0)</f>
        <v>#REF!</v>
      </c>
      <c r="AB2007" s="69" t="e" cm="1">
        <f t="array" ref="AB2007">_xlfn.XLOOKUP(Table1[[#This Row],[5 cm2 cell test code]:[5 cm2 cell test code]],[1]!Table1[[Test code]:[Test code]],[1]!Table1[E @ 100 mA/cm2 10 mM KOH/V],"",0)</f>
        <v>#REF!</v>
      </c>
      <c r="AC2007" s="69" t="e" cm="1">
        <f t="array" ref="AC2007">_xlfn.XLOOKUP(Table1[[#This Row],[5 cm2 cell test code]:[5 cm2 cell test code]],[1]!Table1[[Test code]:[Test code]],[1]!Table1[Anode ICR/mOhm],"",0)</f>
        <v>#REF!</v>
      </c>
      <c r="AD2007" s="69" t="e" cm="1">
        <f t="array" ref="AD2007">_xlfn.XLOOKUP(Table1[[#This Row],[5 cm2 cell test code]:[5 cm2 cell test code]],[1]!Table1[[Test code]:[Test code]],[1]!Table1[HFR DIW/ mOhm cm2],"",0)</f>
        <v>#REF!</v>
      </c>
      <c r="AE2007" s="69" t="e" cm="1">
        <f t="array" ref="AE2007">_xlfn.XLOOKUP(Table1[[#This Row],[5 cm2 cell test code]:[5 cm2 cell test code]],[1]!Table1[[Test code]:[Test code]],[1]!Table1[HFR 10 mM KOH/ mOhm cm2],"",0)</f>
        <v>#REF!</v>
      </c>
      <c r="AF2007" s="69" t="e" cm="1">
        <f t="array" ref="AF2007">_xlfn.XLOOKUP(Table1[[#This Row],[5 cm2 cell test code]:[5 cm2 cell test code]],[1]!Table1[[Test code]:[Test code]],[1]!Table1[Ionic resistance DIW/Ohm cm2],"",0)</f>
        <v>#REF!</v>
      </c>
      <c r="AG2007" s="69" t="e" cm="1">
        <f t="array" ref="AG2007">_xlfn.XLOOKUP(Table1[[#This Row],[5 cm2 cell test code]:[5 cm2 cell test code]],[1]!Table1[[Test code]:[Test code]],[1]!Table1[Q_int_frac DIW],"",0)</f>
        <v>#REF!</v>
      </c>
      <c r="AH2007" s="69" t="e" cm="1">
        <f t="array" ref="AH2007">_xlfn.XLOOKUP(Table1[[#This Row],[5 cm2 cell test code]:[5 cm2 cell test code]],[1]!Table1[[Test code]:[Test code]],[1]!Table1[Ionic resistance 10 mM KOH/Ohm cm2],"",0)</f>
        <v>#REF!</v>
      </c>
      <c r="AI2007" s="69" t="e" cm="1">
        <f t="array" ref="AI2007">_xlfn.XLOOKUP(Table1[[#This Row],[5 cm2 cell test code]:[5 cm2 cell test code]],[1]!Table1[[Test code]:[Test code]],[1]!Table1[Q_int_frac DIW 10 mM KOH],"",0)</f>
        <v>#REF!</v>
      </c>
      <c r="AJ2007" s="69" t="e" cm="1">
        <f t="array" ref="AJ2007">_xlfn.XLOOKUP(Table1[[#This Row],[5 cm2 cell test code]:[5 cm2 cell test code]],[1]!Table1[[Test code]:[Test code]],[1]!Table1[DIW conductivity (µS/cm)],"",0)</f>
        <v>#REF!</v>
      </c>
    </row>
    <row r="2008" spans="1:36">
      <c r="A2008" s="81"/>
      <c r="U2008" s="101"/>
      <c r="V2008" s="101"/>
      <c r="W2008" s="69" t="e" cm="1">
        <f t="array" ref="W2008">_xlfn.XLOOKUP(Table1[[#This Row],[5 cm2 cell test code]:[5 cm2 cell test code]],[1]!Table1[[Test code]:[Test code]],[1]!Table1[i @ 1.8 V DIW (A/cm2)],"",0)</f>
        <v>#REF!</v>
      </c>
      <c r="X2008" s="69" t="e" cm="1">
        <f t="array" ref="X2008">_xlfn.XLOOKUP(Table1[[#This Row],[5 cm2 cell test code]:[5 cm2 cell test code]],[1]!Table1[[Test code]:[Test code]],[1]!Table1[i @ 1.8 V 10 mM KOH (A/cm2)],"",0)</f>
        <v>#REF!</v>
      </c>
      <c r="Y2008" s="69" t="e" cm="1">
        <f t="array" ref="Y2008">_xlfn.XLOOKUP(Table1[[#This Row],[5 cm2 cell test code]:[5 cm2 cell test code]],[1]!Table1[[Test code]:[Test code]],[1]!Table1[3-E ƞ at 20mAcm-2 (mV)],"",0)</f>
        <v>#REF!</v>
      </c>
      <c r="Z2008" s="69" t="e" cm="1">
        <f t="array" ref="Z2008">_xlfn.XLOOKUP(Table1[[#This Row],[5 cm2 cell test code]:[5 cm2 cell test code]],[1]!Table1[[Test code]:[Test code]],[1]!Table1[3-E Tafel slope (mV/dec)],"",0)</f>
        <v>#REF!</v>
      </c>
      <c r="AA2008" s="69" t="e" cm="1">
        <f t="array" ref="AA2008">_xlfn.XLOOKUP(Table1[[#This Row],[5 cm2 cell test code]:[5 cm2 cell test code]],[1]!Table1[[Test code]:[Test code]],[1]!Table1[E @ 100 mA/cm2 DIW/V],"",0)</f>
        <v>#REF!</v>
      </c>
      <c r="AB2008" s="69" t="e" cm="1">
        <f t="array" ref="AB2008">_xlfn.XLOOKUP(Table1[[#This Row],[5 cm2 cell test code]:[5 cm2 cell test code]],[1]!Table1[[Test code]:[Test code]],[1]!Table1[E @ 100 mA/cm2 10 mM KOH/V],"",0)</f>
        <v>#REF!</v>
      </c>
      <c r="AC2008" s="69" t="e" cm="1">
        <f t="array" ref="AC2008">_xlfn.XLOOKUP(Table1[[#This Row],[5 cm2 cell test code]:[5 cm2 cell test code]],[1]!Table1[[Test code]:[Test code]],[1]!Table1[Anode ICR/mOhm],"",0)</f>
        <v>#REF!</v>
      </c>
      <c r="AD2008" s="69" t="e" cm="1">
        <f t="array" ref="AD2008">_xlfn.XLOOKUP(Table1[[#This Row],[5 cm2 cell test code]:[5 cm2 cell test code]],[1]!Table1[[Test code]:[Test code]],[1]!Table1[HFR DIW/ mOhm cm2],"",0)</f>
        <v>#REF!</v>
      </c>
      <c r="AE2008" s="69" t="e" cm="1">
        <f t="array" ref="AE2008">_xlfn.XLOOKUP(Table1[[#This Row],[5 cm2 cell test code]:[5 cm2 cell test code]],[1]!Table1[[Test code]:[Test code]],[1]!Table1[HFR 10 mM KOH/ mOhm cm2],"",0)</f>
        <v>#REF!</v>
      </c>
      <c r="AF2008" s="69" t="e" cm="1">
        <f t="array" ref="AF2008">_xlfn.XLOOKUP(Table1[[#This Row],[5 cm2 cell test code]:[5 cm2 cell test code]],[1]!Table1[[Test code]:[Test code]],[1]!Table1[Ionic resistance DIW/Ohm cm2],"",0)</f>
        <v>#REF!</v>
      </c>
      <c r="AG2008" s="69" t="e" cm="1">
        <f t="array" ref="AG2008">_xlfn.XLOOKUP(Table1[[#This Row],[5 cm2 cell test code]:[5 cm2 cell test code]],[1]!Table1[[Test code]:[Test code]],[1]!Table1[Q_int_frac DIW],"",0)</f>
        <v>#REF!</v>
      </c>
      <c r="AH2008" s="69" t="e" cm="1">
        <f t="array" ref="AH2008">_xlfn.XLOOKUP(Table1[[#This Row],[5 cm2 cell test code]:[5 cm2 cell test code]],[1]!Table1[[Test code]:[Test code]],[1]!Table1[Ionic resistance 10 mM KOH/Ohm cm2],"",0)</f>
        <v>#REF!</v>
      </c>
      <c r="AI2008" s="69" t="e" cm="1">
        <f t="array" ref="AI2008">_xlfn.XLOOKUP(Table1[[#This Row],[5 cm2 cell test code]:[5 cm2 cell test code]],[1]!Table1[[Test code]:[Test code]],[1]!Table1[Q_int_frac DIW 10 mM KOH],"",0)</f>
        <v>#REF!</v>
      </c>
      <c r="AJ2008" s="69" t="e" cm="1">
        <f t="array" ref="AJ2008">_xlfn.XLOOKUP(Table1[[#This Row],[5 cm2 cell test code]:[5 cm2 cell test code]],[1]!Table1[[Test code]:[Test code]],[1]!Table1[DIW conductivity (µS/cm)],"",0)</f>
        <v>#REF!</v>
      </c>
    </row>
    <row r="2009" spans="1:36">
      <c r="A2009" s="81"/>
      <c r="U2009" s="101"/>
      <c r="V2009" s="101"/>
      <c r="W2009" s="69" t="e" cm="1">
        <f t="array" ref="W2009">_xlfn.XLOOKUP(Table1[[#This Row],[5 cm2 cell test code]:[5 cm2 cell test code]],[1]!Table1[[Test code]:[Test code]],[1]!Table1[i @ 1.8 V DIW (A/cm2)],"",0)</f>
        <v>#REF!</v>
      </c>
      <c r="X2009" s="69" t="e" cm="1">
        <f t="array" ref="X2009">_xlfn.XLOOKUP(Table1[[#This Row],[5 cm2 cell test code]:[5 cm2 cell test code]],[1]!Table1[[Test code]:[Test code]],[1]!Table1[i @ 1.8 V 10 mM KOH (A/cm2)],"",0)</f>
        <v>#REF!</v>
      </c>
      <c r="Y2009" s="69" t="e" cm="1">
        <f t="array" ref="Y2009">_xlfn.XLOOKUP(Table1[[#This Row],[5 cm2 cell test code]:[5 cm2 cell test code]],[1]!Table1[[Test code]:[Test code]],[1]!Table1[3-E ƞ at 20mAcm-2 (mV)],"",0)</f>
        <v>#REF!</v>
      </c>
      <c r="Z2009" s="69" t="e" cm="1">
        <f t="array" ref="Z2009">_xlfn.XLOOKUP(Table1[[#This Row],[5 cm2 cell test code]:[5 cm2 cell test code]],[1]!Table1[[Test code]:[Test code]],[1]!Table1[3-E Tafel slope (mV/dec)],"",0)</f>
        <v>#REF!</v>
      </c>
      <c r="AA2009" s="69" t="e" cm="1">
        <f t="array" ref="AA2009">_xlfn.XLOOKUP(Table1[[#This Row],[5 cm2 cell test code]:[5 cm2 cell test code]],[1]!Table1[[Test code]:[Test code]],[1]!Table1[E @ 100 mA/cm2 DIW/V],"",0)</f>
        <v>#REF!</v>
      </c>
      <c r="AB2009" s="69" t="e" cm="1">
        <f t="array" ref="AB2009">_xlfn.XLOOKUP(Table1[[#This Row],[5 cm2 cell test code]:[5 cm2 cell test code]],[1]!Table1[[Test code]:[Test code]],[1]!Table1[E @ 100 mA/cm2 10 mM KOH/V],"",0)</f>
        <v>#REF!</v>
      </c>
      <c r="AC2009" s="69" t="e" cm="1">
        <f t="array" ref="AC2009">_xlfn.XLOOKUP(Table1[[#This Row],[5 cm2 cell test code]:[5 cm2 cell test code]],[1]!Table1[[Test code]:[Test code]],[1]!Table1[Anode ICR/mOhm],"",0)</f>
        <v>#REF!</v>
      </c>
      <c r="AD2009" s="69" t="e" cm="1">
        <f t="array" ref="AD2009">_xlfn.XLOOKUP(Table1[[#This Row],[5 cm2 cell test code]:[5 cm2 cell test code]],[1]!Table1[[Test code]:[Test code]],[1]!Table1[HFR DIW/ mOhm cm2],"",0)</f>
        <v>#REF!</v>
      </c>
      <c r="AE2009" s="69" t="e" cm="1">
        <f t="array" ref="AE2009">_xlfn.XLOOKUP(Table1[[#This Row],[5 cm2 cell test code]:[5 cm2 cell test code]],[1]!Table1[[Test code]:[Test code]],[1]!Table1[HFR 10 mM KOH/ mOhm cm2],"",0)</f>
        <v>#REF!</v>
      </c>
      <c r="AF2009" s="69" t="e" cm="1">
        <f t="array" ref="AF2009">_xlfn.XLOOKUP(Table1[[#This Row],[5 cm2 cell test code]:[5 cm2 cell test code]],[1]!Table1[[Test code]:[Test code]],[1]!Table1[Ionic resistance DIW/Ohm cm2],"",0)</f>
        <v>#REF!</v>
      </c>
      <c r="AG2009" s="69" t="e" cm="1">
        <f t="array" ref="AG2009">_xlfn.XLOOKUP(Table1[[#This Row],[5 cm2 cell test code]:[5 cm2 cell test code]],[1]!Table1[[Test code]:[Test code]],[1]!Table1[Q_int_frac DIW],"",0)</f>
        <v>#REF!</v>
      </c>
      <c r="AH2009" s="69" t="e" cm="1">
        <f t="array" ref="AH2009">_xlfn.XLOOKUP(Table1[[#This Row],[5 cm2 cell test code]:[5 cm2 cell test code]],[1]!Table1[[Test code]:[Test code]],[1]!Table1[Ionic resistance 10 mM KOH/Ohm cm2],"",0)</f>
        <v>#REF!</v>
      </c>
      <c r="AI2009" s="69" t="e" cm="1">
        <f t="array" ref="AI2009">_xlfn.XLOOKUP(Table1[[#This Row],[5 cm2 cell test code]:[5 cm2 cell test code]],[1]!Table1[[Test code]:[Test code]],[1]!Table1[Q_int_frac DIW 10 mM KOH],"",0)</f>
        <v>#REF!</v>
      </c>
      <c r="AJ2009" s="69" t="e" cm="1">
        <f t="array" ref="AJ2009">_xlfn.XLOOKUP(Table1[[#This Row],[5 cm2 cell test code]:[5 cm2 cell test code]],[1]!Table1[[Test code]:[Test code]],[1]!Table1[DIW conductivity (µS/cm)],"",0)</f>
        <v>#REF!</v>
      </c>
    </row>
    <row r="2010" spans="1:36">
      <c r="A2010" s="81"/>
      <c r="U2010" s="101"/>
      <c r="V2010" s="101"/>
      <c r="W2010" s="69" t="e" cm="1">
        <f t="array" ref="W2010">_xlfn.XLOOKUP(Table1[[#This Row],[5 cm2 cell test code]:[5 cm2 cell test code]],[1]!Table1[[Test code]:[Test code]],[1]!Table1[i @ 1.8 V DIW (A/cm2)],"",0)</f>
        <v>#REF!</v>
      </c>
      <c r="X2010" s="69" t="e" cm="1">
        <f t="array" ref="X2010">_xlfn.XLOOKUP(Table1[[#This Row],[5 cm2 cell test code]:[5 cm2 cell test code]],[1]!Table1[[Test code]:[Test code]],[1]!Table1[i @ 1.8 V 10 mM KOH (A/cm2)],"",0)</f>
        <v>#REF!</v>
      </c>
      <c r="Y2010" s="69" t="e" cm="1">
        <f t="array" ref="Y2010">_xlfn.XLOOKUP(Table1[[#This Row],[5 cm2 cell test code]:[5 cm2 cell test code]],[1]!Table1[[Test code]:[Test code]],[1]!Table1[3-E ƞ at 20mAcm-2 (mV)],"",0)</f>
        <v>#REF!</v>
      </c>
      <c r="Z2010" s="69" t="e" cm="1">
        <f t="array" ref="Z2010">_xlfn.XLOOKUP(Table1[[#This Row],[5 cm2 cell test code]:[5 cm2 cell test code]],[1]!Table1[[Test code]:[Test code]],[1]!Table1[3-E Tafel slope (mV/dec)],"",0)</f>
        <v>#REF!</v>
      </c>
      <c r="AA2010" s="69" t="e" cm="1">
        <f t="array" ref="AA2010">_xlfn.XLOOKUP(Table1[[#This Row],[5 cm2 cell test code]:[5 cm2 cell test code]],[1]!Table1[[Test code]:[Test code]],[1]!Table1[E @ 100 mA/cm2 DIW/V],"",0)</f>
        <v>#REF!</v>
      </c>
      <c r="AB2010" s="69" t="e" cm="1">
        <f t="array" ref="AB2010">_xlfn.XLOOKUP(Table1[[#This Row],[5 cm2 cell test code]:[5 cm2 cell test code]],[1]!Table1[[Test code]:[Test code]],[1]!Table1[E @ 100 mA/cm2 10 mM KOH/V],"",0)</f>
        <v>#REF!</v>
      </c>
      <c r="AC2010" s="69" t="e" cm="1">
        <f t="array" ref="AC2010">_xlfn.XLOOKUP(Table1[[#This Row],[5 cm2 cell test code]:[5 cm2 cell test code]],[1]!Table1[[Test code]:[Test code]],[1]!Table1[Anode ICR/mOhm],"",0)</f>
        <v>#REF!</v>
      </c>
      <c r="AD2010" s="69" t="e" cm="1">
        <f t="array" ref="AD2010">_xlfn.XLOOKUP(Table1[[#This Row],[5 cm2 cell test code]:[5 cm2 cell test code]],[1]!Table1[[Test code]:[Test code]],[1]!Table1[HFR DIW/ mOhm cm2],"",0)</f>
        <v>#REF!</v>
      </c>
      <c r="AE2010" s="69" t="e" cm="1">
        <f t="array" ref="AE2010">_xlfn.XLOOKUP(Table1[[#This Row],[5 cm2 cell test code]:[5 cm2 cell test code]],[1]!Table1[[Test code]:[Test code]],[1]!Table1[HFR 10 mM KOH/ mOhm cm2],"",0)</f>
        <v>#REF!</v>
      </c>
      <c r="AF2010" s="69" t="e" cm="1">
        <f t="array" ref="AF2010">_xlfn.XLOOKUP(Table1[[#This Row],[5 cm2 cell test code]:[5 cm2 cell test code]],[1]!Table1[[Test code]:[Test code]],[1]!Table1[Ionic resistance DIW/Ohm cm2],"",0)</f>
        <v>#REF!</v>
      </c>
      <c r="AG2010" s="69" t="e" cm="1">
        <f t="array" ref="AG2010">_xlfn.XLOOKUP(Table1[[#This Row],[5 cm2 cell test code]:[5 cm2 cell test code]],[1]!Table1[[Test code]:[Test code]],[1]!Table1[Q_int_frac DIW],"",0)</f>
        <v>#REF!</v>
      </c>
      <c r="AH2010" s="69" t="e" cm="1">
        <f t="array" ref="AH2010">_xlfn.XLOOKUP(Table1[[#This Row],[5 cm2 cell test code]:[5 cm2 cell test code]],[1]!Table1[[Test code]:[Test code]],[1]!Table1[Ionic resistance 10 mM KOH/Ohm cm2],"",0)</f>
        <v>#REF!</v>
      </c>
      <c r="AI2010" s="69" t="e" cm="1">
        <f t="array" ref="AI2010">_xlfn.XLOOKUP(Table1[[#This Row],[5 cm2 cell test code]:[5 cm2 cell test code]],[1]!Table1[[Test code]:[Test code]],[1]!Table1[Q_int_frac DIW 10 mM KOH],"",0)</f>
        <v>#REF!</v>
      </c>
      <c r="AJ2010" s="69" t="e" cm="1">
        <f t="array" ref="AJ2010">_xlfn.XLOOKUP(Table1[[#This Row],[5 cm2 cell test code]:[5 cm2 cell test code]],[1]!Table1[[Test code]:[Test code]],[1]!Table1[DIW conductivity (µS/cm)],"",0)</f>
        <v>#REF!</v>
      </c>
    </row>
    <row r="2011" spans="1:36">
      <c r="A2011" s="81"/>
      <c r="U2011" s="101"/>
      <c r="V2011" s="101"/>
      <c r="W2011" s="69" t="e" cm="1">
        <f t="array" ref="W2011">_xlfn.XLOOKUP(Table1[[#This Row],[5 cm2 cell test code]:[5 cm2 cell test code]],[1]!Table1[[Test code]:[Test code]],[1]!Table1[i @ 1.8 V DIW (A/cm2)],"",0)</f>
        <v>#REF!</v>
      </c>
      <c r="X2011" s="69" t="e" cm="1">
        <f t="array" ref="X2011">_xlfn.XLOOKUP(Table1[[#This Row],[5 cm2 cell test code]:[5 cm2 cell test code]],[1]!Table1[[Test code]:[Test code]],[1]!Table1[i @ 1.8 V 10 mM KOH (A/cm2)],"",0)</f>
        <v>#REF!</v>
      </c>
      <c r="Y2011" s="69" t="e" cm="1">
        <f t="array" ref="Y2011">_xlfn.XLOOKUP(Table1[[#This Row],[5 cm2 cell test code]:[5 cm2 cell test code]],[1]!Table1[[Test code]:[Test code]],[1]!Table1[3-E ƞ at 20mAcm-2 (mV)],"",0)</f>
        <v>#REF!</v>
      </c>
      <c r="Z2011" s="69" t="e" cm="1">
        <f t="array" ref="Z2011">_xlfn.XLOOKUP(Table1[[#This Row],[5 cm2 cell test code]:[5 cm2 cell test code]],[1]!Table1[[Test code]:[Test code]],[1]!Table1[3-E Tafel slope (mV/dec)],"",0)</f>
        <v>#REF!</v>
      </c>
      <c r="AA2011" s="69" t="e" cm="1">
        <f t="array" ref="AA2011">_xlfn.XLOOKUP(Table1[[#This Row],[5 cm2 cell test code]:[5 cm2 cell test code]],[1]!Table1[[Test code]:[Test code]],[1]!Table1[E @ 100 mA/cm2 DIW/V],"",0)</f>
        <v>#REF!</v>
      </c>
      <c r="AB2011" s="69" t="e" cm="1">
        <f t="array" ref="AB2011">_xlfn.XLOOKUP(Table1[[#This Row],[5 cm2 cell test code]:[5 cm2 cell test code]],[1]!Table1[[Test code]:[Test code]],[1]!Table1[E @ 100 mA/cm2 10 mM KOH/V],"",0)</f>
        <v>#REF!</v>
      </c>
      <c r="AC2011" s="69" t="e" cm="1">
        <f t="array" ref="AC2011">_xlfn.XLOOKUP(Table1[[#This Row],[5 cm2 cell test code]:[5 cm2 cell test code]],[1]!Table1[[Test code]:[Test code]],[1]!Table1[Anode ICR/mOhm],"",0)</f>
        <v>#REF!</v>
      </c>
      <c r="AD2011" s="69" t="e" cm="1">
        <f t="array" ref="AD2011">_xlfn.XLOOKUP(Table1[[#This Row],[5 cm2 cell test code]:[5 cm2 cell test code]],[1]!Table1[[Test code]:[Test code]],[1]!Table1[HFR DIW/ mOhm cm2],"",0)</f>
        <v>#REF!</v>
      </c>
      <c r="AE2011" s="69" t="e" cm="1">
        <f t="array" ref="AE2011">_xlfn.XLOOKUP(Table1[[#This Row],[5 cm2 cell test code]:[5 cm2 cell test code]],[1]!Table1[[Test code]:[Test code]],[1]!Table1[HFR 10 mM KOH/ mOhm cm2],"",0)</f>
        <v>#REF!</v>
      </c>
      <c r="AF2011" s="69" t="e" cm="1">
        <f t="array" ref="AF2011">_xlfn.XLOOKUP(Table1[[#This Row],[5 cm2 cell test code]:[5 cm2 cell test code]],[1]!Table1[[Test code]:[Test code]],[1]!Table1[Ionic resistance DIW/Ohm cm2],"",0)</f>
        <v>#REF!</v>
      </c>
      <c r="AG2011" s="69" t="e" cm="1">
        <f t="array" ref="AG2011">_xlfn.XLOOKUP(Table1[[#This Row],[5 cm2 cell test code]:[5 cm2 cell test code]],[1]!Table1[[Test code]:[Test code]],[1]!Table1[Q_int_frac DIW],"",0)</f>
        <v>#REF!</v>
      </c>
      <c r="AH2011" s="69" t="e" cm="1">
        <f t="array" ref="AH2011">_xlfn.XLOOKUP(Table1[[#This Row],[5 cm2 cell test code]:[5 cm2 cell test code]],[1]!Table1[[Test code]:[Test code]],[1]!Table1[Ionic resistance 10 mM KOH/Ohm cm2],"",0)</f>
        <v>#REF!</v>
      </c>
      <c r="AI2011" s="69" t="e" cm="1">
        <f t="array" ref="AI2011">_xlfn.XLOOKUP(Table1[[#This Row],[5 cm2 cell test code]:[5 cm2 cell test code]],[1]!Table1[[Test code]:[Test code]],[1]!Table1[Q_int_frac DIW 10 mM KOH],"",0)</f>
        <v>#REF!</v>
      </c>
      <c r="AJ2011" s="69" t="e" cm="1">
        <f t="array" ref="AJ2011">_xlfn.XLOOKUP(Table1[[#This Row],[5 cm2 cell test code]:[5 cm2 cell test code]],[1]!Table1[[Test code]:[Test code]],[1]!Table1[DIW conductivity (µS/cm)],"",0)</f>
        <v>#REF!</v>
      </c>
    </row>
    <row r="2012" spans="1:36">
      <c r="A2012" s="81"/>
      <c r="U2012" s="101"/>
      <c r="V2012" s="101"/>
      <c r="W2012" s="69" t="e" cm="1">
        <f t="array" ref="W2012">_xlfn.XLOOKUP(Table1[[#This Row],[5 cm2 cell test code]:[5 cm2 cell test code]],[1]!Table1[[Test code]:[Test code]],[1]!Table1[i @ 1.8 V DIW (A/cm2)],"",0)</f>
        <v>#REF!</v>
      </c>
      <c r="X2012" s="69" t="e" cm="1">
        <f t="array" ref="X2012">_xlfn.XLOOKUP(Table1[[#This Row],[5 cm2 cell test code]:[5 cm2 cell test code]],[1]!Table1[[Test code]:[Test code]],[1]!Table1[i @ 1.8 V 10 mM KOH (A/cm2)],"",0)</f>
        <v>#REF!</v>
      </c>
      <c r="Y2012" s="69" t="e" cm="1">
        <f t="array" ref="Y2012">_xlfn.XLOOKUP(Table1[[#This Row],[5 cm2 cell test code]:[5 cm2 cell test code]],[1]!Table1[[Test code]:[Test code]],[1]!Table1[3-E ƞ at 20mAcm-2 (mV)],"",0)</f>
        <v>#REF!</v>
      </c>
      <c r="Z2012" s="69" t="e" cm="1">
        <f t="array" ref="Z2012">_xlfn.XLOOKUP(Table1[[#This Row],[5 cm2 cell test code]:[5 cm2 cell test code]],[1]!Table1[[Test code]:[Test code]],[1]!Table1[3-E Tafel slope (mV/dec)],"",0)</f>
        <v>#REF!</v>
      </c>
      <c r="AA2012" s="69" t="e" cm="1">
        <f t="array" ref="AA2012">_xlfn.XLOOKUP(Table1[[#This Row],[5 cm2 cell test code]:[5 cm2 cell test code]],[1]!Table1[[Test code]:[Test code]],[1]!Table1[E @ 100 mA/cm2 DIW/V],"",0)</f>
        <v>#REF!</v>
      </c>
      <c r="AB2012" s="69" t="e" cm="1">
        <f t="array" ref="AB2012">_xlfn.XLOOKUP(Table1[[#This Row],[5 cm2 cell test code]:[5 cm2 cell test code]],[1]!Table1[[Test code]:[Test code]],[1]!Table1[E @ 100 mA/cm2 10 mM KOH/V],"",0)</f>
        <v>#REF!</v>
      </c>
      <c r="AC2012" s="69" t="e" cm="1">
        <f t="array" ref="AC2012">_xlfn.XLOOKUP(Table1[[#This Row],[5 cm2 cell test code]:[5 cm2 cell test code]],[1]!Table1[[Test code]:[Test code]],[1]!Table1[Anode ICR/mOhm],"",0)</f>
        <v>#REF!</v>
      </c>
      <c r="AD2012" s="69" t="e" cm="1">
        <f t="array" ref="AD2012">_xlfn.XLOOKUP(Table1[[#This Row],[5 cm2 cell test code]:[5 cm2 cell test code]],[1]!Table1[[Test code]:[Test code]],[1]!Table1[HFR DIW/ mOhm cm2],"",0)</f>
        <v>#REF!</v>
      </c>
      <c r="AE2012" s="69" t="e" cm="1">
        <f t="array" ref="AE2012">_xlfn.XLOOKUP(Table1[[#This Row],[5 cm2 cell test code]:[5 cm2 cell test code]],[1]!Table1[[Test code]:[Test code]],[1]!Table1[HFR 10 mM KOH/ mOhm cm2],"",0)</f>
        <v>#REF!</v>
      </c>
      <c r="AF2012" s="69" t="e" cm="1">
        <f t="array" ref="AF2012">_xlfn.XLOOKUP(Table1[[#This Row],[5 cm2 cell test code]:[5 cm2 cell test code]],[1]!Table1[[Test code]:[Test code]],[1]!Table1[Ionic resistance DIW/Ohm cm2],"",0)</f>
        <v>#REF!</v>
      </c>
      <c r="AG2012" s="69" t="e" cm="1">
        <f t="array" ref="AG2012">_xlfn.XLOOKUP(Table1[[#This Row],[5 cm2 cell test code]:[5 cm2 cell test code]],[1]!Table1[[Test code]:[Test code]],[1]!Table1[Q_int_frac DIW],"",0)</f>
        <v>#REF!</v>
      </c>
      <c r="AH2012" s="69" t="e" cm="1">
        <f t="array" ref="AH2012">_xlfn.XLOOKUP(Table1[[#This Row],[5 cm2 cell test code]:[5 cm2 cell test code]],[1]!Table1[[Test code]:[Test code]],[1]!Table1[Ionic resistance 10 mM KOH/Ohm cm2],"",0)</f>
        <v>#REF!</v>
      </c>
      <c r="AI2012" s="69" t="e" cm="1">
        <f t="array" ref="AI2012">_xlfn.XLOOKUP(Table1[[#This Row],[5 cm2 cell test code]:[5 cm2 cell test code]],[1]!Table1[[Test code]:[Test code]],[1]!Table1[Q_int_frac DIW 10 mM KOH],"",0)</f>
        <v>#REF!</v>
      </c>
      <c r="AJ2012" s="69" t="e" cm="1">
        <f t="array" ref="AJ2012">_xlfn.XLOOKUP(Table1[[#This Row],[5 cm2 cell test code]:[5 cm2 cell test code]],[1]!Table1[[Test code]:[Test code]],[1]!Table1[DIW conductivity (µS/cm)],"",0)</f>
        <v>#REF!</v>
      </c>
    </row>
    <row r="2013" spans="1:36">
      <c r="A2013" s="81"/>
      <c r="U2013" s="101"/>
      <c r="V2013" s="101"/>
      <c r="W2013" s="69" t="e" cm="1">
        <f t="array" ref="W2013">_xlfn.XLOOKUP(Table1[[#This Row],[5 cm2 cell test code]:[5 cm2 cell test code]],[1]!Table1[[Test code]:[Test code]],[1]!Table1[i @ 1.8 V DIW (A/cm2)],"",0)</f>
        <v>#REF!</v>
      </c>
      <c r="X2013" s="69" t="e" cm="1">
        <f t="array" ref="X2013">_xlfn.XLOOKUP(Table1[[#This Row],[5 cm2 cell test code]:[5 cm2 cell test code]],[1]!Table1[[Test code]:[Test code]],[1]!Table1[i @ 1.8 V 10 mM KOH (A/cm2)],"",0)</f>
        <v>#REF!</v>
      </c>
      <c r="Y2013" s="69" t="e" cm="1">
        <f t="array" ref="Y2013">_xlfn.XLOOKUP(Table1[[#This Row],[5 cm2 cell test code]:[5 cm2 cell test code]],[1]!Table1[[Test code]:[Test code]],[1]!Table1[3-E ƞ at 20mAcm-2 (mV)],"",0)</f>
        <v>#REF!</v>
      </c>
      <c r="Z2013" s="69" t="e" cm="1">
        <f t="array" ref="Z2013">_xlfn.XLOOKUP(Table1[[#This Row],[5 cm2 cell test code]:[5 cm2 cell test code]],[1]!Table1[[Test code]:[Test code]],[1]!Table1[3-E Tafel slope (mV/dec)],"",0)</f>
        <v>#REF!</v>
      </c>
      <c r="AA2013" s="69" t="e" cm="1">
        <f t="array" ref="AA2013">_xlfn.XLOOKUP(Table1[[#This Row],[5 cm2 cell test code]:[5 cm2 cell test code]],[1]!Table1[[Test code]:[Test code]],[1]!Table1[E @ 100 mA/cm2 DIW/V],"",0)</f>
        <v>#REF!</v>
      </c>
      <c r="AB2013" s="69" t="e" cm="1">
        <f t="array" ref="AB2013">_xlfn.XLOOKUP(Table1[[#This Row],[5 cm2 cell test code]:[5 cm2 cell test code]],[1]!Table1[[Test code]:[Test code]],[1]!Table1[E @ 100 mA/cm2 10 mM KOH/V],"",0)</f>
        <v>#REF!</v>
      </c>
      <c r="AC2013" s="69" t="e" cm="1">
        <f t="array" ref="AC2013">_xlfn.XLOOKUP(Table1[[#This Row],[5 cm2 cell test code]:[5 cm2 cell test code]],[1]!Table1[[Test code]:[Test code]],[1]!Table1[Anode ICR/mOhm],"",0)</f>
        <v>#REF!</v>
      </c>
      <c r="AD2013" s="69" t="e" cm="1">
        <f t="array" ref="AD2013">_xlfn.XLOOKUP(Table1[[#This Row],[5 cm2 cell test code]:[5 cm2 cell test code]],[1]!Table1[[Test code]:[Test code]],[1]!Table1[HFR DIW/ mOhm cm2],"",0)</f>
        <v>#REF!</v>
      </c>
      <c r="AE2013" s="69" t="e" cm="1">
        <f t="array" ref="AE2013">_xlfn.XLOOKUP(Table1[[#This Row],[5 cm2 cell test code]:[5 cm2 cell test code]],[1]!Table1[[Test code]:[Test code]],[1]!Table1[HFR 10 mM KOH/ mOhm cm2],"",0)</f>
        <v>#REF!</v>
      </c>
      <c r="AF2013" s="69" t="e" cm="1">
        <f t="array" ref="AF2013">_xlfn.XLOOKUP(Table1[[#This Row],[5 cm2 cell test code]:[5 cm2 cell test code]],[1]!Table1[[Test code]:[Test code]],[1]!Table1[Ionic resistance DIW/Ohm cm2],"",0)</f>
        <v>#REF!</v>
      </c>
      <c r="AG2013" s="69" t="e" cm="1">
        <f t="array" ref="AG2013">_xlfn.XLOOKUP(Table1[[#This Row],[5 cm2 cell test code]:[5 cm2 cell test code]],[1]!Table1[[Test code]:[Test code]],[1]!Table1[Q_int_frac DIW],"",0)</f>
        <v>#REF!</v>
      </c>
      <c r="AH2013" s="69" t="e" cm="1">
        <f t="array" ref="AH2013">_xlfn.XLOOKUP(Table1[[#This Row],[5 cm2 cell test code]:[5 cm2 cell test code]],[1]!Table1[[Test code]:[Test code]],[1]!Table1[Ionic resistance 10 mM KOH/Ohm cm2],"",0)</f>
        <v>#REF!</v>
      </c>
      <c r="AI2013" s="69" t="e" cm="1">
        <f t="array" ref="AI2013">_xlfn.XLOOKUP(Table1[[#This Row],[5 cm2 cell test code]:[5 cm2 cell test code]],[1]!Table1[[Test code]:[Test code]],[1]!Table1[Q_int_frac DIW 10 mM KOH],"",0)</f>
        <v>#REF!</v>
      </c>
      <c r="AJ2013" s="69" t="e" cm="1">
        <f t="array" ref="AJ2013">_xlfn.XLOOKUP(Table1[[#This Row],[5 cm2 cell test code]:[5 cm2 cell test code]],[1]!Table1[[Test code]:[Test code]],[1]!Table1[DIW conductivity (µS/cm)],"",0)</f>
        <v>#REF!</v>
      </c>
    </row>
    <row r="2014" spans="1:36">
      <c r="A2014" s="81"/>
      <c r="U2014" s="101"/>
      <c r="V2014" s="101"/>
      <c r="W2014" s="69" t="e" cm="1">
        <f t="array" ref="W2014">_xlfn.XLOOKUP(Table1[[#This Row],[5 cm2 cell test code]:[5 cm2 cell test code]],[1]!Table1[[Test code]:[Test code]],[1]!Table1[i @ 1.8 V DIW (A/cm2)],"",0)</f>
        <v>#REF!</v>
      </c>
      <c r="X2014" s="69" t="e" cm="1">
        <f t="array" ref="X2014">_xlfn.XLOOKUP(Table1[[#This Row],[5 cm2 cell test code]:[5 cm2 cell test code]],[1]!Table1[[Test code]:[Test code]],[1]!Table1[i @ 1.8 V 10 mM KOH (A/cm2)],"",0)</f>
        <v>#REF!</v>
      </c>
      <c r="Y2014" s="69" t="e" cm="1">
        <f t="array" ref="Y2014">_xlfn.XLOOKUP(Table1[[#This Row],[5 cm2 cell test code]:[5 cm2 cell test code]],[1]!Table1[[Test code]:[Test code]],[1]!Table1[3-E ƞ at 20mAcm-2 (mV)],"",0)</f>
        <v>#REF!</v>
      </c>
      <c r="Z2014" s="69" t="e" cm="1">
        <f t="array" ref="Z2014">_xlfn.XLOOKUP(Table1[[#This Row],[5 cm2 cell test code]:[5 cm2 cell test code]],[1]!Table1[[Test code]:[Test code]],[1]!Table1[3-E Tafel slope (mV/dec)],"",0)</f>
        <v>#REF!</v>
      </c>
      <c r="AA2014" s="69" t="e" cm="1">
        <f t="array" ref="AA2014">_xlfn.XLOOKUP(Table1[[#This Row],[5 cm2 cell test code]:[5 cm2 cell test code]],[1]!Table1[[Test code]:[Test code]],[1]!Table1[E @ 100 mA/cm2 DIW/V],"",0)</f>
        <v>#REF!</v>
      </c>
      <c r="AB2014" s="69" t="e" cm="1">
        <f t="array" ref="AB2014">_xlfn.XLOOKUP(Table1[[#This Row],[5 cm2 cell test code]:[5 cm2 cell test code]],[1]!Table1[[Test code]:[Test code]],[1]!Table1[E @ 100 mA/cm2 10 mM KOH/V],"",0)</f>
        <v>#REF!</v>
      </c>
      <c r="AC2014" s="69" t="e" cm="1">
        <f t="array" ref="AC2014">_xlfn.XLOOKUP(Table1[[#This Row],[5 cm2 cell test code]:[5 cm2 cell test code]],[1]!Table1[[Test code]:[Test code]],[1]!Table1[Anode ICR/mOhm],"",0)</f>
        <v>#REF!</v>
      </c>
      <c r="AD2014" s="69" t="e" cm="1">
        <f t="array" ref="AD2014">_xlfn.XLOOKUP(Table1[[#This Row],[5 cm2 cell test code]:[5 cm2 cell test code]],[1]!Table1[[Test code]:[Test code]],[1]!Table1[HFR DIW/ mOhm cm2],"",0)</f>
        <v>#REF!</v>
      </c>
      <c r="AE2014" s="69" t="e" cm="1">
        <f t="array" ref="AE2014">_xlfn.XLOOKUP(Table1[[#This Row],[5 cm2 cell test code]:[5 cm2 cell test code]],[1]!Table1[[Test code]:[Test code]],[1]!Table1[HFR 10 mM KOH/ mOhm cm2],"",0)</f>
        <v>#REF!</v>
      </c>
      <c r="AF2014" s="69" t="e" cm="1">
        <f t="array" ref="AF2014">_xlfn.XLOOKUP(Table1[[#This Row],[5 cm2 cell test code]:[5 cm2 cell test code]],[1]!Table1[[Test code]:[Test code]],[1]!Table1[Ionic resistance DIW/Ohm cm2],"",0)</f>
        <v>#REF!</v>
      </c>
      <c r="AG2014" s="69" t="e" cm="1">
        <f t="array" ref="AG2014">_xlfn.XLOOKUP(Table1[[#This Row],[5 cm2 cell test code]:[5 cm2 cell test code]],[1]!Table1[[Test code]:[Test code]],[1]!Table1[Q_int_frac DIW],"",0)</f>
        <v>#REF!</v>
      </c>
      <c r="AH2014" s="69" t="e" cm="1">
        <f t="array" ref="AH2014">_xlfn.XLOOKUP(Table1[[#This Row],[5 cm2 cell test code]:[5 cm2 cell test code]],[1]!Table1[[Test code]:[Test code]],[1]!Table1[Ionic resistance 10 mM KOH/Ohm cm2],"",0)</f>
        <v>#REF!</v>
      </c>
      <c r="AI2014" s="69" t="e" cm="1">
        <f t="array" ref="AI2014">_xlfn.XLOOKUP(Table1[[#This Row],[5 cm2 cell test code]:[5 cm2 cell test code]],[1]!Table1[[Test code]:[Test code]],[1]!Table1[Q_int_frac DIW 10 mM KOH],"",0)</f>
        <v>#REF!</v>
      </c>
      <c r="AJ2014" s="69" t="e" cm="1">
        <f t="array" ref="AJ2014">_xlfn.XLOOKUP(Table1[[#This Row],[5 cm2 cell test code]:[5 cm2 cell test code]],[1]!Table1[[Test code]:[Test code]],[1]!Table1[DIW conductivity (µS/cm)],"",0)</f>
        <v>#REF!</v>
      </c>
    </row>
    <row r="2015" spans="1:36">
      <c r="A2015" s="81"/>
      <c r="U2015" s="101"/>
      <c r="V2015" s="101"/>
      <c r="W2015" s="69" t="e" cm="1">
        <f t="array" ref="W2015">_xlfn.XLOOKUP(Table1[[#This Row],[5 cm2 cell test code]:[5 cm2 cell test code]],[1]!Table1[[Test code]:[Test code]],[1]!Table1[i @ 1.8 V DIW (A/cm2)],"",0)</f>
        <v>#REF!</v>
      </c>
      <c r="X2015" s="69" t="e" cm="1">
        <f t="array" ref="X2015">_xlfn.XLOOKUP(Table1[[#This Row],[5 cm2 cell test code]:[5 cm2 cell test code]],[1]!Table1[[Test code]:[Test code]],[1]!Table1[i @ 1.8 V 10 mM KOH (A/cm2)],"",0)</f>
        <v>#REF!</v>
      </c>
      <c r="Y2015" s="69" t="e" cm="1">
        <f t="array" ref="Y2015">_xlfn.XLOOKUP(Table1[[#This Row],[5 cm2 cell test code]:[5 cm2 cell test code]],[1]!Table1[[Test code]:[Test code]],[1]!Table1[3-E ƞ at 20mAcm-2 (mV)],"",0)</f>
        <v>#REF!</v>
      </c>
      <c r="Z2015" s="69" t="e" cm="1">
        <f t="array" ref="Z2015">_xlfn.XLOOKUP(Table1[[#This Row],[5 cm2 cell test code]:[5 cm2 cell test code]],[1]!Table1[[Test code]:[Test code]],[1]!Table1[3-E Tafel slope (mV/dec)],"",0)</f>
        <v>#REF!</v>
      </c>
      <c r="AA2015" s="69" t="e" cm="1">
        <f t="array" ref="AA2015">_xlfn.XLOOKUP(Table1[[#This Row],[5 cm2 cell test code]:[5 cm2 cell test code]],[1]!Table1[[Test code]:[Test code]],[1]!Table1[E @ 100 mA/cm2 DIW/V],"",0)</f>
        <v>#REF!</v>
      </c>
      <c r="AB2015" s="69" t="e" cm="1">
        <f t="array" ref="AB2015">_xlfn.XLOOKUP(Table1[[#This Row],[5 cm2 cell test code]:[5 cm2 cell test code]],[1]!Table1[[Test code]:[Test code]],[1]!Table1[E @ 100 mA/cm2 10 mM KOH/V],"",0)</f>
        <v>#REF!</v>
      </c>
      <c r="AC2015" s="69" t="e" cm="1">
        <f t="array" ref="AC2015">_xlfn.XLOOKUP(Table1[[#This Row],[5 cm2 cell test code]:[5 cm2 cell test code]],[1]!Table1[[Test code]:[Test code]],[1]!Table1[Anode ICR/mOhm],"",0)</f>
        <v>#REF!</v>
      </c>
      <c r="AD2015" s="69" t="e" cm="1">
        <f t="array" ref="AD2015">_xlfn.XLOOKUP(Table1[[#This Row],[5 cm2 cell test code]:[5 cm2 cell test code]],[1]!Table1[[Test code]:[Test code]],[1]!Table1[HFR DIW/ mOhm cm2],"",0)</f>
        <v>#REF!</v>
      </c>
      <c r="AE2015" s="69" t="e" cm="1">
        <f t="array" ref="AE2015">_xlfn.XLOOKUP(Table1[[#This Row],[5 cm2 cell test code]:[5 cm2 cell test code]],[1]!Table1[[Test code]:[Test code]],[1]!Table1[HFR 10 mM KOH/ mOhm cm2],"",0)</f>
        <v>#REF!</v>
      </c>
      <c r="AF2015" s="69" t="e" cm="1">
        <f t="array" ref="AF2015">_xlfn.XLOOKUP(Table1[[#This Row],[5 cm2 cell test code]:[5 cm2 cell test code]],[1]!Table1[[Test code]:[Test code]],[1]!Table1[Ionic resistance DIW/Ohm cm2],"",0)</f>
        <v>#REF!</v>
      </c>
      <c r="AG2015" s="69" t="e" cm="1">
        <f t="array" ref="AG2015">_xlfn.XLOOKUP(Table1[[#This Row],[5 cm2 cell test code]:[5 cm2 cell test code]],[1]!Table1[[Test code]:[Test code]],[1]!Table1[Q_int_frac DIW],"",0)</f>
        <v>#REF!</v>
      </c>
      <c r="AH2015" s="69" t="e" cm="1">
        <f t="array" ref="AH2015">_xlfn.XLOOKUP(Table1[[#This Row],[5 cm2 cell test code]:[5 cm2 cell test code]],[1]!Table1[[Test code]:[Test code]],[1]!Table1[Ionic resistance 10 mM KOH/Ohm cm2],"",0)</f>
        <v>#REF!</v>
      </c>
      <c r="AI2015" s="69" t="e" cm="1">
        <f t="array" ref="AI2015">_xlfn.XLOOKUP(Table1[[#This Row],[5 cm2 cell test code]:[5 cm2 cell test code]],[1]!Table1[[Test code]:[Test code]],[1]!Table1[Q_int_frac DIW 10 mM KOH],"",0)</f>
        <v>#REF!</v>
      </c>
      <c r="AJ2015" s="69" t="e" cm="1">
        <f t="array" ref="AJ2015">_xlfn.XLOOKUP(Table1[[#This Row],[5 cm2 cell test code]:[5 cm2 cell test code]],[1]!Table1[[Test code]:[Test code]],[1]!Table1[DIW conductivity (µS/cm)],"",0)</f>
        <v>#REF!</v>
      </c>
    </row>
    <row r="2016" spans="1:36">
      <c r="A2016" s="81"/>
      <c r="U2016" s="101"/>
      <c r="V2016" s="101"/>
      <c r="W2016" s="69" t="e" cm="1">
        <f t="array" ref="W2016">_xlfn.XLOOKUP(Table1[[#This Row],[5 cm2 cell test code]:[5 cm2 cell test code]],[1]!Table1[[Test code]:[Test code]],[1]!Table1[i @ 1.8 V DIW (A/cm2)],"",0)</f>
        <v>#REF!</v>
      </c>
      <c r="X2016" s="69" t="e" cm="1">
        <f t="array" ref="X2016">_xlfn.XLOOKUP(Table1[[#This Row],[5 cm2 cell test code]:[5 cm2 cell test code]],[1]!Table1[[Test code]:[Test code]],[1]!Table1[i @ 1.8 V 10 mM KOH (A/cm2)],"",0)</f>
        <v>#REF!</v>
      </c>
      <c r="Y2016" s="69" t="e" cm="1">
        <f t="array" ref="Y2016">_xlfn.XLOOKUP(Table1[[#This Row],[5 cm2 cell test code]:[5 cm2 cell test code]],[1]!Table1[[Test code]:[Test code]],[1]!Table1[3-E ƞ at 20mAcm-2 (mV)],"",0)</f>
        <v>#REF!</v>
      </c>
      <c r="Z2016" s="69" t="e" cm="1">
        <f t="array" ref="Z2016">_xlfn.XLOOKUP(Table1[[#This Row],[5 cm2 cell test code]:[5 cm2 cell test code]],[1]!Table1[[Test code]:[Test code]],[1]!Table1[3-E Tafel slope (mV/dec)],"",0)</f>
        <v>#REF!</v>
      </c>
      <c r="AA2016" s="69" t="e" cm="1">
        <f t="array" ref="AA2016">_xlfn.XLOOKUP(Table1[[#This Row],[5 cm2 cell test code]:[5 cm2 cell test code]],[1]!Table1[[Test code]:[Test code]],[1]!Table1[E @ 100 mA/cm2 DIW/V],"",0)</f>
        <v>#REF!</v>
      </c>
      <c r="AB2016" s="69" t="e" cm="1">
        <f t="array" ref="AB2016">_xlfn.XLOOKUP(Table1[[#This Row],[5 cm2 cell test code]:[5 cm2 cell test code]],[1]!Table1[[Test code]:[Test code]],[1]!Table1[E @ 100 mA/cm2 10 mM KOH/V],"",0)</f>
        <v>#REF!</v>
      </c>
      <c r="AC2016" s="69" t="e" cm="1">
        <f t="array" ref="AC2016">_xlfn.XLOOKUP(Table1[[#This Row],[5 cm2 cell test code]:[5 cm2 cell test code]],[1]!Table1[[Test code]:[Test code]],[1]!Table1[Anode ICR/mOhm],"",0)</f>
        <v>#REF!</v>
      </c>
      <c r="AD2016" s="69" t="e" cm="1">
        <f t="array" ref="AD2016">_xlfn.XLOOKUP(Table1[[#This Row],[5 cm2 cell test code]:[5 cm2 cell test code]],[1]!Table1[[Test code]:[Test code]],[1]!Table1[HFR DIW/ mOhm cm2],"",0)</f>
        <v>#REF!</v>
      </c>
      <c r="AE2016" s="69" t="e" cm="1">
        <f t="array" ref="AE2016">_xlfn.XLOOKUP(Table1[[#This Row],[5 cm2 cell test code]:[5 cm2 cell test code]],[1]!Table1[[Test code]:[Test code]],[1]!Table1[HFR 10 mM KOH/ mOhm cm2],"",0)</f>
        <v>#REF!</v>
      </c>
      <c r="AF2016" s="69" t="e" cm="1">
        <f t="array" ref="AF2016">_xlfn.XLOOKUP(Table1[[#This Row],[5 cm2 cell test code]:[5 cm2 cell test code]],[1]!Table1[[Test code]:[Test code]],[1]!Table1[Ionic resistance DIW/Ohm cm2],"",0)</f>
        <v>#REF!</v>
      </c>
      <c r="AG2016" s="69" t="e" cm="1">
        <f t="array" ref="AG2016">_xlfn.XLOOKUP(Table1[[#This Row],[5 cm2 cell test code]:[5 cm2 cell test code]],[1]!Table1[[Test code]:[Test code]],[1]!Table1[Q_int_frac DIW],"",0)</f>
        <v>#REF!</v>
      </c>
      <c r="AH2016" s="69" t="e" cm="1">
        <f t="array" ref="AH2016">_xlfn.XLOOKUP(Table1[[#This Row],[5 cm2 cell test code]:[5 cm2 cell test code]],[1]!Table1[[Test code]:[Test code]],[1]!Table1[Ionic resistance 10 mM KOH/Ohm cm2],"",0)</f>
        <v>#REF!</v>
      </c>
      <c r="AI2016" s="69" t="e" cm="1">
        <f t="array" ref="AI2016">_xlfn.XLOOKUP(Table1[[#This Row],[5 cm2 cell test code]:[5 cm2 cell test code]],[1]!Table1[[Test code]:[Test code]],[1]!Table1[Q_int_frac DIW 10 mM KOH],"",0)</f>
        <v>#REF!</v>
      </c>
      <c r="AJ2016" s="69" t="e" cm="1">
        <f t="array" ref="AJ2016">_xlfn.XLOOKUP(Table1[[#This Row],[5 cm2 cell test code]:[5 cm2 cell test code]],[1]!Table1[[Test code]:[Test code]],[1]!Table1[DIW conductivity (µS/cm)],"",0)</f>
        <v>#REF!</v>
      </c>
    </row>
    <row r="2017" spans="1:36">
      <c r="A2017" s="81"/>
      <c r="U2017" s="101"/>
      <c r="V2017" s="101"/>
      <c r="W2017" s="69" t="e" cm="1">
        <f t="array" ref="W2017">_xlfn.XLOOKUP(Table1[[#This Row],[5 cm2 cell test code]:[5 cm2 cell test code]],[1]!Table1[[Test code]:[Test code]],[1]!Table1[i @ 1.8 V DIW (A/cm2)],"",0)</f>
        <v>#REF!</v>
      </c>
      <c r="X2017" s="69" t="e" cm="1">
        <f t="array" ref="X2017">_xlfn.XLOOKUP(Table1[[#This Row],[5 cm2 cell test code]:[5 cm2 cell test code]],[1]!Table1[[Test code]:[Test code]],[1]!Table1[i @ 1.8 V 10 mM KOH (A/cm2)],"",0)</f>
        <v>#REF!</v>
      </c>
      <c r="Y2017" s="69" t="e" cm="1">
        <f t="array" ref="Y2017">_xlfn.XLOOKUP(Table1[[#This Row],[5 cm2 cell test code]:[5 cm2 cell test code]],[1]!Table1[[Test code]:[Test code]],[1]!Table1[3-E ƞ at 20mAcm-2 (mV)],"",0)</f>
        <v>#REF!</v>
      </c>
      <c r="Z2017" s="69" t="e" cm="1">
        <f t="array" ref="Z2017">_xlfn.XLOOKUP(Table1[[#This Row],[5 cm2 cell test code]:[5 cm2 cell test code]],[1]!Table1[[Test code]:[Test code]],[1]!Table1[3-E Tafel slope (mV/dec)],"",0)</f>
        <v>#REF!</v>
      </c>
      <c r="AA2017" s="69" t="e" cm="1">
        <f t="array" ref="AA2017">_xlfn.XLOOKUP(Table1[[#This Row],[5 cm2 cell test code]:[5 cm2 cell test code]],[1]!Table1[[Test code]:[Test code]],[1]!Table1[E @ 100 mA/cm2 DIW/V],"",0)</f>
        <v>#REF!</v>
      </c>
      <c r="AB2017" s="69" t="e" cm="1">
        <f t="array" ref="AB2017">_xlfn.XLOOKUP(Table1[[#This Row],[5 cm2 cell test code]:[5 cm2 cell test code]],[1]!Table1[[Test code]:[Test code]],[1]!Table1[E @ 100 mA/cm2 10 mM KOH/V],"",0)</f>
        <v>#REF!</v>
      </c>
      <c r="AC2017" s="69" t="e" cm="1">
        <f t="array" ref="AC2017">_xlfn.XLOOKUP(Table1[[#This Row],[5 cm2 cell test code]:[5 cm2 cell test code]],[1]!Table1[[Test code]:[Test code]],[1]!Table1[Anode ICR/mOhm],"",0)</f>
        <v>#REF!</v>
      </c>
      <c r="AD2017" s="69" t="e" cm="1">
        <f t="array" ref="AD2017">_xlfn.XLOOKUP(Table1[[#This Row],[5 cm2 cell test code]:[5 cm2 cell test code]],[1]!Table1[[Test code]:[Test code]],[1]!Table1[HFR DIW/ mOhm cm2],"",0)</f>
        <v>#REF!</v>
      </c>
      <c r="AE2017" s="69" t="e" cm="1">
        <f t="array" ref="AE2017">_xlfn.XLOOKUP(Table1[[#This Row],[5 cm2 cell test code]:[5 cm2 cell test code]],[1]!Table1[[Test code]:[Test code]],[1]!Table1[HFR 10 mM KOH/ mOhm cm2],"",0)</f>
        <v>#REF!</v>
      </c>
      <c r="AF2017" s="69" t="e" cm="1">
        <f t="array" ref="AF2017">_xlfn.XLOOKUP(Table1[[#This Row],[5 cm2 cell test code]:[5 cm2 cell test code]],[1]!Table1[[Test code]:[Test code]],[1]!Table1[Ionic resistance DIW/Ohm cm2],"",0)</f>
        <v>#REF!</v>
      </c>
      <c r="AG2017" s="69" t="e" cm="1">
        <f t="array" ref="AG2017">_xlfn.XLOOKUP(Table1[[#This Row],[5 cm2 cell test code]:[5 cm2 cell test code]],[1]!Table1[[Test code]:[Test code]],[1]!Table1[Q_int_frac DIW],"",0)</f>
        <v>#REF!</v>
      </c>
      <c r="AH2017" s="69" t="e" cm="1">
        <f t="array" ref="AH2017">_xlfn.XLOOKUP(Table1[[#This Row],[5 cm2 cell test code]:[5 cm2 cell test code]],[1]!Table1[[Test code]:[Test code]],[1]!Table1[Ionic resistance 10 mM KOH/Ohm cm2],"",0)</f>
        <v>#REF!</v>
      </c>
      <c r="AI2017" s="69" t="e" cm="1">
        <f t="array" ref="AI2017">_xlfn.XLOOKUP(Table1[[#This Row],[5 cm2 cell test code]:[5 cm2 cell test code]],[1]!Table1[[Test code]:[Test code]],[1]!Table1[Q_int_frac DIW 10 mM KOH],"",0)</f>
        <v>#REF!</v>
      </c>
      <c r="AJ2017" s="69" t="e" cm="1">
        <f t="array" ref="AJ2017">_xlfn.XLOOKUP(Table1[[#This Row],[5 cm2 cell test code]:[5 cm2 cell test code]],[1]!Table1[[Test code]:[Test code]],[1]!Table1[DIW conductivity (µS/cm)],"",0)</f>
        <v>#REF!</v>
      </c>
    </row>
    <row r="2018" spans="1:36">
      <c r="A2018" s="81"/>
      <c r="U2018" s="101"/>
      <c r="V2018" s="101"/>
      <c r="W2018" s="69" t="e" cm="1">
        <f t="array" ref="W2018">_xlfn.XLOOKUP(Table1[[#This Row],[5 cm2 cell test code]:[5 cm2 cell test code]],[1]!Table1[[Test code]:[Test code]],[1]!Table1[i @ 1.8 V DIW (A/cm2)],"",0)</f>
        <v>#REF!</v>
      </c>
      <c r="X2018" s="69" t="e" cm="1">
        <f t="array" ref="X2018">_xlfn.XLOOKUP(Table1[[#This Row],[5 cm2 cell test code]:[5 cm2 cell test code]],[1]!Table1[[Test code]:[Test code]],[1]!Table1[i @ 1.8 V 10 mM KOH (A/cm2)],"",0)</f>
        <v>#REF!</v>
      </c>
      <c r="Y2018" s="69" t="e" cm="1">
        <f t="array" ref="Y2018">_xlfn.XLOOKUP(Table1[[#This Row],[5 cm2 cell test code]:[5 cm2 cell test code]],[1]!Table1[[Test code]:[Test code]],[1]!Table1[3-E ƞ at 20mAcm-2 (mV)],"",0)</f>
        <v>#REF!</v>
      </c>
      <c r="Z2018" s="69" t="e" cm="1">
        <f t="array" ref="Z2018">_xlfn.XLOOKUP(Table1[[#This Row],[5 cm2 cell test code]:[5 cm2 cell test code]],[1]!Table1[[Test code]:[Test code]],[1]!Table1[3-E Tafel slope (mV/dec)],"",0)</f>
        <v>#REF!</v>
      </c>
      <c r="AA2018" s="69" t="e" cm="1">
        <f t="array" ref="AA2018">_xlfn.XLOOKUP(Table1[[#This Row],[5 cm2 cell test code]:[5 cm2 cell test code]],[1]!Table1[[Test code]:[Test code]],[1]!Table1[E @ 100 mA/cm2 DIW/V],"",0)</f>
        <v>#REF!</v>
      </c>
      <c r="AB2018" s="69" t="e" cm="1">
        <f t="array" ref="AB2018">_xlfn.XLOOKUP(Table1[[#This Row],[5 cm2 cell test code]:[5 cm2 cell test code]],[1]!Table1[[Test code]:[Test code]],[1]!Table1[E @ 100 mA/cm2 10 mM KOH/V],"",0)</f>
        <v>#REF!</v>
      </c>
      <c r="AC2018" s="69" t="e" cm="1">
        <f t="array" ref="AC2018">_xlfn.XLOOKUP(Table1[[#This Row],[5 cm2 cell test code]:[5 cm2 cell test code]],[1]!Table1[[Test code]:[Test code]],[1]!Table1[Anode ICR/mOhm],"",0)</f>
        <v>#REF!</v>
      </c>
      <c r="AD2018" s="69" t="e" cm="1">
        <f t="array" ref="AD2018">_xlfn.XLOOKUP(Table1[[#This Row],[5 cm2 cell test code]:[5 cm2 cell test code]],[1]!Table1[[Test code]:[Test code]],[1]!Table1[HFR DIW/ mOhm cm2],"",0)</f>
        <v>#REF!</v>
      </c>
      <c r="AE2018" s="69" t="e" cm="1">
        <f t="array" ref="AE2018">_xlfn.XLOOKUP(Table1[[#This Row],[5 cm2 cell test code]:[5 cm2 cell test code]],[1]!Table1[[Test code]:[Test code]],[1]!Table1[HFR 10 mM KOH/ mOhm cm2],"",0)</f>
        <v>#REF!</v>
      </c>
      <c r="AF2018" s="69" t="e" cm="1">
        <f t="array" ref="AF2018">_xlfn.XLOOKUP(Table1[[#This Row],[5 cm2 cell test code]:[5 cm2 cell test code]],[1]!Table1[[Test code]:[Test code]],[1]!Table1[Ionic resistance DIW/Ohm cm2],"",0)</f>
        <v>#REF!</v>
      </c>
      <c r="AG2018" s="69" t="e" cm="1">
        <f t="array" ref="AG2018">_xlfn.XLOOKUP(Table1[[#This Row],[5 cm2 cell test code]:[5 cm2 cell test code]],[1]!Table1[[Test code]:[Test code]],[1]!Table1[Q_int_frac DIW],"",0)</f>
        <v>#REF!</v>
      </c>
      <c r="AH2018" s="69" t="e" cm="1">
        <f t="array" ref="AH2018">_xlfn.XLOOKUP(Table1[[#This Row],[5 cm2 cell test code]:[5 cm2 cell test code]],[1]!Table1[[Test code]:[Test code]],[1]!Table1[Ionic resistance 10 mM KOH/Ohm cm2],"",0)</f>
        <v>#REF!</v>
      </c>
      <c r="AI2018" s="69" t="e" cm="1">
        <f t="array" ref="AI2018">_xlfn.XLOOKUP(Table1[[#This Row],[5 cm2 cell test code]:[5 cm2 cell test code]],[1]!Table1[[Test code]:[Test code]],[1]!Table1[Q_int_frac DIW 10 mM KOH],"",0)</f>
        <v>#REF!</v>
      </c>
      <c r="AJ2018" s="69" t="e" cm="1">
        <f t="array" ref="AJ2018">_xlfn.XLOOKUP(Table1[[#This Row],[5 cm2 cell test code]:[5 cm2 cell test code]],[1]!Table1[[Test code]:[Test code]],[1]!Table1[DIW conductivity (µS/cm)],"",0)</f>
        <v>#REF!</v>
      </c>
    </row>
    <row r="2019" spans="1:36">
      <c r="A2019" s="81"/>
      <c r="U2019" s="101"/>
      <c r="V2019" s="101"/>
      <c r="W2019" s="69" t="e" cm="1">
        <f t="array" ref="W2019">_xlfn.XLOOKUP(Table1[[#This Row],[5 cm2 cell test code]:[5 cm2 cell test code]],[1]!Table1[[Test code]:[Test code]],[1]!Table1[i @ 1.8 V DIW (A/cm2)],"",0)</f>
        <v>#REF!</v>
      </c>
      <c r="X2019" s="69" t="e" cm="1">
        <f t="array" ref="X2019">_xlfn.XLOOKUP(Table1[[#This Row],[5 cm2 cell test code]:[5 cm2 cell test code]],[1]!Table1[[Test code]:[Test code]],[1]!Table1[i @ 1.8 V 10 mM KOH (A/cm2)],"",0)</f>
        <v>#REF!</v>
      </c>
      <c r="Y2019" s="69" t="e" cm="1">
        <f t="array" ref="Y2019">_xlfn.XLOOKUP(Table1[[#This Row],[5 cm2 cell test code]:[5 cm2 cell test code]],[1]!Table1[[Test code]:[Test code]],[1]!Table1[3-E ƞ at 20mAcm-2 (mV)],"",0)</f>
        <v>#REF!</v>
      </c>
      <c r="Z2019" s="69" t="e" cm="1">
        <f t="array" ref="Z2019">_xlfn.XLOOKUP(Table1[[#This Row],[5 cm2 cell test code]:[5 cm2 cell test code]],[1]!Table1[[Test code]:[Test code]],[1]!Table1[3-E Tafel slope (mV/dec)],"",0)</f>
        <v>#REF!</v>
      </c>
      <c r="AA2019" s="69" t="e" cm="1">
        <f t="array" ref="AA2019">_xlfn.XLOOKUP(Table1[[#This Row],[5 cm2 cell test code]:[5 cm2 cell test code]],[1]!Table1[[Test code]:[Test code]],[1]!Table1[E @ 100 mA/cm2 DIW/V],"",0)</f>
        <v>#REF!</v>
      </c>
      <c r="AB2019" s="69" t="e" cm="1">
        <f t="array" ref="AB2019">_xlfn.XLOOKUP(Table1[[#This Row],[5 cm2 cell test code]:[5 cm2 cell test code]],[1]!Table1[[Test code]:[Test code]],[1]!Table1[E @ 100 mA/cm2 10 mM KOH/V],"",0)</f>
        <v>#REF!</v>
      </c>
      <c r="AC2019" s="69" t="e" cm="1">
        <f t="array" ref="AC2019">_xlfn.XLOOKUP(Table1[[#This Row],[5 cm2 cell test code]:[5 cm2 cell test code]],[1]!Table1[[Test code]:[Test code]],[1]!Table1[Anode ICR/mOhm],"",0)</f>
        <v>#REF!</v>
      </c>
      <c r="AD2019" s="69" t="e" cm="1">
        <f t="array" ref="AD2019">_xlfn.XLOOKUP(Table1[[#This Row],[5 cm2 cell test code]:[5 cm2 cell test code]],[1]!Table1[[Test code]:[Test code]],[1]!Table1[HFR DIW/ mOhm cm2],"",0)</f>
        <v>#REF!</v>
      </c>
      <c r="AE2019" s="69" t="e" cm="1">
        <f t="array" ref="AE2019">_xlfn.XLOOKUP(Table1[[#This Row],[5 cm2 cell test code]:[5 cm2 cell test code]],[1]!Table1[[Test code]:[Test code]],[1]!Table1[HFR 10 mM KOH/ mOhm cm2],"",0)</f>
        <v>#REF!</v>
      </c>
      <c r="AF2019" s="69" t="e" cm="1">
        <f t="array" ref="AF2019">_xlfn.XLOOKUP(Table1[[#This Row],[5 cm2 cell test code]:[5 cm2 cell test code]],[1]!Table1[[Test code]:[Test code]],[1]!Table1[Ionic resistance DIW/Ohm cm2],"",0)</f>
        <v>#REF!</v>
      </c>
      <c r="AG2019" s="69" t="e" cm="1">
        <f t="array" ref="AG2019">_xlfn.XLOOKUP(Table1[[#This Row],[5 cm2 cell test code]:[5 cm2 cell test code]],[1]!Table1[[Test code]:[Test code]],[1]!Table1[Q_int_frac DIW],"",0)</f>
        <v>#REF!</v>
      </c>
      <c r="AH2019" s="69" t="e" cm="1">
        <f t="array" ref="AH2019">_xlfn.XLOOKUP(Table1[[#This Row],[5 cm2 cell test code]:[5 cm2 cell test code]],[1]!Table1[[Test code]:[Test code]],[1]!Table1[Ionic resistance 10 mM KOH/Ohm cm2],"",0)</f>
        <v>#REF!</v>
      </c>
      <c r="AI2019" s="69" t="e" cm="1">
        <f t="array" ref="AI2019">_xlfn.XLOOKUP(Table1[[#This Row],[5 cm2 cell test code]:[5 cm2 cell test code]],[1]!Table1[[Test code]:[Test code]],[1]!Table1[Q_int_frac DIW 10 mM KOH],"",0)</f>
        <v>#REF!</v>
      </c>
      <c r="AJ2019" s="69" t="e" cm="1">
        <f t="array" ref="AJ2019">_xlfn.XLOOKUP(Table1[[#This Row],[5 cm2 cell test code]:[5 cm2 cell test code]],[1]!Table1[[Test code]:[Test code]],[1]!Table1[DIW conductivity (µS/cm)],"",0)</f>
        <v>#REF!</v>
      </c>
    </row>
    <row r="2020" spans="1:36">
      <c r="A2020" s="81"/>
      <c r="U2020" s="101"/>
      <c r="V2020" s="101"/>
      <c r="W2020" s="69" t="e" cm="1">
        <f t="array" ref="W2020">_xlfn.XLOOKUP(Table1[[#This Row],[5 cm2 cell test code]:[5 cm2 cell test code]],[1]!Table1[[Test code]:[Test code]],[1]!Table1[i @ 1.8 V DIW (A/cm2)],"",0)</f>
        <v>#REF!</v>
      </c>
      <c r="X2020" s="69" t="e" cm="1">
        <f t="array" ref="X2020">_xlfn.XLOOKUP(Table1[[#This Row],[5 cm2 cell test code]:[5 cm2 cell test code]],[1]!Table1[[Test code]:[Test code]],[1]!Table1[i @ 1.8 V 10 mM KOH (A/cm2)],"",0)</f>
        <v>#REF!</v>
      </c>
      <c r="Y2020" s="69" t="e" cm="1">
        <f t="array" ref="Y2020">_xlfn.XLOOKUP(Table1[[#This Row],[5 cm2 cell test code]:[5 cm2 cell test code]],[1]!Table1[[Test code]:[Test code]],[1]!Table1[3-E ƞ at 20mAcm-2 (mV)],"",0)</f>
        <v>#REF!</v>
      </c>
      <c r="Z2020" s="69" t="e" cm="1">
        <f t="array" ref="Z2020">_xlfn.XLOOKUP(Table1[[#This Row],[5 cm2 cell test code]:[5 cm2 cell test code]],[1]!Table1[[Test code]:[Test code]],[1]!Table1[3-E Tafel slope (mV/dec)],"",0)</f>
        <v>#REF!</v>
      </c>
      <c r="AA2020" s="69" t="e" cm="1">
        <f t="array" ref="AA2020">_xlfn.XLOOKUP(Table1[[#This Row],[5 cm2 cell test code]:[5 cm2 cell test code]],[1]!Table1[[Test code]:[Test code]],[1]!Table1[E @ 100 mA/cm2 DIW/V],"",0)</f>
        <v>#REF!</v>
      </c>
      <c r="AB2020" s="69" t="e" cm="1">
        <f t="array" ref="AB2020">_xlfn.XLOOKUP(Table1[[#This Row],[5 cm2 cell test code]:[5 cm2 cell test code]],[1]!Table1[[Test code]:[Test code]],[1]!Table1[E @ 100 mA/cm2 10 mM KOH/V],"",0)</f>
        <v>#REF!</v>
      </c>
      <c r="AC2020" s="69" t="e" cm="1">
        <f t="array" ref="AC2020">_xlfn.XLOOKUP(Table1[[#This Row],[5 cm2 cell test code]:[5 cm2 cell test code]],[1]!Table1[[Test code]:[Test code]],[1]!Table1[Anode ICR/mOhm],"",0)</f>
        <v>#REF!</v>
      </c>
      <c r="AD2020" s="69" t="e" cm="1">
        <f t="array" ref="AD2020">_xlfn.XLOOKUP(Table1[[#This Row],[5 cm2 cell test code]:[5 cm2 cell test code]],[1]!Table1[[Test code]:[Test code]],[1]!Table1[HFR DIW/ mOhm cm2],"",0)</f>
        <v>#REF!</v>
      </c>
      <c r="AE2020" s="69" t="e" cm="1">
        <f t="array" ref="AE2020">_xlfn.XLOOKUP(Table1[[#This Row],[5 cm2 cell test code]:[5 cm2 cell test code]],[1]!Table1[[Test code]:[Test code]],[1]!Table1[HFR 10 mM KOH/ mOhm cm2],"",0)</f>
        <v>#REF!</v>
      </c>
      <c r="AF2020" s="69" t="e" cm="1">
        <f t="array" ref="AF2020">_xlfn.XLOOKUP(Table1[[#This Row],[5 cm2 cell test code]:[5 cm2 cell test code]],[1]!Table1[[Test code]:[Test code]],[1]!Table1[Ionic resistance DIW/Ohm cm2],"",0)</f>
        <v>#REF!</v>
      </c>
      <c r="AG2020" s="69" t="e" cm="1">
        <f t="array" ref="AG2020">_xlfn.XLOOKUP(Table1[[#This Row],[5 cm2 cell test code]:[5 cm2 cell test code]],[1]!Table1[[Test code]:[Test code]],[1]!Table1[Q_int_frac DIW],"",0)</f>
        <v>#REF!</v>
      </c>
      <c r="AH2020" s="69" t="e" cm="1">
        <f t="array" ref="AH2020">_xlfn.XLOOKUP(Table1[[#This Row],[5 cm2 cell test code]:[5 cm2 cell test code]],[1]!Table1[[Test code]:[Test code]],[1]!Table1[Ionic resistance 10 mM KOH/Ohm cm2],"",0)</f>
        <v>#REF!</v>
      </c>
      <c r="AI2020" s="69" t="e" cm="1">
        <f t="array" ref="AI2020">_xlfn.XLOOKUP(Table1[[#This Row],[5 cm2 cell test code]:[5 cm2 cell test code]],[1]!Table1[[Test code]:[Test code]],[1]!Table1[Q_int_frac DIW 10 mM KOH],"",0)</f>
        <v>#REF!</v>
      </c>
      <c r="AJ2020" s="69" t="e" cm="1">
        <f t="array" ref="AJ2020">_xlfn.XLOOKUP(Table1[[#This Row],[5 cm2 cell test code]:[5 cm2 cell test code]],[1]!Table1[[Test code]:[Test code]],[1]!Table1[DIW conductivity (µS/cm)],"",0)</f>
        <v>#REF!</v>
      </c>
    </row>
    <row r="2021" spans="1:36">
      <c r="A2021" s="81"/>
      <c r="U2021" s="101"/>
      <c r="V2021" s="101"/>
      <c r="W2021" s="69" t="e" cm="1">
        <f t="array" ref="W2021">_xlfn.XLOOKUP(Table1[[#This Row],[5 cm2 cell test code]:[5 cm2 cell test code]],[1]!Table1[[Test code]:[Test code]],[1]!Table1[i @ 1.8 V DIW (A/cm2)],"",0)</f>
        <v>#REF!</v>
      </c>
      <c r="X2021" s="69" t="e" cm="1">
        <f t="array" ref="X2021">_xlfn.XLOOKUP(Table1[[#This Row],[5 cm2 cell test code]:[5 cm2 cell test code]],[1]!Table1[[Test code]:[Test code]],[1]!Table1[i @ 1.8 V 10 mM KOH (A/cm2)],"",0)</f>
        <v>#REF!</v>
      </c>
      <c r="Y2021" s="69" t="e" cm="1">
        <f t="array" ref="Y2021">_xlfn.XLOOKUP(Table1[[#This Row],[5 cm2 cell test code]:[5 cm2 cell test code]],[1]!Table1[[Test code]:[Test code]],[1]!Table1[3-E ƞ at 20mAcm-2 (mV)],"",0)</f>
        <v>#REF!</v>
      </c>
      <c r="Z2021" s="69" t="e" cm="1">
        <f t="array" ref="Z2021">_xlfn.XLOOKUP(Table1[[#This Row],[5 cm2 cell test code]:[5 cm2 cell test code]],[1]!Table1[[Test code]:[Test code]],[1]!Table1[3-E Tafel slope (mV/dec)],"",0)</f>
        <v>#REF!</v>
      </c>
      <c r="AA2021" s="69" t="e" cm="1">
        <f t="array" ref="AA2021">_xlfn.XLOOKUP(Table1[[#This Row],[5 cm2 cell test code]:[5 cm2 cell test code]],[1]!Table1[[Test code]:[Test code]],[1]!Table1[E @ 100 mA/cm2 DIW/V],"",0)</f>
        <v>#REF!</v>
      </c>
      <c r="AB2021" s="69" t="e" cm="1">
        <f t="array" ref="AB2021">_xlfn.XLOOKUP(Table1[[#This Row],[5 cm2 cell test code]:[5 cm2 cell test code]],[1]!Table1[[Test code]:[Test code]],[1]!Table1[E @ 100 mA/cm2 10 mM KOH/V],"",0)</f>
        <v>#REF!</v>
      </c>
      <c r="AC2021" s="69" t="e" cm="1">
        <f t="array" ref="AC2021">_xlfn.XLOOKUP(Table1[[#This Row],[5 cm2 cell test code]:[5 cm2 cell test code]],[1]!Table1[[Test code]:[Test code]],[1]!Table1[Anode ICR/mOhm],"",0)</f>
        <v>#REF!</v>
      </c>
      <c r="AD2021" s="69" t="e" cm="1">
        <f t="array" ref="AD2021">_xlfn.XLOOKUP(Table1[[#This Row],[5 cm2 cell test code]:[5 cm2 cell test code]],[1]!Table1[[Test code]:[Test code]],[1]!Table1[HFR DIW/ mOhm cm2],"",0)</f>
        <v>#REF!</v>
      </c>
      <c r="AE2021" s="69" t="e" cm="1">
        <f t="array" ref="AE2021">_xlfn.XLOOKUP(Table1[[#This Row],[5 cm2 cell test code]:[5 cm2 cell test code]],[1]!Table1[[Test code]:[Test code]],[1]!Table1[HFR 10 mM KOH/ mOhm cm2],"",0)</f>
        <v>#REF!</v>
      </c>
      <c r="AF2021" s="69" t="e" cm="1">
        <f t="array" ref="AF2021">_xlfn.XLOOKUP(Table1[[#This Row],[5 cm2 cell test code]:[5 cm2 cell test code]],[1]!Table1[[Test code]:[Test code]],[1]!Table1[Ionic resistance DIW/Ohm cm2],"",0)</f>
        <v>#REF!</v>
      </c>
      <c r="AG2021" s="69" t="e" cm="1">
        <f t="array" ref="AG2021">_xlfn.XLOOKUP(Table1[[#This Row],[5 cm2 cell test code]:[5 cm2 cell test code]],[1]!Table1[[Test code]:[Test code]],[1]!Table1[Q_int_frac DIW],"",0)</f>
        <v>#REF!</v>
      </c>
      <c r="AH2021" s="69" t="e" cm="1">
        <f t="array" ref="AH2021">_xlfn.XLOOKUP(Table1[[#This Row],[5 cm2 cell test code]:[5 cm2 cell test code]],[1]!Table1[[Test code]:[Test code]],[1]!Table1[Ionic resistance 10 mM KOH/Ohm cm2],"",0)</f>
        <v>#REF!</v>
      </c>
      <c r="AI2021" s="69" t="e" cm="1">
        <f t="array" ref="AI2021">_xlfn.XLOOKUP(Table1[[#This Row],[5 cm2 cell test code]:[5 cm2 cell test code]],[1]!Table1[[Test code]:[Test code]],[1]!Table1[Q_int_frac DIW 10 mM KOH],"",0)</f>
        <v>#REF!</v>
      </c>
      <c r="AJ2021" s="69" t="e" cm="1">
        <f t="array" ref="AJ2021">_xlfn.XLOOKUP(Table1[[#This Row],[5 cm2 cell test code]:[5 cm2 cell test code]],[1]!Table1[[Test code]:[Test code]],[1]!Table1[DIW conductivity (µS/cm)],"",0)</f>
        <v>#REF!</v>
      </c>
    </row>
    <row r="2022" spans="1:36">
      <c r="A2022" s="81"/>
      <c r="U2022" s="101"/>
      <c r="V2022" s="101"/>
      <c r="W2022" s="69" t="e" cm="1">
        <f t="array" ref="W2022">_xlfn.XLOOKUP(Table1[[#This Row],[5 cm2 cell test code]:[5 cm2 cell test code]],[1]!Table1[[Test code]:[Test code]],[1]!Table1[i @ 1.8 V DIW (A/cm2)],"",0)</f>
        <v>#REF!</v>
      </c>
      <c r="X2022" s="69" t="e" cm="1">
        <f t="array" ref="X2022">_xlfn.XLOOKUP(Table1[[#This Row],[5 cm2 cell test code]:[5 cm2 cell test code]],[1]!Table1[[Test code]:[Test code]],[1]!Table1[i @ 1.8 V 10 mM KOH (A/cm2)],"",0)</f>
        <v>#REF!</v>
      </c>
      <c r="Y2022" s="69" t="e" cm="1">
        <f t="array" ref="Y2022">_xlfn.XLOOKUP(Table1[[#This Row],[5 cm2 cell test code]:[5 cm2 cell test code]],[1]!Table1[[Test code]:[Test code]],[1]!Table1[3-E ƞ at 20mAcm-2 (mV)],"",0)</f>
        <v>#REF!</v>
      </c>
      <c r="Z2022" s="69" t="e" cm="1">
        <f t="array" ref="Z2022">_xlfn.XLOOKUP(Table1[[#This Row],[5 cm2 cell test code]:[5 cm2 cell test code]],[1]!Table1[[Test code]:[Test code]],[1]!Table1[3-E Tafel slope (mV/dec)],"",0)</f>
        <v>#REF!</v>
      </c>
      <c r="AA2022" s="69" t="e" cm="1">
        <f t="array" ref="AA2022">_xlfn.XLOOKUP(Table1[[#This Row],[5 cm2 cell test code]:[5 cm2 cell test code]],[1]!Table1[[Test code]:[Test code]],[1]!Table1[E @ 100 mA/cm2 DIW/V],"",0)</f>
        <v>#REF!</v>
      </c>
      <c r="AB2022" s="69" t="e" cm="1">
        <f t="array" ref="AB2022">_xlfn.XLOOKUP(Table1[[#This Row],[5 cm2 cell test code]:[5 cm2 cell test code]],[1]!Table1[[Test code]:[Test code]],[1]!Table1[E @ 100 mA/cm2 10 mM KOH/V],"",0)</f>
        <v>#REF!</v>
      </c>
      <c r="AC2022" s="69" t="e" cm="1">
        <f t="array" ref="AC2022">_xlfn.XLOOKUP(Table1[[#This Row],[5 cm2 cell test code]:[5 cm2 cell test code]],[1]!Table1[[Test code]:[Test code]],[1]!Table1[Anode ICR/mOhm],"",0)</f>
        <v>#REF!</v>
      </c>
      <c r="AD2022" s="69" t="e" cm="1">
        <f t="array" ref="AD2022">_xlfn.XLOOKUP(Table1[[#This Row],[5 cm2 cell test code]:[5 cm2 cell test code]],[1]!Table1[[Test code]:[Test code]],[1]!Table1[HFR DIW/ mOhm cm2],"",0)</f>
        <v>#REF!</v>
      </c>
      <c r="AE2022" s="69" t="e" cm="1">
        <f t="array" ref="AE2022">_xlfn.XLOOKUP(Table1[[#This Row],[5 cm2 cell test code]:[5 cm2 cell test code]],[1]!Table1[[Test code]:[Test code]],[1]!Table1[HFR 10 mM KOH/ mOhm cm2],"",0)</f>
        <v>#REF!</v>
      </c>
      <c r="AF2022" s="69" t="e" cm="1">
        <f t="array" ref="AF2022">_xlfn.XLOOKUP(Table1[[#This Row],[5 cm2 cell test code]:[5 cm2 cell test code]],[1]!Table1[[Test code]:[Test code]],[1]!Table1[Ionic resistance DIW/Ohm cm2],"",0)</f>
        <v>#REF!</v>
      </c>
      <c r="AG2022" s="69" t="e" cm="1">
        <f t="array" ref="AG2022">_xlfn.XLOOKUP(Table1[[#This Row],[5 cm2 cell test code]:[5 cm2 cell test code]],[1]!Table1[[Test code]:[Test code]],[1]!Table1[Q_int_frac DIW],"",0)</f>
        <v>#REF!</v>
      </c>
      <c r="AH2022" s="69" t="e" cm="1">
        <f t="array" ref="AH2022">_xlfn.XLOOKUP(Table1[[#This Row],[5 cm2 cell test code]:[5 cm2 cell test code]],[1]!Table1[[Test code]:[Test code]],[1]!Table1[Ionic resistance 10 mM KOH/Ohm cm2],"",0)</f>
        <v>#REF!</v>
      </c>
      <c r="AI2022" s="69" t="e" cm="1">
        <f t="array" ref="AI2022">_xlfn.XLOOKUP(Table1[[#This Row],[5 cm2 cell test code]:[5 cm2 cell test code]],[1]!Table1[[Test code]:[Test code]],[1]!Table1[Q_int_frac DIW 10 mM KOH],"",0)</f>
        <v>#REF!</v>
      </c>
      <c r="AJ2022" s="69" t="e" cm="1">
        <f t="array" ref="AJ2022">_xlfn.XLOOKUP(Table1[[#This Row],[5 cm2 cell test code]:[5 cm2 cell test code]],[1]!Table1[[Test code]:[Test code]],[1]!Table1[DIW conductivity (µS/cm)],"",0)</f>
        <v>#REF!</v>
      </c>
    </row>
    <row r="2023" spans="1:36">
      <c r="A2023" s="81"/>
      <c r="U2023" s="101"/>
      <c r="V2023" s="101"/>
      <c r="W2023" s="69" t="e" cm="1">
        <f t="array" ref="W2023">_xlfn.XLOOKUP(Table1[[#This Row],[5 cm2 cell test code]:[5 cm2 cell test code]],[1]!Table1[[Test code]:[Test code]],[1]!Table1[i @ 1.8 V DIW (A/cm2)],"",0)</f>
        <v>#REF!</v>
      </c>
      <c r="X2023" s="69" t="e" cm="1">
        <f t="array" ref="X2023">_xlfn.XLOOKUP(Table1[[#This Row],[5 cm2 cell test code]:[5 cm2 cell test code]],[1]!Table1[[Test code]:[Test code]],[1]!Table1[i @ 1.8 V 10 mM KOH (A/cm2)],"",0)</f>
        <v>#REF!</v>
      </c>
      <c r="Y2023" s="69" t="e" cm="1">
        <f t="array" ref="Y2023">_xlfn.XLOOKUP(Table1[[#This Row],[5 cm2 cell test code]:[5 cm2 cell test code]],[1]!Table1[[Test code]:[Test code]],[1]!Table1[3-E ƞ at 20mAcm-2 (mV)],"",0)</f>
        <v>#REF!</v>
      </c>
      <c r="Z2023" s="69" t="e" cm="1">
        <f t="array" ref="Z2023">_xlfn.XLOOKUP(Table1[[#This Row],[5 cm2 cell test code]:[5 cm2 cell test code]],[1]!Table1[[Test code]:[Test code]],[1]!Table1[3-E Tafel slope (mV/dec)],"",0)</f>
        <v>#REF!</v>
      </c>
      <c r="AA2023" s="69" t="e" cm="1">
        <f t="array" ref="AA2023">_xlfn.XLOOKUP(Table1[[#This Row],[5 cm2 cell test code]:[5 cm2 cell test code]],[1]!Table1[[Test code]:[Test code]],[1]!Table1[E @ 100 mA/cm2 DIW/V],"",0)</f>
        <v>#REF!</v>
      </c>
      <c r="AB2023" s="69" t="e" cm="1">
        <f t="array" ref="AB2023">_xlfn.XLOOKUP(Table1[[#This Row],[5 cm2 cell test code]:[5 cm2 cell test code]],[1]!Table1[[Test code]:[Test code]],[1]!Table1[E @ 100 mA/cm2 10 mM KOH/V],"",0)</f>
        <v>#REF!</v>
      </c>
      <c r="AC2023" s="69" t="e" cm="1">
        <f t="array" ref="AC2023">_xlfn.XLOOKUP(Table1[[#This Row],[5 cm2 cell test code]:[5 cm2 cell test code]],[1]!Table1[[Test code]:[Test code]],[1]!Table1[Anode ICR/mOhm],"",0)</f>
        <v>#REF!</v>
      </c>
      <c r="AD2023" s="69" t="e" cm="1">
        <f t="array" ref="AD2023">_xlfn.XLOOKUP(Table1[[#This Row],[5 cm2 cell test code]:[5 cm2 cell test code]],[1]!Table1[[Test code]:[Test code]],[1]!Table1[HFR DIW/ mOhm cm2],"",0)</f>
        <v>#REF!</v>
      </c>
      <c r="AE2023" s="69" t="e" cm="1">
        <f t="array" ref="AE2023">_xlfn.XLOOKUP(Table1[[#This Row],[5 cm2 cell test code]:[5 cm2 cell test code]],[1]!Table1[[Test code]:[Test code]],[1]!Table1[HFR 10 mM KOH/ mOhm cm2],"",0)</f>
        <v>#REF!</v>
      </c>
      <c r="AF2023" s="69" t="e" cm="1">
        <f t="array" ref="AF2023">_xlfn.XLOOKUP(Table1[[#This Row],[5 cm2 cell test code]:[5 cm2 cell test code]],[1]!Table1[[Test code]:[Test code]],[1]!Table1[Ionic resistance DIW/Ohm cm2],"",0)</f>
        <v>#REF!</v>
      </c>
      <c r="AG2023" s="69" t="e" cm="1">
        <f t="array" ref="AG2023">_xlfn.XLOOKUP(Table1[[#This Row],[5 cm2 cell test code]:[5 cm2 cell test code]],[1]!Table1[[Test code]:[Test code]],[1]!Table1[Q_int_frac DIW],"",0)</f>
        <v>#REF!</v>
      </c>
      <c r="AH2023" s="69" t="e" cm="1">
        <f t="array" ref="AH2023">_xlfn.XLOOKUP(Table1[[#This Row],[5 cm2 cell test code]:[5 cm2 cell test code]],[1]!Table1[[Test code]:[Test code]],[1]!Table1[Ionic resistance 10 mM KOH/Ohm cm2],"",0)</f>
        <v>#REF!</v>
      </c>
      <c r="AI2023" s="69" t="e" cm="1">
        <f t="array" ref="AI2023">_xlfn.XLOOKUP(Table1[[#This Row],[5 cm2 cell test code]:[5 cm2 cell test code]],[1]!Table1[[Test code]:[Test code]],[1]!Table1[Q_int_frac DIW 10 mM KOH],"",0)</f>
        <v>#REF!</v>
      </c>
      <c r="AJ2023" s="69" t="e" cm="1">
        <f t="array" ref="AJ2023">_xlfn.XLOOKUP(Table1[[#This Row],[5 cm2 cell test code]:[5 cm2 cell test code]],[1]!Table1[[Test code]:[Test code]],[1]!Table1[DIW conductivity (µS/cm)],"",0)</f>
        <v>#REF!</v>
      </c>
    </row>
    <row r="2024" spans="1:36">
      <c r="A2024" s="81"/>
      <c r="U2024" s="101"/>
      <c r="V2024" s="101"/>
      <c r="W2024" s="69" t="e" cm="1">
        <f t="array" ref="W2024">_xlfn.XLOOKUP(Table1[[#This Row],[5 cm2 cell test code]:[5 cm2 cell test code]],[1]!Table1[[Test code]:[Test code]],[1]!Table1[i @ 1.8 V DIW (A/cm2)],"",0)</f>
        <v>#REF!</v>
      </c>
      <c r="X2024" s="69" t="e" cm="1">
        <f t="array" ref="X2024">_xlfn.XLOOKUP(Table1[[#This Row],[5 cm2 cell test code]:[5 cm2 cell test code]],[1]!Table1[[Test code]:[Test code]],[1]!Table1[i @ 1.8 V 10 mM KOH (A/cm2)],"",0)</f>
        <v>#REF!</v>
      </c>
      <c r="Y2024" s="69" t="e" cm="1">
        <f t="array" ref="Y2024">_xlfn.XLOOKUP(Table1[[#This Row],[5 cm2 cell test code]:[5 cm2 cell test code]],[1]!Table1[[Test code]:[Test code]],[1]!Table1[3-E ƞ at 20mAcm-2 (mV)],"",0)</f>
        <v>#REF!</v>
      </c>
      <c r="Z2024" s="69" t="e" cm="1">
        <f t="array" ref="Z2024">_xlfn.XLOOKUP(Table1[[#This Row],[5 cm2 cell test code]:[5 cm2 cell test code]],[1]!Table1[[Test code]:[Test code]],[1]!Table1[3-E Tafel slope (mV/dec)],"",0)</f>
        <v>#REF!</v>
      </c>
      <c r="AA2024" s="69" t="e" cm="1">
        <f t="array" ref="AA2024">_xlfn.XLOOKUP(Table1[[#This Row],[5 cm2 cell test code]:[5 cm2 cell test code]],[1]!Table1[[Test code]:[Test code]],[1]!Table1[E @ 100 mA/cm2 DIW/V],"",0)</f>
        <v>#REF!</v>
      </c>
      <c r="AB2024" s="69" t="e" cm="1">
        <f t="array" ref="AB2024">_xlfn.XLOOKUP(Table1[[#This Row],[5 cm2 cell test code]:[5 cm2 cell test code]],[1]!Table1[[Test code]:[Test code]],[1]!Table1[E @ 100 mA/cm2 10 mM KOH/V],"",0)</f>
        <v>#REF!</v>
      </c>
      <c r="AC2024" s="69" t="e" cm="1">
        <f t="array" ref="AC2024">_xlfn.XLOOKUP(Table1[[#This Row],[5 cm2 cell test code]:[5 cm2 cell test code]],[1]!Table1[[Test code]:[Test code]],[1]!Table1[Anode ICR/mOhm],"",0)</f>
        <v>#REF!</v>
      </c>
      <c r="AD2024" s="69" t="e" cm="1">
        <f t="array" ref="AD2024">_xlfn.XLOOKUP(Table1[[#This Row],[5 cm2 cell test code]:[5 cm2 cell test code]],[1]!Table1[[Test code]:[Test code]],[1]!Table1[HFR DIW/ mOhm cm2],"",0)</f>
        <v>#REF!</v>
      </c>
      <c r="AE2024" s="69" t="e" cm="1">
        <f t="array" ref="AE2024">_xlfn.XLOOKUP(Table1[[#This Row],[5 cm2 cell test code]:[5 cm2 cell test code]],[1]!Table1[[Test code]:[Test code]],[1]!Table1[HFR 10 mM KOH/ mOhm cm2],"",0)</f>
        <v>#REF!</v>
      </c>
      <c r="AF2024" s="69" t="e" cm="1">
        <f t="array" ref="AF2024">_xlfn.XLOOKUP(Table1[[#This Row],[5 cm2 cell test code]:[5 cm2 cell test code]],[1]!Table1[[Test code]:[Test code]],[1]!Table1[Ionic resistance DIW/Ohm cm2],"",0)</f>
        <v>#REF!</v>
      </c>
      <c r="AG2024" s="69" t="e" cm="1">
        <f t="array" ref="AG2024">_xlfn.XLOOKUP(Table1[[#This Row],[5 cm2 cell test code]:[5 cm2 cell test code]],[1]!Table1[[Test code]:[Test code]],[1]!Table1[Q_int_frac DIW],"",0)</f>
        <v>#REF!</v>
      </c>
      <c r="AH2024" s="69" t="e" cm="1">
        <f t="array" ref="AH2024">_xlfn.XLOOKUP(Table1[[#This Row],[5 cm2 cell test code]:[5 cm2 cell test code]],[1]!Table1[[Test code]:[Test code]],[1]!Table1[Ionic resistance 10 mM KOH/Ohm cm2],"",0)</f>
        <v>#REF!</v>
      </c>
      <c r="AI2024" s="69" t="e" cm="1">
        <f t="array" ref="AI2024">_xlfn.XLOOKUP(Table1[[#This Row],[5 cm2 cell test code]:[5 cm2 cell test code]],[1]!Table1[[Test code]:[Test code]],[1]!Table1[Q_int_frac DIW 10 mM KOH],"",0)</f>
        <v>#REF!</v>
      </c>
      <c r="AJ2024" s="69" t="e" cm="1">
        <f t="array" ref="AJ2024">_xlfn.XLOOKUP(Table1[[#This Row],[5 cm2 cell test code]:[5 cm2 cell test code]],[1]!Table1[[Test code]:[Test code]],[1]!Table1[DIW conductivity (µS/cm)],"",0)</f>
        <v>#REF!</v>
      </c>
    </row>
    <row r="2025" spans="1:36">
      <c r="A2025" s="81"/>
      <c r="U2025" s="101"/>
      <c r="V2025" s="101"/>
      <c r="W2025" s="69" t="e" cm="1">
        <f t="array" ref="W2025">_xlfn.XLOOKUP(Table1[[#This Row],[5 cm2 cell test code]:[5 cm2 cell test code]],[1]!Table1[[Test code]:[Test code]],[1]!Table1[i @ 1.8 V DIW (A/cm2)],"",0)</f>
        <v>#REF!</v>
      </c>
      <c r="X2025" s="69" t="e" cm="1">
        <f t="array" ref="X2025">_xlfn.XLOOKUP(Table1[[#This Row],[5 cm2 cell test code]:[5 cm2 cell test code]],[1]!Table1[[Test code]:[Test code]],[1]!Table1[i @ 1.8 V 10 mM KOH (A/cm2)],"",0)</f>
        <v>#REF!</v>
      </c>
      <c r="Y2025" s="69" t="e" cm="1">
        <f t="array" ref="Y2025">_xlfn.XLOOKUP(Table1[[#This Row],[5 cm2 cell test code]:[5 cm2 cell test code]],[1]!Table1[[Test code]:[Test code]],[1]!Table1[3-E ƞ at 20mAcm-2 (mV)],"",0)</f>
        <v>#REF!</v>
      </c>
      <c r="Z2025" s="69" t="e" cm="1">
        <f t="array" ref="Z2025">_xlfn.XLOOKUP(Table1[[#This Row],[5 cm2 cell test code]:[5 cm2 cell test code]],[1]!Table1[[Test code]:[Test code]],[1]!Table1[3-E Tafel slope (mV/dec)],"",0)</f>
        <v>#REF!</v>
      </c>
      <c r="AA2025" s="69" t="e" cm="1">
        <f t="array" ref="AA2025">_xlfn.XLOOKUP(Table1[[#This Row],[5 cm2 cell test code]:[5 cm2 cell test code]],[1]!Table1[[Test code]:[Test code]],[1]!Table1[E @ 100 mA/cm2 DIW/V],"",0)</f>
        <v>#REF!</v>
      </c>
      <c r="AB2025" s="69" t="e" cm="1">
        <f t="array" ref="AB2025">_xlfn.XLOOKUP(Table1[[#This Row],[5 cm2 cell test code]:[5 cm2 cell test code]],[1]!Table1[[Test code]:[Test code]],[1]!Table1[E @ 100 mA/cm2 10 mM KOH/V],"",0)</f>
        <v>#REF!</v>
      </c>
      <c r="AC2025" s="69" t="e" cm="1">
        <f t="array" ref="AC2025">_xlfn.XLOOKUP(Table1[[#This Row],[5 cm2 cell test code]:[5 cm2 cell test code]],[1]!Table1[[Test code]:[Test code]],[1]!Table1[Anode ICR/mOhm],"",0)</f>
        <v>#REF!</v>
      </c>
      <c r="AD2025" s="69" t="e" cm="1">
        <f t="array" ref="AD2025">_xlfn.XLOOKUP(Table1[[#This Row],[5 cm2 cell test code]:[5 cm2 cell test code]],[1]!Table1[[Test code]:[Test code]],[1]!Table1[HFR DIW/ mOhm cm2],"",0)</f>
        <v>#REF!</v>
      </c>
      <c r="AE2025" s="69" t="e" cm="1">
        <f t="array" ref="AE2025">_xlfn.XLOOKUP(Table1[[#This Row],[5 cm2 cell test code]:[5 cm2 cell test code]],[1]!Table1[[Test code]:[Test code]],[1]!Table1[HFR 10 mM KOH/ mOhm cm2],"",0)</f>
        <v>#REF!</v>
      </c>
      <c r="AF2025" s="69" t="e" cm="1">
        <f t="array" ref="AF2025">_xlfn.XLOOKUP(Table1[[#This Row],[5 cm2 cell test code]:[5 cm2 cell test code]],[1]!Table1[[Test code]:[Test code]],[1]!Table1[Ionic resistance DIW/Ohm cm2],"",0)</f>
        <v>#REF!</v>
      </c>
      <c r="AG2025" s="69" t="e" cm="1">
        <f t="array" ref="AG2025">_xlfn.XLOOKUP(Table1[[#This Row],[5 cm2 cell test code]:[5 cm2 cell test code]],[1]!Table1[[Test code]:[Test code]],[1]!Table1[Q_int_frac DIW],"",0)</f>
        <v>#REF!</v>
      </c>
      <c r="AH2025" s="69" t="e" cm="1">
        <f t="array" ref="AH2025">_xlfn.XLOOKUP(Table1[[#This Row],[5 cm2 cell test code]:[5 cm2 cell test code]],[1]!Table1[[Test code]:[Test code]],[1]!Table1[Ionic resistance 10 mM KOH/Ohm cm2],"",0)</f>
        <v>#REF!</v>
      </c>
      <c r="AI2025" s="69" t="e" cm="1">
        <f t="array" ref="AI2025">_xlfn.XLOOKUP(Table1[[#This Row],[5 cm2 cell test code]:[5 cm2 cell test code]],[1]!Table1[[Test code]:[Test code]],[1]!Table1[Q_int_frac DIW 10 mM KOH],"",0)</f>
        <v>#REF!</v>
      </c>
      <c r="AJ2025" s="69" t="e" cm="1">
        <f t="array" ref="AJ2025">_xlfn.XLOOKUP(Table1[[#This Row],[5 cm2 cell test code]:[5 cm2 cell test code]],[1]!Table1[[Test code]:[Test code]],[1]!Table1[DIW conductivity (µS/cm)],"",0)</f>
        <v>#REF!</v>
      </c>
    </row>
    <row r="2026" spans="1:36">
      <c r="A2026" s="81"/>
      <c r="U2026" s="101"/>
      <c r="V2026" s="101"/>
      <c r="W2026" s="69" t="e" cm="1">
        <f t="array" ref="W2026">_xlfn.XLOOKUP(Table1[[#This Row],[5 cm2 cell test code]:[5 cm2 cell test code]],[1]!Table1[[Test code]:[Test code]],[1]!Table1[i @ 1.8 V DIW (A/cm2)],"",0)</f>
        <v>#REF!</v>
      </c>
      <c r="X2026" s="69" t="e" cm="1">
        <f t="array" ref="X2026">_xlfn.XLOOKUP(Table1[[#This Row],[5 cm2 cell test code]:[5 cm2 cell test code]],[1]!Table1[[Test code]:[Test code]],[1]!Table1[i @ 1.8 V 10 mM KOH (A/cm2)],"",0)</f>
        <v>#REF!</v>
      </c>
      <c r="Y2026" s="69" t="e" cm="1">
        <f t="array" ref="Y2026">_xlfn.XLOOKUP(Table1[[#This Row],[5 cm2 cell test code]:[5 cm2 cell test code]],[1]!Table1[[Test code]:[Test code]],[1]!Table1[3-E ƞ at 20mAcm-2 (mV)],"",0)</f>
        <v>#REF!</v>
      </c>
      <c r="Z2026" s="69" t="e" cm="1">
        <f t="array" ref="Z2026">_xlfn.XLOOKUP(Table1[[#This Row],[5 cm2 cell test code]:[5 cm2 cell test code]],[1]!Table1[[Test code]:[Test code]],[1]!Table1[3-E Tafel slope (mV/dec)],"",0)</f>
        <v>#REF!</v>
      </c>
      <c r="AA2026" s="69" t="e" cm="1">
        <f t="array" ref="AA2026">_xlfn.XLOOKUP(Table1[[#This Row],[5 cm2 cell test code]:[5 cm2 cell test code]],[1]!Table1[[Test code]:[Test code]],[1]!Table1[E @ 100 mA/cm2 DIW/V],"",0)</f>
        <v>#REF!</v>
      </c>
      <c r="AB2026" s="69" t="e" cm="1">
        <f t="array" ref="AB2026">_xlfn.XLOOKUP(Table1[[#This Row],[5 cm2 cell test code]:[5 cm2 cell test code]],[1]!Table1[[Test code]:[Test code]],[1]!Table1[E @ 100 mA/cm2 10 mM KOH/V],"",0)</f>
        <v>#REF!</v>
      </c>
      <c r="AC2026" s="69" t="e" cm="1">
        <f t="array" ref="AC2026">_xlfn.XLOOKUP(Table1[[#This Row],[5 cm2 cell test code]:[5 cm2 cell test code]],[1]!Table1[[Test code]:[Test code]],[1]!Table1[Anode ICR/mOhm],"",0)</f>
        <v>#REF!</v>
      </c>
      <c r="AD2026" s="69" t="e" cm="1">
        <f t="array" ref="AD2026">_xlfn.XLOOKUP(Table1[[#This Row],[5 cm2 cell test code]:[5 cm2 cell test code]],[1]!Table1[[Test code]:[Test code]],[1]!Table1[HFR DIW/ mOhm cm2],"",0)</f>
        <v>#REF!</v>
      </c>
      <c r="AE2026" s="69" t="e" cm="1">
        <f t="array" ref="AE2026">_xlfn.XLOOKUP(Table1[[#This Row],[5 cm2 cell test code]:[5 cm2 cell test code]],[1]!Table1[[Test code]:[Test code]],[1]!Table1[HFR 10 mM KOH/ mOhm cm2],"",0)</f>
        <v>#REF!</v>
      </c>
      <c r="AF2026" s="69" t="e" cm="1">
        <f t="array" ref="AF2026">_xlfn.XLOOKUP(Table1[[#This Row],[5 cm2 cell test code]:[5 cm2 cell test code]],[1]!Table1[[Test code]:[Test code]],[1]!Table1[Ionic resistance DIW/Ohm cm2],"",0)</f>
        <v>#REF!</v>
      </c>
      <c r="AG2026" s="69" t="e" cm="1">
        <f t="array" ref="AG2026">_xlfn.XLOOKUP(Table1[[#This Row],[5 cm2 cell test code]:[5 cm2 cell test code]],[1]!Table1[[Test code]:[Test code]],[1]!Table1[Q_int_frac DIW],"",0)</f>
        <v>#REF!</v>
      </c>
      <c r="AH2026" s="69" t="e" cm="1">
        <f t="array" ref="AH2026">_xlfn.XLOOKUP(Table1[[#This Row],[5 cm2 cell test code]:[5 cm2 cell test code]],[1]!Table1[[Test code]:[Test code]],[1]!Table1[Ionic resistance 10 mM KOH/Ohm cm2],"",0)</f>
        <v>#REF!</v>
      </c>
      <c r="AI2026" s="69" t="e" cm="1">
        <f t="array" ref="AI2026">_xlfn.XLOOKUP(Table1[[#This Row],[5 cm2 cell test code]:[5 cm2 cell test code]],[1]!Table1[[Test code]:[Test code]],[1]!Table1[Q_int_frac DIW 10 mM KOH],"",0)</f>
        <v>#REF!</v>
      </c>
      <c r="AJ2026" s="69" t="e" cm="1">
        <f t="array" ref="AJ2026">_xlfn.XLOOKUP(Table1[[#This Row],[5 cm2 cell test code]:[5 cm2 cell test code]],[1]!Table1[[Test code]:[Test code]],[1]!Table1[DIW conductivity (µS/cm)],"",0)</f>
        <v>#REF!</v>
      </c>
    </row>
    <row r="2027" spans="1:36">
      <c r="A2027" s="81"/>
      <c r="U2027" s="101"/>
      <c r="V2027" s="101"/>
      <c r="W2027" s="69" t="e" cm="1">
        <f t="array" ref="W2027">_xlfn.XLOOKUP(Table1[[#This Row],[5 cm2 cell test code]:[5 cm2 cell test code]],[1]!Table1[[Test code]:[Test code]],[1]!Table1[i @ 1.8 V DIW (A/cm2)],"",0)</f>
        <v>#REF!</v>
      </c>
      <c r="X2027" s="69" t="e" cm="1">
        <f t="array" ref="X2027">_xlfn.XLOOKUP(Table1[[#This Row],[5 cm2 cell test code]:[5 cm2 cell test code]],[1]!Table1[[Test code]:[Test code]],[1]!Table1[i @ 1.8 V 10 mM KOH (A/cm2)],"",0)</f>
        <v>#REF!</v>
      </c>
      <c r="Y2027" s="69" t="e" cm="1">
        <f t="array" ref="Y2027">_xlfn.XLOOKUP(Table1[[#This Row],[5 cm2 cell test code]:[5 cm2 cell test code]],[1]!Table1[[Test code]:[Test code]],[1]!Table1[3-E ƞ at 20mAcm-2 (mV)],"",0)</f>
        <v>#REF!</v>
      </c>
      <c r="Z2027" s="69" t="e" cm="1">
        <f t="array" ref="Z2027">_xlfn.XLOOKUP(Table1[[#This Row],[5 cm2 cell test code]:[5 cm2 cell test code]],[1]!Table1[[Test code]:[Test code]],[1]!Table1[3-E Tafel slope (mV/dec)],"",0)</f>
        <v>#REF!</v>
      </c>
      <c r="AA2027" s="69" t="e" cm="1">
        <f t="array" ref="AA2027">_xlfn.XLOOKUP(Table1[[#This Row],[5 cm2 cell test code]:[5 cm2 cell test code]],[1]!Table1[[Test code]:[Test code]],[1]!Table1[E @ 100 mA/cm2 DIW/V],"",0)</f>
        <v>#REF!</v>
      </c>
      <c r="AB2027" s="69" t="e" cm="1">
        <f t="array" ref="AB2027">_xlfn.XLOOKUP(Table1[[#This Row],[5 cm2 cell test code]:[5 cm2 cell test code]],[1]!Table1[[Test code]:[Test code]],[1]!Table1[E @ 100 mA/cm2 10 mM KOH/V],"",0)</f>
        <v>#REF!</v>
      </c>
      <c r="AC2027" s="69" t="e" cm="1">
        <f t="array" ref="AC2027">_xlfn.XLOOKUP(Table1[[#This Row],[5 cm2 cell test code]:[5 cm2 cell test code]],[1]!Table1[[Test code]:[Test code]],[1]!Table1[Anode ICR/mOhm],"",0)</f>
        <v>#REF!</v>
      </c>
      <c r="AD2027" s="69" t="e" cm="1">
        <f t="array" ref="AD2027">_xlfn.XLOOKUP(Table1[[#This Row],[5 cm2 cell test code]:[5 cm2 cell test code]],[1]!Table1[[Test code]:[Test code]],[1]!Table1[HFR DIW/ mOhm cm2],"",0)</f>
        <v>#REF!</v>
      </c>
      <c r="AE2027" s="69" t="e" cm="1">
        <f t="array" ref="AE2027">_xlfn.XLOOKUP(Table1[[#This Row],[5 cm2 cell test code]:[5 cm2 cell test code]],[1]!Table1[[Test code]:[Test code]],[1]!Table1[HFR 10 mM KOH/ mOhm cm2],"",0)</f>
        <v>#REF!</v>
      </c>
      <c r="AF2027" s="69" t="e" cm="1">
        <f t="array" ref="AF2027">_xlfn.XLOOKUP(Table1[[#This Row],[5 cm2 cell test code]:[5 cm2 cell test code]],[1]!Table1[[Test code]:[Test code]],[1]!Table1[Ionic resistance DIW/Ohm cm2],"",0)</f>
        <v>#REF!</v>
      </c>
      <c r="AG2027" s="69" t="e" cm="1">
        <f t="array" ref="AG2027">_xlfn.XLOOKUP(Table1[[#This Row],[5 cm2 cell test code]:[5 cm2 cell test code]],[1]!Table1[[Test code]:[Test code]],[1]!Table1[Q_int_frac DIW],"",0)</f>
        <v>#REF!</v>
      </c>
      <c r="AH2027" s="69" t="e" cm="1">
        <f t="array" ref="AH2027">_xlfn.XLOOKUP(Table1[[#This Row],[5 cm2 cell test code]:[5 cm2 cell test code]],[1]!Table1[[Test code]:[Test code]],[1]!Table1[Ionic resistance 10 mM KOH/Ohm cm2],"",0)</f>
        <v>#REF!</v>
      </c>
      <c r="AI2027" s="69" t="e" cm="1">
        <f t="array" ref="AI2027">_xlfn.XLOOKUP(Table1[[#This Row],[5 cm2 cell test code]:[5 cm2 cell test code]],[1]!Table1[[Test code]:[Test code]],[1]!Table1[Q_int_frac DIW 10 mM KOH],"",0)</f>
        <v>#REF!</v>
      </c>
      <c r="AJ2027" s="69" t="e" cm="1">
        <f t="array" ref="AJ2027">_xlfn.XLOOKUP(Table1[[#This Row],[5 cm2 cell test code]:[5 cm2 cell test code]],[1]!Table1[[Test code]:[Test code]],[1]!Table1[DIW conductivity (µS/cm)],"",0)</f>
        <v>#REF!</v>
      </c>
    </row>
    <row r="2028" spans="1:36">
      <c r="A2028" s="81"/>
      <c r="U2028" s="101"/>
      <c r="V2028" s="101"/>
      <c r="W2028" s="69" t="e" cm="1">
        <f t="array" ref="W2028">_xlfn.XLOOKUP(Table1[[#This Row],[5 cm2 cell test code]:[5 cm2 cell test code]],[1]!Table1[[Test code]:[Test code]],[1]!Table1[i @ 1.8 V DIW (A/cm2)],"",0)</f>
        <v>#REF!</v>
      </c>
      <c r="X2028" s="69" t="e" cm="1">
        <f t="array" ref="X2028">_xlfn.XLOOKUP(Table1[[#This Row],[5 cm2 cell test code]:[5 cm2 cell test code]],[1]!Table1[[Test code]:[Test code]],[1]!Table1[i @ 1.8 V 10 mM KOH (A/cm2)],"",0)</f>
        <v>#REF!</v>
      </c>
      <c r="Y2028" s="69" t="e" cm="1">
        <f t="array" ref="Y2028">_xlfn.XLOOKUP(Table1[[#This Row],[5 cm2 cell test code]:[5 cm2 cell test code]],[1]!Table1[[Test code]:[Test code]],[1]!Table1[3-E ƞ at 20mAcm-2 (mV)],"",0)</f>
        <v>#REF!</v>
      </c>
      <c r="Z2028" s="69" t="e" cm="1">
        <f t="array" ref="Z2028">_xlfn.XLOOKUP(Table1[[#This Row],[5 cm2 cell test code]:[5 cm2 cell test code]],[1]!Table1[[Test code]:[Test code]],[1]!Table1[3-E Tafel slope (mV/dec)],"",0)</f>
        <v>#REF!</v>
      </c>
      <c r="AA2028" s="69" t="e" cm="1">
        <f t="array" ref="AA2028">_xlfn.XLOOKUP(Table1[[#This Row],[5 cm2 cell test code]:[5 cm2 cell test code]],[1]!Table1[[Test code]:[Test code]],[1]!Table1[E @ 100 mA/cm2 DIW/V],"",0)</f>
        <v>#REF!</v>
      </c>
      <c r="AB2028" s="69" t="e" cm="1">
        <f t="array" ref="AB2028">_xlfn.XLOOKUP(Table1[[#This Row],[5 cm2 cell test code]:[5 cm2 cell test code]],[1]!Table1[[Test code]:[Test code]],[1]!Table1[E @ 100 mA/cm2 10 mM KOH/V],"",0)</f>
        <v>#REF!</v>
      </c>
      <c r="AC2028" s="69" t="e" cm="1">
        <f t="array" ref="AC2028">_xlfn.XLOOKUP(Table1[[#This Row],[5 cm2 cell test code]:[5 cm2 cell test code]],[1]!Table1[[Test code]:[Test code]],[1]!Table1[Anode ICR/mOhm],"",0)</f>
        <v>#REF!</v>
      </c>
      <c r="AD2028" s="69" t="e" cm="1">
        <f t="array" ref="AD2028">_xlfn.XLOOKUP(Table1[[#This Row],[5 cm2 cell test code]:[5 cm2 cell test code]],[1]!Table1[[Test code]:[Test code]],[1]!Table1[HFR DIW/ mOhm cm2],"",0)</f>
        <v>#REF!</v>
      </c>
      <c r="AE2028" s="69" t="e" cm="1">
        <f t="array" ref="AE2028">_xlfn.XLOOKUP(Table1[[#This Row],[5 cm2 cell test code]:[5 cm2 cell test code]],[1]!Table1[[Test code]:[Test code]],[1]!Table1[HFR 10 mM KOH/ mOhm cm2],"",0)</f>
        <v>#REF!</v>
      </c>
      <c r="AF2028" s="69" t="e" cm="1">
        <f t="array" ref="AF2028">_xlfn.XLOOKUP(Table1[[#This Row],[5 cm2 cell test code]:[5 cm2 cell test code]],[1]!Table1[[Test code]:[Test code]],[1]!Table1[Ionic resistance DIW/Ohm cm2],"",0)</f>
        <v>#REF!</v>
      </c>
      <c r="AG2028" s="69" t="e" cm="1">
        <f t="array" ref="AG2028">_xlfn.XLOOKUP(Table1[[#This Row],[5 cm2 cell test code]:[5 cm2 cell test code]],[1]!Table1[[Test code]:[Test code]],[1]!Table1[Q_int_frac DIW],"",0)</f>
        <v>#REF!</v>
      </c>
      <c r="AH2028" s="69" t="e" cm="1">
        <f t="array" ref="AH2028">_xlfn.XLOOKUP(Table1[[#This Row],[5 cm2 cell test code]:[5 cm2 cell test code]],[1]!Table1[[Test code]:[Test code]],[1]!Table1[Ionic resistance 10 mM KOH/Ohm cm2],"",0)</f>
        <v>#REF!</v>
      </c>
      <c r="AI2028" s="69" t="e" cm="1">
        <f t="array" ref="AI2028">_xlfn.XLOOKUP(Table1[[#This Row],[5 cm2 cell test code]:[5 cm2 cell test code]],[1]!Table1[[Test code]:[Test code]],[1]!Table1[Q_int_frac DIW 10 mM KOH],"",0)</f>
        <v>#REF!</v>
      </c>
      <c r="AJ2028" s="69" t="e" cm="1">
        <f t="array" ref="AJ2028">_xlfn.XLOOKUP(Table1[[#This Row],[5 cm2 cell test code]:[5 cm2 cell test code]],[1]!Table1[[Test code]:[Test code]],[1]!Table1[DIW conductivity (µS/cm)],"",0)</f>
        <v>#REF!</v>
      </c>
    </row>
    <row r="2029" spans="1:36">
      <c r="A2029" s="81"/>
      <c r="U2029" s="101"/>
      <c r="V2029" s="101"/>
      <c r="W2029" s="69" t="e" cm="1">
        <f t="array" ref="W2029">_xlfn.XLOOKUP(Table1[[#This Row],[5 cm2 cell test code]:[5 cm2 cell test code]],[1]!Table1[[Test code]:[Test code]],[1]!Table1[i @ 1.8 V DIW (A/cm2)],"",0)</f>
        <v>#REF!</v>
      </c>
      <c r="X2029" s="69" t="e" cm="1">
        <f t="array" ref="X2029">_xlfn.XLOOKUP(Table1[[#This Row],[5 cm2 cell test code]:[5 cm2 cell test code]],[1]!Table1[[Test code]:[Test code]],[1]!Table1[i @ 1.8 V 10 mM KOH (A/cm2)],"",0)</f>
        <v>#REF!</v>
      </c>
      <c r="Y2029" s="69" t="e" cm="1">
        <f t="array" ref="Y2029">_xlfn.XLOOKUP(Table1[[#This Row],[5 cm2 cell test code]:[5 cm2 cell test code]],[1]!Table1[[Test code]:[Test code]],[1]!Table1[3-E ƞ at 20mAcm-2 (mV)],"",0)</f>
        <v>#REF!</v>
      </c>
      <c r="Z2029" s="69" t="e" cm="1">
        <f t="array" ref="Z2029">_xlfn.XLOOKUP(Table1[[#This Row],[5 cm2 cell test code]:[5 cm2 cell test code]],[1]!Table1[[Test code]:[Test code]],[1]!Table1[3-E Tafel slope (mV/dec)],"",0)</f>
        <v>#REF!</v>
      </c>
      <c r="AA2029" s="69" t="e" cm="1">
        <f t="array" ref="AA2029">_xlfn.XLOOKUP(Table1[[#This Row],[5 cm2 cell test code]:[5 cm2 cell test code]],[1]!Table1[[Test code]:[Test code]],[1]!Table1[E @ 100 mA/cm2 DIW/V],"",0)</f>
        <v>#REF!</v>
      </c>
      <c r="AB2029" s="69" t="e" cm="1">
        <f t="array" ref="AB2029">_xlfn.XLOOKUP(Table1[[#This Row],[5 cm2 cell test code]:[5 cm2 cell test code]],[1]!Table1[[Test code]:[Test code]],[1]!Table1[E @ 100 mA/cm2 10 mM KOH/V],"",0)</f>
        <v>#REF!</v>
      </c>
      <c r="AC2029" s="69" t="e" cm="1">
        <f t="array" ref="AC2029">_xlfn.XLOOKUP(Table1[[#This Row],[5 cm2 cell test code]:[5 cm2 cell test code]],[1]!Table1[[Test code]:[Test code]],[1]!Table1[Anode ICR/mOhm],"",0)</f>
        <v>#REF!</v>
      </c>
      <c r="AD2029" s="69" t="e" cm="1">
        <f t="array" ref="AD2029">_xlfn.XLOOKUP(Table1[[#This Row],[5 cm2 cell test code]:[5 cm2 cell test code]],[1]!Table1[[Test code]:[Test code]],[1]!Table1[HFR DIW/ mOhm cm2],"",0)</f>
        <v>#REF!</v>
      </c>
      <c r="AE2029" s="69" t="e" cm="1">
        <f t="array" ref="AE2029">_xlfn.XLOOKUP(Table1[[#This Row],[5 cm2 cell test code]:[5 cm2 cell test code]],[1]!Table1[[Test code]:[Test code]],[1]!Table1[HFR 10 mM KOH/ mOhm cm2],"",0)</f>
        <v>#REF!</v>
      </c>
      <c r="AF2029" s="69" t="e" cm="1">
        <f t="array" ref="AF2029">_xlfn.XLOOKUP(Table1[[#This Row],[5 cm2 cell test code]:[5 cm2 cell test code]],[1]!Table1[[Test code]:[Test code]],[1]!Table1[Ionic resistance DIW/Ohm cm2],"",0)</f>
        <v>#REF!</v>
      </c>
      <c r="AG2029" s="69" t="e" cm="1">
        <f t="array" ref="AG2029">_xlfn.XLOOKUP(Table1[[#This Row],[5 cm2 cell test code]:[5 cm2 cell test code]],[1]!Table1[[Test code]:[Test code]],[1]!Table1[Q_int_frac DIW],"",0)</f>
        <v>#REF!</v>
      </c>
      <c r="AH2029" s="69" t="e" cm="1">
        <f t="array" ref="AH2029">_xlfn.XLOOKUP(Table1[[#This Row],[5 cm2 cell test code]:[5 cm2 cell test code]],[1]!Table1[[Test code]:[Test code]],[1]!Table1[Ionic resistance 10 mM KOH/Ohm cm2],"",0)</f>
        <v>#REF!</v>
      </c>
      <c r="AI2029" s="69" t="e" cm="1">
        <f t="array" ref="AI2029">_xlfn.XLOOKUP(Table1[[#This Row],[5 cm2 cell test code]:[5 cm2 cell test code]],[1]!Table1[[Test code]:[Test code]],[1]!Table1[Q_int_frac DIW 10 mM KOH],"",0)</f>
        <v>#REF!</v>
      </c>
      <c r="AJ2029" s="69" t="e" cm="1">
        <f t="array" ref="AJ2029">_xlfn.XLOOKUP(Table1[[#This Row],[5 cm2 cell test code]:[5 cm2 cell test code]],[1]!Table1[[Test code]:[Test code]],[1]!Table1[DIW conductivity (µS/cm)],"",0)</f>
        <v>#REF!</v>
      </c>
    </row>
    <row r="2030" spans="1:36">
      <c r="A2030" s="81"/>
      <c r="U2030" s="101"/>
      <c r="V2030" s="101"/>
      <c r="W2030" s="69" t="e" cm="1">
        <f t="array" ref="W2030">_xlfn.XLOOKUP(Table1[[#This Row],[5 cm2 cell test code]:[5 cm2 cell test code]],[1]!Table1[[Test code]:[Test code]],[1]!Table1[i @ 1.8 V DIW (A/cm2)],"",0)</f>
        <v>#REF!</v>
      </c>
      <c r="X2030" s="69" t="e" cm="1">
        <f t="array" ref="X2030">_xlfn.XLOOKUP(Table1[[#This Row],[5 cm2 cell test code]:[5 cm2 cell test code]],[1]!Table1[[Test code]:[Test code]],[1]!Table1[i @ 1.8 V 10 mM KOH (A/cm2)],"",0)</f>
        <v>#REF!</v>
      </c>
      <c r="Y2030" s="69" t="e" cm="1">
        <f t="array" ref="Y2030">_xlfn.XLOOKUP(Table1[[#This Row],[5 cm2 cell test code]:[5 cm2 cell test code]],[1]!Table1[[Test code]:[Test code]],[1]!Table1[3-E ƞ at 20mAcm-2 (mV)],"",0)</f>
        <v>#REF!</v>
      </c>
      <c r="Z2030" s="69" t="e" cm="1">
        <f t="array" ref="Z2030">_xlfn.XLOOKUP(Table1[[#This Row],[5 cm2 cell test code]:[5 cm2 cell test code]],[1]!Table1[[Test code]:[Test code]],[1]!Table1[3-E Tafel slope (mV/dec)],"",0)</f>
        <v>#REF!</v>
      </c>
      <c r="AA2030" s="69" t="e" cm="1">
        <f t="array" ref="AA2030">_xlfn.XLOOKUP(Table1[[#This Row],[5 cm2 cell test code]:[5 cm2 cell test code]],[1]!Table1[[Test code]:[Test code]],[1]!Table1[E @ 100 mA/cm2 DIW/V],"",0)</f>
        <v>#REF!</v>
      </c>
      <c r="AB2030" s="69" t="e" cm="1">
        <f t="array" ref="AB2030">_xlfn.XLOOKUP(Table1[[#This Row],[5 cm2 cell test code]:[5 cm2 cell test code]],[1]!Table1[[Test code]:[Test code]],[1]!Table1[E @ 100 mA/cm2 10 mM KOH/V],"",0)</f>
        <v>#REF!</v>
      </c>
      <c r="AC2030" s="69" t="e" cm="1">
        <f t="array" ref="AC2030">_xlfn.XLOOKUP(Table1[[#This Row],[5 cm2 cell test code]:[5 cm2 cell test code]],[1]!Table1[[Test code]:[Test code]],[1]!Table1[Anode ICR/mOhm],"",0)</f>
        <v>#REF!</v>
      </c>
      <c r="AD2030" s="69" t="e" cm="1">
        <f t="array" ref="AD2030">_xlfn.XLOOKUP(Table1[[#This Row],[5 cm2 cell test code]:[5 cm2 cell test code]],[1]!Table1[[Test code]:[Test code]],[1]!Table1[HFR DIW/ mOhm cm2],"",0)</f>
        <v>#REF!</v>
      </c>
      <c r="AE2030" s="69" t="e" cm="1">
        <f t="array" ref="AE2030">_xlfn.XLOOKUP(Table1[[#This Row],[5 cm2 cell test code]:[5 cm2 cell test code]],[1]!Table1[[Test code]:[Test code]],[1]!Table1[HFR 10 mM KOH/ mOhm cm2],"",0)</f>
        <v>#REF!</v>
      </c>
      <c r="AF2030" s="69" t="e" cm="1">
        <f t="array" ref="AF2030">_xlfn.XLOOKUP(Table1[[#This Row],[5 cm2 cell test code]:[5 cm2 cell test code]],[1]!Table1[[Test code]:[Test code]],[1]!Table1[Ionic resistance DIW/Ohm cm2],"",0)</f>
        <v>#REF!</v>
      </c>
      <c r="AG2030" s="69" t="e" cm="1">
        <f t="array" ref="AG2030">_xlfn.XLOOKUP(Table1[[#This Row],[5 cm2 cell test code]:[5 cm2 cell test code]],[1]!Table1[[Test code]:[Test code]],[1]!Table1[Q_int_frac DIW],"",0)</f>
        <v>#REF!</v>
      </c>
      <c r="AH2030" s="69" t="e" cm="1">
        <f t="array" ref="AH2030">_xlfn.XLOOKUP(Table1[[#This Row],[5 cm2 cell test code]:[5 cm2 cell test code]],[1]!Table1[[Test code]:[Test code]],[1]!Table1[Ionic resistance 10 mM KOH/Ohm cm2],"",0)</f>
        <v>#REF!</v>
      </c>
      <c r="AI2030" s="69" t="e" cm="1">
        <f t="array" ref="AI2030">_xlfn.XLOOKUP(Table1[[#This Row],[5 cm2 cell test code]:[5 cm2 cell test code]],[1]!Table1[[Test code]:[Test code]],[1]!Table1[Q_int_frac DIW 10 mM KOH],"",0)</f>
        <v>#REF!</v>
      </c>
      <c r="AJ2030" s="69" t="e" cm="1">
        <f t="array" ref="AJ2030">_xlfn.XLOOKUP(Table1[[#This Row],[5 cm2 cell test code]:[5 cm2 cell test code]],[1]!Table1[[Test code]:[Test code]],[1]!Table1[DIW conductivity (µS/cm)],"",0)</f>
        <v>#REF!</v>
      </c>
    </row>
    <row r="2031" spans="1:36">
      <c r="A2031" s="81"/>
      <c r="U2031" s="101"/>
      <c r="V2031" s="101"/>
      <c r="W2031" s="69" t="e" cm="1">
        <f t="array" ref="W2031">_xlfn.XLOOKUP(Table1[[#This Row],[5 cm2 cell test code]:[5 cm2 cell test code]],[1]!Table1[[Test code]:[Test code]],[1]!Table1[i @ 1.8 V DIW (A/cm2)],"",0)</f>
        <v>#REF!</v>
      </c>
      <c r="X2031" s="69" t="e" cm="1">
        <f t="array" ref="X2031">_xlfn.XLOOKUP(Table1[[#This Row],[5 cm2 cell test code]:[5 cm2 cell test code]],[1]!Table1[[Test code]:[Test code]],[1]!Table1[i @ 1.8 V 10 mM KOH (A/cm2)],"",0)</f>
        <v>#REF!</v>
      </c>
      <c r="Y2031" s="69" t="e" cm="1">
        <f t="array" ref="Y2031">_xlfn.XLOOKUP(Table1[[#This Row],[5 cm2 cell test code]:[5 cm2 cell test code]],[1]!Table1[[Test code]:[Test code]],[1]!Table1[3-E ƞ at 20mAcm-2 (mV)],"",0)</f>
        <v>#REF!</v>
      </c>
      <c r="Z2031" s="69" t="e" cm="1">
        <f t="array" ref="Z2031">_xlfn.XLOOKUP(Table1[[#This Row],[5 cm2 cell test code]:[5 cm2 cell test code]],[1]!Table1[[Test code]:[Test code]],[1]!Table1[3-E Tafel slope (mV/dec)],"",0)</f>
        <v>#REF!</v>
      </c>
      <c r="AA2031" s="69" t="e" cm="1">
        <f t="array" ref="AA2031">_xlfn.XLOOKUP(Table1[[#This Row],[5 cm2 cell test code]:[5 cm2 cell test code]],[1]!Table1[[Test code]:[Test code]],[1]!Table1[E @ 100 mA/cm2 DIW/V],"",0)</f>
        <v>#REF!</v>
      </c>
      <c r="AB2031" s="69" t="e" cm="1">
        <f t="array" ref="AB2031">_xlfn.XLOOKUP(Table1[[#This Row],[5 cm2 cell test code]:[5 cm2 cell test code]],[1]!Table1[[Test code]:[Test code]],[1]!Table1[E @ 100 mA/cm2 10 mM KOH/V],"",0)</f>
        <v>#REF!</v>
      </c>
      <c r="AC2031" s="69" t="e" cm="1">
        <f t="array" ref="AC2031">_xlfn.XLOOKUP(Table1[[#This Row],[5 cm2 cell test code]:[5 cm2 cell test code]],[1]!Table1[[Test code]:[Test code]],[1]!Table1[Anode ICR/mOhm],"",0)</f>
        <v>#REF!</v>
      </c>
      <c r="AD2031" s="69" t="e" cm="1">
        <f t="array" ref="AD2031">_xlfn.XLOOKUP(Table1[[#This Row],[5 cm2 cell test code]:[5 cm2 cell test code]],[1]!Table1[[Test code]:[Test code]],[1]!Table1[HFR DIW/ mOhm cm2],"",0)</f>
        <v>#REF!</v>
      </c>
      <c r="AE2031" s="69" t="e" cm="1">
        <f t="array" ref="AE2031">_xlfn.XLOOKUP(Table1[[#This Row],[5 cm2 cell test code]:[5 cm2 cell test code]],[1]!Table1[[Test code]:[Test code]],[1]!Table1[HFR 10 mM KOH/ mOhm cm2],"",0)</f>
        <v>#REF!</v>
      </c>
      <c r="AF2031" s="69" t="e" cm="1">
        <f t="array" ref="AF2031">_xlfn.XLOOKUP(Table1[[#This Row],[5 cm2 cell test code]:[5 cm2 cell test code]],[1]!Table1[[Test code]:[Test code]],[1]!Table1[Ionic resistance DIW/Ohm cm2],"",0)</f>
        <v>#REF!</v>
      </c>
      <c r="AG2031" s="69" t="e" cm="1">
        <f t="array" ref="AG2031">_xlfn.XLOOKUP(Table1[[#This Row],[5 cm2 cell test code]:[5 cm2 cell test code]],[1]!Table1[[Test code]:[Test code]],[1]!Table1[Q_int_frac DIW],"",0)</f>
        <v>#REF!</v>
      </c>
      <c r="AH2031" s="69" t="e" cm="1">
        <f t="array" ref="AH2031">_xlfn.XLOOKUP(Table1[[#This Row],[5 cm2 cell test code]:[5 cm2 cell test code]],[1]!Table1[[Test code]:[Test code]],[1]!Table1[Ionic resistance 10 mM KOH/Ohm cm2],"",0)</f>
        <v>#REF!</v>
      </c>
      <c r="AI2031" s="69" t="e" cm="1">
        <f t="array" ref="AI2031">_xlfn.XLOOKUP(Table1[[#This Row],[5 cm2 cell test code]:[5 cm2 cell test code]],[1]!Table1[[Test code]:[Test code]],[1]!Table1[Q_int_frac DIW 10 mM KOH],"",0)</f>
        <v>#REF!</v>
      </c>
      <c r="AJ2031" s="69" t="e" cm="1">
        <f t="array" ref="AJ2031">_xlfn.XLOOKUP(Table1[[#This Row],[5 cm2 cell test code]:[5 cm2 cell test code]],[1]!Table1[[Test code]:[Test code]],[1]!Table1[DIW conductivity (µS/cm)],"",0)</f>
        <v>#REF!</v>
      </c>
    </row>
    <row r="2032" spans="1:36">
      <c r="A2032" s="81"/>
      <c r="U2032" s="101"/>
      <c r="V2032" s="101"/>
      <c r="W2032" s="69" t="e" cm="1">
        <f t="array" ref="W2032">_xlfn.XLOOKUP(Table1[[#This Row],[5 cm2 cell test code]:[5 cm2 cell test code]],[1]!Table1[[Test code]:[Test code]],[1]!Table1[i @ 1.8 V DIW (A/cm2)],"",0)</f>
        <v>#REF!</v>
      </c>
      <c r="X2032" s="69" t="e" cm="1">
        <f t="array" ref="X2032">_xlfn.XLOOKUP(Table1[[#This Row],[5 cm2 cell test code]:[5 cm2 cell test code]],[1]!Table1[[Test code]:[Test code]],[1]!Table1[i @ 1.8 V 10 mM KOH (A/cm2)],"",0)</f>
        <v>#REF!</v>
      </c>
      <c r="Y2032" s="69" t="e" cm="1">
        <f t="array" ref="Y2032">_xlfn.XLOOKUP(Table1[[#This Row],[5 cm2 cell test code]:[5 cm2 cell test code]],[1]!Table1[[Test code]:[Test code]],[1]!Table1[3-E ƞ at 20mAcm-2 (mV)],"",0)</f>
        <v>#REF!</v>
      </c>
      <c r="Z2032" s="69" t="e" cm="1">
        <f t="array" ref="Z2032">_xlfn.XLOOKUP(Table1[[#This Row],[5 cm2 cell test code]:[5 cm2 cell test code]],[1]!Table1[[Test code]:[Test code]],[1]!Table1[3-E Tafel slope (mV/dec)],"",0)</f>
        <v>#REF!</v>
      </c>
      <c r="AA2032" s="69" t="e" cm="1">
        <f t="array" ref="AA2032">_xlfn.XLOOKUP(Table1[[#This Row],[5 cm2 cell test code]:[5 cm2 cell test code]],[1]!Table1[[Test code]:[Test code]],[1]!Table1[E @ 100 mA/cm2 DIW/V],"",0)</f>
        <v>#REF!</v>
      </c>
      <c r="AB2032" s="69" t="e" cm="1">
        <f t="array" ref="AB2032">_xlfn.XLOOKUP(Table1[[#This Row],[5 cm2 cell test code]:[5 cm2 cell test code]],[1]!Table1[[Test code]:[Test code]],[1]!Table1[E @ 100 mA/cm2 10 mM KOH/V],"",0)</f>
        <v>#REF!</v>
      </c>
      <c r="AC2032" s="69" t="e" cm="1">
        <f t="array" ref="AC2032">_xlfn.XLOOKUP(Table1[[#This Row],[5 cm2 cell test code]:[5 cm2 cell test code]],[1]!Table1[[Test code]:[Test code]],[1]!Table1[Anode ICR/mOhm],"",0)</f>
        <v>#REF!</v>
      </c>
      <c r="AD2032" s="69" t="e" cm="1">
        <f t="array" ref="AD2032">_xlfn.XLOOKUP(Table1[[#This Row],[5 cm2 cell test code]:[5 cm2 cell test code]],[1]!Table1[[Test code]:[Test code]],[1]!Table1[HFR DIW/ mOhm cm2],"",0)</f>
        <v>#REF!</v>
      </c>
      <c r="AE2032" s="69" t="e" cm="1">
        <f t="array" ref="AE2032">_xlfn.XLOOKUP(Table1[[#This Row],[5 cm2 cell test code]:[5 cm2 cell test code]],[1]!Table1[[Test code]:[Test code]],[1]!Table1[HFR 10 mM KOH/ mOhm cm2],"",0)</f>
        <v>#REF!</v>
      </c>
      <c r="AF2032" s="69" t="e" cm="1">
        <f t="array" ref="AF2032">_xlfn.XLOOKUP(Table1[[#This Row],[5 cm2 cell test code]:[5 cm2 cell test code]],[1]!Table1[[Test code]:[Test code]],[1]!Table1[Ionic resistance DIW/Ohm cm2],"",0)</f>
        <v>#REF!</v>
      </c>
      <c r="AG2032" s="69" t="e" cm="1">
        <f t="array" ref="AG2032">_xlfn.XLOOKUP(Table1[[#This Row],[5 cm2 cell test code]:[5 cm2 cell test code]],[1]!Table1[[Test code]:[Test code]],[1]!Table1[Q_int_frac DIW],"",0)</f>
        <v>#REF!</v>
      </c>
      <c r="AH2032" s="69" t="e" cm="1">
        <f t="array" ref="AH2032">_xlfn.XLOOKUP(Table1[[#This Row],[5 cm2 cell test code]:[5 cm2 cell test code]],[1]!Table1[[Test code]:[Test code]],[1]!Table1[Ionic resistance 10 mM KOH/Ohm cm2],"",0)</f>
        <v>#REF!</v>
      </c>
      <c r="AI2032" s="69" t="e" cm="1">
        <f t="array" ref="AI2032">_xlfn.XLOOKUP(Table1[[#This Row],[5 cm2 cell test code]:[5 cm2 cell test code]],[1]!Table1[[Test code]:[Test code]],[1]!Table1[Q_int_frac DIW 10 mM KOH],"",0)</f>
        <v>#REF!</v>
      </c>
      <c r="AJ2032" s="69" t="e" cm="1">
        <f t="array" ref="AJ2032">_xlfn.XLOOKUP(Table1[[#This Row],[5 cm2 cell test code]:[5 cm2 cell test code]],[1]!Table1[[Test code]:[Test code]],[1]!Table1[DIW conductivity (µS/cm)],"",0)</f>
        <v>#REF!</v>
      </c>
    </row>
    <row r="2033" spans="1:36">
      <c r="A2033" s="81"/>
      <c r="U2033" s="101"/>
      <c r="V2033" s="101"/>
      <c r="W2033" s="69" t="e" cm="1">
        <f t="array" ref="W2033">_xlfn.XLOOKUP(Table1[[#This Row],[5 cm2 cell test code]:[5 cm2 cell test code]],[1]!Table1[[Test code]:[Test code]],[1]!Table1[i @ 1.8 V DIW (A/cm2)],"",0)</f>
        <v>#REF!</v>
      </c>
      <c r="X2033" s="69" t="e" cm="1">
        <f t="array" ref="X2033">_xlfn.XLOOKUP(Table1[[#This Row],[5 cm2 cell test code]:[5 cm2 cell test code]],[1]!Table1[[Test code]:[Test code]],[1]!Table1[i @ 1.8 V 10 mM KOH (A/cm2)],"",0)</f>
        <v>#REF!</v>
      </c>
      <c r="Y2033" s="69" t="e" cm="1">
        <f t="array" ref="Y2033">_xlfn.XLOOKUP(Table1[[#This Row],[5 cm2 cell test code]:[5 cm2 cell test code]],[1]!Table1[[Test code]:[Test code]],[1]!Table1[3-E ƞ at 20mAcm-2 (mV)],"",0)</f>
        <v>#REF!</v>
      </c>
      <c r="Z2033" s="69" t="e" cm="1">
        <f t="array" ref="Z2033">_xlfn.XLOOKUP(Table1[[#This Row],[5 cm2 cell test code]:[5 cm2 cell test code]],[1]!Table1[[Test code]:[Test code]],[1]!Table1[3-E Tafel slope (mV/dec)],"",0)</f>
        <v>#REF!</v>
      </c>
      <c r="AA2033" s="69" t="e" cm="1">
        <f t="array" ref="AA2033">_xlfn.XLOOKUP(Table1[[#This Row],[5 cm2 cell test code]:[5 cm2 cell test code]],[1]!Table1[[Test code]:[Test code]],[1]!Table1[E @ 100 mA/cm2 DIW/V],"",0)</f>
        <v>#REF!</v>
      </c>
      <c r="AB2033" s="69" t="e" cm="1">
        <f t="array" ref="AB2033">_xlfn.XLOOKUP(Table1[[#This Row],[5 cm2 cell test code]:[5 cm2 cell test code]],[1]!Table1[[Test code]:[Test code]],[1]!Table1[E @ 100 mA/cm2 10 mM KOH/V],"",0)</f>
        <v>#REF!</v>
      </c>
      <c r="AC2033" s="69" t="e" cm="1">
        <f t="array" ref="AC2033">_xlfn.XLOOKUP(Table1[[#This Row],[5 cm2 cell test code]:[5 cm2 cell test code]],[1]!Table1[[Test code]:[Test code]],[1]!Table1[Anode ICR/mOhm],"",0)</f>
        <v>#REF!</v>
      </c>
      <c r="AD2033" s="69" t="e" cm="1">
        <f t="array" ref="AD2033">_xlfn.XLOOKUP(Table1[[#This Row],[5 cm2 cell test code]:[5 cm2 cell test code]],[1]!Table1[[Test code]:[Test code]],[1]!Table1[HFR DIW/ mOhm cm2],"",0)</f>
        <v>#REF!</v>
      </c>
      <c r="AE2033" s="69" t="e" cm="1">
        <f t="array" ref="AE2033">_xlfn.XLOOKUP(Table1[[#This Row],[5 cm2 cell test code]:[5 cm2 cell test code]],[1]!Table1[[Test code]:[Test code]],[1]!Table1[HFR 10 mM KOH/ mOhm cm2],"",0)</f>
        <v>#REF!</v>
      </c>
      <c r="AF2033" s="69" t="e" cm="1">
        <f t="array" ref="AF2033">_xlfn.XLOOKUP(Table1[[#This Row],[5 cm2 cell test code]:[5 cm2 cell test code]],[1]!Table1[[Test code]:[Test code]],[1]!Table1[Ionic resistance DIW/Ohm cm2],"",0)</f>
        <v>#REF!</v>
      </c>
      <c r="AG2033" s="69" t="e" cm="1">
        <f t="array" ref="AG2033">_xlfn.XLOOKUP(Table1[[#This Row],[5 cm2 cell test code]:[5 cm2 cell test code]],[1]!Table1[[Test code]:[Test code]],[1]!Table1[Q_int_frac DIW],"",0)</f>
        <v>#REF!</v>
      </c>
      <c r="AH2033" s="69" t="e" cm="1">
        <f t="array" ref="AH2033">_xlfn.XLOOKUP(Table1[[#This Row],[5 cm2 cell test code]:[5 cm2 cell test code]],[1]!Table1[[Test code]:[Test code]],[1]!Table1[Ionic resistance 10 mM KOH/Ohm cm2],"",0)</f>
        <v>#REF!</v>
      </c>
      <c r="AI2033" s="69" t="e" cm="1">
        <f t="array" ref="AI2033">_xlfn.XLOOKUP(Table1[[#This Row],[5 cm2 cell test code]:[5 cm2 cell test code]],[1]!Table1[[Test code]:[Test code]],[1]!Table1[Q_int_frac DIW 10 mM KOH],"",0)</f>
        <v>#REF!</v>
      </c>
      <c r="AJ2033" s="69" t="e" cm="1">
        <f t="array" ref="AJ2033">_xlfn.XLOOKUP(Table1[[#This Row],[5 cm2 cell test code]:[5 cm2 cell test code]],[1]!Table1[[Test code]:[Test code]],[1]!Table1[DIW conductivity (µS/cm)],"",0)</f>
        <v>#REF!</v>
      </c>
    </row>
    <row r="2034" spans="1:36">
      <c r="A2034" s="81"/>
      <c r="U2034" s="101"/>
      <c r="V2034" s="101"/>
      <c r="W2034" s="69" t="e" cm="1">
        <f t="array" ref="W2034">_xlfn.XLOOKUP(Table1[[#This Row],[5 cm2 cell test code]:[5 cm2 cell test code]],[1]!Table1[[Test code]:[Test code]],[1]!Table1[i @ 1.8 V DIW (A/cm2)],"",0)</f>
        <v>#REF!</v>
      </c>
      <c r="X2034" s="69" t="e" cm="1">
        <f t="array" ref="X2034">_xlfn.XLOOKUP(Table1[[#This Row],[5 cm2 cell test code]:[5 cm2 cell test code]],[1]!Table1[[Test code]:[Test code]],[1]!Table1[i @ 1.8 V 10 mM KOH (A/cm2)],"",0)</f>
        <v>#REF!</v>
      </c>
      <c r="Y2034" s="69" t="e" cm="1">
        <f t="array" ref="Y2034">_xlfn.XLOOKUP(Table1[[#This Row],[5 cm2 cell test code]:[5 cm2 cell test code]],[1]!Table1[[Test code]:[Test code]],[1]!Table1[3-E ƞ at 20mAcm-2 (mV)],"",0)</f>
        <v>#REF!</v>
      </c>
      <c r="Z2034" s="69" t="e" cm="1">
        <f t="array" ref="Z2034">_xlfn.XLOOKUP(Table1[[#This Row],[5 cm2 cell test code]:[5 cm2 cell test code]],[1]!Table1[[Test code]:[Test code]],[1]!Table1[3-E Tafel slope (mV/dec)],"",0)</f>
        <v>#REF!</v>
      </c>
      <c r="AA2034" s="69" t="e" cm="1">
        <f t="array" ref="AA2034">_xlfn.XLOOKUP(Table1[[#This Row],[5 cm2 cell test code]:[5 cm2 cell test code]],[1]!Table1[[Test code]:[Test code]],[1]!Table1[E @ 100 mA/cm2 DIW/V],"",0)</f>
        <v>#REF!</v>
      </c>
      <c r="AB2034" s="69" t="e" cm="1">
        <f t="array" ref="AB2034">_xlfn.XLOOKUP(Table1[[#This Row],[5 cm2 cell test code]:[5 cm2 cell test code]],[1]!Table1[[Test code]:[Test code]],[1]!Table1[E @ 100 mA/cm2 10 mM KOH/V],"",0)</f>
        <v>#REF!</v>
      </c>
      <c r="AC2034" s="69" t="e" cm="1">
        <f t="array" ref="AC2034">_xlfn.XLOOKUP(Table1[[#This Row],[5 cm2 cell test code]:[5 cm2 cell test code]],[1]!Table1[[Test code]:[Test code]],[1]!Table1[Anode ICR/mOhm],"",0)</f>
        <v>#REF!</v>
      </c>
      <c r="AD2034" s="69" t="e" cm="1">
        <f t="array" ref="AD2034">_xlfn.XLOOKUP(Table1[[#This Row],[5 cm2 cell test code]:[5 cm2 cell test code]],[1]!Table1[[Test code]:[Test code]],[1]!Table1[HFR DIW/ mOhm cm2],"",0)</f>
        <v>#REF!</v>
      </c>
      <c r="AE2034" s="69" t="e" cm="1">
        <f t="array" ref="AE2034">_xlfn.XLOOKUP(Table1[[#This Row],[5 cm2 cell test code]:[5 cm2 cell test code]],[1]!Table1[[Test code]:[Test code]],[1]!Table1[HFR 10 mM KOH/ mOhm cm2],"",0)</f>
        <v>#REF!</v>
      </c>
      <c r="AF2034" s="69" t="e" cm="1">
        <f t="array" ref="AF2034">_xlfn.XLOOKUP(Table1[[#This Row],[5 cm2 cell test code]:[5 cm2 cell test code]],[1]!Table1[[Test code]:[Test code]],[1]!Table1[Ionic resistance DIW/Ohm cm2],"",0)</f>
        <v>#REF!</v>
      </c>
      <c r="AG2034" s="69" t="e" cm="1">
        <f t="array" ref="AG2034">_xlfn.XLOOKUP(Table1[[#This Row],[5 cm2 cell test code]:[5 cm2 cell test code]],[1]!Table1[[Test code]:[Test code]],[1]!Table1[Q_int_frac DIW],"",0)</f>
        <v>#REF!</v>
      </c>
      <c r="AH2034" s="69" t="e" cm="1">
        <f t="array" ref="AH2034">_xlfn.XLOOKUP(Table1[[#This Row],[5 cm2 cell test code]:[5 cm2 cell test code]],[1]!Table1[[Test code]:[Test code]],[1]!Table1[Ionic resistance 10 mM KOH/Ohm cm2],"",0)</f>
        <v>#REF!</v>
      </c>
      <c r="AI2034" s="69" t="e" cm="1">
        <f t="array" ref="AI2034">_xlfn.XLOOKUP(Table1[[#This Row],[5 cm2 cell test code]:[5 cm2 cell test code]],[1]!Table1[[Test code]:[Test code]],[1]!Table1[Q_int_frac DIW 10 mM KOH],"",0)</f>
        <v>#REF!</v>
      </c>
      <c r="AJ2034" s="69" t="e" cm="1">
        <f t="array" ref="AJ2034">_xlfn.XLOOKUP(Table1[[#This Row],[5 cm2 cell test code]:[5 cm2 cell test code]],[1]!Table1[[Test code]:[Test code]],[1]!Table1[DIW conductivity (µS/cm)],"",0)</f>
        <v>#REF!</v>
      </c>
    </row>
    <row r="2035" spans="1:36">
      <c r="A2035" s="81"/>
      <c r="U2035" s="101"/>
      <c r="V2035" s="101"/>
      <c r="W2035" s="69" t="e" cm="1">
        <f t="array" ref="W2035">_xlfn.XLOOKUP(Table1[[#This Row],[5 cm2 cell test code]:[5 cm2 cell test code]],[1]!Table1[[Test code]:[Test code]],[1]!Table1[i @ 1.8 V DIW (A/cm2)],"",0)</f>
        <v>#REF!</v>
      </c>
      <c r="X2035" s="69" t="e" cm="1">
        <f t="array" ref="X2035">_xlfn.XLOOKUP(Table1[[#This Row],[5 cm2 cell test code]:[5 cm2 cell test code]],[1]!Table1[[Test code]:[Test code]],[1]!Table1[i @ 1.8 V 10 mM KOH (A/cm2)],"",0)</f>
        <v>#REF!</v>
      </c>
      <c r="Y2035" s="69" t="e" cm="1">
        <f t="array" ref="Y2035">_xlfn.XLOOKUP(Table1[[#This Row],[5 cm2 cell test code]:[5 cm2 cell test code]],[1]!Table1[[Test code]:[Test code]],[1]!Table1[3-E ƞ at 20mAcm-2 (mV)],"",0)</f>
        <v>#REF!</v>
      </c>
      <c r="Z2035" s="69" t="e" cm="1">
        <f t="array" ref="Z2035">_xlfn.XLOOKUP(Table1[[#This Row],[5 cm2 cell test code]:[5 cm2 cell test code]],[1]!Table1[[Test code]:[Test code]],[1]!Table1[3-E Tafel slope (mV/dec)],"",0)</f>
        <v>#REF!</v>
      </c>
      <c r="AA2035" s="69" t="e" cm="1">
        <f t="array" ref="AA2035">_xlfn.XLOOKUP(Table1[[#This Row],[5 cm2 cell test code]:[5 cm2 cell test code]],[1]!Table1[[Test code]:[Test code]],[1]!Table1[E @ 100 mA/cm2 DIW/V],"",0)</f>
        <v>#REF!</v>
      </c>
      <c r="AB2035" s="69" t="e" cm="1">
        <f t="array" ref="AB2035">_xlfn.XLOOKUP(Table1[[#This Row],[5 cm2 cell test code]:[5 cm2 cell test code]],[1]!Table1[[Test code]:[Test code]],[1]!Table1[E @ 100 mA/cm2 10 mM KOH/V],"",0)</f>
        <v>#REF!</v>
      </c>
      <c r="AC2035" s="69" t="e" cm="1">
        <f t="array" ref="AC2035">_xlfn.XLOOKUP(Table1[[#This Row],[5 cm2 cell test code]:[5 cm2 cell test code]],[1]!Table1[[Test code]:[Test code]],[1]!Table1[Anode ICR/mOhm],"",0)</f>
        <v>#REF!</v>
      </c>
      <c r="AD2035" s="69" t="e" cm="1">
        <f t="array" ref="AD2035">_xlfn.XLOOKUP(Table1[[#This Row],[5 cm2 cell test code]:[5 cm2 cell test code]],[1]!Table1[[Test code]:[Test code]],[1]!Table1[HFR DIW/ mOhm cm2],"",0)</f>
        <v>#REF!</v>
      </c>
      <c r="AE2035" s="69" t="e" cm="1">
        <f t="array" ref="AE2035">_xlfn.XLOOKUP(Table1[[#This Row],[5 cm2 cell test code]:[5 cm2 cell test code]],[1]!Table1[[Test code]:[Test code]],[1]!Table1[HFR 10 mM KOH/ mOhm cm2],"",0)</f>
        <v>#REF!</v>
      </c>
      <c r="AF2035" s="69" t="e" cm="1">
        <f t="array" ref="AF2035">_xlfn.XLOOKUP(Table1[[#This Row],[5 cm2 cell test code]:[5 cm2 cell test code]],[1]!Table1[[Test code]:[Test code]],[1]!Table1[Ionic resistance DIW/Ohm cm2],"",0)</f>
        <v>#REF!</v>
      </c>
      <c r="AG2035" s="69" t="e" cm="1">
        <f t="array" ref="AG2035">_xlfn.XLOOKUP(Table1[[#This Row],[5 cm2 cell test code]:[5 cm2 cell test code]],[1]!Table1[[Test code]:[Test code]],[1]!Table1[Q_int_frac DIW],"",0)</f>
        <v>#REF!</v>
      </c>
      <c r="AH2035" s="69" t="e" cm="1">
        <f t="array" ref="AH2035">_xlfn.XLOOKUP(Table1[[#This Row],[5 cm2 cell test code]:[5 cm2 cell test code]],[1]!Table1[[Test code]:[Test code]],[1]!Table1[Ionic resistance 10 mM KOH/Ohm cm2],"",0)</f>
        <v>#REF!</v>
      </c>
      <c r="AI2035" s="69" t="e" cm="1">
        <f t="array" ref="AI2035">_xlfn.XLOOKUP(Table1[[#This Row],[5 cm2 cell test code]:[5 cm2 cell test code]],[1]!Table1[[Test code]:[Test code]],[1]!Table1[Q_int_frac DIW 10 mM KOH],"",0)</f>
        <v>#REF!</v>
      </c>
      <c r="AJ2035" s="69" t="e" cm="1">
        <f t="array" ref="AJ2035">_xlfn.XLOOKUP(Table1[[#This Row],[5 cm2 cell test code]:[5 cm2 cell test code]],[1]!Table1[[Test code]:[Test code]],[1]!Table1[DIW conductivity (µS/cm)],"",0)</f>
        <v>#REF!</v>
      </c>
    </row>
    <row r="2036" spans="1:36">
      <c r="A2036" s="81"/>
      <c r="U2036" s="101"/>
      <c r="V2036" s="101"/>
      <c r="W2036" s="69" t="e" cm="1">
        <f t="array" ref="W2036">_xlfn.XLOOKUP(Table1[[#This Row],[5 cm2 cell test code]:[5 cm2 cell test code]],[1]!Table1[[Test code]:[Test code]],[1]!Table1[i @ 1.8 V DIW (A/cm2)],"",0)</f>
        <v>#REF!</v>
      </c>
      <c r="X2036" s="69" t="e" cm="1">
        <f t="array" ref="X2036">_xlfn.XLOOKUP(Table1[[#This Row],[5 cm2 cell test code]:[5 cm2 cell test code]],[1]!Table1[[Test code]:[Test code]],[1]!Table1[i @ 1.8 V 10 mM KOH (A/cm2)],"",0)</f>
        <v>#REF!</v>
      </c>
      <c r="Y2036" s="69" t="e" cm="1">
        <f t="array" ref="Y2036">_xlfn.XLOOKUP(Table1[[#This Row],[5 cm2 cell test code]:[5 cm2 cell test code]],[1]!Table1[[Test code]:[Test code]],[1]!Table1[3-E ƞ at 20mAcm-2 (mV)],"",0)</f>
        <v>#REF!</v>
      </c>
      <c r="Z2036" s="69" t="e" cm="1">
        <f t="array" ref="Z2036">_xlfn.XLOOKUP(Table1[[#This Row],[5 cm2 cell test code]:[5 cm2 cell test code]],[1]!Table1[[Test code]:[Test code]],[1]!Table1[3-E Tafel slope (mV/dec)],"",0)</f>
        <v>#REF!</v>
      </c>
      <c r="AA2036" s="69" t="e" cm="1">
        <f t="array" ref="AA2036">_xlfn.XLOOKUP(Table1[[#This Row],[5 cm2 cell test code]:[5 cm2 cell test code]],[1]!Table1[[Test code]:[Test code]],[1]!Table1[E @ 100 mA/cm2 DIW/V],"",0)</f>
        <v>#REF!</v>
      </c>
      <c r="AB2036" s="69" t="e" cm="1">
        <f t="array" ref="AB2036">_xlfn.XLOOKUP(Table1[[#This Row],[5 cm2 cell test code]:[5 cm2 cell test code]],[1]!Table1[[Test code]:[Test code]],[1]!Table1[E @ 100 mA/cm2 10 mM KOH/V],"",0)</f>
        <v>#REF!</v>
      </c>
      <c r="AC2036" s="69" t="e" cm="1">
        <f t="array" ref="AC2036">_xlfn.XLOOKUP(Table1[[#This Row],[5 cm2 cell test code]:[5 cm2 cell test code]],[1]!Table1[[Test code]:[Test code]],[1]!Table1[Anode ICR/mOhm],"",0)</f>
        <v>#REF!</v>
      </c>
      <c r="AD2036" s="69" t="e" cm="1">
        <f t="array" ref="AD2036">_xlfn.XLOOKUP(Table1[[#This Row],[5 cm2 cell test code]:[5 cm2 cell test code]],[1]!Table1[[Test code]:[Test code]],[1]!Table1[HFR DIW/ mOhm cm2],"",0)</f>
        <v>#REF!</v>
      </c>
      <c r="AE2036" s="69" t="e" cm="1">
        <f t="array" ref="AE2036">_xlfn.XLOOKUP(Table1[[#This Row],[5 cm2 cell test code]:[5 cm2 cell test code]],[1]!Table1[[Test code]:[Test code]],[1]!Table1[HFR 10 mM KOH/ mOhm cm2],"",0)</f>
        <v>#REF!</v>
      </c>
      <c r="AF2036" s="69" t="e" cm="1">
        <f t="array" ref="AF2036">_xlfn.XLOOKUP(Table1[[#This Row],[5 cm2 cell test code]:[5 cm2 cell test code]],[1]!Table1[[Test code]:[Test code]],[1]!Table1[Ionic resistance DIW/Ohm cm2],"",0)</f>
        <v>#REF!</v>
      </c>
      <c r="AG2036" s="69" t="e" cm="1">
        <f t="array" ref="AG2036">_xlfn.XLOOKUP(Table1[[#This Row],[5 cm2 cell test code]:[5 cm2 cell test code]],[1]!Table1[[Test code]:[Test code]],[1]!Table1[Q_int_frac DIW],"",0)</f>
        <v>#REF!</v>
      </c>
      <c r="AH2036" s="69" t="e" cm="1">
        <f t="array" ref="AH2036">_xlfn.XLOOKUP(Table1[[#This Row],[5 cm2 cell test code]:[5 cm2 cell test code]],[1]!Table1[[Test code]:[Test code]],[1]!Table1[Ionic resistance 10 mM KOH/Ohm cm2],"",0)</f>
        <v>#REF!</v>
      </c>
      <c r="AI2036" s="69" t="e" cm="1">
        <f t="array" ref="AI2036">_xlfn.XLOOKUP(Table1[[#This Row],[5 cm2 cell test code]:[5 cm2 cell test code]],[1]!Table1[[Test code]:[Test code]],[1]!Table1[Q_int_frac DIW 10 mM KOH],"",0)</f>
        <v>#REF!</v>
      </c>
      <c r="AJ2036" s="69" t="e" cm="1">
        <f t="array" ref="AJ2036">_xlfn.XLOOKUP(Table1[[#This Row],[5 cm2 cell test code]:[5 cm2 cell test code]],[1]!Table1[[Test code]:[Test code]],[1]!Table1[DIW conductivity (µS/cm)],"",0)</f>
        <v>#REF!</v>
      </c>
    </row>
    <row r="2037" spans="1:36">
      <c r="A2037" s="81"/>
      <c r="U2037" s="101"/>
      <c r="V2037" s="101"/>
      <c r="W2037" s="69" t="e" cm="1">
        <f t="array" ref="W2037">_xlfn.XLOOKUP(Table1[[#This Row],[5 cm2 cell test code]:[5 cm2 cell test code]],[1]!Table1[[Test code]:[Test code]],[1]!Table1[i @ 1.8 V DIW (A/cm2)],"",0)</f>
        <v>#REF!</v>
      </c>
      <c r="X2037" s="69" t="e" cm="1">
        <f t="array" ref="X2037">_xlfn.XLOOKUP(Table1[[#This Row],[5 cm2 cell test code]:[5 cm2 cell test code]],[1]!Table1[[Test code]:[Test code]],[1]!Table1[i @ 1.8 V 10 mM KOH (A/cm2)],"",0)</f>
        <v>#REF!</v>
      </c>
      <c r="Y2037" s="69" t="e" cm="1">
        <f t="array" ref="Y2037">_xlfn.XLOOKUP(Table1[[#This Row],[5 cm2 cell test code]:[5 cm2 cell test code]],[1]!Table1[[Test code]:[Test code]],[1]!Table1[3-E ƞ at 20mAcm-2 (mV)],"",0)</f>
        <v>#REF!</v>
      </c>
      <c r="Z2037" s="69" t="e" cm="1">
        <f t="array" ref="Z2037">_xlfn.XLOOKUP(Table1[[#This Row],[5 cm2 cell test code]:[5 cm2 cell test code]],[1]!Table1[[Test code]:[Test code]],[1]!Table1[3-E Tafel slope (mV/dec)],"",0)</f>
        <v>#REF!</v>
      </c>
      <c r="AA2037" s="69" t="e" cm="1">
        <f t="array" ref="AA2037">_xlfn.XLOOKUP(Table1[[#This Row],[5 cm2 cell test code]:[5 cm2 cell test code]],[1]!Table1[[Test code]:[Test code]],[1]!Table1[E @ 100 mA/cm2 DIW/V],"",0)</f>
        <v>#REF!</v>
      </c>
      <c r="AB2037" s="69" t="e" cm="1">
        <f t="array" ref="AB2037">_xlfn.XLOOKUP(Table1[[#This Row],[5 cm2 cell test code]:[5 cm2 cell test code]],[1]!Table1[[Test code]:[Test code]],[1]!Table1[E @ 100 mA/cm2 10 mM KOH/V],"",0)</f>
        <v>#REF!</v>
      </c>
      <c r="AC2037" s="69" t="e" cm="1">
        <f t="array" ref="AC2037">_xlfn.XLOOKUP(Table1[[#This Row],[5 cm2 cell test code]:[5 cm2 cell test code]],[1]!Table1[[Test code]:[Test code]],[1]!Table1[Anode ICR/mOhm],"",0)</f>
        <v>#REF!</v>
      </c>
      <c r="AD2037" s="69" t="e" cm="1">
        <f t="array" ref="AD2037">_xlfn.XLOOKUP(Table1[[#This Row],[5 cm2 cell test code]:[5 cm2 cell test code]],[1]!Table1[[Test code]:[Test code]],[1]!Table1[HFR DIW/ mOhm cm2],"",0)</f>
        <v>#REF!</v>
      </c>
      <c r="AE2037" s="69" t="e" cm="1">
        <f t="array" ref="AE2037">_xlfn.XLOOKUP(Table1[[#This Row],[5 cm2 cell test code]:[5 cm2 cell test code]],[1]!Table1[[Test code]:[Test code]],[1]!Table1[HFR 10 mM KOH/ mOhm cm2],"",0)</f>
        <v>#REF!</v>
      </c>
      <c r="AF2037" s="69" t="e" cm="1">
        <f t="array" ref="AF2037">_xlfn.XLOOKUP(Table1[[#This Row],[5 cm2 cell test code]:[5 cm2 cell test code]],[1]!Table1[[Test code]:[Test code]],[1]!Table1[Ionic resistance DIW/Ohm cm2],"",0)</f>
        <v>#REF!</v>
      </c>
      <c r="AG2037" s="69" t="e" cm="1">
        <f t="array" ref="AG2037">_xlfn.XLOOKUP(Table1[[#This Row],[5 cm2 cell test code]:[5 cm2 cell test code]],[1]!Table1[[Test code]:[Test code]],[1]!Table1[Q_int_frac DIW],"",0)</f>
        <v>#REF!</v>
      </c>
      <c r="AH2037" s="69" t="e" cm="1">
        <f t="array" ref="AH2037">_xlfn.XLOOKUP(Table1[[#This Row],[5 cm2 cell test code]:[5 cm2 cell test code]],[1]!Table1[[Test code]:[Test code]],[1]!Table1[Ionic resistance 10 mM KOH/Ohm cm2],"",0)</f>
        <v>#REF!</v>
      </c>
      <c r="AI2037" s="69" t="e" cm="1">
        <f t="array" ref="AI2037">_xlfn.XLOOKUP(Table1[[#This Row],[5 cm2 cell test code]:[5 cm2 cell test code]],[1]!Table1[[Test code]:[Test code]],[1]!Table1[Q_int_frac DIW 10 mM KOH],"",0)</f>
        <v>#REF!</v>
      </c>
      <c r="AJ2037" s="69" t="e" cm="1">
        <f t="array" ref="AJ2037">_xlfn.XLOOKUP(Table1[[#This Row],[5 cm2 cell test code]:[5 cm2 cell test code]],[1]!Table1[[Test code]:[Test code]],[1]!Table1[DIW conductivity (µS/cm)],"",0)</f>
        <v>#REF!</v>
      </c>
    </row>
    <row r="2038" spans="1:36">
      <c r="A2038" s="81"/>
      <c r="U2038" s="101"/>
      <c r="V2038" s="101"/>
      <c r="W2038" s="69" t="e" cm="1">
        <f t="array" ref="W2038">_xlfn.XLOOKUP(Table1[[#This Row],[5 cm2 cell test code]:[5 cm2 cell test code]],[1]!Table1[[Test code]:[Test code]],[1]!Table1[i @ 1.8 V DIW (A/cm2)],"",0)</f>
        <v>#REF!</v>
      </c>
      <c r="X2038" s="69" t="e" cm="1">
        <f t="array" ref="X2038">_xlfn.XLOOKUP(Table1[[#This Row],[5 cm2 cell test code]:[5 cm2 cell test code]],[1]!Table1[[Test code]:[Test code]],[1]!Table1[i @ 1.8 V 10 mM KOH (A/cm2)],"",0)</f>
        <v>#REF!</v>
      </c>
      <c r="Y2038" s="69" t="e" cm="1">
        <f t="array" ref="Y2038">_xlfn.XLOOKUP(Table1[[#This Row],[5 cm2 cell test code]:[5 cm2 cell test code]],[1]!Table1[[Test code]:[Test code]],[1]!Table1[3-E ƞ at 20mAcm-2 (mV)],"",0)</f>
        <v>#REF!</v>
      </c>
      <c r="Z2038" s="69" t="e" cm="1">
        <f t="array" ref="Z2038">_xlfn.XLOOKUP(Table1[[#This Row],[5 cm2 cell test code]:[5 cm2 cell test code]],[1]!Table1[[Test code]:[Test code]],[1]!Table1[3-E Tafel slope (mV/dec)],"",0)</f>
        <v>#REF!</v>
      </c>
      <c r="AA2038" s="69" t="e" cm="1">
        <f t="array" ref="AA2038">_xlfn.XLOOKUP(Table1[[#This Row],[5 cm2 cell test code]:[5 cm2 cell test code]],[1]!Table1[[Test code]:[Test code]],[1]!Table1[E @ 100 mA/cm2 DIW/V],"",0)</f>
        <v>#REF!</v>
      </c>
      <c r="AB2038" s="69" t="e" cm="1">
        <f t="array" ref="AB2038">_xlfn.XLOOKUP(Table1[[#This Row],[5 cm2 cell test code]:[5 cm2 cell test code]],[1]!Table1[[Test code]:[Test code]],[1]!Table1[E @ 100 mA/cm2 10 mM KOH/V],"",0)</f>
        <v>#REF!</v>
      </c>
      <c r="AC2038" s="69" t="e" cm="1">
        <f t="array" ref="AC2038">_xlfn.XLOOKUP(Table1[[#This Row],[5 cm2 cell test code]:[5 cm2 cell test code]],[1]!Table1[[Test code]:[Test code]],[1]!Table1[Anode ICR/mOhm],"",0)</f>
        <v>#REF!</v>
      </c>
      <c r="AD2038" s="69" t="e" cm="1">
        <f t="array" ref="AD2038">_xlfn.XLOOKUP(Table1[[#This Row],[5 cm2 cell test code]:[5 cm2 cell test code]],[1]!Table1[[Test code]:[Test code]],[1]!Table1[HFR DIW/ mOhm cm2],"",0)</f>
        <v>#REF!</v>
      </c>
      <c r="AE2038" s="69" t="e" cm="1">
        <f t="array" ref="AE2038">_xlfn.XLOOKUP(Table1[[#This Row],[5 cm2 cell test code]:[5 cm2 cell test code]],[1]!Table1[[Test code]:[Test code]],[1]!Table1[HFR 10 mM KOH/ mOhm cm2],"",0)</f>
        <v>#REF!</v>
      </c>
      <c r="AF2038" s="69" t="e" cm="1">
        <f t="array" ref="AF2038">_xlfn.XLOOKUP(Table1[[#This Row],[5 cm2 cell test code]:[5 cm2 cell test code]],[1]!Table1[[Test code]:[Test code]],[1]!Table1[Ionic resistance DIW/Ohm cm2],"",0)</f>
        <v>#REF!</v>
      </c>
      <c r="AG2038" s="69" t="e" cm="1">
        <f t="array" ref="AG2038">_xlfn.XLOOKUP(Table1[[#This Row],[5 cm2 cell test code]:[5 cm2 cell test code]],[1]!Table1[[Test code]:[Test code]],[1]!Table1[Q_int_frac DIW],"",0)</f>
        <v>#REF!</v>
      </c>
      <c r="AH2038" s="69" t="e" cm="1">
        <f t="array" ref="AH2038">_xlfn.XLOOKUP(Table1[[#This Row],[5 cm2 cell test code]:[5 cm2 cell test code]],[1]!Table1[[Test code]:[Test code]],[1]!Table1[Ionic resistance 10 mM KOH/Ohm cm2],"",0)</f>
        <v>#REF!</v>
      </c>
      <c r="AI2038" s="69" t="e" cm="1">
        <f t="array" ref="AI2038">_xlfn.XLOOKUP(Table1[[#This Row],[5 cm2 cell test code]:[5 cm2 cell test code]],[1]!Table1[[Test code]:[Test code]],[1]!Table1[Q_int_frac DIW 10 mM KOH],"",0)</f>
        <v>#REF!</v>
      </c>
      <c r="AJ2038" s="69" t="e" cm="1">
        <f t="array" ref="AJ2038">_xlfn.XLOOKUP(Table1[[#This Row],[5 cm2 cell test code]:[5 cm2 cell test code]],[1]!Table1[[Test code]:[Test code]],[1]!Table1[DIW conductivity (µS/cm)],"",0)</f>
        <v>#REF!</v>
      </c>
    </row>
    <row r="2039" spans="1:36">
      <c r="A2039" s="81"/>
      <c r="U2039" s="101"/>
      <c r="V2039" s="101"/>
      <c r="W2039" s="69" t="e" cm="1">
        <f t="array" ref="W2039">_xlfn.XLOOKUP(Table1[[#This Row],[5 cm2 cell test code]:[5 cm2 cell test code]],[1]!Table1[[Test code]:[Test code]],[1]!Table1[i @ 1.8 V DIW (A/cm2)],"",0)</f>
        <v>#REF!</v>
      </c>
      <c r="X2039" s="69" t="e" cm="1">
        <f t="array" ref="X2039">_xlfn.XLOOKUP(Table1[[#This Row],[5 cm2 cell test code]:[5 cm2 cell test code]],[1]!Table1[[Test code]:[Test code]],[1]!Table1[i @ 1.8 V 10 mM KOH (A/cm2)],"",0)</f>
        <v>#REF!</v>
      </c>
      <c r="Y2039" s="69" t="e" cm="1">
        <f t="array" ref="Y2039">_xlfn.XLOOKUP(Table1[[#This Row],[5 cm2 cell test code]:[5 cm2 cell test code]],[1]!Table1[[Test code]:[Test code]],[1]!Table1[3-E ƞ at 20mAcm-2 (mV)],"",0)</f>
        <v>#REF!</v>
      </c>
      <c r="Z2039" s="69" t="e" cm="1">
        <f t="array" ref="Z2039">_xlfn.XLOOKUP(Table1[[#This Row],[5 cm2 cell test code]:[5 cm2 cell test code]],[1]!Table1[[Test code]:[Test code]],[1]!Table1[3-E Tafel slope (mV/dec)],"",0)</f>
        <v>#REF!</v>
      </c>
      <c r="AA2039" s="69" t="e" cm="1">
        <f t="array" ref="AA2039">_xlfn.XLOOKUP(Table1[[#This Row],[5 cm2 cell test code]:[5 cm2 cell test code]],[1]!Table1[[Test code]:[Test code]],[1]!Table1[E @ 100 mA/cm2 DIW/V],"",0)</f>
        <v>#REF!</v>
      </c>
      <c r="AB2039" s="69" t="e" cm="1">
        <f t="array" ref="AB2039">_xlfn.XLOOKUP(Table1[[#This Row],[5 cm2 cell test code]:[5 cm2 cell test code]],[1]!Table1[[Test code]:[Test code]],[1]!Table1[E @ 100 mA/cm2 10 mM KOH/V],"",0)</f>
        <v>#REF!</v>
      </c>
      <c r="AC2039" s="69" t="e" cm="1">
        <f t="array" ref="AC2039">_xlfn.XLOOKUP(Table1[[#This Row],[5 cm2 cell test code]:[5 cm2 cell test code]],[1]!Table1[[Test code]:[Test code]],[1]!Table1[Anode ICR/mOhm],"",0)</f>
        <v>#REF!</v>
      </c>
      <c r="AD2039" s="69" t="e" cm="1">
        <f t="array" ref="AD2039">_xlfn.XLOOKUP(Table1[[#This Row],[5 cm2 cell test code]:[5 cm2 cell test code]],[1]!Table1[[Test code]:[Test code]],[1]!Table1[HFR DIW/ mOhm cm2],"",0)</f>
        <v>#REF!</v>
      </c>
      <c r="AE2039" s="69" t="e" cm="1">
        <f t="array" ref="AE2039">_xlfn.XLOOKUP(Table1[[#This Row],[5 cm2 cell test code]:[5 cm2 cell test code]],[1]!Table1[[Test code]:[Test code]],[1]!Table1[HFR 10 mM KOH/ mOhm cm2],"",0)</f>
        <v>#REF!</v>
      </c>
      <c r="AF2039" s="69" t="e" cm="1">
        <f t="array" ref="AF2039">_xlfn.XLOOKUP(Table1[[#This Row],[5 cm2 cell test code]:[5 cm2 cell test code]],[1]!Table1[[Test code]:[Test code]],[1]!Table1[Ionic resistance DIW/Ohm cm2],"",0)</f>
        <v>#REF!</v>
      </c>
      <c r="AG2039" s="69" t="e" cm="1">
        <f t="array" ref="AG2039">_xlfn.XLOOKUP(Table1[[#This Row],[5 cm2 cell test code]:[5 cm2 cell test code]],[1]!Table1[[Test code]:[Test code]],[1]!Table1[Q_int_frac DIW],"",0)</f>
        <v>#REF!</v>
      </c>
      <c r="AH2039" s="69" t="e" cm="1">
        <f t="array" ref="AH2039">_xlfn.XLOOKUP(Table1[[#This Row],[5 cm2 cell test code]:[5 cm2 cell test code]],[1]!Table1[[Test code]:[Test code]],[1]!Table1[Ionic resistance 10 mM KOH/Ohm cm2],"",0)</f>
        <v>#REF!</v>
      </c>
      <c r="AI2039" s="69" t="e" cm="1">
        <f t="array" ref="AI2039">_xlfn.XLOOKUP(Table1[[#This Row],[5 cm2 cell test code]:[5 cm2 cell test code]],[1]!Table1[[Test code]:[Test code]],[1]!Table1[Q_int_frac DIW 10 mM KOH],"",0)</f>
        <v>#REF!</v>
      </c>
      <c r="AJ2039" s="69" t="e" cm="1">
        <f t="array" ref="AJ2039">_xlfn.XLOOKUP(Table1[[#This Row],[5 cm2 cell test code]:[5 cm2 cell test code]],[1]!Table1[[Test code]:[Test code]],[1]!Table1[DIW conductivity (µS/cm)],"",0)</f>
        <v>#REF!</v>
      </c>
    </row>
    <row r="2040" spans="1:36">
      <c r="A2040" s="81"/>
      <c r="U2040" s="101"/>
      <c r="V2040" s="101"/>
      <c r="W2040" s="69" t="e" cm="1">
        <f t="array" ref="W2040">_xlfn.XLOOKUP(Table1[[#This Row],[5 cm2 cell test code]:[5 cm2 cell test code]],[1]!Table1[[Test code]:[Test code]],[1]!Table1[i @ 1.8 V DIW (A/cm2)],"",0)</f>
        <v>#REF!</v>
      </c>
      <c r="X2040" s="69" t="e" cm="1">
        <f t="array" ref="X2040">_xlfn.XLOOKUP(Table1[[#This Row],[5 cm2 cell test code]:[5 cm2 cell test code]],[1]!Table1[[Test code]:[Test code]],[1]!Table1[i @ 1.8 V 10 mM KOH (A/cm2)],"",0)</f>
        <v>#REF!</v>
      </c>
      <c r="Y2040" s="69" t="e" cm="1">
        <f t="array" ref="Y2040">_xlfn.XLOOKUP(Table1[[#This Row],[5 cm2 cell test code]:[5 cm2 cell test code]],[1]!Table1[[Test code]:[Test code]],[1]!Table1[3-E ƞ at 20mAcm-2 (mV)],"",0)</f>
        <v>#REF!</v>
      </c>
      <c r="Z2040" s="69" t="e" cm="1">
        <f t="array" ref="Z2040">_xlfn.XLOOKUP(Table1[[#This Row],[5 cm2 cell test code]:[5 cm2 cell test code]],[1]!Table1[[Test code]:[Test code]],[1]!Table1[3-E Tafel slope (mV/dec)],"",0)</f>
        <v>#REF!</v>
      </c>
      <c r="AA2040" s="69" t="e" cm="1">
        <f t="array" ref="AA2040">_xlfn.XLOOKUP(Table1[[#This Row],[5 cm2 cell test code]:[5 cm2 cell test code]],[1]!Table1[[Test code]:[Test code]],[1]!Table1[E @ 100 mA/cm2 DIW/V],"",0)</f>
        <v>#REF!</v>
      </c>
      <c r="AB2040" s="69" t="e" cm="1">
        <f t="array" ref="AB2040">_xlfn.XLOOKUP(Table1[[#This Row],[5 cm2 cell test code]:[5 cm2 cell test code]],[1]!Table1[[Test code]:[Test code]],[1]!Table1[E @ 100 mA/cm2 10 mM KOH/V],"",0)</f>
        <v>#REF!</v>
      </c>
      <c r="AC2040" s="69" t="e" cm="1">
        <f t="array" ref="AC2040">_xlfn.XLOOKUP(Table1[[#This Row],[5 cm2 cell test code]:[5 cm2 cell test code]],[1]!Table1[[Test code]:[Test code]],[1]!Table1[Anode ICR/mOhm],"",0)</f>
        <v>#REF!</v>
      </c>
      <c r="AD2040" s="69" t="e" cm="1">
        <f t="array" ref="AD2040">_xlfn.XLOOKUP(Table1[[#This Row],[5 cm2 cell test code]:[5 cm2 cell test code]],[1]!Table1[[Test code]:[Test code]],[1]!Table1[HFR DIW/ mOhm cm2],"",0)</f>
        <v>#REF!</v>
      </c>
      <c r="AE2040" s="69" t="e" cm="1">
        <f t="array" ref="AE2040">_xlfn.XLOOKUP(Table1[[#This Row],[5 cm2 cell test code]:[5 cm2 cell test code]],[1]!Table1[[Test code]:[Test code]],[1]!Table1[HFR 10 mM KOH/ mOhm cm2],"",0)</f>
        <v>#REF!</v>
      </c>
      <c r="AF2040" s="69" t="e" cm="1">
        <f t="array" ref="AF2040">_xlfn.XLOOKUP(Table1[[#This Row],[5 cm2 cell test code]:[5 cm2 cell test code]],[1]!Table1[[Test code]:[Test code]],[1]!Table1[Ionic resistance DIW/Ohm cm2],"",0)</f>
        <v>#REF!</v>
      </c>
      <c r="AG2040" s="69" t="e" cm="1">
        <f t="array" ref="AG2040">_xlfn.XLOOKUP(Table1[[#This Row],[5 cm2 cell test code]:[5 cm2 cell test code]],[1]!Table1[[Test code]:[Test code]],[1]!Table1[Q_int_frac DIW],"",0)</f>
        <v>#REF!</v>
      </c>
      <c r="AH2040" s="69" t="e" cm="1">
        <f t="array" ref="AH2040">_xlfn.XLOOKUP(Table1[[#This Row],[5 cm2 cell test code]:[5 cm2 cell test code]],[1]!Table1[[Test code]:[Test code]],[1]!Table1[Ionic resistance 10 mM KOH/Ohm cm2],"",0)</f>
        <v>#REF!</v>
      </c>
      <c r="AI2040" s="69" t="e" cm="1">
        <f t="array" ref="AI2040">_xlfn.XLOOKUP(Table1[[#This Row],[5 cm2 cell test code]:[5 cm2 cell test code]],[1]!Table1[[Test code]:[Test code]],[1]!Table1[Q_int_frac DIW 10 mM KOH],"",0)</f>
        <v>#REF!</v>
      </c>
      <c r="AJ2040" s="69" t="e" cm="1">
        <f t="array" ref="AJ2040">_xlfn.XLOOKUP(Table1[[#This Row],[5 cm2 cell test code]:[5 cm2 cell test code]],[1]!Table1[[Test code]:[Test code]],[1]!Table1[DIW conductivity (µS/cm)],"",0)</f>
        <v>#REF!</v>
      </c>
    </row>
    <row r="2041" spans="1:36">
      <c r="A2041" s="81"/>
      <c r="U2041" s="101"/>
      <c r="V2041" s="101"/>
      <c r="W2041" s="69" t="e" cm="1">
        <f t="array" ref="W2041">_xlfn.XLOOKUP(Table1[[#This Row],[5 cm2 cell test code]:[5 cm2 cell test code]],[1]!Table1[[Test code]:[Test code]],[1]!Table1[i @ 1.8 V DIW (A/cm2)],"",0)</f>
        <v>#REF!</v>
      </c>
      <c r="X2041" s="69" t="e" cm="1">
        <f t="array" ref="X2041">_xlfn.XLOOKUP(Table1[[#This Row],[5 cm2 cell test code]:[5 cm2 cell test code]],[1]!Table1[[Test code]:[Test code]],[1]!Table1[i @ 1.8 V 10 mM KOH (A/cm2)],"",0)</f>
        <v>#REF!</v>
      </c>
      <c r="Y2041" s="69" t="e" cm="1">
        <f t="array" ref="Y2041">_xlfn.XLOOKUP(Table1[[#This Row],[5 cm2 cell test code]:[5 cm2 cell test code]],[1]!Table1[[Test code]:[Test code]],[1]!Table1[3-E ƞ at 20mAcm-2 (mV)],"",0)</f>
        <v>#REF!</v>
      </c>
      <c r="Z2041" s="69" t="e" cm="1">
        <f t="array" ref="Z2041">_xlfn.XLOOKUP(Table1[[#This Row],[5 cm2 cell test code]:[5 cm2 cell test code]],[1]!Table1[[Test code]:[Test code]],[1]!Table1[3-E Tafel slope (mV/dec)],"",0)</f>
        <v>#REF!</v>
      </c>
      <c r="AA2041" s="69" t="e" cm="1">
        <f t="array" ref="AA2041">_xlfn.XLOOKUP(Table1[[#This Row],[5 cm2 cell test code]:[5 cm2 cell test code]],[1]!Table1[[Test code]:[Test code]],[1]!Table1[E @ 100 mA/cm2 DIW/V],"",0)</f>
        <v>#REF!</v>
      </c>
      <c r="AB2041" s="69" t="e" cm="1">
        <f t="array" ref="AB2041">_xlfn.XLOOKUP(Table1[[#This Row],[5 cm2 cell test code]:[5 cm2 cell test code]],[1]!Table1[[Test code]:[Test code]],[1]!Table1[E @ 100 mA/cm2 10 mM KOH/V],"",0)</f>
        <v>#REF!</v>
      </c>
      <c r="AC2041" s="69" t="e" cm="1">
        <f t="array" ref="AC2041">_xlfn.XLOOKUP(Table1[[#This Row],[5 cm2 cell test code]:[5 cm2 cell test code]],[1]!Table1[[Test code]:[Test code]],[1]!Table1[Anode ICR/mOhm],"",0)</f>
        <v>#REF!</v>
      </c>
      <c r="AD2041" s="69" t="e" cm="1">
        <f t="array" ref="AD2041">_xlfn.XLOOKUP(Table1[[#This Row],[5 cm2 cell test code]:[5 cm2 cell test code]],[1]!Table1[[Test code]:[Test code]],[1]!Table1[HFR DIW/ mOhm cm2],"",0)</f>
        <v>#REF!</v>
      </c>
      <c r="AE2041" s="69" t="e" cm="1">
        <f t="array" ref="AE2041">_xlfn.XLOOKUP(Table1[[#This Row],[5 cm2 cell test code]:[5 cm2 cell test code]],[1]!Table1[[Test code]:[Test code]],[1]!Table1[HFR 10 mM KOH/ mOhm cm2],"",0)</f>
        <v>#REF!</v>
      </c>
      <c r="AF2041" s="69" t="e" cm="1">
        <f t="array" ref="AF2041">_xlfn.XLOOKUP(Table1[[#This Row],[5 cm2 cell test code]:[5 cm2 cell test code]],[1]!Table1[[Test code]:[Test code]],[1]!Table1[Ionic resistance DIW/Ohm cm2],"",0)</f>
        <v>#REF!</v>
      </c>
      <c r="AG2041" s="69" t="e" cm="1">
        <f t="array" ref="AG2041">_xlfn.XLOOKUP(Table1[[#This Row],[5 cm2 cell test code]:[5 cm2 cell test code]],[1]!Table1[[Test code]:[Test code]],[1]!Table1[Q_int_frac DIW],"",0)</f>
        <v>#REF!</v>
      </c>
      <c r="AH2041" s="69" t="e" cm="1">
        <f t="array" ref="AH2041">_xlfn.XLOOKUP(Table1[[#This Row],[5 cm2 cell test code]:[5 cm2 cell test code]],[1]!Table1[[Test code]:[Test code]],[1]!Table1[Ionic resistance 10 mM KOH/Ohm cm2],"",0)</f>
        <v>#REF!</v>
      </c>
      <c r="AI2041" s="69" t="e" cm="1">
        <f t="array" ref="AI2041">_xlfn.XLOOKUP(Table1[[#This Row],[5 cm2 cell test code]:[5 cm2 cell test code]],[1]!Table1[[Test code]:[Test code]],[1]!Table1[Q_int_frac DIW 10 mM KOH],"",0)</f>
        <v>#REF!</v>
      </c>
      <c r="AJ2041" s="69" t="e" cm="1">
        <f t="array" ref="AJ2041">_xlfn.XLOOKUP(Table1[[#This Row],[5 cm2 cell test code]:[5 cm2 cell test code]],[1]!Table1[[Test code]:[Test code]],[1]!Table1[DIW conductivity (µS/cm)],"",0)</f>
        <v>#REF!</v>
      </c>
    </row>
    <row r="2042" spans="1:36">
      <c r="A2042" s="81"/>
      <c r="U2042" s="101"/>
      <c r="V2042" s="101"/>
      <c r="W2042" s="69" t="e" cm="1">
        <f t="array" ref="W2042">_xlfn.XLOOKUP(Table1[[#This Row],[5 cm2 cell test code]:[5 cm2 cell test code]],[1]!Table1[[Test code]:[Test code]],[1]!Table1[i @ 1.8 V DIW (A/cm2)],"",0)</f>
        <v>#REF!</v>
      </c>
      <c r="X2042" s="69" t="e" cm="1">
        <f t="array" ref="X2042">_xlfn.XLOOKUP(Table1[[#This Row],[5 cm2 cell test code]:[5 cm2 cell test code]],[1]!Table1[[Test code]:[Test code]],[1]!Table1[i @ 1.8 V 10 mM KOH (A/cm2)],"",0)</f>
        <v>#REF!</v>
      </c>
      <c r="Y2042" s="69" t="e" cm="1">
        <f t="array" ref="Y2042">_xlfn.XLOOKUP(Table1[[#This Row],[5 cm2 cell test code]:[5 cm2 cell test code]],[1]!Table1[[Test code]:[Test code]],[1]!Table1[3-E ƞ at 20mAcm-2 (mV)],"",0)</f>
        <v>#REF!</v>
      </c>
      <c r="Z2042" s="69" t="e" cm="1">
        <f t="array" ref="Z2042">_xlfn.XLOOKUP(Table1[[#This Row],[5 cm2 cell test code]:[5 cm2 cell test code]],[1]!Table1[[Test code]:[Test code]],[1]!Table1[3-E Tafel slope (mV/dec)],"",0)</f>
        <v>#REF!</v>
      </c>
      <c r="AA2042" s="69" t="e" cm="1">
        <f t="array" ref="AA2042">_xlfn.XLOOKUP(Table1[[#This Row],[5 cm2 cell test code]:[5 cm2 cell test code]],[1]!Table1[[Test code]:[Test code]],[1]!Table1[E @ 100 mA/cm2 DIW/V],"",0)</f>
        <v>#REF!</v>
      </c>
      <c r="AB2042" s="69" t="e" cm="1">
        <f t="array" ref="AB2042">_xlfn.XLOOKUP(Table1[[#This Row],[5 cm2 cell test code]:[5 cm2 cell test code]],[1]!Table1[[Test code]:[Test code]],[1]!Table1[E @ 100 mA/cm2 10 mM KOH/V],"",0)</f>
        <v>#REF!</v>
      </c>
      <c r="AC2042" s="69" t="e" cm="1">
        <f t="array" ref="AC2042">_xlfn.XLOOKUP(Table1[[#This Row],[5 cm2 cell test code]:[5 cm2 cell test code]],[1]!Table1[[Test code]:[Test code]],[1]!Table1[Anode ICR/mOhm],"",0)</f>
        <v>#REF!</v>
      </c>
      <c r="AD2042" s="69" t="e" cm="1">
        <f t="array" ref="AD2042">_xlfn.XLOOKUP(Table1[[#This Row],[5 cm2 cell test code]:[5 cm2 cell test code]],[1]!Table1[[Test code]:[Test code]],[1]!Table1[HFR DIW/ mOhm cm2],"",0)</f>
        <v>#REF!</v>
      </c>
      <c r="AE2042" s="69" t="e" cm="1">
        <f t="array" ref="AE2042">_xlfn.XLOOKUP(Table1[[#This Row],[5 cm2 cell test code]:[5 cm2 cell test code]],[1]!Table1[[Test code]:[Test code]],[1]!Table1[HFR 10 mM KOH/ mOhm cm2],"",0)</f>
        <v>#REF!</v>
      </c>
      <c r="AF2042" s="69" t="e" cm="1">
        <f t="array" ref="AF2042">_xlfn.XLOOKUP(Table1[[#This Row],[5 cm2 cell test code]:[5 cm2 cell test code]],[1]!Table1[[Test code]:[Test code]],[1]!Table1[Ionic resistance DIW/Ohm cm2],"",0)</f>
        <v>#REF!</v>
      </c>
      <c r="AG2042" s="69" t="e" cm="1">
        <f t="array" ref="AG2042">_xlfn.XLOOKUP(Table1[[#This Row],[5 cm2 cell test code]:[5 cm2 cell test code]],[1]!Table1[[Test code]:[Test code]],[1]!Table1[Q_int_frac DIW],"",0)</f>
        <v>#REF!</v>
      </c>
      <c r="AH2042" s="69" t="e" cm="1">
        <f t="array" ref="AH2042">_xlfn.XLOOKUP(Table1[[#This Row],[5 cm2 cell test code]:[5 cm2 cell test code]],[1]!Table1[[Test code]:[Test code]],[1]!Table1[Ionic resistance 10 mM KOH/Ohm cm2],"",0)</f>
        <v>#REF!</v>
      </c>
      <c r="AI2042" s="69" t="e" cm="1">
        <f t="array" ref="AI2042">_xlfn.XLOOKUP(Table1[[#This Row],[5 cm2 cell test code]:[5 cm2 cell test code]],[1]!Table1[[Test code]:[Test code]],[1]!Table1[Q_int_frac DIW 10 mM KOH],"",0)</f>
        <v>#REF!</v>
      </c>
      <c r="AJ2042" s="69" t="e" cm="1">
        <f t="array" ref="AJ2042">_xlfn.XLOOKUP(Table1[[#This Row],[5 cm2 cell test code]:[5 cm2 cell test code]],[1]!Table1[[Test code]:[Test code]],[1]!Table1[DIW conductivity (µS/cm)],"",0)</f>
        <v>#REF!</v>
      </c>
    </row>
    <row r="2043" spans="1:36">
      <c r="A2043" s="81"/>
      <c r="U2043" s="101"/>
      <c r="V2043" s="101"/>
      <c r="W2043" s="69" t="e" cm="1">
        <f t="array" ref="W2043">_xlfn.XLOOKUP(Table1[[#This Row],[5 cm2 cell test code]:[5 cm2 cell test code]],[1]!Table1[[Test code]:[Test code]],[1]!Table1[i @ 1.8 V DIW (A/cm2)],"",0)</f>
        <v>#REF!</v>
      </c>
      <c r="X2043" s="69" t="e" cm="1">
        <f t="array" ref="X2043">_xlfn.XLOOKUP(Table1[[#This Row],[5 cm2 cell test code]:[5 cm2 cell test code]],[1]!Table1[[Test code]:[Test code]],[1]!Table1[i @ 1.8 V 10 mM KOH (A/cm2)],"",0)</f>
        <v>#REF!</v>
      </c>
      <c r="Y2043" s="69" t="e" cm="1">
        <f t="array" ref="Y2043">_xlfn.XLOOKUP(Table1[[#This Row],[5 cm2 cell test code]:[5 cm2 cell test code]],[1]!Table1[[Test code]:[Test code]],[1]!Table1[3-E ƞ at 20mAcm-2 (mV)],"",0)</f>
        <v>#REF!</v>
      </c>
      <c r="Z2043" s="69" t="e" cm="1">
        <f t="array" ref="Z2043">_xlfn.XLOOKUP(Table1[[#This Row],[5 cm2 cell test code]:[5 cm2 cell test code]],[1]!Table1[[Test code]:[Test code]],[1]!Table1[3-E Tafel slope (mV/dec)],"",0)</f>
        <v>#REF!</v>
      </c>
      <c r="AA2043" s="69" t="e" cm="1">
        <f t="array" ref="AA2043">_xlfn.XLOOKUP(Table1[[#This Row],[5 cm2 cell test code]:[5 cm2 cell test code]],[1]!Table1[[Test code]:[Test code]],[1]!Table1[E @ 100 mA/cm2 DIW/V],"",0)</f>
        <v>#REF!</v>
      </c>
      <c r="AB2043" s="69" t="e" cm="1">
        <f t="array" ref="AB2043">_xlfn.XLOOKUP(Table1[[#This Row],[5 cm2 cell test code]:[5 cm2 cell test code]],[1]!Table1[[Test code]:[Test code]],[1]!Table1[E @ 100 mA/cm2 10 mM KOH/V],"",0)</f>
        <v>#REF!</v>
      </c>
      <c r="AC2043" s="69" t="e" cm="1">
        <f t="array" ref="AC2043">_xlfn.XLOOKUP(Table1[[#This Row],[5 cm2 cell test code]:[5 cm2 cell test code]],[1]!Table1[[Test code]:[Test code]],[1]!Table1[Anode ICR/mOhm],"",0)</f>
        <v>#REF!</v>
      </c>
      <c r="AD2043" s="69" t="e" cm="1">
        <f t="array" ref="AD2043">_xlfn.XLOOKUP(Table1[[#This Row],[5 cm2 cell test code]:[5 cm2 cell test code]],[1]!Table1[[Test code]:[Test code]],[1]!Table1[HFR DIW/ mOhm cm2],"",0)</f>
        <v>#REF!</v>
      </c>
      <c r="AE2043" s="69" t="e" cm="1">
        <f t="array" ref="AE2043">_xlfn.XLOOKUP(Table1[[#This Row],[5 cm2 cell test code]:[5 cm2 cell test code]],[1]!Table1[[Test code]:[Test code]],[1]!Table1[HFR 10 mM KOH/ mOhm cm2],"",0)</f>
        <v>#REF!</v>
      </c>
      <c r="AF2043" s="69" t="e" cm="1">
        <f t="array" ref="AF2043">_xlfn.XLOOKUP(Table1[[#This Row],[5 cm2 cell test code]:[5 cm2 cell test code]],[1]!Table1[[Test code]:[Test code]],[1]!Table1[Ionic resistance DIW/Ohm cm2],"",0)</f>
        <v>#REF!</v>
      </c>
      <c r="AG2043" s="69" t="e" cm="1">
        <f t="array" ref="AG2043">_xlfn.XLOOKUP(Table1[[#This Row],[5 cm2 cell test code]:[5 cm2 cell test code]],[1]!Table1[[Test code]:[Test code]],[1]!Table1[Q_int_frac DIW],"",0)</f>
        <v>#REF!</v>
      </c>
      <c r="AH2043" s="69" t="e" cm="1">
        <f t="array" ref="AH2043">_xlfn.XLOOKUP(Table1[[#This Row],[5 cm2 cell test code]:[5 cm2 cell test code]],[1]!Table1[[Test code]:[Test code]],[1]!Table1[Ionic resistance 10 mM KOH/Ohm cm2],"",0)</f>
        <v>#REF!</v>
      </c>
      <c r="AI2043" s="69" t="e" cm="1">
        <f t="array" ref="AI2043">_xlfn.XLOOKUP(Table1[[#This Row],[5 cm2 cell test code]:[5 cm2 cell test code]],[1]!Table1[[Test code]:[Test code]],[1]!Table1[Q_int_frac DIW 10 mM KOH],"",0)</f>
        <v>#REF!</v>
      </c>
      <c r="AJ2043" s="69" t="e" cm="1">
        <f t="array" ref="AJ2043">_xlfn.XLOOKUP(Table1[[#This Row],[5 cm2 cell test code]:[5 cm2 cell test code]],[1]!Table1[[Test code]:[Test code]],[1]!Table1[DIW conductivity (µS/cm)],"",0)</f>
        <v>#REF!</v>
      </c>
    </row>
    <row r="2044" spans="1:36">
      <c r="A2044" s="81"/>
      <c r="U2044" s="101"/>
      <c r="V2044" s="101"/>
      <c r="W2044" s="69" t="e" cm="1">
        <f t="array" ref="W2044">_xlfn.XLOOKUP(Table1[[#This Row],[5 cm2 cell test code]:[5 cm2 cell test code]],[1]!Table1[[Test code]:[Test code]],[1]!Table1[i @ 1.8 V DIW (A/cm2)],"",0)</f>
        <v>#REF!</v>
      </c>
      <c r="X2044" s="69" t="e" cm="1">
        <f t="array" ref="X2044">_xlfn.XLOOKUP(Table1[[#This Row],[5 cm2 cell test code]:[5 cm2 cell test code]],[1]!Table1[[Test code]:[Test code]],[1]!Table1[i @ 1.8 V 10 mM KOH (A/cm2)],"",0)</f>
        <v>#REF!</v>
      </c>
      <c r="Y2044" s="69" t="e" cm="1">
        <f t="array" ref="Y2044">_xlfn.XLOOKUP(Table1[[#This Row],[5 cm2 cell test code]:[5 cm2 cell test code]],[1]!Table1[[Test code]:[Test code]],[1]!Table1[3-E ƞ at 20mAcm-2 (mV)],"",0)</f>
        <v>#REF!</v>
      </c>
      <c r="Z2044" s="69" t="e" cm="1">
        <f t="array" ref="Z2044">_xlfn.XLOOKUP(Table1[[#This Row],[5 cm2 cell test code]:[5 cm2 cell test code]],[1]!Table1[[Test code]:[Test code]],[1]!Table1[3-E Tafel slope (mV/dec)],"",0)</f>
        <v>#REF!</v>
      </c>
      <c r="AA2044" s="69" t="e" cm="1">
        <f t="array" ref="AA2044">_xlfn.XLOOKUP(Table1[[#This Row],[5 cm2 cell test code]:[5 cm2 cell test code]],[1]!Table1[[Test code]:[Test code]],[1]!Table1[E @ 100 mA/cm2 DIW/V],"",0)</f>
        <v>#REF!</v>
      </c>
      <c r="AB2044" s="69" t="e" cm="1">
        <f t="array" ref="AB2044">_xlfn.XLOOKUP(Table1[[#This Row],[5 cm2 cell test code]:[5 cm2 cell test code]],[1]!Table1[[Test code]:[Test code]],[1]!Table1[E @ 100 mA/cm2 10 mM KOH/V],"",0)</f>
        <v>#REF!</v>
      </c>
      <c r="AC2044" s="69" t="e" cm="1">
        <f t="array" ref="AC2044">_xlfn.XLOOKUP(Table1[[#This Row],[5 cm2 cell test code]:[5 cm2 cell test code]],[1]!Table1[[Test code]:[Test code]],[1]!Table1[Anode ICR/mOhm],"",0)</f>
        <v>#REF!</v>
      </c>
      <c r="AD2044" s="69" t="e" cm="1">
        <f t="array" ref="AD2044">_xlfn.XLOOKUP(Table1[[#This Row],[5 cm2 cell test code]:[5 cm2 cell test code]],[1]!Table1[[Test code]:[Test code]],[1]!Table1[HFR DIW/ mOhm cm2],"",0)</f>
        <v>#REF!</v>
      </c>
      <c r="AE2044" s="69" t="e" cm="1">
        <f t="array" ref="AE2044">_xlfn.XLOOKUP(Table1[[#This Row],[5 cm2 cell test code]:[5 cm2 cell test code]],[1]!Table1[[Test code]:[Test code]],[1]!Table1[HFR 10 mM KOH/ mOhm cm2],"",0)</f>
        <v>#REF!</v>
      </c>
      <c r="AF2044" s="69" t="e" cm="1">
        <f t="array" ref="AF2044">_xlfn.XLOOKUP(Table1[[#This Row],[5 cm2 cell test code]:[5 cm2 cell test code]],[1]!Table1[[Test code]:[Test code]],[1]!Table1[Ionic resistance DIW/Ohm cm2],"",0)</f>
        <v>#REF!</v>
      </c>
      <c r="AG2044" s="69" t="e" cm="1">
        <f t="array" ref="AG2044">_xlfn.XLOOKUP(Table1[[#This Row],[5 cm2 cell test code]:[5 cm2 cell test code]],[1]!Table1[[Test code]:[Test code]],[1]!Table1[Q_int_frac DIW],"",0)</f>
        <v>#REF!</v>
      </c>
      <c r="AH2044" s="69" t="e" cm="1">
        <f t="array" ref="AH2044">_xlfn.XLOOKUP(Table1[[#This Row],[5 cm2 cell test code]:[5 cm2 cell test code]],[1]!Table1[[Test code]:[Test code]],[1]!Table1[Ionic resistance 10 mM KOH/Ohm cm2],"",0)</f>
        <v>#REF!</v>
      </c>
      <c r="AI2044" s="69" t="e" cm="1">
        <f t="array" ref="AI2044">_xlfn.XLOOKUP(Table1[[#This Row],[5 cm2 cell test code]:[5 cm2 cell test code]],[1]!Table1[[Test code]:[Test code]],[1]!Table1[Q_int_frac DIW 10 mM KOH],"",0)</f>
        <v>#REF!</v>
      </c>
      <c r="AJ2044" s="69" t="e" cm="1">
        <f t="array" ref="AJ2044">_xlfn.XLOOKUP(Table1[[#This Row],[5 cm2 cell test code]:[5 cm2 cell test code]],[1]!Table1[[Test code]:[Test code]],[1]!Table1[DIW conductivity (µS/cm)],"",0)</f>
        <v>#REF!</v>
      </c>
    </row>
    <row r="2045" spans="1:36">
      <c r="A2045" s="81"/>
      <c r="U2045" s="101"/>
      <c r="V2045" s="101"/>
      <c r="W2045" s="69" t="e" cm="1">
        <f t="array" ref="W2045">_xlfn.XLOOKUP(Table1[[#This Row],[5 cm2 cell test code]:[5 cm2 cell test code]],[1]!Table1[[Test code]:[Test code]],[1]!Table1[i @ 1.8 V DIW (A/cm2)],"",0)</f>
        <v>#REF!</v>
      </c>
      <c r="X2045" s="69" t="e" cm="1">
        <f t="array" ref="X2045">_xlfn.XLOOKUP(Table1[[#This Row],[5 cm2 cell test code]:[5 cm2 cell test code]],[1]!Table1[[Test code]:[Test code]],[1]!Table1[i @ 1.8 V 10 mM KOH (A/cm2)],"",0)</f>
        <v>#REF!</v>
      </c>
      <c r="Y2045" s="69" t="e" cm="1">
        <f t="array" ref="Y2045">_xlfn.XLOOKUP(Table1[[#This Row],[5 cm2 cell test code]:[5 cm2 cell test code]],[1]!Table1[[Test code]:[Test code]],[1]!Table1[3-E ƞ at 20mAcm-2 (mV)],"",0)</f>
        <v>#REF!</v>
      </c>
      <c r="Z2045" s="69" t="e" cm="1">
        <f t="array" ref="Z2045">_xlfn.XLOOKUP(Table1[[#This Row],[5 cm2 cell test code]:[5 cm2 cell test code]],[1]!Table1[[Test code]:[Test code]],[1]!Table1[3-E Tafel slope (mV/dec)],"",0)</f>
        <v>#REF!</v>
      </c>
      <c r="AA2045" s="69" t="e" cm="1">
        <f t="array" ref="AA2045">_xlfn.XLOOKUP(Table1[[#This Row],[5 cm2 cell test code]:[5 cm2 cell test code]],[1]!Table1[[Test code]:[Test code]],[1]!Table1[E @ 100 mA/cm2 DIW/V],"",0)</f>
        <v>#REF!</v>
      </c>
      <c r="AB2045" s="69" t="e" cm="1">
        <f t="array" ref="AB2045">_xlfn.XLOOKUP(Table1[[#This Row],[5 cm2 cell test code]:[5 cm2 cell test code]],[1]!Table1[[Test code]:[Test code]],[1]!Table1[E @ 100 mA/cm2 10 mM KOH/V],"",0)</f>
        <v>#REF!</v>
      </c>
      <c r="AC2045" s="69" t="e" cm="1">
        <f t="array" ref="AC2045">_xlfn.XLOOKUP(Table1[[#This Row],[5 cm2 cell test code]:[5 cm2 cell test code]],[1]!Table1[[Test code]:[Test code]],[1]!Table1[Anode ICR/mOhm],"",0)</f>
        <v>#REF!</v>
      </c>
      <c r="AD2045" s="69" t="e" cm="1">
        <f t="array" ref="AD2045">_xlfn.XLOOKUP(Table1[[#This Row],[5 cm2 cell test code]:[5 cm2 cell test code]],[1]!Table1[[Test code]:[Test code]],[1]!Table1[HFR DIW/ mOhm cm2],"",0)</f>
        <v>#REF!</v>
      </c>
      <c r="AE2045" s="69" t="e" cm="1">
        <f t="array" ref="AE2045">_xlfn.XLOOKUP(Table1[[#This Row],[5 cm2 cell test code]:[5 cm2 cell test code]],[1]!Table1[[Test code]:[Test code]],[1]!Table1[HFR 10 mM KOH/ mOhm cm2],"",0)</f>
        <v>#REF!</v>
      </c>
      <c r="AF2045" s="69" t="e" cm="1">
        <f t="array" ref="AF2045">_xlfn.XLOOKUP(Table1[[#This Row],[5 cm2 cell test code]:[5 cm2 cell test code]],[1]!Table1[[Test code]:[Test code]],[1]!Table1[Ionic resistance DIW/Ohm cm2],"",0)</f>
        <v>#REF!</v>
      </c>
      <c r="AG2045" s="69" t="e" cm="1">
        <f t="array" ref="AG2045">_xlfn.XLOOKUP(Table1[[#This Row],[5 cm2 cell test code]:[5 cm2 cell test code]],[1]!Table1[[Test code]:[Test code]],[1]!Table1[Q_int_frac DIW],"",0)</f>
        <v>#REF!</v>
      </c>
      <c r="AH2045" s="69" t="e" cm="1">
        <f t="array" ref="AH2045">_xlfn.XLOOKUP(Table1[[#This Row],[5 cm2 cell test code]:[5 cm2 cell test code]],[1]!Table1[[Test code]:[Test code]],[1]!Table1[Ionic resistance 10 mM KOH/Ohm cm2],"",0)</f>
        <v>#REF!</v>
      </c>
      <c r="AI2045" s="69" t="e" cm="1">
        <f t="array" ref="AI2045">_xlfn.XLOOKUP(Table1[[#This Row],[5 cm2 cell test code]:[5 cm2 cell test code]],[1]!Table1[[Test code]:[Test code]],[1]!Table1[Q_int_frac DIW 10 mM KOH],"",0)</f>
        <v>#REF!</v>
      </c>
      <c r="AJ2045" s="69" t="e" cm="1">
        <f t="array" ref="AJ2045">_xlfn.XLOOKUP(Table1[[#This Row],[5 cm2 cell test code]:[5 cm2 cell test code]],[1]!Table1[[Test code]:[Test code]],[1]!Table1[DIW conductivity (µS/cm)],"",0)</f>
        <v>#REF!</v>
      </c>
    </row>
    <row r="2046" spans="1:36">
      <c r="A2046" s="81"/>
      <c r="U2046" s="101"/>
      <c r="V2046" s="101"/>
      <c r="W2046" s="69" t="e" cm="1">
        <f t="array" ref="W2046">_xlfn.XLOOKUP(Table1[[#This Row],[5 cm2 cell test code]:[5 cm2 cell test code]],[1]!Table1[[Test code]:[Test code]],[1]!Table1[i @ 1.8 V DIW (A/cm2)],"",0)</f>
        <v>#REF!</v>
      </c>
      <c r="X2046" s="69" t="e" cm="1">
        <f t="array" ref="X2046">_xlfn.XLOOKUP(Table1[[#This Row],[5 cm2 cell test code]:[5 cm2 cell test code]],[1]!Table1[[Test code]:[Test code]],[1]!Table1[i @ 1.8 V 10 mM KOH (A/cm2)],"",0)</f>
        <v>#REF!</v>
      </c>
      <c r="Y2046" s="69" t="e" cm="1">
        <f t="array" ref="Y2046">_xlfn.XLOOKUP(Table1[[#This Row],[5 cm2 cell test code]:[5 cm2 cell test code]],[1]!Table1[[Test code]:[Test code]],[1]!Table1[3-E ƞ at 20mAcm-2 (mV)],"",0)</f>
        <v>#REF!</v>
      </c>
      <c r="Z2046" s="69" t="e" cm="1">
        <f t="array" ref="Z2046">_xlfn.XLOOKUP(Table1[[#This Row],[5 cm2 cell test code]:[5 cm2 cell test code]],[1]!Table1[[Test code]:[Test code]],[1]!Table1[3-E Tafel slope (mV/dec)],"",0)</f>
        <v>#REF!</v>
      </c>
      <c r="AA2046" s="69" t="e" cm="1">
        <f t="array" ref="AA2046">_xlfn.XLOOKUP(Table1[[#This Row],[5 cm2 cell test code]:[5 cm2 cell test code]],[1]!Table1[[Test code]:[Test code]],[1]!Table1[E @ 100 mA/cm2 DIW/V],"",0)</f>
        <v>#REF!</v>
      </c>
      <c r="AB2046" s="69" t="e" cm="1">
        <f t="array" ref="AB2046">_xlfn.XLOOKUP(Table1[[#This Row],[5 cm2 cell test code]:[5 cm2 cell test code]],[1]!Table1[[Test code]:[Test code]],[1]!Table1[E @ 100 mA/cm2 10 mM KOH/V],"",0)</f>
        <v>#REF!</v>
      </c>
      <c r="AC2046" s="69" t="e" cm="1">
        <f t="array" ref="AC2046">_xlfn.XLOOKUP(Table1[[#This Row],[5 cm2 cell test code]:[5 cm2 cell test code]],[1]!Table1[[Test code]:[Test code]],[1]!Table1[Anode ICR/mOhm],"",0)</f>
        <v>#REF!</v>
      </c>
      <c r="AD2046" s="69" t="e" cm="1">
        <f t="array" ref="AD2046">_xlfn.XLOOKUP(Table1[[#This Row],[5 cm2 cell test code]:[5 cm2 cell test code]],[1]!Table1[[Test code]:[Test code]],[1]!Table1[HFR DIW/ mOhm cm2],"",0)</f>
        <v>#REF!</v>
      </c>
      <c r="AE2046" s="69" t="e" cm="1">
        <f t="array" ref="AE2046">_xlfn.XLOOKUP(Table1[[#This Row],[5 cm2 cell test code]:[5 cm2 cell test code]],[1]!Table1[[Test code]:[Test code]],[1]!Table1[HFR 10 mM KOH/ mOhm cm2],"",0)</f>
        <v>#REF!</v>
      </c>
      <c r="AF2046" s="69" t="e" cm="1">
        <f t="array" ref="AF2046">_xlfn.XLOOKUP(Table1[[#This Row],[5 cm2 cell test code]:[5 cm2 cell test code]],[1]!Table1[[Test code]:[Test code]],[1]!Table1[Ionic resistance DIW/Ohm cm2],"",0)</f>
        <v>#REF!</v>
      </c>
      <c r="AG2046" s="69" t="e" cm="1">
        <f t="array" ref="AG2046">_xlfn.XLOOKUP(Table1[[#This Row],[5 cm2 cell test code]:[5 cm2 cell test code]],[1]!Table1[[Test code]:[Test code]],[1]!Table1[Q_int_frac DIW],"",0)</f>
        <v>#REF!</v>
      </c>
      <c r="AH2046" s="69" t="e" cm="1">
        <f t="array" ref="AH2046">_xlfn.XLOOKUP(Table1[[#This Row],[5 cm2 cell test code]:[5 cm2 cell test code]],[1]!Table1[[Test code]:[Test code]],[1]!Table1[Ionic resistance 10 mM KOH/Ohm cm2],"",0)</f>
        <v>#REF!</v>
      </c>
      <c r="AI2046" s="69" t="e" cm="1">
        <f t="array" ref="AI2046">_xlfn.XLOOKUP(Table1[[#This Row],[5 cm2 cell test code]:[5 cm2 cell test code]],[1]!Table1[[Test code]:[Test code]],[1]!Table1[Q_int_frac DIW 10 mM KOH],"",0)</f>
        <v>#REF!</v>
      </c>
      <c r="AJ2046" s="69" t="e" cm="1">
        <f t="array" ref="AJ2046">_xlfn.XLOOKUP(Table1[[#This Row],[5 cm2 cell test code]:[5 cm2 cell test code]],[1]!Table1[[Test code]:[Test code]],[1]!Table1[DIW conductivity (µS/cm)],"",0)</f>
        <v>#REF!</v>
      </c>
    </row>
    <row r="2047" spans="1:36">
      <c r="A2047" s="81"/>
      <c r="U2047" s="101"/>
      <c r="V2047" s="101"/>
      <c r="W2047" s="69" t="e" cm="1">
        <f t="array" ref="W2047">_xlfn.XLOOKUP(Table1[[#This Row],[5 cm2 cell test code]:[5 cm2 cell test code]],[1]!Table1[[Test code]:[Test code]],[1]!Table1[i @ 1.8 V DIW (A/cm2)],"",0)</f>
        <v>#REF!</v>
      </c>
      <c r="X2047" s="69" t="e" cm="1">
        <f t="array" ref="X2047">_xlfn.XLOOKUP(Table1[[#This Row],[5 cm2 cell test code]:[5 cm2 cell test code]],[1]!Table1[[Test code]:[Test code]],[1]!Table1[i @ 1.8 V 10 mM KOH (A/cm2)],"",0)</f>
        <v>#REF!</v>
      </c>
      <c r="Y2047" s="69" t="e" cm="1">
        <f t="array" ref="Y2047">_xlfn.XLOOKUP(Table1[[#This Row],[5 cm2 cell test code]:[5 cm2 cell test code]],[1]!Table1[[Test code]:[Test code]],[1]!Table1[3-E ƞ at 20mAcm-2 (mV)],"",0)</f>
        <v>#REF!</v>
      </c>
      <c r="Z2047" s="69" t="e" cm="1">
        <f t="array" ref="Z2047">_xlfn.XLOOKUP(Table1[[#This Row],[5 cm2 cell test code]:[5 cm2 cell test code]],[1]!Table1[[Test code]:[Test code]],[1]!Table1[3-E Tafel slope (mV/dec)],"",0)</f>
        <v>#REF!</v>
      </c>
      <c r="AA2047" s="69" t="e" cm="1">
        <f t="array" ref="AA2047">_xlfn.XLOOKUP(Table1[[#This Row],[5 cm2 cell test code]:[5 cm2 cell test code]],[1]!Table1[[Test code]:[Test code]],[1]!Table1[E @ 100 mA/cm2 DIW/V],"",0)</f>
        <v>#REF!</v>
      </c>
      <c r="AB2047" s="69" t="e" cm="1">
        <f t="array" ref="AB2047">_xlfn.XLOOKUP(Table1[[#This Row],[5 cm2 cell test code]:[5 cm2 cell test code]],[1]!Table1[[Test code]:[Test code]],[1]!Table1[E @ 100 mA/cm2 10 mM KOH/V],"",0)</f>
        <v>#REF!</v>
      </c>
      <c r="AC2047" s="69" t="e" cm="1">
        <f t="array" ref="AC2047">_xlfn.XLOOKUP(Table1[[#This Row],[5 cm2 cell test code]:[5 cm2 cell test code]],[1]!Table1[[Test code]:[Test code]],[1]!Table1[Anode ICR/mOhm],"",0)</f>
        <v>#REF!</v>
      </c>
      <c r="AD2047" s="69" t="e" cm="1">
        <f t="array" ref="AD2047">_xlfn.XLOOKUP(Table1[[#This Row],[5 cm2 cell test code]:[5 cm2 cell test code]],[1]!Table1[[Test code]:[Test code]],[1]!Table1[HFR DIW/ mOhm cm2],"",0)</f>
        <v>#REF!</v>
      </c>
      <c r="AE2047" s="69" t="e" cm="1">
        <f t="array" ref="AE2047">_xlfn.XLOOKUP(Table1[[#This Row],[5 cm2 cell test code]:[5 cm2 cell test code]],[1]!Table1[[Test code]:[Test code]],[1]!Table1[HFR 10 mM KOH/ mOhm cm2],"",0)</f>
        <v>#REF!</v>
      </c>
      <c r="AF2047" s="69" t="e" cm="1">
        <f t="array" ref="AF2047">_xlfn.XLOOKUP(Table1[[#This Row],[5 cm2 cell test code]:[5 cm2 cell test code]],[1]!Table1[[Test code]:[Test code]],[1]!Table1[Ionic resistance DIW/Ohm cm2],"",0)</f>
        <v>#REF!</v>
      </c>
      <c r="AG2047" s="69" t="e" cm="1">
        <f t="array" ref="AG2047">_xlfn.XLOOKUP(Table1[[#This Row],[5 cm2 cell test code]:[5 cm2 cell test code]],[1]!Table1[[Test code]:[Test code]],[1]!Table1[Q_int_frac DIW],"",0)</f>
        <v>#REF!</v>
      </c>
      <c r="AH2047" s="69" t="e" cm="1">
        <f t="array" ref="AH2047">_xlfn.XLOOKUP(Table1[[#This Row],[5 cm2 cell test code]:[5 cm2 cell test code]],[1]!Table1[[Test code]:[Test code]],[1]!Table1[Ionic resistance 10 mM KOH/Ohm cm2],"",0)</f>
        <v>#REF!</v>
      </c>
      <c r="AI2047" s="69" t="e" cm="1">
        <f t="array" ref="AI2047">_xlfn.XLOOKUP(Table1[[#This Row],[5 cm2 cell test code]:[5 cm2 cell test code]],[1]!Table1[[Test code]:[Test code]],[1]!Table1[Q_int_frac DIW 10 mM KOH],"",0)</f>
        <v>#REF!</v>
      </c>
      <c r="AJ2047" s="69" t="e" cm="1">
        <f t="array" ref="AJ2047">_xlfn.XLOOKUP(Table1[[#This Row],[5 cm2 cell test code]:[5 cm2 cell test code]],[1]!Table1[[Test code]:[Test code]],[1]!Table1[DIW conductivity (µS/cm)],"",0)</f>
        <v>#REF!</v>
      </c>
    </row>
    <row r="2048" spans="1:36">
      <c r="A2048" s="81"/>
      <c r="U2048" s="101"/>
      <c r="V2048" s="101"/>
      <c r="W2048" s="69" t="e" cm="1">
        <f t="array" ref="W2048">_xlfn.XLOOKUP(Table1[[#This Row],[5 cm2 cell test code]:[5 cm2 cell test code]],[1]!Table1[[Test code]:[Test code]],[1]!Table1[i @ 1.8 V DIW (A/cm2)],"",0)</f>
        <v>#REF!</v>
      </c>
      <c r="X2048" s="69" t="e" cm="1">
        <f t="array" ref="X2048">_xlfn.XLOOKUP(Table1[[#This Row],[5 cm2 cell test code]:[5 cm2 cell test code]],[1]!Table1[[Test code]:[Test code]],[1]!Table1[i @ 1.8 V 10 mM KOH (A/cm2)],"",0)</f>
        <v>#REF!</v>
      </c>
      <c r="Y2048" s="69" t="e" cm="1">
        <f t="array" ref="Y2048">_xlfn.XLOOKUP(Table1[[#This Row],[5 cm2 cell test code]:[5 cm2 cell test code]],[1]!Table1[[Test code]:[Test code]],[1]!Table1[3-E ƞ at 20mAcm-2 (mV)],"",0)</f>
        <v>#REF!</v>
      </c>
      <c r="Z2048" s="69" t="e" cm="1">
        <f t="array" ref="Z2048">_xlfn.XLOOKUP(Table1[[#This Row],[5 cm2 cell test code]:[5 cm2 cell test code]],[1]!Table1[[Test code]:[Test code]],[1]!Table1[3-E Tafel slope (mV/dec)],"",0)</f>
        <v>#REF!</v>
      </c>
      <c r="AA2048" s="69" t="e" cm="1">
        <f t="array" ref="AA2048">_xlfn.XLOOKUP(Table1[[#This Row],[5 cm2 cell test code]:[5 cm2 cell test code]],[1]!Table1[[Test code]:[Test code]],[1]!Table1[E @ 100 mA/cm2 DIW/V],"",0)</f>
        <v>#REF!</v>
      </c>
      <c r="AB2048" s="69" t="e" cm="1">
        <f t="array" ref="AB2048">_xlfn.XLOOKUP(Table1[[#This Row],[5 cm2 cell test code]:[5 cm2 cell test code]],[1]!Table1[[Test code]:[Test code]],[1]!Table1[E @ 100 mA/cm2 10 mM KOH/V],"",0)</f>
        <v>#REF!</v>
      </c>
      <c r="AC2048" s="69" t="e" cm="1">
        <f t="array" ref="AC2048">_xlfn.XLOOKUP(Table1[[#This Row],[5 cm2 cell test code]:[5 cm2 cell test code]],[1]!Table1[[Test code]:[Test code]],[1]!Table1[Anode ICR/mOhm],"",0)</f>
        <v>#REF!</v>
      </c>
      <c r="AD2048" s="69" t="e" cm="1">
        <f t="array" ref="AD2048">_xlfn.XLOOKUP(Table1[[#This Row],[5 cm2 cell test code]:[5 cm2 cell test code]],[1]!Table1[[Test code]:[Test code]],[1]!Table1[HFR DIW/ mOhm cm2],"",0)</f>
        <v>#REF!</v>
      </c>
      <c r="AE2048" s="69" t="e" cm="1">
        <f t="array" ref="AE2048">_xlfn.XLOOKUP(Table1[[#This Row],[5 cm2 cell test code]:[5 cm2 cell test code]],[1]!Table1[[Test code]:[Test code]],[1]!Table1[HFR 10 mM KOH/ mOhm cm2],"",0)</f>
        <v>#REF!</v>
      </c>
      <c r="AF2048" s="69" t="e" cm="1">
        <f t="array" ref="AF2048">_xlfn.XLOOKUP(Table1[[#This Row],[5 cm2 cell test code]:[5 cm2 cell test code]],[1]!Table1[[Test code]:[Test code]],[1]!Table1[Ionic resistance DIW/Ohm cm2],"",0)</f>
        <v>#REF!</v>
      </c>
      <c r="AG2048" s="69" t="e" cm="1">
        <f t="array" ref="AG2048">_xlfn.XLOOKUP(Table1[[#This Row],[5 cm2 cell test code]:[5 cm2 cell test code]],[1]!Table1[[Test code]:[Test code]],[1]!Table1[Q_int_frac DIW],"",0)</f>
        <v>#REF!</v>
      </c>
      <c r="AH2048" s="69" t="e" cm="1">
        <f t="array" ref="AH2048">_xlfn.XLOOKUP(Table1[[#This Row],[5 cm2 cell test code]:[5 cm2 cell test code]],[1]!Table1[[Test code]:[Test code]],[1]!Table1[Ionic resistance 10 mM KOH/Ohm cm2],"",0)</f>
        <v>#REF!</v>
      </c>
      <c r="AI2048" s="69" t="e" cm="1">
        <f t="array" ref="AI2048">_xlfn.XLOOKUP(Table1[[#This Row],[5 cm2 cell test code]:[5 cm2 cell test code]],[1]!Table1[[Test code]:[Test code]],[1]!Table1[Q_int_frac DIW 10 mM KOH],"",0)</f>
        <v>#REF!</v>
      </c>
      <c r="AJ2048" s="69" t="e" cm="1">
        <f t="array" ref="AJ2048">_xlfn.XLOOKUP(Table1[[#This Row],[5 cm2 cell test code]:[5 cm2 cell test code]],[1]!Table1[[Test code]:[Test code]],[1]!Table1[DIW conductivity (µS/cm)],"",0)</f>
        <v>#REF!</v>
      </c>
    </row>
    <row r="2049" spans="1:36">
      <c r="A2049" s="81"/>
      <c r="U2049" s="101"/>
      <c r="V2049" s="101"/>
      <c r="W2049" s="69" t="e" cm="1">
        <f t="array" ref="W2049">_xlfn.XLOOKUP(Table1[[#This Row],[5 cm2 cell test code]:[5 cm2 cell test code]],[1]!Table1[[Test code]:[Test code]],[1]!Table1[i @ 1.8 V DIW (A/cm2)],"",0)</f>
        <v>#REF!</v>
      </c>
      <c r="X2049" s="69" t="e" cm="1">
        <f t="array" ref="X2049">_xlfn.XLOOKUP(Table1[[#This Row],[5 cm2 cell test code]:[5 cm2 cell test code]],[1]!Table1[[Test code]:[Test code]],[1]!Table1[i @ 1.8 V 10 mM KOH (A/cm2)],"",0)</f>
        <v>#REF!</v>
      </c>
      <c r="Y2049" s="69" t="e" cm="1">
        <f t="array" ref="Y2049">_xlfn.XLOOKUP(Table1[[#This Row],[5 cm2 cell test code]:[5 cm2 cell test code]],[1]!Table1[[Test code]:[Test code]],[1]!Table1[3-E ƞ at 20mAcm-2 (mV)],"",0)</f>
        <v>#REF!</v>
      </c>
      <c r="Z2049" s="69" t="e" cm="1">
        <f t="array" ref="Z2049">_xlfn.XLOOKUP(Table1[[#This Row],[5 cm2 cell test code]:[5 cm2 cell test code]],[1]!Table1[[Test code]:[Test code]],[1]!Table1[3-E Tafel slope (mV/dec)],"",0)</f>
        <v>#REF!</v>
      </c>
      <c r="AA2049" s="69" t="e" cm="1">
        <f t="array" ref="AA2049">_xlfn.XLOOKUP(Table1[[#This Row],[5 cm2 cell test code]:[5 cm2 cell test code]],[1]!Table1[[Test code]:[Test code]],[1]!Table1[E @ 100 mA/cm2 DIW/V],"",0)</f>
        <v>#REF!</v>
      </c>
      <c r="AB2049" s="69" t="e" cm="1">
        <f t="array" ref="AB2049">_xlfn.XLOOKUP(Table1[[#This Row],[5 cm2 cell test code]:[5 cm2 cell test code]],[1]!Table1[[Test code]:[Test code]],[1]!Table1[E @ 100 mA/cm2 10 mM KOH/V],"",0)</f>
        <v>#REF!</v>
      </c>
      <c r="AC2049" s="69" t="e" cm="1">
        <f t="array" ref="AC2049">_xlfn.XLOOKUP(Table1[[#This Row],[5 cm2 cell test code]:[5 cm2 cell test code]],[1]!Table1[[Test code]:[Test code]],[1]!Table1[Anode ICR/mOhm],"",0)</f>
        <v>#REF!</v>
      </c>
      <c r="AD2049" s="69" t="e" cm="1">
        <f t="array" ref="AD2049">_xlfn.XLOOKUP(Table1[[#This Row],[5 cm2 cell test code]:[5 cm2 cell test code]],[1]!Table1[[Test code]:[Test code]],[1]!Table1[HFR DIW/ mOhm cm2],"",0)</f>
        <v>#REF!</v>
      </c>
      <c r="AE2049" s="69" t="e" cm="1">
        <f t="array" ref="AE2049">_xlfn.XLOOKUP(Table1[[#This Row],[5 cm2 cell test code]:[5 cm2 cell test code]],[1]!Table1[[Test code]:[Test code]],[1]!Table1[HFR 10 mM KOH/ mOhm cm2],"",0)</f>
        <v>#REF!</v>
      </c>
      <c r="AF2049" s="69" t="e" cm="1">
        <f t="array" ref="AF2049">_xlfn.XLOOKUP(Table1[[#This Row],[5 cm2 cell test code]:[5 cm2 cell test code]],[1]!Table1[[Test code]:[Test code]],[1]!Table1[Ionic resistance DIW/Ohm cm2],"",0)</f>
        <v>#REF!</v>
      </c>
      <c r="AG2049" s="69" t="e" cm="1">
        <f t="array" ref="AG2049">_xlfn.XLOOKUP(Table1[[#This Row],[5 cm2 cell test code]:[5 cm2 cell test code]],[1]!Table1[[Test code]:[Test code]],[1]!Table1[Q_int_frac DIW],"",0)</f>
        <v>#REF!</v>
      </c>
      <c r="AH2049" s="69" t="e" cm="1">
        <f t="array" ref="AH2049">_xlfn.XLOOKUP(Table1[[#This Row],[5 cm2 cell test code]:[5 cm2 cell test code]],[1]!Table1[[Test code]:[Test code]],[1]!Table1[Ionic resistance 10 mM KOH/Ohm cm2],"",0)</f>
        <v>#REF!</v>
      </c>
      <c r="AI2049" s="69" t="e" cm="1">
        <f t="array" ref="AI2049">_xlfn.XLOOKUP(Table1[[#This Row],[5 cm2 cell test code]:[5 cm2 cell test code]],[1]!Table1[[Test code]:[Test code]],[1]!Table1[Q_int_frac DIW 10 mM KOH],"",0)</f>
        <v>#REF!</v>
      </c>
      <c r="AJ2049" s="69" t="e" cm="1">
        <f t="array" ref="AJ2049">_xlfn.XLOOKUP(Table1[[#This Row],[5 cm2 cell test code]:[5 cm2 cell test code]],[1]!Table1[[Test code]:[Test code]],[1]!Table1[DIW conductivity (µS/cm)],"",0)</f>
        <v>#REF!</v>
      </c>
    </row>
    <row r="2050" spans="1:36">
      <c r="A2050" s="81"/>
      <c r="U2050" s="101"/>
      <c r="V2050" s="101"/>
      <c r="W2050" s="69" t="e" cm="1">
        <f t="array" ref="W2050">_xlfn.XLOOKUP(Table1[[#This Row],[5 cm2 cell test code]:[5 cm2 cell test code]],[1]!Table1[[Test code]:[Test code]],[1]!Table1[i @ 1.8 V DIW (A/cm2)],"",0)</f>
        <v>#REF!</v>
      </c>
      <c r="X2050" s="69" t="e" cm="1">
        <f t="array" ref="X2050">_xlfn.XLOOKUP(Table1[[#This Row],[5 cm2 cell test code]:[5 cm2 cell test code]],[1]!Table1[[Test code]:[Test code]],[1]!Table1[i @ 1.8 V 10 mM KOH (A/cm2)],"",0)</f>
        <v>#REF!</v>
      </c>
      <c r="Y2050" s="69" t="e" cm="1">
        <f t="array" ref="Y2050">_xlfn.XLOOKUP(Table1[[#This Row],[5 cm2 cell test code]:[5 cm2 cell test code]],[1]!Table1[[Test code]:[Test code]],[1]!Table1[3-E ƞ at 20mAcm-2 (mV)],"",0)</f>
        <v>#REF!</v>
      </c>
      <c r="Z2050" s="69" t="e" cm="1">
        <f t="array" ref="Z2050">_xlfn.XLOOKUP(Table1[[#This Row],[5 cm2 cell test code]:[5 cm2 cell test code]],[1]!Table1[[Test code]:[Test code]],[1]!Table1[3-E Tafel slope (mV/dec)],"",0)</f>
        <v>#REF!</v>
      </c>
      <c r="AA2050" s="69" t="e" cm="1">
        <f t="array" ref="AA2050">_xlfn.XLOOKUP(Table1[[#This Row],[5 cm2 cell test code]:[5 cm2 cell test code]],[1]!Table1[[Test code]:[Test code]],[1]!Table1[E @ 100 mA/cm2 DIW/V],"",0)</f>
        <v>#REF!</v>
      </c>
      <c r="AB2050" s="69" t="e" cm="1">
        <f t="array" ref="AB2050">_xlfn.XLOOKUP(Table1[[#This Row],[5 cm2 cell test code]:[5 cm2 cell test code]],[1]!Table1[[Test code]:[Test code]],[1]!Table1[E @ 100 mA/cm2 10 mM KOH/V],"",0)</f>
        <v>#REF!</v>
      </c>
      <c r="AC2050" s="69" t="e" cm="1">
        <f t="array" ref="AC2050">_xlfn.XLOOKUP(Table1[[#This Row],[5 cm2 cell test code]:[5 cm2 cell test code]],[1]!Table1[[Test code]:[Test code]],[1]!Table1[Anode ICR/mOhm],"",0)</f>
        <v>#REF!</v>
      </c>
      <c r="AD2050" s="69" t="e" cm="1">
        <f t="array" ref="AD2050">_xlfn.XLOOKUP(Table1[[#This Row],[5 cm2 cell test code]:[5 cm2 cell test code]],[1]!Table1[[Test code]:[Test code]],[1]!Table1[HFR DIW/ mOhm cm2],"",0)</f>
        <v>#REF!</v>
      </c>
      <c r="AE2050" s="69" t="e" cm="1">
        <f t="array" ref="AE2050">_xlfn.XLOOKUP(Table1[[#This Row],[5 cm2 cell test code]:[5 cm2 cell test code]],[1]!Table1[[Test code]:[Test code]],[1]!Table1[HFR 10 mM KOH/ mOhm cm2],"",0)</f>
        <v>#REF!</v>
      </c>
      <c r="AF2050" s="69" t="e" cm="1">
        <f t="array" ref="AF2050">_xlfn.XLOOKUP(Table1[[#This Row],[5 cm2 cell test code]:[5 cm2 cell test code]],[1]!Table1[[Test code]:[Test code]],[1]!Table1[Ionic resistance DIW/Ohm cm2],"",0)</f>
        <v>#REF!</v>
      </c>
      <c r="AG2050" s="69" t="e" cm="1">
        <f t="array" ref="AG2050">_xlfn.XLOOKUP(Table1[[#This Row],[5 cm2 cell test code]:[5 cm2 cell test code]],[1]!Table1[[Test code]:[Test code]],[1]!Table1[Q_int_frac DIW],"",0)</f>
        <v>#REF!</v>
      </c>
      <c r="AH2050" s="69" t="e" cm="1">
        <f t="array" ref="AH2050">_xlfn.XLOOKUP(Table1[[#This Row],[5 cm2 cell test code]:[5 cm2 cell test code]],[1]!Table1[[Test code]:[Test code]],[1]!Table1[Ionic resistance 10 mM KOH/Ohm cm2],"",0)</f>
        <v>#REF!</v>
      </c>
      <c r="AI2050" s="69" t="e" cm="1">
        <f t="array" ref="AI2050">_xlfn.XLOOKUP(Table1[[#This Row],[5 cm2 cell test code]:[5 cm2 cell test code]],[1]!Table1[[Test code]:[Test code]],[1]!Table1[Q_int_frac DIW 10 mM KOH],"",0)</f>
        <v>#REF!</v>
      </c>
      <c r="AJ2050" s="69" t="e" cm="1">
        <f t="array" ref="AJ2050">_xlfn.XLOOKUP(Table1[[#This Row],[5 cm2 cell test code]:[5 cm2 cell test code]],[1]!Table1[[Test code]:[Test code]],[1]!Table1[DIW conductivity (µS/cm)],"",0)</f>
        <v>#REF!</v>
      </c>
    </row>
    <row r="2051" spans="1:36">
      <c r="A2051" s="81"/>
      <c r="U2051" s="101"/>
      <c r="V2051" s="101"/>
      <c r="W2051" s="69" t="e" cm="1">
        <f t="array" ref="W2051">_xlfn.XLOOKUP(Table1[[#This Row],[5 cm2 cell test code]:[5 cm2 cell test code]],[1]!Table1[[Test code]:[Test code]],[1]!Table1[i @ 1.8 V DIW (A/cm2)],"",0)</f>
        <v>#REF!</v>
      </c>
      <c r="X2051" s="69" t="e" cm="1">
        <f t="array" ref="X2051">_xlfn.XLOOKUP(Table1[[#This Row],[5 cm2 cell test code]:[5 cm2 cell test code]],[1]!Table1[[Test code]:[Test code]],[1]!Table1[i @ 1.8 V 10 mM KOH (A/cm2)],"",0)</f>
        <v>#REF!</v>
      </c>
      <c r="Y2051" s="69" t="e" cm="1">
        <f t="array" ref="Y2051">_xlfn.XLOOKUP(Table1[[#This Row],[5 cm2 cell test code]:[5 cm2 cell test code]],[1]!Table1[[Test code]:[Test code]],[1]!Table1[3-E ƞ at 20mAcm-2 (mV)],"",0)</f>
        <v>#REF!</v>
      </c>
      <c r="Z2051" s="69" t="e" cm="1">
        <f t="array" ref="Z2051">_xlfn.XLOOKUP(Table1[[#This Row],[5 cm2 cell test code]:[5 cm2 cell test code]],[1]!Table1[[Test code]:[Test code]],[1]!Table1[3-E Tafel slope (mV/dec)],"",0)</f>
        <v>#REF!</v>
      </c>
      <c r="AA2051" s="69" t="e" cm="1">
        <f t="array" ref="AA2051">_xlfn.XLOOKUP(Table1[[#This Row],[5 cm2 cell test code]:[5 cm2 cell test code]],[1]!Table1[[Test code]:[Test code]],[1]!Table1[E @ 100 mA/cm2 DIW/V],"",0)</f>
        <v>#REF!</v>
      </c>
      <c r="AB2051" s="69" t="e" cm="1">
        <f t="array" ref="AB2051">_xlfn.XLOOKUP(Table1[[#This Row],[5 cm2 cell test code]:[5 cm2 cell test code]],[1]!Table1[[Test code]:[Test code]],[1]!Table1[E @ 100 mA/cm2 10 mM KOH/V],"",0)</f>
        <v>#REF!</v>
      </c>
      <c r="AC2051" s="69" t="e" cm="1">
        <f t="array" ref="AC2051">_xlfn.XLOOKUP(Table1[[#This Row],[5 cm2 cell test code]:[5 cm2 cell test code]],[1]!Table1[[Test code]:[Test code]],[1]!Table1[Anode ICR/mOhm],"",0)</f>
        <v>#REF!</v>
      </c>
      <c r="AD2051" s="69" t="e" cm="1">
        <f t="array" ref="AD2051">_xlfn.XLOOKUP(Table1[[#This Row],[5 cm2 cell test code]:[5 cm2 cell test code]],[1]!Table1[[Test code]:[Test code]],[1]!Table1[HFR DIW/ mOhm cm2],"",0)</f>
        <v>#REF!</v>
      </c>
      <c r="AE2051" s="69" t="e" cm="1">
        <f t="array" ref="AE2051">_xlfn.XLOOKUP(Table1[[#This Row],[5 cm2 cell test code]:[5 cm2 cell test code]],[1]!Table1[[Test code]:[Test code]],[1]!Table1[HFR 10 mM KOH/ mOhm cm2],"",0)</f>
        <v>#REF!</v>
      </c>
      <c r="AF2051" s="69" t="e" cm="1">
        <f t="array" ref="AF2051">_xlfn.XLOOKUP(Table1[[#This Row],[5 cm2 cell test code]:[5 cm2 cell test code]],[1]!Table1[[Test code]:[Test code]],[1]!Table1[Ionic resistance DIW/Ohm cm2],"",0)</f>
        <v>#REF!</v>
      </c>
      <c r="AG2051" s="69" t="e" cm="1">
        <f t="array" ref="AG2051">_xlfn.XLOOKUP(Table1[[#This Row],[5 cm2 cell test code]:[5 cm2 cell test code]],[1]!Table1[[Test code]:[Test code]],[1]!Table1[Q_int_frac DIW],"",0)</f>
        <v>#REF!</v>
      </c>
      <c r="AH2051" s="69" t="e" cm="1">
        <f t="array" ref="AH2051">_xlfn.XLOOKUP(Table1[[#This Row],[5 cm2 cell test code]:[5 cm2 cell test code]],[1]!Table1[[Test code]:[Test code]],[1]!Table1[Ionic resistance 10 mM KOH/Ohm cm2],"",0)</f>
        <v>#REF!</v>
      </c>
      <c r="AI2051" s="69" t="e" cm="1">
        <f t="array" ref="AI2051">_xlfn.XLOOKUP(Table1[[#This Row],[5 cm2 cell test code]:[5 cm2 cell test code]],[1]!Table1[[Test code]:[Test code]],[1]!Table1[Q_int_frac DIW 10 mM KOH],"",0)</f>
        <v>#REF!</v>
      </c>
      <c r="AJ2051" s="69" t="e" cm="1">
        <f t="array" ref="AJ2051">_xlfn.XLOOKUP(Table1[[#This Row],[5 cm2 cell test code]:[5 cm2 cell test code]],[1]!Table1[[Test code]:[Test code]],[1]!Table1[DIW conductivity (µS/cm)],"",0)</f>
        <v>#REF!</v>
      </c>
    </row>
    <row r="2052" spans="1:36">
      <c r="A2052" s="81"/>
      <c r="U2052" s="101"/>
      <c r="V2052" s="101"/>
      <c r="W2052" s="69" t="e" cm="1">
        <f t="array" ref="W2052">_xlfn.XLOOKUP(Table1[[#This Row],[5 cm2 cell test code]:[5 cm2 cell test code]],[1]!Table1[[Test code]:[Test code]],[1]!Table1[i @ 1.8 V DIW (A/cm2)],"",0)</f>
        <v>#REF!</v>
      </c>
      <c r="X2052" s="69" t="e" cm="1">
        <f t="array" ref="X2052">_xlfn.XLOOKUP(Table1[[#This Row],[5 cm2 cell test code]:[5 cm2 cell test code]],[1]!Table1[[Test code]:[Test code]],[1]!Table1[i @ 1.8 V 10 mM KOH (A/cm2)],"",0)</f>
        <v>#REF!</v>
      </c>
      <c r="Y2052" s="69" t="e" cm="1">
        <f t="array" ref="Y2052">_xlfn.XLOOKUP(Table1[[#This Row],[5 cm2 cell test code]:[5 cm2 cell test code]],[1]!Table1[[Test code]:[Test code]],[1]!Table1[3-E ƞ at 20mAcm-2 (mV)],"",0)</f>
        <v>#REF!</v>
      </c>
      <c r="Z2052" s="69" t="e" cm="1">
        <f t="array" ref="Z2052">_xlfn.XLOOKUP(Table1[[#This Row],[5 cm2 cell test code]:[5 cm2 cell test code]],[1]!Table1[[Test code]:[Test code]],[1]!Table1[3-E Tafel slope (mV/dec)],"",0)</f>
        <v>#REF!</v>
      </c>
      <c r="AA2052" s="69" t="e" cm="1">
        <f t="array" ref="AA2052">_xlfn.XLOOKUP(Table1[[#This Row],[5 cm2 cell test code]:[5 cm2 cell test code]],[1]!Table1[[Test code]:[Test code]],[1]!Table1[E @ 100 mA/cm2 DIW/V],"",0)</f>
        <v>#REF!</v>
      </c>
      <c r="AB2052" s="69" t="e" cm="1">
        <f t="array" ref="AB2052">_xlfn.XLOOKUP(Table1[[#This Row],[5 cm2 cell test code]:[5 cm2 cell test code]],[1]!Table1[[Test code]:[Test code]],[1]!Table1[E @ 100 mA/cm2 10 mM KOH/V],"",0)</f>
        <v>#REF!</v>
      </c>
      <c r="AC2052" s="69" t="e" cm="1">
        <f t="array" ref="AC2052">_xlfn.XLOOKUP(Table1[[#This Row],[5 cm2 cell test code]:[5 cm2 cell test code]],[1]!Table1[[Test code]:[Test code]],[1]!Table1[Anode ICR/mOhm],"",0)</f>
        <v>#REF!</v>
      </c>
      <c r="AD2052" s="69" t="e" cm="1">
        <f t="array" ref="AD2052">_xlfn.XLOOKUP(Table1[[#This Row],[5 cm2 cell test code]:[5 cm2 cell test code]],[1]!Table1[[Test code]:[Test code]],[1]!Table1[HFR DIW/ mOhm cm2],"",0)</f>
        <v>#REF!</v>
      </c>
      <c r="AE2052" s="69" t="e" cm="1">
        <f t="array" ref="AE2052">_xlfn.XLOOKUP(Table1[[#This Row],[5 cm2 cell test code]:[5 cm2 cell test code]],[1]!Table1[[Test code]:[Test code]],[1]!Table1[HFR 10 mM KOH/ mOhm cm2],"",0)</f>
        <v>#REF!</v>
      </c>
      <c r="AF2052" s="69" t="e" cm="1">
        <f t="array" ref="AF2052">_xlfn.XLOOKUP(Table1[[#This Row],[5 cm2 cell test code]:[5 cm2 cell test code]],[1]!Table1[[Test code]:[Test code]],[1]!Table1[Ionic resistance DIW/Ohm cm2],"",0)</f>
        <v>#REF!</v>
      </c>
      <c r="AG2052" s="69" t="e" cm="1">
        <f t="array" ref="AG2052">_xlfn.XLOOKUP(Table1[[#This Row],[5 cm2 cell test code]:[5 cm2 cell test code]],[1]!Table1[[Test code]:[Test code]],[1]!Table1[Q_int_frac DIW],"",0)</f>
        <v>#REF!</v>
      </c>
      <c r="AH2052" s="69" t="e" cm="1">
        <f t="array" ref="AH2052">_xlfn.XLOOKUP(Table1[[#This Row],[5 cm2 cell test code]:[5 cm2 cell test code]],[1]!Table1[[Test code]:[Test code]],[1]!Table1[Ionic resistance 10 mM KOH/Ohm cm2],"",0)</f>
        <v>#REF!</v>
      </c>
      <c r="AI2052" s="69" t="e" cm="1">
        <f t="array" ref="AI2052">_xlfn.XLOOKUP(Table1[[#This Row],[5 cm2 cell test code]:[5 cm2 cell test code]],[1]!Table1[[Test code]:[Test code]],[1]!Table1[Q_int_frac DIW 10 mM KOH],"",0)</f>
        <v>#REF!</v>
      </c>
      <c r="AJ2052" s="69" t="e" cm="1">
        <f t="array" ref="AJ2052">_xlfn.XLOOKUP(Table1[[#This Row],[5 cm2 cell test code]:[5 cm2 cell test code]],[1]!Table1[[Test code]:[Test code]],[1]!Table1[DIW conductivity (µS/cm)],"",0)</f>
        <v>#REF!</v>
      </c>
    </row>
    <row r="2053" spans="1:36">
      <c r="A2053" s="81"/>
      <c r="U2053" s="101"/>
      <c r="V2053" s="101"/>
      <c r="W2053" s="69" t="e" cm="1">
        <f t="array" ref="W2053">_xlfn.XLOOKUP(Table1[[#This Row],[5 cm2 cell test code]:[5 cm2 cell test code]],[1]!Table1[[Test code]:[Test code]],[1]!Table1[i @ 1.8 V DIW (A/cm2)],"",0)</f>
        <v>#REF!</v>
      </c>
      <c r="X2053" s="69" t="e" cm="1">
        <f t="array" ref="X2053">_xlfn.XLOOKUP(Table1[[#This Row],[5 cm2 cell test code]:[5 cm2 cell test code]],[1]!Table1[[Test code]:[Test code]],[1]!Table1[i @ 1.8 V 10 mM KOH (A/cm2)],"",0)</f>
        <v>#REF!</v>
      </c>
      <c r="Y2053" s="69" t="e" cm="1">
        <f t="array" ref="Y2053">_xlfn.XLOOKUP(Table1[[#This Row],[5 cm2 cell test code]:[5 cm2 cell test code]],[1]!Table1[[Test code]:[Test code]],[1]!Table1[3-E ƞ at 20mAcm-2 (mV)],"",0)</f>
        <v>#REF!</v>
      </c>
      <c r="Z2053" s="69" t="e" cm="1">
        <f t="array" ref="Z2053">_xlfn.XLOOKUP(Table1[[#This Row],[5 cm2 cell test code]:[5 cm2 cell test code]],[1]!Table1[[Test code]:[Test code]],[1]!Table1[3-E Tafel slope (mV/dec)],"",0)</f>
        <v>#REF!</v>
      </c>
      <c r="AA2053" s="69" t="e" cm="1">
        <f t="array" ref="AA2053">_xlfn.XLOOKUP(Table1[[#This Row],[5 cm2 cell test code]:[5 cm2 cell test code]],[1]!Table1[[Test code]:[Test code]],[1]!Table1[E @ 100 mA/cm2 DIW/V],"",0)</f>
        <v>#REF!</v>
      </c>
      <c r="AB2053" s="69" t="e" cm="1">
        <f t="array" ref="AB2053">_xlfn.XLOOKUP(Table1[[#This Row],[5 cm2 cell test code]:[5 cm2 cell test code]],[1]!Table1[[Test code]:[Test code]],[1]!Table1[E @ 100 mA/cm2 10 mM KOH/V],"",0)</f>
        <v>#REF!</v>
      </c>
      <c r="AC2053" s="69" t="e" cm="1">
        <f t="array" ref="AC2053">_xlfn.XLOOKUP(Table1[[#This Row],[5 cm2 cell test code]:[5 cm2 cell test code]],[1]!Table1[[Test code]:[Test code]],[1]!Table1[Anode ICR/mOhm],"",0)</f>
        <v>#REF!</v>
      </c>
      <c r="AD2053" s="69" t="e" cm="1">
        <f t="array" ref="AD2053">_xlfn.XLOOKUP(Table1[[#This Row],[5 cm2 cell test code]:[5 cm2 cell test code]],[1]!Table1[[Test code]:[Test code]],[1]!Table1[HFR DIW/ mOhm cm2],"",0)</f>
        <v>#REF!</v>
      </c>
      <c r="AE2053" s="69" t="e" cm="1">
        <f t="array" ref="AE2053">_xlfn.XLOOKUP(Table1[[#This Row],[5 cm2 cell test code]:[5 cm2 cell test code]],[1]!Table1[[Test code]:[Test code]],[1]!Table1[HFR 10 mM KOH/ mOhm cm2],"",0)</f>
        <v>#REF!</v>
      </c>
      <c r="AF2053" s="69" t="e" cm="1">
        <f t="array" ref="AF2053">_xlfn.XLOOKUP(Table1[[#This Row],[5 cm2 cell test code]:[5 cm2 cell test code]],[1]!Table1[[Test code]:[Test code]],[1]!Table1[Ionic resistance DIW/Ohm cm2],"",0)</f>
        <v>#REF!</v>
      </c>
      <c r="AG2053" s="69" t="e" cm="1">
        <f t="array" ref="AG2053">_xlfn.XLOOKUP(Table1[[#This Row],[5 cm2 cell test code]:[5 cm2 cell test code]],[1]!Table1[[Test code]:[Test code]],[1]!Table1[Q_int_frac DIW],"",0)</f>
        <v>#REF!</v>
      </c>
      <c r="AH2053" s="69" t="e" cm="1">
        <f t="array" ref="AH2053">_xlfn.XLOOKUP(Table1[[#This Row],[5 cm2 cell test code]:[5 cm2 cell test code]],[1]!Table1[[Test code]:[Test code]],[1]!Table1[Ionic resistance 10 mM KOH/Ohm cm2],"",0)</f>
        <v>#REF!</v>
      </c>
      <c r="AI2053" s="69" t="e" cm="1">
        <f t="array" ref="AI2053">_xlfn.XLOOKUP(Table1[[#This Row],[5 cm2 cell test code]:[5 cm2 cell test code]],[1]!Table1[[Test code]:[Test code]],[1]!Table1[Q_int_frac DIW 10 mM KOH],"",0)</f>
        <v>#REF!</v>
      </c>
      <c r="AJ2053" s="69" t="e" cm="1">
        <f t="array" ref="AJ2053">_xlfn.XLOOKUP(Table1[[#This Row],[5 cm2 cell test code]:[5 cm2 cell test code]],[1]!Table1[[Test code]:[Test code]],[1]!Table1[DIW conductivity (µS/cm)],"",0)</f>
        <v>#REF!</v>
      </c>
    </row>
    <row r="2054" spans="1:36">
      <c r="A2054" s="81"/>
      <c r="U2054" s="101"/>
      <c r="V2054" s="101"/>
      <c r="W2054" s="69" t="e" cm="1">
        <f t="array" ref="W2054">_xlfn.XLOOKUP(Table1[[#This Row],[5 cm2 cell test code]:[5 cm2 cell test code]],[1]!Table1[[Test code]:[Test code]],[1]!Table1[i @ 1.8 V DIW (A/cm2)],"",0)</f>
        <v>#REF!</v>
      </c>
      <c r="X2054" s="69" t="e" cm="1">
        <f t="array" ref="X2054">_xlfn.XLOOKUP(Table1[[#This Row],[5 cm2 cell test code]:[5 cm2 cell test code]],[1]!Table1[[Test code]:[Test code]],[1]!Table1[i @ 1.8 V 10 mM KOH (A/cm2)],"",0)</f>
        <v>#REF!</v>
      </c>
      <c r="Y2054" s="69" t="e" cm="1">
        <f t="array" ref="Y2054">_xlfn.XLOOKUP(Table1[[#This Row],[5 cm2 cell test code]:[5 cm2 cell test code]],[1]!Table1[[Test code]:[Test code]],[1]!Table1[3-E ƞ at 20mAcm-2 (mV)],"",0)</f>
        <v>#REF!</v>
      </c>
      <c r="Z2054" s="69" t="e" cm="1">
        <f t="array" ref="Z2054">_xlfn.XLOOKUP(Table1[[#This Row],[5 cm2 cell test code]:[5 cm2 cell test code]],[1]!Table1[[Test code]:[Test code]],[1]!Table1[3-E Tafel slope (mV/dec)],"",0)</f>
        <v>#REF!</v>
      </c>
      <c r="AA2054" s="69" t="e" cm="1">
        <f t="array" ref="AA2054">_xlfn.XLOOKUP(Table1[[#This Row],[5 cm2 cell test code]:[5 cm2 cell test code]],[1]!Table1[[Test code]:[Test code]],[1]!Table1[E @ 100 mA/cm2 DIW/V],"",0)</f>
        <v>#REF!</v>
      </c>
      <c r="AB2054" s="69" t="e" cm="1">
        <f t="array" ref="AB2054">_xlfn.XLOOKUP(Table1[[#This Row],[5 cm2 cell test code]:[5 cm2 cell test code]],[1]!Table1[[Test code]:[Test code]],[1]!Table1[E @ 100 mA/cm2 10 mM KOH/V],"",0)</f>
        <v>#REF!</v>
      </c>
      <c r="AC2054" s="69" t="e" cm="1">
        <f t="array" ref="AC2054">_xlfn.XLOOKUP(Table1[[#This Row],[5 cm2 cell test code]:[5 cm2 cell test code]],[1]!Table1[[Test code]:[Test code]],[1]!Table1[Anode ICR/mOhm],"",0)</f>
        <v>#REF!</v>
      </c>
      <c r="AD2054" s="69" t="e" cm="1">
        <f t="array" ref="AD2054">_xlfn.XLOOKUP(Table1[[#This Row],[5 cm2 cell test code]:[5 cm2 cell test code]],[1]!Table1[[Test code]:[Test code]],[1]!Table1[HFR DIW/ mOhm cm2],"",0)</f>
        <v>#REF!</v>
      </c>
      <c r="AE2054" s="69" t="e" cm="1">
        <f t="array" ref="AE2054">_xlfn.XLOOKUP(Table1[[#This Row],[5 cm2 cell test code]:[5 cm2 cell test code]],[1]!Table1[[Test code]:[Test code]],[1]!Table1[HFR 10 mM KOH/ mOhm cm2],"",0)</f>
        <v>#REF!</v>
      </c>
      <c r="AF2054" s="69" t="e" cm="1">
        <f t="array" ref="AF2054">_xlfn.XLOOKUP(Table1[[#This Row],[5 cm2 cell test code]:[5 cm2 cell test code]],[1]!Table1[[Test code]:[Test code]],[1]!Table1[Ionic resistance DIW/Ohm cm2],"",0)</f>
        <v>#REF!</v>
      </c>
      <c r="AG2054" s="69" t="e" cm="1">
        <f t="array" ref="AG2054">_xlfn.XLOOKUP(Table1[[#This Row],[5 cm2 cell test code]:[5 cm2 cell test code]],[1]!Table1[[Test code]:[Test code]],[1]!Table1[Q_int_frac DIW],"",0)</f>
        <v>#REF!</v>
      </c>
      <c r="AH2054" s="69" t="e" cm="1">
        <f t="array" ref="AH2054">_xlfn.XLOOKUP(Table1[[#This Row],[5 cm2 cell test code]:[5 cm2 cell test code]],[1]!Table1[[Test code]:[Test code]],[1]!Table1[Ionic resistance 10 mM KOH/Ohm cm2],"",0)</f>
        <v>#REF!</v>
      </c>
      <c r="AI2054" s="69" t="e" cm="1">
        <f t="array" ref="AI2054">_xlfn.XLOOKUP(Table1[[#This Row],[5 cm2 cell test code]:[5 cm2 cell test code]],[1]!Table1[[Test code]:[Test code]],[1]!Table1[Q_int_frac DIW 10 mM KOH],"",0)</f>
        <v>#REF!</v>
      </c>
      <c r="AJ2054" s="69" t="e" cm="1">
        <f t="array" ref="AJ2054">_xlfn.XLOOKUP(Table1[[#This Row],[5 cm2 cell test code]:[5 cm2 cell test code]],[1]!Table1[[Test code]:[Test code]],[1]!Table1[DIW conductivity (µS/cm)],"",0)</f>
        <v>#REF!</v>
      </c>
    </row>
    <row r="2055" spans="1:36">
      <c r="A2055" s="81"/>
      <c r="U2055" s="101"/>
      <c r="V2055" s="101"/>
      <c r="W2055" s="69" t="e" cm="1">
        <f t="array" ref="W2055">_xlfn.XLOOKUP(Table1[[#This Row],[5 cm2 cell test code]:[5 cm2 cell test code]],[1]!Table1[[Test code]:[Test code]],[1]!Table1[i @ 1.8 V DIW (A/cm2)],"",0)</f>
        <v>#REF!</v>
      </c>
      <c r="X2055" s="69" t="e" cm="1">
        <f t="array" ref="X2055">_xlfn.XLOOKUP(Table1[[#This Row],[5 cm2 cell test code]:[5 cm2 cell test code]],[1]!Table1[[Test code]:[Test code]],[1]!Table1[i @ 1.8 V 10 mM KOH (A/cm2)],"",0)</f>
        <v>#REF!</v>
      </c>
      <c r="Y2055" s="69" t="e" cm="1">
        <f t="array" ref="Y2055">_xlfn.XLOOKUP(Table1[[#This Row],[5 cm2 cell test code]:[5 cm2 cell test code]],[1]!Table1[[Test code]:[Test code]],[1]!Table1[3-E ƞ at 20mAcm-2 (mV)],"",0)</f>
        <v>#REF!</v>
      </c>
      <c r="Z2055" s="69" t="e" cm="1">
        <f t="array" ref="Z2055">_xlfn.XLOOKUP(Table1[[#This Row],[5 cm2 cell test code]:[5 cm2 cell test code]],[1]!Table1[[Test code]:[Test code]],[1]!Table1[3-E Tafel slope (mV/dec)],"",0)</f>
        <v>#REF!</v>
      </c>
      <c r="AA2055" s="69" t="e" cm="1">
        <f t="array" ref="AA2055">_xlfn.XLOOKUP(Table1[[#This Row],[5 cm2 cell test code]:[5 cm2 cell test code]],[1]!Table1[[Test code]:[Test code]],[1]!Table1[E @ 100 mA/cm2 DIW/V],"",0)</f>
        <v>#REF!</v>
      </c>
      <c r="AB2055" s="69" t="e" cm="1">
        <f t="array" ref="AB2055">_xlfn.XLOOKUP(Table1[[#This Row],[5 cm2 cell test code]:[5 cm2 cell test code]],[1]!Table1[[Test code]:[Test code]],[1]!Table1[E @ 100 mA/cm2 10 mM KOH/V],"",0)</f>
        <v>#REF!</v>
      </c>
      <c r="AC2055" s="69" t="e" cm="1">
        <f t="array" ref="AC2055">_xlfn.XLOOKUP(Table1[[#This Row],[5 cm2 cell test code]:[5 cm2 cell test code]],[1]!Table1[[Test code]:[Test code]],[1]!Table1[Anode ICR/mOhm],"",0)</f>
        <v>#REF!</v>
      </c>
      <c r="AD2055" s="69" t="e" cm="1">
        <f t="array" ref="AD2055">_xlfn.XLOOKUP(Table1[[#This Row],[5 cm2 cell test code]:[5 cm2 cell test code]],[1]!Table1[[Test code]:[Test code]],[1]!Table1[HFR DIW/ mOhm cm2],"",0)</f>
        <v>#REF!</v>
      </c>
      <c r="AE2055" s="69" t="e" cm="1">
        <f t="array" ref="AE2055">_xlfn.XLOOKUP(Table1[[#This Row],[5 cm2 cell test code]:[5 cm2 cell test code]],[1]!Table1[[Test code]:[Test code]],[1]!Table1[HFR 10 mM KOH/ mOhm cm2],"",0)</f>
        <v>#REF!</v>
      </c>
      <c r="AF2055" s="69" t="e" cm="1">
        <f t="array" ref="AF2055">_xlfn.XLOOKUP(Table1[[#This Row],[5 cm2 cell test code]:[5 cm2 cell test code]],[1]!Table1[[Test code]:[Test code]],[1]!Table1[Ionic resistance DIW/Ohm cm2],"",0)</f>
        <v>#REF!</v>
      </c>
      <c r="AG2055" s="69" t="e" cm="1">
        <f t="array" ref="AG2055">_xlfn.XLOOKUP(Table1[[#This Row],[5 cm2 cell test code]:[5 cm2 cell test code]],[1]!Table1[[Test code]:[Test code]],[1]!Table1[Q_int_frac DIW],"",0)</f>
        <v>#REF!</v>
      </c>
      <c r="AH2055" s="69" t="e" cm="1">
        <f t="array" ref="AH2055">_xlfn.XLOOKUP(Table1[[#This Row],[5 cm2 cell test code]:[5 cm2 cell test code]],[1]!Table1[[Test code]:[Test code]],[1]!Table1[Ionic resistance 10 mM KOH/Ohm cm2],"",0)</f>
        <v>#REF!</v>
      </c>
      <c r="AI2055" s="69" t="e" cm="1">
        <f t="array" ref="AI2055">_xlfn.XLOOKUP(Table1[[#This Row],[5 cm2 cell test code]:[5 cm2 cell test code]],[1]!Table1[[Test code]:[Test code]],[1]!Table1[Q_int_frac DIW 10 mM KOH],"",0)</f>
        <v>#REF!</v>
      </c>
      <c r="AJ2055" s="69" t="e" cm="1">
        <f t="array" ref="AJ2055">_xlfn.XLOOKUP(Table1[[#This Row],[5 cm2 cell test code]:[5 cm2 cell test code]],[1]!Table1[[Test code]:[Test code]],[1]!Table1[DIW conductivity (µS/cm)],"",0)</f>
        <v>#REF!</v>
      </c>
    </row>
    <row r="2056" spans="1:36">
      <c r="A2056" s="81"/>
      <c r="U2056" s="101"/>
      <c r="V2056" s="101"/>
      <c r="W2056" s="69" t="e" cm="1">
        <f t="array" ref="W2056">_xlfn.XLOOKUP(Table1[[#This Row],[5 cm2 cell test code]:[5 cm2 cell test code]],[1]!Table1[[Test code]:[Test code]],[1]!Table1[i @ 1.8 V DIW (A/cm2)],"",0)</f>
        <v>#REF!</v>
      </c>
      <c r="X2056" s="69" t="e" cm="1">
        <f t="array" ref="X2056">_xlfn.XLOOKUP(Table1[[#This Row],[5 cm2 cell test code]:[5 cm2 cell test code]],[1]!Table1[[Test code]:[Test code]],[1]!Table1[i @ 1.8 V 10 mM KOH (A/cm2)],"",0)</f>
        <v>#REF!</v>
      </c>
      <c r="Y2056" s="69" t="e" cm="1">
        <f t="array" ref="Y2056">_xlfn.XLOOKUP(Table1[[#This Row],[5 cm2 cell test code]:[5 cm2 cell test code]],[1]!Table1[[Test code]:[Test code]],[1]!Table1[3-E ƞ at 20mAcm-2 (mV)],"",0)</f>
        <v>#REF!</v>
      </c>
      <c r="Z2056" s="69" t="e" cm="1">
        <f t="array" ref="Z2056">_xlfn.XLOOKUP(Table1[[#This Row],[5 cm2 cell test code]:[5 cm2 cell test code]],[1]!Table1[[Test code]:[Test code]],[1]!Table1[3-E Tafel slope (mV/dec)],"",0)</f>
        <v>#REF!</v>
      </c>
      <c r="AA2056" s="69" t="e" cm="1">
        <f t="array" ref="AA2056">_xlfn.XLOOKUP(Table1[[#This Row],[5 cm2 cell test code]:[5 cm2 cell test code]],[1]!Table1[[Test code]:[Test code]],[1]!Table1[E @ 100 mA/cm2 DIW/V],"",0)</f>
        <v>#REF!</v>
      </c>
      <c r="AB2056" s="69" t="e" cm="1">
        <f t="array" ref="AB2056">_xlfn.XLOOKUP(Table1[[#This Row],[5 cm2 cell test code]:[5 cm2 cell test code]],[1]!Table1[[Test code]:[Test code]],[1]!Table1[E @ 100 mA/cm2 10 mM KOH/V],"",0)</f>
        <v>#REF!</v>
      </c>
      <c r="AC2056" s="69" t="e" cm="1">
        <f t="array" ref="AC2056">_xlfn.XLOOKUP(Table1[[#This Row],[5 cm2 cell test code]:[5 cm2 cell test code]],[1]!Table1[[Test code]:[Test code]],[1]!Table1[Anode ICR/mOhm],"",0)</f>
        <v>#REF!</v>
      </c>
      <c r="AD2056" s="69" t="e" cm="1">
        <f t="array" ref="AD2056">_xlfn.XLOOKUP(Table1[[#This Row],[5 cm2 cell test code]:[5 cm2 cell test code]],[1]!Table1[[Test code]:[Test code]],[1]!Table1[HFR DIW/ mOhm cm2],"",0)</f>
        <v>#REF!</v>
      </c>
      <c r="AE2056" s="69" t="e" cm="1">
        <f t="array" ref="AE2056">_xlfn.XLOOKUP(Table1[[#This Row],[5 cm2 cell test code]:[5 cm2 cell test code]],[1]!Table1[[Test code]:[Test code]],[1]!Table1[HFR 10 mM KOH/ mOhm cm2],"",0)</f>
        <v>#REF!</v>
      </c>
      <c r="AF2056" s="69" t="e" cm="1">
        <f t="array" ref="AF2056">_xlfn.XLOOKUP(Table1[[#This Row],[5 cm2 cell test code]:[5 cm2 cell test code]],[1]!Table1[[Test code]:[Test code]],[1]!Table1[Ionic resistance DIW/Ohm cm2],"",0)</f>
        <v>#REF!</v>
      </c>
      <c r="AG2056" s="69" t="e" cm="1">
        <f t="array" ref="AG2056">_xlfn.XLOOKUP(Table1[[#This Row],[5 cm2 cell test code]:[5 cm2 cell test code]],[1]!Table1[[Test code]:[Test code]],[1]!Table1[Q_int_frac DIW],"",0)</f>
        <v>#REF!</v>
      </c>
      <c r="AH2056" s="69" t="e" cm="1">
        <f t="array" ref="AH2056">_xlfn.XLOOKUP(Table1[[#This Row],[5 cm2 cell test code]:[5 cm2 cell test code]],[1]!Table1[[Test code]:[Test code]],[1]!Table1[Ionic resistance 10 mM KOH/Ohm cm2],"",0)</f>
        <v>#REF!</v>
      </c>
      <c r="AI2056" s="69" t="e" cm="1">
        <f t="array" ref="AI2056">_xlfn.XLOOKUP(Table1[[#This Row],[5 cm2 cell test code]:[5 cm2 cell test code]],[1]!Table1[[Test code]:[Test code]],[1]!Table1[Q_int_frac DIW 10 mM KOH],"",0)</f>
        <v>#REF!</v>
      </c>
      <c r="AJ2056" s="69" t="e" cm="1">
        <f t="array" ref="AJ2056">_xlfn.XLOOKUP(Table1[[#This Row],[5 cm2 cell test code]:[5 cm2 cell test code]],[1]!Table1[[Test code]:[Test code]],[1]!Table1[DIW conductivity (µS/cm)],"",0)</f>
        <v>#REF!</v>
      </c>
    </row>
    <row r="2057" spans="1:36">
      <c r="A2057" s="81"/>
      <c r="U2057" s="101"/>
      <c r="V2057" s="101"/>
      <c r="W2057" s="69" t="e" cm="1">
        <f t="array" ref="W2057">_xlfn.XLOOKUP(Table1[[#This Row],[5 cm2 cell test code]:[5 cm2 cell test code]],[1]!Table1[[Test code]:[Test code]],[1]!Table1[i @ 1.8 V DIW (A/cm2)],"",0)</f>
        <v>#REF!</v>
      </c>
      <c r="X2057" s="69" t="e" cm="1">
        <f t="array" ref="X2057">_xlfn.XLOOKUP(Table1[[#This Row],[5 cm2 cell test code]:[5 cm2 cell test code]],[1]!Table1[[Test code]:[Test code]],[1]!Table1[i @ 1.8 V 10 mM KOH (A/cm2)],"",0)</f>
        <v>#REF!</v>
      </c>
      <c r="Y2057" s="69" t="e" cm="1">
        <f t="array" ref="Y2057">_xlfn.XLOOKUP(Table1[[#This Row],[5 cm2 cell test code]:[5 cm2 cell test code]],[1]!Table1[[Test code]:[Test code]],[1]!Table1[3-E ƞ at 20mAcm-2 (mV)],"",0)</f>
        <v>#REF!</v>
      </c>
      <c r="Z2057" s="69" t="e" cm="1">
        <f t="array" ref="Z2057">_xlfn.XLOOKUP(Table1[[#This Row],[5 cm2 cell test code]:[5 cm2 cell test code]],[1]!Table1[[Test code]:[Test code]],[1]!Table1[3-E Tafel slope (mV/dec)],"",0)</f>
        <v>#REF!</v>
      </c>
      <c r="AA2057" s="69" t="e" cm="1">
        <f t="array" ref="AA2057">_xlfn.XLOOKUP(Table1[[#This Row],[5 cm2 cell test code]:[5 cm2 cell test code]],[1]!Table1[[Test code]:[Test code]],[1]!Table1[E @ 100 mA/cm2 DIW/V],"",0)</f>
        <v>#REF!</v>
      </c>
      <c r="AB2057" s="69" t="e" cm="1">
        <f t="array" ref="AB2057">_xlfn.XLOOKUP(Table1[[#This Row],[5 cm2 cell test code]:[5 cm2 cell test code]],[1]!Table1[[Test code]:[Test code]],[1]!Table1[E @ 100 mA/cm2 10 mM KOH/V],"",0)</f>
        <v>#REF!</v>
      </c>
      <c r="AC2057" s="69" t="e" cm="1">
        <f t="array" ref="AC2057">_xlfn.XLOOKUP(Table1[[#This Row],[5 cm2 cell test code]:[5 cm2 cell test code]],[1]!Table1[[Test code]:[Test code]],[1]!Table1[Anode ICR/mOhm],"",0)</f>
        <v>#REF!</v>
      </c>
      <c r="AD2057" s="69" t="e" cm="1">
        <f t="array" ref="AD2057">_xlfn.XLOOKUP(Table1[[#This Row],[5 cm2 cell test code]:[5 cm2 cell test code]],[1]!Table1[[Test code]:[Test code]],[1]!Table1[HFR DIW/ mOhm cm2],"",0)</f>
        <v>#REF!</v>
      </c>
      <c r="AE2057" s="69" t="e" cm="1">
        <f t="array" ref="AE2057">_xlfn.XLOOKUP(Table1[[#This Row],[5 cm2 cell test code]:[5 cm2 cell test code]],[1]!Table1[[Test code]:[Test code]],[1]!Table1[HFR 10 mM KOH/ mOhm cm2],"",0)</f>
        <v>#REF!</v>
      </c>
      <c r="AF2057" s="69" t="e" cm="1">
        <f t="array" ref="AF2057">_xlfn.XLOOKUP(Table1[[#This Row],[5 cm2 cell test code]:[5 cm2 cell test code]],[1]!Table1[[Test code]:[Test code]],[1]!Table1[Ionic resistance DIW/Ohm cm2],"",0)</f>
        <v>#REF!</v>
      </c>
      <c r="AG2057" s="69" t="e" cm="1">
        <f t="array" ref="AG2057">_xlfn.XLOOKUP(Table1[[#This Row],[5 cm2 cell test code]:[5 cm2 cell test code]],[1]!Table1[[Test code]:[Test code]],[1]!Table1[Q_int_frac DIW],"",0)</f>
        <v>#REF!</v>
      </c>
      <c r="AH2057" s="69" t="e" cm="1">
        <f t="array" ref="AH2057">_xlfn.XLOOKUP(Table1[[#This Row],[5 cm2 cell test code]:[5 cm2 cell test code]],[1]!Table1[[Test code]:[Test code]],[1]!Table1[Ionic resistance 10 mM KOH/Ohm cm2],"",0)</f>
        <v>#REF!</v>
      </c>
      <c r="AI2057" s="69" t="e" cm="1">
        <f t="array" ref="AI2057">_xlfn.XLOOKUP(Table1[[#This Row],[5 cm2 cell test code]:[5 cm2 cell test code]],[1]!Table1[[Test code]:[Test code]],[1]!Table1[Q_int_frac DIW 10 mM KOH],"",0)</f>
        <v>#REF!</v>
      </c>
      <c r="AJ2057" s="69" t="e" cm="1">
        <f t="array" ref="AJ2057">_xlfn.XLOOKUP(Table1[[#This Row],[5 cm2 cell test code]:[5 cm2 cell test code]],[1]!Table1[[Test code]:[Test code]],[1]!Table1[DIW conductivity (µS/cm)],"",0)</f>
        <v>#REF!</v>
      </c>
    </row>
    <row r="2058" spans="1:36">
      <c r="A2058" s="81"/>
      <c r="U2058" s="101"/>
      <c r="V2058" s="101"/>
      <c r="W2058" s="69" t="e" cm="1">
        <f t="array" ref="W2058">_xlfn.XLOOKUP(Table1[[#This Row],[5 cm2 cell test code]:[5 cm2 cell test code]],[1]!Table1[[Test code]:[Test code]],[1]!Table1[i @ 1.8 V DIW (A/cm2)],"",0)</f>
        <v>#REF!</v>
      </c>
      <c r="X2058" s="69" t="e" cm="1">
        <f t="array" ref="X2058">_xlfn.XLOOKUP(Table1[[#This Row],[5 cm2 cell test code]:[5 cm2 cell test code]],[1]!Table1[[Test code]:[Test code]],[1]!Table1[i @ 1.8 V 10 mM KOH (A/cm2)],"",0)</f>
        <v>#REF!</v>
      </c>
      <c r="Y2058" s="69" t="e" cm="1">
        <f t="array" ref="Y2058">_xlfn.XLOOKUP(Table1[[#This Row],[5 cm2 cell test code]:[5 cm2 cell test code]],[1]!Table1[[Test code]:[Test code]],[1]!Table1[3-E ƞ at 20mAcm-2 (mV)],"",0)</f>
        <v>#REF!</v>
      </c>
      <c r="Z2058" s="69" t="e" cm="1">
        <f t="array" ref="Z2058">_xlfn.XLOOKUP(Table1[[#This Row],[5 cm2 cell test code]:[5 cm2 cell test code]],[1]!Table1[[Test code]:[Test code]],[1]!Table1[3-E Tafel slope (mV/dec)],"",0)</f>
        <v>#REF!</v>
      </c>
      <c r="AA2058" s="69" t="e" cm="1">
        <f t="array" ref="AA2058">_xlfn.XLOOKUP(Table1[[#This Row],[5 cm2 cell test code]:[5 cm2 cell test code]],[1]!Table1[[Test code]:[Test code]],[1]!Table1[E @ 100 mA/cm2 DIW/V],"",0)</f>
        <v>#REF!</v>
      </c>
      <c r="AB2058" s="69" t="e" cm="1">
        <f t="array" ref="AB2058">_xlfn.XLOOKUP(Table1[[#This Row],[5 cm2 cell test code]:[5 cm2 cell test code]],[1]!Table1[[Test code]:[Test code]],[1]!Table1[E @ 100 mA/cm2 10 mM KOH/V],"",0)</f>
        <v>#REF!</v>
      </c>
      <c r="AC2058" s="69" t="e" cm="1">
        <f t="array" ref="AC2058">_xlfn.XLOOKUP(Table1[[#This Row],[5 cm2 cell test code]:[5 cm2 cell test code]],[1]!Table1[[Test code]:[Test code]],[1]!Table1[Anode ICR/mOhm],"",0)</f>
        <v>#REF!</v>
      </c>
      <c r="AD2058" s="69" t="e" cm="1">
        <f t="array" ref="AD2058">_xlfn.XLOOKUP(Table1[[#This Row],[5 cm2 cell test code]:[5 cm2 cell test code]],[1]!Table1[[Test code]:[Test code]],[1]!Table1[HFR DIW/ mOhm cm2],"",0)</f>
        <v>#REF!</v>
      </c>
      <c r="AE2058" s="69" t="e" cm="1">
        <f t="array" ref="AE2058">_xlfn.XLOOKUP(Table1[[#This Row],[5 cm2 cell test code]:[5 cm2 cell test code]],[1]!Table1[[Test code]:[Test code]],[1]!Table1[HFR 10 mM KOH/ mOhm cm2],"",0)</f>
        <v>#REF!</v>
      </c>
      <c r="AF2058" s="69" t="e" cm="1">
        <f t="array" ref="AF2058">_xlfn.XLOOKUP(Table1[[#This Row],[5 cm2 cell test code]:[5 cm2 cell test code]],[1]!Table1[[Test code]:[Test code]],[1]!Table1[Ionic resistance DIW/Ohm cm2],"",0)</f>
        <v>#REF!</v>
      </c>
      <c r="AG2058" s="69" t="e" cm="1">
        <f t="array" ref="AG2058">_xlfn.XLOOKUP(Table1[[#This Row],[5 cm2 cell test code]:[5 cm2 cell test code]],[1]!Table1[[Test code]:[Test code]],[1]!Table1[Q_int_frac DIW],"",0)</f>
        <v>#REF!</v>
      </c>
      <c r="AH2058" s="69" t="e" cm="1">
        <f t="array" ref="AH2058">_xlfn.XLOOKUP(Table1[[#This Row],[5 cm2 cell test code]:[5 cm2 cell test code]],[1]!Table1[[Test code]:[Test code]],[1]!Table1[Ionic resistance 10 mM KOH/Ohm cm2],"",0)</f>
        <v>#REF!</v>
      </c>
      <c r="AI2058" s="69" t="e" cm="1">
        <f t="array" ref="AI2058">_xlfn.XLOOKUP(Table1[[#This Row],[5 cm2 cell test code]:[5 cm2 cell test code]],[1]!Table1[[Test code]:[Test code]],[1]!Table1[Q_int_frac DIW 10 mM KOH],"",0)</f>
        <v>#REF!</v>
      </c>
      <c r="AJ2058" s="69" t="e" cm="1">
        <f t="array" ref="AJ2058">_xlfn.XLOOKUP(Table1[[#This Row],[5 cm2 cell test code]:[5 cm2 cell test code]],[1]!Table1[[Test code]:[Test code]],[1]!Table1[DIW conductivity (µS/cm)],"",0)</f>
        <v>#REF!</v>
      </c>
    </row>
    <row r="2059" spans="1:36">
      <c r="A2059" s="81"/>
      <c r="U2059" s="101"/>
      <c r="V2059" s="101"/>
      <c r="W2059" s="69" t="e" cm="1">
        <f t="array" ref="W2059">_xlfn.XLOOKUP(Table1[[#This Row],[5 cm2 cell test code]:[5 cm2 cell test code]],[1]!Table1[[Test code]:[Test code]],[1]!Table1[i @ 1.8 V DIW (A/cm2)],"",0)</f>
        <v>#REF!</v>
      </c>
      <c r="X2059" s="69" t="e" cm="1">
        <f t="array" ref="X2059">_xlfn.XLOOKUP(Table1[[#This Row],[5 cm2 cell test code]:[5 cm2 cell test code]],[1]!Table1[[Test code]:[Test code]],[1]!Table1[i @ 1.8 V 10 mM KOH (A/cm2)],"",0)</f>
        <v>#REF!</v>
      </c>
      <c r="Y2059" s="69" t="e" cm="1">
        <f t="array" ref="Y2059">_xlfn.XLOOKUP(Table1[[#This Row],[5 cm2 cell test code]:[5 cm2 cell test code]],[1]!Table1[[Test code]:[Test code]],[1]!Table1[3-E ƞ at 20mAcm-2 (mV)],"",0)</f>
        <v>#REF!</v>
      </c>
      <c r="Z2059" s="69" t="e" cm="1">
        <f t="array" ref="Z2059">_xlfn.XLOOKUP(Table1[[#This Row],[5 cm2 cell test code]:[5 cm2 cell test code]],[1]!Table1[[Test code]:[Test code]],[1]!Table1[3-E Tafel slope (mV/dec)],"",0)</f>
        <v>#REF!</v>
      </c>
      <c r="AA2059" s="69" t="e" cm="1">
        <f t="array" ref="AA2059">_xlfn.XLOOKUP(Table1[[#This Row],[5 cm2 cell test code]:[5 cm2 cell test code]],[1]!Table1[[Test code]:[Test code]],[1]!Table1[E @ 100 mA/cm2 DIW/V],"",0)</f>
        <v>#REF!</v>
      </c>
      <c r="AB2059" s="69" t="e" cm="1">
        <f t="array" ref="AB2059">_xlfn.XLOOKUP(Table1[[#This Row],[5 cm2 cell test code]:[5 cm2 cell test code]],[1]!Table1[[Test code]:[Test code]],[1]!Table1[E @ 100 mA/cm2 10 mM KOH/V],"",0)</f>
        <v>#REF!</v>
      </c>
      <c r="AC2059" s="69" t="e" cm="1">
        <f t="array" ref="AC2059">_xlfn.XLOOKUP(Table1[[#This Row],[5 cm2 cell test code]:[5 cm2 cell test code]],[1]!Table1[[Test code]:[Test code]],[1]!Table1[Anode ICR/mOhm],"",0)</f>
        <v>#REF!</v>
      </c>
      <c r="AD2059" s="69" t="e" cm="1">
        <f t="array" ref="AD2059">_xlfn.XLOOKUP(Table1[[#This Row],[5 cm2 cell test code]:[5 cm2 cell test code]],[1]!Table1[[Test code]:[Test code]],[1]!Table1[HFR DIW/ mOhm cm2],"",0)</f>
        <v>#REF!</v>
      </c>
      <c r="AE2059" s="69" t="e" cm="1">
        <f t="array" ref="AE2059">_xlfn.XLOOKUP(Table1[[#This Row],[5 cm2 cell test code]:[5 cm2 cell test code]],[1]!Table1[[Test code]:[Test code]],[1]!Table1[HFR 10 mM KOH/ mOhm cm2],"",0)</f>
        <v>#REF!</v>
      </c>
      <c r="AF2059" s="69" t="e" cm="1">
        <f t="array" ref="AF2059">_xlfn.XLOOKUP(Table1[[#This Row],[5 cm2 cell test code]:[5 cm2 cell test code]],[1]!Table1[[Test code]:[Test code]],[1]!Table1[Ionic resistance DIW/Ohm cm2],"",0)</f>
        <v>#REF!</v>
      </c>
      <c r="AG2059" s="69" t="e" cm="1">
        <f t="array" ref="AG2059">_xlfn.XLOOKUP(Table1[[#This Row],[5 cm2 cell test code]:[5 cm2 cell test code]],[1]!Table1[[Test code]:[Test code]],[1]!Table1[Q_int_frac DIW],"",0)</f>
        <v>#REF!</v>
      </c>
      <c r="AH2059" s="69" t="e" cm="1">
        <f t="array" ref="AH2059">_xlfn.XLOOKUP(Table1[[#This Row],[5 cm2 cell test code]:[5 cm2 cell test code]],[1]!Table1[[Test code]:[Test code]],[1]!Table1[Ionic resistance 10 mM KOH/Ohm cm2],"",0)</f>
        <v>#REF!</v>
      </c>
      <c r="AI2059" s="69" t="e" cm="1">
        <f t="array" ref="AI2059">_xlfn.XLOOKUP(Table1[[#This Row],[5 cm2 cell test code]:[5 cm2 cell test code]],[1]!Table1[[Test code]:[Test code]],[1]!Table1[Q_int_frac DIW 10 mM KOH],"",0)</f>
        <v>#REF!</v>
      </c>
      <c r="AJ2059" s="69" t="e" cm="1">
        <f t="array" ref="AJ2059">_xlfn.XLOOKUP(Table1[[#This Row],[5 cm2 cell test code]:[5 cm2 cell test code]],[1]!Table1[[Test code]:[Test code]],[1]!Table1[DIW conductivity (µS/cm)],"",0)</f>
        <v>#REF!</v>
      </c>
    </row>
    <row r="2060" spans="1:36">
      <c r="A2060" s="81"/>
      <c r="U2060" s="101"/>
      <c r="V2060" s="101"/>
      <c r="W2060" s="69" t="e" cm="1">
        <f t="array" ref="W2060">_xlfn.XLOOKUP(Table1[[#This Row],[5 cm2 cell test code]:[5 cm2 cell test code]],[1]!Table1[[Test code]:[Test code]],[1]!Table1[i @ 1.8 V DIW (A/cm2)],"",0)</f>
        <v>#REF!</v>
      </c>
      <c r="X2060" s="69" t="e" cm="1">
        <f t="array" ref="X2060">_xlfn.XLOOKUP(Table1[[#This Row],[5 cm2 cell test code]:[5 cm2 cell test code]],[1]!Table1[[Test code]:[Test code]],[1]!Table1[i @ 1.8 V 10 mM KOH (A/cm2)],"",0)</f>
        <v>#REF!</v>
      </c>
      <c r="Y2060" s="69" t="e" cm="1">
        <f t="array" ref="Y2060">_xlfn.XLOOKUP(Table1[[#This Row],[5 cm2 cell test code]:[5 cm2 cell test code]],[1]!Table1[[Test code]:[Test code]],[1]!Table1[3-E ƞ at 20mAcm-2 (mV)],"",0)</f>
        <v>#REF!</v>
      </c>
      <c r="Z2060" s="69" t="e" cm="1">
        <f t="array" ref="Z2060">_xlfn.XLOOKUP(Table1[[#This Row],[5 cm2 cell test code]:[5 cm2 cell test code]],[1]!Table1[[Test code]:[Test code]],[1]!Table1[3-E Tafel slope (mV/dec)],"",0)</f>
        <v>#REF!</v>
      </c>
      <c r="AA2060" s="69" t="e" cm="1">
        <f t="array" ref="AA2060">_xlfn.XLOOKUP(Table1[[#This Row],[5 cm2 cell test code]:[5 cm2 cell test code]],[1]!Table1[[Test code]:[Test code]],[1]!Table1[E @ 100 mA/cm2 DIW/V],"",0)</f>
        <v>#REF!</v>
      </c>
      <c r="AB2060" s="69" t="e" cm="1">
        <f t="array" ref="AB2060">_xlfn.XLOOKUP(Table1[[#This Row],[5 cm2 cell test code]:[5 cm2 cell test code]],[1]!Table1[[Test code]:[Test code]],[1]!Table1[E @ 100 mA/cm2 10 mM KOH/V],"",0)</f>
        <v>#REF!</v>
      </c>
      <c r="AC2060" s="69" t="e" cm="1">
        <f t="array" ref="AC2060">_xlfn.XLOOKUP(Table1[[#This Row],[5 cm2 cell test code]:[5 cm2 cell test code]],[1]!Table1[[Test code]:[Test code]],[1]!Table1[Anode ICR/mOhm],"",0)</f>
        <v>#REF!</v>
      </c>
      <c r="AD2060" s="69" t="e" cm="1">
        <f t="array" ref="AD2060">_xlfn.XLOOKUP(Table1[[#This Row],[5 cm2 cell test code]:[5 cm2 cell test code]],[1]!Table1[[Test code]:[Test code]],[1]!Table1[HFR DIW/ mOhm cm2],"",0)</f>
        <v>#REF!</v>
      </c>
      <c r="AE2060" s="69" t="e" cm="1">
        <f t="array" ref="AE2060">_xlfn.XLOOKUP(Table1[[#This Row],[5 cm2 cell test code]:[5 cm2 cell test code]],[1]!Table1[[Test code]:[Test code]],[1]!Table1[HFR 10 mM KOH/ mOhm cm2],"",0)</f>
        <v>#REF!</v>
      </c>
      <c r="AF2060" s="69" t="e" cm="1">
        <f t="array" ref="AF2060">_xlfn.XLOOKUP(Table1[[#This Row],[5 cm2 cell test code]:[5 cm2 cell test code]],[1]!Table1[[Test code]:[Test code]],[1]!Table1[Ionic resistance DIW/Ohm cm2],"",0)</f>
        <v>#REF!</v>
      </c>
      <c r="AG2060" s="69" t="e" cm="1">
        <f t="array" ref="AG2060">_xlfn.XLOOKUP(Table1[[#This Row],[5 cm2 cell test code]:[5 cm2 cell test code]],[1]!Table1[[Test code]:[Test code]],[1]!Table1[Q_int_frac DIW],"",0)</f>
        <v>#REF!</v>
      </c>
      <c r="AH2060" s="69" t="e" cm="1">
        <f t="array" ref="AH2060">_xlfn.XLOOKUP(Table1[[#This Row],[5 cm2 cell test code]:[5 cm2 cell test code]],[1]!Table1[[Test code]:[Test code]],[1]!Table1[Ionic resistance 10 mM KOH/Ohm cm2],"",0)</f>
        <v>#REF!</v>
      </c>
      <c r="AI2060" s="69" t="e" cm="1">
        <f t="array" ref="AI2060">_xlfn.XLOOKUP(Table1[[#This Row],[5 cm2 cell test code]:[5 cm2 cell test code]],[1]!Table1[[Test code]:[Test code]],[1]!Table1[Q_int_frac DIW 10 mM KOH],"",0)</f>
        <v>#REF!</v>
      </c>
      <c r="AJ2060" s="69" t="e" cm="1">
        <f t="array" ref="AJ2060">_xlfn.XLOOKUP(Table1[[#This Row],[5 cm2 cell test code]:[5 cm2 cell test code]],[1]!Table1[[Test code]:[Test code]],[1]!Table1[DIW conductivity (µS/cm)],"",0)</f>
        <v>#REF!</v>
      </c>
    </row>
    <row r="2061" spans="1:36">
      <c r="A2061" s="81"/>
      <c r="U2061" s="101"/>
      <c r="V2061" s="101"/>
      <c r="W2061" s="69" t="e" cm="1">
        <f t="array" ref="W2061">_xlfn.XLOOKUP(Table1[[#This Row],[5 cm2 cell test code]:[5 cm2 cell test code]],[1]!Table1[[Test code]:[Test code]],[1]!Table1[i @ 1.8 V DIW (A/cm2)],"",0)</f>
        <v>#REF!</v>
      </c>
      <c r="X2061" s="69" t="e" cm="1">
        <f t="array" ref="X2061">_xlfn.XLOOKUP(Table1[[#This Row],[5 cm2 cell test code]:[5 cm2 cell test code]],[1]!Table1[[Test code]:[Test code]],[1]!Table1[i @ 1.8 V 10 mM KOH (A/cm2)],"",0)</f>
        <v>#REF!</v>
      </c>
      <c r="Y2061" s="69" t="e" cm="1">
        <f t="array" ref="Y2061">_xlfn.XLOOKUP(Table1[[#This Row],[5 cm2 cell test code]:[5 cm2 cell test code]],[1]!Table1[[Test code]:[Test code]],[1]!Table1[3-E ƞ at 20mAcm-2 (mV)],"",0)</f>
        <v>#REF!</v>
      </c>
      <c r="Z2061" s="69" t="e" cm="1">
        <f t="array" ref="Z2061">_xlfn.XLOOKUP(Table1[[#This Row],[5 cm2 cell test code]:[5 cm2 cell test code]],[1]!Table1[[Test code]:[Test code]],[1]!Table1[3-E Tafel slope (mV/dec)],"",0)</f>
        <v>#REF!</v>
      </c>
      <c r="AA2061" s="69" t="e" cm="1">
        <f t="array" ref="AA2061">_xlfn.XLOOKUP(Table1[[#This Row],[5 cm2 cell test code]:[5 cm2 cell test code]],[1]!Table1[[Test code]:[Test code]],[1]!Table1[E @ 100 mA/cm2 DIW/V],"",0)</f>
        <v>#REF!</v>
      </c>
      <c r="AB2061" s="69" t="e" cm="1">
        <f t="array" ref="AB2061">_xlfn.XLOOKUP(Table1[[#This Row],[5 cm2 cell test code]:[5 cm2 cell test code]],[1]!Table1[[Test code]:[Test code]],[1]!Table1[E @ 100 mA/cm2 10 mM KOH/V],"",0)</f>
        <v>#REF!</v>
      </c>
      <c r="AC2061" s="69" t="e" cm="1">
        <f t="array" ref="AC2061">_xlfn.XLOOKUP(Table1[[#This Row],[5 cm2 cell test code]:[5 cm2 cell test code]],[1]!Table1[[Test code]:[Test code]],[1]!Table1[Anode ICR/mOhm],"",0)</f>
        <v>#REF!</v>
      </c>
      <c r="AD2061" s="69" t="e" cm="1">
        <f t="array" ref="AD2061">_xlfn.XLOOKUP(Table1[[#This Row],[5 cm2 cell test code]:[5 cm2 cell test code]],[1]!Table1[[Test code]:[Test code]],[1]!Table1[HFR DIW/ mOhm cm2],"",0)</f>
        <v>#REF!</v>
      </c>
      <c r="AE2061" s="69" t="e" cm="1">
        <f t="array" ref="AE2061">_xlfn.XLOOKUP(Table1[[#This Row],[5 cm2 cell test code]:[5 cm2 cell test code]],[1]!Table1[[Test code]:[Test code]],[1]!Table1[HFR 10 mM KOH/ mOhm cm2],"",0)</f>
        <v>#REF!</v>
      </c>
      <c r="AF2061" s="69" t="e" cm="1">
        <f t="array" ref="AF2061">_xlfn.XLOOKUP(Table1[[#This Row],[5 cm2 cell test code]:[5 cm2 cell test code]],[1]!Table1[[Test code]:[Test code]],[1]!Table1[Ionic resistance DIW/Ohm cm2],"",0)</f>
        <v>#REF!</v>
      </c>
      <c r="AG2061" s="69" t="e" cm="1">
        <f t="array" ref="AG2061">_xlfn.XLOOKUP(Table1[[#This Row],[5 cm2 cell test code]:[5 cm2 cell test code]],[1]!Table1[[Test code]:[Test code]],[1]!Table1[Q_int_frac DIW],"",0)</f>
        <v>#REF!</v>
      </c>
      <c r="AH2061" s="69" t="e" cm="1">
        <f t="array" ref="AH2061">_xlfn.XLOOKUP(Table1[[#This Row],[5 cm2 cell test code]:[5 cm2 cell test code]],[1]!Table1[[Test code]:[Test code]],[1]!Table1[Ionic resistance 10 mM KOH/Ohm cm2],"",0)</f>
        <v>#REF!</v>
      </c>
      <c r="AI2061" s="69" t="e" cm="1">
        <f t="array" ref="AI2061">_xlfn.XLOOKUP(Table1[[#This Row],[5 cm2 cell test code]:[5 cm2 cell test code]],[1]!Table1[[Test code]:[Test code]],[1]!Table1[Q_int_frac DIW 10 mM KOH],"",0)</f>
        <v>#REF!</v>
      </c>
      <c r="AJ2061" s="69" t="e" cm="1">
        <f t="array" ref="AJ2061">_xlfn.XLOOKUP(Table1[[#This Row],[5 cm2 cell test code]:[5 cm2 cell test code]],[1]!Table1[[Test code]:[Test code]],[1]!Table1[DIW conductivity (µS/cm)],"",0)</f>
        <v>#REF!</v>
      </c>
    </row>
    <row r="2062" spans="1:36">
      <c r="A2062" s="81"/>
      <c r="U2062" s="101"/>
      <c r="V2062" s="101"/>
      <c r="W2062" s="69" t="e" cm="1">
        <f t="array" ref="W2062">_xlfn.XLOOKUP(Table1[[#This Row],[5 cm2 cell test code]:[5 cm2 cell test code]],[1]!Table1[[Test code]:[Test code]],[1]!Table1[i @ 1.8 V DIW (A/cm2)],"",0)</f>
        <v>#REF!</v>
      </c>
      <c r="X2062" s="69" t="e" cm="1">
        <f t="array" ref="X2062">_xlfn.XLOOKUP(Table1[[#This Row],[5 cm2 cell test code]:[5 cm2 cell test code]],[1]!Table1[[Test code]:[Test code]],[1]!Table1[i @ 1.8 V 10 mM KOH (A/cm2)],"",0)</f>
        <v>#REF!</v>
      </c>
      <c r="Y2062" s="69" t="e" cm="1">
        <f t="array" ref="Y2062">_xlfn.XLOOKUP(Table1[[#This Row],[5 cm2 cell test code]:[5 cm2 cell test code]],[1]!Table1[[Test code]:[Test code]],[1]!Table1[3-E ƞ at 20mAcm-2 (mV)],"",0)</f>
        <v>#REF!</v>
      </c>
      <c r="Z2062" s="69" t="e" cm="1">
        <f t="array" ref="Z2062">_xlfn.XLOOKUP(Table1[[#This Row],[5 cm2 cell test code]:[5 cm2 cell test code]],[1]!Table1[[Test code]:[Test code]],[1]!Table1[3-E Tafel slope (mV/dec)],"",0)</f>
        <v>#REF!</v>
      </c>
      <c r="AA2062" s="69" t="e" cm="1">
        <f t="array" ref="AA2062">_xlfn.XLOOKUP(Table1[[#This Row],[5 cm2 cell test code]:[5 cm2 cell test code]],[1]!Table1[[Test code]:[Test code]],[1]!Table1[E @ 100 mA/cm2 DIW/V],"",0)</f>
        <v>#REF!</v>
      </c>
      <c r="AB2062" s="69" t="e" cm="1">
        <f t="array" ref="AB2062">_xlfn.XLOOKUP(Table1[[#This Row],[5 cm2 cell test code]:[5 cm2 cell test code]],[1]!Table1[[Test code]:[Test code]],[1]!Table1[E @ 100 mA/cm2 10 mM KOH/V],"",0)</f>
        <v>#REF!</v>
      </c>
      <c r="AC2062" s="69" t="e" cm="1">
        <f t="array" ref="AC2062">_xlfn.XLOOKUP(Table1[[#This Row],[5 cm2 cell test code]:[5 cm2 cell test code]],[1]!Table1[[Test code]:[Test code]],[1]!Table1[Anode ICR/mOhm],"",0)</f>
        <v>#REF!</v>
      </c>
      <c r="AD2062" s="69" t="e" cm="1">
        <f t="array" ref="AD2062">_xlfn.XLOOKUP(Table1[[#This Row],[5 cm2 cell test code]:[5 cm2 cell test code]],[1]!Table1[[Test code]:[Test code]],[1]!Table1[HFR DIW/ mOhm cm2],"",0)</f>
        <v>#REF!</v>
      </c>
      <c r="AE2062" s="69" t="e" cm="1">
        <f t="array" ref="AE2062">_xlfn.XLOOKUP(Table1[[#This Row],[5 cm2 cell test code]:[5 cm2 cell test code]],[1]!Table1[[Test code]:[Test code]],[1]!Table1[HFR 10 mM KOH/ mOhm cm2],"",0)</f>
        <v>#REF!</v>
      </c>
      <c r="AF2062" s="69" t="e" cm="1">
        <f t="array" ref="AF2062">_xlfn.XLOOKUP(Table1[[#This Row],[5 cm2 cell test code]:[5 cm2 cell test code]],[1]!Table1[[Test code]:[Test code]],[1]!Table1[Ionic resistance DIW/Ohm cm2],"",0)</f>
        <v>#REF!</v>
      </c>
      <c r="AG2062" s="69" t="e" cm="1">
        <f t="array" ref="AG2062">_xlfn.XLOOKUP(Table1[[#This Row],[5 cm2 cell test code]:[5 cm2 cell test code]],[1]!Table1[[Test code]:[Test code]],[1]!Table1[Q_int_frac DIW],"",0)</f>
        <v>#REF!</v>
      </c>
      <c r="AH2062" s="69" t="e" cm="1">
        <f t="array" ref="AH2062">_xlfn.XLOOKUP(Table1[[#This Row],[5 cm2 cell test code]:[5 cm2 cell test code]],[1]!Table1[[Test code]:[Test code]],[1]!Table1[Ionic resistance 10 mM KOH/Ohm cm2],"",0)</f>
        <v>#REF!</v>
      </c>
      <c r="AI2062" s="69" t="e" cm="1">
        <f t="array" ref="AI2062">_xlfn.XLOOKUP(Table1[[#This Row],[5 cm2 cell test code]:[5 cm2 cell test code]],[1]!Table1[[Test code]:[Test code]],[1]!Table1[Q_int_frac DIW 10 mM KOH],"",0)</f>
        <v>#REF!</v>
      </c>
      <c r="AJ2062" s="69" t="e" cm="1">
        <f t="array" ref="AJ2062">_xlfn.XLOOKUP(Table1[[#This Row],[5 cm2 cell test code]:[5 cm2 cell test code]],[1]!Table1[[Test code]:[Test code]],[1]!Table1[DIW conductivity (µS/cm)],"",0)</f>
        <v>#REF!</v>
      </c>
    </row>
    <row r="2063" spans="1:36">
      <c r="A2063" s="81"/>
      <c r="U2063" s="101"/>
      <c r="V2063" s="101"/>
      <c r="W2063" s="69" t="e" cm="1">
        <f t="array" ref="W2063">_xlfn.XLOOKUP(Table1[[#This Row],[5 cm2 cell test code]:[5 cm2 cell test code]],[1]!Table1[[Test code]:[Test code]],[1]!Table1[i @ 1.8 V DIW (A/cm2)],"",0)</f>
        <v>#REF!</v>
      </c>
      <c r="X2063" s="69" t="e" cm="1">
        <f t="array" ref="X2063">_xlfn.XLOOKUP(Table1[[#This Row],[5 cm2 cell test code]:[5 cm2 cell test code]],[1]!Table1[[Test code]:[Test code]],[1]!Table1[i @ 1.8 V 10 mM KOH (A/cm2)],"",0)</f>
        <v>#REF!</v>
      </c>
      <c r="Y2063" s="69" t="e" cm="1">
        <f t="array" ref="Y2063">_xlfn.XLOOKUP(Table1[[#This Row],[5 cm2 cell test code]:[5 cm2 cell test code]],[1]!Table1[[Test code]:[Test code]],[1]!Table1[3-E ƞ at 20mAcm-2 (mV)],"",0)</f>
        <v>#REF!</v>
      </c>
      <c r="Z2063" s="69" t="e" cm="1">
        <f t="array" ref="Z2063">_xlfn.XLOOKUP(Table1[[#This Row],[5 cm2 cell test code]:[5 cm2 cell test code]],[1]!Table1[[Test code]:[Test code]],[1]!Table1[3-E Tafel slope (mV/dec)],"",0)</f>
        <v>#REF!</v>
      </c>
      <c r="AA2063" s="69" t="e" cm="1">
        <f t="array" ref="AA2063">_xlfn.XLOOKUP(Table1[[#This Row],[5 cm2 cell test code]:[5 cm2 cell test code]],[1]!Table1[[Test code]:[Test code]],[1]!Table1[E @ 100 mA/cm2 DIW/V],"",0)</f>
        <v>#REF!</v>
      </c>
      <c r="AB2063" s="69" t="e" cm="1">
        <f t="array" ref="AB2063">_xlfn.XLOOKUP(Table1[[#This Row],[5 cm2 cell test code]:[5 cm2 cell test code]],[1]!Table1[[Test code]:[Test code]],[1]!Table1[E @ 100 mA/cm2 10 mM KOH/V],"",0)</f>
        <v>#REF!</v>
      </c>
      <c r="AC2063" s="69" t="e" cm="1">
        <f t="array" ref="AC2063">_xlfn.XLOOKUP(Table1[[#This Row],[5 cm2 cell test code]:[5 cm2 cell test code]],[1]!Table1[[Test code]:[Test code]],[1]!Table1[Anode ICR/mOhm],"",0)</f>
        <v>#REF!</v>
      </c>
      <c r="AD2063" s="69" t="e" cm="1">
        <f t="array" ref="AD2063">_xlfn.XLOOKUP(Table1[[#This Row],[5 cm2 cell test code]:[5 cm2 cell test code]],[1]!Table1[[Test code]:[Test code]],[1]!Table1[HFR DIW/ mOhm cm2],"",0)</f>
        <v>#REF!</v>
      </c>
      <c r="AE2063" s="69" t="e" cm="1">
        <f t="array" ref="AE2063">_xlfn.XLOOKUP(Table1[[#This Row],[5 cm2 cell test code]:[5 cm2 cell test code]],[1]!Table1[[Test code]:[Test code]],[1]!Table1[HFR 10 mM KOH/ mOhm cm2],"",0)</f>
        <v>#REF!</v>
      </c>
      <c r="AF2063" s="69" t="e" cm="1">
        <f t="array" ref="AF2063">_xlfn.XLOOKUP(Table1[[#This Row],[5 cm2 cell test code]:[5 cm2 cell test code]],[1]!Table1[[Test code]:[Test code]],[1]!Table1[Ionic resistance DIW/Ohm cm2],"",0)</f>
        <v>#REF!</v>
      </c>
      <c r="AG2063" s="69" t="e" cm="1">
        <f t="array" ref="AG2063">_xlfn.XLOOKUP(Table1[[#This Row],[5 cm2 cell test code]:[5 cm2 cell test code]],[1]!Table1[[Test code]:[Test code]],[1]!Table1[Q_int_frac DIW],"",0)</f>
        <v>#REF!</v>
      </c>
      <c r="AH2063" s="69" t="e" cm="1">
        <f t="array" ref="AH2063">_xlfn.XLOOKUP(Table1[[#This Row],[5 cm2 cell test code]:[5 cm2 cell test code]],[1]!Table1[[Test code]:[Test code]],[1]!Table1[Ionic resistance 10 mM KOH/Ohm cm2],"",0)</f>
        <v>#REF!</v>
      </c>
      <c r="AI2063" s="69" t="e" cm="1">
        <f t="array" ref="AI2063">_xlfn.XLOOKUP(Table1[[#This Row],[5 cm2 cell test code]:[5 cm2 cell test code]],[1]!Table1[[Test code]:[Test code]],[1]!Table1[Q_int_frac DIW 10 mM KOH],"",0)</f>
        <v>#REF!</v>
      </c>
      <c r="AJ2063" s="69" t="e" cm="1">
        <f t="array" ref="AJ2063">_xlfn.XLOOKUP(Table1[[#This Row],[5 cm2 cell test code]:[5 cm2 cell test code]],[1]!Table1[[Test code]:[Test code]],[1]!Table1[DIW conductivity (µS/cm)],"",0)</f>
        <v>#REF!</v>
      </c>
    </row>
    <row r="2064" spans="1:36">
      <c r="A2064" s="81"/>
      <c r="U2064" s="101"/>
      <c r="V2064" s="101"/>
      <c r="W2064" s="69" t="e" cm="1">
        <f t="array" ref="W2064">_xlfn.XLOOKUP(Table1[[#This Row],[5 cm2 cell test code]:[5 cm2 cell test code]],[1]!Table1[[Test code]:[Test code]],[1]!Table1[i @ 1.8 V DIW (A/cm2)],"",0)</f>
        <v>#REF!</v>
      </c>
      <c r="X2064" s="69" t="e" cm="1">
        <f t="array" ref="X2064">_xlfn.XLOOKUP(Table1[[#This Row],[5 cm2 cell test code]:[5 cm2 cell test code]],[1]!Table1[[Test code]:[Test code]],[1]!Table1[i @ 1.8 V 10 mM KOH (A/cm2)],"",0)</f>
        <v>#REF!</v>
      </c>
      <c r="Y2064" s="69" t="e" cm="1">
        <f t="array" ref="Y2064">_xlfn.XLOOKUP(Table1[[#This Row],[5 cm2 cell test code]:[5 cm2 cell test code]],[1]!Table1[[Test code]:[Test code]],[1]!Table1[3-E ƞ at 20mAcm-2 (mV)],"",0)</f>
        <v>#REF!</v>
      </c>
      <c r="Z2064" s="69" t="e" cm="1">
        <f t="array" ref="Z2064">_xlfn.XLOOKUP(Table1[[#This Row],[5 cm2 cell test code]:[5 cm2 cell test code]],[1]!Table1[[Test code]:[Test code]],[1]!Table1[3-E Tafel slope (mV/dec)],"",0)</f>
        <v>#REF!</v>
      </c>
      <c r="AA2064" s="69" t="e" cm="1">
        <f t="array" ref="AA2064">_xlfn.XLOOKUP(Table1[[#This Row],[5 cm2 cell test code]:[5 cm2 cell test code]],[1]!Table1[[Test code]:[Test code]],[1]!Table1[E @ 100 mA/cm2 DIW/V],"",0)</f>
        <v>#REF!</v>
      </c>
      <c r="AB2064" s="69" t="e" cm="1">
        <f t="array" ref="AB2064">_xlfn.XLOOKUP(Table1[[#This Row],[5 cm2 cell test code]:[5 cm2 cell test code]],[1]!Table1[[Test code]:[Test code]],[1]!Table1[E @ 100 mA/cm2 10 mM KOH/V],"",0)</f>
        <v>#REF!</v>
      </c>
      <c r="AC2064" s="69" t="e" cm="1">
        <f t="array" ref="AC2064">_xlfn.XLOOKUP(Table1[[#This Row],[5 cm2 cell test code]:[5 cm2 cell test code]],[1]!Table1[[Test code]:[Test code]],[1]!Table1[Anode ICR/mOhm],"",0)</f>
        <v>#REF!</v>
      </c>
      <c r="AD2064" s="69" t="e" cm="1">
        <f t="array" ref="AD2064">_xlfn.XLOOKUP(Table1[[#This Row],[5 cm2 cell test code]:[5 cm2 cell test code]],[1]!Table1[[Test code]:[Test code]],[1]!Table1[HFR DIW/ mOhm cm2],"",0)</f>
        <v>#REF!</v>
      </c>
      <c r="AE2064" s="69" t="e" cm="1">
        <f t="array" ref="AE2064">_xlfn.XLOOKUP(Table1[[#This Row],[5 cm2 cell test code]:[5 cm2 cell test code]],[1]!Table1[[Test code]:[Test code]],[1]!Table1[HFR 10 mM KOH/ mOhm cm2],"",0)</f>
        <v>#REF!</v>
      </c>
      <c r="AF2064" s="69" t="e" cm="1">
        <f t="array" ref="AF2064">_xlfn.XLOOKUP(Table1[[#This Row],[5 cm2 cell test code]:[5 cm2 cell test code]],[1]!Table1[[Test code]:[Test code]],[1]!Table1[Ionic resistance DIW/Ohm cm2],"",0)</f>
        <v>#REF!</v>
      </c>
      <c r="AG2064" s="69" t="e" cm="1">
        <f t="array" ref="AG2064">_xlfn.XLOOKUP(Table1[[#This Row],[5 cm2 cell test code]:[5 cm2 cell test code]],[1]!Table1[[Test code]:[Test code]],[1]!Table1[Q_int_frac DIW],"",0)</f>
        <v>#REF!</v>
      </c>
      <c r="AH2064" s="69" t="e" cm="1">
        <f t="array" ref="AH2064">_xlfn.XLOOKUP(Table1[[#This Row],[5 cm2 cell test code]:[5 cm2 cell test code]],[1]!Table1[[Test code]:[Test code]],[1]!Table1[Ionic resistance 10 mM KOH/Ohm cm2],"",0)</f>
        <v>#REF!</v>
      </c>
      <c r="AI2064" s="69" t="e" cm="1">
        <f t="array" ref="AI2064">_xlfn.XLOOKUP(Table1[[#This Row],[5 cm2 cell test code]:[5 cm2 cell test code]],[1]!Table1[[Test code]:[Test code]],[1]!Table1[Q_int_frac DIW 10 mM KOH],"",0)</f>
        <v>#REF!</v>
      </c>
      <c r="AJ2064" s="69" t="e" cm="1">
        <f t="array" ref="AJ2064">_xlfn.XLOOKUP(Table1[[#This Row],[5 cm2 cell test code]:[5 cm2 cell test code]],[1]!Table1[[Test code]:[Test code]],[1]!Table1[DIW conductivity (µS/cm)],"",0)</f>
        <v>#REF!</v>
      </c>
    </row>
    <row r="2065" spans="1:36">
      <c r="A2065" s="81"/>
      <c r="U2065" s="101"/>
      <c r="V2065" s="101"/>
      <c r="W2065" s="69" t="e" cm="1">
        <f t="array" ref="W2065">_xlfn.XLOOKUP(Table1[[#This Row],[5 cm2 cell test code]:[5 cm2 cell test code]],[1]!Table1[[Test code]:[Test code]],[1]!Table1[i @ 1.8 V DIW (A/cm2)],"",0)</f>
        <v>#REF!</v>
      </c>
      <c r="X2065" s="69" t="e" cm="1">
        <f t="array" ref="X2065">_xlfn.XLOOKUP(Table1[[#This Row],[5 cm2 cell test code]:[5 cm2 cell test code]],[1]!Table1[[Test code]:[Test code]],[1]!Table1[i @ 1.8 V 10 mM KOH (A/cm2)],"",0)</f>
        <v>#REF!</v>
      </c>
      <c r="Y2065" s="69" t="e" cm="1">
        <f t="array" ref="Y2065">_xlfn.XLOOKUP(Table1[[#This Row],[5 cm2 cell test code]:[5 cm2 cell test code]],[1]!Table1[[Test code]:[Test code]],[1]!Table1[3-E ƞ at 20mAcm-2 (mV)],"",0)</f>
        <v>#REF!</v>
      </c>
      <c r="Z2065" s="69" t="e" cm="1">
        <f t="array" ref="Z2065">_xlfn.XLOOKUP(Table1[[#This Row],[5 cm2 cell test code]:[5 cm2 cell test code]],[1]!Table1[[Test code]:[Test code]],[1]!Table1[3-E Tafel slope (mV/dec)],"",0)</f>
        <v>#REF!</v>
      </c>
      <c r="AA2065" s="69" t="e" cm="1">
        <f t="array" ref="AA2065">_xlfn.XLOOKUP(Table1[[#This Row],[5 cm2 cell test code]:[5 cm2 cell test code]],[1]!Table1[[Test code]:[Test code]],[1]!Table1[E @ 100 mA/cm2 DIW/V],"",0)</f>
        <v>#REF!</v>
      </c>
      <c r="AB2065" s="69" t="e" cm="1">
        <f t="array" ref="AB2065">_xlfn.XLOOKUP(Table1[[#This Row],[5 cm2 cell test code]:[5 cm2 cell test code]],[1]!Table1[[Test code]:[Test code]],[1]!Table1[E @ 100 mA/cm2 10 mM KOH/V],"",0)</f>
        <v>#REF!</v>
      </c>
      <c r="AC2065" s="69" t="e" cm="1">
        <f t="array" ref="AC2065">_xlfn.XLOOKUP(Table1[[#This Row],[5 cm2 cell test code]:[5 cm2 cell test code]],[1]!Table1[[Test code]:[Test code]],[1]!Table1[Anode ICR/mOhm],"",0)</f>
        <v>#REF!</v>
      </c>
      <c r="AD2065" s="69" t="e" cm="1">
        <f t="array" ref="AD2065">_xlfn.XLOOKUP(Table1[[#This Row],[5 cm2 cell test code]:[5 cm2 cell test code]],[1]!Table1[[Test code]:[Test code]],[1]!Table1[HFR DIW/ mOhm cm2],"",0)</f>
        <v>#REF!</v>
      </c>
      <c r="AE2065" s="69" t="e" cm="1">
        <f t="array" ref="AE2065">_xlfn.XLOOKUP(Table1[[#This Row],[5 cm2 cell test code]:[5 cm2 cell test code]],[1]!Table1[[Test code]:[Test code]],[1]!Table1[HFR 10 mM KOH/ mOhm cm2],"",0)</f>
        <v>#REF!</v>
      </c>
      <c r="AF2065" s="69" t="e" cm="1">
        <f t="array" ref="AF2065">_xlfn.XLOOKUP(Table1[[#This Row],[5 cm2 cell test code]:[5 cm2 cell test code]],[1]!Table1[[Test code]:[Test code]],[1]!Table1[Ionic resistance DIW/Ohm cm2],"",0)</f>
        <v>#REF!</v>
      </c>
      <c r="AG2065" s="69" t="e" cm="1">
        <f t="array" ref="AG2065">_xlfn.XLOOKUP(Table1[[#This Row],[5 cm2 cell test code]:[5 cm2 cell test code]],[1]!Table1[[Test code]:[Test code]],[1]!Table1[Q_int_frac DIW],"",0)</f>
        <v>#REF!</v>
      </c>
      <c r="AH2065" s="69" t="e" cm="1">
        <f t="array" ref="AH2065">_xlfn.XLOOKUP(Table1[[#This Row],[5 cm2 cell test code]:[5 cm2 cell test code]],[1]!Table1[[Test code]:[Test code]],[1]!Table1[Ionic resistance 10 mM KOH/Ohm cm2],"",0)</f>
        <v>#REF!</v>
      </c>
      <c r="AI2065" s="69" t="e" cm="1">
        <f t="array" ref="AI2065">_xlfn.XLOOKUP(Table1[[#This Row],[5 cm2 cell test code]:[5 cm2 cell test code]],[1]!Table1[[Test code]:[Test code]],[1]!Table1[Q_int_frac DIW 10 mM KOH],"",0)</f>
        <v>#REF!</v>
      </c>
      <c r="AJ2065" s="69" t="e" cm="1">
        <f t="array" ref="AJ2065">_xlfn.XLOOKUP(Table1[[#This Row],[5 cm2 cell test code]:[5 cm2 cell test code]],[1]!Table1[[Test code]:[Test code]],[1]!Table1[DIW conductivity (µS/cm)],"",0)</f>
        <v>#REF!</v>
      </c>
    </row>
    <row r="2066" spans="1:36">
      <c r="A2066" s="81"/>
      <c r="U2066" s="101"/>
      <c r="V2066" s="101"/>
      <c r="W2066" s="69" t="e" cm="1">
        <f t="array" ref="W2066">_xlfn.XLOOKUP(Table1[[#This Row],[5 cm2 cell test code]:[5 cm2 cell test code]],[1]!Table1[[Test code]:[Test code]],[1]!Table1[i @ 1.8 V DIW (A/cm2)],"",0)</f>
        <v>#REF!</v>
      </c>
      <c r="X2066" s="69" t="e" cm="1">
        <f t="array" ref="X2066">_xlfn.XLOOKUP(Table1[[#This Row],[5 cm2 cell test code]:[5 cm2 cell test code]],[1]!Table1[[Test code]:[Test code]],[1]!Table1[i @ 1.8 V 10 mM KOH (A/cm2)],"",0)</f>
        <v>#REF!</v>
      </c>
      <c r="Y2066" s="69" t="e" cm="1">
        <f t="array" ref="Y2066">_xlfn.XLOOKUP(Table1[[#This Row],[5 cm2 cell test code]:[5 cm2 cell test code]],[1]!Table1[[Test code]:[Test code]],[1]!Table1[3-E ƞ at 20mAcm-2 (mV)],"",0)</f>
        <v>#REF!</v>
      </c>
      <c r="Z2066" s="69" t="e" cm="1">
        <f t="array" ref="Z2066">_xlfn.XLOOKUP(Table1[[#This Row],[5 cm2 cell test code]:[5 cm2 cell test code]],[1]!Table1[[Test code]:[Test code]],[1]!Table1[3-E Tafel slope (mV/dec)],"",0)</f>
        <v>#REF!</v>
      </c>
      <c r="AA2066" s="69" t="e" cm="1">
        <f t="array" ref="AA2066">_xlfn.XLOOKUP(Table1[[#This Row],[5 cm2 cell test code]:[5 cm2 cell test code]],[1]!Table1[[Test code]:[Test code]],[1]!Table1[E @ 100 mA/cm2 DIW/V],"",0)</f>
        <v>#REF!</v>
      </c>
      <c r="AB2066" s="69" t="e" cm="1">
        <f t="array" ref="AB2066">_xlfn.XLOOKUP(Table1[[#This Row],[5 cm2 cell test code]:[5 cm2 cell test code]],[1]!Table1[[Test code]:[Test code]],[1]!Table1[E @ 100 mA/cm2 10 mM KOH/V],"",0)</f>
        <v>#REF!</v>
      </c>
      <c r="AC2066" s="69" t="e" cm="1">
        <f t="array" ref="AC2066">_xlfn.XLOOKUP(Table1[[#This Row],[5 cm2 cell test code]:[5 cm2 cell test code]],[1]!Table1[[Test code]:[Test code]],[1]!Table1[Anode ICR/mOhm],"",0)</f>
        <v>#REF!</v>
      </c>
      <c r="AD2066" s="69" t="e" cm="1">
        <f t="array" ref="AD2066">_xlfn.XLOOKUP(Table1[[#This Row],[5 cm2 cell test code]:[5 cm2 cell test code]],[1]!Table1[[Test code]:[Test code]],[1]!Table1[HFR DIW/ mOhm cm2],"",0)</f>
        <v>#REF!</v>
      </c>
      <c r="AE2066" s="69" t="e" cm="1">
        <f t="array" ref="AE2066">_xlfn.XLOOKUP(Table1[[#This Row],[5 cm2 cell test code]:[5 cm2 cell test code]],[1]!Table1[[Test code]:[Test code]],[1]!Table1[HFR 10 mM KOH/ mOhm cm2],"",0)</f>
        <v>#REF!</v>
      </c>
      <c r="AF2066" s="69" t="e" cm="1">
        <f t="array" ref="AF2066">_xlfn.XLOOKUP(Table1[[#This Row],[5 cm2 cell test code]:[5 cm2 cell test code]],[1]!Table1[[Test code]:[Test code]],[1]!Table1[Ionic resistance DIW/Ohm cm2],"",0)</f>
        <v>#REF!</v>
      </c>
      <c r="AG2066" s="69" t="e" cm="1">
        <f t="array" ref="AG2066">_xlfn.XLOOKUP(Table1[[#This Row],[5 cm2 cell test code]:[5 cm2 cell test code]],[1]!Table1[[Test code]:[Test code]],[1]!Table1[Q_int_frac DIW],"",0)</f>
        <v>#REF!</v>
      </c>
      <c r="AH2066" s="69" t="e" cm="1">
        <f t="array" ref="AH2066">_xlfn.XLOOKUP(Table1[[#This Row],[5 cm2 cell test code]:[5 cm2 cell test code]],[1]!Table1[[Test code]:[Test code]],[1]!Table1[Ionic resistance 10 mM KOH/Ohm cm2],"",0)</f>
        <v>#REF!</v>
      </c>
      <c r="AI2066" s="69" t="e" cm="1">
        <f t="array" ref="AI2066">_xlfn.XLOOKUP(Table1[[#This Row],[5 cm2 cell test code]:[5 cm2 cell test code]],[1]!Table1[[Test code]:[Test code]],[1]!Table1[Q_int_frac DIW 10 mM KOH],"",0)</f>
        <v>#REF!</v>
      </c>
      <c r="AJ2066" s="69" t="e" cm="1">
        <f t="array" ref="AJ2066">_xlfn.XLOOKUP(Table1[[#This Row],[5 cm2 cell test code]:[5 cm2 cell test code]],[1]!Table1[[Test code]:[Test code]],[1]!Table1[DIW conductivity (µS/cm)],"",0)</f>
        <v>#REF!</v>
      </c>
    </row>
    <row r="2067" spans="1:36">
      <c r="A2067" s="81"/>
      <c r="U2067" s="101"/>
      <c r="V2067" s="101"/>
      <c r="W2067" s="69" t="e" cm="1">
        <f t="array" ref="W2067">_xlfn.XLOOKUP(Table1[[#This Row],[5 cm2 cell test code]:[5 cm2 cell test code]],[1]!Table1[[Test code]:[Test code]],[1]!Table1[i @ 1.8 V DIW (A/cm2)],"",0)</f>
        <v>#REF!</v>
      </c>
      <c r="X2067" s="69" t="e" cm="1">
        <f t="array" ref="X2067">_xlfn.XLOOKUP(Table1[[#This Row],[5 cm2 cell test code]:[5 cm2 cell test code]],[1]!Table1[[Test code]:[Test code]],[1]!Table1[i @ 1.8 V 10 mM KOH (A/cm2)],"",0)</f>
        <v>#REF!</v>
      </c>
      <c r="Y2067" s="69" t="e" cm="1">
        <f t="array" ref="Y2067">_xlfn.XLOOKUP(Table1[[#This Row],[5 cm2 cell test code]:[5 cm2 cell test code]],[1]!Table1[[Test code]:[Test code]],[1]!Table1[3-E ƞ at 20mAcm-2 (mV)],"",0)</f>
        <v>#REF!</v>
      </c>
      <c r="Z2067" s="69" t="e" cm="1">
        <f t="array" ref="Z2067">_xlfn.XLOOKUP(Table1[[#This Row],[5 cm2 cell test code]:[5 cm2 cell test code]],[1]!Table1[[Test code]:[Test code]],[1]!Table1[3-E Tafel slope (mV/dec)],"",0)</f>
        <v>#REF!</v>
      </c>
      <c r="AA2067" s="69" t="e" cm="1">
        <f t="array" ref="AA2067">_xlfn.XLOOKUP(Table1[[#This Row],[5 cm2 cell test code]:[5 cm2 cell test code]],[1]!Table1[[Test code]:[Test code]],[1]!Table1[E @ 100 mA/cm2 DIW/V],"",0)</f>
        <v>#REF!</v>
      </c>
      <c r="AB2067" s="69" t="e" cm="1">
        <f t="array" ref="AB2067">_xlfn.XLOOKUP(Table1[[#This Row],[5 cm2 cell test code]:[5 cm2 cell test code]],[1]!Table1[[Test code]:[Test code]],[1]!Table1[E @ 100 mA/cm2 10 mM KOH/V],"",0)</f>
        <v>#REF!</v>
      </c>
      <c r="AC2067" s="69" t="e" cm="1">
        <f t="array" ref="AC2067">_xlfn.XLOOKUP(Table1[[#This Row],[5 cm2 cell test code]:[5 cm2 cell test code]],[1]!Table1[[Test code]:[Test code]],[1]!Table1[Anode ICR/mOhm],"",0)</f>
        <v>#REF!</v>
      </c>
      <c r="AD2067" s="69" t="e" cm="1">
        <f t="array" ref="AD2067">_xlfn.XLOOKUP(Table1[[#This Row],[5 cm2 cell test code]:[5 cm2 cell test code]],[1]!Table1[[Test code]:[Test code]],[1]!Table1[HFR DIW/ mOhm cm2],"",0)</f>
        <v>#REF!</v>
      </c>
      <c r="AE2067" s="69" t="e" cm="1">
        <f t="array" ref="AE2067">_xlfn.XLOOKUP(Table1[[#This Row],[5 cm2 cell test code]:[5 cm2 cell test code]],[1]!Table1[[Test code]:[Test code]],[1]!Table1[HFR 10 mM KOH/ mOhm cm2],"",0)</f>
        <v>#REF!</v>
      </c>
      <c r="AF2067" s="69" t="e" cm="1">
        <f t="array" ref="AF2067">_xlfn.XLOOKUP(Table1[[#This Row],[5 cm2 cell test code]:[5 cm2 cell test code]],[1]!Table1[[Test code]:[Test code]],[1]!Table1[Ionic resistance DIW/Ohm cm2],"",0)</f>
        <v>#REF!</v>
      </c>
      <c r="AG2067" s="69" t="e" cm="1">
        <f t="array" ref="AG2067">_xlfn.XLOOKUP(Table1[[#This Row],[5 cm2 cell test code]:[5 cm2 cell test code]],[1]!Table1[[Test code]:[Test code]],[1]!Table1[Q_int_frac DIW],"",0)</f>
        <v>#REF!</v>
      </c>
      <c r="AH2067" s="69" t="e" cm="1">
        <f t="array" ref="AH2067">_xlfn.XLOOKUP(Table1[[#This Row],[5 cm2 cell test code]:[5 cm2 cell test code]],[1]!Table1[[Test code]:[Test code]],[1]!Table1[Ionic resistance 10 mM KOH/Ohm cm2],"",0)</f>
        <v>#REF!</v>
      </c>
      <c r="AI2067" s="69" t="e" cm="1">
        <f t="array" ref="AI2067">_xlfn.XLOOKUP(Table1[[#This Row],[5 cm2 cell test code]:[5 cm2 cell test code]],[1]!Table1[[Test code]:[Test code]],[1]!Table1[Q_int_frac DIW 10 mM KOH],"",0)</f>
        <v>#REF!</v>
      </c>
      <c r="AJ2067" s="69" t="e" cm="1">
        <f t="array" ref="AJ2067">_xlfn.XLOOKUP(Table1[[#This Row],[5 cm2 cell test code]:[5 cm2 cell test code]],[1]!Table1[[Test code]:[Test code]],[1]!Table1[DIW conductivity (µS/cm)],"",0)</f>
        <v>#REF!</v>
      </c>
    </row>
    <row r="2068" spans="1:36">
      <c r="A2068" s="81"/>
      <c r="U2068" s="101"/>
      <c r="V2068" s="101"/>
      <c r="W2068" s="69" t="e" cm="1">
        <f t="array" ref="W2068">_xlfn.XLOOKUP(Table1[[#This Row],[5 cm2 cell test code]:[5 cm2 cell test code]],[1]!Table1[[Test code]:[Test code]],[1]!Table1[i @ 1.8 V DIW (A/cm2)],"",0)</f>
        <v>#REF!</v>
      </c>
      <c r="X2068" s="69" t="e" cm="1">
        <f t="array" ref="X2068">_xlfn.XLOOKUP(Table1[[#This Row],[5 cm2 cell test code]:[5 cm2 cell test code]],[1]!Table1[[Test code]:[Test code]],[1]!Table1[i @ 1.8 V 10 mM KOH (A/cm2)],"",0)</f>
        <v>#REF!</v>
      </c>
      <c r="Y2068" s="69" t="e" cm="1">
        <f t="array" ref="Y2068">_xlfn.XLOOKUP(Table1[[#This Row],[5 cm2 cell test code]:[5 cm2 cell test code]],[1]!Table1[[Test code]:[Test code]],[1]!Table1[3-E ƞ at 20mAcm-2 (mV)],"",0)</f>
        <v>#REF!</v>
      </c>
      <c r="Z2068" s="69" t="e" cm="1">
        <f t="array" ref="Z2068">_xlfn.XLOOKUP(Table1[[#This Row],[5 cm2 cell test code]:[5 cm2 cell test code]],[1]!Table1[[Test code]:[Test code]],[1]!Table1[3-E Tafel slope (mV/dec)],"",0)</f>
        <v>#REF!</v>
      </c>
      <c r="AA2068" s="69" t="e" cm="1">
        <f t="array" ref="AA2068">_xlfn.XLOOKUP(Table1[[#This Row],[5 cm2 cell test code]:[5 cm2 cell test code]],[1]!Table1[[Test code]:[Test code]],[1]!Table1[E @ 100 mA/cm2 DIW/V],"",0)</f>
        <v>#REF!</v>
      </c>
      <c r="AB2068" s="69" t="e" cm="1">
        <f t="array" ref="AB2068">_xlfn.XLOOKUP(Table1[[#This Row],[5 cm2 cell test code]:[5 cm2 cell test code]],[1]!Table1[[Test code]:[Test code]],[1]!Table1[E @ 100 mA/cm2 10 mM KOH/V],"",0)</f>
        <v>#REF!</v>
      </c>
      <c r="AC2068" s="69" t="e" cm="1">
        <f t="array" ref="AC2068">_xlfn.XLOOKUP(Table1[[#This Row],[5 cm2 cell test code]:[5 cm2 cell test code]],[1]!Table1[[Test code]:[Test code]],[1]!Table1[Anode ICR/mOhm],"",0)</f>
        <v>#REF!</v>
      </c>
      <c r="AD2068" s="69" t="e" cm="1">
        <f t="array" ref="AD2068">_xlfn.XLOOKUP(Table1[[#This Row],[5 cm2 cell test code]:[5 cm2 cell test code]],[1]!Table1[[Test code]:[Test code]],[1]!Table1[HFR DIW/ mOhm cm2],"",0)</f>
        <v>#REF!</v>
      </c>
      <c r="AE2068" s="69" t="e" cm="1">
        <f t="array" ref="AE2068">_xlfn.XLOOKUP(Table1[[#This Row],[5 cm2 cell test code]:[5 cm2 cell test code]],[1]!Table1[[Test code]:[Test code]],[1]!Table1[HFR 10 mM KOH/ mOhm cm2],"",0)</f>
        <v>#REF!</v>
      </c>
      <c r="AF2068" s="69" t="e" cm="1">
        <f t="array" ref="AF2068">_xlfn.XLOOKUP(Table1[[#This Row],[5 cm2 cell test code]:[5 cm2 cell test code]],[1]!Table1[[Test code]:[Test code]],[1]!Table1[Ionic resistance DIW/Ohm cm2],"",0)</f>
        <v>#REF!</v>
      </c>
      <c r="AG2068" s="69" t="e" cm="1">
        <f t="array" ref="AG2068">_xlfn.XLOOKUP(Table1[[#This Row],[5 cm2 cell test code]:[5 cm2 cell test code]],[1]!Table1[[Test code]:[Test code]],[1]!Table1[Q_int_frac DIW],"",0)</f>
        <v>#REF!</v>
      </c>
      <c r="AH2068" s="69" t="e" cm="1">
        <f t="array" ref="AH2068">_xlfn.XLOOKUP(Table1[[#This Row],[5 cm2 cell test code]:[5 cm2 cell test code]],[1]!Table1[[Test code]:[Test code]],[1]!Table1[Ionic resistance 10 mM KOH/Ohm cm2],"",0)</f>
        <v>#REF!</v>
      </c>
      <c r="AI2068" s="69" t="e" cm="1">
        <f t="array" ref="AI2068">_xlfn.XLOOKUP(Table1[[#This Row],[5 cm2 cell test code]:[5 cm2 cell test code]],[1]!Table1[[Test code]:[Test code]],[1]!Table1[Q_int_frac DIW 10 mM KOH],"",0)</f>
        <v>#REF!</v>
      </c>
      <c r="AJ2068" s="69" t="e" cm="1">
        <f t="array" ref="AJ2068">_xlfn.XLOOKUP(Table1[[#This Row],[5 cm2 cell test code]:[5 cm2 cell test code]],[1]!Table1[[Test code]:[Test code]],[1]!Table1[DIW conductivity (µS/cm)],"",0)</f>
        <v>#REF!</v>
      </c>
    </row>
    <row r="2069" spans="1:36">
      <c r="A2069" s="81"/>
      <c r="U2069" s="101"/>
      <c r="V2069" s="101"/>
      <c r="W2069" s="69" t="e" cm="1">
        <f t="array" ref="W2069">_xlfn.XLOOKUP(Table1[[#This Row],[5 cm2 cell test code]:[5 cm2 cell test code]],[1]!Table1[[Test code]:[Test code]],[1]!Table1[i @ 1.8 V DIW (A/cm2)],"",0)</f>
        <v>#REF!</v>
      </c>
      <c r="X2069" s="69" t="e" cm="1">
        <f t="array" ref="X2069">_xlfn.XLOOKUP(Table1[[#This Row],[5 cm2 cell test code]:[5 cm2 cell test code]],[1]!Table1[[Test code]:[Test code]],[1]!Table1[i @ 1.8 V 10 mM KOH (A/cm2)],"",0)</f>
        <v>#REF!</v>
      </c>
      <c r="Y2069" s="69" t="e" cm="1">
        <f t="array" ref="Y2069">_xlfn.XLOOKUP(Table1[[#This Row],[5 cm2 cell test code]:[5 cm2 cell test code]],[1]!Table1[[Test code]:[Test code]],[1]!Table1[3-E ƞ at 20mAcm-2 (mV)],"",0)</f>
        <v>#REF!</v>
      </c>
      <c r="Z2069" s="69" t="e" cm="1">
        <f t="array" ref="Z2069">_xlfn.XLOOKUP(Table1[[#This Row],[5 cm2 cell test code]:[5 cm2 cell test code]],[1]!Table1[[Test code]:[Test code]],[1]!Table1[3-E Tafel slope (mV/dec)],"",0)</f>
        <v>#REF!</v>
      </c>
      <c r="AA2069" s="69" t="e" cm="1">
        <f t="array" ref="AA2069">_xlfn.XLOOKUP(Table1[[#This Row],[5 cm2 cell test code]:[5 cm2 cell test code]],[1]!Table1[[Test code]:[Test code]],[1]!Table1[E @ 100 mA/cm2 DIW/V],"",0)</f>
        <v>#REF!</v>
      </c>
      <c r="AB2069" s="69" t="e" cm="1">
        <f t="array" ref="AB2069">_xlfn.XLOOKUP(Table1[[#This Row],[5 cm2 cell test code]:[5 cm2 cell test code]],[1]!Table1[[Test code]:[Test code]],[1]!Table1[E @ 100 mA/cm2 10 mM KOH/V],"",0)</f>
        <v>#REF!</v>
      </c>
      <c r="AC2069" s="69" t="e" cm="1">
        <f t="array" ref="AC2069">_xlfn.XLOOKUP(Table1[[#This Row],[5 cm2 cell test code]:[5 cm2 cell test code]],[1]!Table1[[Test code]:[Test code]],[1]!Table1[Anode ICR/mOhm],"",0)</f>
        <v>#REF!</v>
      </c>
      <c r="AD2069" s="69" t="e" cm="1">
        <f t="array" ref="AD2069">_xlfn.XLOOKUP(Table1[[#This Row],[5 cm2 cell test code]:[5 cm2 cell test code]],[1]!Table1[[Test code]:[Test code]],[1]!Table1[HFR DIW/ mOhm cm2],"",0)</f>
        <v>#REF!</v>
      </c>
      <c r="AE2069" s="69" t="e" cm="1">
        <f t="array" ref="AE2069">_xlfn.XLOOKUP(Table1[[#This Row],[5 cm2 cell test code]:[5 cm2 cell test code]],[1]!Table1[[Test code]:[Test code]],[1]!Table1[HFR 10 mM KOH/ mOhm cm2],"",0)</f>
        <v>#REF!</v>
      </c>
      <c r="AF2069" s="69" t="e" cm="1">
        <f t="array" ref="AF2069">_xlfn.XLOOKUP(Table1[[#This Row],[5 cm2 cell test code]:[5 cm2 cell test code]],[1]!Table1[[Test code]:[Test code]],[1]!Table1[Ionic resistance DIW/Ohm cm2],"",0)</f>
        <v>#REF!</v>
      </c>
      <c r="AG2069" s="69" t="e" cm="1">
        <f t="array" ref="AG2069">_xlfn.XLOOKUP(Table1[[#This Row],[5 cm2 cell test code]:[5 cm2 cell test code]],[1]!Table1[[Test code]:[Test code]],[1]!Table1[Q_int_frac DIW],"",0)</f>
        <v>#REF!</v>
      </c>
      <c r="AH2069" s="69" t="e" cm="1">
        <f t="array" ref="AH2069">_xlfn.XLOOKUP(Table1[[#This Row],[5 cm2 cell test code]:[5 cm2 cell test code]],[1]!Table1[[Test code]:[Test code]],[1]!Table1[Ionic resistance 10 mM KOH/Ohm cm2],"",0)</f>
        <v>#REF!</v>
      </c>
      <c r="AI2069" s="69" t="e" cm="1">
        <f t="array" ref="AI2069">_xlfn.XLOOKUP(Table1[[#This Row],[5 cm2 cell test code]:[5 cm2 cell test code]],[1]!Table1[[Test code]:[Test code]],[1]!Table1[Q_int_frac DIW 10 mM KOH],"",0)</f>
        <v>#REF!</v>
      </c>
      <c r="AJ2069" s="69" t="e" cm="1">
        <f t="array" ref="AJ2069">_xlfn.XLOOKUP(Table1[[#This Row],[5 cm2 cell test code]:[5 cm2 cell test code]],[1]!Table1[[Test code]:[Test code]],[1]!Table1[DIW conductivity (µS/cm)],"",0)</f>
        <v>#REF!</v>
      </c>
    </row>
    <row r="2070" spans="1:36">
      <c r="A2070" s="81"/>
      <c r="U2070" s="101"/>
      <c r="V2070" s="101"/>
      <c r="W2070" s="69" t="e" cm="1">
        <f t="array" ref="W2070">_xlfn.XLOOKUP(Table1[[#This Row],[5 cm2 cell test code]:[5 cm2 cell test code]],[1]!Table1[[Test code]:[Test code]],[1]!Table1[i @ 1.8 V DIW (A/cm2)],"",0)</f>
        <v>#REF!</v>
      </c>
      <c r="X2070" s="69" t="e" cm="1">
        <f t="array" ref="X2070">_xlfn.XLOOKUP(Table1[[#This Row],[5 cm2 cell test code]:[5 cm2 cell test code]],[1]!Table1[[Test code]:[Test code]],[1]!Table1[i @ 1.8 V 10 mM KOH (A/cm2)],"",0)</f>
        <v>#REF!</v>
      </c>
      <c r="Y2070" s="69" t="e" cm="1">
        <f t="array" ref="Y2070">_xlfn.XLOOKUP(Table1[[#This Row],[5 cm2 cell test code]:[5 cm2 cell test code]],[1]!Table1[[Test code]:[Test code]],[1]!Table1[3-E ƞ at 20mAcm-2 (mV)],"",0)</f>
        <v>#REF!</v>
      </c>
      <c r="Z2070" s="69" t="e" cm="1">
        <f t="array" ref="Z2070">_xlfn.XLOOKUP(Table1[[#This Row],[5 cm2 cell test code]:[5 cm2 cell test code]],[1]!Table1[[Test code]:[Test code]],[1]!Table1[3-E Tafel slope (mV/dec)],"",0)</f>
        <v>#REF!</v>
      </c>
      <c r="AA2070" s="69" t="e" cm="1">
        <f t="array" ref="AA2070">_xlfn.XLOOKUP(Table1[[#This Row],[5 cm2 cell test code]:[5 cm2 cell test code]],[1]!Table1[[Test code]:[Test code]],[1]!Table1[E @ 100 mA/cm2 DIW/V],"",0)</f>
        <v>#REF!</v>
      </c>
      <c r="AB2070" s="69" t="e" cm="1">
        <f t="array" ref="AB2070">_xlfn.XLOOKUP(Table1[[#This Row],[5 cm2 cell test code]:[5 cm2 cell test code]],[1]!Table1[[Test code]:[Test code]],[1]!Table1[E @ 100 mA/cm2 10 mM KOH/V],"",0)</f>
        <v>#REF!</v>
      </c>
      <c r="AC2070" s="69" t="e" cm="1">
        <f t="array" ref="AC2070">_xlfn.XLOOKUP(Table1[[#This Row],[5 cm2 cell test code]:[5 cm2 cell test code]],[1]!Table1[[Test code]:[Test code]],[1]!Table1[Anode ICR/mOhm],"",0)</f>
        <v>#REF!</v>
      </c>
      <c r="AD2070" s="69" t="e" cm="1">
        <f t="array" ref="AD2070">_xlfn.XLOOKUP(Table1[[#This Row],[5 cm2 cell test code]:[5 cm2 cell test code]],[1]!Table1[[Test code]:[Test code]],[1]!Table1[HFR DIW/ mOhm cm2],"",0)</f>
        <v>#REF!</v>
      </c>
      <c r="AE2070" s="69" t="e" cm="1">
        <f t="array" ref="AE2070">_xlfn.XLOOKUP(Table1[[#This Row],[5 cm2 cell test code]:[5 cm2 cell test code]],[1]!Table1[[Test code]:[Test code]],[1]!Table1[HFR 10 mM KOH/ mOhm cm2],"",0)</f>
        <v>#REF!</v>
      </c>
      <c r="AF2070" s="69" t="e" cm="1">
        <f t="array" ref="AF2070">_xlfn.XLOOKUP(Table1[[#This Row],[5 cm2 cell test code]:[5 cm2 cell test code]],[1]!Table1[[Test code]:[Test code]],[1]!Table1[Ionic resistance DIW/Ohm cm2],"",0)</f>
        <v>#REF!</v>
      </c>
      <c r="AG2070" s="69" t="e" cm="1">
        <f t="array" ref="AG2070">_xlfn.XLOOKUP(Table1[[#This Row],[5 cm2 cell test code]:[5 cm2 cell test code]],[1]!Table1[[Test code]:[Test code]],[1]!Table1[Q_int_frac DIW],"",0)</f>
        <v>#REF!</v>
      </c>
      <c r="AH2070" s="69" t="e" cm="1">
        <f t="array" ref="AH2070">_xlfn.XLOOKUP(Table1[[#This Row],[5 cm2 cell test code]:[5 cm2 cell test code]],[1]!Table1[[Test code]:[Test code]],[1]!Table1[Ionic resistance 10 mM KOH/Ohm cm2],"",0)</f>
        <v>#REF!</v>
      </c>
      <c r="AI2070" s="69" t="e" cm="1">
        <f t="array" ref="AI2070">_xlfn.XLOOKUP(Table1[[#This Row],[5 cm2 cell test code]:[5 cm2 cell test code]],[1]!Table1[[Test code]:[Test code]],[1]!Table1[Q_int_frac DIW 10 mM KOH],"",0)</f>
        <v>#REF!</v>
      </c>
      <c r="AJ2070" s="69" t="e" cm="1">
        <f t="array" ref="AJ2070">_xlfn.XLOOKUP(Table1[[#This Row],[5 cm2 cell test code]:[5 cm2 cell test code]],[1]!Table1[[Test code]:[Test code]],[1]!Table1[DIW conductivity (µS/cm)],"",0)</f>
        <v>#REF!</v>
      </c>
    </row>
    <row r="2071" spans="1:36">
      <c r="A2071" s="81"/>
      <c r="U2071" s="101"/>
      <c r="V2071" s="101"/>
      <c r="W2071" s="69" t="e" cm="1">
        <f t="array" ref="W2071">_xlfn.XLOOKUP(Table1[[#This Row],[5 cm2 cell test code]:[5 cm2 cell test code]],[1]!Table1[[Test code]:[Test code]],[1]!Table1[i @ 1.8 V DIW (A/cm2)],"",0)</f>
        <v>#REF!</v>
      </c>
      <c r="X2071" s="69" t="e" cm="1">
        <f t="array" ref="X2071">_xlfn.XLOOKUP(Table1[[#This Row],[5 cm2 cell test code]:[5 cm2 cell test code]],[1]!Table1[[Test code]:[Test code]],[1]!Table1[i @ 1.8 V 10 mM KOH (A/cm2)],"",0)</f>
        <v>#REF!</v>
      </c>
      <c r="Y2071" s="69" t="e" cm="1">
        <f t="array" ref="Y2071">_xlfn.XLOOKUP(Table1[[#This Row],[5 cm2 cell test code]:[5 cm2 cell test code]],[1]!Table1[[Test code]:[Test code]],[1]!Table1[3-E ƞ at 20mAcm-2 (mV)],"",0)</f>
        <v>#REF!</v>
      </c>
      <c r="Z2071" s="69" t="e" cm="1">
        <f t="array" ref="Z2071">_xlfn.XLOOKUP(Table1[[#This Row],[5 cm2 cell test code]:[5 cm2 cell test code]],[1]!Table1[[Test code]:[Test code]],[1]!Table1[3-E Tafel slope (mV/dec)],"",0)</f>
        <v>#REF!</v>
      </c>
      <c r="AA2071" s="69" t="e" cm="1">
        <f t="array" ref="AA2071">_xlfn.XLOOKUP(Table1[[#This Row],[5 cm2 cell test code]:[5 cm2 cell test code]],[1]!Table1[[Test code]:[Test code]],[1]!Table1[E @ 100 mA/cm2 DIW/V],"",0)</f>
        <v>#REF!</v>
      </c>
      <c r="AB2071" s="69" t="e" cm="1">
        <f t="array" ref="AB2071">_xlfn.XLOOKUP(Table1[[#This Row],[5 cm2 cell test code]:[5 cm2 cell test code]],[1]!Table1[[Test code]:[Test code]],[1]!Table1[E @ 100 mA/cm2 10 mM KOH/V],"",0)</f>
        <v>#REF!</v>
      </c>
      <c r="AC2071" s="69" t="e" cm="1">
        <f t="array" ref="AC2071">_xlfn.XLOOKUP(Table1[[#This Row],[5 cm2 cell test code]:[5 cm2 cell test code]],[1]!Table1[[Test code]:[Test code]],[1]!Table1[Anode ICR/mOhm],"",0)</f>
        <v>#REF!</v>
      </c>
      <c r="AD2071" s="69" t="e" cm="1">
        <f t="array" ref="AD2071">_xlfn.XLOOKUP(Table1[[#This Row],[5 cm2 cell test code]:[5 cm2 cell test code]],[1]!Table1[[Test code]:[Test code]],[1]!Table1[HFR DIW/ mOhm cm2],"",0)</f>
        <v>#REF!</v>
      </c>
      <c r="AE2071" s="69" t="e" cm="1">
        <f t="array" ref="AE2071">_xlfn.XLOOKUP(Table1[[#This Row],[5 cm2 cell test code]:[5 cm2 cell test code]],[1]!Table1[[Test code]:[Test code]],[1]!Table1[HFR 10 mM KOH/ mOhm cm2],"",0)</f>
        <v>#REF!</v>
      </c>
      <c r="AF2071" s="69" t="e" cm="1">
        <f t="array" ref="AF2071">_xlfn.XLOOKUP(Table1[[#This Row],[5 cm2 cell test code]:[5 cm2 cell test code]],[1]!Table1[[Test code]:[Test code]],[1]!Table1[Ionic resistance DIW/Ohm cm2],"",0)</f>
        <v>#REF!</v>
      </c>
      <c r="AG2071" s="69" t="e" cm="1">
        <f t="array" ref="AG2071">_xlfn.XLOOKUP(Table1[[#This Row],[5 cm2 cell test code]:[5 cm2 cell test code]],[1]!Table1[[Test code]:[Test code]],[1]!Table1[Q_int_frac DIW],"",0)</f>
        <v>#REF!</v>
      </c>
      <c r="AH2071" s="69" t="e" cm="1">
        <f t="array" ref="AH2071">_xlfn.XLOOKUP(Table1[[#This Row],[5 cm2 cell test code]:[5 cm2 cell test code]],[1]!Table1[[Test code]:[Test code]],[1]!Table1[Ionic resistance 10 mM KOH/Ohm cm2],"",0)</f>
        <v>#REF!</v>
      </c>
      <c r="AI2071" s="69" t="e" cm="1">
        <f t="array" ref="AI2071">_xlfn.XLOOKUP(Table1[[#This Row],[5 cm2 cell test code]:[5 cm2 cell test code]],[1]!Table1[[Test code]:[Test code]],[1]!Table1[Q_int_frac DIW 10 mM KOH],"",0)</f>
        <v>#REF!</v>
      </c>
      <c r="AJ2071" s="69" t="e" cm="1">
        <f t="array" ref="AJ2071">_xlfn.XLOOKUP(Table1[[#This Row],[5 cm2 cell test code]:[5 cm2 cell test code]],[1]!Table1[[Test code]:[Test code]],[1]!Table1[DIW conductivity (µS/cm)],"",0)</f>
        <v>#REF!</v>
      </c>
    </row>
    <row r="2072" spans="1:36">
      <c r="A2072" s="81"/>
      <c r="U2072" s="101"/>
      <c r="V2072" s="101"/>
      <c r="W2072" s="69" t="e" cm="1">
        <f t="array" ref="W2072">_xlfn.XLOOKUP(Table1[[#This Row],[5 cm2 cell test code]:[5 cm2 cell test code]],[1]!Table1[[Test code]:[Test code]],[1]!Table1[i @ 1.8 V DIW (A/cm2)],"",0)</f>
        <v>#REF!</v>
      </c>
      <c r="X2072" s="69" t="e" cm="1">
        <f t="array" ref="X2072">_xlfn.XLOOKUP(Table1[[#This Row],[5 cm2 cell test code]:[5 cm2 cell test code]],[1]!Table1[[Test code]:[Test code]],[1]!Table1[i @ 1.8 V 10 mM KOH (A/cm2)],"",0)</f>
        <v>#REF!</v>
      </c>
      <c r="Y2072" s="69" t="e" cm="1">
        <f t="array" ref="Y2072">_xlfn.XLOOKUP(Table1[[#This Row],[5 cm2 cell test code]:[5 cm2 cell test code]],[1]!Table1[[Test code]:[Test code]],[1]!Table1[3-E ƞ at 20mAcm-2 (mV)],"",0)</f>
        <v>#REF!</v>
      </c>
      <c r="Z2072" s="69" t="e" cm="1">
        <f t="array" ref="Z2072">_xlfn.XLOOKUP(Table1[[#This Row],[5 cm2 cell test code]:[5 cm2 cell test code]],[1]!Table1[[Test code]:[Test code]],[1]!Table1[3-E Tafel slope (mV/dec)],"",0)</f>
        <v>#REF!</v>
      </c>
      <c r="AA2072" s="69" t="e" cm="1">
        <f t="array" ref="AA2072">_xlfn.XLOOKUP(Table1[[#This Row],[5 cm2 cell test code]:[5 cm2 cell test code]],[1]!Table1[[Test code]:[Test code]],[1]!Table1[E @ 100 mA/cm2 DIW/V],"",0)</f>
        <v>#REF!</v>
      </c>
      <c r="AB2072" s="69" t="e" cm="1">
        <f t="array" ref="AB2072">_xlfn.XLOOKUP(Table1[[#This Row],[5 cm2 cell test code]:[5 cm2 cell test code]],[1]!Table1[[Test code]:[Test code]],[1]!Table1[E @ 100 mA/cm2 10 mM KOH/V],"",0)</f>
        <v>#REF!</v>
      </c>
      <c r="AC2072" s="69" t="e" cm="1">
        <f t="array" ref="AC2072">_xlfn.XLOOKUP(Table1[[#This Row],[5 cm2 cell test code]:[5 cm2 cell test code]],[1]!Table1[[Test code]:[Test code]],[1]!Table1[Anode ICR/mOhm],"",0)</f>
        <v>#REF!</v>
      </c>
      <c r="AD2072" s="69" t="e" cm="1">
        <f t="array" ref="AD2072">_xlfn.XLOOKUP(Table1[[#This Row],[5 cm2 cell test code]:[5 cm2 cell test code]],[1]!Table1[[Test code]:[Test code]],[1]!Table1[HFR DIW/ mOhm cm2],"",0)</f>
        <v>#REF!</v>
      </c>
      <c r="AE2072" s="69" t="e" cm="1">
        <f t="array" ref="AE2072">_xlfn.XLOOKUP(Table1[[#This Row],[5 cm2 cell test code]:[5 cm2 cell test code]],[1]!Table1[[Test code]:[Test code]],[1]!Table1[HFR 10 mM KOH/ mOhm cm2],"",0)</f>
        <v>#REF!</v>
      </c>
      <c r="AF2072" s="69" t="e" cm="1">
        <f t="array" ref="AF2072">_xlfn.XLOOKUP(Table1[[#This Row],[5 cm2 cell test code]:[5 cm2 cell test code]],[1]!Table1[[Test code]:[Test code]],[1]!Table1[Ionic resistance DIW/Ohm cm2],"",0)</f>
        <v>#REF!</v>
      </c>
      <c r="AG2072" s="69" t="e" cm="1">
        <f t="array" ref="AG2072">_xlfn.XLOOKUP(Table1[[#This Row],[5 cm2 cell test code]:[5 cm2 cell test code]],[1]!Table1[[Test code]:[Test code]],[1]!Table1[Q_int_frac DIW],"",0)</f>
        <v>#REF!</v>
      </c>
      <c r="AH2072" s="69" t="e" cm="1">
        <f t="array" ref="AH2072">_xlfn.XLOOKUP(Table1[[#This Row],[5 cm2 cell test code]:[5 cm2 cell test code]],[1]!Table1[[Test code]:[Test code]],[1]!Table1[Ionic resistance 10 mM KOH/Ohm cm2],"",0)</f>
        <v>#REF!</v>
      </c>
      <c r="AI2072" s="69" t="e" cm="1">
        <f t="array" ref="AI2072">_xlfn.XLOOKUP(Table1[[#This Row],[5 cm2 cell test code]:[5 cm2 cell test code]],[1]!Table1[[Test code]:[Test code]],[1]!Table1[Q_int_frac DIW 10 mM KOH],"",0)</f>
        <v>#REF!</v>
      </c>
      <c r="AJ2072" s="69" t="e" cm="1">
        <f t="array" ref="AJ2072">_xlfn.XLOOKUP(Table1[[#This Row],[5 cm2 cell test code]:[5 cm2 cell test code]],[1]!Table1[[Test code]:[Test code]],[1]!Table1[DIW conductivity (µS/cm)],"",0)</f>
        <v>#REF!</v>
      </c>
    </row>
    <row r="2073" spans="1:36">
      <c r="A2073" s="81"/>
      <c r="U2073" s="101"/>
      <c r="V2073" s="101"/>
      <c r="W2073" s="69" t="e" cm="1">
        <f t="array" ref="W2073">_xlfn.XLOOKUP(Table1[[#This Row],[5 cm2 cell test code]:[5 cm2 cell test code]],[1]!Table1[[Test code]:[Test code]],[1]!Table1[i @ 1.8 V DIW (A/cm2)],"",0)</f>
        <v>#REF!</v>
      </c>
      <c r="X2073" s="69" t="e" cm="1">
        <f t="array" ref="X2073">_xlfn.XLOOKUP(Table1[[#This Row],[5 cm2 cell test code]:[5 cm2 cell test code]],[1]!Table1[[Test code]:[Test code]],[1]!Table1[i @ 1.8 V 10 mM KOH (A/cm2)],"",0)</f>
        <v>#REF!</v>
      </c>
      <c r="Y2073" s="69" t="e" cm="1">
        <f t="array" ref="Y2073">_xlfn.XLOOKUP(Table1[[#This Row],[5 cm2 cell test code]:[5 cm2 cell test code]],[1]!Table1[[Test code]:[Test code]],[1]!Table1[3-E ƞ at 20mAcm-2 (mV)],"",0)</f>
        <v>#REF!</v>
      </c>
      <c r="Z2073" s="69" t="e" cm="1">
        <f t="array" ref="Z2073">_xlfn.XLOOKUP(Table1[[#This Row],[5 cm2 cell test code]:[5 cm2 cell test code]],[1]!Table1[[Test code]:[Test code]],[1]!Table1[3-E Tafel slope (mV/dec)],"",0)</f>
        <v>#REF!</v>
      </c>
      <c r="AA2073" s="69" t="e" cm="1">
        <f t="array" ref="AA2073">_xlfn.XLOOKUP(Table1[[#This Row],[5 cm2 cell test code]:[5 cm2 cell test code]],[1]!Table1[[Test code]:[Test code]],[1]!Table1[E @ 100 mA/cm2 DIW/V],"",0)</f>
        <v>#REF!</v>
      </c>
      <c r="AB2073" s="69" t="e" cm="1">
        <f t="array" ref="AB2073">_xlfn.XLOOKUP(Table1[[#This Row],[5 cm2 cell test code]:[5 cm2 cell test code]],[1]!Table1[[Test code]:[Test code]],[1]!Table1[E @ 100 mA/cm2 10 mM KOH/V],"",0)</f>
        <v>#REF!</v>
      </c>
      <c r="AC2073" s="69" t="e" cm="1">
        <f t="array" ref="AC2073">_xlfn.XLOOKUP(Table1[[#This Row],[5 cm2 cell test code]:[5 cm2 cell test code]],[1]!Table1[[Test code]:[Test code]],[1]!Table1[Anode ICR/mOhm],"",0)</f>
        <v>#REF!</v>
      </c>
      <c r="AD2073" s="69" t="e" cm="1">
        <f t="array" ref="AD2073">_xlfn.XLOOKUP(Table1[[#This Row],[5 cm2 cell test code]:[5 cm2 cell test code]],[1]!Table1[[Test code]:[Test code]],[1]!Table1[HFR DIW/ mOhm cm2],"",0)</f>
        <v>#REF!</v>
      </c>
      <c r="AE2073" s="69" t="e" cm="1">
        <f t="array" ref="AE2073">_xlfn.XLOOKUP(Table1[[#This Row],[5 cm2 cell test code]:[5 cm2 cell test code]],[1]!Table1[[Test code]:[Test code]],[1]!Table1[HFR 10 mM KOH/ mOhm cm2],"",0)</f>
        <v>#REF!</v>
      </c>
      <c r="AF2073" s="69" t="e" cm="1">
        <f t="array" ref="AF2073">_xlfn.XLOOKUP(Table1[[#This Row],[5 cm2 cell test code]:[5 cm2 cell test code]],[1]!Table1[[Test code]:[Test code]],[1]!Table1[Ionic resistance DIW/Ohm cm2],"",0)</f>
        <v>#REF!</v>
      </c>
      <c r="AG2073" s="69" t="e" cm="1">
        <f t="array" ref="AG2073">_xlfn.XLOOKUP(Table1[[#This Row],[5 cm2 cell test code]:[5 cm2 cell test code]],[1]!Table1[[Test code]:[Test code]],[1]!Table1[Q_int_frac DIW],"",0)</f>
        <v>#REF!</v>
      </c>
      <c r="AH2073" s="69" t="e" cm="1">
        <f t="array" ref="AH2073">_xlfn.XLOOKUP(Table1[[#This Row],[5 cm2 cell test code]:[5 cm2 cell test code]],[1]!Table1[[Test code]:[Test code]],[1]!Table1[Ionic resistance 10 mM KOH/Ohm cm2],"",0)</f>
        <v>#REF!</v>
      </c>
      <c r="AI2073" s="69" t="e" cm="1">
        <f t="array" ref="AI2073">_xlfn.XLOOKUP(Table1[[#This Row],[5 cm2 cell test code]:[5 cm2 cell test code]],[1]!Table1[[Test code]:[Test code]],[1]!Table1[Q_int_frac DIW 10 mM KOH],"",0)</f>
        <v>#REF!</v>
      </c>
      <c r="AJ2073" s="69" t="e" cm="1">
        <f t="array" ref="AJ2073">_xlfn.XLOOKUP(Table1[[#This Row],[5 cm2 cell test code]:[5 cm2 cell test code]],[1]!Table1[[Test code]:[Test code]],[1]!Table1[DIW conductivity (µS/cm)],"",0)</f>
        <v>#REF!</v>
      </c>
    </row>
    <row r="2074" spans="1:36">
      <c r="A2074" s="81"/>
      <c r="U2074" s="101"/>
      <c r="V2074" s="101"/>
      <c r="W2074" s="69" t="e" cm="1">
        <f t="array" ref="W2074">_xlfn.XLOOKUP(Table1[[#This Row],[5 cm2 cell test code]:[5 cm2 cell test code]],[1]!Table1[[Test code]:[Test code]],[1]!Table1[i @ 1.8 V DIW (A/cm2)],"",0)</f>
        <v>#REF!</v>
      </c>
      <c r="X2074" s="69" t="e" cm="1">
        <f t="array" ref="X2074">_xlfn.XLOOKUP(Table1[[#This Row],[5 cm2 cell test code]:[5 cm2 cell test code]],[1]!Table1[[Test code]:[Test code]],[1]!Table1[i @ 1.8 V 10 mM KOH (A/cm2)],"",0)</f>
        <v>#REF!</v>
      </c>
      <c r="Y2074" s="69" t="e" cm="1">
        <f t="array" ref="Y2074">_xlfn.XLOOKUP(Table1[[#This Row],[5 cm2 cell test code]:[5 cm2 cell test code]],[1]!Table1[[Test code]:[Test code]],[1]!Table1[3-E ƞ at 20mAcm-2 (mV)],"",0)</f>
        <v>#REF!</v>
      </c>
      <c r="Z2074" s="69" t="e" cm="1">
        <f t="array" ref="Z2074">_xlfn.XLOOKUP(Table1[[#This Row],[5 cm2 cell test code]:[5 cm2 cell test code]],[1]!Table1[[Test code]:[Test code]],[1]!Table1[3-E Tafel slope (mV/dec)],"",0)</f>
        <v>#REF!</v>
      </c>
      <c r="AA2074" s="69" t="e" cm="1">
        <f t="array" ref="AA2074">_xlfn.XLOOKUP(Table1[[#This Row],[5 cm2 cell test code]:[5 cm2 cell test code]],[1]!Table1[[Test code]:[Test code]],[1]!Table1[E @ 100 mA/cm2 DIW/V],"",0)</f>
        <v>#REF!</v>
      </c>
      <c r="AB2074" s="69" t="e" cm="1">
        <f t="array" ref="AB2074">_xlfn.XLOOKUP(Table1[[#This Row],[5 cm2 cell test code]:[5 cm2 cell test code]],[1]!Table1[[Test code]:[Test code]],[1]!Table1[E @ 100 mA/cm2 10 mM KOH/V],"",0)</f>
        <v>#REF!</v>
      </c>
      <c r="AC2074" s="69" t="e" cm="1">
        <f t="array" ref="AC2074">_xlfn.XLOOKUP(Table1[[#This Row],[5 cm2 cell test code]:[5 cm2 cell test code]],[1]!Table1[[Test code]:[Test code]],[1]!Table1[Anode ICR/mOhm],"",0)</f>
        <v>#REF!</v>
      </c>
      <c r="AD2074" s="69" t="e" cm="1">
        <f t="array" ref="AD2074">_xlfn.XLOOKUP(Table1[[#This Row],[5 cm2 cell test code]:[5 cm2 cell test code]],[1]!Table1[[Test code]:[Test code]],[1]!Table1[HFR DIW/ mOhm cm2],"",0)</f>
        <v>#REF!</v>
      </c>
      <c r="AE2074" s="69" t="e" cm="1">
        <f t="array" ref="AE2074">_xlfn.XLOOKUP(Table1[[#This Row],[5 cm2 cell test code]:[5 cm2 cell test code]],[1]!Table1[[Test code]:[Test code]],[1]!Table1[HFR 10 mM KOH/ mOhm cm2],"",0)</f>
        <v>#REF!</v>
      </c>
      <c r="AF2074" s="69" t="e" cm="1">
        <f t="array" ref="AF2074">_xlfn.XLOOKUP(Table1[[#This Row],[5 cm2 cell test code]:[5 cm2 cell test code]],[1]!Table1[[Test code]:[Test code]],[1]!Table1[Ionic resistance DIW/Ohm cm2],"",0)</f>
        <v>#REF!</v>
      </c>
      <c r="AG2074" s="69" t="e" cm="1">
        <f t="array" ref="AG2074">_xlfn.XLOOKUP(Table1[[#This Row],[5 cm2 cell test code]:[5 cm2 cell test code]],[1]!Table1[[Test code]:[Test code]],[1]!Table1[Q_int_frac DIW],"",0)</f>
        <v>#REF!</v>
      </c>
      <c r="AH2074" s="69" t="e" cm="1">
        <f t="array" ref="AH2074">_xlfn.XLOOKUP(Table1[[#This Row],[5 cm2 cell test code]:[5 cm2 cell test code]],[1]!Table1[[Test code]:[Test code]],[1]!Table1[Ionic resistance 10 mM KOH/Ohm cm2],"",0)</f>
        <v>#REF!</v>
      </c>
      <c r="AI2074" s="69" t="e" cm="1">
        <f t="array" ref="AI2074">_xlfn.XLOOKUP(Table1[[#This Row],[5 cm2 cell test code]:[5 cm2 cell test code]],[1]!Table1[[Test code]:[Test code]],[1]!Table1[Q_int_frac DIW 10 mM KOH],"",0)</f>
        <v>#REF!</v>
      </c>
      <c r="AJ2074" s="69" t="e" cm="1">
        <f t="array" ref="AJ2074">_xlfn.XLOOKUP(Table1[[#This Row],[5 cm2 cell test code]:[5 cm2 cell test code]],[1]!Table1[[Test code]:[Test code]],[1]!Table1[DIW conductivity (µS/cm)],"",0)</f>
        <v>#REF!</v>
      </c>
    </row>
    <row r="2075" spans="1:36">
      <c r="A2075" s="81"/>
      <c r="U2075" s="101"/>
      <c r="V2075" s="101"/>
      <c r="W2075" s="69" t="e" cm="1">
        <f t="array" ref="W2075">_xlfn.XLOOKUP(Table1[[#This Row],[5 cm2 cell test code]:[5 cm2 cell test code]],[1]!Table1[[Test code]:[Test code]],[1]!Table1[i @ 1.8 V DIW (A/cm2)],"",0)</f>
        <v>#REF!</v>
      </c>
      <c r="X2075" s="69" t="e" cm="1">
        <f t="array" ref="X2075">_xlfn.XLOOKUP(Table1[[#This Row],[5 cm2 cell test code]:[5 cm2 cell test code]],[1]!Table1[[Test code]:[Test code]],[1]!Table1[i @ 1.8 V 10 mM KOH (A/cm2)],"",0)</f>
        <v>#REF!</v>
      </c>
      <c r="Y2075" s="69" t="e" cm="1">
        <f t="array" ref="Y2075">_xlfn.XLOOKUP(Table1[[#This Row],[5 cm2 cell test code]:[5 cm2 cell test code]],[1]!Table1[[Test code]:[Test code]],[1]!Table1[3-E ƞ at 20mAcm-2 (mV)],"",0)</f>
        <v>#REF!</v>
      </c>
      <c r="Z2075" s="69" t="e" cm="1">
        <f t="array" ref="Z2075">_xlfn.XLOOKUP(Table1[[#This Row],[5 cm2 cell test code]:[5 cm2 cell test code]],[1]!Table1[[Test code]:[Test code]],[1]!Table1[3-E Tafel slope (mV/dec)],"",0)</f>
        <v>#REF!</v>
      </c>
      <c r="AA2075" s="69" t="e" cm="1">
        <f t="array" ref="AA2075">_xlfn.XLOOKUP(Table1[[#This Row],[5 cm2 cell test code]:[5 cm2 cell test code]],[1]!Table1[[Test code]:[Test code]],[1]!Table1[E @ 100 mA/cm2 DIW/V],"",0)</f>
        <v>#REF!</v>
      </c>
      <c r="AB2075" s="69" t="e" cm="1">
        <f t="array" ref="AB2075">_xlfn.XLOOKUP(Table1[[#This Row],[5 cm2 cell test code]:[5 cm2 cell test code]],[1]!Table1[[Test code]:[Test code]],[1]!Table1[E @ 100 mA/cm2 10 mM KOH/V],"",0)</f>
        <v>#REF!</v>
      </c>
      <c r="AC2075" s="69" t="e" cm="1">
        <f t="array" ref="AC2075">_xlfn.XLOOKUP(Table1[[#This Row],[5 cm2 cell test code]:[5 cm2 cell test code]],[1]!Table1[[Test code]:[Test code]],[1]!Table1[Anode ICR/mOhm],"",0)</f>
        <v>#REF!</v>
      </c>
      <c r="AD2075" s="69" t="e" cm="1">
        <f t="array" ref="AD2075">_xlfn.XLOOKUP(Table1[[#This Row],[5 cm2 cell test code]:[5 cm2 cell test code]],[1]!Table1[[Test code]:[Test code]],[1]!Table1[HFR DIW/ mOhm cm2],"",0)</f>
        <v>#REF!</v>
      </c>
      <c r="AE2075" s="69" t="e" cm="1">
        <f t="array" ref="AE2075">_xlfn.XLOOKUP(Table1[[#This Row],[5 cm2 cell test code]:[5 cm2 cell test code]],[1]!Table1[[Test code]:[Test code]],[1]!Table1[HFR 10 mM KOH/ mOhm cm2],"",0)</f>
        <v>#REF!</v>
      </c>
      <c r="AF2075" s="69" t="e" cm="1">
        <f t="array" ref="AF2075">_xlfn.XLOOKUP(Table1[[#This Row],[5 cm2 cell test code]:[5 cm2 cell test code]],[1]!Table1[[Test code]:[Test code]],[1]!Table1[Ionic resistance DIW/Ohm cm2],"",0)</f>
        <v>#REF!</v>
      </c>
      <c r="AG2075" s="69" t="e" cm="1">
        <f t="array" ref="AG2075">_xlfn.XLOOKUP(Table1[[#This Row],[5 cm2 cell test code]:[5 cm2 cell test code]],[1]!Table1[[Test code]:[Test code]],[1]!Table1[Q_int_frac DIW],"",0)</f>
        <v>#REF!</v>
      </c>
      <c r="AH2075" s="69" t="e" cm="1">
        <f t="array" ref="AH2075">_xlfn.XLOOKUP(Table1[[#This Row],[5 cm2 cell test code]:[5 cm2 cell test code]],[1]!Table1[[Test code]:[Test code]],[1]!Table1[Ionic resistance 10 mM KOH/Ohm cm2],"",0)</f>
        <v>#REF!</v>
      </c>
      <c r="AI2075" s="69" t="e" cm="1">
        <f t="array" ref="AI2075">_xlfn.XLOOKUP(Table1[[#This Row],[5 cm2 cell test code]:[5 cm2 cell test code]],[1]!Table1[[Test code]:[Test code]],[1]!Table1[Q_int_frac DIW 10 mM KOH],"",0)</f>
        <v>#REF!</v>
      </c>
      <c r="AJ2075" s="69" t="e" cm="1">
        <f t="array" ref="AJ2075">_xlfn.XLOOKUP(Table1[[#This Row],[5 cm2 cell test code]:[5 cm2 cell test code]],[1]!Table1[[Test code]:[Test code]],[1]!Table1[DIW conductivity (µS/cm)],"",0)</f>
        <v>#REF!</v>
      </c>
    </row>
    <row r="2076" spans="1:36">
      <c r="A2076" s="81"/>
      <c r="U2076" s="101"/>
      <c r="V2076" s="101"/>
      <c r="W2076" s="69" t="e" cm="1">
        <f t="array" ref="W2076">_xlfn.XLOOKUP(Table1[[#This Row],[5 cm2 cell test code]:[5 cm2 cell test code]],[1]!Table1[[Test code]:[Test code]],[1]!Table1[i @ 1.8 V DIW (A/cm2)],"",0)</f>
        <v>#REF!</v>
      </c>
      <c r="X2076" s="69" t="e" cm="1">
        <f t="array" ref="X2076">_xlfn.XLOOKUP(Table1[[#This Row],[5 cm2 cell test code]:[5 cm2 cell test code]],[1]!Table1[[Test code]:[Test code]],[1]!Table1[i @ 1.8 V 10 mM KOH (A/cm2)],"",0)</f>
        <v>#REF!</v>
      </c>
      <c r="Y2076" s="69" t="e" cm="1">
        <f t="array" ref="Y2076">_xlfn.XLOOKUP(Table1[[#This Row],[5 cm2 cell test code]:[5 cm2 cell test code]],[1]!Table1[[Test code]:[Test code]],[1]!Table1[3-E ƞ at 20mAcm-2 (mV)],"",0)</f>
        <v>#REF!</v>
      </c>
      <c r="Z2076" s="69" t="e" cm="1">
        <f t="array" ref="Z2076">_xlfn.XLOOKUP(Table1[[#This Row],[5 cm2 cell test code]:[5 cm2 cell test code]],[1]!Table1[[Test code]:[Test code]],[1]!Table1[3-E Tafel slope (mV/dec)],"",0)</f>
        <v>#REF!</v>
      </c>
      <c r="AA2076" s="69" t="e" cm="1">
        <f t="array" ref="AA2076">_xlfn.XLOOKUP(Table1[[#This Row],[5 cm2 cell test code]:[5 cm2 cell test code]],[1]!Table1[[Test code]:[Test code]],[1]!Table1[E @ 100 mA/cm2 DIW/V],"",0)</f>
        <v>#REF!</v>
      </c>
      <c r="AB2076" s="69" t="e" cm="1">
        <f t="array" ref="AB2076">_xlfn.XLOOKUP(Table1[[#This Row],[5 cm2 cell test code]:[5 cm2 cell test code]],[1]!Table1[[Test code]:[Test code]],[1]!Table1[E @ 100 mA/cm2 10 mM KOH/V],"",0)</f>
        <v>#REF!</v>
      </c>
      <c r="AC2076" s="69" t="e" cm="1">
        <f t="array" ref="AC2076">_xlfn.XLOOKUP(Table1[[#This Row],[5 cm2 cell test code]:[5 cm2 cell test code]],[1]!Table1[[Test code]:[Test code]],[1]!Table1[Anode ICR/mOhm],"",0)</f>
        <v>#REF!</v>
      </c>
      <c r="AD2076" s="69" t="e" cm="1">
        <f t="array" ref="AD2076">_xlfn.XLOOKUP(Table1[[#This Row],[5 cm2 cell test code]:[5 cm2 cell test code]],[1]!Table1[[Test code]:[Test code]],[1]!Table1[HFR DIW/ mOhm cm2],"",0)</f>
        <v>#REF!</v>
      </c>
      <c r="AE2076" s="69" t="e" cm="1">
        <f t="array" ref="AE2076">_xlfn.XLOOKUP(Table1[[#This Row],[5 cm2 cell test code]:[5 cm2 cell test code]],[1]!Table1[[Test code]:[Test code]],[1]!Table1[HFR 10 mM KOH/ mOhm cm2],"",0)</f>
        <v>#REF!</v>
      </c>
      <c r="AF2076" s="69" t="e" cm="1">
        <f t="array" ref="AF2076">_xlfn.XLOOKUP(Table1[[#This Row],[5 cm2 cell test code]:[5 cm2 cell test code]],[1]!Table1[[Test code]:[Test code]],[1]!Table1[Ionic resistance DIW/Ohm cm2],"",0)</f>
        <v>#REF!</v>
      </c>
      <c r="AG2076" s="69" t="e" cm="1">
        <f t="array" ref="AG2076">_xlfn.XLOOKUP(Table1[[#This Row],[5 cm2 cell test code]:[5 cm2 cell test code]],[1]!Table1[[Test code]:[Test code]],[1]!Table1[Q_int_frac DIW],"",0)</f>
        <v>#REF!</v>
      </c>
      <c r="AH2076" s="69" t="e" cm="1">
        <f t="array" ref="AH2076">_xlfn.XLOOKUP(Table1[[#This Row],[5 cm2 cell test code]:[5 cm2 cell test code]],[1]!Table1[[Test code]:[Test code]],[1]!Table1[Ionic resistance 10 mM KOH/Ohm cm2],"",0)</f>
        <v>#REF!</v>
      </c>
      <c r="AI2076" s="69" t="e" cm="1">
        <f t="array" ref="AI2076">_xlfn.XLOOKUP(Table1[[#This Row],[5 cm2 cell test code]:[5 cm2 cell test code]],[1]!Table1[[Test code]:[Test code]],[1]!Table1[Q_int_frac DIW 10 mM KOH],"",0)</f>
        <v>#REF!</v>
      </c>
      <c r="AJ2076" s="69" t="e" cm="1">
        <f t="array" ref="AJ2076">_xlfn.XLOOKUP(Table1[[#This Row],[5 cm2 cell test code]:[5 cm2 cell test code]],[1]!Table1[[Test code]:[Test code]],[1]!Table1[DIW conductivity (µS/cm)],"",0)</f>
        <v>#REF!</v>
      </c>
    </row>
    <row r="2077" spans="1:36">
      <c r="A2077" s="81"/>
      <c r="U2077" s="101"/>
      <c r="V2077" s="101"/>
      <c r="W2077" s="69" t="e" cm="1">
        <f t="array" ref="W2077">_xlfn.XLOOKUP(Table1[[#This Row],[5 cm2 cell test code]:[5 cm2 cell test code]],[1]!Table1[[Test code]:[Test code]],[1]!Table1[i @ 1.8 V DIW (A/cm2)],"",0)</f>
        <v>#REF!</v>
      </c>
      <c r="X2077" s="69" t="e" cm="1">
        <f t="array" ref="X2077">_xlfn.XLOOKUP(Table1[[#This Row],[5 cm2 cell test code]:[5 cm2 cell test code]],[1]!Table1[[Test code]:[Test code]],[1]!Table1[i @ 1.8 V 10 mM KOH (A/cm2)],"",0)</f>
        <v>#REF!</v>
      </c>
      <c r="Y2077" s="69" t="e" cm="1">
        <f t="array" ref="Y2077">_xlfn.XLOOKUP(Table1[[#This Row],[5 cm2 cell test code]:[5 cm2 cell test code]],[1]!Table1[[Test code]:[Test code]],[1]!Table1[3-E ƞ at 20mAcm-2 (mV)],"",0)</f>
        <v>#REF!</v>
      </c>
      <c r="Z2077" s="69" t="e" cm="1">
        <f t="array" ref="Z2077">_xlfn.XLOOKUP(Table1[[#This Row],[5 cm2 cell test code]:[5 cm2 cell test code]],[1]!Table1[[Test code]:[Test code]],[1]!Table1[3-E Tafel slope (mV/dec)],"",0)</f>
        <v>#REF!</v>
      </c>
      <c r="AA2077" s="69" t="e" cm="1">
        <f t="array" ref="AA2077">_xlfn.XLOOKUP(Table1[[#This Row],[5 cm2 cell test code]:[5 cm2 cell test code]],[1]!Table1[[Test code]:[Test code]],[1]!Table1[E @ 100 mA/cm2 DIW/V],"",0)</f>
        <v>#REF!</v>
      </c>
      <c r="AB2077" s="69" t="e" cm="1">
        <f t="array" ref="AB2077">_xlfn.XLOOKUP(Table1[[#This Row],[5 cm2 cell test code]:[5 cm2 cell test code]],[1]!Table1[[Test code]:[Test code]],[1]!Table1[E @ 100 mA/cm2 10 mM KOH/V],"",0)</f>
        <v>#REF!</v>
      </c>
      <c r="AC2077" s="69" t="e" cm="1">
        <f t="array" ref="AC2077">_xlfn.XLOOKUP(Table1[[#This Row],[5 cm2 cell test code]:[5 cm2 cell test code]],[1]!Table1[[Test code]:[Test code]],[1]!Table1[Anode ICR/mOhm],"",0)</f>
        <v>#REF!</v>
      </c>
      <c r="AD2077" s="69" t="e" cm="1">
        <f t="array" ref="AD2077">_xlfn.XLOOKUP(Table1[[#This Row],[5 cm2 cell test code]:[5 cm2 cell test code]],[1]!Table1[[Test code]:[Test code]],[1]!Table1[HFR DIW/ mOhm cm2],"",0)</f>
        <v>#REF!</v>
      </c>
      <c r="AE2077" s="69" t="e" cm="1">
        <f t="array" ref="AE2077">_xlfn.XLOOKUP(Table1[[#This Row],[5 cm2 cell test code]:[5 cm2 cell test code]],[1]!Table1[[Test code]:[Test code]],[1]!Table1[HFR 10 mM KOH/ mOhm cm2],"",0)</f>
        <v>#REF!</v>
      </c>
      <c r="AF2077" s="69" t="e" cm="1">
        <f t="array" ref="AF2077">_xlfn.XLOOKUP(Table1[[#This Row],[5 cm2 cell test code]:[5 cm2 cell test code]],[1]!Table1[[Test code]:[Test code]],[1]!Table1[Ionic resistance DIW/Ohm cm2],"",0)</f>
        <v>#REF!</v>
      </c>
      <c r="AG2077" s="69" t="e" cm="1">
        <f t="array" ref="AG2077">_xlfn.XLOOKUP(Table1[[#This Row],[5 cm2 cell test code]:[5 cm2 cell test code]],[1]!Table1[[Test code]:[Test code]],[1]!Table1[Q_int_frac DIW],"",0)</f>
        <v>#REF!</v>
      </c>
      <c r="AH2077" s="69" t="e" cm="1">
        <f t="array" ref="AH2077">_xlfn.XLOOKUP(Table1[[#This Row],[5 cm2 cell test code]:[5 cm2 cell test code]],[1]!Table1[[Test code]:[Test code]],[1]!Table1[Ionic resistance 10 mM KOH/Ohm cm2],"",0)</f>
        <v>#REF!</v>
      </c>
      <c r="AI2077" s="69" t="e" cm="1">
        <f t="array" ref="AI2077">_xlfn.XLOOKUP(Table1[[#This Row],[5 cm2 cell test code]:[5 cm2 cell test code]],[1]!Table1[[Test code]:[Test code]],[1]!Table1[Q_int_frac DIW 10 mM KOH],"",0)</f>
        <v>#REF!</v>
      </c>
      <c r="AJ2077" s="69" t="e" cm="1">
        <f t="array" ref="AJ2077">_xlfn.XLOOKUP(Table1[[#This Row],[5 cm2 cell test code]:[5 cm2 cell test code]],[1]!Table1[[Test code]:[Test code]],[1]!Table1[DIW conductivity (µS/cm)],"",0)</f>
        <v>#REF!</v>
      </c>
    </row>
    <row r="2078" spans="1:36">
      <c r="A2078" s="81"/>
      <c r="U2078" s="101"/>
      <c r="V2078" s="101"/>
      <c r="W2078" s="69" t="e" cm="1">
        <f t="array" ref="W2078">_xlfn.XLOOKUP(Table1[[#This Row],[5 cm2 cell test code]:[5 cm2 cell test code]],[1]!Table1[[Test code]:[Test code]],[1]!Table1[i @ 1.8 V DIW (A/cm2)],"",0)</f>
        <v>#REF!</v>
      </c>
      <c r="X2078" s="69" t="e" cm="1">
        <f t="array" ref="X2078">_xlfn.XLOOKUP(Table1[[#This Row],[5 cm2 cell test code]:[5 cm2 cell test code]],[1]!Table1[[Test code]:[Test code]],[1]!Table1[i @ 1.8 V 10 mM KOH (A/cm2)],"",0)</f>
        <v>#REF!</v>
      </c>
      <c r="Y2078" s="69" t="e" cm="1">
        <f t="array" ref="Y2078">_xlfn.XLOOKUP(Table1[[#This Row],[5 cm2 cell test code]:[5 cm2 cell test code]],[1]!Table1[[Test code]:[Test code]],[1]!Table1[3-E ƞ at 20mAcm-2 (mV)],"",0)</f>
        <v>#REF!</v>
      </c>
      <c r="Z2078" s="69" t="e" cm="1">
        <f t="array" ref="Z2078">_xlfn.XLOOKUP(Table1[[#This Row],[5 cm2 cell test code]:[5 cm2 cell test code]],[1]!Table1[[Test code]:[Test code]],[1]!Table1[3-E Tafel slope (mV/dec)],"",0)</f>
        <v>#REF!</v>
      </c>
      <c r="AA2078" s="69" t="e" cm="1">
        <f t="array" ref="AA2078">_xlfn.XLOOKUP(Table1[[#This Row],[5 cm2 cell test code]:[5 cm2 cell test code]],[1]!Table1[[Test code]:[Test code]],[1]!Table1[E @ 100 mA/cm2 DIW/V],"",0)</f>
        <v>#REF!</v>
      </c>
      <c r="AB2078" s="69" t="e" cm="1">
        <f t="array" ref="AB2078">_xlfn.XLOOKUP(Table1[[#This Row],[5 cm2 cell test code]:[5 cm2 cell test code]],[1]!Table1[[Test code]:[Test code]],[1]!Table1[E @ 100 mA/cm2 10 mM KOH/V],"",0)</f>
        <v>#REF!</v>
      </c>
      <c r="AC2078" s="69" t="e" cm="1">
        <f t="array" ref="AC2078">_xlfn.XLOOKUP(Table1[[#This Row],[5 cm2 cell test code]:[5 cm2 cell test code]],[1]!Table1[[Test code]:[Test code]],[1]!Table1[Anode ICR/mOhm],"",0)</f>
        <v>#REF!</v>
      </c>
      <c r="AD2078" s="69" t="e" cm="1">
        <f t="array" ref="AD2078">_xlfn.XLOOKUP(Table1[[#This Row],[5 cm2 cell test code]:[5 cm2 cell test code]],[1]!Table1[[Test code]:[Test code]],[1]!Table1[HFR DIW/ mOhm cm2],"",0)</f>
        <v>#REF!</v>
      </c>
      <c r="AE2078" s="69" t="e" cm="1">
        <f t="array" ref="AE2078">_xlfn.XLOOKUP(Table1[[#This Row],[5 cm2 cell test code]:[5 cm2 cell test code]],[1]!Table1[[Test code]:[Test code]],[1]!Table1[HFR 10 mM KOH/ mOhm cm2],"",0)</f>
        <v>#REF!</v>
      </c>
      <c r="AF2078" s="69" t="e" cm="1">
        <f t="array" ref="AF2078">_xlfn.XLOOKUP(Table1[[#This Row],[5 cm2 cell test code]:[5 cm2 cell test code]],[1]!Table1[[Test code]:[Test code]],[1]!Table1[Ionic resistance DIW/Ohm cm2],"",0)</f>
        <v>#REF!</v>
      </c>
      <c r="AG2078" s="69" t="e" cm="1">
        <f t="array" ref="AG2078">_xlfn.XLOOKUP(Table1[[#This Row],[5 cm2 cell test code]:[5 cm2 cell test code]],[1]!Table1[[Test code]:[Test code]],[1]!Table1[Q_int_frac DIW],"",0)</f>
        <v>#REF!</v>
      </c>
      <c r="AH2078" s="69" t="e" cm="1">
        <f t="array" ref="AH2078">_xlfn.XLOOKUP(Table1[[#This Row],[5 cm2 cell test code]:[5 cm2 cell test code]],[1]!Table1[[Test code]:[Test code]],[1]!Table1[Ionic resistance 10 mM KOH/Ohm cm2],"",0)</f>
        <v>#REF!</v>
      </c>
      <c r="AI2078" s="69" t="e" cm="1">
        <f t="array" ref="AI2078">_xlfn.XLOOKUP(Table1[[#This Row],[5 cm2 cell test code]:[5 cm2 cell test code]],[1]!Table1[[Test code]:[Test code]],[1]!Table1[Q_int_frac DIW 10 mM KOH],"",0)</f>
        <v>#REF!</v>
      </c>
      <c r="AJ2078" s="69" t="e" cm="1">
        <f t="array" ref="AJ2078">_xlfn.XLOOKUP(Table1[[#This Row],[5 cm2 cell test code]:[5 cm2 cell test code]],[1]!Table1[[Test code]:[Test code]],[1]!Table1[DIW conductivity (µS/cm)],"",0)</f>
        <v>#REF!</v>
      </c>
    </row>
    <row r="2079" spans="1:36">
      <c r="A2079" s="81"/>
      <c r="U2079" s="101"/>
      <c r="V2079" s="101"/>
      <c r="W2079" s="69" t="e" cm="1">
        <f t="array" ref="W2079">_xlfn.XLOOKUP(Table1[[#This Row],[5 cm2 cell test code]:[5 cm2 cell test code]],[1]!Table1[[Test code]:[Test code]],[1]!Table1[i @ 1.8 V DIW (A/cm2)],"",0)</f>
        <v>#REF!</v>
      </c>
      <c r="X2079" s="69" t="e" cm="1">
        <f t="array" ref="X2079">_xlfn.XLOOKUP(Table1[[#This Row],[5 cm2 cell test code]:[5 cm2 cell test code]],[1]!Table1[[Test code]:[Test code]],[1]!Table1[i @ 1.8 V 10 mM KOH (A/cm2)],"",0)</f>
        <v>#REF!</v>
      </c>
      <c r="Y2079" s="69" t="e" cm="1">
        <f t="array" ref="Y2079">_xlfn.XLOOKUP(Table1[[#This Row],[5 cm2 cell test code]:[5 cm2 cell test code]],[1]!Table1[[Test code]:[Test code]],[1]!Table1[3-E ƞ at 20mAcm-2 (mV)],"",0)</f>
        <v>#REF!</v>
      </c>
      <c r="Z2079" s="69" t="e" cm="1">
        <f t="array" ref="Z2079">_xlfn.XLOOKUP(Table1[[#This Row],[5 cm2 cell test code]:[5 cm2 cell test code]],[1]!Table1[[Test code]:[Test code]],[1]!Table1[3-E Tafel slope (mV/dec)],"",0)</f>
        <v>#REF!</v>
      </c>
      <c r="AA2079" s="69" t="e" cm="1">
        <f t="array" ref="AA2079">_xlfn.XLOOKUP(Table1[[#This Row],[5 cm2 cell test code]:[5 cm2 cell test code]],[1]!Table1[[Test code]:[Test code]],[1]!Table1[E @ 100 mA/cm2 DIW/V],"",0)</f>
        <v>#REF!</v>
      </c>
      <c r="AB2079" s="69" t="e" cm="1">
        <f t="array" ref="AB2079">_xlfn.XLOOKUP(Table1[[#This Row],[5 cm2 cell test code]:[5 cm2 cell test code]],[1]!Table1[[Test code]:[Test code]],[1]!Table1[E @ 100 mA/cm2 10 mM KOH/V],"",0)</f>
        <v>#REF!</v>
      </c>
      <c r="AC2079" s="69" t="e" cm="1">
        <f t="array" ref="AC2079">_xlfn.XLOOKUP(Table1[[#This Row],[5 cm2 cell test code]:[5 cm2 cell test code]],[1]!Table1[[Test code]:[Test code]],[1]!Table1[Anode ICR/mOhm],"",0)</f>
        <v>#REF!</v>
      </c>
      <c r="AD2079" s="69" t="e" cm="1">
        <f t="array" ref="AD2079">_xlfn.XLOOKUP(Table1[[#This Row],[5 cm2 cell test code]:[5 cm2 cell test code]],[1]!Table1[[Test code]:[Test code]],[1]!Table1[HFR DIW/ mOhm cm2],"",0)</f>
        <v>#REF!</v>
      </c>
      <c r="AE2079" s="69" t="e" cm="1">
        <f t="array" ref="AE2079">_xlfn.XLOOKUP(Table1[[#This Row],[5 cm2 cell test code]:[5 cm2 cell test code]],[1]!Table1[[Test code]:[Test code]],[1]!Table1[HFR 10 mM KOH/ mOhm cm2],"",0)</f>
        <v>#REF!</v>
      </c>
      <c r="AF2079" s="69" t="e" cm="1">
        <f t="array" ref="AF2079">_xlfn.XLOOKUP(Table1[[#This Row],[5 cm2 cell test code]:[5 cm2 cell test code]],[1]!Table1[[Test code]:[Test code]],[1]!Table1[Ionic resistance DIW/Ohm cm2],"",0)</f>
        <v>#REF!</v>
      </c>
      <c r="AG2079" s="69" t="e" cm="1">
        <f t="array" ref="AG2079">_xlfn.XLOOKUP(Table1[[#This Row],[5 cm2 cell test code]:[5 cm2 cell test code]],[1]!Table1[[Test code]:[Test code]],[1]!Table1[Q_int_frac DIW],"",0)</f>
        <v>#REF!</v>
      </c>
      <c r="AH2079" s="69" t="e" cm="1">
        <f t="array" ref="AH2079">_xlfn.XLOOKUP(Table1[[#This Row],[5 cm2 cell test code]:[5 cm2 cell test code]],[1]!Table1[[Test code]:[Test code]],[1]!Table1[Ionic resistance 10 mM KOH/Ohm cm2],"",0)</f>
        <v>#REF!</v>
      </c>
      <c r="AI2079" s="69" t="e" cm="1">
        <f t="array" ref="AI2079">_xlfn.XLOOKUP(Table1[[#This Row],[5 cm2 cell test code]:[5 cm2 cell test code]],[1]!Table1[[Test code]:[Test code]],[1]!Table1[Q_int_frac DIW 10 mM KOH],"",0)</f>
        <v>#REF!</v>
      </c>
      <c r="AJ2079" s="69" t="e" cm="1">
        <f t="array" ref="AJ2079">_xlfn.XLOOKUP(Table1[[#This Row],[5 cm2 cell test code]:[5 cm2 cell test code]],[1]!Table1[[Test code]:[Test code]],[1]!Table1[DIW conductivity (µS/cm)],"",0)</f>
        <v>#REF!</v>
      </c>
    </row>
    <row r="2080" spans="1:36">
      <c r="A2080" s="81"/>
      <c r="U2080" s="101"/>
      <c r="V2080" s="101"/>
      <c r="W2080" s="69" t="e" cm="1">
        <f t="array" ref="W2080">_xlfn.XLOOKUP(Table1[[#This Row],[5 cm2 cell test code]:[5 cm2 cell test code]],[1]!Table1[[Test code]:[Test code]],[1]!Table1[i @ 1.8 V DIW (A/cm2)],"",0)</f>
        <v>#REF!</v>
      </c>
      <c r="X2080" s="69" t="e" cm="1">
        <f t="array" ref="X2080">_xlfn.XLOOKUP(Table1[[#This Row],[5 cm2 cell test code]:[5 cm2 cell test code]],[1]!Table1[[Test code]:[Test code]],[1]!Table1[i @ 1.8 V 10 mM KOH (A/cm2)],"",0)</f>
        <v>#REF!</v>
      </c>
      <c r="Y2080" s="69" t="e" cm="1">
        <f t="array" ref="Y2080">_xlfn.XLOOKUP(Table1[[#This Row],[5 cm2 cell test code]:[5 cm2 cell test code]],[1]!Table1[[Test code]:[Test code]],[1]!Table1[3-E ƞ at 20mAcm-2 (mV)],"",0)</f>
        <v>#REF!</v>
      </c>
      <c r="Z2080" s="69" t="e" cm="1">
        <f t="array" ref="Z2080">_xlfn.XLOOKUP(Table1[[#This Row],[5 cm2 cell test code]:[5 cm2 cell test code]],[1]!Table1[[Test code]:[Test code]],[1]!Table1[3-E Tafel slope (mV/dec)],"",0)</f>
        <v>#REF!</v>
      </c>
      <c r="AA2080" s="69" t="e" cm="1">
        <f t="array" ref="AA2080">_xlfn.XLOOKUP(Table1[[#This Row],[5 cm2 cell test code]:[5 cm2 cell test code]],[1]!Table1[[Test code]:[Test code]],[1]!Table1[E @ 100 mA/cm2 DIW/V],"",0)</f>
        <v>#REF!</v>
      </c>
      <c r="AB2080" s="69" t="e" cm="1">
        <f t="array" ref="AB2080">_xlfn.XLOOKUP(Table1[[#This Row],[5 cm2 cell test code]:[5 cm2 cell test code]],[1]!Table1[[Test code]:[Test code]],[1]!Table1[E @ 100 mA/cm2 10 mM KOH/V],"",0)</f>
        <v>#REF!</v>
      </c>
      <c r="AC2080" s="69" t="e" cm="1">
        <f t="array" ref="AC2080">_xlfn.XLOOKUP(Table1[[#This Row],[5 cm2 cell test code]:[5 cm2 cell test code]],[1]!Table1[[Test code]:[Test code]],[1]!Table1[Anode ICR/mOhm],"",0)</f>
        <v>#REF!</v>
      </c>
      <c r="AD2080" s="69" t="e" cm="1">
        <f t="array" ref="AD2080">_xlfn.XLOOKUP(Table1[[#This Row],[5 cm2 cell test code]:[5 cm2 cell test code]],[1]!Table1[[Test code]:[Test code]],[1]!Table1[HFR DIW/ mOhm cm2],"",0)</f>
        <v>#REF!</v>
      </c>
      <c r="AE2080" s="69" t="e" cm="1">
        <f t="array" ref="AE2080">_xlfn.XLOOKUP(Table1[[#This Row],[5 cm2 cell test code]:[5 cm2 cell test code]],[1]!Table1[[Test code]:[Test code]],[1]!Table1[HFR 10 mM KOH/ mOhm cm2],"",0)</f>
        <v>#REF!</v>
      </c>
      <c r="AF2080" s="69" t="e" cm="1">
        <f t="array" ref="AF2080">_xlfn.XLOOKUP(Table1[[#This Row],[5 cm2 cell test code]:[5 cm2 cell test code]],[1]!Table1[[Test code]:[Test code]],[1]!Table1[Ionic resistance DIW/Ohm cm2],"",0)</f>
        <v>#REF!</v>
      </c>
      <c r="AG2080" s="69" t="e" cm="1">
        <f t="array" ref="AG2080">_xlfn.XLOOKUP(Table1[[#This Row],[5 cm2 cell test code]:[5 cm2 cell test code]],[1]!Table1[[Test code]:[Test code]],[1]!Table1[Q_int_frac DIW],"",0)</f>
        <v>#REF!</v>
      </c>
      <c r="AH2080" s="69" t="e" cm="1">
        <f t="array" ref="AH2080">_xlfn.XLOOKUP(Table1[[#This Row],[5 cm2 cell test code]:[5 cm2 cell test code]],[1]!Table1[[Test code]:[Test code]],[1]!Table1[Ionic resistance 10 mM KOH/Ohm cm2],"",0)</f>
        <v>#REF!</v>
      </c>
      <c r="AI2080" s="69" t="e" cm="1">
        <f t="array" ref="AI2080">_xlfn.XLOOKUP(Table1[[#This Row],[5 cm2 cell test code]:[5 cm2 cell test code]],[1]!Table1[[Test code]:[Test code]],[1]!Table1[Q_int_frac DIW 10 mM KOH],"",0)</f>
        <v>#REF!</v>
      </c>
      <c r="AJ2080" s="69" t="e" cm="1">
        <f t="array" ref="AJ2080">_xlfn.XLOOKUP(Table1[[#This Row],[5 cm2 cell test code]:[5 cm2 cell test code]],[1]!Table1[[Test code]:[Test code]],[1]!Table1[DIW conductivity (µS/cm)],"",0)</f>
        <v>#REF!</v>
      </c>
    </row>
    <row r="2081" spans="1:36">
      <c r="A2081" s="81"/>
      <c r="U2081" s="101"/>
      <c r="V2081" s="101"/>
      <c r="W2081" s="69" t="e" cm="1">
        <f t="array" ref="W2081">_xlfn.XLOOKUP(Table1[[#This Row],[5 cm2 cell test code]:[5 cm2 cell test code]],[1]!Table1[[Test code]:[Test code]],[1]!Table1[i @ 1.8 V DIW (A/cm2)],"",0)</f>
        <v>#REF!</v>
      </c>
      <c r="X2081" s="69" t="e" cm="1">
        <f t="array" ref="X2081">_xlfn.XLOOKUP(Table1[[#This Row],[5 cm2 cell test code]:[5 cm2 cell test code]],[1]!Table1[[Test code]:[Test code]],[1]!Table1[i @ 1.8 V 10 mM KOH (A/cm2)],"",0)</f>
        <v>#REF!</v>
      </c>
      <c r="Y2081" s="69" t="e" cm="1">
        <f t="array" ref="Y2081">_xlfn.XLOOKUP(Table1[[#This Row],[5 cm2 cell test code]:[5 cm2 cell test code]],[1]!Table1[[Test code]:[Test code]],[1]!Table1[3-E ƞ at 20mAcm-2 (mV)],"",0)</f>
        <v>#REF!</v>
      </c>
      <c r="Z2081" s="69" t="e" cm="1">
        <f t="array" ref="Z2081">_xlfn.XLOOKUP(Table1[[#This Row],[5 cm2 cell test code]:[5 cm2 cell test code]],[1]!Table1[[Test code]:[Test code]],[1]!Table1[3-E Tafel slope (mV/dec)],"",0)</f>
        <v>#REF!</v>
      </c>
      <c r="AA2081" s="69" t="e" cm="1">
        <f t="array" ref="AA2081">_xlfn.XLOOKUP(Table1[[#This Row],[5 cm2 cell test code]:[5 cm2 cell test code]],[1]!Table1[[Test code]:[Test code]],[1]!Table1[E @ 100 mA/cm2 DIW/V],"",0)</f>
        <v>#REF!</v>
      </c>
      <c r="AB2081" s="69" t="e" cm="1">
        <f t="array" ref="AB2081">_xlfn.XLOOKUP(Table1[[#This Row],[5 cm2 cell test code]:[5 cm2 cell test code]],[1]!Table1[[Test code]:[Test code]],[1]!Table1[E @ 100 mA/cm2 10 mM KOH/V],"",0)</f>
        <v>#REF!</v>
      </c>
      <c r="AC2081" s="69" t="e" cm="1">
        <f t="array" ref="AC2081">_xlfn.XLOOKUP(Table1[[#This Row],[5 cm2 cell test code]:[5 cm2 cell test code]],[1]!Table1[[Test code]:[Test code]],[1]!Table1[Anode ICR/mOhm],"",0)</f>
        <v>#REF!</v>
      </c>
      <c r="AD2081" s="69" t="e" cm="1">
        <f t="array" ref="AD2081">_xlfn.XLOOKUP(Table1[[#This Row],[5 cm2 cell test code]:[5 cm2 cell test code]],[1]!Table1[[Test code]:[Test code]],[1]!Table1[HFR DIW/ mOhm cm2],"",0)</f>
        <v>#REF!</v>
      </c>
      <c r="AE2081" s="69" t="e" cm="1">
        <f t="array" ref="AE2081">_xlfn.XLOOKUP(Table1[[#This Row],[5 cm2 cell test code]:[5 cm2 cell test code]],[1]!Table1[[Test code]:[Test code]],[1]!Table1[HFR 10 mM KOH/ mOhm cm2],"",0)</f>
        <v>#REF!</v>
      </c>
      <c r="AF2081" s="69" t="e" cm="1">
        <f t="array" ref="AF2081">_xlfn.XLOOKUP(Table1[[#This Row],[5 cm2 cell test code]:[5 cm2 cell test code]],[1]!Table1[[Test code]:[Test code]],[1]!Table1[Ionic resistance DIW/Ohm cm2],"",0)</f>
        <v>#REF!</v>
      </c>
      <c r="AG2081" s="69" t="e" cm="1">
        <f t="array" ref="AG2081">_xlfn.XLOOKUP(Table1[[#This Row],[5 cm2 cell test code]:[5 cm2 cell test code]],[1]!Table1[[Test code]:[Test code]],[1]!Table1[Q_int_frac DIW],"",0)</f>
        <v>#REF!</v>
      </c>
      <c r="AH2081" s="69" t="e" cm="1">
        <f t="array" ref="AH2081">_xlfn.XLOOKUP(Table1[[#This Row],[5 cm2 cell test code]:[5 cm2 cell test code]],[1]!Table1[[Test code]:[Test code]],[1]!Table1[Ionic resistance 10 mM KOH/Ohm cm2],"",0)</f>
        <v>#REF!</v>
      </c>
      <c r="AI2081" s="69" t="e" cm="1">
        <f t="array" ref="AI2081">_xlfn.XLOOKUP(Table1[[#This Row],[5 cm2 cell test code]:[5 cm2 cell test code]],[1]!Table1[[Test code]:[Test code]],[1]!Table1[Q_int_frac DIW 10 mM KOH],"",0)</f>
        <v>#REF!</v>
      </c>
      <c r="AJ2081" s="69" t="e" cm="1">
        <f t="array" ref="AJ2081">_xlfn.XLOOKUP(Table1[[#This Row],[5 cm2 cell test code]:[5 cm2 cell test code]],[1]!Table1[[Test code]:[Test code]],[1]!Table1[DIW conductivity (µS/cm)],"",0)</f>
        <v>#REF!</v>
      </c>
    </row>
    <row r="2082" spans="1:36">
      <c r="A2082" s="81"/>
      <c r="U2082" s="101"/>
      <c r="V2082" s="101"/>
      <c r="W2082" s="69" t="e" cm="1">
        <f t="array" ref="W2082">_xlfn.XLOOKUP(Table1[[#This Row],[5 cm2 cell test code]:[5 cm2 cell test code]],[1]!Table1[[Test code]:[Test code]],[1]!Table1[i @ 1.8 V DIW (A/cm2)],"",0)</f>
        <v>#REF!</v>
      </c>
      <c r="X2082" s="69" t="e" cm="1">
        <f t="array" ref="X2082">_xlfn.XLOOKUP(Table1[[#This Row],[5 cm2 cell test code]:[5 cm2 cell test code]],[1]!Table1[[Test code]:[Test code]],[1]!Table1[i @ 1.8 V 10 mM KOH (A/cm2)],"",0)</f>
        <v>#REF!</v>
      </c>
      <c r="Y2082" s="69" t="e" cm="1">
        <f t="array" ref="Y2082">_xlfn.XLOOKUP(Table1[[#This Row],[5 cm2 cell test code]:[5 cm2 cell test code]],[1]!Table1[[Test code]:[Test code]],[1]!Table1[3-E ƞ at 20mAcm-2 (mV)],"",0)</f>
        <v>#REF!</v>
      </c>
      <c r="Z2082" s="69" t="e" cm="1">
        <f t="array" ref="Z2082">_xlfn.XLOOKUP(Table1[[#This Row],[5 cm2 cell test code]:[5 cm2 cell test code]],[1]!Table1[[Test code]:[Test code]],[1]!Table1[3-E Tafel slope (mV/dec)],"",0)</f>
        <v>#REF!</v>
      </c>
      <c r="AA2082" s="69" t="e" cm="1">
        <f t="array" ref="AA2082">_xlfn.XLOOKUP(Table1[[#This Row],[5 cm2 cell test code]:[5 cm2 cell test code]],[1]!Table1[[Test code]:[Test code]],[1]!Table1[E @ 100 mA/cm2 DIW/V],"",0)</f>
        <v>#REF!</v>
      </c>
      <c r="AB2082" s="69" t="e" cm="1">
        <f t="array" ref="AB2082">_xlfn.XLOOKUP(Table1[[#This Row],[5 cm2 cell test code]:[5 cm2 cell test code]],[1]!Table1[[Test code]:[Test code]],[1]!Table1[E @ 100 mA/cm2 10 mM KOH/V],"",0)</f>
        <v>#REF!</v>
      </c>
      <c r="AC2082" s="69" t="e" cm="1">
        <f t="array" ref="AC2082">_xlfn.XLOOKUP(Table1[[#This Row],[5 cm2 cell test code]:[5 cm2 cell test code]],[1]!Table1[[Test code]:[Test code]],[1]!Table1[Anode ICR/mOhm],"",0)</f>
        <v>#REF!</v>
      </c>
      <c r="AD2082" s="69" t="e" cm="1">
        <f t="array" ref="AD2082">_xlfn.XLOOKUP(Table1[[#This Row],[5 cm2 cell test code]:[5 cm2 cell test code]],[1]!Table1[[Test code]:[Test code]],[1]!Table1[HFR DIW/ mOhm cm2],"",0)</f>
        <v>#REF!</v>
      </c>
      <c r="AE2082" s="69" t="e" cm="1">
        <f t="array" ref="AE2082">_xlfn.XLOOKUP(Table1[[#This Row],[5 cm2 cell test code]:[5 cm2 cell test code]],[1]!Table1[[Test code]:[Test code]],[1]!Table1[HFR 10 mM KOH/ mOhm cm2],"",0)</f>
        <v>#REF!</v>
      </c>
      <c r="AF2082" s="69" t="e" cm="1">
        <f t="array" ref="AF2082">_xlfn.XLOOKUP(Table1[[#This Row],[5 cm2 cell test code]:[5 cm2 cell test code]],[1]!Table1[[Test code]:[Test code]],[1]!Table1[Ionic resistance DIW/Ohm cm2],"",0)</f>
        <v>#REF!</v>
      </c>
      <c r="AG2082" s="69" t="e" cm="1">
        <f t="array" ref="AG2082">_xlfn.XLOOKUP(Table1[[#This Row],[5 cm2 cell test code]:[5 cm2 cell test code]],[1]!Table1[[Test code]:[Test code]],[1]!Table1[Q_int_frac DIW],"",0)</f>
        <v>#REF!</v>
      </c>
      <c r="AH2082" s="69" t="e" cm="1">
        <f t="array" ref="AH2082">_xlfn.XLOOKUP(Table1[[#This Row],[5 cm2 cell test code]:[5 cm2 cell test code]],[1]!Table1[[Test code]:[Test code]],[1]!Table1[Ionic resistance 10 mM KOH/Ohm cm2],"",0)</f>
        <v>#REF!</v>
      </c>
      <c r="AI2082" s="69" t="e" cm="1">
        <f t="array" ref="AI2082">_xlfn.XLOOKUP(Table1[[#This Row],[5 cm2 cell test code]:[5 cm2 cell test code]],[1]!Table1[[Test code]:[Test code]],[1]!Table1[Q_int_frac DIW 10 mM KOH],"",0)</f>
        <v>#REF!</v>
      </c>
      <c r="AJ2082" s="69" t="e" cm="1">
        <f t="array" ref="AJ2082">_xlfn.XLOOKUP(Table1[[#This Row],[5 cm2 cell test code]:[5 cm2 cell test code]],[1]!Table1[[Test code]:[Test code]],[1]!Table1[DIW conductivity (µS/cm)],"",0)</f>
        <v>#REF!</v>
      </c>
    </row>
    <row r="2083" spans="1:36">
      <c r="A2083" s="81"/>
      <c r="U2083" s="101"/>
      <c r="V2083" s="101"/>
      <c r="W2083" s="69" t="e" cm="1">
        <f t="array" ref="W2083">_xlfn.XLOOKUP(Table1[[#This Row],[5 cm2 cell test code]:[5 cm2 cell test code]],[1]!Table1[[Test code]:[Test code]],[1]!Table1[i @ 1.8 V DIW (A/cm2)],"",0)</f>
        <v>#REF!</v>
      </c>
      <c r="X2083" s="69" t="e" cm="1">
        <f t="array" ref="X2083">_xlfn.XLOOKUP(Table1[[#This Row],[5 cm2 cell test code]:[5 cm2 cell test code]],[1]!Table1[[Test code]:[Test code]],[1]!Table1[i @ 1.8 V 10 mM KOH (A/cm2)],"",0)</f>
        <v>#REF!</v>
      </c>
      <c r="Y2083" s="69" t="e" cm="1">
        <f t="array" ref="Y2083">_xlfn.XLOOKUP(Table1[[#This Row],[5 cm2 cell test code]:[5 cm2 cell test code]],[1]!Table1[[Test code]:[Test code]],[1]!Table1[3-E ƞ at 20mAcm-2 (mV)],"",0)</f>
        <v>#REF!</v>
      </c>
      <c r="Z2083" s="69" t="e" cm="1">
        <f t="array" ref="Z2083">_xlfn.XLOOKUP(Table1[[#This Row],[5 cm2 cell test code]:[5 cm2 cell test code]],[1]!Table1[[Test code]:[Test code]],[1]!Table1[3-E Tafel slope (mV/dec)],"",0)</f>
        <v>#REF!</v>
      </c>
      <c r="AA2083" s="69" t="e" cm="1">
        <f t="array" ref="AA2083">_xlfn.XLOOKUP(Table1[[#This Row],[5 cm2 cell test code]:[5 cm2 cell test code]],[1]!Table1[[Test code]:[Test code]],[1]!Table1[E @ 100 mA/cm2 DIW/V],"",0)</f>
        <v>#REF!</v>
      </c>
      <c r="AB2083" s="69" t="e" cm="1">
        <f t="array" ref="AB2083">_xlfn.XLOOKUP(Table1[[#This Row],[5 cm2 cell test code]:[5 cm2 cell test code]],[1]!Table1[[Test code]:[Test code]],[1]!Table1[E @ 100 mA/cm2 10 mM KOH/V],"",0)</f>
        <v>#REF!</v>
      </c>
      <c r="AC2083" s="69" t="e" cm="1">
        <f t="array" ref="AC2083">_xlfn.XLOOKUP(Table1[[#This Row],[5 cm2 cell test code]:[5 cm2 cell test code]],[1]!Table1[[Test code]:[Test code]],[1]!Table1[Anode ICR/mOhm],"",0)</f>
        <v>#REF!</v>
      </c>
      <c r="AD2083" s="69" t="e" cm="1">
        <f t="array" ref="AD2083">_xlfn.XLOOKUP(Table1[[#This Row],[5 cm2 cell test code]:[5 cm2 cell test code]],[1]!Table1[[Test code]:[Test code]],[1]!Table1[HFR DIW/ mOhm cm2],"",0)</f>
        <v>#REF!</v>
      </c>
      <c r="AE2083" s="69" t="e" cm="1">
        <f t="array" ref="AE2083">_xlfn.XLOOKUP(Table1[[#This Row],[5 cm2 cell test code]:[5 cm2 cell test code]],[1]!Table1[[Test code]:[Test code]],[1]!Table1[HFR 10 mM KOH/ mOhm cm2],"",0)</f>
        <v>#REF!</v>
      </c>
      <c r="AF2083" s="69" t="e" cm="1">
        <f t="array" ref="AF2083">_xlfn.XLOOKUP(Table1[[#This Row],[5 cm2 cell test code]:[5 cm2 cell test code]],[1]!Table1[[Test code]:[Test code]],[1]!Table1[Ionic resistance DIW/Ohm cm2],"",0)</f>
        <v>#REF!</v>
      </c>
      <c r="AG2083" s="69" t="e" cm="1">
        <f t="array" ref="AG2083">_xlfn.XLOOKUP(Table1[[#This Row],[5 cm2 cell test code]:[5 cm2 cell test code]],[1]!Table1[[Test code]:[Test code]],[1]!Table1[Q_int_frac DIW],"",0)</f>
        <v>#REF!</v>
      </c>
      <c r="AH2083" s="69" t="e" cm="1">
        <f t="array" ref="AH2083">_xlfn.XLOOKUP(Table1[[#This Row],[5 cm2 cell test code]:[5 cm2 cell test code]],[1]!Table1[[Test code]:[Test code]],[1]!Table1[Ionic resistance 10 mM KOH/Ohm cm2],"",0)</f>
        <v>#REF!</v>
      </c>
      <c r="AI2083" s="69" t="e" cm="1">
        <f t="array" ref="AI2083">_xlfn.XLOOKUP(Table1[[#This Row],[5 cm2 cell test code]:[5 cm2 cell test code]],[1]!Table1[[Test code]:[Test code]],[1]!Table1[Q_int_frac DIW 10 mM KOH],"",0)</f>
        <v>#REF!</v>
      </c>
      <c r="AJ2083" s="69" t="e" cm="1">
        <f t="array" ref="AJ2083">_xlfn.XLOOKUP(Table1[[#This Row],[5 cm2 cell test code]:[5 cm2 cell test code]],[1]!Table1[[Test code]:[Test code]],[1]!Table1[DIW conductivity (µS/cm)],"",0)</f>
        <v>#REF!</v>
      </c>
    </row>
    <row r="2084" spans="1:36">
      <c r="A2084" s="81"/>
      <c r="U2084" s="101"/>
      <c r="V2084" s="101"/>
      <c r="W2084" s="69" t="e" cm="1">
        <f t="array" ref="W2084">_xlfn.XLOOKUP(Table1[[#This Row],[5 cm2 cell test code]:[5 cm2 cell test code]],[1]!Table1[[Test code]:[Test code]],[1]!Table1[i @ 1.8 V DIW (A/cm2)],"",0)</f>
        <v>#REF!</v>
      </c>
      <c r="X2084" s="69" t="e" cm="1">
        <f t="array" ref="X2084">_xlfn.XLOOKUP(Table1[[#This Row],[5 cm2 cell test code]:[5 cm2 cell test code]],[1]!Table1[[Test code]:[Test code]],[1]!Table1[i @ 1.8 V 10 mM KOH (A/cm2)],"",0)</f>
        <v>#REF!</v>
      </c>
      <c r="Y2084" s="69" t="e" cm="1">
        <f t="array" ref="Y2084">_xlfn.XLOOKUP(Table1[[#This Row],[5 cm2 cell test code]:[5 cm2 cell test code]],[1]!Table1[[Test code]:[Test code]],[1]!Table1[3-E ƞ at 20mAcm-2 (mV)],"",0)</f>
        <v>#REF!</v>
      </c>
      <c r="Z2084" s="69" t="e" cm="1">
        <f t="array" ref="Z2084">_xlfn.XLOOKUP(Table1[[#This Row],[5 cm2 cell test code]:[5 cm2 cell test code]],[1]!Table1[[Test code]:[Test code]],[1]!Table1[3-E Tafel slope (mV/dec)],"",0)</f>
        <v>#REF!</v>
      </c>
      <c r="AA2084" s="69" t="e" cm="1">
        <f t="array" ref="AA2084">_xlfn.XLOOKUP(Table1[[#This Row],[5 cm2 cell test code]:[5 cm2 cell test code]],[1]!Table1[[Test code]:[Test code]],[1]!Table1[E @ 100 mA/cm2 DIW/V],"",0)</f>
        <v>#REF!</v>
      </c>
      <c r="AB2084" s="69" t="e" cm="1">
        <f t="array" ref="AB2084">_xlfn.XLOOKUP(Table1[[#This Row],[5 cm2 cell test code]:[5 cm2 cell test code]],[1]!Table1[[Test code]:[Test code]],[1]!Table1[E @ 100 mA/cm2 10 mM KOH/V],"",0)</f>
        <v>#REF!</v>
      </c>
      <c r="AC2084" s="69" t="e" cm="1">
        <f t="array" ref="AC2084">_xlfn.XLOOKUP(Table1[[#This Row],[5 cm2 cell test code]:[5 cm2 cell test code]],[1]!Table1[[Test code]:[Test code]],[1]!Table1[Anode ICR/mOhm],"",0)</f>
        <v>#REF!</v>
      </c>
      <c r="AD2084" s="69" t="e" cm="1">
        <f t="array" ref="AD2084">_xlfn.XLOOKUP(Table1[[#This Row],[5 cm2 cell test code]:[5 cm2 cell test code]],[1]!Table1[[Test code]:[Test code]],[1]!Table1[HFR DIW/ mOhm cm2],"",0)</f>
        <v>#REF!</v>
      </c>
      <c r="AE2084" s="69" t="e" cm="1">
        <f t="array" ref="AE2084">_xlfn.XLOOKUP(Table1[[#This Row],[5 cm2 cell test code]:[5 cm2 cell test code]],[1]!Table1[[Test code]:[Test code]],[1]!Table1[HFR 10 mM KOH/ mOhm cm2],"",0)</f>
        <v>#REF!</v>
      </c>
      <c r="AF2084" s="69" t="e" cm="1">
        <f t="array" ref="AF2084">_xlfn.XLOOKUP(Table1[[#This Row],[5 cm2 cell test code]:[5 cm2 cell test code]],[1]!Table1[[Test code]:[Test code]],[1]!Table1[Ionic resistance DIW/Ohm cm2],"",0)</f>
        <v>#REF!</v>
      </c>
      <c r="AG2084" s="69" t="e" cm="1">
        <f t="array" ref="AG2084">_xlfn.XLOOKUP(Table1[[#This Row],[5 cm2 cell test code]:[5 cm2 cell test code]],[1]!Table1[[Test code]:[Test code]],[1]!Table1[Q_int_frac DIW],"",0)</f>
        <v>#REF!</v>
      </c>
      <c r="AH2084" s="69" t="e" cm="1">
        <f t="array" ref="AH2084">_xlfn.XLOOKUP(Table1[[#This Row],[5 cm2 cell test code]:[5 cm2 cell test code]],[1]!Table1[[Test code]:[Test code]],[1]!Table1[Ionic resistance 10 mM KOH/Ohm cm2],"",0)</f>
        <v>#REF!</v>
      </c>
      <c r="AI2084" s="69" t="e" cm="1">
        <f t="array" ref="AI2084">_xlfn.XLOOKUP(Table1[[#This Row],[5 cm2 cell test code]:[5 cm2 cell test code]],[1]!Table1[[Test code]:[Test code]],[1]!Table1[Q_int_frac DIW 10 mM KOH],"",0)</f>
        <v>#REF!</v>
      </c>
      <c r="AJ2084" s="69" t="e" cm="1">
        <f t="array" ref="AJ2084">_xlfn.XLOOKUP(Table1[[#This Row],[5 cm2 cell test code]:[5 cm2 cell test code]],[1]!Table1[[Test code]:[Test code]],[1]!Table1[DIW conductivity (µS/cm)],"",0)</f>
        <v>#REF!</v>
      </c>
    </row>
    <row r="2085" spans="1:36">
      <c r="A2085" s="81"/>
      <c r="U2085" s="101"/>
      <c r="V2085" s="101"/>
      <c r="W2085" s="69" t="e" cm="1">
        <f t="array" ref="W2085">_xlfn.XLOOKUP(Table1[[#This Row],[5 cm2 cell test code]:[5 cm2 cell test code]],[1]!Table1[[Test code]:[Test code]],[1]!Table1[i @ 1.8 V DIW (A/cm2)],"",0)</f>
        <v>#REF!</v>
      </c>
      <c r="X2085" s="69" t="e" cm="1">
        <f t="array" ref="X2085">_xlfn.XLOOKUP(Table1[[#This Row],[5 cm2 cell test code]:[5 cm2 cell test code]],[1]!Table1[[Test code]:[Test code]],[1]!Table1[i @ 1.8 V 10 mM KOH (A/cm2)],"",0)</f>
        <v>#REF!</v>
      </c>
      <c r="Y2085" s="69" t="e" cm="1">
        <f t="array" ref="Y2085">_xlfn.XLOOKUP(Table1[[#This Row],[5 cm2 cell test code]:[5 cm2 cell test code]],[1]!Table1[[Test code]:[Test code]],[1]!Table1[3-E ƞ at 20mAcm-2 (mV)],"",0)</f>
        <v>#REF!</v>
      </c>
      <c r="Z2085" s="69" t="e" cm="1">
        <f t="array" ref="Z2085">_xlfn.XLOOKUP(Table1[[#This Row],[5 cm2 cell test code]:[5 cm2 cell test code]],[1]!Table1[[Test code]:[Test code]],[1]!Table1[3-E Tafel slope (mV/dec)],"",0)</f>
        <v>#REF!</v>
      </c>
      <c r="AA2085" s="69" t="e" cm="1">
        <f t="array" ref="AA2085">_xlfn.XLOOKUP(Table1[[#This Row],[5 cm2 cell test code]:[5 cm2 cell test code]],[1]!Table1[[Test code]:[Test code]],[1]!Table1[E @ 100 mA/cm2 DIW/V],"",0)</f>
        <v>#REF!</v>
      </c>
      <c r="AB2085" s="69" t="e" cm="1">
        <f t="array" ref="AB2085">_xlfn.XLOOKUP(Table1[[#This Row],[5 cm2 cell test code]:[5 cm2 cell test code]],[1]!Table1[[Test code]:[Test code]],[1]!Table1[E @ 100 mA/cm2 10 mM KOH/V],"",0)</f>
        <v>#REF!</v>
      </c>
      <c r="AC2085" s="69" t="e" cm="1">
        <f t="array" ref="AC2085">_xlfn.XLOOKUP(Table1[[#This Row],[5 cm2 cell test code]:[5 cm2 cell test code]],[1]!Table1[[Test code]:[Test code]],[1]!Table1[Anode ICR/mOhm],"",0)</f>
        <v>#REF!</v>
      </c>
      <c r="AD2085" s="69" t="e" cm="1">
        <f t="array" ref="AD2085">_xlfn.XLOOKUP(Table1[[#This Row],[5 cm2 cell test code]:[5 cm2 cell test code]],[1]!Table1[[Test code]:[Test code]],[1]!Table1[HFR DIW/ mOhm cm2],"",0)</f>
        <v>#REF!</v>
      </c>
      <c r="AE2085" s="69" t="e" cm="1">
        <f t="array" ref="AE2085">_xlfn.XLOOKUP(Table1[[#This Row],[5 cm2 cell test code]:[5 cm2 cell test code]],[1]!Table1[[Test code]:[Test code]],[1]!Table1[HFR 10 mM KOH/ mOhm cm2],"",0)</f>
        <v>#REF!</v>
      </c>
      <c r="AF2085" s="69" t="e" cm="1">
        <f t="array" ref="AF2085">_xlfn.XLOOKUP(Table1[[#This Row],[5 cm2 cell test code]:[5 cm2 cell test code]],[1]!Table1[[Test code]:[Test code]],[1]!Table1[Ionic resistance DIW/Ohm cm2],"",0)</f>
        <v>#REF!</v>
      </c>
      <c r="AG2085" s="69" t="e" cm="1">
        <f t="array" ref="AG2085">_xlfn.XLOOKUP(Table1[[#This Row],[5 cm2 cell test code]:[5 cm2 cell test code]],[1]!Table1[[Test code]:[Test code]],[1]!Table1[Q_int_frac DIW],"",0)</f>
        <v>#REF!</v>
      </c>
      <c r="AH2085" s="69" t="e" cm="1">
        <f t="array" ref="AH2085">_xlfn.XLOOKUP(Table1[[#This Row],[5 cm2 cell test code]:[5 cm2 cell test code]],[1]!Table1[[Test code]:[Test code]],[1]!Table1[Ionic resistance 10 mM KOH/Ohm cm2],"",0)</f>
        <v>#REF!</v>
      </c>
      <c r="AI2085" s="69" t="e" cm="1">
        <f t="array" ref="AI2085">_xlfn.XLOOKUP(Table1[[#This Row],[5 cm2 cell test code]:[5 cm2 cell test code]],[1]!Table1[[Test code]:[Test code]],[1]!Table1[Q_int_frac DIW 10 mM KOH],"",0)</f>
        <v>#REF!</v>
      </c>
      <c r="AJ2085" s="69" t="e" cm="1">
        <f t="array" ref="AJ2085">_xlfn.XLOOKUP(Table1[[#This Row],[5 cm2 cell test code]:[5 cm2 cell test code]],[1]!Table1[[Test code]:[Test code]],[1]!Table1[DIW conductivity (µS/cm)],"",0)</f>
        <v>#REF!</v>
      </c>
    </row>
    <row r="2086" spans="1:36">
      <c r="A2086" s="81"/>
      <c r="U2086" s="101"/>
      <c r="V2086" s="101"/>
      <c r="W2086" s="69" t="e" cm="1">
        <f t="array" ref="W2086">_xlfn.XLOOKUP(Table1[[#This Row],[5 cm2 cell test code]:[5 cm2 cell test code]],[1]!Table1[[Test code]:[Test code]],[1]!Table1[i @ 1.8 V DIW (A/cm2)],"",0)</f>
        <v>#REF!</v>
      </c>
      <c r="X2086" s="69" t="e" cm="1">
        <f t="array" ref="X2086">_xlfn.XLOOKUP(Table1[[#This Row],[5 cm2 cell test code]:[5 cm2 cell test code]],[1]!Table1[[Test code]:[Test code]],[1]!Table1[i @ 1.8 V 10 mM KOH (A/cm2)],"",0)</f>
        <v>#REF!</v>
      </c>
      <c r="Y2086" s="69" t="e" cm="1">
        <f t="array" ref="Y2086">_xlfn.XLOOKUP(Table1[[#This Row],[5 cm2 cell test code]:[5 cm2 cell test code]],[1]!Table1[[Test code]:[Test code]],[1]!Table1[3-E ƞ at 20mAcm-2 (mV)],"",0)</f>
        <v>#REF!</v>
      </c>
      <c r="Z2086" s="69" t="e" cm="1">
        <f t="array" ref="Z2086">_xlfn.XLOOKUP(Table1[[#This Row],[5 cm2 cell test code]:[5 cm2 cell test code]],[1]!Table1[[Test code]:[Test code]],[1]!Table1[3-E Tafel slope (mV/dec)],"",0)</f>
        <v>#REF!</v>
      </c>
      <c r="AA2086" s="69" t="e" cm="1">
        <f t="array" ref="AA2086">_xlfn.XLOOKUP(Table1[[#This Row],[5 cm2 cell test code]:[5 cm2 cell test code]],[1]!Table1[[Test code]:[Test code]],[1]!Table1[E @ 100 mA/cm2 DIW/V],"",0)</f>
        <v>#REF!</v>
      </c>
      <c r="AB2086" s="69" t="e" cm="1">
        <f t="array" ref="AB2086">_xlfn.XLOOKUP(Table1[[#This Row],[5 cm2 cell test code]:[5 cm2 cell test code]],[1]!Table1[[Test code]:[Test code]],[1]!Table1[E @ 100 mA/cm2 10 mM KOH/V],"",0)</f>
        <v>#REF!</v>
      </c>
      <c r="AC2086" s="69" t="e" cm="1">
        <f t="array" ref="AC2086">_xlfn.XLOOKUP(Table1[[#This Row],[5 cm2 cell test code]:[5 cm2 cell test code]],[1]!Table1[[Test code]:[Test code]],[1]!Table1[Anode ICR/mOhm],"",0)</f>
        <v>#REF!</v>
      </c>
      <c r="AD2086" s="69" t="e" cm="1">
        <f t="array" ref="AD2086">_xlfn.XLOOKUP(Table1[[#This Row],[5 cm2 cell test code]:[5 cm2 cell test code]],[1]!Table1[[Test code]:[Test code]],[1]!Table1[HFR DIW/ mOhm cm2],"",0)</f>
        <v>#REF!</v>
      </c>
      <c r="AE2086" s="69" t="e" cm="1">
        <f t="array" ref="AE2086">_xlfn.XLOOKUP(Table1[[#This Row],[5 cm2 cell test code]:[5 cm2 cell test code]],[1]!Table1[[Test code]:[Test code]],[1]!Table1[HFR 10 mM KOH/ mOhm cm2],"",0)</f>
        <v>#REF!</v>
      </c>
      <c r="AF2086" s="69" t="e" cm="1">
        <f t="array" ref="AF2086">_xlfn.XLOOKUP(Table1[[#This Row],[5 cm2 cell test code]:[5 cm2 cell test code]],[1]!Table1[[Test code]:[Test code]],[1]!Table1[Ionic resistance DIW/Ohm cm2],"",0)</f>
        <v>#REF!</v>
      </c>
      <c r="AG2086" s="69" t="e" cm="1">
        <f t="array" ref="AG2086">_xlfn.XLOOKUP(Table1[[#This Row],[5 cm2 cell test code]:[5 cm2 cell test code]],[1]!Table1[[Test code]:[Test code]],[1]!Table1[Q_int_frac DIW],"",0)</f>
        <v>#REF!</v>
      </c>
      <c r="AH2086" s="69" t="e" cm="1">
        <f t="array" ref="AH2086">_xlfn.XLOOKUP(Table1[[#This Row],[5 cm2 cell test code]:[5 cm2 cell test code]],[1]!Table1[[Test code]:[Test code]],[1]!Table1[Ionic resistance 10 mM KOH/Ohm cm2],"",0)</f>
        <v>#REF!</v>
      </c>
      <c r="AI2086" s="69" t="e" cm="1">
        <f t="array" ref="AI2086">_xlfn.XLOOKUP(Table1[[#This Row],[5 cm2 cell test code]:[5 cm2 cell test code]],[1]!Table1[[Test code]:[Test code]],[1]!Table1[Q_int_frac DIW 10 mM KOH],"",0)</f>
        <v>#REF!</v>
      </c>
      <c r="AJ2086" s="69" t="e" cm="1">
        <f t="array" ref="AJ2086">_xlfn.XLOOKUP(Table1[[#This Row],[5 cm2 cell test code]:[5 cm2 cell test code]],[1]!Table1[[Test code]:[Test code]],[1]!Table1[DIW conductivity (µS/cm)],"",0)</f>
        <v>#REF!</v>
      </c>
    </row>
    <row r="2087" spans="1:36">
      <c r="A2087" s="81"/>
      <c r="U2087" s="101"/>
      <c r="V2087" s="101"/>
      <c r="W2087" s="69" t="e" cm="1">
        <f t="array" ref="W2087">_xlfn.XLOOKUP(Table1[[#This Row],[5 cm2 cell test code]:[5 cm2 cell test code]],[1]!Table1[[Test code]:[Test code]],[1]!Table1[i @ 1.8 V DIW (A/cm2)],"",0)</f>
        <v>#REF!</v>
      </c>
      <c r="X2087" s="69" t="e" cm="1">
        <f t="array" ref="X2087">_xlfn.XLOOKUP(Table1[[#This Row],[5 cm2 cell test code]:[5 cm2 cell test code]],[1]!Table1[[Test code]:[Test code]],[1]!Table1[i @ 1.8 V 10 mM KOH (A/cm2)],"",0)</f>
        <v>#REF!</v>
      </c>
      <c r="Y2087" s="69" t="e" cm="1">
        <f t="array" ref="Y2087">_xlfn.XLOOKUP(Table1[[#This Row],[5 cm2 cell test code]:[5 cm2 cell test code]],[1]!Table1[[Test code]:[Test code]],[1]!Table1[3-E ƞ at 20mAcm-2 (mV)],"",0)</f>
        <v>#REF!</v>
      </c>
      <c r="Z2087" s="69" t="e" cm="1">
        <f t="array" ref="Z2087">_xlfn.XLOOKUP(Table1[[#This Row],[5 cm2 cell test code]:[5 cm2 cell test code]],[1]!Table1[[Test code]:[Test code]],[1]!Table1[3-E Tafel slope (mV/dec)],"",0)</f>
        <v>#REF!</v>
      </c>
      <c r="AA2087" s="69" t="e" cm="1">
        <f t="array" ref="AA2087">_xlfn.XLOOKUP(Table1[[#This Row],[5 cm2 cell test code]:[5 cm2 cell test code]],[1]!Table1[[Test code]:[Test code]],[1]!Table1[E @ 100 mA/cm2 DIW/V],"",0)</f>
        <v>#REF!</v>
      </c>
      <c r="AB2087" s="69" t="e" cm="1">
        <f t="array" ref="AB2087">_xlfn.XLOOKUP(Table1[[#This Row],[5 cm2 cell test code]:[5 cm2 cell test code]],[1]!Table1[[Test code]:[Test code]],[1]!Table1[E @ 100 mA/cm2 10 mM KOH/V],"",0)</f>
        <v>#REF!</v>
      </c>
      <c r="AC2087" s="69" t="e" cm="1">
        <f t="array" ref="AC2087">_xlfn.XLOOKUP(Table1[[#This Row],[5 cm2 cell test code]:[5 cm2 cell test code]],[1]!Table1[[Test code]:[Test code]],[1]!Table1[Anode ICR/mOhm],"",0)</f>
        <v>#REF!</v>
      </c>
      <c r="AD2087" s="69" t="e" cm="1">
        <f t="array" ref="AD2087">_xlfn.XLOOKUP(Table1[[#This Row],[5 cm2 cell test code]:[5 cm2 cell test code]],[1]!Table1[[Test code]:[Test code]],[1]!Table1[HFR DIW/ mOhm cm2],"",0)</f>
        <v>#REF!</v>
      </c>
      <c r="AE2087" s="69" t="e" cm="1">
        <f t="array" ref="AE2087">_xlfn.XLOOKUP(Table1[[#This Row],[5 cm2 cell test code]:[5 cm2 cell test code]],[1]!Table1[[Test code]:[Test code]],[1]!Table1[HFR 10 mM KOH/ mOhm cm2],"",0)</f>
        <v>#REF!</v>
      </c>
      <c r="AF2087" s="69" t="e" cm="1">
        <f t="array" ref="AF2087">_xlfn.XLOOKUP(Table1[[#This Row],[5 cm2 cell test code]:[5 cm2 cell test code]],[1]!Table1[[Test code]:[Test code]],[1]!Table1[Ionic resistance DIW/Ohm cm2],"",0)</f>
        <v>#REF!</v>
      </c>
      <c r="AG2087" s="69" t="e" cm="1">
        <f t="array" ref="AG2087">_xlfn.XLOOKUP(Table1[[#This Row],[5 cm2 cell test code]:[5 cm2 cell test code]],[1]!Table1[[Test code]:[Test code]],[1]!Table1[Q_int_frac DIW],"",0)</f>
        <v>#REF!</v>
      </c>
      <c r="AH2087" s="69" t="e" cm="1">
        <f t="array" ref="AH2087">_xlfn.XLOOKUP(Table1[[#This Row],[5 cm2 cell test code]:[5 cm2 cell test code]],[1]!Table1[[Test code]:[Test code]],[1]!Table1[Ionic resistance 10 mM KOH/Ohm cm2],"",0)</f>
        <v>#REF!</v>
      </c>
      <c r="AI2087" s="69" t="e" cm="1">
        <f t="array" ref="AI2087">_xlfn.XLOOKUP(Table1[[#This Row],[5 cm2 cell test code]:[5 cm2 cell test code]],[1]!Table1[[Test code]:[Test code]],[1]!Table1[Q_int_frac DIW 10 mM KOH],"",0)</f>
        <v>#REF!</v>
      </c>
      <c r="AJ2087" s="69" t="e" cm="1">
        <f t="array" ref="AJ2087">_xlfn.XLOOKUP(Table1[[#This Row],[5 cm2 cell test code]:[5 cm2 cell test code]],[1]!Table1[[Test code]:[Test code]],[1]!Table1[DIW conductivity (µS/cm)],"",0)</f>
        <v>#REF!</v>
      </c>
    </row>
    <row r="2088" spans="1:36">
      <c r="A2088" s="81"/>
      <c r="U2088" s="101"/>
      <c r="V2088" s="101"/>
      <c r="W2088" s="69" t="e" cm="1">
        <f t="array" ref="W2088">_xlfn.XLOOKUP(Table1[[#This Row],[5 cm2 cell test code]:[5 cm2 cell test code]],[1]!Table1[[Test code]:[Test code]],[1]!Table1[i @ 1.8 V DIW (A/cm2)],"",0)</f>
        <v>#REF!</v>
      </c>
      <c r="X2088" s="69" t="e" cm="1">
        <f t="array" ref="X2088">_xlfn.XLOOKUP(Table1[[#This Row],[5 cm2 cell test code]:[5 cm2 cell test code]],[1]!Table1[[Test code]:[Test code]],[1]!Table1[i @ 1.8 V 10 mM KOH (A/cm2)],"",0)</f>
        <v>#REF!</v>
      </c>
      <c r="Y2088" s="69" t="e" cm="1">
        <f t="array" ref="Y2088">_xlfn.XLOOKUP(Table1[[#This Row],[5 cm2 cell test code]:[5 cm2 cell test code]],[1]!Table1[[Test code]:[Test code]],[1]!Table1[3-E ƞ at 20mAcm-2 (mV)],"",0)</f>
        <v>#REF!</v>
      </c>
      <c r="Z2088" s="69" t="e" cm="1">
        <f t="array" ref="Z2088">_xlfn.XLOOKUP(Table1[[#This Row],[5 cm2 cell test code]:[5 cm2 cell test code]],[1]!Table1[[Test code]:[Test code]],[1]!Table1[3-E Tafel slope (mV/dec)],"",0)</f>
        <v>#REF!</v>
      </c>
      <c r="AA2088" s="69" t="e" cm="1">
        <f t="array" ref="AA2088">_xlfn.XLOOKUP(Table1[[#This Row],[5 cm2 cell test code]:[5 cm2 cell test code]],[1]!Table1[[Test code]:[Test code]],[1]!Table1[E @ 100 mA/cm2 DIW/V],"",0)</f>
        <v>#REF!</v>
      </c>
      <c r="AB2088" s="69" t="e" cm="1">
        <f t="array" ref="AB2088">_xlfn.XLOOKUP(Table1[[#This Row],[5 cm2 cell test code]:[5 cm2 cell test code]],[1]!Table1[[Test code]:[Test code]],[1]!Table1[E @ 100 mA/cm2 10 mM KOH/V],"",0)</f>
        <v>#REF!</v>
      </c>
      <c r="AC2088" s="69" t="e" cm="1">
        <f t="array" ref="AC2088">_xlfn.XLOOKUP(Table1[[#This Row],[5 cm2 cell test code]:[5 cm2 cell test code]],[1]!Table1[[Test code]:[Test code]],[1]!Table1[Anode ICR/mOhm],"",0)</f>
        <v>#REF!</v>
      </c>
      <c r="AD2088" s="69" t="e" cm="1">
        <f t="array" ref="AD2088">_xlfn.XLOOKUP(Table1[[#This Row],[5 cm2 cell test code]:[5 cm2 cell test code]],[1]!Table1[[Test code]:[Test code]],[1]!Table1[HFR DIW/ mOhm cm2],"",0)</f>
        <v>#REF!</v>
      </c>
      <c r="AE2088" s="69" t="e" cm="1">
        <f t="array" ref="AE2088">_xlfn.XLOOKUP(Table1[[#This Row],[5 cm2 cell test code]:[5 cm2 cell test code]],[1]!Table1[[Test code]:[Test code]],[1]!Table1[HFR 10 mM KOH/ mOhm cm2],"",0)</f>
        <v>#REF!</v>
      </c>
      <c r="AF2088" s="69" t="e" cm="1">
        <f t="array" ref="AF2088">_xlfn.XLOOKUP(Table1[[#This Row],[5 cm2 cell test code]:[5 cm2 cell test code]],[1]!Table1[[Test code]:[Test code]],[1]!Table1[Ionic resistance DIW/Ohm cm2],"",0)</f>
        <v>#REF!</v>
      </c>
      <c r="AG2088" s="69" t="e" cm="1">
        <f t="array" ref="AG2088">_xlfn.XLOOKUP(Table1[[#This Row],[5 cm2 cell test code]:[5 cm2 cell test code]],[1]!Table1[[Test code]:[Test code]],[1]!Table1[Q_int_frac DIW],"",0)</f>
        <v>#REF!</v>
      </c>
      <c r="AH2088" s="69" t="e" cm="1">
        <f t="array" ref="AH2088">_xlfn.XLOOKUP(Table1[[#This Row],[5 cm2 cell test code]:[5 cm2 cell test code]],[1]!Table1[[Test code]:[Test code]],[1]!Table1[Ionic resistance 10 mM KOH/Ohm cm2],"",0)</f>
        <v>#REF!</v>
      </c>
      <c r="AI2088" s="69" t="e" cm="1">
        <f t="array" ref="AI2088">_xlfn.XLOOKUP(Table1[[#This Row],[5 cm2 cell test code]:[5 cm2 cell test code]],[1]!Table1[[Test code]:[Test code]],[1]!Table1[Q_int_frac DIW 10 mM KOH],"",0)</f>
        <v>#REF!</v>
      </c>
      <c r="AJ2088" s="69" t="e" cm="1">
        <f t="array" ref="AJ2088">_xlfn.XLOOKUP(Table1[[#This Row],[5 cm2 cell test code]:[5 cm2 cell test code]],[1]!Table1[[Test code]:[Test code]],[1]!Table1[DIW conductivity (µS/cm)],"",0)</f>
        <v>#REF!</v>
      </c>
    </row>
    <row r="2089" spans="1:36">
      <c r="A2089" s="81"/>
      <c r="U2089" s="101"/>
      <c r="V2089" s="101"/>
      <c r="W2089" s="69" t="e" cm="1">
        <f t="array" ref="W2089">_xlfn.XLOOKUP(Table1[[#This Row],[5 cm2 cell test code]:[5 cm2 cell test code]],[1]!Table1[[Test code]:[Test code]],[1]!Table1[i @ 1.8 V DIW (A/cm2)],"",0)</f>
        <v>#REF!</v>
      </c>
      <c r="X2089" s="69" t="e" cm="1">
        <f t="array" ref="X2089">_xlfn.XLOOKUP(Table1[[#This Row],[5 cm2 cell test code]:[5 cm2 cell test code]],[1]!Table1[[Test code]:[Test code]],[1]!Table1[i @ 1.8 V 10 mM KOH (A/cm2)],"",0)</f>
        <v>#REF!</v>
      </c>
      <c r="Y2089" s="69" t="e" cm="1">
        <f t="array" ref="Y2089">_xlfn.XLOOKUP(Table1[[#This Row],[5 cm2 cell test code]:[5 cm2 cell test code]],[1]!Table1[[Test code]:[Test code]],[1]!Table1[3-E ƞ at 20mAcm-2 (mV)],"",0)</f>
        <v>#REF!</v>
      </c>
      <c r="Z2089" s="69" t="e" cm="1">
        <f t="array" ref="Z2089">_xlfn.XLOOKUP(Table1[[#This Row],[5 cm2 cell test code]:[5 cm2 cell test code]],[1]!Table1[[Test code]:[Test code]],[1]!Table1[3-E Tafel slope (mV/dec)],"",0)</f>
        <v>#REF!</v>
      </c>
      <c r="AA2089" s="69" t="e" cm="1">
        <f t="array" ref="AA2089">_xlfn.XLOOKUP(Table1[[#This Row],[5 cm2 cell test code]:[5 cm2 cell test code]],[1]!Table1[[Test code]:[Test code]],[1]!Table1[E @ 100 mA/cm2 DIW/V],"",0)</f>
        <v>#REF!</v>
      </c>
      <c r="AB2089" s="69" t="e" cm="1">
        <f t="array" ref="AB2089">_xlfn.XLOOKUP(Table1[[#This Row],[5 cm2 cell test code]:[5 cm2 cell test code]],[1]!Table1[[Test code]:[Test code]],[1]!Table1[E @ 100 mA/cm2 10 mM KOH/V],"",0)</f>
        <v>#REF!</v>
      </c>
      <c r="AC2089" s="69" t="e" cm="1">
        <f t="array" ref="AC2089">_xlfn.XLOOKUP(Table1[[#This Row],[5 cm2 cell test code]:[5 cm2 cell test code]],[1]!Table1[[Test code]:[Test code]],[1]!Table1[Anode ICR/mOhm],"",0)</f>
        <v>#REF!</v>
      </c>
      <c r="AD2089" s="69" t="e" cm="1">
        <f t="array" ref="AD2089">_xlfn.XLOOKUP(Table1[[#This Row],[5 cm2 cell test code]:[5 cm2 cell test code]],[1]!Table1[[Test code]:[Test code]],[1]!Table1[HFR DIW/ mOhm cm2],"",0)</f>
        <v>#REF!</v>
      </c>
      <c r="AE2089" s="69" t="e" cm="1">
        <f t="array" ref="AE2089">_xlfn.XLOOKUP(Table1[[#This Row],[5 cm2 cell test code]:[5 cm2 cell test code]],[1]!Table1[[Test code]:[Test code]],[1]!Table1[HFR 10 mM KOH/ mOhm cm2],"",0)</f>
        <v>#REF!</v>
      </c>
      <c r="AF2089" s="69" t="e" cm="1">
        <f t="array" ref="AF2089">_xlfn.XLOOKUP(Table1[[#This Row],[5 cm2 cell test code]:[5 cm2 cell test code]],[1]!Table1[[Test code]:[Test code]],[1]!Table1[Ionic resistance DIW/Ohm cm2],"",0)</f>
        <v>#REF!</v>
      </c>
      <c r="AG2089" s="69" t="e" cm="1">
        <f t="array" ref="AG2089">_xlfn.XLOOKUP(Table1[[#This Row],[5 cm2 cell test code]:[5 cm2 cell test code]],[1]!Table1[[Test code]:[Test code]],[1]!Table1[Q_int_frac DIW],"",0)</f>
        <v>#REF!</v>
      </c>
      <c r="AH2089" s="69" t="e" cm="1">
        <f t="array" ref="AH2089">_xlfn.XLOOKUP(Table1[[#This Row],[5 cm2 cell test code]:[5 cm2 cell test code]],[1]!Table1[[Test code]:[Test code]],[1]!Table1[Ionic resistance 10 mM KOH/Ohm cm2],"",0)</f>
        <v>#REF!</v>
      </c>
      <c r="AI2089" s="69" t="e" cm="1">
        <f t="array" ref="AI2089">_xlfn.XLOOKUP(Table1[[#This Row],[5 cm2 cell test code]:[5 cm2 cell test code]],[1]!Table1[[Test code]:[Test code]],[1]!Table1[Q_int_frac DIW 10 mM KOH],"",0)</f>
        <v>#REF!</v>
      </c>
      <c r="AJ2089" s="69" t="e" cm="1">
        <f t="array" ref="AJ2089">_xlfn.XLOOKUP(Table1[[#This Row],[5 cm2 cell test code]:[5 cm2 cell test code]],[1]!Table1[[Test code]:[Test code]],[1]!Table1[DIW conductivity (µS/cm)],"",0)</f>
        <v>#REF!</v>
      </c>
    </row>
    <row r="2090" spans="1:36">
      <c r="A2090" s="81"/>
      <c r="U2090" s="101"/>
      <c r="V2090" s="101"/>
      <c r="W2090" s="69" t="e" cm="1">
        <f t="array" ref="W2090">_xlfn.XLOOKUP(Table1[[#This Row],[5 cm2 cell test code]:[5 cm2 cell test code]],[1]!Table1[[Test code]:[Test code]],[1]!Table1[i @ 1.8 V DIW (A/cm2)],"",0)</f>
        <v>#REF!</v>
      </c>
      <c r="X2090" s="69" t="e" cm="1">
        <f t="array" ref="X2090">_xlfn.XLOOKUP(Table1[[#This Row],[5 cm2 cell test code]:[5 cm2 cell test code]],[1]!Table1[[Test code]:[Test code]],[1]!Table1[i @ 1.8 V 10 mM KOH (A/cm2)],"",0)</f>
        <v>#REF!</v>
      </c>
      <c r="Y2090" s="69" t="e" cm="1">
        <f t="array" ref="Y2090">_xlfn.XLOOKUP(Table1[[#This Row],[5 cm2 cell test code]:[5 cm2 cell test code]],[1]!Table1[[Test code]:[Test code]],[1]!Table1[3-E ƞ at 20mAcm-2 (mV)],"",0)</f>
        <v>#REF!</v>
      </c>
      <c r="Z2090" s="69" t="e" cm="1">
        <f t="array" ref="Z2090">_xlfn.XLOOKUP(Table1[[#This Row],[5 cm2 cell test code]:[5 cm2 cell test code]],[1]!Table1[[Test code]:[Test code]],[1]!Table1[3-E Tafel slope (mV/dec)],"",0)</f>
        <v>#REF!</v>
      </c>
      <c r="AA2090" s="69" t="e" cm="1">
        <f t="array" ref="AA2090">_xlfn.XLOOKUP(Table1[[#This Row],[5 cm2 cell test code]:[5 cm2 cell test code]],[1]!Table1[[Test code]:[Test code]],[1]!Table1[E @ 100 mA/cm2 DIW/V],"",0)</f>
        <v>#REF!</v>
      </c>
      <c r="AB2090" s="69" t="e" cm="1">
        <f t="array" ref="AB2090">_xlfn.XLOOKUP(Table1[[#This Row],[5 cm2 cell test code]:[5 cm2 cell test code]],[1]!Table1[[Test code]:[Test code]],[1]!Table1[E @ 100 mA/cm2 10 mM KOH/V],"",0)</f>
        <v>#REF!</v>
      </c>
      <c r="AC2090" s="69" t="e" cm="1">
        <f t="array" ref="AC2090">_xlfn.XLOOKUP(Table1[[#This Row],[5 cm2 cell test code]:[5 cm2 cell test code]],[1]!Table1[[Test code]:[Test code]],[1]!Table1[Anode ICR/mOhm],"",0)</f>
        <v>#REF!</v>
      </c>
      <c r="AD2090" s="69" t="e" cm="1">
        <f t="array" ref="AD2090">_xlfn.XLOOKUP(Table1[[#This Row],[5 cm2 cell test code]:[5 cm2 cell test code]],[1]!Table1[[Test code]:[Test code]],[1]!Table1[HFR DIW/ mOhm cm2],"",0)</f>
        <v>#REF!</v>
      </c>
      <c r="AE2090" s="69" t="e" cm="1">
        <f t="array" ref="AE2090">_xlfn.XLOOKUP(Table1[[#This Row],[5 cm2 cell test code]:[5 cm2 cell test code]],[1]!Table1[[Test code]:[Test code]],[1]!Table1[HFR 10 mM KOH/ mOhm cm2],"",0)</f>
        <v>#REF!</v>
      </c>
      <c r="AF2090" s="69" t="e" cm="1">
        <f t="array" ref="AF2090">_xlfn.XLOOKUP(Table1[[#This Row],[5 cm2 cell test code]:[5 cm2 cell test code]],[1]!Table1[[Test code]:[Test code]],[1]!Table1[Ionic resistance DIW/Ohm cm2],"",0)</f>
        <v>#REF!</v>
      </c>
      <c r="AG2090" s="69" t="e" cm="1">
        <f t="array" ref="AG2090">_xlfn.XLOOKUP(Table1[[#This Row],[5 cm2 cell test code]:[5 cm2 cell test code]],[1]!Table1[[Test code]:[Test code]],[1]!Table1[Q_int_frac DIW],"",0)</f>
        <v>#REF!</v>
      </c>
      <c r="AH2090" s="69" t="e" cm="1">
        <f t="array" ref="AH2090">_xlfn.XLOOKUP(Table1[[#This Row],[5 cm2 cell test code]:[5 cm2 cell test code]],[1]!Table1[[Test code]:[Test code]],[1]!Table1[Ionic resistance 10 mM KOH/Ohm cm2],"",0)</f>
        <v>#REF!</v>
      </c>
      <c r="AI2090" s="69" t="e" cm="1">
        <f t="array" ref="AI2090">_xlfn.XLOOKUP(Table1[[#This Row],[5 cm2 cell test code]:[5 cm2 cell test code]],[1]!Table1[[Test code]:[Test code]],[1]!Table1[Q_int_frac DIW 10 mM KOH],"",0)</f>
        <v>#REF!</v>
      </c>
      <c r="AJ2090" s="69" t="e" cm="1">
        <f t="array" ref="AJ2090">_xlfn.XLOOKUP(Table1[[#This Row],[5 cm2 cell test code]:[5 cm2 cell test code]],[1]!Table1[[Test code]:[Test code]],[1]!Table1[DIW conductivity (µS/cm)],"",0)</f>
        <v>#REF!</v>
      </c>
    </row>
    <row r="2091" spans="1:36">
      <c r="A2091" s="81"/>
      <c r="U2091" s="101"/>
      <c r="V2091" s="101"/>
      <c r="W2091" s="69" t="e" cm="1">
        <f t="array" ref="W2091">_xlfn.XLOOKUP(Table1[[#This Row],[5 cm2 cell test code]:[5 cm2 cell test code]],[1]!Table1[[Test code]:[Test code]],[1]!Table1[i @ 1.8 V DIW (A/cm2)],"",0)</f>
        <v>#REF!</v>
      </c>
      <c r="X2091" s="69" t="e" cm="1">
        <f t="array" ref="X2091">_xlfn.XLOOKUP(Table1[[#This Row],[5 cm2 cell test code]:[5 cm2 cell test code]],[1]!Table1[[Test code]:[Test code]],[1]!Table1[i @ 1.8 V 10 mM KOH (A/cm2)],"",0)</f>
        <v>#REF!</v>
      </c>
      <c r="Y2091" s="69" t="e" cm="1">
        <f t="array" ref="Y2091">_xlfn.XLOOKUP(Table1[[#This Row],[5 cm2 cell test code]:[5 cm2 cell test code]],[1]!Table1[[Test code]:[Test code]],[1]!Table1[3-E ƞ at 20mAcm-2 (mV)],"",0)</f>
        <v>#REF!</v>
      </c>
      <c r="Z2091" s="69" t="e" cm="1">
        <f t="array" ref="Z2091">_xlfn.XLOOKUP(Table1[[#This Row],[5 cm2 cell test code]:[5 cm2 cell test code]],[1]!Table1[[Test code]:[Test code]],[1]!Table1[3-E Tafel slope (mV/dec)],"",0)</f>
        <v>#REF!</v>
      </c>
      <c r="AA2091" s="69" t="e" cm="1">
        <f t="array" ref="AA2091">_xlfn.XLOOKUP(Table1[[#This Row],[5 cm2 cell test code]:[5 cm2 cell test code]],[1]!Table1[[Test code]:[Test code]],[1]!Table1[E @ 100 mA/cm2 DIW/V],"",0)</f>
        <v>#REF!</v>
      </c>
      <c r="AB2091" s="69" t="e" cm="1">
        <f t="array" ref="AB2091">_xlfn.XLOOKUP(Table1[[#This Row],[5 cm2 cell test code]:[5 cm2 cell test code]],[1]!Table1[[Test code]:[Test code]],[1]!Table1[E @ 100 mA/cm2 10 mM KOH/V],"",0)</f>
        <v>#REF!</v>
      </c>
      <c r="AC2091" s="69" t="e" cm="1">
        <f t="array" ref="AC2091">_xlfn.XLOOKUP(Table1[[#This Row],[5 cm2 cell test code]:[5 cm2 cell test code]],[1]!Table1[[Test code]:[Test code]],[1]!Table1[Anode ICR/mOhm],"",0)</f>
        <v>#REF!</v>
      </c>
      <c r="AD2091" s="69" t="e" cm="1">
        <f t="array" ref="AD2091">_xlfn.XLOOKUP(Table1[[#This Row],[5 cm2 cell test code]:[5 cm2 cell test code]],[1]!Table1[[Test code]:[Test code]],[1]!Table1[HFR DIW/ mOhm cm2],"",0)</f>
        <v>#REF!</v>
      </c>
      <c r="AE2091" s="69" t="e" cm="1">
        <f t="array" ref="AE2091">_xlfn.XLOOKUP(Table1[[#This Row],[5 cm2 cell test code]:[5 cm2 cell test code]],[1]!Table1[[Test code]:[Test code]],[1]!Table1[HFR 10 mM KOH/ mOhm cm2],"",0)</f>
        <v>#REF!</v>
      </c>
      <c r="AF2091" s="69" t="e" cm="1">
        <f t="array" ref="AF2091">_xlfn.XLOOKUP(Table1[[#This Row],[5 cm2 cell test code]:[5 cm2 cell test code]],[1]!Table1[[Test code]:[Test code]],[1]!Table1[Ionic resistance DIW/Ohm cm2],"",0)</f>
        <v>#REF!</v>
      </c>
      <c r="AG2091" s="69" t="e" cm="1">
        <f t="array" ref="AG2091">_xlfn.XLOOKUP(Table1[[#This Row],[5 cm2 cell test code]:[5 cm2 cell test code]],[1]!Table1[[Test code]:[Test code]],[1]!Table1[Q_int_frac DIW],"",0)</f>
        <v>#REF!</v>
      </c>
      <c r="AH2091" s="69" t="e" cm="1">
        <f t="array" ref="AH2091">_xlfn.XLOOKUP(Table1[[#This Row],[5 cm2 cell test code]:[5 cm2 cell test code]],[1]!Table1[[Test code]:[Test code]],[1]!Table1[Ionic resistance 10 mM KOH/Ohm cm2],"",0)</f>
        <v>#REF!</v>
      </c>
      <c r="AI2091" s="69" t="e" cm="1">
        <f t="array" ref="AI2091">_xlfn.XLOOKUP(Table1[[#This Row],[5 cm2 cell test code]:[5 cm2 cell test code]],[1]!Table1[[Test code]:[Test code]],[1]!Table1[Q_int_frac DIW 10 mM KOH],"",0)</f>
        <v>#REF!</v>
      </c>
      <c r="AJ2091" s="69" t="e" cm="1">
        <f t="array" ref="AJ2091">_xlfn.XLOOKUP(Table1[[#This Row],[5 cm2 cell test code]:[5 cm2 cell test code]],[1]!Table1[[Test code]:[Test code]],[1]!Table1[DIW conductivity (µS/cm)],"",0)</f>
        <v>#REF!</v>
      </c>
    </row>
    <row r="2092" spans="1:36">
      <c r="A2092" s="81"/>
      <c r="U2092" s="101"/>
      <c r="V2092" s="101"/>
      <c r="W2092" s="69" t="e" cm="1">
        <f t="array" ref="W2092">_xlfn.XLOOKUP(Table1[[#This Row],[5 cm2 cell test code]:[5 cm2 cell test code]],[1]!Table1[[Test code]:[Test code]],[1]!Table1[i @ 1.8 V DIW (A/cm2)],"",0)</f>
        <v>#REF!</v>
      </c>
      <c r="X2092" s="69" t="e" cm="1">
        <f t="array" ref="X2092">_xlfn.XLOOKUP(Table1[[#This Row],[5 cm2 cell test code]:[5 cm2 cell test code]],[1]!Table1[[Test code]:[Test code]],[1]!Table1[i @ 1.8 V 10 mM KOH (A/cm2)],"",0)</f>
        <v>#REF!</v>
      </c>
      <c r="Y2092" s="69" t="e" cm="1">
        <f t="array" ref="Y2092">_xlfn.XLOOKUP(Table1[[#This Row],[5 cm2 cell test code]:[5 cm2 cell test code]],[1]!Table1[[Test code]:[Test code]],[1]!Table1[3-E ƞ at 20mAcm-2 (mV)],"",0)</f>
        <v>#REF!</v>
      </c>
      <c r="Z2092" s="69" t="e" cm="1">
        <f t="array" ref="Z2092">_xlfn.XLOOKUP(Table1[[#This Row],[5 cm2 cell test code]:[5 cm2 cell test code]],[1]!Table1[[Test code]:[Test code]],[1]!Table1[3-E Tafel slope (mV/dec)],"",0)</f>
        <v>#REF!</v>
      </c>
      <c r="AA2092" s="69" t="e" cm="1">
        <f t="array" ref="AA2092">_xlfn.XLOOKUP(Table1[[#This Row],[5 cm2 cell test code]:[5 cm2 cell test code]],[1]!Table1[[Test code]:[Test code]],[1]!Table1[E @ 100 mA/cm2 DIW/V],"",0)</f>
        <v>#REF!</v>
      </c>
      <c r="AB2092" s="69" t="e" cm="1">
        <f t="array" ref="AB2092">_xlfn.XLOOKUP(Table1[[#This Row],[5 cm2 cell test code]:[5 cm2 cell test code]],[1]!Table1[[Test code]:[Test code]],[1]!Table1[E @ 100 mA/cm2 10 mM KOH/V],"",0)</f>
        <v>#REF!</v>
      </c>
      <c r="AC2092" s="69" t="e" cm="1">
        <f t="array" ref="AC2092">_xlfn.XLOOKUP(Table1[[#This Row],[5 cm2 cell test code]:[5 cm2 cell test code]],[1]!Table1[[Test code]:[Test code]],[1]!Table1[Anode ICR/mOhm],"",0)</f>
        <v>#REF!</v>
      </c>
      <c r="AD2092" s="69" t="e" cm="1">
        <f t="array" ref="AD2092">_xlfn.XLOOKUP(Table1[[#This Row],[5 cm2 cell test code]:[5 cm2 cell test code]],[1]!Table1[[Test code]:[Test code]],[1]!Table1[HFR DIW/ mOhm cm2],"",0)</f>
        <v>#REF!</v>
      </c>
      <c r="AE2092" s="69" t="e" cm="1">
        <f t="array" ref="AE2092">_xlfn.XLOOKUP(Table1[[#This Row],[5 cm2 cell test code]:[5 cm2 cell test code]],[1]!Table1[[Test code]:[Test code]],[1]!Table1[HFR 10 mM KOH/ mOhm cm2],"",0)</f>
        <v>#REF!</v>
      </c>
      <c r="AF2092" s="69" t="e" cm="1">
        <f t="array" ref="AF2092">_xlfn.XLOOKUP(Table1[[#This Row],[5 cm2 cell test code]:[5 cm2 cell test code]],[1]!Table1[[Test code]:[Test code]],[1]!Table1[Ionic resistance DIW/Ohm cm2],"",0)</f>
        <v>#REF!</v>
      </c>
      <c r="AG2092" s="69" t="e" cm="1">
        <f t="array" ref="AG2092">_xlfn.XLOOKUP(Table1[[#This Row],[5 cm2 cell test code]:[5 cm2 cell test code]],[1]!Table1[[Test code]:[Test code]],[1]!Table1[Q_int_frac DIW],"",0)</f>
        <v>#REF!</v>
      </c>
      <c r="AH2092" s="69" t="e" cm="1">
        <f t="array" ref="AH2092">_xlfn.XLOOKUP(Table1[[#This Row],[5 cm2 cell test code]:[5 cm2 cell test code]],[1]!Table1[[Test code]:[Test code]],[1]!Table1[Ionic resistance 10 mM KOH/Ohm cm2],"",0)</f>
        <v>#REF!</v>
      </c>
      <c r="AI2092" s="69" t="e" cm="1">
        <f t="array" ref="AI2092">_xlfn.XLOOKUP(Table1[[#This Row],[5 cm2 cell test code]:[5 cm2 cell test code]],[1]!Table1[[Test code]:[Test code]],[1]!Table1[Q_int_frac DIW 10 mM KOH],"",0)</f>
        <v>#REF!</v>
      </c>
      <c r="AJ2092" s="69" t="e" cm="1">
        <f t="array" ref="AJ2092">_xlfn.XLOOKUP(Table1[[#This Row],[5 cm2 cell test code]:[5 cm2 cell test code]],[1]!Table1[[Test code]:[Test code]],[1]!Table1[DIW conductivity (µS/cm)],"",0)</f>
        <v>#REF!</v>
      </c>
    </row>
    <row r="2093" spans="1:36">
      <c r="A2093" s="81"/>
      <c r="U2093" s="101"/>
      <c r="V2093" s="101"/>
      <c r="W2093" s="69" t="e" cm="1">
        <f t="array" ref="W2093">_xlfn.XLOOKUP(Table1[[#This Row],[5 cm2 cell test code]:[5 cm2 cell test code]],[1]!Table1[[Test code]:[Test code]],[1]!Table1[i @ 1.8 V DIW (A/cm2)],"",0)</f>
        <v>#REF!</v>
      </c>
      <c r="X2093" s="69" t="e" cm="1">
        <f t="array" ref="X2093">_xlfn.XLOOKUP(Table1[[#This Row],[5 cm2 cell test code]:[5 cm2 cell test code]],[1]!Table1[[Test code]:[Test code]],[1]!Table1[i @ 1.8 V 10 mM KOH (A/cm2)],"",0)</f>
        <v>#REF!</v>
      </c>
      <c r="Y2093" s="69" t="e" cm="1">
        <f t="array" ref="Y2093">_xlfn.XLOOKUP(Table1[[#This Row],[5 cm2 cell test code]:[5 cm2 cell test code]],[1]!Table1[[Test code]:[Test code]],[1]!Table1[3-E ƞ at 20mAcm-2 (mV)],"",0)</f>
        <v>#REF!</v>
      </c>
      <c r="Z2093" s="69" t="e" cm="1">
        <f t="array" ref="Z2093">_xlfn.XLOOKUP(Table1[[#This Row],[5 cm2 cell test code]:[5 cm2 cell test code]],[1]!Table1[[Test code]:[Test code]],[1]!Table1[3-E Tafel slope (mV/dec)],"",0)</f>
        <v>#REF!</v>
      </c>
      <c r="AA2093" s="69" t="e" cm="1">
        <f t="array" ref="AA2093">_xlfn.XLOOKUP(Table1[[#This Row],[5 cm2 cell test code]:[5 cm2 cell test code]],[1]!Table1[[Test code]:[Test code]],[1]!Table1[E @ 100 mA/cm2 DIW/V],"",0)</f>
        <v>#REF!</v>
      </c>
      <c r="AB2093" s="69" t="e" cm="1">
        <f t="array" ref="AB2093">_xlfn.XLOOKUP(Table1[[#This Row],[5 cm2 cell test code]:[5 cm2 cell test code]],[1]!Table1[[Test code]:[Test code]],[1]!Table1[E @ 100 mA/cm2 10 mM KOH/V],"",0)</f>
        <v>#REF!</v>
      </c>
      <c r="AC2093" s="69" t="e" cm="1">
        <f t="array" ref="AC2093">_xlfn.XLOOKUP(Table1[[#This Row],[5 cm2 cell test code]:[5 cm2 cell test code]],[1]!Table1[[Test code]:[Test code]],[1]!Table1[Anode ICR/mOhm],"",0)</f>
        <v>#REF!</v>
      </c>
      <c r="AD2093" s="69" t="e" cm="1">
        <f t="array" ref="AD2093">_xlfn.XLOOKUP(Table1[[#This Row],[5 cm2 cell test code]:[5 cm2 cell test code]],[1]!Table1[[Test code]:[Test code]],[1]!Table1[HFR DIW/ mOhm cm2],"",0)</f>
        <v>#REF!</v>
      </c>
      <c r="AE2093" s="69" t="e" cm="1">
        <f t="array" ref="AE2093">_xlfn.XLOOKUP(Table1[[#This Row],[5 cm2 cell test code]:[5 cm2 cell test code]],[1]!Table1[[Test code]:[Test code]],[1]!Table1[HFR 10 mM KOH/ mOhm cm2],"",0)</f>
        <v>#REF!</v>
      </c>
      <c r="AF2093" s="69" t="e" cm="1">
        <f t="array" ref="AF2093">_xlfn.XLOOKUP(Table1[[#This Row],[5 cm2 cell test code]:[5 cm2 cell test code]],[1]!Table1[[Test code]:[Test code]],[1]!Table1[Ionic resistance DIW/Ohm cm2],"",0)</f>
        <v>#REF!</v>
      </c>
      <c r="AG2093" s="69" t="e" cm="1">
        <f t="array" ref="AG2093">_xlfn.XLOOKUP(Table1[[#This Row],[5 cm2 cell test code]:[5 cm2 cell test code]],[1]!Table1[[Test code]:[Test code]],[1]!Table1[Q_int_frac DIW],"",0)</f>
        <v>#REF!</v>
      </c>
      <c r="AH2093" s="69" t="e" cm="1">
        <f t="array" ref="AH2093">_xlfn.XLOOKUP(Table1[[#This Row],[5 cm2 cell test code]:[5 cm2 cell test code]],[1]!Table1[[Test code]:[Test code]],[1]!Table1[Ionic resistance 10 mM KOH/Ohm cm2],"",0)</f>
        <v>#REF!</v>
      </c>
      <c r="AI2093" s="69" t="e" cm="1">
        <f t="array" ref="AI2093">_xlfn.XLOOKUP(Table1[[#This Row],[5 cm2 cell test code]:[5 cm2 cell test code]],[1]!Table1[[Test code]:[Test code]],[1]!Table1[Q_int_frac DIW 10 mM KOH],"",0)</f>
        <v>#REF!</v>
      </c>
      <c r="AJ2093" s="69" t="e" cm="1">
        <f t="array" ref="AJ2093">_xlfn.XLOOKUP(Table1[[#This Row],[5 cm2 cell test code]:[5 cm2 cell test code]],[1]!Table1[[Test code]:[Test code]],[1]!Table1[DIW conductivity (µS/cm)],"",0)</f>
        <v>#REF!</v>
      </c>
    </row>
    <row r="2094" spans="1:36">
      <c r="A2094" s="81"/>
      <c r="U2094" s="101"/>
      <c r="V2094" s="101"/>
      <c r="W2094" s="69" t="e" cm="1">
        <f t="array" ref="W2094">_xlfn.XLOOKUP(Table1[[#This Row],[5 cm2 cell test code]:[5 cm2 cell test code]],[1]!Table1[[Test code]:[Test code]],[1]!Table1[i @ 1.8 V DIW (A/cm2)],"",0)</f>
        <v>#REF!</v>
      </c>
      <c r="X2094" s="69" t="e" cm="1">
        <f t="array" ref="X2094">_xlfn.XLOOKUP(Table1[[#This Row],[5 cm2 cell test code]:[5 cm2 cell test code]],[1]!Table1[[Test code]:[Test code]],[1]!Table1[i @ 1.8 V 10 mM KOH (A/cm2)],"",0)</f>
        <v>#REF!</v>
      </c>
      <c r="Y2094" s="69" t="e" cm="1">
        <f t="array" ref="Y2094">_xlfn.XLOOKUP(Table1[[#This Row],[5 cm2 cell test code]:[5 cm2 cell test code]],[1]!Table1[[Test code]:[Test code]],[1]!Table1[3-E ƞ at 20mAcm-2 (mV)],"",0)</f>
        <v>#REF!</v>
      </c>
      <c r="Z2094" s="69" t="e" cm="1">
        <f t="array" ref="Z2094">_xlfn.XLOOKUP(Table1[[#This Row],[5 cm2 cell test code]:[5 cm2 cell test code]],[1]!Table1[[Test code]:[Test code]],[1]!Table1[3-E Tafel slope (mV/dec)],"",0)</f>
        <v>#REF!</v>
      </c>
      <c r="AA2094" s="69" t="e" cm="1">
        <f t="array" ref="AA2094">_xlfn.XLOOKUP(Table1[[#This Row],[5 cm2 cell test code]:[5 cm2 cell test code]],[1]!Table1[[Test code]:[Test code]],[1]!Table1[E @ 100 mA/cm2 DIW/V],"",0)</f>
        <v>#REF!</v>
      </c>
      <c r="AB2094" s="69" t="e" cm="1">
        <f t="array" ref="AB2094">_xlfn.XLOOKUP(Table1[[#This Row],[5 cm2 cell test code]:[5 cm2 cell test code]],[1]!Table1[[Test code]:[Test code]],[1]!Table1[E @ 100 mA/cm2 10 mM KOH/V],"",0)</f>
        <v>#REF!</v>
      </c>
      <c r="AC2094" s="69" t="e" cm="1">
        <f t="array" ref="AC2094">_xlfn.XLOOKUP(Table1[[#This Row],[5 cm2 cell test code]:[5 cm2 cell test code]],[1]!Table1[[Test code]:[Test code]],[1]!Table1[Anode ICR/mOhm],"",0)</f>
        <v>#REF!</v>
      </c>
      <c r="AD2094" s="69" t="e" cm="1">
        <f t="array" ref="AD2094">_xlfn.XLOOKUP(Table1[[#This Row],[5 cm2 cell test code]:[5 cm2 cell test code]],[1]!Table1[[Test code]:[Test code]],[1]!Table1[HFR DIW/ mOhm cm2],"",0)</f>
        <v>#REF!</v>
      </c>
      <c r="AE2094" s="69" t="e" cm="1">
        <f t="array" ref="AE2094">_xlfn.XLOOKUP(Table1[[#This Row],[5 cm2 cell test code]:[5 cm2 cell test code]],[1]!Table1[[Test code]:[Test code]],[1]!Table1[HFR 10 mM KOH/ mOhm cm2],"",0)</f>
        <v>#REF!</v>
      </c>
      <c r="AF2094" s="69" t="e" cm="1">
        <f t="array" ref="AF2094">_xlfn.XLOOKUP(Table1[[#This Row],[5 cm2 cell test code]:[5 cm2 cell test code]],[1]!Table1[[Test code]:[Test code]],[1]!Table1[Ionic resistance DIW/Ohm cm2],"",0)</f>
        <v>#REF!</v>
      </c>
      <c r="AG2094" s="69" t="e" cm="1">
        <f t="array" ref="AG2094">_xlfn.XLOOKUP(Table1[[#This Row],[5 cm2 cell test code]:[5 cm2 cell test code]],[1]!Table1[[Test code]:[Test code]],[1]!Table1[Q_int_frac DIW],"",0)</f>
        <v>#REF!</v>
      </c>
      <c r="AH2094" s="69" t="e" cm="1">
        <f t="array" ref="AH2094">_xlfn.XLOOKUP(Table1[[#This Row],[5 cm2 cell test code]:[5 cm2 cell test code]],[1]!Table1[[Test code]:[Test code]],[1]!Table1[Ionic resistance 10 mM KOH/Ohm cm2],"",0)</f>
        <v>#REF!</v>
      </c>
      <c r="AI2094" s="69" t="e" cm="1">
        <f t="array" ref="AI2094">_xlfn.XLOOKUP(Table1[[#This Row],[5 cm2 cell test code]:[5 cm2 cell test code]],[1]!Table1[[Test code]:[Test code]],[1]!Table1[Q_int_frac DIW 10 mM KOH],"",0)</f>
        <v>#REF!</v>
      </c>
      <c r="AJ2094" s="69" t="e" cm="1">
        <f t="array" ref="AJ2094">_xlfn.XLOOKUP(Table1[[#This Row],[5 cm2 cell test code]:[5 cm2 cell test code]],[1]!Table1[[Test code]:[Test code]],[1]!Table1[DIW conductivity (µS/cm)],"",0)</f>
        <v>#REF!</v>
      </c>
    </row>
    <row r="2095" spans="1:36">
      <c r="A2095" s="81"/>
      <c r="U2095" s="101"/>
      <c r="V2095" s="101"/>
      <c r="W2095" s="69" t="e" cm="1">
        <f t="array" ref="W2095">_xlfn.XLOOKUP(Table1[[#This Row],[5 cm2 cell test code]:[5 cm2 cell test code]],[1]!Table1[[Test code]:[Test code]],[1]!Table1[i @ 1.8 V DIW (A/cm2)],"",0)</f>
        <v>#REF!</v>
      </c>
      <c r="X2095" s="69" t="e" cm="1">
        <f t="array" ref="X2095">_xlfn.XLOOKUP(Table1[[#This Row],[5 cm2 cell test code]:[5 cm2 cell test code]],[1]!Table1[[Test code]:[Test code]],[1]!Table1[i @ 1.8 V 10 mM KOH (A/cm2)],"",0)</f>
        <v>#REF!</v>
      </c>
      <c r="Y2095" s="69" t="e" cm="1">
        <f t="array" ref="Y2095">_xlfn.XLOOKUP(Table1[[#This Row],[5 cm2 cell test code]:[5 cm2 cell test code]],[1]!Table1[[Test code]:[Test code]],[1]!Table1[3-E ƞ at 20mAcm-2 (mV)],"",0)</f>
        <v>#REF!</v>
      </c>
      <c r="Z2095" s="69" t="e" cm="1">
        <f t="array" ref="Z2095">_xlfn.XLOOKUP(Table1[[#This Row],[5 cm2 cell test code]:[5 cm2 cell test code]],[1]!Table1[[Test code]:[Test code]],[1]!Table1[3-E Tafel slope (mV/dec)],"",0)</f>
        <v>#REF!</v>
      </c>
      <c r="AA2095" s="69" t="e" cm="1">
        <f t="array" ref="AA2095">_xlfn.XLOOKUP(Table1[[#This Row],[5 cm2 cell test code]:[5 cm2 cell test code]],[1]!Table1[[Test code]:[Test code]],[1]!Table1[E @ 100 mA/cm2 DIW/V],"",0)</f>
        <v>#REF!</v>
      </c>
      <c r="AB2095" s="69" t="e" cm="1">
        <f t="array" ref="AB2095">_xlfn.XLOOKUP(Table1[[#This Row],[5 cm2 cell test code]:[5 cm2 cell test code]],[1]!Table1[[Test code]:[Test code]],[1]!Table1[E @ 100 mA/cm2 10 mM KOH/V],"",0)</f>
        <v>#REF!</v>
      </c>
      <c r="AC2095" s="69" t="e" cm="1">
        <f t="array" ref="AC2095">_xlfn.XLOOKUP(Table1[[#This Row],[5 cm2 cell test code]:[5 cm2 cell test code]],[1]!Table1[[Test code]:[Test code]],[1]!Table1[Anode ICR/mOhm],"",0)</f>
        <v>#REF!</v>
      </c>
      <c r="AD2095" s="69" t="e" cm="1">
        <f t="array" ref="AD2095">_xlfn.XLOOKUP(Table1[[#This Row],[5 cm2 cell test code]:[5 cm2 cell test code]],[1]!Table1[[Test code]:[Test code]],[1]!Table1[HFR DIW/ mOhm cm2],"",0)</f>
        <v>#REF!</v>
      </c>
      <c r="AE2095" s="69" t="e" cm="1">
        <f t="array" ref="AE2095">_xlfn.XLOOKUP(Table1[[#This Row],[5 cm2 cell test code]:[5 cm2 cell test code]],[1]!Table1[[Test code]:[Test code]],[1]!Table1[HFR 10 mM KOH/ mOhm cm2],"",0)</f>
        <v>#REF!</v>
      </c>
      <c r="AF2095" s="69" t="e" cm="1">
        <f t="array" ref="AF2095">_xlfn.XLOOKUP(Table1[[#This Row],[5 cm2 cell test code]:[5 cm2 cell test code]],[1]!Table1[[Test code]:[Test code]],[1]!Table1[Ionic resistance DIW/Ohm cm2],"",0)</f>
        <v>#REF!</v>
      </c>
      <c r="AG2095" s="69" t="e" cm="1">
        <f t="array" ref="AG2095">_xlfn.XLOOKUP(Table1[[#This Row],[5 cm2 cell test code]:[5 cm2 cell test code]],[1]!Table1[[Test code]:[Test code]],[1]!Table1[Q_int_frac DIW],"",0)</f>
        <v>#REF!</v>
      </c>
      <c r="AH2095" s="69" t="e" cm="1">
        <f t="array" ref="AH2095">_xlfn.XLOOKUP(Table1[[#This Row],[5 cm2 cell test code]:[5 cm2 cell test code]],[1]!Table1[[Test code]:[Test code]],[1]!Table1[Ionic resistance 10 mM KOH/Ohm cm2],"",0)</f>
        <v>#REF!</v>
      </c>
      <c r="AI2095" s="69" t="e" cm="1">
        <f t="array" ref="AI2095">_xlfn.XLOOKUP(Table1[[#This Row],[5 cm2 cell test code]:[5 cm2 cell test code]],[1]!Table1[[Test code]:[Test code]],[1]!Table1[Q_int_frac DIW 10 mM KOH],"",0)</f>
        <v>#REF!</v>
      </c>
      <c r="AJ2095" s="69" t="e" cm="1">
        <f t="array" ref="AJ2095">_xlfn.XLOOKUP(Table1[[#This Row],[5 cm2 cell test code]:[5 cm2 cell test code]],[1]!Table1[[Test code]:[Test code]],[1]!Table1[DIW conductivity (µS/cm)],"",0)</f>
        <v>#REF!</v>
      </c>
    </row>
    <row r="2096" spans="1:36">
      <c r="A2096" s="81"/>
      <c r="U2096" s="101"/>
      <c r="V2096" s="101"/>
      <c r="W2096" s="69" t="e" cm="1">
        <f t="array" ref="W2096">_xlfn.XLOOKUP(Table1[[#This Row],[5 cm2 cell test code]:[5 cm2 cell test code]],[1]!Table1[[Test code]:[Test code]],[1]!Table1[i @ 1.8 V DIW (A/cm2)],"",0)</f>
        <v>#REF!</v>
      </c>
      <c r="X2096" s="69" t="e" cm="1">
        <f t="array" ref="X2096">_xlfn.XLOOKUP(Table1[[#This Row],[5 cm2 cell test code]:[5 cm2 cell test code]],[1]!Table1[[Test code]:[Test code]],[1]!Table1[i @ 1.8 V 10 mM KOH (A/cm2)],"",0)</f>
        <v>#REF!</v>
      </c>
      <c r="Y2096" s="69" t="e" cm="1">
        <f t="array" ref="Y2096">_xlfn.XLOOKUP(Table1[[#This Row],[5 cm2 cell test code]:[5 cm2 cell test code]],[1]!Table1[[Test code]:[Test code]],[1]!Table1[3-E ƞ at 20mAcm-2 (mV)],"",0)</f>
        <v>#REF!</v>
      </c>
      <c r="Z2096" s="69" t="e" cm="1">
        <f t="array" ref="Z2096">_xlfn.XLOOKUP(Table1[[#This Row],[5 cm2 cell test code]:[5 cm2 cell test code]],[1]!Table1[[Test code]:[Test code]],[1]!Table1[3-E Tafel slope (mV/dec)],"",0)</f>
        <v>#REF!</v>
      </c>
      <c r="AA2096" s="69" t="e" cm="1">
        <f t="array" ref="AA2096">_xlfn.XLOOKUP(Table1[[#This Row],[5 cm2 cell test code]:[5 cm2 cell test code]],[1]!Table1[[Test code]:[Test code]],[1]!Table1[E @ 100 mA/cm2 DIW/V],"",0)</f>
        <v>#REF!</v>
      </c>
      <c r="AB2096" s="69" t="e" cm="1">
        <f t="array" ref="AB2096">_xlfn.XLOOKUP(Table1[[#This Row],[5 cm2 cell test code]:[5 cm2 cell test code]],[1]!Table1[[Test code]:[Test code]],[1]!Table1[E @ 100 mA/cm2 10 mM KOH/V],"",0)</f>
        <v>#REF!</v>
      </c>
      <c r="AC2096" s="69" t="e" cm="1">
        <f t="array" ref="AC2096">_xlfn.XLOOKUP(Table1[[#This Row],[5 cm2 cell test code]:[5 cm2 cell test code]],[1]!Table1[[Test code]:[Test code]],[1]!Table1[Anode ICR/mOhm],"",0)</f>
        <v>#REF!</v>
      </c>
      <c r="AD2096" s="69" t="e" cm="1">
        <f t="array" ref="AD2096">_xlfn.XLOOKUP(Table1[[#This Row],[5 cm2 cell test code]:[5 cm2 cell test code]],[1]!Table1[[Test code]:[Test code]],[1]!Table1[HFR DIW/ mOhm cm2],"",0)</f>
        <v>#REF!</v>
      </c>
      <c r="AE2096" s="69" t="e" cm="1">
        <f t="array" ref="AE2096">_xlfn.XLOOKUP(Table1[[#This Row],[5 cm2 cell test code]:[5 cm2 cell test code]],[1]!Table1[[Test code]:[Test code]],[1]!Table1[HFR 10 mM KOH/ mOhm cm2],"",0)</f>
        <v>#REF!</v>
      </c>
      <c r="AF2096" s="69" t="e" cm="1">
        <f t="array" ref="AF2096">_xlfn.XLOOKUP(Table1[[#This Row],[5 cm2 cell test code]:[5 cm2 cell test code]],[1]!Table1[[Test code]:[Test code]],[1]!Table1[Ionic resistance DIW/Ohm cm2],"",0)</f>
        <v>#REF!</v>
      </c>
      <c r="AG2096" s="69" t="e" cm="1">
        <f t="array" ref="AG2096">_xlfn.XLOOKUP(Table1[[#This Row],[5 cm2 cell test code]:[5 cm2 cell test code]],[1]!Table1[[Test code]:[Test code]],[1]!Table1[Q_int_frac DIW],"",0)</f>
        <v>#REF!</v>
      </c>
      <c r="AH2096" s="69" t="e" cm="1">
        <f t="array" ref="AH2096">_xlfn.XLOOKUP(Table1[[#This Row],[5 cm2 cell test code]:[5 cm2 cell test code]],[1]!Table1[[Test code]:[Test code]],[1]!Table1[Ionic resistance 10 mM KOH/Ohm cm2],"",0)</f>
        <v>#REF!</v>
      </c>
      <c r="AI2096" s="69" t="e" cm="1">
        <f t="array" ref="AI2096">_xlfn.XLOOKUP(Table1[[#This Row],[5 cm2 cell test code]:[5 cm2 cell test code]],[1]!Table1[[Test code]:[Test code]],[1]!Table1[Q_int_frac DIW 10 mM KOH],"",0)</f>
        <v>#REF!</v>
      </c>
      <c r="AJ2096" s="69" t="e" cm="1">
        <f t="array" ref="AJ2096">_xlfn.XLOOKUP(Table1[[#This Row],[5 cm2 cell test code]:[5 cm2 cell test code]],[1]!Table1[[Test code]:[Test code]],[1]!Table1[DIW conductivity (µS/cm)],"",0)</f>
        <v>#REF!</v>
      </c>
    </row>
    <row r="2097" spans="1:36">
      <c r="A2097" s="81"/>
      <c r="U2097" s="101"/>
      <c r="V2097" s="101"/>
      <c r="W2097" s="69" t="e" cm="1">
        <f t="array" ref="W2097">_xlfn.XLOOKUP(Table1[[#This Row],[5 cm2 cell test code]:[5 cm2 cell test code]],[1]!Table1[[Test code]:[Test code]],[1]!Table1[i @ 1.8 V DIW (A/cm2)],"",0)</f>
        <v>#REF!</v>
      </c>
      <c r="X2097" s="69" t="e" cm="1">
        <f t="array" ref="X2097">_xlfn.XLOOKUP(Table1[[#This Row],[5 cm2 cell test code]:[5 cm2 cell test code]],[1]!Table1[[Test code]:[Test code]],[1]!Table1[i @ 1.8 V 10 mM KOH (A/cm2)],"",0)</f>
        <v>#REF!</v>
      </c>
      <c r="Y2097" s="69" t="e" cm="1">
        <f t="array" ref="Y2097">_xlfn.XLOOKUP(Table1[[#This Row],[5 cm2 cell test code]:[5 cm2 cell test code]],[1]!Table1[[Test code]:[Test code]],[1]!Table1[3-E ƞ at 20mAcm-2 (mV)],"",0)</f>
        <v>#REF!</v>
      </c>
      <c r="Z2097" s="69" t="e" cm="1">
        <f t="array" ref="Z2097">_xlfn.XLOOKUP(Table1[[#This Row],[5 cm2 cell test code]:[5 cm2 cell test code]],[1]!Table1[[Test code]:[Test code]],[1]!Table1[3-E Tafel slope (mV/dec)],"",0)</f>
        <v>#REF!</v>
      </c>
      <c r="AA2097" s="69" t="e" cm="1">
        <f t="array" ref="AA2097">_xlfn.XLOOKUP(Table1[[#This Row],[5 cm2 cell test code]:[5 cm2 cell test code]],[1]!Table1[[Test code]:[Test code]],[1]!Table1[E @ 100 mA/cm2 DIW/V],"",0)</f>
        <v>#REF!</v>
      </c>
      <c r="AB2097" s="69" t="e" cm="1">
        <f t="array" ref="AB2097">_xlfn.XLOOKUP(Table1[[#This Row],[5 cm2 cell test code]:[5 cm2 cell test code]],[1]!Table1[[Test code]:[Test code]],[1]!Table1[E @ 100 mA/cm2 10 mM KOH/V],"",0)</f>
        <v>#REF!</v>
      </c>
      <c r="AC2097" s="69" t="e" cm="1">
        <f t="array" ref="AC2097">_xlfn.XLOOKUP(Table1[[#This Row],[5 cm2 cell test code]:[5 cm2 cell test code]],[1]!Table1[[Test code]:[Test code]],[1]!Table1[Anode ICR/mOhm],"",0)</f>
        <v>#REF!</v>
      </c>
      <c r="AD2097" s="69" t="e" cm="1">
        <f t="array" ref="AD2097">_xlfn.XLOOKUP(Table1[[#This Row],[5 cm2 cell test code]:[5 cm2 cell test code]],[1]!Table1[[Test code]:[Test code]],[1]!Table1[HFR DIW/ mOhm cm2],"",0)</f>
        <v>#REF!</v>
      </c>
      <c r="AE2097" s="69" t="e" cm="1">
        <f t="array" ref="AE2097">_xlfn.XLOOKUP(Table1[[#This Row],[5 cm2 cell test code]:[5 cm2 cell test code]],[1]!Table1[[Test code]:[Test code]],[1]!Table1[HFR 10 mM KOH/ mOhm cm2],"",0)</f>
        <v>#REF!</v>
      </c>
      <c r="AF2097" s="69" t="e" cm="1">
        <f t="array" ref="AF2097">_xlfn.XLOOKUP(Table1[[#This Row],[5 cm2 cell test code]:[5 cm2 cell test code]],[1]!Table1[[Test code]:[Test code]],[1]!Table1[Ionic resistance DIW/Ohm cm2],"",0)</f>
        <v>#REF!</v>
      </c>
      <c r="AG2097" s="69" t="e" cm="1">
        <f t="array" ref="AG2097">_xlfn.XLOOKUP(Table1[[#This Row],[5 cm2 cell test code]:[5 cm2 cell test code]],[1]!Table1[[Test code]:[Test code]],[1]!Table1[Q_int_frac DIW],"",0)</f>
        <v>#REF!</v>
      </c>
      <c r="AH2097" s="69" t="e" cm="1">
        <f t="array" ref="AH2097">_xlfn.XLOOKUP(Table1[[#This Row],[5 cm2 cell test code]:[5 cm2 cell test code]],[1]!Table1[[Test code]:[Test code]],[1]!Table1[Ionic resistance 10 mM KOH/Ohm cm2],"",0)</f>
        <v>#REF!</v>
      </c>
      <c r="AI2097" s="69" t="e" cm="1">
        <f t="array" ref="AI2097">_xlfn.XLOOKUP(Table1[[#This Row],[5 cm2 cell test code]:[5 cm2 cell test code]],[1]!Table1[[Test code]:[Test code]],[1]!Table1[Q_int_frac DIW 10 mM KOH],"",0)</f>
        <v>#REF!</v>
      </c>
      <c r="AJ2097" s="69" t="e" cm="1">
        <f t="array" ref="AJ2097">_xlfn.XLOOKUP(Table1[[#This Row],[5 cm2 cell test code]:[5 cm2 cell test code]],[1]!Table1[[Test code]:[Test code]],[1]!Table1[DIW conductivity (µS/cm)],"",0)</f>
        <v>#REF!</v>
      </c>
    </row>
    <row r="2098" spans="1:36">
      <c r="A2098" s="81"/>
      <c r="U2098" s="101"/>
      <c r="V2098" s="101"/>
      <c r="W2098" s="69" t="e" cm="1">
        <f t="array" ref="W2098">_xlfn.XLOOKUP(Table1[[#This Row],[5 cm2 cell test code]:[5 cm2 cell test code]],[1]!Table1[[Test code]:[Test code]],[1]!Table1[i @ 1.8 V DIW (A/cm2)],"",0)</f>
        <v>#REF!</v>
      </c>
      <c r="X2098" s="69" t="e" cm="1">
        <f t="array" ref="X2098">_xlfn.XLOOKUP(Table1[[#This Row],[5 cm2 cell test code]:[5 cm2 cell test code]],[1]!Table1[[Test code]:[Test code]],[1]!Table1[i @ 1.8 V 10 mM KOH (A/cm2)],"",0)</f>
        <v>#REF!</v>
      </c>
      <c r="Y2098" s="69" t="e" cm="1">
        <f t="array" ref="Y2098">_xlfn.XLOOKUP(Table1[[#This Row],[5 cm2 cell test code]:[5 cm2 cell test code]],[1]!Table1[[Test code]:[Test code]],[1]!Table1[3-E ƞ at 20mAcm-2 (mV)],"",0)</f>
        <v>#REF!</v>
      </c>
      <c r="Z2098" s="69" t="e" cm="1">
        <f t="array" ref="Z2098">_xlfn.XLOOKUP(Table1[[#This Row],[5 cm2 cell test code]:[5 cm2 cell test code]],[1]!Table1[[Test code]:[Test code]],[1]!Table1[3-E Tafel slope (mV/dec)],"",0)</f>
        <v>#REF!</v>
      </c>
      <c r="AA2098" s="69" t="e" cm="1">
        <f t="array" ref="AA2098">_xlfn.XLOOKUP(Table1[[#This Row],[5 cm2 cell test code]:[5 cm2 cell test code]],[1]!Table1[[Test code]:[Test code]],[1]!Table1[E @ 100 mA/cm2 DIW/V],"",0)</f>
        <v>#REF!</v>
      </c>
      <c r="AB2098" s="69" t="e" cm="1">
        <f t="array" ref="AB2098">_xlfn.XLOOKUP(Table1[[#This Row],[5 cm2 cell test code]:[5 cm2 cell test code]],[1]!Table1[[Test code]:[Test code]],[1]!Table1[E @ 100 mA/cm2 10 mM KOH/V],"",0)</f>
        <v>#REF!</v>
      </c>
      <c r="AC2098" s="69" t="e" cm="1">
        <f t="array" ref="AC2098">_xlfn.XLOOKUP(Table1[[#This Row],[5 cm2 cell test code]:[5 cm2 cell test code]],[1]!Table1[[Test code]:[Test code]],[1]!Table1[Anode ICR/mOhm],"",0)</f>
        <v>#REF!</v>
      </c>
      <c r="AD2098" s="69" t="e" cm="1">
        <f t="array" ref="AD2098">_xlfn.XLOOKUP(Table1[[#This Row],[5 cm2 cell test code]:[5 cm2 cell test code]],[1]!Table1[[Test code]:[Test code]],[1]!Table1[HFR DIW/ mOhm cm2],"",0)</f>
        <v>#REF!</v>
      </c>
      <c r="AE2098" s="69" t="e" cm="1">
        <f t="array" ref="AE2098">_xlfn.XLOOKUP(Table1[[#This Row],[5 cm2 cell test code]:[5 cm2 cell test code]],[1]!Table1[[Test code]:[Test code]],[1]!Table1[HFR 10 mM KOH/ mOhm cm2],"",0)</f>
        <v>#REF!</v>
      </c>
      <c r="AF2098" s="69" t="e" cm="1">
        <f t="array" ref="AF2098">_xlfn.XLOOKUP(Table1[[#This Row],[5 cm2 cell test code]:[5 cm2 cell test code]],[1]!Table1[[Test code]:[Test code]],[1]!Table1[Ionic resistance DIW/Ohm cm2],"",0)</f>
        <v>#REF!</v>
      </c>
      <c r="AG2098" s="69" t="e" cm="1">
        <f t="array" ref="AG2098">_xlfn.XLOOKUP(Table1[[#This Row],[5 cm2 cell test code]:[5 cm2 cell test code]],[1]!Table1[[Test code]:[Test code]],[1]!Table1[Q_int_frac DIW],"",0)</f>
        <v>#REF!</v>
      </c>
      <c r="AH2098" s="69" t="e" cm="1">
        <f t="array" ref="AH2098">_xlfn.XLOOKUP(Table1[[#This Row],[5 cm2 cell test code]:[5 cm2 cell test code]],[1]!Table1[[Test code]:[Test code]],[1]!Table1[Ionic resistance 10 mM KOH/Ohm cm2],"",0)</f>
        <v>#REF!</v>
      </c>
      <c r="AI2098" s="69" t="e" cm="1">
        <f t="array" ref="AI2098">_xlfn.XLOOKUP(Table1[[#This Row],[5 cm2 cell test code]:[5 cm2 cell test code]],[1]!Table1[[Test code]:[Test code]],[1]!Table1[Q_int_frac DIW 10 mM KOH],"",0)</f>
        <v>#REF!</v>
      </c>
      <c r="AJ2098" s="69" t="e" cm="1">
        <f t="array" ref="AJ2098">_xlfn.XLOOKUP(Table1[[#This Row],[5 cm2 cell test code]:[5 cm2 cell test code]],[1]!Table1[[Test code]:[Test code]],[1]!Table1[DIW conductivity (µS/cm)],"",0)</f>
        <v>#REF!</v>
      </c>
    </row>
    <row r="2099" spans="1:36">
      <c r="A2099" s="81"/>
      <c r="U2099" s="101"/>
      <c r="V2099" s="101"/>
      <c r="W2099" s="69" t="e" cm="1">
        <f t="array" ref="W2099">_xlfn.XLOOKUP(Table1[[#This Row],[5 cm2 cell test code]:[5 cm2 cell test code]],[1]!Table1[[Test code]:[Test code]],[1]!Table1[i @ 1.8 V DIW (A/cm2)],"",0)</f>
        <v>#REF!</v>
      </c>
      <c r="X2099" s="69" t="e" cm="1">
        <f t="array" ref="X2099">_xlfn.XLOOKUP(Table1[[#This Row],[5 cm2 cell test code]:[5 cm2 cell test code]],[1]!Table1[[Test code]:[Test code]],[1]!Table1[i @ 1.8 V 10 mM KOH (A/cm2)],"",0)</f>
        <v>#REF!</v>
      </c>
      <c r="Y2099" s="69" t="e" cm="1">
        <f t="array" ref="Y2099">_xlfn.XLOOKUP(Table1[[#This Row],[5 cm2 cell test code]:[5 cm2 cell test code]],[1]!Table1[[Test code]:[Test code]],[1]!Table1[3-E ƞ at 20mAcm-2 (mV)],"",0)</f>
        <v>#REF!</v>
      </c>
      <c r="Z2099" s="69" t="e" cm="1">
        <f t="array" ref="Z2099">_xlfn.XLOOKUP(Table1[[#This Row],[5 cm2 cell test code]:[5 cm2 cell test code]],[1]!Table1[[Test code]:[Test code]],[1]!Table1[3-E Tafel slope (mV/dec)],"",0)</f>
        <v>#REF!</v>
      </c>
      <c r="AA2099" s="69" t="e" cm="1">
        <f t="array" ref="AA2099">_xlfn.XLOOKUP(Table1[[#This Row],[5 cm2 cell test code]:[5 cm2 cell test code]],[1]!Table1[[Test code]:[Test code]],[1]!Table1[E @ 100 mA/cm2 DIW/V],"",0)</f>
        <v>#REF!</v>
      </c>
      <c r="AB2099" s="69" t="e" cm="1">
        <f t="array" ref="AB2099">_xlfn.XLOOKUP(Table1[[#This Row],[5 cm2 cell test code]:[5 cm2 cell test code]],[1]!Table1[[Test code]:[Test code]],[1]!Table1[E @ 100 mA/cm2 10 mM KOH/V],"",0)</f>
        <v>#REF!</v>
      </c>
      <c r="AC2099" s="69" t="e" cm="1">
        <f t="array" ref="AC2099">_xlfn.XLOOKUP(Table1[[#This Row],[5 cm2 cell test code]:[5 cm2 cell test code]],[1]!Table1[[Test code]:[Test code]],[1]!Table1[Anode ICR/mOhm],"",0)</f>
        <v>#REF!</v>
      </c>
      <c r="AD2099" s="69" t="e" cm="1">
        <f t="array" ref="AD2099">_xlfn.XLOOKUP(Table1[[#This Row],[5 cm2 cell test code]:[5 cm2 cell test code]],[1]!Table1[[Test code]:[Test code]],[1]!Table1[HFR DIW/ mOhm cm2],"",0)</f>
        <v>#REF!</v>
      </c>
      <c r="AE2099" s="69" t="e" cm="1">
        <f t="array" ref="AE2099">_xlfn.XLOOKUP(Table1[[#This Row],[5 cm2 cell test code]:[5 cm2 cell test code]],[1]!Table1[[Test code]:[Test code]],[1]!Table1[HFR 10 mM KOH/ mOhm cm2],"",0)</f>
        <v>#REF!</v>
      </c>
      <c r="AF2099" s="69" t="e" cm="1">
        <f t="array" ref="AF2099">_xlfn.XLOOKUP(Table1[[#This Row],[5 cm2 cell test code]:[5 cm2 cell test code]],[1]!Table1[[Test code]:[Test code]],[1]!Table1[Ionic resistance DIW/Ohm cm2],"",0)</f>
        <v>#REF!</v>
      </c>
      <c r="AG2099" s="69" t="e" cm="1">
        <f t="array" ref="AG2099">_xlfn.XLOOKUP(Table1[[#This Row],[5 cm2 cell test code]:[5 cm2 cell test code]],[1]!Table1[[Test code]:[Test code]],[1]!Table1[Q_int_frac DIW],"",0)</f>
        <v>#REF!</v>
      </c>
      <c r="AH2099" s="69" t="e" cm="1">
        <f t="array" ref="AH2099">_xlfn.XLOOKUP(Table1[[#This Row],[5 cm2 cell test code]:[5 cm2 cell test code]],[1]!Table1[[Test code]:[Test code]],[1]!Table1[Ionic resistance 10 mM KOH/Ohm cm2],"",0)</f>
        <v>#REF!</v>
      </c>
      <c r="AI2099" s="69" t="e" cm="1">
        <f t="array" ref="AI2099">_xlfn.XLOOKUP(Table1[[#This Row],[5 cm2 cell test code]:[5 cm2 cell test code]],[1]!Table1[[Test code]:[Test code]],[1]!Table1[Q_int_frac DIW 10 mM KOH],"",0)</f>
        <v>#REF!</v>
      </c>
      <c r="AJ2099" s="69" t="e" cm="1">
        <f t="array" ref="AJ2099">_xlfn.XLOOKUP(Table1[[#This Row],[5 cm2 cell test code]:[5 cm2 cell test code]],[1]!Table1[[Test code]:[Test code]],[1]!Table1[DIW conductivity (µS/cm)],"",0)</f>
        <v>#REF!</v>
      </c>
    </row>
    <row r="2100" spans="1:36">
      <c r="A2100" s="81"/>
      <c r="U2100" s="101"/>
      <c r="V2100" s="101"/>
      <c r="W2100" s="69" t="e" cm="1">
        <f t="array" ref="W2100">_xlfn.XLOOKUP(Table1[[#This Row],[5 cm2 cell test code]:[5 cm2 cell test code]],[1]!Table1[[Test code]:[Test code]],[1]!Table1[i @ 1.8 V DIW (A/cm2)],"",0)</f>
        <v>#REF!</v>
      </c>
      <c r="X2100" s="69" t="e" cm="1">
        <f t="array" ref="X2100">_xlfn.XLOOKUP(Table1[[#This Row],[5 cm2 cell test code]:[5 cm2 cell test code]],[1]!Table1[[Test code]:[Test code]],[1]!Table1[i @ 1.8 V 10 mM KOH (A/cm2)],"",0)</f>
        <v>#REF!</v>
      </c>
      <c r="Y2100" s="69" t="e" cm="1">
        <f t="array" ref="Y2100">_xlfn.XLOOKUP(Table1[[#This Row],[5 cm2 cell test code]:[5 cm2 cell test code]],[1]!Table1[[Test code]:[Test code]],[1]!Table1[3-E ƞ at 20mAcm-2 (mV)],"",0)</f>
        <v>#REF!</v>
      </c>
      <c r="Z2100" s="69" t="e" cm="1">
        <f t="array" ref="Z2100">_xlfn.XLOOKUP(Table1[[#This Row],[5 cm2 cell test code]:[5 cm2 cell test code]],[1]!Table1[[Test code]:[Test code]],[1]!Table1[3-E Tafel slope (mV/dec)],"",0)</f>
        <v>#REF!</v>
      </c>
      <c r="AA2100" s="69" t="e" cm="1">
        <f t="array" ref="AA2100">_xlfn.XLOOKUP(Table1[[#This Row],[5 cm2 cell test code]:[5 cm2 cell test code]],[1]!Table1[[Test code]:[Test code]],[1]!Table1[E @ 100 mA/cm2 DIW/V],"",0)</f>
        <v>#REF!</v>
      </c>
      <c r="AB2100" s="69" t="e" cm="1">
        <f t="array" ref="AB2100">_xlfn.XLOOKUP(Table1[[#This Row],[5 cm2 cell test code]:[5 cm2 cell test code]],[1]!Table1[[Test code]:[Test code]],[1]!Table1[E @ 100 mA/cm2 10 mM KOH/V],"",0)</f>
        <v>#REF!</v>
      </c>
      <c r="AC2100" s="69" t="e" cm="1">
        <f t="array" ref="AC2100">_xlfn.XLOOKUP(Table1[[#This Row],[5 cm2 cell test code]:[5 cm2 cell test code]],[1]!Table1[[Test code]:[Test code]],[1]!Table1[Anode ICR/mOhm],"",0)</f>
        <v>#REF!</v>
      </c>
      <c r="AD2100" s="69" t="e" cm="1">
        <f t="array" ref="AD2100">_xlfn.XLOOKUP(Table1[[#This Row],[5 cm2 cell test code]:[5 cm2 cell test code]],[1]!Table1[[Test code]:[Test code]],[1]!Table1[HFR DIW/ mOhm cm2],"",0)</f>
        <v>#REF!</v>
      </c>
      <c r="AE2100" s="69" t="e" cm="1">
        <f t="array" ref="AE2100">_xlfn.XLOOKUP(Table1[[#This Row],[5 cm2 cell test code]:[5 cm2 cell test code]],[1]!Table1[[Test code]:[Test code]],[1]!Table1[HFR 10 mM KOH/ mOhm cm2],"",0)</f>
        <v>#REF!</v>
      </c>
      <c r="AF2100" s="69" t="e" cm="1">
        <f t="array" ref="AF2100">_xlfn.XLOOKUP(Table1[[#This Row],[5 cm2 cell test code]:[5 cm2 cell test code]],[1]!Table1[[Test code]:[Test code]],[1]!Table1[Ionic resistance DIW/Ohm cm2],"",0)</f>
        <v>#REF!</v>
      </c>
      <c r="AG2100" s="69" t="e" cm="1">
        <f t="array" ref="AG2100">_xlfn.XLOOKUP(Table1[[#This Row],[5 cm2 cell test code]:[5 cm2 cell test code]],[1]!Table1[[Test code]:[Test code]],[1]!Table1[Q_int_frac DIW],"",0)</f>
        <v>#REF!</v>
      </c>
      <c r="AH2100" s="69" t="e" cm="1">
        <f t="array" ref="AH2100">_xlfn.XLOOKUP(Table1[[#This Row],[5 cm2 cell test code]:[5 cm2 cell test code]],[1]!Table1[[Test code]:[Test code]],[1]!Table1[Ionic resistance 10 mM KOH/Ohm cm2],"",0)</f>
        <v>#REF!</v>
      </c>
      <c r="AI2100" s="69" t="e" cm="1">
        <f t="array" ref="AI2100">_xlfn.XLOOKUP(Table1[[#This Row],[5 cm2 cell test code]:[5 cm2 cell test code]],[1]!Table1[[Test code]:[Test code]],[1]!Table1[Q_int_frac DIW 10 mM KOH],"",0)</f>
        <v>#REF!</v>
      </c>
      <c r="AJ2100" s="69" t="e" cm="1">
        <f t="array" ref="AJ2100">_xlfn.XLOOKUP(Table1[[#This Row],[5 cm2 cell test code]:[5 cm2 cell test code]],[1]!Table1[[Test code]:[Test code]],[1]!Table1[DIW conductivity (µS/cm)],"",0)</f>
        <v>#REF!</v>
      </c>
    </row>
    <row r="2101" spans="1:36">
      <c r="A2101" s="81"/>
      <c r="U2101" s="101"/>
      <c r="V2101" s="101"/>
      <c r="W2101" s="69" t="e" cm="1">
        <f t="array" ref="W2101">_xlfn.XLOOKUP(Table1[[#This Row],[5 cm2 cell test code]:[5 cm2 cell test code]],[1]!Table1[[Test code]:[Test code]],[1]!Table1[i @ 1.8 V DIW (A/cm2)],"",0)</f>
        <v>#REF!</v>
      </c>
      <c r="X2101" s="69" t="e" cm="1">
        <f t="array" ref="X2101">_xlfn.XLOOKUP(Table1[[#This Row],[5 cm2 cell test code]:[5 cm2 cell test code]],[1]!Table1[[Test code]:[Test code]],[1]!Table1[i @ 1.8 V 10 mM KOH (A/cm2)],"",0)</f>
        <v>#REF!</v>
      </c>
      <c r="Y2101" s="69" t="e" cm="1">
        <f t="array" ref="Y2101">_xlfn.XLOOKUP(Table1[[#This Row],[5 cm2 cell test code]:[5 cm2 cell test code]],[1]!Table1[[Test code]:[Test code]],[1]!Table1[3-E ƞ at 20mAcm-2 (mV)],"",0)</f>
        <v>#REF!</v>
      </c>
      <c r="Z2101" s="69" t="e" cm="1">
        <f t="array" ref="Z2101">_xlfn.XLOOKUP(Table1[[#This Row],[5 cm2 cell test code]:[5 cm2 cell test code]],[1]!Table1[[Test code]:[Test code]],[1]!Table1[3-E Tafel slope (mV/dec)],"",0)</f>
        <v>#REF!</v>
      </c>
      <c r="AA2101" s="69" t="e" cm="1">
        <f t="array" ref="AA2101">_xlfn.XLOOKUP(Table1[[#This Row],[5 cm2 cell test code]:[5 cm2 cell test code]],[1]!Table1[[Test code]:[Test code]],[1]!Table1[E @ 100 mA/cm2 DIW/V],"",0)</f>
        <v>#REF!</v>
      </c>
      <c r="AB2101" s="69" t="e" cm="1">
        <f t="array" ref="AB2101">_xlfn.XLOOKUP(Table1[[#This Row],[5 cm2 cell test code]:[5 cm2 cell test code]],[1]!Table1[[Test code]:[Test code]],[1]!Table1[E @ 100 mA/cm2 10 mM KOH/V],"",0)</f>
        <v>#REF!</v>
      </c>
      <c r="AC2101" s="69" t="e" cm="1">
        <f t="array" ref="AC2101">_xlfn.XLOOKUP(Table1[[#This Row],[5 cm2 cell test code]:[5 cm2 cell test code]],[1]!Table1[[Test code]:[Test code]],[1]!Table1[Anode ICR/mOhm],"",0)</f>
        <v>#REF!</v>
      </c>
      <c r="AD2101" s="69" t="e" cm="1">
        <f t="array" ref="AD2101">_xlfn.XLOOKUP(Table1[[#This Row],[5 cm2 cell test code]:[5 cm2 cell test code]],[1]!Table1[[Test code]:[Test code]],[1]!Table1[HFR DIW/ mOhm cm2],"",0)</f>
        <v>#REF!</v>
      </c>
      <c r="AE2101" s="69" t="e" cm="1">
        <f t="array" ref="AE2101">_xlfn.XLOOKUP(Table1[[#This Row],[5 cm2 cell test code]:[5 cm2 cell test code]],[1]!Table1[[Test code]:[Test code]],[1]!Table1[HFR 10 mM KOH/ mOhm cm2],"",0)</f>
        <v>#REF!</v>
      </c>
      <c r="AF2101" s="69" t="e" cm="1">
        <f t="array" ref="AF2101">_xlfn.XLOOKUP(Table1[[#This Row],[5 cm2 cell test code]:[5 cm2 cell test code]],[1]!Table1[[Test code]:[Test code]],[1]!Table1[Ionic resistance DIW/Ohm cm2],"",0)</f>
        <v>#REF!</v>
      </c>
      <c r="AG2101" s="69" t="e" cm="1">
        <f t="array" ref="AG2101">_xlfn.XLOOKUP(Table1[[#This Row],[5 cm2 cell test code]:[5 cm2 cell test code]],[1]!Table1[[Test code]:[Test code]],[1]!Table1[Q_int_frac DIW],"",0)</f>
        <v>#REF!</v>
      </c>
      <c r="AH2101" s="69" t="e" cm="1">
        <f t="array" ref="AH2101">_xlfn.XLOOKUP(Table1[[#This Row],[5 cm2 cell test code]:[5 cm2 cell test code]],[1]!Table1[[Test code]:[Test code]],[1]!Table1[Ionic resistance 10 mM KOH/Ohm cm2],"",0)</f>
        <v>#REF!</v>
      </c>
      <c r="AI2101" s="69" t="e" cm="1">
        <f t="array" ref="AI2101">_xlfn.XLOOKUP(Table1[[#This Row],[5 cm2 cell test code]:[5 cm2 cell test code]],[1]!Table1[[Test code]:[Test code]],[1]!Table1[Q_int_frac DIW 10 mM KOH],"",0)</f>
        <v>#REF!</v>
      </c>
      <c r="AJ2101" s="69" t="e" cm="1">
        <f t="array" ref="AJ2101">_xlfn.XLOOKUP(Table1[[#This Row],[5 cm2 cell test code]:[5 cm2 cell test code]],[1]!Table1[[Test code]:[Test code]],[1]!Table1[DIW conductivity (µS/cm)],"",0)</f>
        <v>#REF!</v>
      </c>
    </row>
    <row r="2102" spans="1:36">
      <c r="A2102" s="81"/>
      <c r="U2102" s="101"/>
      <c r="V2102" s="101"/>
      <c r="W2102" s="69" t="e" cm="1">
        <f t="array" ref="W2102">_xlfn.XLOOKUP(Table1[[#This Row],[5 cm2 cell test code]:[5 cm2 cell test code]],[1]!Table1[[Test code]:[Test code]],[1]!Table1[i @ 1.8 V DIW (A/cm2)],"",0)</f>
        <v>#REF!</v>
      </c>
      <c r="X2102" s="69" t="e" cm="1">
        <f t="array" ref="X2102">_xlfn.XLOOKUP(Table1[[#This Row],[5 cm2 cell test code]:[5 cm2 cell test code]],[1]!Table1[[Test code]:[Test code]],[1]!Table1[i @ 1.8 V 10 mM KOH (A/cm2)],"",0)</f>
        <v>#REF!</v>
      </c>
      <c r="Y2102" s="69" t="e" cm="1">
        <f t="array" ref="Y2102">_xlfn.XLOOKUP(Table1[[#This Row],[5 cm2 cell test code]:[5 cm2 cell test code]],[1]!Table1[[Test code]:[Test code]],[1]!Table1[3-E ƞ at 20mAcm-2 (mV)],"",0)</f>
        <v>#REF!</v>
      </c>
      <c r="Z2102" s="69" t="e" cm="1">
        <f t="array" ref="Z2102">_xlfn.XLOOKUP(Table1[[#This Row],[5 cm2 cell test code]:[5 cm2 cell test code]],[1]!Table1[[Test code]:[Test code]],[1]!Table1[3-E Tafel slope (mV/dec)],"",0)</f>
        <v>#REF!</v>
      </c>
      <c r="AA2102" s="69" t="e" cm="1">
        <f t="array" ref="AA2102">_xlfn.XLOOKUP(Table1[[#This Row],[5 cm2 cell test code]:[5 cm2 cell test code]],[1]!Table1[[Test code]:[Test code]],[1]!Table1[E @ 100 mA/cm2 DIW/V],"",0)</f>
        <v>#REF!</v>
      </c>
      <c r="AB2102" s="69" t="e" cm="1">
        <f t="array" ref="AB2102">_xlfn.XLOOKUP(Table1[[#This Row],[5 cm2 cell test code]:[5 cm2 cell test code]],[1]!Table1[[Test code]:[Test code]],[1]!Table1[E @ 100 mA/cm2 10 mM KOH/V],"",0)</f>
        <v>#REF!</v>
      </c>
      <c r="AC2102" s="69" t="e" cm="1">
        <f t="array" ref="AC2102">_xlfn.XLOOKUP(Table1[[#This Row],[5 cm2 cell test code]:[5 cm2 cell test code]],[1]!Table1[[Test code]:[Test code]],[1]!Table1[Anode ICR/mOhm],"",0)</f>
        <v>#REF!</v>
      </c>
      <c r="AD2102" s="69" t="e" cm="1">
        <f t="array" ref="AD2102">_xlfn.XLOOKUP(Table1[[#This Row],[5 cm2 cell test code]:[5 cm2 cell test code]],[1]!Table1[[Test code]:[Test code]],[1]!Table1[HFR DIW/ mOhm cm2],"",0)</f>
        <v>#REF!</v>
      </c>
      <c r="AE2102" s="69" t="e" cm="1">
        <f t="array" ref="AE2102">_xlfn.XLOOKUP(Table1[[#This Row],[5 cm2 cell test code]:[5 cm2 cell test code]],[1]!Table1[[Test code]:[Test code]],[1]!Table1[HFR 10 mM KOH/ mOhm cm2],"",0)</f>
        <v>#REF!</v>
      </c>
      <c r="AF2102" s="69" t="e" cm="1">
        <f t="array" ref="AF2102">_xlfn.XLOOKUP(Table1[[#This Row],[5 cm2 cell test code]:[5 cm2 cell test code]],[1]!Table1[[Test code]:[Test code]],[1]!Table1[Ionic resistance DIW/Ohm cm2],"",0)</f>
        <v>#REF!</v>
      </c>
      <c r="AG2102" s="69" t="e" cm="1">
        <f t="array" ref="AG2102">_xlfn.XLOOKUP(Table1[[#This Row],[5 cm2 cell test code]:[5 cm2 cell test code]],[1]!Table1[[Test code]:[Test code]],[1]!Table1[Q_int_frac DIW],"",0)</f>
        <v>#REF!</v>
      </c>
      <c r="AH2102" s="69" t="e" cm="1">
        <f t="array" ref="AH2102">_xlfn.XLOOKUP(Table1[[#This Row],[5 cm2 cell test code]:[5 cm2 cell test code]],[1]!Table1[[Test code]:[Test code]],[1]!Table1[Ionic resistance 10 mM KOH/Ohm cm2],"",0)</f>
        <v>#REF!</v>
      </c>
      <c r="AI2102" s="69" t="e" cm="1">
        <f t="array" ref="AI2102">_xlfn.XLOOKUP(Table1[[#This Row],[5 cm2 cell test code]:[5 cm2 cell test code]],[1]!Table1[[Test code]:[Test code]],[1]!Table1[Q_int_frac DIW 10 mM KOH],"",0)</f>
        <v>#REF!</v>
      </c>
      <c r="AJ2102" s="69" t="e" cm="1">
        <f t="array" ref="AJ2102">_xlfn.XLOOKUP(Table1[[#This Row],[5 cm2 cell test code]:[5 cm2 cell test code]],[1]!Table1[[Test code]:[Test code]],[1]!Table1[DIW conductivity (µS/cm)],"",0)</f>
        <v>#REF!</v>
      </c>
    </row>
    <row r="2103" spans="1:36">
      <c r="A2103" s="81"/>
      <c r="U2103" s="101"/>
      <c r="V2103" s="101"/>
      <c r="W2103" s="69" t="e" cm="1">
        <f t="array" ref="W2103">_xlfn.XLOOKUP(Table1[[#This Row],[5 cm2 cell test code]:[5 cm2 cell test code]],[1]!Table1[[Test code]:[Test code]],[1]!Table1[i @ 1.8 V DIW (A/cm2)],"",0)</f>
        <v>#REF!</v>
      </c>
      <c r="X2103" s="69" t="e" cm="1">
        <f t="array" ref="X2103">_xlfn.XLOOKUP(Table1[[#This Row],[5 cm2 cell test code]:[5 cm2 cell test code]],[1]!Table1[[Test code]:[Test code]],[1]!Table1[i @ 1.8 V 10 mM KOH (A/cm2)],"",0)</f>
        <v>#REF!</v>
      </c>
      <c r="Y2103" s="69" t="e" cm="1">
        <f t="array" ref="Y2103">_xlfn.XLOOKUP(Table1[[#This Row],[5 cm2 cell test code]:[5 cm2 cell test code]],[1]!Table1[[Test code]:[Test code]],[1]!Table1[3-E ƞ at 20mAcm-2 (mV)],"",0)</f>
        <v>#REF!</v>
      </c>
      <c r="Z2103" s="69" t="e" cm="1">
        <f t="array" ref="Z2103">_xlfn.XLOOKUP(Table1[[#This Row],[5 cm2 cell test code]:[5 cm2 cell test code]],[1]!Table1[[Test code]:[Test code]],[1]!Table1[3-E Tafel slope (mV/dec)],"",0)</f>
        <v>#REF!</v>
      </c>
      <c r="AA2103" s="69" t="e" cm="1">
        <f t="array" ref="AA2103">_xlfn.XLOOKUP(Table1[[#This Row],[5 cm2 cell test code]:[5 cm2 cell test code]],[1]!Table1[[Test code]:[Test code]],[1]!Table1[E @ 100 mA/cm2 DIW/V],"",0)</f>
        <v>#REF!</v>
      </c>
      <c r="AB2103" s="69" t="e" cm="1">
        <f t="array" ref="AB2103">_xlfn.XLOOKUP(Table1[[#This Row],[5 cm2 cell test code]:[5 cm2 cell test code]],[1]!Table1[[Test code]:[Test code]],[1]!Table1[E @ 100 mA/cm2 10 mM KOH/V],"",0)</f>
        <v>#REF!</v>
      </c>
      <c r="AC2103" s="69" t="e" cm="1">
        <f t="array" ref="AC2103">_xlfn.XLOOKUP(Table1[[#This Row],[5 cm2 cell test code]:[5 cm2 cell test code]],[1]!Table1[[Test code]:[Test code]],[1]!Table1[Anode ICR/mOhm],"",0)</f>
        <v>#REF!</v>
      </c>
      <c r="AD2103" s="69" t="e" cm="1">
        <f t="array" ref="AD2103">_xlfn.XLOOKUP(Table1[[#This Row],[5 cm2 cell test code]:[5 cm2 cell test code]],[1]!Table1[[Test code]:[Test code]],[1]!Table1[HFR DIW/ mOhm cm2],"",0)</f>
        <v>#REF!</v>
      </c>
      <c r="AE2103" s="69" t="e" cm="1">
        <f t="array" ref="AE2103">_xlfn.XLOOKUP(Table1[[#This Row],[5 cm2 cell test code]:[5 cm2 cell test code]],[1]!Table1[[Test code]:[Test code]],[1]!Table1[HFR 10 mM KOH/ mOhm cm2],"",0)</f>
        <v>#REF!</v>
      </c>
      <c r="AF2103" s="69" t="e" cm="1">
        <f t="array" ref="AF2103">_xlfn.XLOOKUP(Table1[[#This Row],[5 cm2 cell test code]:[5 cm2 cell test code]],[1]!Table1[[Test code]:[Test code]],[1]!Table1[Ionic resistance DIW/Ohm cm2],"",0)</f>
        <v>#REF!</v>
      </c>
      <c r="AG2103" s="69" t="e" cm="1">
        <f t="array" ref="AG2103">_xlfn.XLOOKUP(Table1[[#This Row],[5 cm2 cell test code]:[5 cm2 cell test code]],[1]!Table1[[Test code]:[Test code]],[1]!Table1[Q_int_frac DIW],"",0)</f>
        <v>#REF!</v>
      </c>
      <c r="AH2103" s="69" t="e" cm="1">
        <f t="array" ref="AH2103">_xlfn.XLOOKUP(Table1[[#This Row],[5 cm2 cell test code]:[5 cm2 cell test code]],[1]!Table1[[Test code]:[Test code]],[1]!Table1[Ionic resistance 10 mM KOH/Ohm cm2],"",0)</f>
        <v>#REF!</v>
      </c>
      <c r="AI2103" s="69" t="e" cm="1">
        <f t="array" ref="AI2103">_xlfn.XLOOKUP(Table1[[#This Row],[5 cm2 cell test code]:[5 cm2 cell test code]],[1]!Table1[[Test code]:[Test code]],[1]!Table1[Q_int_frac DIW 10 mM KOH],"",0)</f>
        <v>#REF!</v>
      </c>
      <c r="AJ2103" s="69" t="e" cm="1">
        <f t="array" ref="AJ2103">_xlfn.XLOOKUP(Table1[[#This Row],[5 cm2 cell test code]:[5 cm2 cell test code]],[1]!Table1[[Test code]:[Test code]],[1]!Table1[DIW conductivity (µS/cm)],"",0)</f>
        <v>#REF!</v>
      </c>
    </row>
    <row r="2104" spans="1:36">
      <c r="A2104" s="81"/>
      <c r="U2104" s="101"/>
      <c r="V2104" s="101"/>
      <c r="W2104" s="69" t="e" cm="1">
        <f t="array" ref="W2104">_xlfn.XLOOKUP(Table1[[#This Row],[5 cm2 cell test code]:[5 cm2 cell test code]],[1]!Table1[[Test code]:[Test code]],[1]!Table1[i @ 1.8 V DIW (A/cm2)],"",0)</f>
        <v>#REF!</v>
      </c>
      <c r="X2104" s="69" t="e" cm="1">
        <f t="array" ref="X2104">_xlfn.XLOOKUP(Table1[[#This Row],[5 cm2 cell test code]:[5 cm2 cell test code]],[1]!Table1[[Test code]:[Test code]],[1]!Table1[i @ 1.8 V 10 mM KOH (A/cm2)],"",0)</f>
        <v>#REF!</v>
      </c>
      <c r="Y2104" s="69" t="e" cm="1">
        <f t="array" ref="Y2104">_xlfn.XLOOKUP(Table1[[#This Row],[5 cm2 cell test code]:[5 cm2 cell test code]],[1]!Table1[[Test code]:[Test code]],[1]!Table1[3-E ƞ at 20mAcm-2 (mV)],"",0)</f>
        <v>#REF!</v>
      </c>
      <c r="Z2104" s="69" t="e" cm="1">
        <f t="array" ref="Z2104">_xlfn.XLOOKUP(Table1[[#This Row],[5 cm2 cell test code]:[5 cm2 cell test code]],[1]!Table1[[Test code]:[Test code]],[1]!Table1[3-E Tafel slope (mV/dec)],"",0)</f>
        <v>#REF!</v>
      </c>
      <c r="AA2104" s="69" t="e" cm="1">
        <f t="array" ref="AA2104">_xlfn.XLOOKUP(Table1[[#This Row],[5 cm2 cell test code]:[5 cm2 cell test code]],[1]!Table1[[Test code]:[Test code]],[1]!Table1[E @ 100 mA/cm2 DIW/V],"",0)</f>
        <v>#REF!</v>
      </c>
      <c r="AB2104" s="69" t="e" cm="1">
        <f t="array" ref="AB2104">_xlfn.XLOOKUP(Table1[[#This Row],[5 cm2 cell test code]:[5 cm2 cell test code]],[1]!Table1[[Test code]:[Test code]],[1]!Table1[E @ 100 mA/cm2 10 mM KOH/V],"",0)</f>
        <v>#REF!</v>
      </c>
      <c r="AC2104" s="69" t="e" cm="1">
        <f t="array" ref="AC2104">_xlfn.XLOOKUP(Table1[[#This Row],[5 cm2 cell test code]:[5 cm2 cell test code]],[1]!Table1[[Test code]:[Test code]],[1]!Table1[Anode ICR/mOhm],"",0)</f>
        <v>#REF!</v>
      </c>
      <c r="AD2104" s="69" t="e" cm="1">
        <f t="array" ref="AD2104">_xlfn.XLOOKUP(Table1[[#This Row],[5 cm2 cell test code]:[5 cm2 cell test code]],[1]!Table1[[Test code]:[Test code]],[1]!Table1[HFR DIW/ mOhm cm2],"",0)</f>
        <v>#REF!</v>
      </c>
      <c r="AE2104" s="69" t="e" cm="1">
        <f t="array" ref="AE2104">_xlfn.XLOOKUP(Table1[[#This Row],[5 cm2 cell test code]:[5 cm2 cell test code]],[1]!Table1[[Test code]:[Test code]],[1]!Table1[HFR 10 mM KOH/ mOhm cm2],"",0)</f>
        <v>#REF!</v>
      </c>
      <c r="AF2104" s="69" t="e" cm="1">
        <f t="array" ref="AF2104">_xlfn.XLOOKUP(Table1[[#This Row],[5 cm2 cell test code]:[5 cm2 cell test code]],[1]!Table1[[Test code]:[Test code]],[1]!Table1[Ionic resistance DIW/Ohm cm2],"",0)</f>
        <v>#REF!</v>
      </c>
      <c r="AG2104" s="69" t="e" cm="1">
        <f t="array" ref="AG2104">_xlfn.XLOOKUP(Table1[[#This Row],[5 cm2 cell test code]:[5 cm2 cell test code]],[1]!Table1[[Test code]:[Test code]],[1]!Table1[Q_int_frac DIW],"",0)</f>
        <v>#REF!</v>
      </c>
      <c r="AH2104" s="69" t="e" cm="1">
        <f t="array" ref="AH2104">_xlfn.XLOOKUP(Table1[[#This Row],[5 cm2 cell test code]:[5 cm2 cell test code]],[1]!Table1[[Test code]:[Test code]],[1]!Table1[Ionic resistance 10 mM KOH/Ohm cm2],"",0)</f>
        <v>#REF!</v>
      </c>
      <c r="AI2104" s="69" t="e" cm="1">
        <f t="array" ref="AI2104">_xlfn.XLOOKUP(Table1[[#This Row],[5 cm2 cell test code]:[5 cm2 cell test code]],[1]!Table1[[Test code]:[Test code]],[1]!Table1[Q_int_frac DIW 10 mM KOH],"",0)</f>
        <v>#REF!</v>
      </c>
      <c r="AJ2104" s="69" t="e" cm="1">
        <f t="array" ref="AJ2104">_xlfn.XLOOKUP(Table1[[#This Row],[5 cm2 cell test code]:[5 cm2 cell test code]],[1]!Table1[[Test code]:[Test code]],[1]!Table1[DIW conductivity (µS/cm)],"",0)</f>
        <v>#REF!</v>
      </c>
    </row>
    <row r="2105" spans="1:36">
      <c r="A2105" s="81"/>
      <c r="U2105" s="101"/>
      <c r="V2105" s="101"/>
      <c r="W2105" s="69" t="e" cm="1">
        <f t="array" ref="W2105">_xlfn.XLOOKUP(Table1[[#This Row],[5 cm2 cell test code]:[5 cm2 cell test code]],[1]!Table1[[Test code]:[Test code]],[1]!Table1[i @ 1.8 V DIW (A/cm2)],"",0)</f>
        <v>#REF!</v>
      </c>
      <c r="X2105" s="69" t="e" cm="1">
        <f t="array" ref="X2105">_xlfn.XLOOKUP(Table1[[#This Row],[5 cm2 cell test code]:[5 cm2 cell test code]],[1]!Table1[[Test code]:[Test code]],[1]!Table1[i @ 1.8 V 10 mM KOH (A/cm2)],"",0)</f>
        <v>#REF!</v>
      </c>
      <c r="Y2105" s="69" t="e" cm="1">
        <f t="array" ref="Y2105">_xlfn.XLOOKUP(Table1[[#This Row],[5 cm2 cell test code]:[5 cm2 cell test code]],[1]!Table1[[Test code]:[Test code]],[1]!Table1[3-E ƞ at 20mAcm-2 (mV)],"",0)</f>
        <v>#REF!</v>
      </c>
      <c r="Z2105" s="69" t="e" cm="1">
        <f t="array" ref="Z2105">_xlfn.XLOOKUP(Table1[[#This Row],[5 cm2 cell test code]:[5 cm2 cell test code]],[1]!Table1[[Test code]:[Test code]],[1]!Table1[3-E Tafel slope (mV/dec)],"",0)</f>
        <v>#REF!</v>
      </c>
      <c r="AA2105" s="69" t="e" cm="1">
        <f t="array" ref="AA2105">_xlfn.XLOOKUP(Table1[[#This Row],[5 cm2 cell test code]:[5 cm2 cell test code]],[1]!Table1[[Test code]:[Test code]],[1]!Table1[E @ 100 mA/cm2 DIW/V],"",0)</f>
        <v>#REF!</v>
      </c>
      <c r="AB2105" s="69" t="e" cm="1">
        <f t="array" ref="AB2105">_xlfn.XLOOKUP(Table1[[#This Row],[5 cm2 cell test code]:[5 cm2 cell test code]],[1]!Table1[[Test code]:[Test code]],[1]!Table1[E @ 100 mA/cm2 10 mM KOH/V],"",0)</f>
        <v>#REF!</v>
      </c>
      <c r="AC2105" s="69" t="e" cm="1">
        <f t="array" ref="AC2105">_xlfn.XLOOKUP(Table1[[#This Row],[5 cm2 cell test code]:[5 cm2 cell test code]],[1]!Table1[[Test code]:[Test code]],[1]!Table1[Anode ICR/mOhm],"",0)</f>
        <v>#REF!</v>
      </c>
      <c r="AD2105" s="69" t="e" cm="1">
        <f t="array" ref="AD2105">_xlfn.XLOOKUP(Table1[[#This Row],[5 cm2 cell test code]:[5 cm2 cell test code]],[1]!Table1[[Test code]:[Test code]],[1]!Table1[HFR DIW/ mOhm cm2],"",0)</f>
        <v>#REF!</v>
      </c>
      <c r="AE2105" s="69" t="e" cm="1">
        <f t="array" ref="AE2105">_xlfn.XLOOKUP(Table1[[#This Row],[5 cm2 cell test code]:[5 cm2 cell test code]],[1]!Table1[[Test code]:[Test code]],[1]!Table1[HFR 10 mM KOH/ mOhm cm2],"",0)</f>
        <v>#REF!</v>
      </c>
      <c r="AF2105" s="69" t="e" cm="1">
        <f t="array" ref="AF2105">_xlfn.XLOOKUP(Table1[[#This Row],[5 cm2 cell test code]:[5 cm2 cell test code]],[1]!Table1[[Test code]:[Test code]],[1]!Table1[Ionic resistance DIW/Ohm cm2],"",0)</f>
        <v>#REF!</v>
      </c>
      <c r="AG2105" s="69" t="e" cm="1">
        <f t="array" ref="AG2105">_xlfn.XLOOKUP(Table1[[#This Row],[5 cm2 cell test code]:[5 cm2 cell test code]],[1]!Table1[[Test code]:[Test code]],[1]!Table1[Q_int_frac DIW],"",0)</f>
        <v>#REF!</v>
      </c>
      <c r="AH2105" s="69" t="e" cm="1">
        <f t="array" ref="AH2105">_xlfn.XLOOKUP(Table1[[#This Row],[5 cm2 cell test code]:[5 cm2 cell test code]],[1]!Table1[[Test code]:[Test code]],[1]!Table1[Ionic resistance 10 mM KOH/Ohm cm2],"",0)</f>
        <v>#REF!</v>
      </c>
      <c r="AI2105" s="69" t="e" cm="1">
        <f t="array" ref="AI2105">_xlfn.XLOOKUP(Table1[[#This Row],[5 cm2 cell test code]:[5 cm2 cell test code]],[1]!Table1[[Test code]:[Test code]],[1]!Table1[Q_int_frac DIW 10 mM KOH],"",0)</f>
        <v>#REF!</v>
      </c>
      <c r="AJ2105" s="69" t="e" cm="1">
        <f t="array" ref="AJ2105">_xlfn.XLOOKUP(Table1[[#This Row],[5 cm2 cell test code]:[5 cm2 cell test code]],[1]!Table1[[Test code]:[Test code]],[1]!Table1[DIW conductivity (µS/cm)],"",0)</f>
        <v>#REF!</v>
      </c>
    </row>
    <row r="2106" spans="1:36">
      <c r="A2106" s="81"/>
      <c r="U2106" s="101"/>
      <c r="V2106" s="101"/>
      <c r="W2106" s="69" t="e" cm="1">
        <f t="array" ref="W2106">_xlfn.XLOOKUP(Table1[[#This Row],[5 cm2 cell test code]:[5 cm2 cell test code]],[1]!Table1[[Test code]:[Test code]],[1]!Table1[i @ 1.8 V DIW (A/cm2)],"",0)</f>
        <v>#REF!</v>
      </c>
      <c r="X2106" s="69" t="e" cm="1">
        <f t="array" ref="X2106">_xlfn.XLOOKUP(Table1[[#This Row],[5 cm2 cell test code]:[5 cm2 cell test code]],[1]!Table1[[Test code]:[Test code]],[1]!Table1[i @ 1.8 V 10 mM KOH (A/cm2)],"",0)</f>
        <v>#REF!</v>
      </c>
      <c r="Y2106" s="69" t="e" cm="1">
        <f t="array" ref="Y2106">_xlfn.XLOOKUP(Table1[[#This Row],[5 cm2 cell test code]:[5 cm2 cell test code]],[1]!Table1[[Test code]:[Test code]],[1]!Table1[3-E ƞ at 20mAcm-2 (mV)],"",0)</f>
        <v>#REF!</v>
      </c>
      <c r="Z2106" s="69" t="e" cm="1">
        <f t="array" ref="Z2106">_xlfn.XLOOKUP(Table1[[#This Row],[5 cm2 cell test code]:[5 cm2 cell test code]],[1]!Table1[[Test code]:[Test code]],[1]!Table1[3-E Tafel slope (mV/dec)],"",0)</f>
        <v>#REF!</v>
      </c>
      <c r="AA2106" s="69" t="e" cm="1">
        <f t="array" ref="AA2106">_xlfn.XLOOKUP(Table1[[#This Row],[5 cm2 cell test code]:[5 cm2 cell test code]],[1]!Table1[[Test code]:[Test code]],[1]!Table1[E @ 100 mA/cm2 DIW/V],"",0)</f>
        <v>#REF!</v>
      </c>
      <c r="AB2106" s="69" t="e" cm="1">
        <f t="array" ref="AB2106">_xlfn.XLOOKUP(Table1[[#This Row],[5 cm2 cell test code]:[5 cm2 cell test code]],[1]!Table1[[Test code]:[Test code]],[1]!Table1[E @ 100 mA/cm2 10 mM KOH/V],"",0)</f>
        <v>#REF!</v>
      </c>
      <c r="AC2106" s="69" t="e" cm="1">
        <f t="array" ref="AC2106">_xlfn.XLOOKUP(Table1[[#This Row],[5 cm2 cell test code]:[5 cm2 cell test code]],[1]!Table1[[Test code]:[Test code]],[1]!Table1[Anode ICR/mOhm],"",0)</f>
        <v>#REF!</v>
      </c>
      <c r="AD2106" s="69" t="e" cm="1">
        <f t="array" ref="AD2106">_xlfn.XLOOKUP(Table1[[#This Row],[5 cm2 cell test code]:[5 cm2 cell test code]],[1]!Table1[[Test code]:[Test code]],[1]!Table1[HFR DIW/ mOhm cm2],"",0)</f>
        <v>#REF!</v>
      </c>
      <c r="AE2106" s="69" t="e" cm="1">
        <f t="array" ref="AE2106">_xlfn.XLOOKUP(Table1[[#This Row],[5 cm2 cell test code]:[5 cm2 cell test code]],[1]!Table1[[Test code]:[Test code]],[1]!Table1[HFR 10 mM KOH/ mOhm cm2],"",0)</f>
        <v>#REF!</v>
      </c>
      <c r="AF2106" s="69" t="e" cm="1">
        <f t="array" ref="AF2106">_xlfn.XLOOKUP(Table1[[#This Row],[5 cm2 cell test code]:[5 cm2 cell test code]],[1]!Table1[[Test code]:[Test code]],[1]!Table1[Ionic resistance DIW/Ohm cm2],"",0)</f>
        <v>#REF!</v>
      </c>
      <c r="AG2106" s="69" t="e" cm="1">
        <f t="array" ref="AG2106">_xlfn.XLOOKUP(Table1[[#This Row],[5 cm2 cell test code]:[5 cm2 cell test code]],[1]!Table1[[Test code]:[Test code]],[1]!Table1[Q_int_frac DIW],"",0)</f>
        <v>#REF!</v>
      </c>
      <c r="AH2106" s="69" t="e" cm="1">
        <f t="array" ref="AH2106">_xlfn.XLOOKUP(Table1[[#This Row],[5 cm2 cell test code]:[5 cm2 cell test code]],[1]!Table1[[Test code]:[Test code]],[1]!Table1[Ionic resistance 10 mM KOH/Ohm cm2],"",0)</f>
        <v>#REF!</v>
      </c>
      <c r="AI2106" s="69" t="e" cm="1">
        <f t="array" ref="AI2106">_xlfn.XLOOKUP(Table1[[#This Row],[5 cm2 cell test code]:[5 cm2 cell test code]],[1]!Table1[[Test code]:[Test code]],[1]!Table1[Q_int_frac DIW 10 mM KOH],"",0)</f>
        <v>#REF!</v>
      </c>
      <c r="AJ2106" s="69" t="e" cm="1">
        <f t="array" ref="AJ2106">_xlfn.XLOOKUP(Table1[[#This Row],[5 cm2 cell test code]:[5 cm2 cell test code]],[1]!Table1[[Test code]:[Test code]],[1]!Table1[DIW conductivity (µS/cm)],"",0)</f>
        <v>#REF!</v>
      </c>
    </row>
    <row r="2107" spans="1:36">
      <c r="A2107" s="81"/>
      <c r="U2107" s="101"/>
      <c r="V2107" s="101"/>
      <c r="W2107" s="69" t="e" cm="1">
        <f t="array" ref="W2107">_xlfn.XLOOKUP(Table1[[#This Row],[5 cm2 cell test code]:[5 cm2 cell test code]],[1]!Table1[[Test code]:[Test code]],[1]!Table1[i @ 1.8 V DIW (A/cm2)],"",0)</f>
        <v>#REF!</v>
      </c>
      <c r="X2107" s="69" t="e" cm="1">
        <f t="array" ref="X2107">_xlfn.XLOOKUP(Table1[[#This Row],[5 cm2 cell test code]:[5 cm2 cell test code]],[1]!Table1[[Test code]:[Test code]],[1]!Table1[i @ 1.8 V 10 mM KOH (A/cm2)],"",0)</f>
        <v>#REF!</v>
      </c>
      <c r="Y2107" s="69" t="e" cm="1">
        <f t="array" ref="Y2107">_xlfn.XLOOKUP(Table1[[#This Row],[5 cm2 cell test code]:[5 cm2 cell test code]],[1]!Table1[[Test code]:[Test code]],[1]!Table1[3-E ƞ at 20mAcm-2 (mV)],"",0)</f>
        <v>#REF!</v>
      </c>
      <c r="Z2107" s="69" t="e" cm="1">
        <f t="array" ref="Z2107">_xlfn.XLOOKUP(Table1[[#This Row],[5 cm2 cell test code]:[5 cm2 cell test code]],[1]!Table1[[Test code]:[Test code]],[1]!Table1[3-E Tafel slope (mV/dec)],"",0)</f>
        <v>#REF!</v>
      </c>
      <c r="AA2107" s="69" t="e" cm="1">
        <f t="array" ref="AA2107">_xlfn.XLOOKUP(Table1[[#This Row],[5 cm2 cell test code]:[5 cm2 cell test code]],[1]!Table1[[Test code]:[Test code]],[1]!Table1[E @ 100 mA/cm2 DIW/V],"",0)</f>
        <v>#REF!</v>
      </c>
      <c r="AB2107" s="69" t="e" cm="1">
        <f t="array" ref="AB2107">_xlfn.XLOOKUP(Table1[[#This Row],[5 cm2 cell test code]:[5 cm2 cell test code]],[1]!Table1[[Test code]:[Test code]],[1]!Table1[E @ 100 mA/cm2 10 mM KOH/V],"",0)</f>
        <v>#REF!</v>
      </c>
      <c r="AC2107" s="69" t="e" cm="1">
        <f t="array" ref="AC2107">_xlfn.XLOOKUP(Table1[[#This Row],[5 cm2 cell test code]:[5 cm2 cell test code]],[1]!Table1[[Test code]:[Test code]],[1]!Table1[Anode ICR/mOhm],"",0)</f>
        <v>#REF!</v>
      </c>
      <c r="AD2107" s="69" t="e" cm="1">
        <f t="array" ref="AD2107">_xlfn.XLOOKUP(Table1[[#This Row],[5 cm2 cell test code]:[5 cm2 cell test code]],[1]!Table1[[Test code]:[Test code]],[1]!Table1[HFR DIW/ mOhm cm2],"",0)</f>
        <v>#REF!</v>
      </c>
      <c r="AE2107" s="69" t="e" cm="1">
        <f t="array" ref="AE2107">_xlfn.XLOOKUP(Table1[[#This Row],[5 cm2 cell test code]:[5 cm2 cell test code]],[1]!Table1[[Test code]:[Test code]],[1]!Table1[HFR 10 mM KOH/ mOhm cm2],"",0)</f>
        <v>#REF!</v>
      </c>
      <c r="AF2107" s="69" t="e" cm="1">
        <f t="array" ref="AF2107">_xlfn.XLOOKUP(Table1[[#This Row],[5 cm2 cell test code]:[5 cm2 cell test code]],[1]!Table1[[Test code]:[Test code]],[1]!Table1[Ionic resistance DIW/Ohm cm2],"",0)</f>
        <v>#REF!</v>
      </c>
      <c r="AG2107" s="69" t="e" cm="1">
        <f t="array" ref="AG2107">_xlfn.XLOOKUP(Table1[[#This Row],[5 cm2 cell test code]:[5 cm2 cell test code]],[1]!Table1[[Test code]:[Test code]],[1]!Table1[Q_int_frac DIW],"",0)</f>
        <v>#REF!</v>
      </c>
      <c r="AH2107" s="69" t="e" cm="1">
        <f t="array" ref="AH2107">_xlfn.XLOOKUP(Table1[[#This Row],[5 cm2 cell test code]:[5 cm2 cell test code]],[1]!Table1[[Test code]:[Test code]],[1]!Table1[Ionic resistance 10 mM KOH/Ohm cm2],"",0)</f>
        <v>#REF!</v>
      </c>
      <c r="AI2107" s="69" t="e" cm="1">
        <f t="array" ref="AI2107">_xlfn.XLOOKUP(Table1[[#This Row],[5 cm2 cell test code]:[5 cm2 cell test code]],[1]!Table1[[Test code]:[Test code]],[1]!Table1[Q_int_frac DIW 10 mM KOH],"",0)</f>
        <v>#REF!</v>
      </c>
      <c r="AJ2107" s="69" t="e" cm="1">
        <f t="array" ref="AJ2107">_xlfn.XLOOKUP(Table1[[#This Row],[5 cm2 cell test code]:[5 cm2 cell test code]],[1]!Table1[[Test code]:[Test code]],[1]!Table1[DIW conductivity (µS/cm)],"",0)</f>
        <v>#REF!</v>
      </c>
    </row>
    <row r="2108" spans="1:36">
      <c r="A2108" s="81"/>
      <c r="U2108" s="101"/>
      <c r="V2108" s="101"/>
      <c r="W2108" s="69" t="e" cm="1">
        <f t="array" ref="W2108">_xlfn.XLOOKUP(Table1[[#This Row],[5 cm2 cell test code]:[5 cm2 cell test code]],[1]!Table1[[Test code]:[Test code]],[1]!Table1[i @ 1.8 V DIW (A/cm2)],"",0)</f>
        <v>#REF!</v>
      </c>
      <c r="X2108" s="69" t="e" cm="1">
        <f t="array" ref="X2108">_xlfn.XLOOKUP(Table1[[#This Row],[5 cm2 cell test code]:[5 cm2 cell test code]],[1]!Table1[[Test code]:[Test code]],[1]!Table1[i @ 1.8 V 10 mM KOH (A/cm2)],"",0)</f>
        <v>#REF!</v>
      </c>
      <c r="Y2108" s="69" t="e" cm="1">
        <f t="array" ref="Y2108">_xlfn.XLOOKUP(Table1[[#This Row],[5 cm2 cell test code]:[5 cm2 cell test code]],[1]!Table1[[Test code]:[Test code]],[1]!Table1[3-E ƞ at 20mAcm-2 (mV)],"",0)</f>
        <v>#REF!</v>
      </c>
      <c r="Z2108" s="69" t="e" cm="1">
        <f t="array" ref="Z2108">_xlfn.XLOOKUP(Table1[[#This Row],[5 cm2 cell test code]:[5 cm2 cell test code]],[1]!Table1[[Test code]:[Test code]],[1]!Table1[3-E Tafel slope (mV/dec)],"",0)</f>
        <v>#REF!</v>
      </c>
      <c r="AA2108" s="69" t="e" cm="1">
        <f t="array" ref="AA2108">_xlfn.XLOOKUP(Table1[[#This Row],[5 cm2 cell test code]:[5 cm2 cell test code]],[1]!Table1[[Test code]:[Test code]],[1]!Table1[E @ 100 mA/cm2 DIW/V],"",0)</f>
        <v>#REF!</v>
      </c>
      <c r="AB2108" s="69" t="e" cm="1">
        <f t="array" ref="AB2108">_xlfn.XLOOKUP(Table1[[#This Row],[5 cm2 cell test code]:[5 cm2 cell test code]],[1]!Table1[[Test code]:[Test code]],[1]!Table1[E @ 100 mA/cm2 10 mM KOH/V],"",0)</f>
        <v>#REF!</v>
      </c>
      <c r="AC2108" s="69" t="e" cm="1">
        <f t="array" ref="AC2108">_xlfn.XLOOKUP(Table1[[#This Row],[5 cm2 cell test code]:[5 cm2 cell test code]],[1]!Table1[[Test code]:[Test code]],[1]!Table1[Anode ICR/mOhm],"",0)</f>
        <v>#REF!</v>
      </c>
      <c r="AD2108" s="69" t="e" cm="1">
        <f t="array" ref="AD2108">_xlfn.XLOOKUP(Table1[[#This Row],[5 cm2 cell test code]:[5 cm2 cell test code]],[1]!Table1[[Test code]:[Test code]],[1]!Table1[HFR DIW/ mOhm cm2],"",0)</f>
        <v>#REF!</v>
      </c>
      <c r="AE2108" s="69" t="e" cm="1">
        <f t="array" ref="AE2108">_xlfn.XLOOKUP(Table1[[#This Row],[5 cm2 cell test code]:[5 cm2 cell test code]],[1]!Table1[[Test code]:[Test code]],[1]!Table1[HFR 10 mM KOH/ mOhm cm2],"",0)</f>
        <v>#REF!</v>
      </c>
      <c r="AF2108" s="69" t="e" cm="1">
        <f t="array" ref="AF2108">_xlfn.XLOOKUP(Table1[[#This Row],[5 cm2 cell test code]:[5 cm2 cell test code]],[1]!Table1[[Test code]:[Test code]],[1]!Table1[Ionic resistance DIW/Ohm cm2],"",0)</f>
        <v>#REF!</v>
      </c>
      <c r="AG2108" s="69" t="e" cm="1">
        <f t="array" ref="AG2108">_xlfn.XLOOKUP(Table1[[#This Row],[5 cm2 cell test code]:[5 cm2 cell test code]],[1]!Table1[[Test code]:[Test code]],[1]!Table1[Q_int_frac DIW],"",0)</f>
        <v>#REF!</v>
      </c>
      <c r="AH2108" s="69" t="e" cm="1">
        <f t="array" ref="AH2108">_xlfn.XLOOKUP(Table1[[#This Row],[5 cm2 cell test code]:[5 cm2 cell test code]],[1]!Table1[[Test code]:[Test code]],[1]!Table1[Ionic resistance 10 mM KOH/Ohm cm2],"",0)</f>
        <v>#REF!</v>
      </c>
      <c r="AI2108" s="69" t="e" cm="1">
        <f t="array" ref="AI2108">_xlfn.XLOOKUP(Table1[[#This Row],[5 cm2 cell test code]:[5 cm2 cell test code]],[1]!Table1[[Test code]:[Test code]],[1]!Table1[Q_int_frac DIW 10 mM KOH],"",0)</f>
        <v>#REF!</v>
      </c>
      <c r="AJ2108" s="69" t="e" cm="1">
        <f t="array" ref="AJ2108">_xlfn.XLOOKUP(Table1[[#This Row],[5 cm2 cell test code]:[5 cm2 cell test code]],[1]!Table1[[Test code]:[Test code]],[1]!Table1[DIW conductivity (µS/cm)],"",0)</f>
        <v>#REF!</v>
      </c>
    </row>
    <row r="2109" spans="1:36">
      <c r="A2109" s="81"/>
      <c r="U2109" s="101"/>
      <c r="V2109" s="101"/>
      <c r="W2109" s="69" t="e" cm="1">
        <f t="array" ref="W2109">_xlfn.XLOOKUP(Table1[[#This Row],[5 cm2 cell test code]:[5 cm2 cell test code]],[1]!Table1[[Test code]:[Test code]],[1]!Table1[i @ 1.8 V DIW (A/cm2)],"",0)</f>
        <v>#REF!</v>
      </c>
      <c r="X2109" s="69" t="e" cm="1">
        <f t="array" ref="X2109">_xlfn.XLOOKUP(Table1[[#This Row],[5 cm2 cell test code]:[5 cm2 cell test code]],[1]!Table1[[Test code]:[Test code]],[1]!Table1[i @ 1.8 V 10 mM KOH (A/cm2)],"",0)</f>
        <v>#REF!</v>
      </c>
      <c r="Y2109" s="69" t="e" cm="1">
        <f t="array" ref="Y2109">_xlfn.XLOOKUP(Table1[[#This Row],[5 cm2 cell test code]:[5 cm2 cell test code]],[1]!Table1[[Test code]:[Test code]],[1]!Table1[3-E ƞ at 20mAcm-2 (mV)],"",0)</f>
        <v>#REF!</v>
      </c>
      <c r="Z2109" s="69" t="e" cm="1">
        <f t="array" ref="Z2109">_xlfn.XLOOKUP(Table1[[#This Row],[5 cm2 cell test code]:[5 cm2 cell test code]],[1]!Table1[[Test code]:[Test code]],[1]!Table1[3-E Tafel slope (mV/dec)],"",0)</f>
        <v>#REF!</v>
      </c>
      <c r="AA2109" s="69" t="e" cm="1">
        <f t="array" ref="AA2109">_xlfn.XLOOKUP(Table1[[#This Row],[5 cm2 cell test code]:[5 cm2 cell test code]],[1]!Table1[[Test code]:[Test code]],[1]!Table1[E @ 100 mA/cm2 DIW/V],"",0)</f>
        <v>#REF!</v>
      </c>
      <c r="AB2109" s="69" t="e" cm="1">
        <f t="array" ref="AB2109">_xlfn.XLOOKUP(Table1[[#This Row],[5 cm2 cell test code]:[5 cm2 cell test code]],[1]!Table1[[Test code]:[Test code]],[1]!Table1[E @ 100 mA/cm2 10 mM KOH/V],"",0)</f>
        <v>#REF!</v>
      </c>
      <c r="AC2109" s="69" t="e" cm="1">
        <f t="array" ref="AC2109">_xlfn.XLOOKUP(Table1[[#This Row],[5 cm2 cell test code]:[5 cm2 cell test code]],[1]!Table1[[Test code]:[Test code]],[1]!Table1[Anode ICR/mOhm],"",0)</f>
        <v>#REF!</v>
      </c>
      <c r="AD2109" s="69" t="e" cm="1">
        <f t="array" ref="AD2109">_xlfn.XLOOKUP(Table1[[#This Row],[5 cm2 cell test code]:[5 cm2 cell test code]],[1]!Table1[[Test code]:[Test code]],[1]!Table1[HFR DIW/ mOhm cm2],"",0)</f>
        <v>#REF!</v>
      </c>
      <c r="AE2109" s="69" t="e" cm="1">
        <f t="array" ref="AE2109">_xlfn.XLOOKUP(Table1[[#This Row],[5 cm2 cell test code]:[5 cm2 cell test code]],[1]!Table1[[Test code]:[Test code]],[1]!Table1[HFR 10 mM KOH/ mOhm cm2],"",0)</f>
        <v>#REF!</v>
      </c>
      <c r="AF2109" s="69" t="e" cm="1">
        <f t="array" ref="AF2109">_xlfn.XLOOKUP(Table1[[#This Row],[5 cm2 cell test code]:[5 cm2 cell test code]],[1]!Table1[[Test code]:[Test code]],[1]!Table1[Ionic resistance DIW/Ohm cm2],"",0)</f>
        <v>#REF!</v>
      </c>
      <c r="AG2109" s="69" t="e" cm="1">
        <f t="array" ref="AG2109">_xlfn.XLOOKUP(Table1[[#This Row],[5 cm2 cell test code]:[5 cm2 cell test code]],[1]!Table1[[Test code]:[Test code]],[1]!Table1[Q_int_frac DIW],"",0)</f>
        <v>#REF!</v>
      </c>
      <c r="AH2109" s="69" t="e" cm="1">
        <f t="array" ref="AH2109">_xlfn.XLOOKUP(Table1[[#This Row],[5 cm2 cell test code]:[5 cm2 cell test code]],[1]!Table1[[Test code]:[Test code]],[1]!Table1[Ionic resistance 10 mM KOH/Ohm cm2],"",0)</f>
        <v>#REF!</v>
      </c>
      <c r="AI2109" s="69" t="e" cm="1">
        <f t="array" ref="AI2109">_xlfn.XLOOKUP(Table1[[#This Row],[5 cm2 cell test code]:[5 cm2 cell test code]],[1]!Table1[[Test code]:[Test code]],[1]!Table1[Q_int_frac DIW 10 mM KOH],"",0)</f>
        <v>#REF!</v>
      </c>
      <c r="AJ2109" s="69" t="e" cm="1">
        <f t="array" ref="AJ2109">_xlfn.XLOOKUP(Table1[[#This Row],[5 cm2 cell test code]:[5 cm2 cell test code]],[1]!Table1[[Test code]:[Test code]],[1]!Table1[DIW conductivity (µS/cm)],"",0)</f>
        <v>#REF!</v>
      </c>
    </row>
    <row r="2110" spans="1:36">
      <c r="A2110" s="81"/>
      <c r="U2110" s="101"/>
      <c r="V2110" s="101"/>
      <c r="W2110" s="69" t="e" cm="1">
        <f t="array" ref="W2110">_xlfn.XLOOKUP(Table1[[#This Row],[5 cm2 cell test code]:[5 cm2 cell test code]],[1]!Table1[[Test code]:[Test code]],[1]!Table1[i @ 1.8 V DIW (A/cm2)],"",0)</f>
        <v>#REF!</v>
      </c>
      <c r="X2110" s="69" t="e" cm="1">
        <f t="array" ref="X2110">_xlfn.XLOOKUP(Table1[[#This Row],[5 cm2 cell test code]:[5 cm2 cell test code]],[1]!Table1[[Test code]:[Test code]],[1]!Table1[i @ 1.8 V 10 mM KOH (A/cm2)],"",0)</f>
        <v>#REF!</v>
      </c>
      <c r="Y2110" s="69" t="e" cm="1">
        <f t="array" ref="Y2110">_xlfn.XLOOKUP(Table1[[#This Row],[5 cm2 cell test code]:[5 cm2 cell test code]],[1]!Table1[[Test code]:[Test code]],[1]!Table1[3-E ƞ at 20mAcm-2 (mV)],"",0)</f>
        <v>#REF!</v>
      </c>
      <c r="Z2110" s="69" t="e" cm="1">
        <f t="array" ref="Z2110">_xlfn.XLOOKUP(Table1[[#This Row],[5 cm2 cell test code]:[5 cm2 cell test code]],[1]!Table1[[Test code]:[Test code]],[1]!Table1[3-E Tafel slope (mV/dec)],"",0)</f>
        <v>#REF!</v>
      </c>
      <c r="AA2110" s="69" t="e" cm="1">
        <f t="array" ref="AA2110">_xlfn.XLOOKUP(Table1[[#This Row],[5 cm2 cell test code]:[5 cm2 cell test code]],[1]!Table1[[Test code]:[Test code]],[1]!Table1[E @ 100 mA/cm2 DIW/V],"",0)</f>
        <v>#REF!</v>
      </c>
      <c r="AB2110" s="69" t="e" cm="1">
        <f t="array" ref="AB2110">_xlfn.XLOOKUP(Table1[[#This Row],[5 cm2 cell test code]:[5 cm2 cell test code]],[1]!Table1[[Test code]:[Test code]],[1]!Table1[E @ 100 mA/cm2 10 mM KOH/V],"",0)</f>
        <v>#REF!</v>
      </c>
      <c r="AC2110" s="69" t="e" cm="1">
        <f t="array" ref="AC2110">_xlfn.XLOOKUP(Table1[[#This Row],[5 cm2 cell test code]:[5 cm2 cell test code]],[1]!Table1[[Test code]:[Test code]],[1]!Table1[Anode ICR/mOhm],"",0)</f>
        <v>#REF!</v>
      </c>
      <c r="AD2110" s="69" t="e" cm="1">
        <f t="array" ref="AD2110">_xlfn.XLOOKUP(Table1[[#This Row],[5 cm2 cell test code]:[5 cm2 cell test code]],[1]!Table1[[Test code]:[Test code]],[1]!Table1[HFR DIW/ mOhm cm2],"",0)</f>
        <v>#REF!</v>
      </c>
      <c r="AE2110" s="69" t="e" cm="1">
        <f t="array" ref="AE2110">_xlfn.XLOOKUP(Table1[[#This Row],[5 cm2 cell test code]:[5 cm2 cell test code]],[1]!Table1[[Test code]:[Test code]],[1]!Table1[HFR 10 mM KOH/ mOhm cm2],"",0)</f>
        <v>#REF!</v>
      </c>
      <c r="AF2110" s="69" t="e" cm="1">
        <f t="array" ref="AF2110">_xlfn.XLOOKUP(Table1[[#This Row],[5 cm2 cell test code]:[5 cm2 cell test code]],[1]!Table1[[Test code]:[Test code]],[1]!Table1[Ionic resistance DIW/Ohm cm2],"",0)</f>
        <v>#REF!</v>
      </c>
      <c r="AG2110" s="69" t="e" cm="1">
        <f t="array" ref="AG2110">_xlfn.XLOOKUP(Table1[[#This Row],[5 cm2 cell test code]:[5 cm2 cell test code]],[1]!Table1[[Test code]:[Test code]],[1]!Table1[Q_int_frac DIW],"",0)</f>
        <v>#REF!</v>
      </c>
      <c r="AH2110" s="69" t="e" cm="1">
        <f t="array" ref="AH2110">_xlfn.XLOOKUP(Table1[[#This Row],[5 cm2 cell test code]:[5 cm2 cell test code]],[1]!Table1[[Test code]:[Test code]],[1]!Table1[Ionic resistance 10 mM KOH/Ohm cm2],"",0)</f>
        <v>#REF!</v>
      </c>
      <c r="AI2110" s="69" t="e" cm="1">
        <f t="array" ref="AI2110">_xlfn.XLOOKUP(Table1[[#This Row],[5 cm2 cell test code]:[5 cm2 cell test code]],[1]!Table1[[Test code]:[Test code]],[1]!Table1[Q_int_frac DIW 10 mM KOH],"",0)</f>
        <v>#REF!</v>
      </c>
      <c r="AJ2110" s="69" t="e" cm="1">
        <f t="array" ref="AJ2110">_xlfn.XLOOKUP(Table1[[#This Row],[5 cm2 cell test code]:[5 cm2 cell test code]],[1]!Table1[[Test code]:[Test code]],[1]!Table1[DIW conductivity (µS/cm)],"",0)</f>
        <v>#REF!</v>
      </c>
    </row>
    <row r="2111" spans="1:36">
      <c r="A2111" s="81"/>
      <c r="U2111" s="101"/>
      <c r="V2111" s="101"/>
      <c r="W2111" s="69" t="e" cm="1">
        <f t="array" ref="W2111">_xlfn.XLOOKUP(Table1[[#This Row],[5 cm2 cell test code]:[5 cm2 cell test code]],[1]!Table1[[Test code]:[Test code]],[1]!Table1[i @ 1.8 V DIW (A/cm2)],"",0)</f>
        <v>#REF!</v>
      </c>
      <c r="X2111" s="69" t="e" cm="1">
        <f t="array" ref="X2111">_xlfn.XLOOKUP(Table1[[#This Row],[5 cm2 cell test code]:[5 cm2 cell test code]],[1]!Table1[[Test code]:[Test code]],[1]!Table1[i @ 1.8 V 10 mM KOH (A/cm2)],"",0)</f>
        <v>#REF!</v>
      </c>
      <c r="Y2111" s="69" t="e" cm="1">
        <f t="array" ref="Y2111">_xlfn.XLOOKUP(Table1[[#This Row],[5 cm2 cell test code]:[5 cm2 cell test code]],[1]!Table1[[Test code]:[Test code]],[1]!Table1[3-E ƞ at 20mAcm-2 (mV)],"",0)</f>
        <v>#REF!</v>
      </c>
      <c r="Z2111" s="69" t="e" cm="1">
        <f t="array" ref="Z2111">_xlfn.XLOOKUP(Table1[[#This Row],[5 cm2 cell test code]:[5 cm2 cell test code]],[1]!Table1[[Test code]:[Test code]],[1]!Table1[3-E Tafel slope (mV/dec)],"",0)</f>
        <v>#REF!</v>
      </c>
      <c r="AA2111" s="69" t="e" cm="1">
        <f t="array" ref="AA2111">_xlfn.XLOOKUP(Table1[[#This Row],[5 cm2 cell test code]:[5 cm2 cell test code]],[1]!Table1[[Test code]:[Test code]],[1]!Table1[E @ 100 mA/cm2 DIW/V],"",0)</f>
        <v>#REF!</v>
      </c>
      <c r="AB2111" s="69" t="e" cm="1">
        <f t="array" ref="AB2111">_xlfn.XLOOKUP(Table1[[#This Row],[5 cm2 cell test code]:[5 cm2 cell test code]],[1]!Table1[[Test code]:[Test code]],[1]!Table1[E @ 100 mA/cm2 10 mM KOH/V],"",0)</f>
        <v>#REF!</v>
      </c>
      <c r="AC2111" s="69" t="e" cm="1">
        <f t="array" ref="AC2111">_xlfn.XLOOKUP(Table1[[#This Row],[5 cm2 cell test code]:[5 cm2 cell test code]],[1]!Table1[[Test code]:[Test code]],[1]!Table1[Anode ICR/mOhm],"",0)</f>
        <v>#REF!</v>
      </c>
      <c r="AD2111" s="69" t="e" cm="1">
        <f t="array" ref="AD2111">_xlfn.XLOOKUP(Table1[[#This Row],[5 cm2 cell test code]:[5 cm2 cell test code]],[1]!Table1[[Test code]:[Test code]],[1]!Table1[HFR DIW/ mOhm cm2],"",0)</f>
        <v>#REF!</v>
      </c>
      <c r="AE2111" s="69" t="e" cm="1">
        <f t="array" ref="AE2111">_xlfn.XLOOKUP(Table1[[#This Row],[5 cm2 cell test code]:[5 cm2 cell test code]],[1]!Table1[[Test code]:[Test code]],[1]!Table1[HFR 10 mM KOH/ mOhm cm2],"",0)</f>
        <v>#REF!</v>
      </c>
      <c r="AF2111" s="69" t="e" cm="1">
        <f t="array" ref="AF2111">_xlfn.XLOOKUP(Table1[[#This Row],[5 cm2 cell test code]:[5 cm2 cell test code]],[1]!Table1[[Test code]:[Test code]],[1]!Table1[Ionic resistance DIW/Ohm cm2],"",0)</f>
        <v>#REF!</v>
      </c>
      <c r="AG2111" s="69" t="e" cm="1">
        <f t="array" ref="AG2111">_xlfn.XLOOKUP(Table1[[#This Row],[5 cm2 cell test code]:[5 cm2 cell test code]],[1]!Table1[[Test code]:[Test code]],[1]!Table1[Q_int_frac DIW],"",0)</f>
        <v>#REF!</v>
      </c>
      <c r="AH2111" s="69" t="e" cm="1">
        <f t="array" ref="AH2111">_xlfn.XLOOKUP(Table1[[#This Row],[5 cm2 cell test code]:[5 cm2 cell test code]],[1]!Table1[[Test code]:[Test code]],[1]!Table1[Ionic resistance 10 mM KOH/Ohm cm2],"",0)</f>
        <v>#REF!</v>
      </c>
      <c r="AI2111" s="69" t="e" cm="1">
        <f t="array" ref="AI2111">_xlfn.XLOOKUP(Table1[[#This Row],[5 cm2 cell test code]:[5 cm2 cell test code]],[1]!Table1[[Test code]:[Test code]],[1]!Table1[Q_int_frac DIW 10 mM KOH],"",0)</f>
        <v>#REF!</v>
      </c>
      <c r="AJ2111" s="69" t="e" cm="1">
        <f t="array" ref="AJ2111">_xlfn.XLOOKUP(Table1[[#This Row],[5 cm2 cell test code]:[5 cm2 cell test code]],[1]!Table1[[Test code]:[Test code]],[1]!Table1[DIW conductivity (µS/cm)],"",0)</f>
        <v>#REF!</v>
      </c>
    </row>
    <row r="2112" spans="1:36">
      <c r="A2112" s="81"/>
      <c r="U2112" s="101"/>
      <c r="V2112" s="101"/>
      <c r="W2112" s="69" t="e" cm="1">
        <f t="array" ref="W2112">_xlfn.XLOOKUP(Table1[[#This Row],[5 cm2 cell test code]:[5 cm2 cell test code]],[1]!Table1[[Test code]:[Test code]],[1]!Table1[i @ 1.8 V DIW (A/cm2)],"",0)</f>
        <v>#REF!</v>
      </c>
      <c r="X2112" s="69" t="e" cm="1">
        <f t="array" ref="X2112">_xlfn.XLOOKUP(Table1[[#This Row],[5 cm2 cell test code]:[5 cm2 cell test code]],[1]!Table1[[Test code]:[Test code]],[1]!Table1[i @ 1.8 V 10 mM KOH (A/cm2)],"",0)</f>
        <v>#REF!</v>
      </c>
      <c r="Y2112" s="69" t="e" cm="1">
        <f t="array" ref="Y2112">_xlfn.XLOOKUP(Table1[[#This Row],[5 cm2 cell test code]:[5 cm2 cell test code]],[1]!Table1[[Test code]:[Test code]],[1]!Table1[3-E ƞ at 20mAcm-2 (mV)],"",0)</f>
        <v>#REF!</v>
      </c>
      <c r="Z2112" s="69" t="e" cm="1">
        <f t="array" ref="Z2112">_xlfn.XLOOKUP(Table1[[#This Row],[5 cm2 cell test code]:[5 cm2 cell test code]],[1]!Table1[[Test code]:[Test code]],[1]!Table1[3-E Tafel slope (mV/dec)],"",0)</f>
        <v>#REF!</v>
      </c>
      <c r="AA2112" s="69" t="e" cm="1">
        <f t="array" ref="AA2112">_xlfn.XLOOKUP(Table1[[#This Row],[5 cm2 cell test code]:[5 cm2 cell test code]],[1]!Table1[[Test code]:[Test code]],[1]!Table1[E @ 100 mA/cm2 DIW/V],"",0)</f>
        <v>#REF!</v>
      </c>
      <c r="AB2112" s="69" t="e" cm="1">
        <f t="array" ref="AB2112">_xlfn.XLOOKUP(Table1[[#This Row],[5 cm2 cell test code]:[5 cm2 cell test code]],[1]!Table1[[Test code]:[Test code]],[1]!Table1[E @ 100 mA/cm2 10 mM KOH/V],"",0)</f>
        <v>#REF!</v>
      </c>
      <c r="AC2112" s="69" t="e" cm="1">
        <f t="array" ref="AC2112">_xlfn.XLOOKUP(Table1[[#This Row],[5 cm2 cell test code]:[5 cm2 cell test code]],[1]!Table1[[Test code]:[Test code]],[1]!Table1[Anode ICR/mOhm],"",0)</f>
        <v>#REF!</v>
      </c>
      <c r="AD2112" s="69" t="e" cm="1">
        <f t="array" ref="AD2112">_xlfn.XLOOKUP(Table1[[#This Row],[5 cm2 cell test code]:[5 cm2 cell test code]],[1]!Table1[[Test code]:[Test code]],[1]!Table1[HFR DIW/ mOhm cm2],"",0)</f>
        <v>#REF!</v>
      </c>
      <c r="AE2112" s="69" t="e" cm="1">
        <f t="array" ref="AE2112">_xlfn.XLOOKUP(Table1[[#This Row],[5 cm2 cell test code]:[5 cm2 cell test code]],[1]!Table1[[Test code]:[Test code]],[1]!Table1[HFR 10 mM KOH/ mOhm cm2],"",0)</f>
        <v>#REF!</v>
      </c>
      <c r="AF2112" s="69" t="e" cm="1">
        <f t="array" ref="AF2112">_xlfn.XLOOKUP(Table1[[#This Row],[5 cm2 cell test code]:[5 cm2 cell test code]],[1]!Table1[[Test code]:[Test code]],[1]!Table1[Ionic resistance DIW/Ohm cm2],"",0)</f>
        <v>#REF!</v>
      </c>
      <c r="AG2112" s="69" t="e" cm="1">
        <f t="array" ref="AG2112">_xlfn.XLOOKUP(Table1[[#This Row],[5 cm2 cell test code]:[5 cm2 cell test code]],[1]!Table1[[Test code]:[Test code]],[1]!Table1[Q_int_frac DIW],"",0)</f>
        <v>#REF!</v>
      </c>
      <c r="AH2112" s="69" t="e" cm="1">
        <f t="array" ref="AH2112">_xlfn.XLOOKUP(Table1[[#This Row],[5 cm2 cell test code]:[5 cm2 cell test code]],[1]!Table1[[Test code]:[Test code]],[1]!Table1[Ionic resistance 10 mM KOH/Ohm cm2],"",0)</f>
        <v>#REF!</v>
      </c>
      <c r="AI2112" s="69" t="e" cm="1">
        <f t="array" ref="AI2112">_xlfn.XLOOKUP(Table1[[#This Row],[5 cm2 cell test code]:[5 cm2 cell test code]],[1]!Table1[[Test code]:[Test code]],[1]!Table1[Q_int_frac DIW 10 mM KOH],"",0)</f>
        <v>#REF!</v>
      </c>
      <c r="AJ2112" s="69" t="e" cm="1">
        <f t="array" ref="AJ2112">_xlfn.XLOOKUP(Table1[[#This Row],[5 cm2 cell test code]:[5 cm2 cell test code]],[1]!Table1[[Test code]:[Test code]],[1]!Table1[DIW conductivity (µS/cm)],"",0)</f>
        <v>#REF!</v>
      </c>
    </row>
    <row r="2113" spans="1:36">
      <c r="A2113" s="81"/>
      <c r="U2113" s="101"/>
      <c r="V2113" s="101"/>
      <c r="W2113" s="69" t="e" cm="1">
        <f t="array" ref="W2113">_xlfn.XLOOKUP(Table1[[#This Row],[5 cm2 cell test code]:[5 cm2 cell test code]],[1]!Table1[[Test code]:[Test code]],[1]!Table1[i @ 1.8 V DIW (A/cm2)],"",0)</f>
        <v>#REF!</v>
      </c>
      <c r="X2113" s="69" t="e" cm="1">
        <f t="array" ref="X2113">_xlfn.XLOOKUP(Table1[[#This Row],[5 cm2 cell test code]:[5 cm2 cell test code]],[1]!Table1[[Test code]:[Test code]],[1]!Table1[i @ 1.8 V 10 mM KOH (A/cm2)],"",0)</f>
        <v>#REF!</v>
      </c>
      <c r="Y2113" s="69" t="e" cm="1">
        <f t="array" ref="Y2113">_xlfn.XLOOKUP(Table1[[#This Row],[5 cm2 cell test code]:[5 cm2 cell test code]],[1]!Table1[[Test code]:[Test code]],[1]!Table1[3-E ƞ at 20mAcm-2 (mV)],"",0)</f>
        <v>#REF!</v>
      </c>
      <c r="Z2113" s="69" t="e" cm="1">
        <f t="array" ref="Z2113">_xlfn.XLOOKUP(Table1[[#This Row],[5 cm2 cell test code]:[5 cm2 cell test code]],[1]!Table1[[Test code]:[Test code]],[1]!Table1[3-E Tafel slope (mV/dec)],"",0)</f>
        <v>#REF!</v>
      </c>
      <c r="AA2113" s="69" t="e" cm="1">
        <f t="array" ref="AA2113">_xlfn.XLOOKUP(Table1[[#This Row],[5 cm2 cell test code]:[5 cm2 cell test code]],[1]!Table1[[Test code]:[Test code]],[1]!Table1[E @ 100 mA/cm2 DIW/V],"",0)</f>
        <v>#REF!</v>
      </c>
      <c r="AB2113" s="69" t="e" cm="1">
        <f t="array" ref="AB2113">_xlfn.XLOOKUP(Table1[[#This Row],[5 cm2 cell test code]:[5 cm2 cell test code]],[1]!Table1[[Test code]:[Test code]],[1]!Table1[E @ 100 mA/cm2 10 mM KOH/V],"",0)</f>
        <v>#REF!</v>
      </c>
      <c r="AC2113" s="69" t="e" cm="1">
        <f t="array" ref="AC2113">_xlfn.XLOOKUP(Table1[[#This Row],[5 cm2 cell test code]:[5 cm2 cell test code]],[1]!Table1[[Test code]:[Test code]],[1]!Table1[Anode ICR/mOhm],"",0)</f>
        <v>#REF!</v>
      </c>
      <c r="AD2113" s="69" t="e" cm="1">
        <f t="array" ref="AD2113">_xlfn.XLOOKUP(Table1[[#This Row],[5 cm2 cell test code]:[5 cm2 cell test code]],[1]!Table1[[Test code]:[Test code]],[1]!Table1[HFR DIW/ mOhm cm2],"",0)</f>
        <v>#REF!</v>
      </c>
      <c r="AE2113" s="69" t="e" cm="1">
        <f t="array" ref="AE2113">_xlfn.XLOOKUP(Table1[[#This Row],[5 cm2 cell test code]:[5 cm2 cell test code]],[1]!Table1[[Test code]:[Test code]],[1]!Table1[HFR 10 mM KOH/ mOhm cm2],"",0)</f>
        <v>#REF!</v>
      </c>
      <c r="AF2113" s="69" t="e" cm="1">
        <f t="array" ref="AF2113">_xlfn.XLOOKUP(Table1[[#This Row],[5 cm2 cell test code]:[5 cm2 cell test code]],[1]!Table1[[Test code]:[Test code]],[1]!Table1[Ionic resistance DIW/Ohm cm2],"",0)</f>
        <v>#REF!</v>
      </c>
      <c r="AG2113" s="69" t="e" cm="1">
        <f t="array" ref="AG2113">_xlfn.XLOOKUP(Table1[[#This Row],[5 cm2 cell test code]:[5 cm2 cell test code]],[1]!Table1[[Test code]:[Test code]],[1]!Table1[Q_int_frac DIW],"",0)</f>
        <v>#REF!</v>
      </c>
      <c r="AH2113" s="69" t="e" cm="1">
        <f t="array" ref="AH2113">_xlfn.XLOOKUP(Table1[[#This Row],[5 cm2 cell test code]:[5 cm2 cell test code]],[1]!Table1[[Test code]:[Test code]],[1]!Table1[Ionic resistance 10 mM KOH/Ohm cm2],"",0)</f>
        <v>#REF!</v>
      </c>
      <c r="AI2113" s="69" t="e" cm="1">
        <f t="array" ref="AI2113">_xlfn.XLOOKUP(Table1[[#This Row],[5 cm2 cell test code]:[5 cm2 cell test code]],[1]!Table1[[Test code]:[Test code]],[1]!Table1[Q_int_frac DIW 10 mM KOH],"",0)</f>
        <v>#REF!</v>
      </c>
      <c r="AJ2113" s="69" t="e" cm="1">
        <f t="array" ref="AJ2113">_xlfn.XLOOKUP(Table1[[#This Row],[5 cm2 cell test code]:[5 cm2 cell test code]],[1]!Table1[[Test code]:[Test code]],[1]!Table1[DIW conductivity (µS/cm)],"",0)</f>
        <v>#REF!</v>
      </c>
    </row>
    <row r="2114" spans="1:36">
      <c r="A2114" s="81"/>
      <c r="U2114" s="101"/>
      <c r="V2114" s="101"/>
      <c r="W2114" s="69" t="e" cm="1">
        <f t="array" ref="W2114">_xlfn.XLOOKUP(Table1[[#This Row],[5 cm2 cell test code]:[5 cm2 cell test code]],[1]!Table1[[Test code]:[Test code]],[1]!Table1[i @ 1.8 V DIW (A/cm2)],"",0)</f>
        <v>#REF!</v>
      </c>
      <c r="X2114" s="69" t="e" cm="1">
        <f t="array" ref="X2114">_xlfn.XLOOKUP(Table1[[#This Row],[5 cm2 cell test code]:[5 cm2 cell test code]],[1]!Table1[[Test code]:[Test code]],[1]!Table1[i @ 1.8 V 10 mM KOH (A/cm2)],"",0)</f>
        <v>#REF!</v>
      </c>
      <c r="Y2114" s="69" t="e" cm="1">
        <f t="array" ref="Y2114">_xlfn.XLOOKUP(Table1[[#This Row],[5 cm2 cell test code]:[5 cm2 cell test code]],[1]!Table1[[Test code]:[Test code]],[1]!Table1[3-E ƞ at 20mAcm-2 (mV)],"",0)</f>
        <v>#REF!</v>
      </c>
      <c r="Z2114" s="69" t="e" cm="1">
        <f t="array" ref="Z2114">_xlfn.XLOOKUP(Table1[[#This Row],[5 cm2 cell test code]:[5 cm2 cell test code]],[1]!Table1[[Test code]:[Test code]],[1]!Table1[3-E Tafel slope (mV/dec)],"",0)</f>
        <v>#REF!</v>
      </c>
      <c r="AA2114" s="69" t="e" cm="1">
        <f t="array" ref="AA2114">_xlfn.XLOOKUP(Table1[[#This Row],[5 cm2 cell test code]:[5 cm2 cell test code]],[1]!Table1[[Test code]:[Test code]],[1]!Table1[E @ 100 mA/cm2 DIW/V],"",0)</f>
        <v>#REF!</v>
      </c>
      <c r="AB2114" s="69" t="e" cm="1">
        <f t="array" ref="AB2114">_xlfn.XLOOKUP(Table1[[#This Row],[5 cm2 cell test code]:[5 cm2 cell test code]],[1]!Table1[[Test code]:[Test code]],[1]!Table1[E @ 100 mA/cm2 10 mM KOH/V],"",0)</f>
        <v>#REF!</v>
      </c>
      <c r="AC2114" s="69" t="e" cm="1">
        <f t="array" ref="AC2114">_xlfn.XLOOKUP(Table1[[#This Row],[5 cm2 cell test code]:[5 cm2 cell test code]],[1]!Table1[[Test code]:[Test code]],[1]!Table1[Anode ICR/mOhm],"",0)</f>
        <v>#REF!</v>
      </c>
      <c r="AD2114" s="69" t="e" cm="1">
        <f t="array" ref="AD2114">_xlfn.XLOOKUP(Table1[[#This Row],[5 cm2 cell test code]:[5 cm2 cell test code]],[1]!Table1[[Test code]:[Test code]],[1]!Table1[HFR DIW/ mOhm cm2],"",0)</f>
        <v>#REF!</v>
      </c>
      <c r="AE2114" s="69" t="e" cm="1">
        <f t="array" ref="AE2114">_xlfn.XLOOKUP(Table1[[#This Row],[5 cm2 cell test code]:[5 cm2 cell test code]],[1]!Table1[[Test code]:[Test code]],[1]!Table1[HFR 10 mM KOH/ mOhm cm2],"",0)</f>
        <v>#REF!</v>
      </c>
      <c r="AF2114" s="69" t="e" cm="1">
        <f t="array" ref="AF2114">_xlfn.XLOOKUP(Table1[[#This Row],[5 cm2 cell test code]:[5 cm2 cell test code]],[1]!Table1[[Test code]:[Test code]],[1]!Table1[Ionic resistance DIW/Ohm cm2],"",0)</f>
        <v>#REF!</v>
      </c>
      <c r="AG2114" s="69" t="e" cm="1">
        <f t="array" ref="AG2114">_xlfn.XLOOKUP(Table1[[#This Row],[5 cm2 cell test code]:[5 cm2 cell test code]],[1]!Table1[[Test code]:[Test code]],[1]!Table1[Q_int_frac DIW],"",0)</f>
        <v>#REF!</v>
      </c>
      <c r="AH2114" s="69" t="e" cm="1">
        <f t="array" ref="AH2114">_xlfn.XLOOKUP(Table1[[#This Row],[5 cm2 cell test code]:[5 cm2 cell test code]],[1]!Table1[[Test code]:[Test code]],[1]!Table1[Ionic resistance 10 mM KOH/Ohm cm2],"",0)</f>
        <v>#REF!</v>
      </c>
      <c r="AI2114" s="69" t="e" cm="1">
        <f t="array" ref="AI2114">_xlfn.XLOOKUP(Table1[[#This Row],[5 cm2 cell test code]:[5 cm2 cell test code]],[1]!Table1[[Test code]:[Test code]],[1]!Table1[Q_int_frac DIW 10 mM KOH],"",0)</f>
        <v>#REF!</v>
      </c>
      <c r="AJ2114" s="69" t="e" cm="1">
        <f t="array" ref="AJ2114">_xlfn.XLOOKUP(Table1[[#This Row],[5 cm2 cell test code]:[5 cm2 cell test code]],[1]!Table1[[Test code]:[Test code]],[1]!Table1[DIW conductivity (µS/cm)],"",0)</f>
        <v>#REF!</v>
      </c>
    </row>
    <row r="2115" spans="1:36">
      <c r="A2115" s="81"/>
      <c r="U2115" s="101"/>
      <c r="V2115" s="101"/>
      <c r="W2115" s="69" t="e" cm="1">
        <f t="array" ref="W2115">_xlfn.XLOOKUP(Table1[[#This Row],[5 cm2 cell test code]:[5 cm2 cell test code]],[1]!Table1[[Test code]:[Test code]],[1]!Table1[i @ 1.8 V DIW (A/cm2)],"",0)</f>
        <v>#REF!</v>
      </c>
      <c r="X2115" s="69" t="e" cm="1">
        <f t="array" ref="X2115">_xlfn.XLOOKUP(Table1[[#This Row],[5 cm2 cell test code]:[5 cm2 cell test code]],[1]!Table1[[Test code]:[Test code]],[1]!Table1[i @ 1.8 V 10 mM KOH (A/cm2)],"",0)</f>
        <v>#REF!</v>
      </c>
      <c r="Y2115" s="69" t="e" cm="1">
        <f t="array" ref="Y2115">_xlfn.XLOOKUP(Table1[[#This Row],[5 cm2 cell test code]:[5 cm2 cell test code]],[1]!Table1[[Test code]:[Test code]],[1]!Table1[3-E ƞ at 20mAcm-2 (mV)],"",0)</f>
        <v>#REF!</v>
      </c>
      <c r="Z2115" s="69" t="e" cm="1">
        <f t="array" ref="Z2115">_xlfn.XLOOKUP(Table1[[#This Row],[5 cm2 cell test code]:[5 cm2 cell test code]],[1]!Table1[[Test code]:[Test code]],[1]!Table1[3-E Tafel slope (mV/dec)],"",0)</f>
        <v>#REF!</v>
      </c>
      <c r="AA2115" s="69" t="e" cm="1">
        <f t="array" ref="AA2115">_xlfn.XLOOKUP(Table1[[#This Row],[5 cm2 cell test code]:[5 cm2 cell test code]],[1]!Table1[[Test code]:[Test code]],[1]!Table1[E @ 100 mA/cm2 DIW/V],"",0)</f>
        <v>#REF!</v>
      </c>
      <c r="AB2115" s="69" t="e" cm="1">
        <f t="array" ref="AB2115">_xlfn.XLOOKUP(Table1[[#This Row],[5 cm2 cell test code]:[5 cm2 cell test code]],[1]!Table1[[Test code]:[Test code]],[1]!Table1[E @ 100 mA/cm2 10 mM KOH/V],"",0)</f>
        <v>#REF!</v>
      </c>
      <c r="AC2115" s="69" t="e" cm="1">
        <f t="array" ref="AC2115">_xlfn.XLOOKUP(Table1[[#This Row],[5 cm2 cell test code]:[5 cm2 cell test code]],[1]!Table1[[Test code]:[Test code]],[1]!Table1[Anode ICR/mOhm],"",0)</f>
        <v>#REF!</v>
      </c>
      <c r="AD2115" s="69" t="e" cm="1">
        <f t="array" ref="AD2115">_xlfn.XLOOKUP(Table1[[#This Row],[5 cm2 cell test code]:[5 cm2 cell test code]],[1]!Table1[[Test code]:[Test code]],[1]!Table1[HFR DIW/ mOhm cm2],"",0)</f>
        <v>#REF!</v>
      </c>
      <c r="AE2115" s="69" t="e" cm="1">
        <f t="array" ref="AE2115">_xlfn.XLOOKUP(Table1[[#This Row],[5 cm2 cell test code]:[5 cm2 cell test code]],[1]!Table1[[Test code]:[Test code]],[1]!Table1[HFR 10 mM KOH/ mOhm cm2],"",0)</f>
        <v>#REF!</v>
      </c>
      <c r="AF2115" s="69" t="e" cm="1">
        <f t="array" ref="AF2115">_xlfn.XLOOKUP(Table1[[#This Row],[5 cm2 cell test code]:[5 cm2 cell test code]],[1]!Table1[[Test code]:[Test code]],[1]!Table1[Ionic resistance DIW/Ohm cm2],"",0)</f>
        <v>#REF!</v>
      </c>
      <c r="AG2115" s="69" t="e" cm="1">
        <f t="array" ref="AG2115">_xlfn.XLOOKUP(Table1[[#This Row],[5 cm2 cell test code]:[5 cm2 cell test code]],[1]!Table1[[Test code]:[Test code]],[1]!Table1[Q_int_frac DIW],"",0)</f>
        <v>#REF!</v>
      </c>
      <c r="AH2115" s="69" t="e" cm="1">
        <f t="array" ref="AH2115">_xlfn.XLOOKUP(Table1[[#This Row],[5 cm2 cell test code]:[5 cm2 cell test code]],[1]!Table1[[Test code]:[Test code]],[1]!Table1[Ionic resistance 10 mM KOH/Ohm cm2],"",0)</f>
        <v>#REF!</v>
      </c>
      <c r="AI2115" s="69" t="e" cm="1">
        <f t="array" ref="AI2115">_xlfn.XLOOKUP(Table1[[#This Row],[5 cm2 cell test code]:[5 cm2 cell test code]],[1]!Table1[[Test code]:[Test code]],[1]!Table1[Q_int_frac DIW 10 mM KOH],"",0)</f>
        <v>#REF!</v>
      </c>
      <c r="AJ2115" s="69" t="e" cm="1">
        <f t="array" ref="AJ2115">_xlfn.XLOOKUP(Table1[[#This Row],[5 cm2 cell test code]:[5 cm2 cell test code]],[1]!Table1[[Test code]:[Test code]],[1]!Table1[DIW conductivity (µS/cm)],"",0)</f>
        <v>#REF!</v>
      </c>
    </row>
    <row r="2116" spans="1:36">
      <c r="A2116" s="81"/>
      <c r="U2116" s="101"/>
      <c r="V2116" s="101"/>
      <c r="W2116" s="69" t="e" cm="1">
        <f t="array" ref="W2116">_xlfn.XLOOKUP(Table1[[#This Row],[5 cm2 cell test code]:[5 cm2 cell test code]],[1]!Table1[[Test code]:[Test code]],[1]!Table1[i @ 1.8 V DIW (A/cm2)],"",0)</f>
        <v>#REF!</v>
      </c>
      <c r="X2116" s="69" t="e" cm="1">
        <f t="array" ref="X2116">_xlfn.XLOOKUP(Table1[[#This Row],[5 cm2 cell test code]:[5 cm2 cell test code]],[1]!Table1[[Test code]:[Test code]],[1]!Table1[i @ 1.8 V 10 mM KOH (A/cm2)],"",0)</f>
        <v>#REF!</v>
      </c>
      <c r="Y2116" s="69" t="e" cm="1">
        <f t="array" ref="Y2116">_xlfn.XLOOKUP(Table1[[#This Row],[5 cm2 cell test code]:[5 cm2 cell test code]],[1]!Table1[[Test code]:[Test code]],[1]!Table1[3-E ƞ at 20mAcm-2 (mV)],"",0)</f>
        <v>#REF!</v>
      </c>
      <c r="Z2116" s="69" t="e" cm="1">
        <f t="array" ref="Z2116">_xlfn.XLOOKUP(Table1[[#This Row],[5 cm2 cell test code]:[5 cm2 cell test code]],[1]!Table1[[Test code]:[Test code]],[1]!Table1[3-E Tafel slope (mV/dec)],"",0)</f>
        <v>#REF!</v>
      </c>
      <c r="AA2116" s="69" t="e" cm="1">
        <f t="array" ref="AA2116">_xlfn.XLOOKUP(Table1[[#This Row],[5 cm2 cell test code]:[5 cm2 cell test code]],[1]!Table1[[Test code]:[Test code]],[1]!Table1[E @ 100 mA/cm2 DIW/V],"",0)</f>
        <v>#REF!</v>
      </c>
      <c r="AB2116" s="69" t="e" cm="1">
        <f t="array" ref="AB2116">_xlfn.XLOOKUP(Table1[[#This Row],[5 cm2 cell test code]:[5 cm2 cell test code]],[1]!Table1[[Test code]:[Test code]],[1]!Table1[E @ 100 mA/cm2 10 mM KOH/V],"",0)</f>
        <v>#REF!</v>
      </c>
      <c r="AC2116" s="69" t="e" cm="1">
        <f t="array" ref="AC2116">_xlfn.XLOOKUP(Table1[[#This Row],[5 cm2 cell test code]:[5 cm2 cell test code]],[1]!Table1[[Test code]:[Test code]],[1]!Table1[Anode ICR/mOhm],"",0)</f>
        <v>#REF!</v>
      </c>
      <c r="AD2116" s="69" t="e" cm="1">
        <f t="array" ref="AD2116">_xlfn.XLOOKUP(Table1[[#This Row],[5 cm2 cell test code]:[5 cm2 cell test code]],[1]!Table1[[Test code]:[Test code]],[1]!Table1[HFR DIW/ mOhm cm2],"",0)</f>
        <v>#REF!</v>
      </c>
      <c r="AE2116" s="69" t="e" cm="1">
        <f t="array" ref="AE2116">_xlfn.XLOOKUP(Table1[[#This Row],[5 cm2 cell test code]:[5 cm2 cell test code]],[1]!Table1[[Test code]:[Test code]],[1]!Table1[HFR 10 mM KOH/ mOhm cm2],"",0)</f>
        <v>#REF!</v>
      </c>
      <c r="AF2116" s="69" t="e" cm="1">
        <f t="array" ref="AF2116">_xlfn.XLOOKUP(Table1[[#This Row],[5 cm2 cell test code]:[5 cm2 cell test code]],[1]!Table1[[Test code]:[Test code]],[1]!Table1[Ionic resistance DIW/Ohm cm2],"",0)</f>
        <v>#REF!</v>
      </c>
      <c r="AG2116" s="69" t="e" cm="1">
        <f t="array" ref="AG2116">_xlfn.XLOOKUP(Table1[[#This Row],[5 cm2 cell test code]:[5 cm2 cell test code]],[1]!Table1[[Test code]:[Test code]],[1]!Table1[Q_int_frac DIW],"",0)</f>
        <v>#REF!</v>
      </c>
      <c r="AH2116" s="69" t="e" cm="1">
        <f t="array" ref="AH2116">_xlfn.XLOOKUP(Table1[[#This Row],[5 cm2 cell test code]:[5 cm2 cell test code]],[1]!Table1[[Test code]:[Test code]],[1]!Table1[Ionic resistance 10 mM KOH/Ohm cm2],"",0)</f>
        <v>#REF!</v>
      </c>
      <c r="AI2116" s="69" t="e" cm="1">
        <f t="array" ref="AI2116">_xlfn.XLOOKUP(Table1[[#This Row],[5 cm2 cell test code]:[5 cm2 cell test code]],[1]!Table1[[Test code]:[Test code]],[1]!Table1[Q_int_frac DIW 10 mM KOH],"",0)</f>
        <v>#REF!</v>
      </c>
      <c r="AJ2116" s="69" t="e" cm="1">
        <f t="array" ref="AJ2116">_xlfn.XLOOKUP(Table1[[#This Row],[5 cm2 cell test code]:[5 cm2 cell test code]],[1]!Table1[[Test code]:[Test code]],[1]!Table1[DIW conductivity (µS/cm)],"",0)</f>
        <v>#REF!</v>
      </c>
    </row>
    <row r="2117" spans="1:36">
      <c r="A2117" s="81"/>
      <c r="U2117" s="101"/>
      <c r="V2117" s="101"/>
      <c r="W2117" s="69" t="e" cm="1">
        <f t="array" ref="W2117">_xlfn.XLOOKUP(Table1[[#This Row],[5 cm2 cell test code]:[5 cm2 cell test code]],[1]!Table1[[Test code]:[Test code]],[1]!Table1[i @ 1.8 V DIW (A/cm2)],"",0)</f>
        <v>#REF!</v>
      </c>
      <c r="X2117" s="69" t="e" cm="1">
        <f t="array" ref="X2117">_xlfn.XLOOKUP(Table1[[#This Row],[5 cm2 cell test code]:[5 cm2 cell test code]],[1]!Table1[[Test code]:[Test code]],[1]!Table1[i @ 1.8 V 10 mM KOH (A/cm2)],"",0)</f>
        <v>#REF!</v>
      </c>
      <c r="Y2117" s="69" t="e" cm="1">
        <f t="array" ref="Y2117">_xlfn.XLOOKUP(Table1[[#This Row],[5 cm2 cell test code]:[5 cm2 cell test code]],[1]!Table1[[Test code]:[Test code]],[1]!Table1[3-E ƞ at 20mAcm-2 (mV)],"",0)</f>
        <v>#REF!</v>
      </c>
      <c r="Z2117" s="69" t="e" cm="1">
        <f t="array" ref="Z2117">_xlfn.XLOOKUP(Table1[[#This Row],[5 cm2 cell test code]:[5 cm2 cell test code]],[1]!Table1[[Test code]:[Test code]],[1]!Table1[3-E Tafel slope (mV/dec)],"",0)</f>
        <v>#REF!</v>
      </c>
      <c r="AA2117" s="69" t="e" cm="1">
        <f t="array" ref="AA2117">_xlfn.XLOOKUP(Table1[[#This Row],[5 cm2 cell test code]:[5 cm2 cell test code]],[1]!Table1[[Test code]:[Test code]],[1]!Table1[E @ 100 mA/cm2 DIW/V],"",0)</f>
        <v>#REF!</v>
      </c>
      <c r="AB2117" s="69" t="e" cm="1">
        <f t="array" ref="AB2117">_xlfn.XLOOKUP(Table1[[#This Row],[5 cm2 cell test code]:[5 cm2 cell test code]],[1]!Table1[[Test code]:[Test code]],[1]!Table1[E @ 100 mA/cm2 10 mM KOH/V],"",0)</f>
        <v>#REF!</v>
      </c>
      <c r="AC2117" s="69" t="e" cm="1">
        <f t="array" ref="AC2117">_xlfn.XLOOKUP(Table1[[#This Row],[5 cm2 cell test code]:[5 cm2 cell test code]],[1]!Table1[[Test code]:[Test code]],[1]!Table1[Anode ICR/mOhm],"",0)</f>
        <v>#REF!</v>
      </c>
      <c r="AD2117" s="69" t="e" cm="1">
        <f t="array" ref="AD2117">_xlfn.XLOOKUP(Table1[[#This Row],[5 cm2 cell test code]:[5 cm2 cell test code]],[1]!Table1[[Test code]:[Test code]],[1]!Table1[HFR DIW/ mOhm cm2],"",0)</f>
        <v>#REF!</v>
      </c>
      <c r="AE2117" s="69" t="e" cm="1">
        <f t="array" ref="AE2117">_xlfn.XLOOKUP(Table1[[#This Row],[5 cm2 cell test code]:[5 cm2 cell test code]],[1]!Table1[[Test code]:[Test code]],[1]!Table1[HFR 10 mM KOH/ mOhm cm2],"",0)</f>
        <v>#REF!</v>
      </c>
      <c r="AF2117" s="69" t="e" cm="1">
        <f t="array" ref="AF2117">_xlfn.XLOOKUP(Table1[[#This Row],[5 cm2 cell test code]:[5 cm2 cell test code]],[1]!Table1[[Test code]:[Test code]],[1]!Table1[Ionic resistance DIW/Ohm cm2],"",0)</f>
        <v>#REF!</v>
      </c>
      <c r="AG2117" s="69" t="e" cm="1">
        <f t="array" ref="AG2117">_xlfn.XLOOKUP(Table1[[#This Row],[5 cm2 cell test code]:[5 cm2 cell test code]],[1]!Table1[[Test code]:[Test code]],[1]!Table1[Q_int_frac DIW],"",0)</f>
        <v>#REF!</v>
      </c>
      <c r="AH2117" s="69" t="e" cm="1">
        <f t="array" ref="AH2117">_xlfn.XLOOKUP(Table1[[#This Row],[5 cm2 cell test code]:[5 cm2 cell test code]],[1]!Table1[[Test code]:[Test code]],[1]!Table1[Ionic resistance 10 mM KOH/Ohm cm2],"",0)</f>
        <v>#REF!</v>
      </c>
      <c r="AI2117" s="69" t="e" cm="1">
        <f t="array" ref="AI2117">_xlfn.XLOOKUP(Table1[[#This Row],[5 cm2 cell test code]:[5 cm2 cell test code]],[1]!Table1[[Test code]:[Test code]],[1]!Table1[Q_int_frac DIW 10 mM KOH],"",0)</f>
        <v>#REF!</v>
      </c>
      <c r="AJ2117" s="69" t="e" cm="1">
        <f t="array" ref="AJ2117">_xlfn.XLOOKUP(Table1[[#This Row],[5 cm2 cell test code]:[5 cm2 cell test code]],[1]!Table1[[Test code]:[Test code]],[1]!Table1[DIW conductivity (µS/cm)],"",0)</f>
        <v>#REF!</v>
      </c>
    </row>
    <row r="2118" spans="1:36">
      <c r="A2118" s="81"/>
      <c r="U2118" s="101"/>
      <c r="V2118" s="101"/>
      <c r="W2118" s="69" t="e" cm="1">
        <f t="array" ref="W2118">_xlfn.XLOOKUP(Table1[[#This Row],[5 cm2 cell test code]:[5 cm2 cell test code]],[1]!Table1[[Test code]:[Test code]],[1]!Table1[i @ 1.8 V DIW (A/cm2)],"",0)</f>
        <v>#REF!</v>
      </c>
      <c r="X2118" s="69" t="e" cm="1">
        <f t="array" ref="X2118">_xlfn.XLOOKUP(Table1[[#This Row],[5 cm2 cell test code]:[5 cm2 cell test code]],[1]!Table1[[Test code]:[Test code]],[1]!Table1[i @ 1.8 V 10 mM KOH (A/cm2)],"",0)</f>
        <v>#REF!</v>
      </c>
      <c r="Y2118" s="69" t="e" cm="1">
        <f t="array" ref="Y2118">_xlfn.XLOOKUP(Table1[[#This Row],[5 cm2 cell test code]:[5 cm2 cell test code]],[1]!Table1[[Test code]:[Test code]],[1]!Table1[3-E ƞ at 20mAcm-2 (mV)],"",0)</f>
        <v>#REF!</v>
      </c>
      <c r="Z2118" s="69" t="e" cm="1">
        <f t="array" ref="Z2118">_xlfn.XLOOKUP(Table1[[#This Row],[5 cm2 cell test code]:[5 cm2 cell test code]],[1]!Table1[[Test code]:[Test code]],[1]!Table1[3-E Tafel slope (mV/dec)],"",0)</f>
        <v>#REF!</v>
      </c>
      <c r="AA2118" s="69" t="e" cm="1">
        <f t="array" ref="AA2118">_xlfn.XLOOKUP(Table1[[#This Row],[5 cm2 cell test code]:[5 cm2 cell test code]],[1]!Table1[[Test code]:[Test code]],[1]!Table1[E @ 100 mA/cm2 DIW/V],"",0)</f>
        <v>#REF!</v>
      </c>
      <c r="AB2118" s="69" t="e" cm="1">
        <f t="array" ref="AB2118">_xlfn.XLOOKUP(Table1[[#This Row],[5 cm2 cell test code]:[5 cm2 cell test code]],[1]!Table1[[Test code]:[Test code]],[1]!Table1[E @ 100 mA/cm2 10 mM KOH/V],"",0)</f>
        <v>#REF!</v>
      </c>
      <c r="AC2118" s="69" t="e" cm="1">
        <f t="array" ref="AC2118">_xlfn.XLOOKUP(Table1[[#This Row],[5 cm2 cell test code]:[5 cm2 cell test code]],[1]!Table1[[Test code]:[Test code]],[1]!Table1[Anode ICR/mOhm],"",0)</f>
        <v>#REF!</v>
      </c>
      <c r="AD2118" s="69" t="e" cm="1">
        <f t="array" ref="AD2118">_xlfn.XLOOKUP(Table1[[#This Row],[5 cm2 cell test code]:[5 cm2 cell test code]],[1]!Table1[[Test code]:[Test code]],[1]!Table1[HFR DIW/ mOhm cm2],"",0)</f>
        <v>#REF!</v>
      </c>
      <c r="AE2118" s="69" t="e" cm="1">
        <f t="array" ref="AE2118">_xlfn.XLOOKUP(Table1[[#This Row],[5 cm2 cell test code]:[5 cm2 cell test code]],[1]!Table1[[Test code]:[Test code]],[1]!Table1[HFR 10 mM KOH/ mOhm cm2],"",0)</f>
        <v>#REF!</v>
      </c>
      <c r="AF2118" s="69" t="e" cm="1">
        <f t="array" ref="AF2118">_xlfn.XLOOKUP(Table1[[#This Row],[5 cm2 cell test code]:[5 cm2 cell test code]],[1]!Table1[[Test code]:[Test code]],[1]!Table1[Ionic resistance DIW/Ohm cm2],"",0)</f>
        <v>#REF!</v>
      </c>
      <c r="AG2118" s="69" t="e" cm="1">
        <f t="array" ref="AG2118">_xlfn.XLOOKUP(Table1[[#This Row],[5 cm2 cell test code]:[5 cm2 cell test code]],[1]!Table1[[Test code]:[Test code]],[1]!Table1[Q_int_frac DIW],"",0)</f>
        <v>#REF!</v>
      </c>
      <c r="AH2118" s="69" t="e" cm="1">
        <f t="array" ref="AH2118">_xlfn.XLOOKUP(Table1[[#This Row],[5 cm2 cell test code]:[5 cm2 cell test code]],[1]!Table1[[Test code]:[Test code]],[1]!Table1[Ionic resistance 10 mM KOH/Ohm cm2],"",0)</f>
        <v>#REF!</v>
      </c>
      <c r="AI2118" s="69" t="e" cm="1">
        <f t="array" ref="AI2118">_xlfn.XLOOKUP(Table1[[#This Row],[5 cm2 cell test code]:[5 cm2 cell test code]],[1]!Table1[[Test code]:[Test code]],[1]!Table1[Q_int_frac DIW 10 mM KOH],"",0)</f>
        <v>#REF!</v>
      </c>
      <c r="AJ2118" s="69" t="e" cm="1">
        <f t="array" ref="AJ2118">_xlfn.XLOOKUP(Table1[[#This Row],[5 cm2 cell test code]:[5 cm2 cell test code]],[1]!Table1[[Test code]:[Test code]],[1]!Table1[DIW conductivity (µS/cm)],"",0)</f>
        <v>#REF!</v>
      </c>
    </row>
    <row r="2119" spans="1:36">
      <c r="A2119" s="81"/>
      <c r="U2119" s="101"/>
      <c r="V2119" s="101"/>
      <c r="W2119" s="69" t="e" cm="1">
        <f t="array" ref="W2119">_xlfn.XLOOKUP(Table1[[#This Row],[5 cm2 cell test code]:[5 cm2 cell test code]],[1]!Table1[[Test code]:[Test code]],[1]!Table1[i @ 1.8 V DIW (A/cm2)],"",0)</f>
        <v>#REF!</v>
      </c>
      <c r="X2119" s="69" t="e" cm="1">
        <f t="array" ref="X2119">_xlfn.XLOOKUP(Table1[[#This Row],[5 cm2 cell test code]:[5 cm2 cell test code]],[1]!Table1[[Test code]:[Test code]],[1]!Table1[i @ 1.8 V 10 mM KOH (A/cm2)],"",0)</f>
        <v>#REF!</v>
      </c>
      <c r="Y2119" s="69" t="e" cm="1">
        <f t="array" ref="Y2119">_xlfn.XLOOKUP(Table1[[#This Row],[5 cm2 cell test code]:[5 cm2 cell test code]],[1]!Table1[[Test code]:[Test code]],[1]!Table1[3-E ƞ at 20mAcm-2 (mV)],"",0)</f>
        <v>#REF!</v>
      </c>
      <c r="Z2119" s="69" t="e" cm="1">
        <f t="array" ref="Z2119">_xlfn.XLOOKUP(Table1[[#This Row],[5 cm2 cell test code]:[5 cm2 cell test code]],[1]!Table1[[Test code]:[Test code]],[1]!Table1[3-E Tafel slope (mV/dec)],"",0)</f>
        <v>#REF!</v>
      </c>
      <c r="AA2119" s="69" t="e" cm="1">
        <f t="array" ref="AA2119">_xlfn.XLOOKUP(Table1[[#This Row],[5 cm2 cell test code]:[5 cm2 cell test code]],[1]!Table1[[Test code]:[Test code]],[1]!Table1[E @ 100 mA/cm2 DIW/V],"",0)</f>
        <v>#REF!</v>
      </c>
      <c r="AB2119" s="69" t="e" cm="1">
        <f t="array" ref="AB2119">_xlfn.XLOOKUP(Table1[[#This Row],[5 cm2 cell test code]:[5 cm2 cell test code]],[1]!Table1[[Test code]:[Test code]],[1]!Table1[E @ 100 mA/cm2 10 mM KOH/V],"",0)</f>
        <v>#REF!</v>
      </c>
      <c r="AC2119" s="69" t="e" cm="1">
        <f t="array" ref="AC2119">_xlfn.XLOOKUP(Table1[[#This Row],[5 cm2 cell test code]:[5 cm2 cell test code]],[1]!Table1[[Test code]:[Test code]],[1]!Table1[Anode ICR/mOhm],"",0)</f>
        <v>#REF!</v>
      </c>
      <c r="AD2119" s="69" t="e" cm="1">
        <f t="array" ref="AD2119">_xlfn.XLOOKUP(Table1[[#This Row],[5 cm2 cell test code]:[5 cm2 cell test code]],[1]!Table1[[Test code]:[Test code]],[1]!Table1[HFR DIW/ mOhm cm2],"",0)</f>
        <v>#REF!</v>
      </c>
      <c r="AE2119" s="69" t="e" cm="1">
        <f t="array" ref="AE2119">_xlfn.XLOOKUP(Table1[[#This Row],[5 cm2 cell test code]:[5 cm2 cell test code]],[1]!Table1[[Test code]:[Test code]],[1]!Table1[HFR 10 mM KOH/ mOhm cm2],"",0)</f>
        <v>#REF!</v>
      </c>
      <c r="AF2119" s="69" t="e" cm="1">
        <f t="array" ref="AF2119">_xlfn.XLOOKUP(Table1[[#This Row],[5 cm2 cell test code]:[5 cm2 cell test code]],[1]!Table1[[Test code]:[Test code]],[1]!Table1[Ionic resistance DIW/Ohm cm2],"",0)</f>
        <v>#REF!</v>
      </c>
      <c r="AG2119" s="69" t="e" cm="1">
        <f t="array" ref="AG2119">_xlfn.XLOOKUP(Table1[[#This Row],[5 cm2 cell test code]:[5 cm2 cell test code]],[1]!Table1[[Test code]:[Test code]],[1]!Table1[Q_int_frac DIW],"",0)</f>
        <v>#REF!</v>
      </c>
      <c r="AH2119" s="69" t="e" cm="1">
        <f t="array" ref="AH2119">_xlfn.XLOOKUP(Table1[[#This Row],[5 cm2 cell test code]:[5 cm2 cell test code]],[1]!Table1[[Test code]:[Test code]],[1]!Table1[Ionic resistance 10 mM KOH/Ohm cm2],"",0)</f>
        <v>#REF!</v>
      </c>
      <c r="AI2119" s="69" t="e" cm="1">
        <f t="array" ref="AI2119">_xlfn.XLOOKUP(Table1[[#This Row],[5 cm2 cell test code]:[5 cm2 cell test code]],[1]!Table1[[Test code]:[Test code]],[1]!Table1[Q_int_frac DIW 10 mM KOH],"",0)</f>
        <v>#REF!</v>
      </c>
      <c r="AJ2119" s="69" t="e" cm="1">
        <f t="array" ref="AJ2119">_xlfn.XLOOKUP(Table1[[#This Row],[5 cm2 cell test code]:[5 cm2 cell test code]],[1]!Table1[[Test code]:[Test code]],[1]!Table1[DIW conductivity (µS/cm)],"",0)</f>
        <v>#REF!</v>
      </c>
    </row>
    <row r="2120" spans="1:36">
      <c r="A2120" s="81"/>
      <c r="U2120" s="101"/>
      <c r="V2120" s="101"/>
      <c r="W2120" s="69" t="e" cm="1">
        <f t="array" ref="W2120">_xlfn.XLOOKUP(Table1[[#This Row],[5 cm2 cell test code]:[5 cm2 cell test code]],[1]!Table1[[Test code]:[Test code]],[1]!Table1[i @ 1.8 V DIW (A/cm2)],"",0)</f>
        <v>#REF!</v>
      </c>
      <c r="X2120" s="69" t="e" cm="1">
        <f t="array" ref="X2120">_xlfn.XLOOKUP(Table1[[#This Row],[5 cm2 cell test code]:[5 cm2 cell test code]],[1]!Table1[[Test code]:[Test code]],[1]!Table1[i @ 1.8 V 10 mM KOH (A/cm2)],"",0)</f>
        <v>#REF!</v>
      </c>
      <c r="Y2120" s="69" t="e" cm="1">
        <f t="array" ref="Y2120">_xlfn.XLOOKUP(Table1[[#This Row],[5 cm2 cell test code]:[5 cm2 cell test code]],[1]!Table1[[Test code]:[Test code]],[1]!Table1[3-E ƞ at 20mAcm-2 (mV)],"",0)</f>
        <v>#REF!</v>
      </c>
      <c r="Z2120" s="69" t="e" cm="1">
        <f t="array" ref="Z2120">_xlfn.XLOOKUP(Table1[[#This Row],[5 cm2 cell test code]:[5 cm2 cell test code]],[1]!Table1[[Test code]:[Test code]],[1]!Table1[3-E Tafel slope (mV/dec)],"",0)</f>
        <v>#REF!</v>
      </c>
      <c r="AA2120" s="69" t="e" cm="1">
        <f t="array" ref="AA2120">_xlfn.XLOOKUP(Table1[[#This Row],[5 cm2 cell test code]:[5 cm2 cell test code]],[1]!Table1[[Test code]:[Test code]],[1]!Table1[E @ 100 mA/cm2 DIW/V],"",0)</f>
        <v>#REF!</v>
      </c>
      <c r="AB2120" s="69" t="e" cm="1">
        <f t="array" ref="AB2120">_xlfn.XLOOKUP(Table1[[#This Row],[5 cm2 cell test code]:[5 cm2 cell test code]],[1]!Table1[[Test code]:[Test code]],[1]!Table1[E @ 100 mA/cm2 10 mM KOH/V],"",0)</f>
        <v>#REF!</v>
      </c>
      <c r="AC2120" s="69" t="e" cm="1">
        <f t="array" ref="AC2120">_xlfn.XLOOKUP(Table1[[#This Row],[5 cm2 cell test code]:[5 cm2 cell test code]],[1]!Table1[[Test code]:[Test code]],[1]!Table1[Anode ICR/mOhm],"",0)</f>
        <v>#REF!</v>
      </c>
      <c r="AD2120" s="69" t="e" cm="1">
        <f t="array" ref="AD2120">_xlfn.XLOOKUP(Table1[[#This Row],[5 cm2 cell test code]:[5 cm2 cell test code]],[1]!Table1[[Test code]:[Test code]],[1]!Table1[HFR DIW/ mOhm cm2],"",0)</f>
        <v>#REF!</v>
      </c>
      <c r="AE2120" s="69" t="e" cm="1">
        <f t="array" ref="AE2120">_xlfn.XLOOKUP(Table1[[#This Row],[5 cm2 cell test code]:[5 cm2 cell test code]],[1]!Table1[[Test code]:[Test code]],[1]!Table1[HFR 10 mM KOH/ mOhm cm2],"",0)</f>
        <v>#REF!</v>
      </c>
      <c r="AF2120" s="69" t="e" cm="1">
        <f t="array" ref="AF2120">_xlfn.XLOOKUP(Table1[[#This Row],[5 cm2 cell test code]:[5 cm2 cell test code]],[1]!Table1[[Test code]:[Test code]],[1]!Table1[Ionic resistance DIW/Ohm cm2],"",0)</f>
        <v>#REF!</v>
      </c>
      <c r="AG2120" s="69" t="e" cm="1">
        <f t="array" ref="AG2120">_xlfn.XLOOKUP(Table1[[#This Row],[5 cm2 cell test code]:[5 cm2 cell test code]],[1]!Table1[[Test code]:[Test code]],[1]!Table1[Q_int_frac DIW],"",0)</f>
        <v>#REF!</v>
      </c>
      <c r="AH2120" s="69" t="e" cm="1">
        <f t="array" ref="AH2120">_xlfn.XLOOKUP(Table1[[#This Row],[5 cm2 cell test code]:[5 cm2 cell test code]],[1]!Table1[[Test code]:[Test code]],[1]!Table1[Ionic resistance 10 mM KOH/Ohm cm2],"",0)</f>
        <v>#REF!</v>
      </c>
      <c r="AI2120" s="69" t="e" cm="1">
        <f t="array" ref="AI2120">_xlfn.XLOOKUP(Table1[[#This Row],[5 cm2 cell test code]:[5 cm2 cell test code]],[1]!Table1[[Test code]:[Test code]],[1]!Table1[Q_int_frac DIW 10 mM KOH],"",0)</f>
        <v>#REF!</v>
      </c>
      <c r="AJ2120" s="69" t="e" cm="1">
        <f t="array" ref="AJ2120">_xlfn.XLOOKUP(Table1[[#This Row],[5 cm2 cell test code]:[5 cm2 cell test code]],[1]!Table1[[Test code]:[Test code]],[1]!Table1[DIW conductivity (µS/cm)],"",0)</f>
        <v>#REF!</v>
      </c>
    </row>
    <row r="2121" spans="1:36">
      <c r="A2121" s="81"/>
      <c r="U2121" s="101"/>
      <c r="V2121" s="101"/>
      <c r="W2121" s="69" t="e" cm="1">
        <f t="array" ref="W2121">_xlfn.XLOOKUP(Table1[[#This Row],[5 cm2 cell test code]:[5 cm2 cell test code]],[1]!Table1[[Test code]:[Test code]],[1]!Table1[i @ 1.8 V DIW (A/cm2)],"",0)</f>
        <v>#REF!</v>
      </c>
      <c r="X2121" s="69" t="e" cm="1">
        <f t="array" ref="X2121">_xlfn.XLOOKUP(Table1[[#This Row],[5 cm2 cell test code]:[5 cm2 cell test code]],[1]!Table1[[Test code]:[Test code]],[1]!Table1[i @ 1.8 V 10 mM KOH (A/cm2)],"",0)</f>
        <v>#REF!</v>
      </c>
      <c r="Y2121" s="69" t="e" cm="1">
        <f t="array" ref="Y2121">_xlfn.XLOOKUP(Table1[[#This Row],[5 cm2 cell test code]:[5 cm2 cell test code]],[1]!Table1[[Test code]:[Test code]],[1]!Table1[3-E ƞ at 20mAcm-2 (mV)],"",0)</f>
        <v>#REF!</v>
      </c>
      <c r="Z2121" s="69" t="e" cm="1">
        <f t="array" ref="Z2121">_xlfn.XLOOKUP(Table1[[#This Row],[5 cm2 cell test code]:[5 cm2 cell test code]],[1]!Table1[[Test code]:[Test code]],[1]!Table1[3-E Tafel slope (mV/dec)],"",0)</f>
        <v>#REF!</v>
      </c>
      <c r="AA2121" s="69" t="e" cm="1">
        <f t="array" ref="AA2121">_xlfn.XLOOKUP(Table1[[#This Row],[5 cm2 cell test code]:[5 cm2 cell test code]],[1]!Table1[[Test code]:[Test code]],[1]!Table1[E @ 100 mA/cm2 DIW/V],"",0)</f>
        <v>#REF!</v>
      </c>
      <c r="AB2121" s="69" t="e" cm="1">
        <f t="array" ref="AB2121">_xlfn.XLOOKUP(Table1[[#This Row],[5 cm2 cell test code]:[5 cm2 cell test code]],[1]!Table1[[Test code]:[Test code]],[1]!Table1[E @ 100 mA/cm2 10 mM KOH/V],"",0)</f>
        <v>#REF!</v>
      </c>
      <c r="AC2121" s="69" t="e" cm="1">
        <f t="array" ref="AC2121">_xlfn.XLOOKUP(Table1[[#This Row],[5 cm2 cell test code]:[5 cm2 cell test code]],[1]!Table1[[Test code]:[Test code]],[1]!Table1[Anode ICR/mOhm],"",0)</f>
        <v>#REF!</v>
      </c>
      <c r="AD2121" s="69" t="e" cm="1">
        <f t="array" ref="AD2121">_xlfn.XLOOKUP(Table1[[#This Row],[5 cm2 cell test code]:[5 cm2 cell test code]],[1]!Table1[[Test code]:[Test code]],[1]!Table1[HFR DIW/ mOhm cm2],"",0)</f>
        <v>#REF!</v>
      </c>
      <c r="AE2121" s="69" t="e" cm="1">
        <f t="array" ref="AE2121">_xlfn.XLOOKUP(Table1[[#This Row],[5 cm2 cell test code]:[5 cm2 cell test code]],[1]!Table1[[Test code]:[Test code]],[1]!Table1[HFR 10 mM KOH/ mOhm cm2],"",0)</f>
        <v>#REF!</v>
      </c>
      <c r="AF2121" s="69" t="e" cm="1">
        <f t="array" ref="AF2121">_xlfn.XLOOKUP(Table1[[#This Row],[5 cm2 cell test code]:[5 cm2 cell test code]],[1]!Table1[[Test code]:[Test code]],[1]!Table1[Ionic resistance DIW/Ohm cm2],"",0)</f>
        <v>#REF!</v>
      </c>
      <c r="AG2121" s="69" t="e" cm="1">
        <f t="array" ref="AG2121">_xlfn.XLOOKUP(Table1[[#This Row],[5 cm2 cell test code]:[5 cm2 cell test code]],[1]!Table1[[Test code]:[Test code]],[1]!Table1[Q_int_frac DIW],"",0)</f>
        <v>#REF!</v>
      </c>
      <c r="AH2121" s="69" t="e" cm="1">
        <f t="array" ref="AH2121">_xlfn.XLOOKUP(Table1[[#This Row],[5 cm2 cell test code]:[5 cm2 cell test code]],[1]!Table1[[Test code]:[Test code]],[1]!Table1[Ionic resistance 10 mM KOH/Ohm cm2],"",0)</f>
        <v>#REF!</v>
      </c>
      <c r="AI2121" s="69" t="e" cm="1">
        <f t="array" ref="AI2121">_xlfn.XLOOKUP(Table1[[#This Row],[5 cm2 cell test code]:[5 cm2 cell test code]],[1]!Table1[[Test code]:[Test code]],[1]!Table1[Q_int_frac DIW 10 mM KOH],"",0)</f>
        <v>#REF!</v>
      </c>
      <c r="AJ2121" s="69" t="e" cm="1">
        <f t="array" ref="AJ2121">_xlfn.XLOOKUP(Table1[[#This Row],[5 cm2 cell test code]:[5 cm2 cell test code]],[1]!Table1[[Test code]:[Test code]],[1]!Table1[DIW conductivity (µS/cm)],"",0)</f>
        <v>#REF!</v>
      </c>
    </row>
    <row r="2122" spans="1:36">
      <c r="A2122" s="81"/>
      <c r="U2122" s="101"/>
      <c r="V2122" s="101"/>
      <c r="W2122" s="69" t="e" cm="1">
        <f t="array" ref="W2122">_xlfn.XLOOKUP(Table1[[#This Row],[5 cm2 cell test code]:[5 cm2 cell test code]],[1]!Table1[[Test code]:[Test code]],[1]!Table1[i @ 1.8 V DIW (A/cm2)],"",0)</f>
        <v>#REF!</v>
      </c>
      <c r="X2122" s="69" t="e" cm="1">
        <f t="array" ref="X2122">_xlfn.XLOOKUP(Table1[[#This Row],[5 cm2 cell test code]:[5 cm2 cell test code]],[1]!Table1[[Test code]:[Test code]],[1]!Table1[i @ 1.8 V 10 mM KOH (A/cm2)],"",0)</f>
        <v>#REF!</v>
      </c>
      <c r="Y2122" s="69" t="e" cm="1">
        <f t="array" ref="Y2122">_xlfn.XLOOKUP(Table1[[#This Row],[5 cm2 cell test code]:[5 cm2 cell test code]],[1]!Table1[[Test code]:[Test code]],[1]!Table1[3-E ƞ at 20mAcm-2 (mV)],"",0)</f>
        <v>#REF!</v>
      </c>
      <c r="Z2122" s="69" t="e" cm="1">
        <f t="array" ref="Z2122">_xlfn.XLOOKUP(Table1[[#This Row],[5 cm2 cell test code]:[5 cm2 cell test code]],[1]!Table1[[Test code]:[Test code]],[1]!Table1[3-E Tafel slope (mV/dec)],"",0)</f>
        <v>#REF!</v>
      </c>
      <c r="AA2122" s="69" t="e" cm="1">
        <f t="array" ref="AA2122">_xlfn.XLOOKUP(Table1[[#This Row],[5 cm2 cell test code]:[5 cm2 cell test code]],[1]!Table1[[Test code]:[Test code]],[1]!Table1[E @ 100 mA/cm2 DIW/V],"",0)</f>
        <v>#REF!</v>
      </c>
      <c r="AB2122" s="69" t="e" cm="1">
        <f t="array" ref="AB2122">_xlfn.XLOOKUP(Table1[[#This Row],[5 cm2 cell test code]:[5 cm2 cell test code]],[1]!Table1[[Test code]:[Test code]],[1]!Table1[E @ 100 mA/cm2 10 mM KOH/V],"",0)</f>
        <v>#REF!</v>
      </c>
      <c r="AC2122" s="69" t="e" cm="1">
        <f t="array" ref="AC2122">_xlfn.XLOOKUP(Table1[[#This Row],[5 cm2 cell test code]:[5 cm2 cell test code]],[1]!Table1[[Test code]:[Test code]],[1]!Table1[Anode ICR/mOhm],"",0)</f>
        <v>#REF!</v>
      </c>
      <c r="AD2122" s="69" t="e" cm="1">
        <f t="array" ref="AD2122">_xlfn.XLOOKUP(Table1[[#This Row],[5 cm2 cell test code]:[5 cm2 cell test code]],[1]!Table1[[Test code]:[Test code]],[1]!Table1[HFR DIW/ mOhm cm2],"",0)</f>
        <v>#REF!</v>
      </c>
      <c r="AE2122" s="69" t="e" cm="1">
        <f t="array" ref="AE2122">_xlfn.XLOOKUP(Table1[[#This Row],[5 cm2 cell test code]:[5 cm2 cell test code]],[1]!Table1[[Test code]:[Test code]],[1]!Table1[HFR 10 mM KOH/ mOhm cm2],"",0)</f>
        <v>#REF!</v>
      </c>
      <c r="AF2122" s="69" t="e" cm="1">
        <f t="array" ref="AF2122">_xlfn.XLOOKUP(Table1[[#This Row],[5 cm2 cell test code]:[5 cm2 cell test code]],[1]!Table1[[Test code]:[Test code]],[1]!Table1[Ionic resistance DIW/Ohm cm2],"",0)</f>
        <v>#REF!</v>
      </c>
      <c r="AG2122" s="69" t="e" cm="1">
        <f t="array" ref="AG2122">_xlfn.XLOOKUP(Table1[[#This Row],[5 cm2 cell test code]:[5 cm2 cell test code]],[1]!Table1[[Test code]:[Test code]],[1]!Table1[Q_int_frac DIW],"",0)</f>
        <v>#REF!</v>
      </c>
      <c r="AH2122" s="69" t="e" cm="1">
        <f t="array" ref="AH2122">_xlfn.XLOOKUP(Table1[[#This Row],[5 cm2 cell test code]:[5 cm2 cell test code]],[1]!Table1[[Test code]:[Test code]],[1]!Table1[Ionic resistance 10 mM KOH/Ohm cm2],"",0)</f>
        <v>#REF!</v>
      </c>
      <c r="AI2122" s="69" t="e" cm="1">
        <f t="array" ref="AI2122">_xlfn.XLOOKUP(Table1[[#This Row],[5 cm2 cell test code]:[5 cm2 cell test code]],[1]!Table1[[Test code]:[Test code]],[1]!Table1[Q_int_frac DIW 10 mM KOH],"",0)</f>
        <v>#REF!</v>
      </c>
      <c r="AJ2122" s="69" t="e" cm="1">
        <f t="array" ref="AJ2122">_xlfn.XLOOKUP(Table1[[#This Row],[5 cm2 cell test code]:[5 cm2 cell test code]],[1]!Table1[[Test code]:[Test code]],[1]!Table1[DIW conductivity (µS/cm)],"",0)</f>
        <v>#REF!</v>
      </c>
    </row>
    <row r="2123" spans="1:36">
      <c r="A2123" s="81"/>
      <c r="U2123" s="101"/>
      <c r="V2123" s="101"/>
      <c r="W2123" s="69" t="e" cm="1">
        <f t="array" ref="W2123">_xlfn.XLOOKUP(Table1[[#This Row],[5 cm2 cell test code]:[5 cm2 cell test code]],[1]!Table1[[Test code]:[Test code]],[1]!Table1[i @ 1.8 V DIW (A/cm2)],"",0)</f>
        <v>#REF!</v>
      </c>
      <c r="X2123" s="69" t="e" cm="1">
        <f t="array" ref="X2123">_xlfn.XLOOKUP(Table1[[#This Row],[5 cm2 cell test code]:[5 cm2 cell test code]],[1]!Table1[[Test code]:[Test code]],[1]!Table1[i @ 1.8 V 10 mM KOH (A/cm2)],"",0)</f>
        <v>#REF!</v>
      </c>
      <c r="Y2123" s="69" t="e" cm="1">
        <f t="array" ref="Y2123">_xlfn.XLOOKUP(Table1[[#This Row],[5 cm2 cell test code]:[5 cm2 cell test code]],[1]!Table1[[Test code]:[Test code]],[1]!Table1[3-E ƞ at 20mAcm-2 (mV)],"",0)</f>
        <v>#REF!</v>
      </c>
      <c r="Z2123" s="69" t="e" cm="1">
        <f t="array" ref="Z2123">_xlfn.XLOOKUP(Table1[[#This Row],[5 cm2 cell test code]:[5 cm2 cell test code]],[1]!Table1[[Test code]:[Test code]],[1]!Table1[3-E Tafel slope (mV/dec)],"",0)</f>
        <v>#REF!</v>
      </c>
      <c r="AA2123" s="69" t="e" cm="1">
        <f t="array" ref="AA2123">_xlfn.XLOOKUP(Table1[[#This Row],[5 cm2 cell test code]:[5 cm2 cell test code]],[1]!Table1[[Test code]:[Test code]],[1]!Table1[E @ 100 mA/cm2 DIW/V],"",0)</f>
        <v>#REF!</v>
      </c>
      <c r="AB2123" s="69" t="e" cm="1">
        <f t="array" ref="AB2123">_xlfn.XLOOKUP(Table1[[#This Row],[5 cm2 cell test code]:[5 cm2 cell test code]],[1]!Table1[[Test code]:[Test code]],[1]!Table1[E @ 100 mA/cm2 10 mM KOH/V],"",0)</f>
        <v>#REF!</v>
      </c>
      <c r="AC2123" s="69" t="e" cm="1">
        <f t="array" ref="AC2123">_xlfn.XLOOKUP(Table1[[#This Row],[5 cm2 cell test code]:[5 cm2 cell test code]],[1]!Table1[[Test code]:[Test code]],[1]!Table1[Anode ICR/mOhm],"",0)</f>
        <v>#REF!</v>
      </c>
      <c r="AD2123" s="69" t="e" cm="1">
        <f t="array" ref="AD2123">_xlfn.XLOOKUP(Table1[[#This Row],[5 cm2 cell test code]:[5 cm2 cell test code]],[1]!Table1[[Test code]:[Test code]],[1]!Table1[HFR DIW/ mOhm cm2],"",0)</f>
        <v>#REF!</v>
      </c>
      <c r="AE2123" s="69" t="e" cm="1">
        <f t="array" ref="AE2123">_xlfn.XLOOKUP(Table1[[#This Row],[5 cm2 cell test code]:[5 cm2 cell test code]],[1]!Table1[[Test code]:[Test code]],[1]!Table1[HFR 10 mM KOH/ mOhm cm2],"",0)</f>
        <v>#REF!</v>
      </c>
      <c r="AF2123" s="69" t="e" cm="1">
        <f t="array" ref="AF2123">_xlfn.XLOOKUP(Table1[[#This Row],[5 cm2 cell test code]:[5 cm2 cell test code]],[1]!Table1[[Test code]:[Test code]],[1]!Table1[Ionic resistance DIW/Ohm cm2],"",0)</f>
        <v>#REF!</v>
      </c>
      <c r="AG2123" s="69" t="e" cm="1">
        <f t="array" ref="AG2123">_xlfn.XLOOKUP(Table1[[#This Row],[5 cm2 cell test code]:[5 cm2 cell test code]],[1]!Table1[[Test code]:[Test code]],[1]!Table1[Q_int_frac DIW],"",0)</f>
        <v>#REF!</v>
      </c>
      <c r="AH2123" s="69" t="e" cm="1">
        <f t="array" ref="AH2123">_xlfn.XLOOKUP(Table1[[#This Row],[5 cm2 cell test code]:[5 cm2 cell test code]],[1]!Table1[[Test code]:[Test code]],[1]!Table1[Ionic resistance 10 mM KOH/Ohm cm2],"",0)</f>
        <v>#REF!</v>
      </c>
      <c r="AI2123" s="69" t="e" cm="1">
        <f t="array" ref="AI2123">_xlfn.XLOOKUP(Table1[[#This Row],[5 cm2 cell test code]:[5 cm2 cell test code]],[1]!Table1[[Test code]:[Test code]],[1]!Table1[Q_int_frac DIW 10 mM KOH],"",0)</f>
        <v>#REF!</v>
      </c>
      <c r="AJ2123" s="69" t="e" cm="1">
        <f t="array" ref="AJ2123">_xlfn.XLOOKUP(Table1[[#This Row],[5 cm2 cell test code]:[5 cm2 cell test code]],[1]!Table1[[Test code]:[Test code]],[1]!Table1[DIW conductivity (µS/cm)],"",0)</f>
        <v>#REF!</v>
      </c>
    </row>
    <row r="2124" spans="1:36">
      <c r="A2124" s="81"/>
      <c r="U2124" s="101"/>
      <c r="V2124" s="101"/>
      <c r="W2124" s="69" t="e" cm="1">
        <f t="array" ref="W2124">_xlfn.XLOOKUP(Table1[[#This Row],[5 cm2 cell test code]:[5 cm2 cell test code]],[1]!Table1[[Test code]:[Test code]],[1]!Table1[i @ 1.8 V DIW (A/cm2)],"",0)</f>
        <v>#REF!</v>
      </c>
      <c r="X2124" s="69" t="e" cm="1">
        <f t="array" ref="X2124">_xlfn.XLOOKUP(Table1[[#This Row],[5 cm2 cell test code]:[5 cm2 cell test code]],[1]!Table1[[Test code]:[Test code]],[1]!Table1[i @ 1.8 V 10 mM KOH (A/cm2)],"",0)</f>
        <v>#REF!</v>
      </c>
      <c r="Y2124" s="69" t="e" cm="1">
        <f t="array" ref="Y2124">_xlfn.XLOOKUP(Table1[[#This Row],[5 cm2 cell test code]:[5 cm2 cell test code]],[1]!Table1[[Test code]:[Test code]],[1]!Table1[3-E ƞ at 20mAcm-2 (mV)],"",0)</f>
        <v>#REF!</v>
      </c>
      <c r="Z2124" s="69" t="e" cm="1">
        <f t="array" ref="Z2124">_xlfn.XLOOKUP(Table1[[#This Row],[5 cm2 cell test code]:[5 cm2 cell test code]],[1]!Table1[[Test code]:[Test code]],[1]!Table1[3-E Tafel slope (mV/dec)],"",0)</f>
        <v>#REF!</v>
      </c>
      <c r="AA2124" s="69" t="e" cm="1">
        <f t="array" ref="AA2124">_xlfn.XLOOKUP(Table1[[#This Row],[5 cm2 cell test code]:[5 cm2 cell test code]],[1]!Table1[[Test code]:[Test code]],[1]!Table1[E @ 100 mA/cm2 DIW/V],"",0)</f>
        <v>#REF!</v>
      </c>
      <c r="AB2124" s="69" t="e" cm="1">
        <f t="array" ref="AB2124">_xlfn.XLOOKUP(Table1[[#This Row],[5 cm2 cell test code]:[5 cm2 cell test code]],[1]!Table1[[Test code]:[Test code]],[1]!Table1[E @ 100 mA/cm2 10 mM KOH/V],"",0)</f>
        <v>#REF!</v>
      </c>
      <c r="AC2124" s="69" t="e" cm="1">
        <f t="array" ref="AC2124">_xlfn.XLOOKUP(Table1[[#This Row],[5 cm2 cell test code]:[5 cm2 cell test code]],[1]!Table1[[Test code]:[Test code]],[1]!Table1[Anode ICR/mOhm],"",0)</f>
        <v>#REF!</v>
      </c>
      <c r="AD2124" s="69" t="e" cm="1">
        <f t="array" ref="AD2124">_xlfn.XLOOKUP(Table1[[#This Row],[5 cm2 cell test code]:[5 cm2 cell test code]],[1]!Table1[[Test code]:[Test code]],[1]!Table1[HFR DIW/ mOhm cm2],"",0)</f>
        <v>#REF!</v>
      </c>
      <c r="AE2124" s="69" t="e" cm="1">
        <f t="array" ref="AE2124">_xlfn.XLOOKUP(Table1[[#This Row],[5 cm2 cell test code]:[5 cm2 cell test code]],[1]!Table1[[Test code]:[Test code]],[1]!Table1[HFR 10 mM KOH/ mOhm cm2],"",0)</f>
        <v>#REF!</v>
      </c>
      <c r="AF2124" s="69" t="e" cm="1">
        <f t="array" ref="AF2124">_xlfn.XLOOKUP(Table1[[#This Row],[5 cm2 cell test code]:[5 cm2 cell test code]],[1]!Table1[[Test code]:[Test code]],[1]!Table1[Ionic resistance DIW/Ohm cm2],"",0)</f>
        <v>#REF!</v>
      </c>
      <c r="AG2124" s="69" t="e" cm="1">
        <f t="array" ref="AG2124">_xlfn.XLOOKUP(Table1[[#This Row],[5 cm2 cell test code]:[5 cm2 cell test code]],[1]!Table1[[Test code]:[Test code]],[1]!Table1[Q_int_frac DIW],"",0)</f>
        <v>#REF!</v>
      </c>
      <c r="AH2124" s="69" t="e" cm="1">
        <f t="array" ref="AH2124">_xlfn.XLOOKUP(Table1[[#This Row],[5 cm2 cell test code]:[5 cm2 cell test code]],[1]!Table1[[Test code]:[Test code]],[1]!Table1[Ionic resistance 10 mM KOH/Ohm cm2],"",0)</f>
        <v>#REF!</v>
      </c>
      <c r="AI2124" s="69" t="e" cm="1">
        <f t="array" ref="AI2124">_xlfn.XLOOKUP(Table1[[#This Row],[5 cm2 cell test code]:[5 cm2 cell test code]],[1]!Table1[[Test code]:[Test code]],[1]!Table1[Q_int_frac DIW 10 mM KOH],"",0)</f>
        <v>#REF!</v>
      </c>
      <c r="AJ2124" s="69" t="e" cm="1">
        <f t="array" ref="AJ2124">_xlfn.XLOOKUP(Table1[[#This Row],[5 cm2 cell test code]:[5 cm2 cell test code]],[1]!Table1[[Test code]:[Test code]],[1]!Table1[DIW conductivity (µS/cm)],"",0)</f>
        <v>#REF!</v>
      </c>
    </row>
    <row r="2125" spans="1:36">
      <c r="A2125" s="81"/>
      <c r="U2125" s="101"/>
      <c r="V2125" s="101"/>
      <c r="W2125" s="69" t="e" cm="1">
        <f t="array" ref="W2125">_xlfn.XLOOKUP(Table1[[#This Row],[5 cm2 cell test code]:[5 cm2 cell test code]],[1]!Table1[[Test code]:[Test code]],[1]!Table1[i @ 1.8 V DIW (A/cm2)],"",0)</f>
        <v>#REF!</v>
      </c>
      <c r="X2125" s="69" t="e" cm="1">
        <f t="array" ref="X2125">_xlfn.XLOOKUP(Table1[[#This Row],[5 cm2 cell test code]:[5 cm2 cell test code]],[1]!Table1[[Test code]:[Test code]],[1]!Table1[i @ 1.8 V 10 mM KOH (A/cm2)],"",0)</f>
        <v>#REF!</v>
      </c>
      <c r="Y2125" s="69" t="e" cm="1">
        <f t="array" ref="Y2125">_xlfn.XLOOKUP(Table1[[#This Row],[5 cm2 cell test code]:[5 cm2 cell test code]],[1]!Table1[[Test code]:[Test code]],[1]!Table1[3-E ƞ at 20mAcm-2 (mV)],"",0)</f>
        <v>#REF!</v>
      </c>
      <c r="Z2125" s="69" t="e" cm="1">
        <f t="array" ref="Z2125">_xlfn.XLOOKUP(Table1[[#This Row],[5 cm2 cell test code]:[5 cm2 cell test code]],[1]!Table1[[Test code]:[Test code]],[1]!Table1[3-E Tafel slope (mV/dec)],"",0)</f>
        <v>#REF!</v>
      </c>
      <c r="AA2125" s="69" t="e" cm="1">
        <f t="array" ref="AA2125">_xlfn.XLOOKUP(Table1[[#This Row],[5 cm2 cell test code]:[5 cm2 cell test code]],[1]!Table1[[Test code]:[Test code]],[1]!Table1[E @ 100 mA/cm2 DIW/V],"",0)</f>
        <v>#REF!</v>
      </c>
      <c r="AB2125" s="69" t="e" cm="1">
        <f t="array" ref="AB2125">_xlfn.XLOOKUP(Table1[[#This Row],[5 cm2 cell test code]:[5 cm2 cell test code]],[1]!Table1[[Test code]:[Test code]],[1]!Table1[E @ 100 mA/cm2 10 mM KOH/V],"",0)</f>
        <v>#REF!</v>
      </c>
      <c r="AC2125" s="69" t="e" cm="1">
        <f t="array" ref="AC2125">_xlfn.XLOOKUP(Table1[[#This Row],[5 cm2 cell test code]:[5 cm2 cell test code]],[1]!Table1[[Test code]:[Test code]],[1]!Table1[Anode ICR/mOhm],"",0)</f>
        <v>#REF!</v>
      </c>
      <c r="AD2125" s="69" t="e" cm="1">
        <f t="array" ref="AD2125">_xlfn.XLOOKUP(Table1[[#This Row],[5 cm2 cell test code]:[5 cm2 cell test code]],[1]!Table1[[Test code]:[Test code]],[1]!Table1[HFR DIW/ mOhm cm2],"",0)</f>
        <v>#REF!</v>
      </c>
      <c r="AE2125" s="69" t="e" cm="1">
        <f t="array" ref="AE2125">_xlfn.XLOOKUP(Table1[[#This Row],[5 cm2 cell test code]:[5 cm2 cell test code]],[1]!Table1[[Test code]:[Test code]],[1]!Table1[HFR 10 mM KOH/ mOhm cm2],"",0)</f>
        <v>#REF!</v>
      </c>
      <c r="AF2125" s="69" t="e" cm="1">
        <f t="array" ref="AF2125">_xlfn.XLOOKUP(Table1[[#This Row],[5 cm2 cell test code]:[5 cm2 cell test code]],[1]!Table1[[Test code]:[Test code]],[1]!Table1[Ionic resistance DIW/Ohm cm2],"",0)</f>
        <v>#REF!</v>
      </c>
      <c r="AG2125" s="69" t="e" cm="1">
        <f t="array" ref="AG2125">_xlfn.XLOOKUP(Table1[[#This Row],[5 cm2 cell test code]:[5 cm2 cell test code]],[1]!Table1[[Test code]:[Test code]],[1]!Table1[Q_int_frac DIW],"",0)</f>
        <v>#REF!</v>
      </c>
      <c r="AH2125" s="69" t="e" cm="1">
        <f t="array" ref="AH2125">_xlfn.XLOOKUP(Table1[[#This Row],[5 cm2 cell test code]:[5 cm2 cell test code]],[1]!Table1[[Test code]:[Test code]],[1]!Table1[Ionic resistance 10 mM KOH/Ohm cm2],"",0)</f>
        <v>#REF!</v>
      </c>
      <c r="AI2125" s="69" t="e" cm="1">
        <f t="array" ref="AI2125">_xlfn.XLOOKUP(Table1[[#This Row],[5 cm2 cell test code]:[5 cm2 cell test code]],[1]!Table1[[Test code]:[Test code]],[1]!Table1[Q_int_frac DIW 10 mM KOH],"",0)</f>
        <v>#REF!</v>
      </c>
      <c r="AJ2125" s="69" t="e" cm="1">
        <f t="array" ref="AJ2125">_xlfn.XLOOKUP(Table1[[#This Row],[5 cm2 cell test code]:[5 cm2 cell test code]],[1]!Table1[[Test code]:[Test code]],[1]!Table1[DIW conductivity (µS/cm)],"",0)</f>
        <v>#REF!</v>
      </c>
    </row>
    <row r="2126" spans="1:36">
      <c r="A2126" s="81"/>
      <c r="U2126" s="101"/>
      <c r="V2126" s="101"/>
      <c r="W2126" s="69" t="e" cm="1">
        <f t="array" ref="W2126">_xlfn.XLOOKUP(Table1[[#This Row],[5 cm2 cell test code]:[5 cm2 cell test code]],[1]!Table1[[Test code]:[Test code]],[1]!Table1[i @ 1.8 V DIW (A/cm2)],"",0)</f>
        <v>#REF!</v>
      </c>
      <c r="X2126" s="69" t="e" cm="1">
        <f t="array" ref="X2126">_xlfn.XLOOKUP(Table1[[#This Row],[5 cm2 cell test code]:[5 cm2 cell test code]],[1]!Table1[[Test code]:[Test code]],[1]!Table1[i @ 1.8 V 10 mM KOH (A/cm2)],"",0)</f>
        <v>#REF!</v>
      </c>
      <c r="Y2126" s="69" t="e" cm="1">
        <f t="array" ref="Y2126">_xlfn.XLOOKUP(Table1[[#This Row],[5 cm2 cell test code]:[5 cm2 cell test code]],[1]!Table1[[Test code]:[Test code]],[1]!Table1[3-E ƞ at 20mAcm-2 (mV)],"",0)</f>
        <v>#REF!</v>
      </c>
      <c r="Z2126" s="69" t="e" cm="1">
        <f t="array" ref="Z2126">_xlfn.XLOOKUP(Table1[[#This Row],[5 cm2 cell test code]:[5 cm2 cell test code]],[1]!Table1[[Test code]:[Test code]],[1]!Table1[3-E Tafel slope (mV/dec)],"",0)</f>
        <v>#REF!</v>
      </c>
      <c r="AA2126" s="69" t="e" cm="1">
        <f t="array" ref="AA2126">_xlfn.XLOOKUP(Table1[[#This Row],[5 cm2 cell test code]:[5 cm2 cell test code]],[1]!Table1[[Test code]:[Test code]],[1]!Table1[E @ 100 mA/cm2 DIW/V],"",0)</f>
        <v>#REF!</v>
      </c>
      <c r="AB2126" s="69" t="e" cm="1">
        <f t="array" ref="AB2126">_xlfn.XLOOKUP(Table1[[#This Row],[5 cm2 cell test code]:[5 cm2 cell test code]],[1]!Table1[[Test code]:[Test code]],[1]!Table1[E @ 100 mA/cm2 10 mM KOH/V],"",0)</f>
        <v>#REF!</v>
      </c>
      <c r="AC2126" s="69" t="e" cm="1">
        <f t="array" ref="AC2126">_xlfn.XLOOKUP(Table1[[#This Row],[5 cm2 cell test code]:[5 cm2 cell test code]],[1]!Table1[[Test code]:[Test code]],[1]!Table1[Anode ICR/mOhm],"",0)</f>
        <v>#REF!</v>
      </c>
      <c r="AD2126" s="69" t="e" cm="1">
        <f t="array" ref="AD2126">_xlfn.XLOOKUP(Table1[[#This Row],[5 cm2 cell test code]:[5 cm2 cell test code]],[1]!Table1[[Test code]:[Test code]],[1]!Table1[HFR DIW/ mOhm cm2],"",0)</f>
        <v>#REF!</v>
      </c>
      <c r="AE2126" s="69" t="e" cm="1">
        <f t="array" ref="AE2126">_xlfn.XLOOKUP(Table1[[#This Row],[5 cm2 cell test code]:[5 cm2 cell test code]],[1]!Table1[[Test code]:[Test code]],[1]!Table1[HFR 10 mM KOH/ mOhm cm2],"",0)</f>
        <v>#REF!</v>
      </c>
      <c r="AF2126" s="69" t="e" cm="1">
        <f t="array" ref="AF2126">_xlfn.XLOOKUP(Table1[[#This Row],[5 cm2 cell test code]:[5 cm2 cell test code]],[1]!Table1[[Test code]:[Test code]],[1]!Table1[Ionic resistance DIW/Ohm cm2],"",0)</f>
        <v>#REF!</v>
      </c>
      <c r="AG2126" s="69" t="e" cm="1">
        <f t="array" ref="AG2126">_xlfn.XLOOKUP(Table1[[#This Row],[5 cm2 cell test code]:[5 cm2 cell test code]],[1]!Table1[[Test code]:[Test code]],[1]!Table1[Q_int_frac DIW],"",0)</f>
        <v>#REF!</v>
      </c>
      <c r="AH2126" s="69" t="e" cm="1">
        <f t="array" ref="AH2126">_xlfn.XLOOKUP(Table1[[#This Row],[5 cm2 cell test code]:[5 cm2 cell test code]],[1]!Table1[[Test code]:[Test code]],[1]!Table1[Ionic resistance 10 mM KOH/Ohm cm2],"",0)</f>
        <v>#REF!</v>
      </c>
      <c r="AI2126" s="69" t="e" cm="1">
        <f t="array" ref="AI2126">_xlfn.XLOOKUP(Table1[[#This Row],[5 cm2 cell test code]:[5 cm2 cell test code]],[1]!Table1[[Test code]:[Test code]],[1]!Table1[Q_int_frac DIW 10 mM KOH],"",0)</f>
        <v>#REF!</v>
      </c>
      <c r="AJ2126" s="69" t="e" cm="1">
        <f t="array" ref="AJ2126">_xlfn.XLOOKUP(Table1[[#This Row],[5 cm2 cell test code]:[5 cm2 cell test code]],[1]!Table1[[Test code]:[Test code]],[1]!Table1[DIW conductivity (µS/cm)],"",0)</f>
        <v>#REF!</v>
      </c>
    </row>
    <row r="2127" spans="1:36">
      <c r="A2127" s="81"/>
      <c r="U2127" s="101"/>
      <c r="V2127" s="101"/>
      <c r="W2127" s="69" t="e" cm="1">
        <f t="array" ref="W2127">_xlfn.XLOOKUP(Table1[[#This Row],[5 cm2 cell test code]:[5 cm2 cell test code]],[1]!Table1[[Test code]:[Test code]],[1]!Table1[i @ 1.8 V DIW (A/cm2)],"",0)</f>
        <v>#REF!</v>
      </c>
      <c r="X2127" s="69" t="e" cm="1">
        <f t="array" ref="X2127">_xlfn.XLOOKUP(Table1[[#This Row],[5 cm2 cell test code]:[5 cm2 cell test code]],[1]!Table1[[Test code]:[Test code]],[1]!Table1[i @ 1.8 V 10 mM KOH (A/cm2)],"",0)</f>
        <v>#REF!</v>
      </c>
      <c r="Y2127" s="69" t="e" cm="1">
        <f t="array" ref="Y2127">_xlfn.XLOOKUP(Table1[[#This Row],[5 cm2 cell test code]:[5 cm2 cell test code]],[1]!Table1[[Test code]:[Test code]],[1]!Table1[3-E ƞ at 20mAcm-2 (mV)],"",0)</f>
        <v>#REF!</v>
      </c>
      <c r="Z2127" s="69" t="e" cm="1">
        <f t="array" ref="Z2127">_xlfn.XLOOKUP(Table1[[#This Row],[5 cm2 cell test code]:[5 cm2 cell test code]],[1]!Table1[[Test code]:[Test code]],[1]!Table1[3-E Tafel slope (mV/dec)],"",0)</f>
        <v>#REF!</v>
      </c>
      <c r="AA2127" s="69" t="e" cm="1">
        <f t="array" ref="AA2127">_xlfn.XLOOKUP(Table1[[#This Row],[5 cm2 cell test code]:[5 cm2 cell test code]],[1]!Table1[[Test code]:[Test code]],[1]!Table1[E @ 100 mA/cm2 DIW/V],"",0)</f>
        <v>#REF!</v>
      </c>
      <c r="AB2127" s="69" t="e" cm="1">
        <f t="array" ref="AB2127">_xlfn.XLOOKUP(Table1[[#This Row],[5 cm2 cell test code]:[5 cm2 cell test code]],[1]!Table1[[Test code]:[Test code]],[1]!Table1[E @ 100 mA/cm2 10 mM KOH/V],"",0)</f>
        <v>#REF!</v>
      </c>
      <c r="AC2127" s="69" t="e" cm="1">
        <f t="array" ref="AC2127">_xlfn.XLOOKUP(Table1[[#This Row],[5 cm2 cell test code]:[5 cm2 cell test code]],[1]!Table1[[Test code]:[Test code]],[1]!Table1[Anode ICR/mOhm],"",0)</f>
        <v>#REF!</v>
      </c>
      <c r="AD2127" s="69" t="e" cm="1">
        <f t="array" ref="AD2127">_xlfn.XLOOKUP(Table1[[#This Row],[5 cm2 cell test code]:[5 cm2 cell test code]],[1]!Table1[[Test code]:[Test code]],[1]!Table1[HFR DIW/ mOhm cm2],"",0)</f>
        <v>#REF!</v>
      </c>
      <c r="AE2127" s="69" t="e" cm="1">
        <f t="array" ref="AE2127">_xlfn.XLOOKUP(Table1[[#This Row],[5 cm2 cell test code]:[5 cm2 cell test code]],[1]!Table1[[Test code]:[Test code]],[1]!Table1[HFR 10 mM KOH/ mOhm cm2],"",0)</f>
        <v>#REF!</v>
      </c>
      <c r="AF2127" s="69" t="e" cm="1">
        <f t="array" ref="AF2127">_xlfn.XLOOKUP(Table1[[#This Row],[5 cm2 cell test code]:[5 cm2 cell test code]],[1]!Table1[[Test code]:[Test code]],[1]!Table1[Ionic resistance DIW/Ohm cm2],"",0)</f>
        <v>#REF!</v>
      </c>
      <c r="AG2127" s="69" t="e" cm="1">
        <f t="array" ref="AG2127">_xlfn.XLOOKUP(Table1[[#This Row],[5 cm2 cell test code]:[5 cm2 cell test code]],[1]!Table1[[Test code]:[Test code]],[1]!Table1[Q_int_frac DIW],"",0)</f>
        <v>#REF!</v>
      </c>
      <c r="AH2127" s="69" t="e" cm="1">
        <f t="array" ref="AH2127">_xlfn.XLOOKUP(Table1[[#This Row],[5 cm2 cell test code]:[5 cm2 cell test code]],[1]!Table1[[Test code]:[Test code]],[1]!Table1[Ionic resistance 10 mM KOH/Ohm cm2],"",0)</f>
        <v>#REF!</v>
      </c>
      <c r="AI2127" s="69" t="e" cm="1">
        <f t="array" ref="AI2127">_xlfn.XLOOKUP(Table1[[#This Row],[5 cm2 cell test code]:[5 cm2 cell test code]],[1]!Table1[[Test code]:[Test code]],[1]!Table1[Q_int_frac DIW 10 mM KOH],"",0)</f>
        <v>#REF!</v>
      </c>
      <c r="AJ2127" s="69" t="e" cm="1">
        <f t="array" ref="AJ2127">_xlfn.XLOOKUP(Table1[[#This Row],[5 cm2 cell test code]:[5 cm2 cell test code]],[1]!Table1[[Test code]:[Test code]],[1]!Table1[DIW conductivity (µS/cm)],"",0)</f>
        <v>#REF!</v>
      </c>
    </row>
    <row r="2128" spans="1:36">
      <c r="A2128" s="81"/>
      <c r="U2128" s="101"/>
      <c r="V2128" s="101"/>
      <c r="W2128" s="69" t="e" cm="1">
        <f t="array" ref="W2128">_xlfn.XLOOKUP(Table1[[#This Row],[5 cm2 cell test code]:[5 cm2 cell test code]],[1]!Table1[[Test code]:[Test code]],[1]!Table1[i @ 1.8 V DIW (A/cm2)],"",0)</f>
        <v>#REF!</v>
      </c>
      <c r="X2128" s="69" t="e" cm="1">
        <f t="array" ref="X2128">_xlfn.XLOOKUP(Table1[[#This Row],[5 cm2 cell test code]:[5 cm2 cell test code]],[1]!Table1[[Test code]:[Test code]],[1]!Table1[i @ 1.8 V 10 mM KOH (A/cm2)],"",0)</f>
        <v>#REF!</v>
      </c>
      <c r="Y2128" s="69" t="e" cm="1">
        <f t="array" ref="Y2128">_xlfn.XLOOKUP(Table1[[#This Row],[5 cm2 cell test code]:[5 cm2 cell test code]],[1]!Table1[[Test code]:[Test code]],[1]!Table1[3-E ƞ at 20mAcm-2 (mV)],"",0)</f>
        <v>#REF!</v>
      </c>
      <c r="Z2128" s="69" t="e" cm="1">
        <f t="array" ref="Z2128">_xlfn.XLOOKUP(Table1[[#This Row],[5 cm2 cell test code]:[5 cm2 cell test code]],[1]!Table1[[Test code]:[Test code]],[1]!Table1[3-E Tafel slope (mV/dec)],"",0)</f>
        <v>#REF!</v>
      </c>
      <c r="AA2128" s="69" t="e" cm="1">
        <f t="array" ref="AA2128">_xlfn.XLOOKUP(Table1[[#This Row],[5 cm2 cell test code]:[5 cm2 cell test code]],[1]!Table1[[Test code]:[Test code]],[1]!Table1[E @ 100 mA/cm2 DIW/V],"",0)</f>
        <v>#REF!</v>
      </c>
      <c r="AB2128" s="69" t="e" cm="1">
        <f t="array" ref="AB2128">_xlfn.XLOOKUP(Table1[[#This Row],[5 cm2 cell test code]:[5 cm2 cell test code]],[1]!Table1[[Test code]:[Test code]],[1]!Table1[E @ 100 mA/cm2 10 mM KOH/V],"",0)</f>
        <v>#REF!</v>
      </c>
      <c r="AC2128" s="69" t="e" cm="1">
        <f t="array" ref="AC2128">_xlfn.XLOOKUP(Table1[[#This Row],[5 cm2 cell test code]:[5 cm2 cell test code]],[1]!Table1[[Test code]:[Test code]],[1]!Table1[Anode ICR/mOhm],"",0)</f>
        <v>#REF!</v>
      </c>
      <c r="AD2128" s="69" t="e" cm="1">
        <f t="array" ref="AD2128">_xlfn.XLOOKUP(Table1[[#This Row],[5 cm2 cell test code]:[5 cm2 cell test code]],[1]!Table1[[Test code]:[Test code]],[1]!Table1[HFR DIW/ mOhm cm2],"",0)</f>
        <v>#REF!</v>
      </c>
      <c r="AE2128" s="69" t="e" cm="1">
        <f t="array" ref="AE2128">_xlfn.XLOOKUP(Table1[[#This Row],[5 cm2 cell test code]:[5 cm2 cell test code]],[1]!Table1[[Test code]:[Test code]],[1]!Table1[HFR 10 mM KOH/ mOhm cm2],"",0)</f>
        <v>#REF!</v>
      </c>
      <c r="AF2128" s="69" t="e" cm="1">
        <f t="array" ref="AF2128">_xlfn.XLOOKUP(Table1[[#This Row],[5 cm2 cell test code]:[5 cm2 cell test code]],[1]!Table1[[Test code]:[Test code]],[1]!Table1[Ionic resistance DIW/Ohm cm2],"",0)</f>
        <v>#REF!</v>
      </c>
      <c r="AG2128" s="69" t="e" cm="1">
        <f t="array" ref="AG2128">_xlfn.XLOOKUP(Table1[[#This Row],[5 cm2 cell test code]:[5 cm2 cell test code]],[1]!Table1[[Test code]:[Test code]],[1]!Table1[Q_int_frac DIW],"",0)</f>
        <v>#REF!</v>
      </c>
      <c r="AH2128" s="69" t="e" cm="1">
        <f t="array" ref="AH2128">_xlfn.XLOOKUP(Table1[[#This Row],[5 cm2 cell test code]:[5 cm2 cell test code]],[1]!Table1[[Test code]:[Test code]],[1]!Table1[Ionic resistance 10 mM KOH/Ohm cm2],"",0)</f>
        <v>#REF!</v>
      </c>
      <c r="AI2128" s="69" t="e" cm="1">
        <f t="array" ref="AI2128">_xlfn.XLOOKUP(Table1[[#This Row],[5 cm2 cell test code]:[5 cm2 cell test code]],[1]!Table1[[Test code]:[Test code]],[1]!Table1[Q_int_frac DIW 10 mM KOH],"",0)</f>
        <v>#REF!</v>
      </c>
      <c r="AJ2128" s="69" t="e" cm="1">
        <f t="array" ref="AJ2128">_xlfn.XLOOKUP(Table1[[#This Row],[5 cm2 cell test code]:[5 cm2 cell test code]],[1]!Table1[[Test code]:[Test code]],[1]!Table1[DIW conductivity (µS/cm)],"",0)</f>
        <v>#REF!</v>
      </c>
    </row>
    <row r="2129" spans="1:36">
      <c r="A2129" s="81"/>
      <c r="U2129" s="101"/>
      <c r="V2129" s="101"/>
      <c r="W2129" s="69" t="e" cm="1">
        <f t="array" ref="W2129">_xlfn.XLOOKUP(Table1[[#This Row],[5 cm2 cell test code]:[5 cm2 cell test code]],[1]!Table1[[Test code]:[Test code]],[1]!Table1[i @ 1.8 V DIW (A/cm2)],"",0)</f>
        <v>#REF!</v>
      </c>
      <c r="X2129" s="69" t="e" cm="1">
        <f t="array" ref="X2129">_xlfn.XLOOKUP(Table1[[#This Row],[5 cm2 cell test code]:[5 cm2 cell test code]],[1]!Table1[[Test code]:[Test code]],[1]!Table1[i @ 1.8 V 10 mM KOH (A/cm2)],"",0)</f>
        <v>#REF!</v>
      </c>
      <c r="Y2129" s="69" t="e" cm="1">
        <f t="array" ref="Y2129">_xlfn.XLOOKUP(Table1[[#This Row],[5 cm2 cell test code]:[5 cm2 cell test code]],[1]!Table1[[Test code]:[Test code]],[1]!Table1[3-E ƞ at 20mAcm-2 (mV)],"",0)</f>
        <v>#REF!</v>
      </c>
      <c r="Z2129" s="69" t="e" cm="1">
        <f t="array" ref="Z2129">_xlfn.XLOOKUP(Table1[[#This Row],[5 cm2 cell test code]:[5 cm2 cell test code]],[1]!Table1[[Test code]:[Test code]],[1]!Table1[3-E Tafel slope (mV/dec)],"",0)</f>
        <v>#REF!</v>
      </c>
      <c r="AA2129" s="69" t="e" cm="1">
        <f t="array" ref="AA2129">_xlfn.XLOOKUP(Table1[[#This Row],[5 cm2 cell test code]:[5 cm2 cell test code]],[1]!Table1[[Test code]:[Test code]],[1]!Table1[E @ 100 mA/cm2 DIW/V],"",0)</f>
        <v>#REF!</v>
      </c>
      <c r="AB2129" s="69" t="e" cm="1">
        <f t="array" ref="AB2129">_xlfn.XLOOKUP(Table1[[#This Row],[5 cm2 cell test code]:[5 cm2 cell test code]],[1]!Table1[[Test code]:[Test code]],[1]!Table1[E @ 100 mA/cm2 10 mM KOH/V],"",0)</f>
        <v>#REF!</v>
      </c>
      <c r="AC2129" s="69" t="e" cm="1">
        <f t="array" ref="AC2129">_xlfn.XLOOKUP(Table1[[#This Row],[5 cm2 cell test code]:[5 cm2 cell test code]],[1]!Table1[[Test code]:[Test code]],[1]!Table1[Anode ICR/mOhm],"",0)</f>
        <v>#REF!</v>
      </c>
      <c r="AD2129" s="69" t="e" cm="1">
        <f t="array" ref="AD2129">_xlfn.XLOOKUP(Table1[[#This Row],[5 cm2 cell test code]:[5 cm2 cell test code]],[1]!Table1[[Test code]:[Test code]],[1]!Table1[HFR DIW/ mOhm cm2],"",0)</f>
        <v>#REF!</v>
      </c>
      <c r="AE2129" s="69" t="e" cm="1">
        <f t="array" ref="AE2129">_xlfn.XLOOKUP(Table1[[#This Row],[5 cm2 cell test code]:[5 cm2 cell test code]],[1]!Table1[[Test code]:[Test code]],[1]!Table1[HFR 10 mM KOH/ mOhm cm2],"",0)</f>
        <v>#REF!</v>
      </c>
      <c r="AF2129" s="69" t="e" cm="1">
        <f t="array" ref="AF2129">_xlfn.XLOOKUP(Table1[[#This Row],[5 cm2 cell test code]:[5 cm2 cell test code]],[1]!Table1[[Test code]:[Test code]],[1]!Table1[Ionic resistance DIW/Ohm cm2],"",0)</f>
        <v>#REF!</v>
      </c>
      <c r="AG2129" s="69" t="e" cm="1">
        <f t="array" ref="AG2129">_xlfn.XLOOKUP(Table1[[#This Row],[5 cm2 cell test code]:[5 cm2 cell test code]],[1]!Table1[[Test code]:[Test code]],[1]!Table1[Q_int_frac DIW],"",0)</f>
        <v>#REF!</v>
      </c>
      <c r="AH2129" s="69" t="e" cm="1">
        <f t="array" ref="AH2129">_xlfn.XLOOKUP(Table1[[#This Row],[5 cm2 cell test code]:[5 cm2 cell test code]],[1]!Table1[[Test code]:[Test code]],[1]!Table1[Ionic resistance 10 mM KOH/Ohm cm2],"",0)</f>
        <v>#REF!</v>
      </c>
      <c r="AI2129" s="69" t="e" cm="1">
        <f t="array" ref="AI2129">_xlfn.XLOOKUP(Table1[[#This Row],[5 cm2 cell test code]:[5 cm2 cell test code]],[1]!Table1[[Test code]:[Test code]],[1]!Table1[Q_int_frac DIW 10 mM KOH],"",0)</f>
        <v>#REF!</v>
      </c>
      <c r="AJ2129" s="69" t="e" cm="1">
        <f t="array" ref="AJ2129">_xlfn.XLOOKUP(Table1[[#This Row],[5 cm2 cell test code]:[5 cm2 cell test code]],[1]!Table1[[Test code]:[Test code]],[1]!Table1[DIW conductivity (µS/cm)],"",0)</f>
        <v>#REF!</v>
      </c>
    </row>
    <row r="2130" spans="1:36">
      <c r="A2130" s="81"/>
      <c r="U2130" s="101"/>
      <c r="V2130" s="101"/>
      <c r="W2130" s="69" t="e" cm="1">
        <f t="array" ref="W2130">_xlfn.XLOOKUP(Table1[[#This Row],[5 cm2 cell test code]:[5 cm2 cell test code]],[1]!Table1[[Test code]:[Test code]],[1]!Table1[i @ 1.8 V DIW (A/cm2)],"",0)</f>
        <v>#REF!</v>
      </c>
      <c r="X2130" s="69" t="e" cm="1">
        <f t="array" ref="X2130">_xlfn.XLOOKUP(Table1[[#This Row],[5 cm2 cell test code]:[5 cm2 cell test code]],[1]!Table1[[Test code]:[Test code]],[1]!Table1[i @ 1.8 V 10 mM KOH (A/cm2)],"",0)</f>
        <v>#REF!</v>
      </c>
      <c r="Y2130" s="69" t="e" cm="1">
        <f t="array" ref="Y2130">_xlfn.XLOOKUP(Table1[[#This Row],[5 cm2 cell test code]:[5 cm2 cell test code]],[1]!Table1[[Test code]:[Test code]],[1]!Table1[3-E ƞ at 20mAcm-2 (mV)],"",0)</f>
        <v>#REF!</v>
      </c>
      <c r="Z2130" s="69" t="e" cm="1">
        <f t="array" ref="Z2130">_xlfn.XLOOKUP(Table1[[#This Row],[5 cm2 cell test code]:[5 cm2 cell test code]],[1]!Table1[[Test code]:[Test code]],[1]!Table1[3-E Tafel slope (mV/dec)],"",0)</f>
        <v>#REF!</v>
      </c>
      <c r="AA2130" s="69" t="e" cm="1">
        <f t="array" ref="AA2130">_xlfn.XLOOKUP(Table1[[#This Row],[5 cm2 cell test code]:[5 cm2 cell test code]],[1]!Table1[[Test code]:[Test code]],[1]!Table1[E @ 100 mA/cm2 DIW/V],"",0)</f>
        <v>#REF!</v>
      </c>
      <c r="AB2130" s="69" t="e" cm="1">
        <f t="array" ref="AB2130">_xlfn.XLOOKUP(Table1[[#This Row],[5 cm2 cell test code]:[5 cm2 cell test code]],[1]!Table1[[Test code]:[Test code]],[1]!Table1[E @ 100 mA/cm2 10 mM KOH/V],"",0)</f>
        <v>#REF!</v>
      </c>
      <c r="AC2130" s="69" t="e" cm="1">
        <f t="array" ref="AC2130">_xlfn.XLOOKUP(Table1[[#This Row],[5 cm2 cell test code]:[5 cm2 cell test code]],[1]!Table1[[Test code]:[Test code]],[1]!Table1[Anode ICR/mOhm],"",0)</f>
        <v>#REF!</v>
      </c>
      <c r="AD2130" s="69" t="e" cm="1">
        <f t="array" ref="AD2130">_xlfn.XLOOKUP(Table1[[#This Row],[5 cm2 cell test code]:[5 cm2 cell test code]],[1]!Table1[[Test code]:[Test code]],[1]!Table1[HFR DIW/ mOhm cm2],"",0)</f>
        <v>#REF!</v>
      </c>
      <c r="AE2130" s="69" t="e" cm="1">
        <f t="array" ref="AE2130">_xlfn.XLOOKUP(Table1[[#This Row],[5 cm2 cell test code]:[5 cm2 cell test code]],[1]!Table1[[Test code]:[Test code]],[1]!Table1[HFR 10 mM KOH/ mOhm cm2],"",0)</f>
        <v>#REF!</v>
      </c>
      <c r="AF2130" s="69" t="e" cm="1">
        <f t="array" ref="AF2130">_xlfn.XLOOKUP(Table1[[#This Row],[5 cm2 cell test code]:[5 cm2 cell test code]],[1]!Table1[[Test code]:[Test code]],[1]!Table1[Ionic resistance DIW/Ohm cm2],"",0)</f>
        <v>#REF!</v>
      </c>
      <c r="AG2130" s="69" t="e" cm="1">
        <f t="array" ref="AG2130">_xlfn.XLOOKUP(Table1[[#This Row],[5 cm2 cell test code]:[5 cm2 cell test code]],[1]!Table1[[Test code]:[Test code]],[1]!Table1[Q_int_frac DIW],"",0)</f>
        <v>#REF!</v>
      </c>
      <c r="AH2130" s="69" t="e" cm="1">
        <f t="array" ref="AH2130">_xlfn.XLOOKUP(Table1[[#This Row],[5 cm2 cell test code]:[5 cm2 cell test code]],[1]!Table1[[Test code]:[Test code]],[1]!Table1[Ionic resistance 10 mM KOH/Ohm cm2],"",0)</f>
        <v>#REF!</v>
      </c>
      <c r="AI2130" s="69" t="e" cm="1">
        <f t="array" ref="AI2130">_xlfn.XLOOKUP(Table1[[#This Row],[5 cm2 cell test code]:[5 cm2 cell test code]],[1]!Table1[[Test code]:[Test code]],[1]!Table1[Q_int_frac DIW 10 mM KOH],"",0)</f>
        <v>#REF!</v>
      </c>
      <c r="AJ2130" s="69" t="e" cm="1">
        <f t="array" ref="AJ2130">_xlfn.XLOOKUP(Table1[[#This Row],[5 cm2 cell test code]:[5 cm2 cell test code]],[1]!Table1[[Test code]:[Test code]],[1]!Table1[DIW conductivity (µS/cm)],"",0)</f>
        <v>#REF!</v>
      </c>
    </row>
    <row r="2131" spans="1:36">
      <c r="A2131" s="81"/>
      <c r="U2131" s="101"/>
      <c r="V2131" s="101"/>
      <c r="W2131" s="69" t="e" cm="1">
        <f t="array" ref="W2131">_xlfn.XLOOKUP(Table1[[#This Row],[5 cm2 cell test code]:[5 cm2 cell test code]],[1]!Table1[[Test code]:[Test code]],[1]!Table1[i @ 1.8 V DIW (A/cm2)],"",0)</f>
        <v>#REF!</v>
      </c>
      <c r="X2131" s="69" t="e" cm="1">
        <f t="array" ref="X2131">_xlfn.XLOOKUP(Table1[[#This Row],[5 cm2 cell test code]:[5 cm2 cell test code]],[1]!Table1[[Test code]:[Test code]],[1]!Table1[i @ 1.8 V 10 mM KOH (A/cm2)],"",0)</f>
        <v>#REF!</v>
      </c>
      <c r="Y2131" s="69" t="e" cm="1">
        <f t="array" ref="Y2131">_xlfn.XLOOKUP(Table1[[#This Row],[5 cm2 cell test code]:[5 cm2 cell test code]],[1]!Table1[[Test code]:[Test code]],[1]!Table1[3-E ƞ at 20mAcm-2 (mV)],"",0)</f>
        <v>#REF!</v>
      </c>
      <c r="Z2131" s="69" t="e" cm="1">
        <f t="array" ref="Z2131">_xlfn.XLOOKUP(Table1[[#This Row],[5 cm2 cell test code]:[5 cm2 cell test code]],[1]!Table1[[Test code]:[Test code]],[1]!Table1[3-E Tafel slope (mV/dec)],"",0)</f>
        <v>#REF!</v>
      </c>
      <c r="AA2131" s="69" t="e" cm="1">
        <f t="array" ref="AA2131">_xlfn.XLOOKUP(Table1[[#This Row],[5 cm2 cell test code]:[5 cm2 cell test code]],[1]!Table1[[Test code]:[Test code]],[1]!Table1[E @ 100 mA/cm2 DIW/V],"",0)</f>
        <v>#REF!</v>
      </c>
      <c r="AB2131" s="69" t="e" cm="1">
        <f t="array" ref="AB2131">_xlfn.XLOOKUP(Table1[[#This Row],[5 cm2 cell test code]:[5 cm2 cell test code]],[1]!Table1[[Test code]:[Test code]],[1]!Table1[E @ 100 mA/cm2 10 mM KOH/V],"",0)</f>
        <v>#REF!</v>
      </c>
      <c r="AC2131" s="69" t="e" cm="1">
        <f t="array" ref="AC2131">_xlfn.XLOOKUP(Table1[[#This Row],[5 cm2 cell test code]:[5 cm2 cell test code]],[1]!Table1[[Test code]:[Test code]],[1]!Table1[Anode ICR/mOhm],"",0)</f>
        <v>#REF!</v>
      </c>
      <c r="AD2131" s="69" t="e" cm="1">
        <f t="array" ref="AD2131">_xlfn.XLOOKUP(Table1[[#This Row],[5 cm2 cell test code]:[5 cm2 cell test code]],[1]!Table1[[Test code]:[Test code]],[1]!Table1[HFR DIW/ mOhm cm2],"",0)</f>
        <v>#REF!</v>
      </c>
      <c r="AE2131" s="69" t="e" cm="1">
        <f t="array" ref="AE2131">_xlfn.XLOOKUP(Table1[[#This Row],[5 cm2 cell test code]:[5 cm2 cell test code]],[1]!Table1[[Test code]:[Test code]],[1]!Table1[HFR 10 mM KOH/ mOhm cm2],"",0)</f>
        <v>#REF!</v>
      </c>
      <c r="AF2131" s="69" t="e" cm="1">
        <f t="array" ref="AF2131">_xlfn.XLOOKUP(Table1[[#This Row],[5 cm2 cell test code]:[5 cm2 cell test code]],[1]!Table1[[Test code]:[Test code]],[1]!Table1[Ionic resistance DIW/Ohm cm2],"",0)</f>
        <v>#REF!</v>
      </c>
      <c r="AG2131" s="69" t="e" cm="1">
        <f t="array" ref="AG2131">_xlfn.XLOOKUP(Table1[[#This Row],[5 cm2 cell test code]:[5 cm2 cell test code]],[1]!Table1[[Test code]:[Test code]],[1]!Table1[Q_int_frac DIW],"",0)</f>
        <v>#REF!</v>
      </c>
      <c r="AH2131" s="69" t="e" cm="1">
        <f t="array" ref="AH2131">_xlfn.XLOOKUP(Table1[[#This Row],[5 cm2 cell test code]:[5 cm2 cell test code]],[1]!Table1[[Test code]:[Test code]],[1]!Table1[Ionic resistance 10 mM KOH/Ohm cm2],"",0)</f>
        <v>#REF!</v>
      </c>
      <c r="AI2131" s="69" t="e" cm="1">
        <f t="array" ref="AI2131">_xlfn.XLOOKUP(Table1[[#This Row],[5 cm2 cell test code]:[5 cm2 cell test code]],[1]!Table1[[Test code]:[Test code]],[1]!Table1[Q_int_frac DIW 10 mM KOH],"",0)</f>
        <v>#REF!</v>
      </c>
      <c r="AJ2131" s="69" t="e" cm="1">
        <f t="array" ref="AJ2131">_xlfn.XLOOKUP(Table1[[#This Row],[5 cm2 cell test code]:[5 cm2 cell test code]],[1]!Table1[[Test code]:[Test code]],[1]!Table1[DIW conductivity (µS/cm)],"",0)</f>
        <v>#REF!</v>
      </c>
    </row>
    <row r="2132" spans="1:36">
      <c r="A2132" s="81"/>
      <c r="U2132" s="101"/>
      <c r="V2132" s="101"/>
      <c r="W2132" s="69" t="e" cm="1">
        <f t="array" ref="W2132">_xlfn.XLOOKUP(Table1[[#This Row],[5 cm2 cell test code]:[5 cm2 cell test code]],[1]!Table1[[Test code]:[Test code]],[1]!Table1[i @ 1.8 V DIW (A/cm2)],"",0)</f>
        <v>#REF!</v>
      </c>
      <c r="X2132" s="69" t="e" cm="1">
        <f t="array" ref="X2132">_xlfn.XLOOKUP(Table1[[#This Row],[5 cm2 cell test code]:[5 cm2 cell test code]],[1]!Table1[[Test code]:[Test code]],[1]!Table1[i @ 1.8 V 10 mM KOH (A/cm2)],"",0)</f>
        <v>#REF!</v>
      </c>
      <c r="Y2132" s="69" t="e" cm="1">
        <f t="array" ref="Y2132">_xlfn.XLOOKUP(Table1[[#This Row],[5 cm2 cell test code]:[5 cm2 cell test code]],[1]!Table1[[Test code]:[Test code]],[1]!Table1[3-E ƞ at 20mAcm-2 (mV)],"",0)</f>
        <v>#REF!</v>
      </c>
      <c r="Z2132" s="69" t="e" cm="1">
        <f t="array" ref="Z2132">_xlfn.XLOOKUP(Table1[[#This Row],[5 cm2 cell test code]:[5 cm2 cell test code]],[1]!Table1[[Test code]:[Test code]],[1]!Table1[3-E Tafel slope (mV/dec)],"",0)</f>
        <v>#REF!</v>
      </c>
      <c r="AA2132" s="69" t="e" cm="1">
        <f t="array" ref="AA2132">_xlfn.XLOOKUP(Table1[[#This Row],[5 cm2 cell test code]:[5 cm2 cell test code]],[1]!Table1[[Test code]:[Test code]],[1]!Table1[E @ 100 mA/cm2 DIW/V],"",0)</f>
        <v>#REF!</v>
      </c>
      <c r="AB2132" s="69" t="e" cm="1">
        <f t="array" ref="AB2132">_xlfn.XLOOKUP(Table1[[#This Row],[5 cm2 cell test code]:[5 cm2 cell test code]],[1]!Table1[[Test code]:[Test code]],[1]!Table1[E @ 100 mA/cm2 10 mM KOH/V],"",0)</f>
        <v>#REF!</v>
      </c>
      <c r="AC2132" s="69" t="e" cm="1">
        <f t="array" ref="AC2132">_xlfn.XLOOKUP(Table1[[#This Row],[5 cm2 cell test code]:[5 cm2 cell test code]],[1]!Table1[[Test code]:[Test code]],[1]!Table1[Anode ICR/mOhm],"",0)</f>
        <v>#REF!</v>
      </c>
      <c r="AD2132" s="69" t="e" cm="1">
        <f t="array" ref="AD2132">_xlfn.XLOOKUP(Table1[[#This Row],[5 cm2 cell test code]:[5 cm2 cell test code]],[1]!Table1[[Test code]:[Test code]],[1]!Table1[HFR DIW/ mOhm cm2],"",0)</f>
        <v>#REF!</v>
      </c>
      <c r="AE2132" s="69" t="e" cm="1">
        <f t="array" ref="AE2132">_xlfn.XLOOKUP(Table1[[#This Row],[5 cm2 cell test code]:[5 cm2 cell test code]],[1]!Table1[[Test code]:[Test code]],[1]!Table1[HFR 10 mM KOH/ mOhm cm2],"",0)</f>
        <v>#REF!</v>
      </c>
      <c r="AF2132" s="69" t="e" cm="1">
        <f t="array" ref="AF2132">_xlfn.XLOOKUP(Table1[[#This Row],[5 cm2 cell test code]:[5 cm2 cell test code]],[1]!Table1[[Test code]:[Test code]],[1]!Table1[Ionic resistance DIW/Ohm cm2],"",0)</f>
        <v>#REF!</v>
      </c>
      <c r="AG2132" s="69" t="e" cm="1">
        <f t="array" ref="AG2132">_xlfn.XLOOKUP(Table1[[#This Row],[5 cm2 cell test code]:[5 cm2 cell test code]],[1]!Table1[[Test code]:[Test code]],[1]!Table1[Q_int_frac DIW],"",0)</f>
        <v>#REF!</v>
      </c>
      <c r="AH2132" s="69" t="e" cm="1">
        <f t="array" ref="AH2132">_xlfn.XLOOKUP(Table1[[#This Row],[5 cm2 cell test code]:[5 cm2 cell test code]],[1]!Table1[[Test code]:[Test code]],[1]!Table1[Ionic resistance 10 mM KOH/Ohm cm2],"",0)</f>
        <v>#REF!</v>
      </c>
      <c r="AI2132" s="69" t="e" cm="1">
        <f t="array" ref="AI2132">_xlfn.XLOOKUP(Table1[[#This Row],[5 cm2 cell test code]:[5 cm2 cell test code]],[1]!Table1[[Test code]:[Test code]],[1]!Table1[Q_int_frac DIW 10 mM KOH],"",0)</f>
        <v>#REF!</v>
      </c>
      <c r="AJ2132" s="69" t="e" cm="1">
        <f t="array" ref="AJ2132">_xlfn.XLOOKUP(Table1[[#This Row],[5 cm2 cell test code]:[5 cm2 cell test code]],[1]!Table1[[Test code]:[Test code]],[1]!Table1[DIW conductivity (µS/cm)],"",0)</f>
        <v>#REF!</v>
      </c>
    </row>
    <row r="2133" spans="1:36">
      <c r="A2133" s="81"/>
      <c r="U2133" s="101"/>
      <c r="V2133" s="101"/>
      <c r="W2133" s="69" t="e" cm="1">
        <f t="array" ref="W2133">_xlfn.XLOOKUP(Table1[[#This Row],[5 cm2 cell test code]:[5 cm2 cell test code]],[1]!Table1[[Test code]:[Test code]],[1]!Table1[i @ 1.8 V DIW (A/cm2)],"",0)</f>
        <v>#REF!</v>
      </c>
      <c r="X2133" s="69" t="e" cm="1">
        <f t="array" ref="X2133">_xlfn.XLOOKUP(Table1[[#This Row],[5 cm2 cell test code]:[5 cm2 cell test code]],[1]!Table1[[Test code]:[Test code]],[1]!Table1[i @ 1.8 V 10 mM KOH (A/cm2)],"",0)</f>
        <v>#REF!</v>
      </c>
      <c r="Y2133" s="69" t="e" cm="1">
        <f t="array" ref="Y2133">_xlfn.XLOOKUP(Table1[[#This Row],[5 cm2 cell test code]:[5 cm2 cell test code]],[1]!Table1[[Test code]:[Test code]],[1]!Table1[3-E ƞ at 20mAcm-2 (mV)],"",0)</f>
        <v>#REF!</v>
      </c>
      <c r="Z2133" s="69" t="e" cm="1">
        <f t="array" ref="Z2133">_xlfn.XLOOKUP(Table1[[#This Row],[5 cm2 cell test code]:[5 cm2 cell test code]],[1]!Table1[[Test code]:[Test code]],[1]!Table1[3-E Tafel slope (mV/dec)],"",0)</f>
        <v>#REF!</v>
      </c>
      <c r="AA2133" s="69" t="e" cm="1">
        <f t="array" ref="AA2133">_xlfn.XLOOKUP(Table1[[#This Row],[5 cm2 cell test code]:[5 cm2 cell test code]],[1]!Table1[[Test code]:[Test code]],[1]!Table1[E @ 100 mA/cm2 DIW/V],"",0)</f>
        <v>#REF!</v>
      </c>
      <c r="AB2133" s="69" t="e" cm="1">
        <f t="array" ref="AB2133">_xlfn.XLOOKUP(Table1[[#This Row],[5 cm2 cell test code]:[5 cm2 cell test code]],[1]!Table1[[Test code]:[Test code]],[1]!Table1[E @ 100 mA/cm2 10 mM KOH/V],"",0)</f>
        <v>#REF!</v>
      </c>
      <c r="AC2133" s="69" t="e" cm="1">
        <f t="array" ref="AC2133">_xlfn.XLOOKUP(Table1[[#This Row],[5 cm2 cell test code]:[5 cm2 cell test code]],[1]!Table1[[Test code]:[Test code]],[1]!Table1[Anode ICR/mOhm],"",0)</f>
        <v>#REF!</v>
      </c>
      <c r="AD2133" s="69" t="e" cm="1">
        <f t="array" ref="AD2133">_xlfn.XLOOKUP(Table1[[#This Row],[5 cm2 cell test code]:[5 cm2 cell test code]],[1]!Table1[[Test code]:[Test code]],[1]!Table1[HFR DIW/ mOhm cm2],"",0)</f>
        <v>#REF!</v>
      </c>
      <c r="AE2133" s="69" t="e" cm="1">
        <f t="array" ref="AE2133">_xlfn.XLOOKUP(Table1[[#This Row],[5 cm2 cell test code]:[5 cm2 cell test code]],[1]!Table1[[Test code]:[Test code]],[1]!Table1[HFR 10 mM KOH/ mOhm cm2],"",0)</f>
        <v>#REF!</v>
      </c>
      <c r="AF2133" s="69" t="e" cm="1">
        <f t="array" ref="AF2133">_xlfn.XLOOKUP(Table1[[#This Row],[5 cm2 cell test code]:[5 cm2 cell test code]],[1]!Table1[[Test code]:[Test code]],[1]!Table1[Ionic resistance DIW/Ohm cm2],"",0)</f>
        <v>#REF!</v>
      </c>
      <c r="AG2133" s="69" t="e" cm="1">
        <f t="array" ref="AG2133">_xlfn.XLOOKUP(Table1[[#This Row],[5 cm2 cell test code]:[5 cm2 cell test code]],[1]!Table1[[Test code]:[Test code]],[1]!Table1[Q_int_frac DIW],"",0)</f>
        <v>#REF!</v>
      </c>
      <c r="AH2133" s="69" t="e" cm="1">
        <f t="array" ref="AH2133">_xlfn.XLOOKUP(Table1[[#This Row],[5 cm2 cell test code]:[5 cm2 cell test code]],[1]!Table1[[Test code]:[Test code]],[1]!Table1[Ionic resistance 10 mM KOH/Ohm cm2],"",0)</f>
        <v>#REF!</v>
      </c>
      <c r="AI2133" s="69" t="e" cm="1">
        <f t="array" ref="AI2133">_xlfn.XLOOKUP(Table1[[#This Row],[5 cm2 cell test code]:[5 cm2 cell test code]],[1]!Table1[[Test code]:[Test code]],[1]!Table1[Q_int_frac DIW 10 mM KOH],"",0)</f>
        <v>#REF!</v>
      </c>
      <c r="AJ2133" s="69" t="e" cm="1">
        <f t="array" ref="AJ2133">_xlfn.XLOOKUP(Table1[[#This Row],[5 cm2 cell test code]:[5 cm2 cell test code]],[1]!Table1[[Test code]:[Test code]],[1]!Table1[DIW conductivity (µS/cm)],"",0)</f>
        <v>#REF!</v>
      </c>
    </row>
    <row r="2134" spans="1:36">
      <c r="A2134" s="81"/>
      <c r="U2134" s="101"/>
      <c r="V2134" s="101"/>
      <c r="W2134" s="69" t="e" cm="1">
        <f t="array" ref="W2134">_xlfn.XLOOKUP(Table1[[#This Row],[5 cm2 cell test code]:[5 cm2 cell test code]],[1]!Table1[[Test code]:[Test code]],[1]!Table1[i @ 1.8 V DIW (A/cm2)],"",0)</f>
        <v>#REF!</v>
      </c>
      <c r="X2134" s="69" t="e" cm="1">
        <f t="array" ref="X2134">_xlfn.XLOOKUP(Table1[[#This Row],[5 cm2 cell test code]:[5 cm2 cell test code]],[1]!Table1[[Test code]:[Test code]],[1]!Table1[i @ 1.8 V 10 mM KOH (A/cm2)],"",0)</f>
        <v>#REF!</v>
      </c>
      <c r="Y2134" s="69" t="e" cm="1">
        <f t="array" ref="Y2134">_xlfn.XLOOKUP(Table1[[#This Row],[5 cm2 cell test code]:[5 cm2 cell test code]],[1]!Table1[[Test code]:[Test code]],[1]!Table1[3-E ƞ at 20mAcm-2 (mV)],"",0)</f>
        <v>#REF!</v>
      </c>
      <c r="Z2134" s="69" t="e" cm="1">
        <f t="array" ref="Z2134">_xlfn.XLOOKUP(Table1[[#This Row],[5 cm2 cell test code]:[5 cm2 cell test code]],[1]!Table1[[Test code]:[Test code]],[1]!Table1[3-E Tafel slope (mV/dec)],"",0)</f>
        <v>#REF!</v>
      </c>
      <c r="AA2134" s="69" t="e" cm="1">
        <f t="array" ref="AA2134">_xlfn.XLOOKUP(Table1[[#This Row],[5 cm2 cell test code]:[5 cm2 cell test code]],[1]!Table1[[Test code]:[Test code]],[1]!Table1[E @ 100 mA/cm2 DIW/V],"",0)</f>
        <v>#REF!</v>
      </c>
      <c r="AB2134" s="69" t="e" cm="1">
        <f t="array" ref="AB2134">_xlfn.XLOOKUP(Table1[[#This Row],[5 cm2 cell test code]:[5 cm2 cell test code]],[1]!Table1[[Test code]:[Test code]],[1]!Table1[E @ 100 mA/cm2 10 mM KOH/V],"",0)</f>
        <v>#REF!</v>
      </c>
      <c r="AC2134" s="69" t="e" cm="1">
        <f t="array" ref="AC2134">_xlfn.XLOOKUP(Table1[[#This Row],[5 cm2 cell test code]:[5 cm2 cell test code]],[1]!Table1[[Test code]:[Test code]],[1]!Table1[Anode ICR/mOhm],"",0)</f>
        <v>#REF!</v>
      </c>
      <c r="AD2134" s="69" t="e" cm="1">
        <f t="array" ref="AD2134">_xlfn.XLOOKUP(Table1[[#This Row],[5 cm2 cell test code]:[5 cm2 cell test code]],[1]!Table1[[Test code]:[Test code]],[1]!Table1[HFR DIW/ mOhm cm2],"",0)</f>
        <v>#REF!</v>
      </c>
      <c r="AE2134" s="69" t="e" cm="1">
        <f t="array" ref="AE2134">_xlfn.XLOOKUP(Table1[[#This Row],[5 cm2 cell test code]:[5 cm2 cell test code]],[1]!Table1[[Test code]:[Test code]],[1]!Table1[HFR 10 mM KOH/ mOhm cm2],"",0)</f>
        <v>#REF!</v>
      </c>
      <c r="AF2134" s="69" t="e" cm="1">
        <f t="array" ref="AF2134">_xlfn.XLOOKUP(Table1[[#This Row],[5 cm2 cell test code]:[5 cm2 cell test code]],[1]!Table1[[Test code]:[Test code]],[1]!Table1[Ionic resistance DIW/Ohm cm2],"",0)</f>
        <v>#REF!</v>
      </c>
      <c r="AG2134" s="69" t="e" cm="1">
        <f t="array" ref="AG2134">_xlfn.XLOOKUP(Table1[[#This Row],[5 cm2 cell test code]:[5 cm2 cell test code]],[1]!Table1[[Test code]:[Test code]],[1]!Table1[Q_int_frac DIW],"",0)</f>
        <v>#REF!</v>
      </c>
      <c r="AH2134" s="69" t="e" cm="1">
        <f t="array" ref="AH2134">_xlfn.XLOOKUP(Table1[[#This Row],[5 cm2 cell test code]:[5 cm2 cell test code]],[1]!Table1[[Test code]:[Test code]],[1]!Table1[Ionic resistance 10 mM KOH/Ohm cm2],"",0)</f>
        <v>#REF!</v>
      </c>
      <c r="AI2134" s="69" t="e" cm="1">
        <f t="array" ref="AI2134">_xlfn.XLOOKUP(Table1[[#This Row],[5 cm2 cell test code]:[5 cm2 cell test code]],[1]!Table1[[Test code]:[Test code]],[1]!Table1[Q_int_frac DIW 10 mM KOH],"",0)</f>
        <v>#REF!</v>
      </c>
      <c r="AJ2134" s="69" t="e" cm="1">
        <f t="array" ref="AJ2134">_xlfn.XLOOKUP(Table1[[#This Row],[5 cm2 cell test code]:[5 cm2 cell test code]],[1]!Table1[[Test code]:[Test code]],[1]!Table1[DIW conductivity (µS/cm)],"",0)</f>
        <v>#REF!</v>
      </c>
    </row>
    <row r="2135" spans="1:36">
      <c r="A2135" s="81"/>
      <c r="U2135" s="101"/>
      <c r="V2135" s="101"/>
      <c r="W2135" s="69" t="e" cm="1">
        <f t="array" ref="W2135">_xlfn.XLOOKUP(Table1[[#This Row],[5 cm2 cell test code]:[5 cm2 cell test code]],[1]!Table1[[Test code]:[Test code]],[1]!Table1[i @ 1.8 V DIW (A/cm2)],"",0)</f>
        <v>#REF!</v>
      </c>
      <c r="X2135" s="69" t="e" cm="1">
        <f t="array" ref="X2135">_xlfn.XLOOKUP(Table1[[#This Row],[5 cm2 cell test code]:[5 cm2 cell test code]],[1]!Table1[[Test code]:[Test code]],[1]!Table1[i @ 1.8 V 10 mM KOH (A/cm2)],"",0)</f>
        <v>#REF!</v>
      </c>
      <c r="Y2135" s="69" t="e" cm="1">
        <f t="array" ref="Y2135">_xlfn.XLOOKUP(Table1[[#This Row],[5 cm2 cell test code]:[5 cm2 cell test code]],[1]!Table1[[Test code]:[Test code]],[1]!Table1[3-E ƞ at 20mAcm-2 (mV)],"",0)</f>
        <v>#REF!</v>
      </c>
      <c r="Z2135" s="69" t="e" cm="1">
        <f t="array" ref="Z2135">_xlfn.XLOOKUP(Table1[[#This Row],[5 cm2 cell test code]:[5 cm2 cell test code]],[1]!Table1[[Test code]:[Test code]],[1]!Table1[3-E Tafel slope (mV/dec)],"",0)</f>
        <v>#REF!</v>
      </c>
      <c r="AA2135" s="69" t="e" cm="1">
        <f t="array" ref="AA2135">_xlfn.XLOOKUP(Table1[[#This Row],[5 cm2 cell test code]:[5 cm2 cell test code]],[1]!Table1[[Test code]:[Test code]],[1]!Table1[E @ 100 mA/cm2 DIW/V],"",0)</f>
        <v>#REF!</v>
      </c>
      <c r="AB2135" s="69" t="e" cm="1">
        <f t="array" ref="AB2135">_xlfn.XLOOKUP(Table1[[#This Row],[5 cm2 cell test code]:[5 cm2 cell test code]],[1]!Table1[[Test code]:[Test code]],[1]!Table1[E @ 100 mA/cm2 10 mM KOH/V],"",0)</f>
        <v>#REF!</v>
      </c>
      <c r="AC2135" s="69" t="e" cm="1">
        <f t="array" ref="AC2135">_xlfn.XLOOKUP(Table1[[#This Row],[5 cm2 cell test code]:[5 cm2 cell test code]],[1]!Table1[[Test code]:[Test code]],[1]!Table1[Anode ICR/mOhm],"",0)</f>
        <v>#REF!</v>
      </c>
      <c r="AD2135" s="69" t="e" cm="1">
        <f t="array" ref="AD2135">_xlfn.XLOOKUP(Table1[[#This Row],[5 cm2 cell test code]:[5 cm2 cell test code]],[1]!Table1[[Test code]:[Test code]],[1]!Table1[HFR DIW/ mOhm cm2],"",0)</f>
        <v>#REF!</v>
      </c>
      <c r="AE2135" s="69" t="e" cm="1">
        <f t="array" ref="AE2135">_xlfn.XLOOKUP(Table1[[#This Row],[5 cm2 cell test code]:[5 cm2 cell test code]],[1]!Table1[[Test code]:[Test code]],[1]!Table1[HFR 10 mM KOH/ mOhm cm2],"",0)</f>
        <v>#REF!</v>
      </c>
      <c r="AF2135" s="69" t="e" cm="1">
        <f t="array" ref="AF2135">_xlfn.XLOOKUP(Table1[[#This Row],[5 cm2 cell test code]:[5 cm2 cell test code]],[1]!Table1[[Test code]:[Test code]],[1]!Table1[Ionic resistance DIW/Ohm cm2],"",0)</f>
        <v>#REF!</v>
      </c>
      <c r="AG2135" s="69" t="e" cm="1">
        <f t="array" ref="AG2135">_xlfn.XLOOKUP(Table1[[#This Row],[5 cm2 cell test code]:[5 cm2 cell test code]],[1]!Table1[[Test code]:[Test code]],[1]!Table1[Q_int_frac DIW],"",0)</f>
        <v>#REF!</v>
      </c>
      <c r="AH2135" s="69" t="e" cm="1">
        <f t="array" ref="AH2135">_xlfn.XLOOKUP(Table1[[#This Row],[5 cm2 cell test code]:[5 cm2 cell test code]],[1]!Table1[[Test code]:[Test code]],[1]!Table1[Ionic resistance 10 mM KOH/Ohm cm2],"",0)</f>
        <v>#REF!</v>
      </c>
      <c r="AI2135" s="69" t="e" cm="1">
        <f t="array" ref="AI2135">_xlfn.XLOOKUP(Table1[[#This Row],[5 cm2 cell test code]:[5 cm2 cell test code]],[1]!Table1[[Test code]:[Test code]],[1]!Table1[Q_int_frac DIW 10 mM KOH],"",0)</f>
        <v>#REF!</v>
      </c>
      <c r="AJ2135" s="69" t="e" cm="1">
        <f t="array" ref="AJ2135">_xlfn.XLOOKUP(Table1[[#This Row],[5 cm2 cell test code]:[5 cm2 cell test code]],[1]!Table1[[Test code]:[Test code]],[1]!Table1[DIW conductivity (µS/cm)],"",0)</f>
        <v>#REF!</v>
      </c>
    </row>
    <row r="2136" spans="1:36">
      <c r="A2136" s="81"/>
      <c r="U2136" s="101"/>
      <c r="V2136" s="101"/>
      <c r="W2136" s="69" t="e" cm="1">
        <f t="array" ref="W2136">_xlfn.XLOOKUP(Table1[[#This Row],[5 cm2 cell test code]:[5 cm2 cell test code]],[1]!Table1[[Test code]:[Test code]],[1]!Table1[i @ 1.8 V DIW (A/cm2)],"",0)</f>
        <v>#REF!</v>
      </c>
      <c r="X2136" s="69" t="e" cm="1">
        <f t="array" ref="X2136">_xlfn.XLOOKUP(Table1[[#This Row],[5 cm2 cell test code]:[5 cm2 cell test code]],[1]!Table1[[Test code]:[Test code]],[1]!Table1[i @ 1.8 V 10 mM KOH (A/cm2)],"",0)</f>
        <v>#REF!</v>
      </c>
      <c r="Y2136" s="69" t="e" cm="1">
        <f t="array" ref="Y2136">_xlfn.XLOOKUP(Table1[[#This Row],[5 cm2 cell test code]:[5 cm2 cell test code]],[1]!Table1[[Test code]:[Test code]],[1]!Table1[3-E ƞ at 20mAcm-2 (mV)],"",0)</f>
        <v>#REF!</v>
      </c>
      <c r="Z2136" s="69" t="e" cm="1">
        <f t="array" ref="Z2136">_xlfn.XLOOKUP(Table1[[#This Row],[5 cm2 cell test code]:[5 cm2 cell test code]],[1]!Table1[[Test code]:[Test code]],[1]!Table1[3-E Tafel slope (mV/dec)],"",0)</f>
        <v>#REF!</v>
      </c>
      <c r="AA2136" s="69" t="e" cm="1">
        <f t="array" ref="AA2136">_xlfn.XLOOKUP(Table1[[#This Row],[5 cm2 cell test code]:[5 cm2 cell test code]],[1]!Table1[[Test code]:[Test code]],[1]!Table1[E @ 100 mA/cm2 DIW/V],"",0)</f>
        <v>#REF!</v>
      </c>
      <c r="AB2136" s="69" t="e" cm="1">
        <f t="array" ref="AB2136">_xlfn.XLOOKUP(Table1[[#This Row],[5 cm2 cell test code]:[5 cm2 cell test code]],[1]!Table1[[Test code]:[Test code]],[1]!Table1[E @ 100 mA/cm2 10 mM KOH/V],"",0)</f>
        <v>#REF!</v>
      </c>
      <c r="AC2136" s="69" t="e" cm="1">
        <f t="array" ref="AC2136">_xlfn.XLOOKUP(Table1[[#This Row],[5 cm2 cell test code]:[5 cm2 cell test code]],[1]!Table1[[Test code]:[Test code]],[1]!Table1[Anode ICR/mOhm],"",0)</f>
        <v>#REF!</v>
      </c>
      <c r="AD2136" s="69" t="e" cm="1">
        <f t="array" ref="AD2136">_xlfn.XLOOKUP(Table1[[#This Row],[5 cm2 cell test code]:[5 cm2 cell test code]],[1]!Table1[[Test code]:[Test code]],[1]!Table1[HFR DIW/ mOhm cm2],"",0)</f>
        <v>#REF!</v>
      </c>
      <c r="AE2136" s="69" t="e" cm="1">
        <f t="array" ref="AE2136">_xlfn.XLOOKUP(Table1[[#This Row],[5 cm2 cell test code]:[5 cm2 cell test code]],[1]!Table1[[Test code]:[Test code]],[1]!Table1[HFR 10 mM KOH/ mOhm cm2],"",0)</f>
        <v>#REF!</v>
      </c>
      <c r="AF2136" s="69" t="e" cm="1">
        <f t="array" ref="AF2136">_xlfn.XLOOKUP(Table1[[#This Row],[5 cm2 cell test code]:[5 cm2 cell test code]],[1]!Table1[[Test code]:[Test code]],[1]!Table1[Ionic resistance DIW/Ohm cm2],"",0)</f>
        <v>#REF!</v>
      </c>
      <c r="AG2136" s="69" t="e" cm="1">
        <f t="array" ref="AG2136">_xlfn.XLOOKUP(Table1[[#This Row],[5 cm2 cell test code]:[5 cm2 cell test code]],[1]!Table1[[Test code]:[Test code]],[1]!Table1[Q_int_frac DIW],"",0)</f>
        <v>#REF!</v>
      </c>
      <c r="AH2136" s="69" t="e" cm="1">
        <f t="array" ref="AH2136">_xlfn.XLOOKUP(Table1[[#This Row],[5 cm2 cell test code]:[5 cm2 cell test code]],[1]!Table1[[Test code]:[Test code]],[1]!Table1[Ionic resistance 10 mM KOH/Ohm cm2],"",0)</f>
        <v>#REF!</v>
      </c>
      <c r="AI2136" s="69" t="e" cm="1">
        <f t="array" ref="AI2136">_xlfn.XLOOKUP(Table1[[#This Row],[5 cm2 cell test code]:[5 cm2 cell test code]],[1]!Table1[[Test code]:[Test code]],[1]!Table1[Q_int_frac DIW 10 mM KOH],"",0)</f>
        <v>#REF!</v>
      </c>
      <c r="AJ2136" s="69" t="e" cm="1">
        <f t="array" ref="AJ2136">_xlfn.XLOOKUP(Table1[[#This Row],[5 cm2 cell test code]:[5 cm2 cell test code]],[1]!Table1[[Test code]:[Test code]],[1]!Table1[DIW conductivity (µS/cm)],"",0)</f>
        <v>#REF!</v>
      </c>
    </row>
    <row r="2137" spans="1:36">
      <c r="A2137" s="81"/>
      <c r="U2137" s="101"/>
      <c r="V2137" s="101"/>
      <c r="W2137" s="69" t="e" cm="1">
        <f t="array" ref="W2137">_xlfn.XLOOKUP(Table1[[#This Row],[5 cm2 cell test code]:[5 cm2 cell test code]],[1]!Table1[[Test code]:[Test code]],[1]!Table1[i @ 1.8 V DIW (A/cm2)],"",0)</f>
        <v>#REF!</v>
      </c>
      <c r="X2137" s="69" t="e" cm="1">
        <f t="array" ref="X2137">_xlfn.XLOOKUP(Table1[[#This Row],[5 cm2 cell test code]:[5 cm2 cell test code]],[1]!Table1[[Test code]:[Test code]],[1]!Table1[i @ 1.8 V 10 mM KOH (A/cm2)],"",0)</f>
        <v>#REF!</v>
      </c>
      <c r="Y2137" s="69" t="e" cm="1">
        <f t="array" ref="Y2137">_xlfn.XLOOKUP(Table1[[#This Row],[5 cm2 cell test code]:[5 cm2 cell test code]],[1]!Table1[[Test code]:[Test code]],[1]!Table1[3-E ƞ at 20mAcm-2 (mV)],"",0)</f>
        <v>#REF!</v>
      </c>
      <c r="Z2137" s="69" t="e" cm="1">
        <f t="array" ref="Z2137">_xlfn.XLOOKUP(Table1[[#This Row],[5 cm2 cell test code]:[5 cm2 cell test code]],[1]!Table1[[Test code]:[Test code]],[1]!Table1[3-E Tafel slope (mV/dec)],"",0)</f>
        <v>#REF!</v>
      </c>
      <c r="AA2137" s="69" t="e" cm="1">
        <f t="array" ref="AA2137">_xlfn.XLOOKUP(Table1[[#This Row],[5 cm2 cell test code]:[5 cm2 cell test code]],[1]!Table1[[Test code]:[Test code]],[1]!Table1[E @ 100 mA/cm2 DIW/V],"",0)</f>
        <v>#REF!</v>
      </c>
      <c r="AB2137" s="69" t="e" cm="1">
        <f t="array" ref="AB2137">_xlfn.XLOOKUP(Table1[[#This Row],[5 cm2 cell test code]:[5 cm2 cell test code]],[1]!Table1[[Test code]:[Test code]],[1]!Table1[E @ 100 mA/cm2 10 mM KOH/V],"",0)</f>
        <v>#REF!</v>
      </c>
      <c r="AC2137" s="69" t="e" cm="1">
        <f t="array" ref="AC2137">_xlfn.XLOOKUP(Table1[[#This Row],[5 cm2 cell test code]:[5 cm2 cell test code]],[1]!Table1[[Test code]:[Test code]],[1]!Table1[Anode ICR/mOhm],"",0)</f>
        <v>#REF!</v>
      </c>
      <c r="AD2137" s="69" t="e" cm="1">
        <f t="array" ref="AD2137">_xlfn.XLOOKUP(Table1[[#This Row],[5 cm2 cell test code]:[5 cm2 cell test code]],[1]!Table1[[Test code]:[Test code]],[1]!Table1[HFR DIW/ mOhm cm2],"",0)</f>
        <v>#REF!</v>
      </c>
      <c r="AE2137" s="69" t="e" cm="1">
        <f t="array" ref="AE2137">_xlfn.XLOOKUP(Table1[[#This Row],[5 cm2 cell test code]:[5 cm2 cell test code]],[1]!Table1[[Test code]:[Test code]],[1]!Table1[HFR 10 mM KOH/ mOhm cm2],"",0)</f>
        <v>#REF!</v>
      </c>
      <c r="AF2137" s="69" t="e" cm="1">
        <f t="array" ref="AF2137">_xlfn.XLOOKUP(Table1[[#This Row],[5 cm2 cell test code]:[5 cm2 cell test code]],[1]!Table1[[Test code]:[Test code]],[1]!Table1[Ionic resistance DIW/Ohm cm2],"",0)</f>
        <v>#REF!</v>
      </c>
      <c r="AG2137" s="69" t="e" cm="1">
        <f t="array" ref="AG2137">_xlfn.XLOOKUP(Table1[[#This Row],[5 cm2 cell test code]:[5 cm2 cell test code]],[1]!Table1[[Test code]:[Test code]],[1]!Table1[Q_int_frac DIW],"",0)</f>
        <v>#REF!</v>
      </c>
      <c r="AH2137" s="69" t="e" cm="1">
        <f t="array" ref="AH2137">_xlfn.XLOOKUP(Table1[[#This Row],[5 cm2 cell test code]:[5 cm2 cell test code]],[1]!Table1[[Test code]:[Test code]],[1]!Table1[Ionic resistance 10 mM KOH/Ohm cm2],"",0)</f>
        <v>#REF!</v>
      </c>
      <c r="AI2137" s="69" t="e" cm="1">
        <f t="array" ref="AI2137">_xlfn.XLOOKUP(Table1[[#This Row],[5 cm2 cell test code]:[5 cm2 cell test code]],[1]!Table1[[Test code]:[Test code]],[1]!Table1[Q_int_frac DIW 10 mM KOH],"",0)</f>
        <v>#REF!</v>
      </c>
      <c r="AJ2137" s="69" t="e" cm="1">
        <f t="array" ref="AJ2137">_xlfn.XLOOKUP(Table1[[#This Row],[5 cm2 cell test code]:[5 cm2 cell test code]],[1]!Table1[[Test code]:[Test code]],[1]!Table1[DIW conductivity (µS/cm)],"",0)</f>
        <v>#REF!</v>
      </c>
    </row>
    <row r="2138" spans="1:36">
      <c r="A2138" s="81"/>
      <c r="U2138" s="101"/>
      <c r="V2138" s="101"/>
      <c r="W2138" s="69" t="e" cm="1">
        <f t="array" ref="W2138">_xlfn.XLOOKUP(Table1[[#This Row],[5 cm2 cell test code]:[5 cm2 cell test code]],[1]!Table1[[Test code]:[Test code]],[1]!Table1[i @ 1.8 V DIW (A/cm2)],"",0)</f>
        <v>#REF!</v>
      </c>
      <c r="X2138" s="69" t="e" cm="1">
        <f t="array" ref="X2138">_xlfn.XLOOKUP(Table1[[#This Row],[5 cm2 cell test code]:[5 cm2 cell test code]],[1]!Table1[[Test code]:[Test code]],[1]!Table1[i @ 1.8 V 10 mM KOH (A/cm2)],"",0)</f>
        <v>#REF!</v>
      </c>
      <c r="Y2138" s="69" t="e" cm="1">
        <f t="array" ref="Y2138">_xlfn.XLOOKUP(Table1[[#This Row],[5 cm2 cell test code]:[5 cm2 cell test code]],[1]!Table1[[Test code]:[Test code]],[1]!Table1[3-E ƞ at 20mAcm-2 (mV)],"",0)</f>
        <v>#REF!</v>
      </c>
      <c r="Z2138" s="69" t="e" cm="1">
        <f t="array" ref="Z2138">_xlfn.XLOOKUP(Table1[[#This Row],[5 cm2 cell test code]:[5 cm2 cell test code]],[1]!Table1[[Test code]:[Test code]],[1]!Table1[3-E Tafel slope (mV/dec)],"",0)</f>
        <v>#REF!</v>
      </c>
      <c r="AA2138" s="69" t="e" cm="1">
        <f t="array" ref="AA2138">_xlfn.XLOOKUP(Table1[[#This Row],[5 cm2 cell test code]:[5 cm2 cell test code]],[1]!Table1[[Test code]:[Test code]],[1]!Table1[E @ 100 mA/cm2 DIW/V],"",0)</f>
        <v>#REF!</v>
      </c>
      <c r="AB2138" s="69" t="e" cm="1">
        <f t="array" ref="AB2138">_xlfn.XLOOKUP(Table1[[#This Row],[5 cm2 cell test code]:[5 cm2 cell test code]],[1]!Table1[[Test code]:[Test code]],[1]!Table1[E @ 100 mA/cm2 10 mM KOH/V],"",0)</f>
        <v>#REF!</v>
      </c>
      <c r="AC2138" s="69" t="e" cm="1">
        <f t="array" ref="AC2138">_xlfn.XLOOKUP(Table1[[#This Row],[5 cm2 cell test code]:[5 cm2 cell test code]],[1]!Table1[[Test code]:[Test code]],[1]!Table1[Anode ICR/mOhm],"",0)</f>
        <v>#REF!</v>
      </c>
      <c r="AD2138" s="69" t="e" cm="1">
        <f t="array" ref="AD2138">_xlfn.XLOOKUP(Table1[[#This Row],[5 cm2 cell test code]:[5 cm2 cell test code]],[1]!Table1[[Test code]:[Test code]],[1]!Table1[HFR DIW/ mOhm cm2],"",0)</f>
        <v>#REF!</v>
      </c>
      <c r="AE2138" s="69" t="e" cm="1">
        <f t="array" ref="AE2138">_xlfn.XLOOKUP(Table1[[#This Row],[5 cm2 cell test code]:[5 cm2 cell test code]],[1]!Table1[[Test code]:[Test code]],[1]!Table1[HFR 10 mM KOH/ mOhm cm2],"",0)</f>
        <v>#REF!</v>
      </c>
      <c r="AF2138" s="69" t="e" cm="1">
        <f t="array" ref="AF2138">_xlfn.XLOOKUP(Table1[[#This Row],[5 cm2 cell test code]:[5 cm2 cell test code]],[1]!Table1[[Test code]:[Test code]],[1]!Table1[Ionic resistance DIW/Ohm cm2],"",0)</f>
        <v>#REF!</v>
      </c>
      <c r="AG2138" s="69" t="e" cm="1">
        <f t="array" ref="AG2138">_xlfn.XLOOKUP(Table1[[#This Row],[5 cm2 cell test code]:[5 cm2 cell test code]],[1]!Table1[[Test code]:[Test code]],[1]!Table1[Q_int_frac DIW],"",0)</f>
        <v>#REF!</v>
      </c>
      <c r="AH2138" s="69" t="e" cm="1">
        <f t="array" ref="AH2138">_xlfn.XLOOKUP(Table1[[#This Row],[5 cm2 cell test code]:[5 cm2 cell test code]],[1]!Table1[[Test code]:[Test code]],[1]!Table1[Ionic resistance 10 mM KOH/Ohm cm2],"",0)</f>
        <v>#REF!</v>
      </c>
      <c r="AI2138" s="69" t="e" cm="1">
        <f t="array" ref="AI2138">_xlfn.XLOOKUP(Table1[[#This Row],[5 cm2 cell test code]:[5 cm2 cell test code]],[1]!Table1[[Test code]:[Test code]],[1]!Table1[Q_int_frac DIW 10 mM KOH],"",0)</f>
        <v>#REF!</v>
      </c>
      <c r="AJ2138" s="69" t="e" cm="1">
        <f t="array" ref="AJ2138">_xlfn.XLOOKUP(Table1[[#This Row],[5 cm2 cell test code]:[5 cm2 cell test code]],[1]!Table1[[Test code]:[Test code]],[1]!Table1[DIW conductivity (µS/cm)],"",0)</f>
        <v>#REF!</v>
      </c>
    </row>
    <row r="2139" spans="1:36">
      <c r="A2139" s="81"/>
      <c r="U2139" s="101"/>
      <c r="V2139" s="101"/>
      <c r="W2139" s="69" t="e" cm="1">
        <f t="array" ref="W2139">_xlfn.XLOOKUP(Table1[[#This Row],[5 cm2 cell test code]:[5 cm2 cell test code]],[1]!Table1[[Test code]:[Test code]],[1]!Table1[i @ 1.8 V DIW (A/cm2)],"",0)</f>
        <v>#REF!</v>
      </c>
      <c r="X2139" s="69" t="e" cm="1">
        <f t="array" ref="X2139">_xlfn.XLOOKUP(Table1[[#This Row],[5 cm2 cell test code]:[5 cm2 cell test code]],[1]!Table1[[Test code]:[Test code]],[1]!Table1[i @ 1.8 V 10 mM KOH (A/cm2)],"",0)</f>
        <v>#REF!</v>
      </c>
      <c r="Y2139" s="69" t="e" cm="1">
        <f t="array" ref="Y2139">_xlfn.XLOOKUP(Table1[[#This Row],[5 cm2 cell test code]:[5 cm2 cell test code]],[1]!Table1[[Test code]:[Test code]],[1]!Table1[3-E ƞ at 20mAcm-2 (mV)],"",0)</f>
        <v>#REF!</v>
      </c>
      <c r="Z2139" s="69" t="e" cm="1">
        <f t="array" ref="Z2139">_xlfn.XLOOKUP(Table1[[#This Row],[5 cm2 cell test code]:[5 cm2 cell test code]],[1]!Table1[[Test code]:[Test code]],[1]!Table1[3-E Tafel slope (mV/dec)],"",0)</f>
        <v>#REF!</v>
      </c>
      <c r="AA2139" s="69" t="e" cm="1">
        <f t="array" ref="AA2139">_xlfn.XLOOKUP(Table1[[#This Row],[5 cm2 cell test code]:[5 cm2 cell test code]],[1]!Table1[[Test code]:[Test code]],[1]!Table1[E @ 100 mA/cm2 DIW/V],"",0)</f>
        <v>#REF!</v>
      </c>
      <c r="AB2139" s="69" t="e" cm="1">
        <f t="array" ref="AB2139">_xlfn.XLOOKUP(Table1[[#This Row],[5 cm2 cell test code]:[5 cm2 cell test code]],[1]!Table1[[Test code]:[Test code]],[1]!Table1[E @ 100 mA/cm2 10 mM KOH/V],"",0)</f>
        <v>#REF!</v>
      </c>
      <c r="AC2139" s="69" t="e" cm="1">
        <f t="array" ref="AC2139">_xlfn.XLOOKUP(Table1[[#This Row],[5 cm2 cell test code]:[5 cm2 cell test code]],[1]!Table1[[Test code]:[Test code]],[1]!Table1[Anode ICR/mOhm],"",0)</f>
        <v>#REF!</v>
      </c>
      <c r="AD2139" s="69" t="e" cm="1">
        <f t="array" ref="AD2139">_xlfn.XLOOKUP(Table1[[#This Row],[5 cm2 cell test code]:[5 cm2 cell test code]],[1]!Table1[[Test code]:[Test code]],[1]!Table1[HFR DIW/ mOhm cm2],"",0)</f>
        <v>#REF!</v>
      </c>
      <c r="AE2139" s="69" t="e" cm="1">
        <f t="array" ref="AE2139">_xlfn.XLOOKUP(Table1[[#This Row],[5 cm2 cell test code]:[5 cm2 cell test code]],[1]!Table1[[Test code]:[Test code]],[1]!Table1[HFR 10 mM KOH/ mOhm cm2],"",0)</f>
        <v>#REF!</v>
      </c>
      <c r="AF2139" s="69" t="e" cm="1">
        <f t="array" ref="AF2139">_xlfn.XLOOKUP(Table1[[#This Row],[5 cm2 cell test code]:[5 cm2 cell test code]],[1]!Table1[[Test code]:[Test code]],[1]!Table1[Ionic resistance DIW/Ohm cm2],"",0)</f>
        <v>#REF!</v>
      </c>
      <c r="AG2139" s="69" t="e" cm="1">
        <f t="array" ref="AG2139">_xlfn.XLOOKUP(Table1[[#This Row],[5 cm2 cell test code]:[5 cm2 cell test code]],[1]!Table1[[Test code]:[Test code]],[1]!Table1[Q_int_frac DIW],"",0)</f>
        <v>#REF!</v>
      </c>
      <c r="AH2139" s="69" t="e" cm="1">
        <f t="array" ref="AH2139">_xlfn.XLOOKUP(Table1[[#This Row],[5 cm2 cell test code]:[5 cm2 cell test code]],[1]!Table1[[Test code]:[Test code]],[1]!Table1[Ionic resistance 10 mM KOH/Ohm cm2],"",0)</f>
        <v>#REF!</v>
      </c>
      <c r="AI2139" s="69" t="e" cm="1">
        <f t="array" ref="AI2139">_xlfn.XLOOKUP(Table1[[#This Row],[5 cm2 cell test code]:[5 cm2 cell test code]],[1]!Table1[[Test code]:[Test code]],[1]!Table1[Q_int_frac DIW 10 mM KOH],"",0)</f>
        <v>#REF!</v>
      </c>
      <c r="AJ2139" s="69" t="e" cm="1">
        <f t="array" ref="AJ2139">_xlfn.XLOOKUP(Table1[[#This Row],[5 cm2 cell test code]:[5 cm2 cell test code]],[1]!Table1[[Test code]:[Test code]],[1]!Table1[DIW conductivity (µS/cm)],"",0)</f>
        <v>#REF!</v>
      </c>
    </row>
    <row r="2140" spans="1:36">
      <c r="A2140" s="81"/>
      <c r="U2140" s="101"/>
      <c r="V2140" s="101"/>
      <c r="W2140" s="69" t="e" cm="1">
        <f t="array" ref="W2140">_xlfn.XLOOKUP(Table1[[#This Row],[5 cm2 cell test code]:[5 cm2 cell test code]],[1]!Table1[[Test code]:[Test code]],[1]!Table1[i @ 1.8 V DIW (A/cm2)],"",0)</f>
        <v>#REF!</v>
      </c>
      <c r="X2140" s="69" t="e" cm="1">
        <f t="array" ref="X2140">_xlfn.XLOOKUP(Table1[[#This Row],[5 cm2 cell test code]:[5 cm2 cell test code]],[1]!Table1[[Test code]:[Test code]],[1]!Table1[i @ 1.8 V 10 mM KOH (A/cm2)],"",0)</f>
        <v>#REF!</v>
      </c>
      <c r="Y2140" s="69" t="e" cm="1">
        <f t="array" ref="Y2140">_xlfn.XLOOKUP(Table1[[#This Row],[5 cm2 cell test code]:[5 cm2 cell test code]],[1]!Table1[[Test code]:[Test code]],[1]!Table1[3-E ƞ at 20mAcm-2 (mV)],"",0)</f>
        <v>#REF!</v>
      </c>
      <c r="Z2140" s="69" t="e" cm="1">
        <f t="array" ref="Z2140">_xlfn.XLOOKUP(Table1[[#This Row],[5 cm2 cell test code]:[5 cm2 cell test code]],[1]!Table1[[Test code]:[Test code]],[1]!Table1[3-E Tafel slope (mV/dec)],"",0)</f>
        <v>#REF!</v>
      </c>
      <c r="AA2140" s="69" t="e" cm="1">
        <f t="array" ref="AA2140">_xlfn.XLOOKUP(Table1[[#This Row],[5 cm2 cell test code]:[5 cm2 cell test code]],[1]!Table1[[Test code]:[Test code]],[1]!Table1[E @ 100 mA/cm2 DIW/V],"",0)</f>
        <v>#REF!</v>
      </c>
      <c r="AB2140" s="69" t="e" cm="1">
        <f t="array" ref="AB2140">_xlfn.XLOOKUP(Table1[[#This Row],[5 cm2 cell test code]:[5 cm2 cell test code]],[1]!Table1[[Test code]:[Test code]],[1]!Table1[E @ 100 mA/cm2 10 mM KOH/V],"",0)</f>
        <v>#REF!</v>
      </c>
      <c r="AC2140" s="69" t="e" cm="1">
        <f t="array" ref="AC2140">_xlfn.XLOOKUP(Table1[[#This Row],[5 cm2 cell test code]:[5 cm2 cell test code]],[1]!Table1[[Test code]:[Test code]],[1]!Table1[Anode ICR/mOhm],"",0)</f>
        <v>#REF!</v>
      </c>
      <c r="AD2140" s="69" t="e" cm="1">
        <f t="array" ref="AD2140">_xlfn.XLOOKUP(Table1[[#This Row],[5 cm2 cell test code]:[5 cm2 cell test code]],[1]!Table1[[Test code]:[Test code]],[1]!Table1[HFR DIW/ mOhm cm2],"",0)</f>
        <v>#REF!</v>
      </c>
      <c r="AE2140" s="69" t="e" cm="1">
        <f t="array" ref="AE2140">_xlfn.XLOOKUP(Table1[[#This Row],[5 cm2 cell test code]:[5 cm2 cell test code]],[1]!Table1[[Test code]:[Test code]],[1]!Table1[HFR 10 mM KOH/ mOhm cm2],"",0)</f>
        <v>#REF!</v>
      </c>
      <c r="AF2140" s="69" t="e" cm="1">
        <f t="array" ref="AF2140">_xlfn.XLOOKUP(Table1[[#This Row],[5 cm2 cell test code]:[5 cm2 cell test code]],[1]!Table1[[Test code]:[Test code]],[1]!Table1[Ionic resistance DIW/Ohm cm2],"",0)</f>
        <v>#REF!</v>
      </c>
      <c r="AG2140" s="69" t="e" cm="1">
        <f t="array" ref="AG2140">_xlfn.XLOOKUP(Table1[[#This Row],[5 cm2 cell test code]:[5 cm2 cell test code]],[1]!Table1[[Test code]:[Test code]],[1]!Table1[Q_int_frac DIW],"",0)</f>
        <v>#REF!</v>
      </c>
      <c r="AH2140" s="69" t="e" cm="1">
        <f t="array" ref="AH2140">_xlfn.XLOOKUP(Table1[[#This Row],[5 cm2 cell test code]:[5 cm2 cell test code]],[1]!Table1[[Test code]:[Test code]],[1]!Table1[Ionic resistance 10 mM KOH/Ohm cm2],"",0)</f>
        <v>#REF!</v>
      </c>
      <c r="AI2140" s="69" t="e" cm="1">
        <f t="array" ref="AI2140">_xlfn.XLOOKUP(Table1[[#This Row],[5 cm2 cell test code]:[5 cm2 cell test code]],[1]!Table1[[Test code]:[Test code]],[1]!Table1[Q_int_frac DIW 10 mM KOH],"",0)</f>
        <v>#REF!</v>
      </c>
      <c r="AJ2140" s="69" t="e" cm="1">
        <f t="array" ref="AJ2140">_xlfn.XLOOKUP(Table1[[#This Row],[5 cm2 cell test code]:[5 cm2 cell test code]],[1]!Table1[[Test code]:[Test code]],[1]!Table1[DIW conductivity (µS/cm)],"",0)</f>
        <v>#REF!</v>
      </c>
    </row>
    <row r="2141" spans="1:36">
      <c r="A2141" s="88"/>
      <c r="B2141" s="89"/>
      <c r="C2141" s="90"/>
      <c r="D2141" s="90"/>
      <c r="E2141" s="90"/>
      <c r="F2141" s="90"/>
      <c r="G2141" s="90"/>
      <c r="H2141" s="90"/>
      <c r="I2141" s="89"/>
      <c r="J2141" s="89"/>
      <c r="K2141" s="89"/>
      <c r="L2141" s="89"/>
      <c r="M2141" s="91"/>
      <c r="N2141" s="91"/>
      <c r="O2141" s="89"/>
      <c r="P2141" s="139"/>
      <c r="Q2141" s="90"/>
      <c r="R2141" s="90"/>
      <c r="S2141" s="90"/>
      <c r="T2141" s="90"/>
      <c r="U2141" s="102"/>
      <c r="V2141" s="102"/>
      <c r="W2141" s="69" t="e" cm="1">
        <f t="array" ref="W2141">_xlfn.XLOOKUP(Table1[[#This Row],[5 cm2 cell test code]:[5 cm2 cell test code]],[1]!Table1[[Test code]:[Test code]],[1]!Table1[i @ 1.8 V DIW (A/cm2)],"",0)</f>
        <v>#REF!</v>
      </c>
      <c r="X2141" s="69" t="e" cm="1">
        <f t="array" ref="X2141">_xlfn.XLOOKUP(Table1[[#This Row],[5 cm2 cell test code]:[5 cm2 cell test code]],[1]!Table1[[Test code]:[Test code]],[1]!Table1[i @ 1.8 V 10 mM KOH (A/cm2)],"",0)</f>
        <v>#REF!</v>
      </c>
      <c r="Y2141" s="69" t="e" cm="1">
        <f t="array" ref="Y2141">_xlfn.XLOOKUP(Table1[[#This Row],[5 cm2 cell test code]:[5 cm2 cell test code]],[1]!Table1[[Test code]:[Test code]],[1]!Table1[3-E ƞ at 20mAcm-2 (mV)],"",0)</f>
        <v>#REF!</v>
      </c>
      <c r="Z2141" s="69" t="e" cm="1">
        <f t="array" ref="Z2141">_xlfn.XLOOKUP(Table1[[#This Row],[5 cm2 cell test code]:[5 cm2 cell test code]],[1]!Table1[[Test code]:[Test code]],[1]!Table1[3-E Tafel slope (mV/dec)],"",0)</f>
        <v>#REF!</v>
      </c>
      <c r="AA2141" s="69" t="e" cm="1">
        <f t="array" ref="AA2141">_xlfn.XLOOKUP(Table1[[#This Row],[5 cm2 cell test code]:[5 cm2 cell test code]],[1]!Table1[[Test code]:[Test code]],[1]!Table1[E @ 100 mA/cm2 DIW/V],"",0)</f>
        <v>#REF!</v>
      </c>
      <c r="AB2141" s="69" t="e" cm="1">
        <f t="array" ref="AB2141">_xlfn.XLOOKUP(Table1[[#This Row],[5 cm2 cell test code]:[5 cm2 cell test code]],[1]!Table1[[Test code]:[Test code]],[1]!Table1[E @ 100 mA/cm2 10 mM KOH/V],"",0)</f>
        <v>#REF!</v>
      </c>
      <c r="AC2141" s="69" t="e" cm="1">
        <f t="array" ref="AC2141">_xlfn.XLOOKUP(Table1[[#This Row],[5 cm2 cell test code]:[5 cm2 cell test code]],[1]!Table1[[Test code]:[Test code]],[1]!Table1[Anode ICR/mOhm],"",0)</f>
        <v>#REF!</v>
      </c>
      <c r="AD2141" s="69" t="e" cm="1">
        <f t="array" ref="AD2141">_xlfn.XLOOKUP(Table1[[#This Row],[5 cm2 cell test code]:[5 cm2 cell test code]],[1]!Table1[[Test code]:[Test code]],[1]!Table1[HFR DIW/ mOhm cm2],"",0)</f>
        <v>#REF!</v>
      </c>
      <c r="AE2141" s="69" t="e" cm="1">
        <f t="array" ref="AE2141">_xlfn.XLOOKUP(Table1[[#This Row],[5 cm2 cell test code]:[5 cm2 cell test code]],[1]!Table1[[Test code]:[Test code]],[1]!Table1[HFR 10 mM KOH/ mOhm cm2],"",0)</f>
        <v>#REF!</v>
      </c>
      <c r="AF2141" s="69" t="e" cm="1">
        <f t="array" ref="AF2141">_xlfn.XLOOKUP(Table1[[#This Row],[5 cm2 cell test code]:[5 cm2 cell test code]],[1]!Table1[[Test code]:[Test code]],[1]!Table1[Ionic resistance DIW/Ohm cm2],"",0)</f>
        <v>#REF!</v>
      </c>
      <c r="AG2141" s="69" t="e" cm="1">
        <f t="array" ref="AG2141">_xlfn.XLOOKUP(Table1[[#This Row],[5 cm2 cell test code]:[5 cm2 cell test code]],[1]!Table1[[Test code]:[Test code]],[1]!Table1[Q_int_frac DIW],"",0)</f>
        <v>#REF!</v>
      </c>
      <c r="AH2141" s="69" t="e" cm="1">
        <f t="array" ref="AH2141">_xlfn.XLOOKUP(Table1[[#This Row],[5 cm2 cell test code]:[5 cm2 cell test code]],[1]!Table1[[Test code]:[Test code]],[1]!Table1[Ionic resistance 10 mM KOH/Ohm cm2],"",0)</f>
        <v>#REF!</v>
      </c>
      <c r="AI2141" s="69" t="e" cm="1">
        <f t="array" ref="AI2141">_xlfn.XLOOKUP(Table1[[#This Row],[5 cm2 cell test code]:[5 cm2 cell test code]],[1]!Table1[[Test code]:[Test code]],[1]!Table1[Q_int_frac DIW 10 mM KOH],"",0)</f>
        <v>#REF!</v>
      </c>
      <c r="AJ2141" s="69" t="e" cm="1">
        <f t="array" ref="AJ2141">_xlfn.XLOOKUP(Table1[[#This Row],[5 cm2 cell test code]:[5 cm2 cell test code]],[1]!Table1[[Test code]:[Test code]],[1]!Table1[DIW conductivity (µS/cm)],"",0)</f>
        <v>#REF!</v>
      </c>
    </row>
  </sheetData>
  <phoneticPr fontId="2" type="noConversion"/>
  <hyperlinks>
    <hyperlink ref="J2" r:id="rId1" xr:uid="{6804DF49-D395-4D62-A791-F1B5975619D5}"/>
    <hyperlink ref="J3" r:id="rId2" xr:uid="{E19BBF5D-48F0-4355-884F-06BCDB9F33D8}"/>
    <hyperlink ref="J18" r:id="rId3" xr:uid="{779702DD-EF84-4724-8329-1F04DB6694C7}"/>
    <hyperlink ref="J22" r:id="rId4" xr:uid="{DDA9F78D-FAC7-4B9E-9382-EC1D34D581DA}"/>
    <hyperlink ref="L1" r:id="rId5" xr:uid="{F33DC169-8E4C-4FF1-BD68-46DDD5807ED2}"/>
  </hyperlinks>
  <pageMargins left="0.7" right="0.7" top="0.75" bottom="0.75" header="0.3" footer="0.3"/>
  <pageSetup orientation="portrait" r:id="rId6"/>
  <drawing r:id="rId7"/>
  <legacyDrawing r:id="rId8"/>
  <tableParts count="1"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E35A-7136-4D7A-B5D3-E03AABE349A0}">
  <dimension ref="A2:B153"/>
  <sheetViews>
    <sheetView zoomScaleNormal="100" workbookViewId="0">
      <pane xSplit="1" ySplit="11" topLeftCell="B152" activePane="bottomRight" state="frozen"/>
      <selection pane="bottomRight" activeCell="A153" sqref="A153"/>
      <selection pane="bottomLeft" activeCell="A12" sqref="A12"/>
      <selection pane="topRight" activeCell="B1" sqref="B1"/>
    </sheetView>
  </sheetViews>
  <sheetFormatPr defaultRowHeight="14.45"/>
  <cols>
    <col min="1" max="1" width="34" style="11" customWidth="1"/>
    <col min="2" max="2" width="123.28515625" style="4" customWidth="1"/>
  </cols>
  <sheetData>
    <row r="2" spans="1:2" s="129" customFormat="1" ht="15.6">
      <c r="A2" s="45" t="s">
        <v>19</v>
      </c>
      <c r="B2" s="44" t="s">
        <v>20</v>
      </c>
    </row>
    <row r="3" spans="1:2">
      <c r="A3" s="11" t="s">
        <v>74</v>
      </c>
      <c r="B3" s="4" t="s">
        <v>75</v>
      </c>
    </row>
    <row r="5" spans="1:2">
      <c r="A5" s="11" t="s">
        <v>83</v>
      </c>
      <c r="B5" s="4" t="s">
        <v>84</v>
      </c>
    </row>
    <row r="6" spans="1:2">
      <c r="A6" s="11" t="s">
        <v>86</v>
      </c>
      <c r="B6" s="4" t="s">
        <v>87</v>
      </c>
    </row>
    <row r="8" spans="1:2">
      <c r="A8" s="11" t="s">
        <v>112</v>
      </c>
      <c r="B8" s="4" t="s">
        <v>1010</v>
      </c>
    </row>
    <row r="10" spans="1:2">
      <c r="A10" s="11" t="s">
        <v>128</v>
      </c>
      <c r="B10" s="4" t="s">
        <v>1011</v>
      </c>
    </row>
    <row r="12" spans="1:2">
      <c r="A12" s="11" t="s">
        <v>130</v>
      </c>
      <c r="B12" s="4" t="s">
        <v>1012</v>
      </c>
    </row>
    <row r="14" spans="1:2">
      <c r="A14" s="11" t="s">
        <v>143</v>
      </c>
      <c r="B14" s="4" t="s">
        <v>1013</v>
      </c>
    </row>
    <row r="16" spans="1:2">
      <c r="A16" s="11" t="s">
        <v>164</v>
      </c>
      <c r="B16" s="4" t="s">
        <v>1014</v>
      </c>
    </row>
    <row r="17" spans="1:2">
      <c r="A17" s="11" t="s">
        <v>166</v>
      </c>
      <c r="B17" s="4" t="s">
        <v>167</v>
      </c>
    </row>
    <row r="19" spans="1:2">
      <c r="A19" s="11" t="s">
        <v>177</v>
      </c>
      <c r="B19" s="4" t="s">
        <v>1015</v>
      </c>
    </row>
    <row r="21" spans="1:2">
      <c r="A21" s="11" t="s">
        <v>198</v>
      </c>
      <c r="B21" s="4" t="s">
        <v>1016</v>
      </c>
    </row>
    <row r="22" spans="1:2">
      <c r="A22" s="11" t="s">
        <v>200</v>
      </c>
      <c r="B22" s="4" t="s">
        <v>201</v>
      </c>
    </row>
    <row r="24" spans="1:2">
      <c r="A24" s="11" t="s">
        <v>269</v>
      </c>
      <c r="B24" s="4" t="s">
        <v>1017</v>
      </c>
    </row>
    <row r="26" spans="1:2">
      <c r="A26" s="11" t="s">
        <v>275</v>
      </c>
      <c r="B26" s="4" t="s">
        <v>276</v>
      </c>
    </row>
    <row r="27" spans="1:2">
      <c r="A27" s="8" t="s">
        <v>284</v>
      </c>
      <c r="B27" s="29" t="s">
        <v>285</v>
      </c>
    </row>
    <row r="28" spans="1:2">
      <c r="A28" s="8" t="s">
        <v>291</v>
      </c>
      <c r="B28" s="29" t="s">
        <v>292</v>
      </c>
    </row>
    <row r="30" spans="1:2">
      <c r="A30" s="11" t="s">
        <v>304</v>
      </c>
      <c r="B30" s="4" t="s">
        <v>305</v>
      </c>
    </row>
    <row r="31" spans="1:2">
      <c r="A31" s="11" t="s">
        <v>306</v>
      </c>
      <c r="B31" s="4" t="s">
        <v>307</v>
      </c>
    </row>
    <row r="32" spans="1:2">
      <c r="A32" s="11" t="s">
        <v>308</v>
      </c>
      <c r="B32" s="4" t="s">
        <v>309</v>
      </c>
    </row>
    <row r="35" spans="1:2">
      <c r="A35" s="11" t="s">
        <v>349</v>
      </c>
      <c r="B35" s="4" t="s">
        <v>1018</v>
      </c>
    </row>
    <row r="36" spans="1:2">
      <c r="A36" s="11" t="s">
        <v>1019</v>
      </c>
      <c r="B36" s="4" t="s">
        <v>1020</v>
      </c>
    </row>
    <row r="37" spans="1:2">
      <c r="A37" s="11" t="s">
        <v>1021</v>
      </c>
      <c r="B37" s="4" t="s">
        <v>1022</v>
      </c>
    </row>
    <row r="38" spans="1:2">
      <c r="A38" s="11" t="s">
        <v>362</v>
      </c>
      <c r="B38" s="4" t="s">
        <v>363</v>
      </c>
    </row>
    <row r="39" spans="1:2">
      <c r="A39" s="11" t="s">
        <v>365</v>
      </c>
      <c r="B39" s="4" t="s">
        <v>1023</v>
      </c>
    </row>
    <row r="40" spans="1:2">
      <c r="A40" s="11" t="s">
        <v>367</v>
      </c>
      <c r="B40" s="4" t="s">
        <v>1023</v>
      </c>
    </row>
    <row r="41" spans="1:2">
      <c r="A41" s="11" t="s">
        <v>369</v>
      </c>
      <c r="B41" s="4" t="s">
        <v>1023</v>
      </c>
    </row>
    <row r="42" spans="1:2">
      <c r="A42" s="11" t="s">
        <v>370</v>
      </c>
      <c r="B42" s="4" t="s">
        <v>1023</v>
      </c>
    </row>
    <row r="43" spans="1:2">
      <c r="A43" s="11" t="s">
        <v>371</v>
      </c>
      <c r="B43" s="4" t="s">
        <v>1023</v>
      </c>
    </row>
    <row r="44" spans="1:2">
      <c r="A44" s="11" t="s">
        <v>372</v>
      </c>
      <c r="B44" s="4" t="s">
        <v>1023</v>
      </c>
    </row>
    <row r="45" spans="1:2">
      <c r="A45" s="11" t="s">
        <v>373</v>
      </c>
      <c r="B45" s="4" t="s">
        <v>1023</v>
      </c>
    </row>
    <row r="46" spans="1:2">
      <c r="A46" s="11" t="s">
        <v>374</v>
      </c>
      <c r="B46" s="4" t="s">
        <v>1023</v>
      </c>
    </row>
    <row r="47" spans="1:2">
      <c r="A47" s="11" t="s">
        <v>375</v>
      </c>
      <c r="B47" s="4" t="s">
        <v>1023</v>
      </c>
    </row>
    <row r="48" spans="1:2">
      <c r="A48" s="11" t="s">
        <v>376</v>
      </c>
      <c r="B48" s="4" t="s">
        <v>1023</v>
      </c>
    </row>
    <row r="49" spans="1:2">
      <c r="A49" s="19" t="s">
        <v>384</v>
      </c>
      <c r="B49" s="4" t="s">
        <v>1024</v>
      </c>
    </row>
    <row r="51" spans="1:2">
      <c r="A51" s="19" t="s">
        <v>406</v>
      </c>
      <c r="B51" s="4" t="s">
        <v>1025</v>
      </c>
    </row>
    <row r="53" spans="1:2">
      <c r="A53" s="11" t="s">
        <v>436</v>
      </c>
      <c r="B53" s="4" t="s">
        <v>1026</v>
      </c>
    </row>
    <row r="54" spans="1:2">
      <c r="A54" s="4"/>
    </row>
    <row r="55" spans="1:2">
      <c r="A55" s="11" t="s">
        <v>1027</v>
      </c>
      <c r="B55" s="4" t="s">
        <v>517</v>
      </c>
    </row>
    <row r="56" spans="1:2">
      <c r="A56" s="11" t="s">
        <v>535</v>
      </c>
      <c r="B56" s="4" t="s">
        <v>1028</v>
      </c>
    </row>
    <row r="57" spans="1:2">
      <c r="A57" s="11" t="s">
        <v>539</v>
      </c>
      <c r="B57" s="4" t="s">
        <v>1029</v>
      </c>
    </row>
    <row r="58" spans="1:2">
      <c r="A58" s="123" t="s">
        <v>542</v>
      </c>
      <c r="B58" s="124" t="s">
        <v>543</v>
      </c>
    </row>
    <row r="59" spans="1:2">
      <c r="A59" s="123" t="s">
        <v>546</v>
      </c>
      <c r="B59" s="124" t="s">
        <v>547</v>
      </c>
    </row>
    <row r="60" spans="1:2">
      <c r="A60" s="11" t="s">
        <v>551</v>
      </c>
      <c r="B60" s="4" t="s">
        <v>1030</v>
      </c>
    </row>
    <row r="61" spans="1:2">
      <c r="A61" s="117" t="s">
        <v>584</v>
      </c>
      <c r="B61" s="118" t="s">
        <v>585</v>
      </c>
    </row>
    <row r="62" spans="1:2">
      <c r="A62" s="110" t="s">
        <v>592</v>
      </c>
      <c r="B62" s="111" t="s">
        <v>593</v>
      </c>
    </row>
    <row r="63" spans="1:2">
      <c r="A63" s="107" t="s">
        <v>598</v>
      </c>
    </row>
    <row r="64" spans="1:2">
      <c r="A64" s="107" t="s">
        <v>600</v>
      </c>
    </row>
    <row r="65" spans="1:2">
      <c r="A65" s="107" t="s">
        <v>601</v>
      </c>
    </row>
    <row r="66" spans="1:2">
      <c r="A66" s="11" t="s">
        <v>602</v>
      </c>
      <c r="B66" s="4" t="s">
        <v>603</v>
      </c>
    </row>
    <row r="67" spans="1:2">
      <c r="A67" s="12" t="s">
        <v>604</v>
      </c>
      <c r="B67" s="108" t="s">
        <v>605</v>
      </c>
    </row>
    <row r="68" spans="1:2">
      <c r="A68" s="11" t="s">
        <v>608</v>
      </c>
      <c r="B68" s="4" t="s">
        <v>609</v>
      </c>
    </row>
    <row r="69" spans="1:2">
      <c r="A69" s="12" t="s">
        <v>610</v>
      </c>
      <c r="B69" s="108" t="s">
        <v>605</v>
      </c>
    </row>
    <row r="70" spans="1:2">
      <c r="A70" s="11" t="s">
        <v>613</v>
      </c>
      <c r="B70" s="4" t="s">
        <v>614</v>
      </c>
    </row>
    <row r="71" spans="1:2">
      <c r="A71" s="11" t="s">
        <v>617</v>
      </c>
      <c r="B71" s="108" t="s">
        <v>614</v>
      </c>
    </row>
    <row r="72" spans="1:2">
      <c r="A72" s="11" t="s">
        <v>620</v>
      </c>
      <c r="B72" s="4" t="s">
        <v>609</v>
      </c>
    </row>
    <row r="73" spans="1:2">
      <c r="A73" s="11" t="s">
        <v>621</v>
      </c>
      <c r="B73" s="108" t="s">
        <v>603</v>
      </c>
    </row>
    <row r="74" spans="1:2">
      <c r="A74" s="11" t="s">
        <v>622</v>
      </c>
      <c r="B74" s="4" t="s">
        <v>605</v>
      </c>
    </row>
    <row r="75" spans="1:2">
      <c r="A75" s="11" t="s">
        <v>625</v>
      </c>
      <c r="B75" s="108" t="s">
        <v>614</v>
      </c>
    </row>
    <row r="76" spans="1:2">
      <c r="A76" s="11" t="s">
        <v>628</v>
      </c>
      <c r="B76" s="4" t="s">
        <v>605</v>
      </c>
    </row>
    <row r="77" spans="1:2">
      <c r="A77" s="11" t="s">
        <v>631</v>
      </c>
      <c r="B77" s="108" t="s">
        <v>614</v>
      </c>
    </row>
    <row r="78" spans="1:2">
      <c r="A78" s="11" t="s">
        <v>634</v>
      </c>
      <c r="B78" s="4" t="s">
        <v>609</v>
      </c>
    </row>
    <row r="79" spans="1:2">
      <c r="A79" s="11" t="s">
        <v>635</v>
      </c>
      <c r="B79" s="108" t="s">
        <v>609</v>
      </c>
    </row>
    <row r="80" spans="1:2">
      <c r="A80" s="11" t="s">
        <v>636</v>
      </c>
      <c r="B80" s="4" t="s">
        <v>603</v>
      </c>
    </row>
    <row r="81" spans="1:2">
      <c r="A81" s="11" t="s">
        <v>637</v>
      </c>
      <c r="B81" s="108" t="s">
        <v>605</v>
      </c>
    </row>
    <row r="82" spans="1:2">
      <c r="A82" s="11" t="s">
        <v>640</v>
      </c>
      <c r="B82" s="4" t="s">
        <v>609</v>
      </c>
    </row>
    <row r="83" spans="1:2">
      <c r="A83" s="11" t="s">
        <v>641</v>
      </c>
      <c r="B83" s="108" t="s">
        <v>614</v>
      </c>
    </row>
    <row r="84" spans="1:2">
      <c r="A84" s="11" t="s">
        <v>644</v>
      </c>
      <c r="B84" s="4" t="s">
        <v>609</v>
      </c>
    </row>
    <row r="85" spans="1:2">
      <c r="A85" s="11" t="s">
        <v>645</v>
      </c>
      <c r="B85" s="108" t="s">
        <v>605</v>
      </c>
    </row>
    <row r="86" spans="1:2">
      <c r="A86" s="11" t="s">
        <v>648</v>
      </c>
      <c r="B86" s="4" t="s">
        <v>614</v>
      </c>
    </row>
    <row r="87" spans="1:2">
      <c r="A87" s="107" t="s">
        <v>651</v>
      </c>
      <c r="B87" s="108" t="s">
        <v>652</v>
      </c>
    </row>
    <row r="88" spans="1:2">
      <c r="A88" s="11" t="s">
        <v>653</v>
      </c>
      <c r="B88" s="4" t="s">
        <v>605</v>
      </c>
    </row>
    <row r="89" spans="1:2">
      <c r="A89" s="107" t="s">
        <v>656</v>
      </c>
      <c r="B89" s="108" t="s">
        <v>605</v>
      </c>
    </row>
    <row r="90" spans="1:2">
      <c r="A90" s="11" t="s">
        <v>659</v>
      </c>
      <c r="B90" s="4" t="s">
        <v>614</v>
      </c>
    </row>
    <row r="91" spans="1:2">
      <c r="A91" s="107" t="s">
        <v>660</v>
      </c>
      <c r="B91" s="108" t="s">
        <v>614</v>
      </c>
    </row>
    <row r="92" spans="1:2">
      <c r="A92" s="11" t="s">
        <v>661</v>
      </c>
      <c r="B92" s="4" t="s">
        <v>609</v>
      </c>
    </row>
    <row r="93" spans="1:2">
      <c r="A93" s="107" t="s">
        <v>662</v>
      </c>
      <c r="B93" s="108" t="s">
        <v>609</v>
      </c>
    </row>
    <row r="94" spans="1:2">
      <c r="A94" s="11" t="s">
        <v>663</v>
      </c>
      <c r="B94" s="4" t="s">
        <v>652</v>
      </c>
    </row>
    <row r="95" spans="1:2">
      <c r="A95" s="107" t="s">
        <v>664</v>
      </c>
      <c r="B95" s="108" t="s">
        <v>605</v>
      </c>
    </row>
    <row r="96" spans="1:2">
      <c r="A96" s="11" t="s">
        <v>667</v>
      </c>
      <c r="B96" s="4" t="s">
        <v>614</v>
      </c>
    </row>
    <row r="97" spans="1:2">
      <c r="A97" s="107" t="s">
        <v>668</v>
      </c>
      <c r="B97" s="108" t="s">
        <v>605</v>
      </c>
    </row>
    <row r="98" spans="1:2">
      <c r="A98" s="11" t="s">
        <v>671</v>
      </c>
      <c r="B98" s="4" t="s">
        <v>614</v>
      </c>
    </row>
    <row r="99" spans="1:2">
      <c r="A99" s="107" t="s">
        <v>672</v>
      </c>
      <c r="B99" s="108" t="s">
        <v>609</v>
      </c>
    </row>
    <row r="100" spans="1:2">
      <c r="A100" s="11" t="s">
        <v>674</v>
      </c>
      <c r="B100" s="4" t="s">
        <v>609</v>
      </c>
    </row>
    <row r="101" spans="1:2">
      <c r="A101" s="107" t="s">
        <v>676</v>
      </c>
      <c r="B101" s="108" t="s">
        <v>652</v>
      </c>
    </row>
    <row r="102" spans="1:2">
      <c r="A102" s="11" t="s">
        <v>678</v>
      </c>
      <c r="B102" s="4" t="s">
        <v>605</v>
      </c>
    </row>
    <row r="103" spans="1:2">
      <c r="A103" s="107" t="s">
        <v>681</v>
      </c>
      <c r="B103" s="108" t="s">
        <v>614</v>
      </c>
    </row>
    <row r="104" spans="1:2">
      <c r="A104" s="11" t="s">
        <v>683</v>
      </c>
      <c r="B104" s="4" t="s">
        <v>605</v>
      </c>
    </row>
    <row r="105" spans="1:2">
      <c r="A105" s="107" t="s">
        <v>686</v>
      </c>
      <c r="B105" s="108" t="s">
        <v>609</v>
      </c>
    </row>
    <row r="106" spans="1:2">
      <c r="A106" s="11" t="s">
        <v>687</v>
      </c>
      <c r="B106" s="4" t="s">
        <v>614</v>
      </c>
    </row>
    <row r="107" spans="1:2">
      <c r="A107" s="107" t="s">
        <v>688</v>
      </c>
      <c r="B107" s="108" t="s">
        <v>609</v>
      </c>
    </row>
    <row r="111" spans="1:2">
      <c r="A111" s="11" t="s">
        <v>746</v>
      </c>
    </row>
    <row r="112" spans="1:2">
      <c r="A112" s="107" t="s">
        <v>748</v>
      </c>
    </row>
    <row r="113" spans="1:2">
      <c r="A113" s="11" t="s">
        <v>748</v>
      </c>
    </row>
    <row r="114" spans="1:2">
      <c r="A114" s="107" t="s">
        <v>748</v>
      </c>
    </row>
    <row r="115" spans="1:2">
      <c r="A115" s="11" t="s">
        <v>748</v>
      </c>
    </row>
    <row r="116" spans="1:2">
      <c r="A116" s="11" t="s">
        <v>1031</v>
      </c>
    </row>
    <row r="117" spans="1:2">
      <c r="A117" s="11" t="s">
        <v>1032</v>
      </c>
    </row>
    <row r="119" spans="1:2">
      <c r="A119" s="107" t="s">
        <v>478</v>
      </c>
      <c r="B119" s="4" t="s">
        <v>479</v>
      </c>
    </row>
    <row r="120" spans="1:2">
      <c r="A120" s="107" t="s">
        <v>480</v>
      </c>
      <c r="B120" s="108" t="s">
        <v>479</v>
      </c>
    </row>
    <row r="121" spans="1:2">
      <c r="A121" s="107" t="s">
        <v>481</v>
      </c>
      <c r="B121" s="4" t="s">
        <v>479</v>
      </c>
    </row>
    <row r="122" spans="1:2">
      <c r="A122" s="107" t="s">
        <v>482</v>
      </c>
      <c r="B122" s="108" t="s">
        <v>479</v>
      </c>
    </row>
    <row r="123" spans="1:2">
      <c r="A123" s="130" t="s">
        <v>1033</v>
      </c>
    </row>
    <row r="124" spans="1:2">
      <c r="A124" s="130" t="s">
        <v>1034</v>
      </c>
    </row>
    <row r="125" spans="1:2">
      <c r="A125" s="107" t="s">
        <v>721</v>
      </c>
      <c r="B125" s="108" t="s">
        <v>722</v>
      </c>
    </row>
    <row r="126" spans="1:2">
      <c r="A126" s="11" t="s">
        <v>724</v>
      </c>
      <c r="B126" s="124" t="s">
        <v>1035</v>
      </c>
    </row>
    <row r="127" spans="1:2">
      <c r="A127" s="107" t="s">
        <v>726</v>
      </c>
      <c r="B127" s="124" t="s">
        <v>1035</v>
      </c>
    </row>
    <row r="128" spans="1:2">
      <c r="A128" s="11" t="s">
        <v>728</v>
      </c>
      <c r="B128" s="124" t="s">
        <v>1035</v>
      </c>
    </row>
    <row r="129" spans="1:2">
      <c r="A129" s="11" t="s">
        <v>729</v>
      </c>
      <c r="B129" s="124" t="s">
        <v>1035</v>
      </c>
    </row>
    <row r="130" spans="1:2">
      <c r="A130" s="11" t="s">
        <v>730</v>
      </c>
      <c r="B130" s="124" t="s">
        <v>1035</v>
      </c>
    </row>
    <row r="131" spans="1:2">
      <c r="A131" s="11" t="s">
        <v>732</v>
      </c>
      <c r="B131" s="124" t="s">
        <v>1035</v>
      </c>
    </row>
    <row r="132" spans="1:2">
      <c r="A132" s="11" t="s">
        <v>733</v>
      </c>
      <c r="B132" s="124" t="s">
        <v>1035</v>
      </c>
    </row>
    <row r="133" spans="1:2">
      <c r="A133" s="11" t="s">
        <v>734</v>
      </c>
      <c r="B133" s="124" t="s">
        <v>1035</v>
      </c>
    </row>
    <row r="135" spans="1:2">
      <c r="A135" s="11" t="s">
        <v>519</v>
      </c>
    </row>
    <row r="136" spans="1:2">
      <c r="A136" s="107" t="s">
        <v>522</v>
      </c>
    </row>
    <row r="137" spans="1:2">
      <c r="A137" s="11" t="s">
        <v>523</v>
      </c>
    </row>
    <row r="138" spans="1:2">
      <c r="A138" s="107" t="s">
        <v>524</v>
      </c>
    </row>
    <row r="139" spans="1:2">
      <c r="A139" s="11" t="s">
        <v>525</v>
      </c>
    </row>
    <row r="140" spans="1:2">
      <c r="A140" s="107" t="s">
        <v>527</v>
      </c>
    </row>
    <row r="141" spans="1:2">
      <c r="A141" s="11" t="s">
        <v>528</v>
      </c>
    </row>
    <row r="142" spans="1:2">
      <c r="A142" s="107" t="s">
        <v>529</v>
      </c>
    </row>
    <row r="143" spans="1:2">
      <c r="A143" s="11" t="s">
        <v>530</v>
      </c>
    </row>
    <row r="144" spans="1:2">
      <c r="A144" s="107" t="s">
        <v>532</v>
      </c>
    </row>
    <row r="145" spans="1:2">
      <c r="A145" s="11" t="s">
        <v>533</v>
      </c>
    </row>
    <row r="146" spans="1:2">
      <c r="A146" s="107" t="s">
        <v>534</v>
      </c>
    </row>
    <row r="147" spans="1:2">
      <c r="A147" s="11" t="s">
        <v>1036</v>
      </c>
      <c r="B147" s="4" t="s">
        <v>1037</v>
      </c>
    </row>
    <row r="148" spans="1:2">
      <c r="A148" s="11" t="s">
        <v>1038</v>
      </c>
    </row>
    <row r="149" spans="1:2">
      <c r="A149" s="11" t="s">
        <v>1039</v>
      </c>
    </row>
    <row r="150" spans="1:2">
      <c r="A150" s="11" t="s">
        <v>1040</v>
      </c>
    </row>
    <row r="151" spans="1:2">
      <c r="A151" s="201"/>
    </row>
    <row r="153" spans="1:2">
      <c r="A153" s="130" t="s">
        <v>1041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A941-ACFE-45EC-B305-5FBC6B5FB973}">
  <dimension ref="A1:AS258"/>
  <sheetViews>
    <sheetView topLeftCell="A244" workbookViewId="0">
      <selection activeCell="AE263" sqref="AE263"/>
    </sheetView>
  </sheetViews>
  <sheetFormatPr defaultRowHeight="14.45"/>
  <cols>
    <col min="1" max="1" width="17.42578125" style="4" bestFit="1" customWidth="1"/>
    <col min="2" max="2" width="34" style="11" customWidth="1"/>
    <col min="3" max="3" width="176.42578125" style="4" hidden="1" customWidth="1"/>
    <col min="4" max="4" width="19.5703125" style="4" hidden="1" customWidth="1"/>
    <col min="5" max="5" width="13.5703125" style="4" hidden="1" customWidth="1"/>
    <col min="6" max="6" width="11.42578125" style="4" hidden="1" customWidth="1"/>
    <col min="7" max="7" width="14" style="4" hidden="1" customWidth="1"/>
    <col min="8" max="8" width="16.42578125" style="4" hidden="1" customWidth="1"/>
    <col min="9" max="9" width="25.42578125" style="11" hidden="1" customWidth="1"/>
    <col min="10" max="10" width="16.42578125" style="11" hidden="1" customWidth="1"/>
    <col min="11" max="11" width="23.5703125" style="13" hidden="1" customWidth="1"/>
    <col min="12" max="12" width="29.42578125" style="13" hidden="1" customWidth="1"/>
    <col min="13" max="13" width="31.42578125" style="11" hidden="1" customWidth="1"/>
    <col min="14" max="14" width="27.5703125" style="13" customWidth="1"/>
    <col min="15" max="15" width="26.5703125" style="4" hidden="1" customWidth="1"/>
    <col min="16" max="16" width="21.5703125" style="4" hidden="1" customWidth="1"/>
    <col min="17" max="17" width="16.42578125" style="4" hidden="1" customWidth="1"/>
    <col min="18" max="18" width="23.5703125" style="4" hidden="1" customWidth="1"/>
    <col min="19" max="19" width="33" style="97" hidden="1" customWidth="1"/>
    <col min="20" max="23" width="33" style="72" hidden="1" customWidth="1"/>
    <col min="24" max="24" width="31.5703125" style="72" hidden="1" customWidth="1"/>
    <col min="25" max="25" width="34.42578125" style="72" hidden="1" customWidth="1"/>
    <col min="26" max="27" width="33.5703125" style="72" customWidth="1"/>
    <col min="28" max="28" width="32.42578125" style="72" hidden="1" customWidth="1"/>
    <col min="29" max="29" width="39.5703125" style="72" hidden="1" customWidth="1"/>
    <col min="30" max="30" width="31.42578125" style="11" customWidth="1"/>
  </cols>
  <sheetData>
    <row r="1" spans="1:30" ht="17.45">
      <c r="A1" s="80" t="s">
        <v>18</v>
      </c>
      <c r="B1" s="45" t="s">
        <v>19</v>
      </c>
      <c r="C1" s="44" t="s">
        <v>20</v>
      </c>
      <c r="D1" s="44" t="s">
        <v>21</v>
      </c>
      <c r="E1" s="46" t="s">
        <v>22</v>
      </c>
      <c r="F1" s="46" t="s">
        <v>23</v>
      </c>
      <c r="G1" s="46" t="s">
        <v>24</v>
      </c>
      <c r="H1" s="46" t="s">
        <v>25</v>
      </c>
      <c r="I1" s="45" t="s">
        <v>26</v>
      </c>
      <c r="J1" s="45" t="s">
        <v>27</v>
      </c>
      <c r="K1" s="47" t="s">
        <v>30</v>
      </c>
      <c r="L1" s="47" t="s">
        <v>31</v>
      </c>
      <c r="M1" s="45" t="s">
        <v>32</v>
      </c>
      <c r="N1" s="47" t="s">
        <v>33</v>
      </c>
      <c r="O1" s="44" t="s">
        <v>1042</v>
      </c>
      <c r="P1" s="75" t="s">
        <v>35</v>
      </c>
      <c r="Q1" s="75" t="s">
        <v>36</v>
      </c>
      <c r="R1" s="76" t="s">
        <v>37</v>
      </c>
      <c r="S1" s="79" t="s">
        <v>38</v>
      </c>
      <c r="T1" s="67" t="s">
        <v>40</v>
      </c>
      <c r="U1" s="67" t="s">
        <v>41</v>
      </c>
      <c r="V1" s="67" t="s">
        <v>42</v>
      </c>
      <c r="W1" s="67" t="s">
        <v>43</v>
      </c>
      <c r="X1" s="67" t="s">
        <v>44</v>
      </c>
      <c r="Y1" s="67" t="s">
        <v>45</v>
      </c>
      <c r="Z1" s="68" t="s">
        <v>47</v>
      </c>
      <c r="AA1" s="68" t="s">
        <v>48</v>
      </c>
      <c r="AB1" s="68" t="s">
        <v>1043</v>
      </c>
      <c r="AC1" s="85" t="s">
        <v>1044</v>
      </c>
      <c r="AD1" s="45" t="s">
        <v>32</v>
      </c>
    </row>
    <row r="2" spans="1:30">
      <c r="A2" s="81">
        <v>7</v>
      </c>
      <c r="B2" s="11" t="s">
        <v>55</v>
      </c>
      <c r="C2" s="4" t="s">
        <v>56</v>
      </c>
      <c r="I2" s="11" t="s">
        <v>57</v>
      </c>
      <c r="J2" s="43" t="s">
        <v>58</v>
      </c>
      <c r="K2" s="24"/>
      <c r="L2" s="24"/>
      <c r="M2" s="12"/>
      <c r="N2" s="13">
        <f>((12.0342-11.8868)/(10.8*11.2))*1000</f>
        <v>1.2185846560846652</v>
      </c>
      <c r="O2" s="11">
        <v>30.92</v>
      </c>
      <c r="P2" s="11"/>
      <c r="Q2" s="11"/>
      <c r="R2" s="7"/>
      <c r="S2" s="99"/>
      <c r="T2" s="69"/>
      <c r="U2" s="69"/>
      <c r="V2" s="69"/>
      <c r="W2" s="69"/>
      <c r="X2" s="70"/>
      <c r="Y2" s="71"/>
      <c r="Z2" s="71"/>
      <c r="AA2" s="71"/>
      <c r="AB2" s="71"/>
      <c r="AC2" s="86"/>
      <c r="AD2" s="12"/>
    </row>
    <row r="3" spans="1:30">
      <c r="A3" s="81">
        <v>7</v>
      </c>
      <c r="B3" s="11" t="s">
        <v>66</v>
      </c>
      <c r="C3" s="4" t="s">
        <v>56</v>
      </c>
      <c r="I3" s="11" t="s">
        <v>67</v>
      </c>
      <c r="J3" s="43" t="s">
        <v>58</v>
      </c>
      <c r="K3" s="24"/>
      <c r="L3" s="24"/>
      <c r="M3" s="12"/>
      <c r="N3" s="13">
        <f>((10.8768-10.7453)/(10.8*10.8))*1000</f>
        <v>1.1274005486968368</v>
      </c>
      <c r="O3" s="11"/>
      <c r="P3" s="11"/>
      <c r="Q3" s="11"/>
      <c r="R3" s="8"/>
      <c r="S3" s="100"/>
      <c r="X3" s="70"/>
      <c r="Y3" s="71"/>
      <c r="Z3" s="71"/>
      <c r="AA3" s="71"/>
      <c r="AB3" s="71"/>
      <c r="AC3" s="86"/>
      <c r="AD3" s="12"/>
    </row>
    <row r="4" spans="1:30">
      <c r="A4" s="81">
        <v>7</v>
      </c>
      <c r="B4" s="11" t="s">
        <v>68</v>
      </c>
      <c r="C4" s="4" t="s">
        <v>56</v>
      </c>
      <c r="I4" s="12"/>
      <c r="J4" s="11" t="s">
        <v>58</v>
      </c>
      <c r="K4" s="24"/>
      <c r="L4" s="24"/>
      <c r="M4" s="12"/>
      <c r="N4" s="13">
        <f>((11.2187-11.0689)/(11.1*10.7))*1000</f>
        <v>1.2612612612612684</v>
      </c>
      <c r="O4" s="11"/>
      <c r="P4" s="11"/>
      <c r="Q4" s="11"/>
      <c r="R4" s="8"/>
      <c r="S4" s="100"/>
      <c r="X4" s="70"/>
      <c r="Y4" s="71"/>
      <c r="Z4" s="71"/>
      <c r="AA4" s="71"/>
      <c r="AB4" s="71"/>
      <c r="AC4" s="86"/>
      <c r="AD4" s="12"/>
    </row>
    <row r="5" spans="1:30">
      <c r="A5" s="81">
        <v>8</v>
      </c>
      <c r="B5" s="11" t="s">
        <v>69</v>
      </c>
      <c r="C5" s="4" t="s">
        <v>70</v>
      </c>
      <c r="I5" s="11" t="s">
        <v>57</v>
      </c>
      <c r="J5" s="11" t="s">
        <v>58</v>
      </c>
      <c r="N5" s="13">
        <f>(11.068-10.9113)*1000/(10.8*10.9)</f>
        <v>1.3311247026843267</v>
      </c>
      <c r="O5" s="12"/>
      <c r="P5" s="12"/>
      <c r="Q5" s="12"/>
      <c r="R5" s="9"/>
      <c r="S5" s="100"/>
      <c r="T5" s="71"/>
      <c r="U5" s="71"/>
      <c r="V5" s="71"/>
      <c r="W5" s="71"/>
      <c r="Y5" s="71"/>
      <c r="Z5" s="71"/>
      <c r="AA5" s="71"/>
      <c r="AB5" s="71"/>
      <c r="AC5" s="86"/>
    </row>
    <row r="6" spans="1:30">
      <c r="A6" s="81">
        <v>8</v>
      </c>
      <c r="B6" s="11" t="s">
        <v>71</v>
      </c>
      <c r="C6" s="4" t="s">
        <v>72</v>
      </c>
      <c r="I6" s="11" t="s">
        <v>67</v>
      </c>
      <c r="J6" s="11" t="s">
        <v>58</v>
      </c>
      <c r="N6" s="13">
        <f>(11.0314-10.8788)*1000/(10.9*10.9)</f>
        <v>1.2844036697247674</v>
      </c>
      <c r="O6" s="12"/>
      <c r="P6" s="12"/>
      <c r="Q6" s="12"/>
      <c r="R6" s="9"/>
      <c r="S6" s="100"/>
      <c r="T6" s="71"/>
      <c r="U6" s="71"/>
      <c r="V6" s="71"/>
      <c r="W6" s="71"/>
      <c r="Y6" s="71"/>
      <c r="Z6" s="71"/>
      <c r="AA6" s="71"/>
      <c r="AB6" s="71"/>
      <c r="AC6" s="86"/>
    </row>
    <row r="7" spans="1:30">
      <c r="A7" s="81">
        <v>8</v>
      </c>
      <c r="B7" s="11" t="s">
        <v>73</v>
      </c>
      <c r="C7" s="4" t="s">
        <v>72</v>
      </c>
      <c r="J7" s="11" t="s">
        <v>58</v>
      </c>
      <c r="N7" s="13">
        <f>(11.1107-10.9113)*1000/(10.8*10.9)</f>
        <v>1.6938498131158586</v>
      </c>
      <c r="O7" s="12"/>
      <c r="P7" s="12"/>
      <c r="Q7" s="12"/>
      <c r="R7" s="9"/>
      <c r="S7" s="100"/>
      <c r="T7" s="71"/>
      <c r="U7" s="71"/>
      <c r="V7" s="71"/>
      <c r="W7" s="71"/>
      <c r="Y7" s="71"/>
      <c r="Z7" s="71"/>
      <c r="AA7" s="71"/>
      <c r="AB7" s="71"/>
      <c r="AC7" s="86"/>
    </row>
    <row r="8" spans="1:30">
      <c r="A8" s="81"/>
      <c r="B8" s="11" t="s">
        <v>74</v>
      </c>
      <c r="C8" s="4" t="s">
        <v>75</v>
      </c>
      <c r="O8" s="11"/>
      <c r="P8" s="11"/>
      <c r="Q8" s="11"/>
      <c r="R8" s="8"/>
      <c r="S8" s="100"/>
      <c r="Y8" s="71"/>
      <c r="Z8" s="71"/>
      <c r="AA8" s="71"/>
      <c r="AB8" s="71"/>
      <c r="AC8" s="86"/>
    </row>
    <row r="9" spans="1:30">
      <c r="A9" s="81"/>
      <c r="B9" s="11" t="s">
        <v>76</v>
      </c>
      <c r="C9" s="4" t="s">
        <v>77</v>
      </c>
      <c r="O9" s="11"/>
      <c r="P9" s="11"/>
      <c r="Q9" s="11"/>
      <c r="R9" s="8"/>
      <c r="S9" s="100"/>
      <c r="Y9" s="71"/>
      <c r="Z9" s="71"/>
      <c r="AA9" s="71"/>
      <c r="AB9" s="71"/>
      <c r="AC9" s="86"/>
    </row>
    <row r="10" spans="1:30">
      <c r="A10" s="81"/>
      <c r="O10" s="11"/>
      <c r="P10" s="11"/>
      <c r="Q10" s="11"/>
      <c r="R10" s="8"/>
      <c r="S10" s="100"/>
      <c r="Y10" s="71"/>
      <c r="Z10" s="71"/>
      <c r="AA10" s="71"/>
      <c r="AB10" s="71"/>
      <c r="AC10" s="86"/>
    </row>
    <row r="11" spans="1:30">
      <c r="A11" s="81"/>
      <c r="B11" s="11" t="s">
        <v>78</v>
      </c>
      <c r="C11" s="4" t="s">
        <v>79</v>
      </c>
      <c r="I11" s="11" t="s">
        <v>80</v>
      </c>
      <c r="O11" s="12"/>
      <c r="P11" s="12"/>
      <c r="Q11" s="12"/>
      <c r="R11" s="7"/>
      <c r="S11" s="99"/>
      <c r="T11" s="73"/>
      <c r="U11" s="73"/>
      <c r="V11" s="73"/>
      <c r="W11" s="73"/>
      <c r="Y11" s="71"/>
      <c r="Z11" s="71"/>
      <c r="AA11" s="71"/>
      <c r="AB11" s="71"/>
      <c r="AC11" s="86"/>
    </row>
    <row r="12" spans="1:30">
      <c r="A12" s="81"/>
      <c r="B12" s="11" t="s">
        <v>81</v>
      </c>
      <c r="C12" s="4" t="s">
        <v>82</v>
      </c>
      <c r="O12" s="11"/>
      <c r="P12" s="11"/>
      <c r="Q12" s="11"/>
      <c r="R12" s="8"/>
      <c r="S12" s="100"/>
      <c r="Y12" s="71"/>
      <c r="Z12" s="71"/>
      <c r="AA12" s="71"/>
      <c r="AB12" s="71"/>
      <c r="AC12" s="86"/>
    </row>
    <row r="13" spans="1:30">
      <c r="A13" s="82"/>
      <c r="B13" s="12"/>
      <c r="C13" s="5"/>
      <c r="D13" s="5"/>
      <c r="E13" s="5"/>
      <c r="F13" s="5"/>
      <c r="G13" s="5"/>
      <c r="H13" s="5"/>
      <c r="I13" s="12"/>
      <c r="J13" s="12"/>
      <c r="K13" s="24"/>
      <c r="L13" s="24"/>
      <c r="M13" s="12"/>
      <c r="N13" s="24"/>
      <c r="O13" s="12"/>
      <c r="P13" s="12"/>
      <c r="Q13" s="12"/>
      <c r="R13" s="10"/>
      <c r="S13" s="100"/>
      <c r="T13" s="70"/>
      <c r="U13" s="70"/>
      <c r="V13" s="70"/>
      <c r="W13" s="70"/>
      <c r="X13" s="70"/>
      <c r="Y13" s="71"/>
      <c r="Z13" s="71"/>
      <c r="AA13" s="71"/>
      <c r="AB13" s="71"/>
      <c r="AC13" s="86"/>
      <c r="AD13" s="12"/>
    </row>
    <row r="14" spans="1:30">
      <c r="A14" s="81"/>
      <c r="B14" s="11" t="s">
        <v>83</v>
      </c>
      <c r="C14" s="4" t="s">
        <v>84</v>
      </c>
      <c r="I14" s="11" t="s">
        <v>85</v>
      </c>
      <c r="J14" s="11" t="s">
        <v>58</v>
      </c>
      <c r="N14" s="13">
        <v>1.1040000000000001</v>
      </c>
      <c r="O14" s="11">
        <v>22.38</v>
      </c>
      <c r="P14" s="11"/>
      <c r="Q14" s="11"/>
      <c r="R14" s="8"/>
      <c r="S14" s="100"/>
      <c r="T14" s="70"/>
      <c r="U14" s="70"/>
      <c r="V14" s="70"/>
      <c r="W14" s="70"/>
      <c r="X14" s="70"/>
      <c r="Y14" s="71"/>
      <c r="Z14" s="71"/>
      <c r="AA14" s="71"/>
      <c r="AC14" s="87"/>
    </row>
    <row r="15" spans="1:30">
      <c r="A15" s="81"/>
      <c r="B15" s="11" t="s">
        <v>86</v>
      </c>
      <c r="C15" s="4" t="s">
        <v>87</v>
      </c>
      <c r="I15" s="11" t="s">
        <v>88</v>
      </c>
      <c r="J15" s="11" t="s">
        <v>58</v>
      </c>
      <c r="N15" s="13">
        <v>1.1200000000000001</v>
      </c>
      <c r="O15" s="11"/>
      <c r="P15" s="11"/>
      <c r="Q15" s="11"/>
      <c r="R15" s="8"/>
      <c r="S15" s="100"/>
      <c r="T15" s="70"/>
      <c r="U15" s="70"/>
      <c r="V15" s="70"/>
      <c r="W15" s="70"/>
      <c r="X15" s="70"/>
      <c r="Y15" s="71"/>
      <c r="Z15" s="71"/>
      <c r="AA15" s="71"/>
      <c r="AC15" s="87"/>
    </row>
    <row r="16" spans="1:30">
      <c r="A16" s="81"/>
      <c r="B16" s="11" t="s">
        <v>89</v>
      </c>
      <c r="C16" s="4" t="s">
        <v>90</v>
      </c>
      <c r="J16" s="11" t="s">
        <v>58</v>
      </c>
      <c r="O16" s="11"/>
      <c r="P16" s="11"/>
      <c r="Q16" s="11"/>
      <c r="R16" s="8"/>
      <c r="S16" s="100"/>
      <c r="T16" s="70"/>
      <c r="U16" s="70"/>
      <c r="V16" s="70"/>
      <c r="W16" s="70"/>
      <c r="X16" s="70"/>
      <c r="Y16" s="71"/>
      <c r="Z16" s="71"/>
      <c r="AA16" s="71"/>
      <c r="AC16" s="87"/>
    </row>
    <row r="17" spans="1:30">
      <c r="A17" s="81"/>
      <c r="O17" s="11"/>
      <c r="P17" s="11"/>
      <c r="Q17" s="11"/>
      <c r="R17" s="8"/>
      <c r="S17" s="100"/>
      <c r="T17" s="70"/>
      <c r="U17" s="70"/>
      <c r="V17" s="70"/>
      <c r="W17" s="70"/>
      <c r="AC17" s="87"/>
    </row>
    <row r="18" spans="1:30">
      <c r="A18" s="81">
        <v>11</v>
      </c>
      <c r="B18" s="11" t="s">
        <v>91</v>
      </c>
      <c r="C18" s="4" t="s">
        <v>92</v>
      </c>
      <c r="I18" s="11" t="s">
        <v>57</v>
      </c>
      <c r="J18" s="43" t="s">
        <v>93</v>
      </c>
      <c r="K18" s="13">
        <f>(44.37-44.05)*1000/(21.3*21.7)</f>
        <v>0.69232599900478198</v>
      </c>
      <c r="M18" s="13" t="s">
        <v>94</v>
      </c>
      <c r="N18" s="13">
        <f>((10.9046-10.7638)/(10.8*10.7))*1000</f>
        <v>1.2184146763586057</v>
      </c>
      <c r="O18" s="11"/>
      <c r="P18" s="11"/>
      <c r="Q18" s="11"/>
      <c r="R18" s="8"/>
      <c r="S18" s="100"/>
      <c r="AC18" s="87"/>
      <c r="AD18" s="13">
        <v>0.27600000000000002</v>
      </c>
    </row>
    <row r="19" spans="1:30">
      <c r="A19" s="81">
        <v>11</v>
      </c>
      <c r="B19" s="11" t="s">
        <v>95</v>
      </c>
      <c r="C19" s="4" t="s">
        <v>92</v>
      </c>
      <c r="I19" s="11" t="s">
        <v>67</v>
      </c>
      <c r="J19" s="11" t="s">
        <v>93</v>
      </c>
      <c r="M19" s="11" t="s">
        <v>96</v>
      </c>
      <c r="N19" s="13">
        <f>((10.9182-10.7677)/(10.7*10.7))*1000</f>
        <v>1.3145252860511922</v>
      </c>
      <c r="O19" s="11"/>
      <c r="P19" s="11"/>
      <c r="Q19" s="11"/>
      <c r="R19" s="8"/>
      <c r="S19" s="100"/>
      <c r="AC19" s="87"/>
      <c r="AD19" s="11">
        <v>0.26500000000000001</v>
      </c>
    </row>
    <row r="20" spans="1:30">
      <c r="A20" s="81">
        <v>9</v>
      </c>
      <c r="B20" s="11" t="s">
        <v>97</v>
      </c>
      <c r="C20" s="4" t="s">
        <v>92</v>
      </c>
      <c r="J20" s="11" t="s">
        <v>93</v>
      </c>
      <c r="M20" s="11" t="s">
        <v>98</v>
      </c>
      <c r="N20" s="13">
        <f>((10.6229-10.4672)/(10.6*10.7))*1000</f>
        <v>1.3727737612413995</v>
      </c>
      <c r="O20" s="11"/>
      <c r="P20" s="11"/>
      <c r="Q20" s="11"/>
      <c r="R20" s="8"/>
      <c r="S20" s="100"/>
      <c r="AC20" s="87"/>
      <c r="AD20" s="11">
        <v>0.26400000000000001</v>
      </c>
    </row>
    <row r="21" spans="1:30">
      <c r="A21" s="81"/>
      <c r="B21" s="11" t="s">
        <v>99</v>
      </c>
      <c r="C21" s="4" t="s">
        <v>100</v>
      </c>
      <c r="J21" s="11" t="s">
        <v>93</v>
      </c>
      <c r="O21" s="11"/>
      <c r="P21" s="11"/>
      <c r="Q21" s="11"/>
      <c r="R21" s="8"/>
      <c r="S21" s="100"/>
      <c r="AC21" s="87"/>
    </row>
    <row r="22" spans="1:30">
      <c r="A22" s="81">
        <v>11</v>
      </c>
      <c r="B22" s="11" t="s">
        <v>101</v>
      </c>
      <c r="C22" s="4" t="s">
        <v>102</v>
      </c>
      <c r="I22" s="11" t="s">
        <v>57</v>
      </c>
      <c r="J22" s="43" t="s">
        <v>103</v>
      </c>
      <c r="K22" s="13">
        <f>(43.94-43.23)*1000/(21.6*21.7)</f>
        <v>1.5147636115378069</v>
      </c>
      <c r="M22" s="11" t="s">
        <v>104</v>
      </c>
      <c r="N22" s="13">
        <f>(10.6684-10.5099)*1000/(10.7*10.8)</f>
        <v>1.3715818622360685</v>
      </c>
      <c r="O22" s="11"/>
      <c r="P22" s="11"/>
      <c r="Q22" s="11"/>
      <c r="R22" s="8"/>
      <c r="S22" s="100"/>
      <c r="AC22" s="87"/>
      <c r="AD22" s="11">
        <v>0.26200000000000001</v>
      </c>
    </row>
    <row r="23" spans="1:30">
      <c r="A23" s="81">
        <v>12</v>
      </c>
      <c r="B23" s="11" t="s">
        <v>105</v>
      </c>
      <c r="C23" s="4" t="s">
        <v>106</v>
      </c>
      <c r="J23" s="11" t="s">
        <v>103</v>
      </c>
      <c r="M23" s="11" t="s">
        <v>107</v>
      </c>
      <c r="N23" s="13">
        <f>(10.6497-10.4777)*1000/(10.7*10.7)</f>
        <v>1.5023146126299138</v>
      </c>
      <c r="O23" s="11"/>
      <c r="P23" s="11"/>
      <c r="Q23" s="11"/>
      <c r="R23" s="8"/>
      <c r="S23" s="100"/>
      <c r="AC23" s="87"/>
      <c r="AD23" s="11">
        <v>0.27800000000000002</v>
      </c>
    </row>
    <row r="24" spans="1:30">
      <c r="A24" s="81">
        <v>12</v>
      </c>
      <c r="B24" s="11" t="s">
        <v>108</v>
      </c>
      <c r="C24" s="4" t="s">
        <v>106</v>
      </c>
      <c r="J24" s="11" t="s">
        <v>103</v>
      </c>
      <c r="M24" s="11" t="s">
        <v>109</v>
      </c>
      <c r="N24" s="13">
        <f>(10.8753-10.6909)*1000/(10.8*10.8)</f>
        <v>1.5809327846364891</v>
      </c>
      <c r="O24" s="11"/>
      <c r="P24" s="11"/>
      <c r="Q24" s="11"/>
      <c r="R24" s="8"/>
      <c r="S24" s="100"/>
      <c r="AC24" s="87"/>
      <c r="AD24" s="11">
        <v>0.27300000000000002</v>
      </c>
    </row>
    <row r="25" spans="1:30">
      <c r="A25" s="81">
        <v>12</v>
      </c>
      <c r="B25" s="11" t="s">
        <v>110</v>
      </c>
      <c r="C25" s="4" t="s">
        <v>106</v>
      </c>
      <c r="J25" s="11" t="s">
        <v>103</v>
      </c>
      <c r="M25" s="11" t="s">
        <v>111</v>
      </c>
      <c r="N25" s="13">
        <f>(11.04-10.8534)*1000/(10.8*11)</f>
        <v>1.5707070707070583</v>
      </c>
      <c r="O25" s="11"/>
      <c r="P25" s="11"/>
      <c r="Q25" s="11"/>
      <c r="R25" s="8"/>
      <c r="S25" s="100"/>
      <c r="AC25" s="87"/>
      <c r="AD25" s="11">
        <v>0.27600000000000002</v>
      </c>
    </row>
    <row r="26" spans="1:30">
      <c r="A26" s="81"/>
      <c r="O26" s="11"/>
      <c r="P26" s="11"/>
      <c r="Q26" s="11"/>
      <c r="R26" s="8"/>
      <c r="S26" s="100"/>
      <c r="AC26" s="87"/>
    </row>
    <row r="27" spans="1:30">
      <c r="A27" s="81"/>
      <c r="B27" s="11" t="s">
        <v>112</v>
      </c>
      <c r="C27" s="4" t="s">
        <v>113</v>
      </c>
      <c r="I27" s="11" t="s">
        <v>114</v>
      </c>
      <c r="J27" s="11" t="s">
        <v>93</v>
      </c>
      <c r="K27" s="13">
        <f>(6.89-6.81)*1000/(7.5*10)</f>
        <v>1.0666666666666675</v>
      </c>
      <c r="N27" s="13">
        <f>(6.278-6.1977)*1000/(7.5*9)</f>
        <v>1.1896296296296203</v>
      </c>
      <c r="O27" s="11" t="s">
        <v>1045</v>
      </c>
      <c r="P27" s="4">
        <v>1.1499999999999999</v>
      </c>
      <c r="Q27" s="4">
        <v>233.1</v>
      </c>
      <c r="R27" s="29">
        <v>40.07</v>
      </c>
      <c r="S27" s="100">
        <v>20230307</v>
      </c>
      <c r="T27" s="72">
        <v>1.5</v>
      </c>
      <c r="V27" s="72">
        <v>234.70000000000002</v>
      </c>
      <c r="W27" s="72">
        <v>40.053333333333335</v>
      </c>
      <c r="X27" s="72">
        <v>1.53</v>
      </c>
      <c r="AC27" s="87"/>
    </row>
    <row r="28" spans="1:30">
      <c r="A28" s="81"/>
      <c r="O28" s="11"/>
      <c r="P28" s="4">
        <v>0.69899999999999995</v>
      </c>
      <c r="Q28" s="4">
        <v>240</v>
      </c>
      <c r="R28" s="29">
        <v>37.99</v>
      </c>
      <c r="S28" s="100">
        <v>20230317</v>
      </c>
      <c r="T28" s="72">
        <v>1.6</v>
      </c>
      <c r="U28" s="72">
        <v>1.94</v>
      </c>
      <c r="V28" s="72">
        <v>234.70000000000002</v>
      </c>
      <c r="W28" s="72">
        <v>40.053333333333335</v>
      </c>
      <c r="X28" s="72">
        <v>1.51</v>
      </c>
      <c r="Y28" s="72">
        <v>1.5</v>
      </c>
      <c r="AC28" s="87"/>
    </row>
    <row r="29" spans="1:30">
      <c r="A29" s="81"/>
      <c r="O29" s="11"/>
      <c r="P29" s="4">
        <v>1.1499999999999999</v>
      </c>
      <c r="Q29" s="4">
        <v>231</v>
      </c>
      <c r="R29" s="29">
        <v>42.1</v>
      </c>
      <c r="S29" s="100" t="s">
        <v>117</v>
      </c>
      <c r="T29" s="72">
        <v>1.7</v>
      </c>
      <c r="V29" s="72">
        <v>234.70000000000002</v>
      </c>
      <c r="W29" s="72">
        <v>40.053333333333335</v>
      </c>
      <c r="X29" s="72">
        <v>1.5</v>
      </c>
      <c r="AC29" s="87"/>
    </row>
    <row r="30" spans="1:30">
      <c r="A30" s="81"/>
      <c r="O30" s="11"/>
      <c r="P30" s="11"/>
      <c r="Q30" s="12">
        <f>AVERAGE(Q27:Q29)</f>
        <v>234.70000000000002</v>
      </c>
      <c r="R30" s="12">
        <f>AVERAGE(R27:R29)</f>
        <v>40.053333333333335</v>
      </c>
      <c r="S30" s="100" t="s">
        <v>119</v>
      </c>
      <c r="T30" s="72">
        <v>1.35</v>
      </c>
      <c r="V30" s="72">
        <v>234.70000000000002</v>
      </c>
      <c r="W30" s="72">
        <v>40.053333333333335</v>
      </c>
      <c r="X30" s="72">
        <v>1.52</v>
      </c>
      <c r="AC30" s="87"/>
    </row>
    <row r="31" spans="1:30">
      <c r="A31" s="81">
        <v>10</v>
      </c>
      <c r="B31" s="11" t="s">
        <v>121</v>
      </c>
      <c r="C31" s="4" t="s">
        <v>122</v>
      </c>
      <c r="I31" s="11" t="s">
        <v>114</v>
      </c>
      <c r="J31" s="11" t="s">
        <v>58</v>
      </c>
      <c r="K31" s="13">
        <f>(11.6974-11.4546)*1000/(11.5*11)</f>
        <v>1.9193675889328128</v>
      </c>
      <c r="M31" s="40" t="s">
        <v>123</v>
      </c>
      <c r="N31" s="13">
        <f>(11.8287-11.6974)*1000/(11.5*11)</f>
        <v>1.0379446640316168</v>
      </c>
      <c r="O31" s="11"/>
      <c r="P31" s="11"/>
      <c r="Q31" s="11"/>
      <c r="R31" s="8"/>
      <c r="S31" s="101"/>
      <c r="AC31" s="87"/>
      <c r="AD31" s="40">
        <v>0.27</v>
      </c>
    </row>
    <row r="32" spans="1:30">
      <c r="A32" s="81"/>
      <c r="O32" s="11"/>
      <c r="P32" s="11"/>
      <c r="Q32" s="11"/>
      <c r="R32" s="8"/>
      <c r="S32" s="101"/>
      <c r="AC32" s="87"/>
    </row>
    <row r="33" spans="1:30">
      <c r="A33" s="81"/>
      <c r="O33" s="11"/>
      <c r="P33" s="11"/>
      <c r="Q33" s="11"/>
      <c r="R33" s="8"/>
      <c r="S33" s="101"/>
      <c r="AC33" s="87"/>
    </row>
    <row r="34" spans="1:30">
      <c r="A34" s="81"/>
      <c r="B34" s="11" t="s">
        <v>124</v>
      </c>
      <c r="C34" s="4" t="s">
        <v>125</v>
      </c>
      <c r="I34" s="11" t="s">
        <v>114</v>
      </c>
      <c r="O34" s="11"/>
      <c r="P34" s="11"/>
      <c r="Q34" s="11"/>
      <c r="R34" s="8"/>
      <c r="S34" s="101"/>
      <c r="AC34" s="87"/>
    </row>
    <row r="35" spans="1:30">
      <c r="A35" s="81"/>
      <c r="B35" s="11" t="s">
        <v>126</v>
      </c>
      <c r="C35" s="4" t="s">
        <v>127</v>
      </c>
      <c r="I35" s="11" t="s">
        <v>114</v>
      </c>
      <c r="J35" s="11" t="s">
        <v>58</v>
      </c>
      <c r="K35" s="13">
        <v>1.02</v>
      </c>
      <c r="O35" s="11"/>
      <c r="P35" s="11"/>
      <c r="Q35" s="11"/>
      <c r="R35" s="8"/>
      <c r="S35" s="100"/>
      <c r="AC35" s="87"/>
    </row>
    <row r="36" spans="1:30">
      <c r="A36" s="81"/>
      <c r="O36" s="11"/>
      <c r="P36" s="11"/>
      <c r="Q36" s="11"/>
      <c r="R36" s="8"/>
      <c r="S36" s="100"/>
      <c r="AC36" s="87"/>
    </row>
    <row r="37" spans="1:30">
      <c r="A37" s="81"/>
      <c r="B37" s="11" t="s">
        <v>128</v>
      </c>
      <c r="C37" s="4" t="s">
        <v>129</v>
      </c>
      <c r="I37" s="11" t="s">
        <v>114</v>
      </c>
      <c r="J37" s="11" t="s">
        <v>58</v>
      </c>
      <c r="K37" s="13">
        <v>1</v>
      </c>
      <c r="R37" s="8"/>
      <c r="S37" s="100"/>
      <c r="AC37" s="87"/>
    </row>
    <row r="38" spans="1:30">
      <c r="A38" s="81"/>
      <c r="B38" s="19" t="s">
        <v>130</v>
      </c>
      <c r="C38" s="4" t="s">
        <v>131</v>
      </c>
      <c r="I38" s="11" t="s">
        <v>114</v>
      </c>
      <c r="K38" s="13">
        <f>(23.9813-23.9558)*1000/25</f>
        <v>1.0200000000000387</v>
      </c>
      <c r="N38" s="13">
        <v>1.49</v>
      </c>
      <c r="R38" s="8"/>
      <c r="S38" s="100"/>
      <c r="AC38" s="87"/>
    </row>
    <row r="39" spans="1:30">
      <c r="A39" s="81"/>
      <c r="R39" s="8"/>
      <c r="S39" s="100"/>
      <c r="AC39" s="87"/>
    </row>
    <row r="40" spans="1:30">
      <c r="A40" s="81"/>
      <c r="B40" s="11" t="s">
        <v>132</v>
      </c>
      <c r="C40" s="4" t="s">
        <v>133</v>
      </c>
      <c r="I40" s="11" t="s">
        <v>114</v>
      </c>
      <c r="J40" s="11" t="s">
        <v>134</v>
      </c>
      <c r="K40" s="13">
        <v>0.28999999999999998</v>
      </c>
      <c r="R40" s="8"/>
      <c r="S40" s="100"/>
      <c r="AC40" s="87"/>
    </row>
    <row r="41" spans="1:30">
      <c r="A41" s="81">
        <v>13</v>
      </c>
      <c r="B41" s="11" t="s">
        <v>135</v>
      </c>
      <c r="C41" s="4" t="s">
        <v>136</v>
      </c>
      <c r="I41" s="11" t="s">
        <v>137</v>
      </c>
      <c r="M41" s="40" t="s">
        <v>123</v>
      </c>
      <c r="N41" s="13">
        <f>((11.0505-10.8467)*1000)/(10.7*10.8)</f>
        <v>1.7635860159224588</v>
      </c>
      <c r="R41" s="8"/>
      <c r="S41" s="100"/>
      <c r="AC41" s="87"/>
      <c r="AD41" s="40">
        <v>0.27</v>
      </c>
    </row>
    <row r="42" spans="1:30">
      <c r="A42" s="81">
        <v>13</v>
      </c>
      <c r="B42" s="11" t="s">
        <v>138</v>
      </c>
      <c r="C42" s="4" t="s">
        <v>139</v>
      </c>
      <c r="M42" s="11" t="s">
        <v>109</v>
      </c>
      <c r="N42" s="13">
        <f>(10.8952-10.682)*1000/(10.8*10.7)</f>
        <v>1.8449290411907278</v>
      </c>
      <c r="R42" s="8"/>
      <c r="S42" s="100"/>
      <c r="AC42" s="87"/>
      <c r="AD42" s="11">
        <v>0.27300000000000002</v>
      </c>
    </row>
    <row r="43" spans="1:30">
      <c r="A43" s="81"/>
      <c r="B43" s="11" t="s">
        <v>140</v>
      </c>
      <c r="N43" s="13">
        <f>0.038*1000/25.5</f>
        <v>1.4901960784313726</v>
      </c>
      <c r="R43" s="8"/>
      <c r="S43" s="100"/>
      <c r="AC43" s="87"/>
    </row>
    <row r="44" spans="1:30">
      <c r="A44" s="81">
        <v>13</v>
      </c>
      <c r="B44" s="11" t="s">
        <v>141</v>
      </c>
      <c r="C44" s="4" t="s">
        <v>142</v>
      </c>
      <c r="N44" s="13">
        <f>(11.1796-10.968)*1000/(10.8*10.7)</f>
        <v>1.8310834198684725</v>
      </c>
      <c r="R44" s="8"/>
      <c r="S44" s="100"/>
      <c r="AC44" s="87"/>
    </row>
    <row r="45" spans="1:30">
      <c r="A45" s="81"/>
      <c r="B45" s="11" t="s">
        <v>143</v>
      </c>
      <c r="C45" s="4" t="s">
        <v>144</v>
      </c>
      <c r="N45" s="13">
        <f>(11.2764-11.0383)*1000/(10.8*10.8)</f>
        <v>2.0413237311385553</v>
      </c>
      <c r="R45" s="8"/>
      <c r="S45" s="100"/>
      <c r="AC45" s="87"/>
    </row>
    <row r="46" spans="1:30">
      <c r="A46" s="81"/>
      <c r="B46" s="11" t="s">
        <v>145</v>
      </c>
      <c r="C46" s="4" t="s">
        <v>146</v>
      </c>
      <c r="R46" s="8"/>
      <c r="S46" s="100"/>
      <c r="AC46" s="87"/>
    </row>
    <row r="47" spans="1:30">
      <c r="A47" s="81"/>
      <c r="R47" s="8"/>
      <c r="S47" s="100"/>
      <c r="AC47" s="87"/>
    </row>
    <row r="48" spans="1:30">
      <c r="A48" s="83"/>
      <c r="B48" s="19" t="s">
        <v>147</v>
      </c>
      <c r="C48" s="14" t="s">
        <v>148</v>
      </c>
      <c r="D48" s="14"/>
      <c r="E48" s="14"/>
      <c r="F48" s="14"/>
      <c r="G48" s="14"/>
      <c r="H48" s="14"/>
      <c r="I48" s="19" t="s">
        <v>114</v>
      </c>
      <c r="J48" s="19" t="s">
        <v>134</v>
      </c>
      <c r="K48" s="25">
        <v>0.23</v>
      </c>
      <c r="L48" s="25"/>
      <c r="M48" s="41" t="s">
        <v>149</v>
      </c>
      <c r="N48" s="25">
        <v>0.19</v>
      </c>
      <c r="O48" s="14"/>
      <c r="P48" s="14"/>
      <c r="Q48" s="14"/>
      <c r="R48" s="19"/>
      <c r="S48" s="100"/>
      <c r="AC48" s="87"/>
      <c r="AD48" s="41">
        <v>0.26900000000000002</v>
      </c>
    </row>
    <row r="49" spans="1:30">
      <c r="A49" s="83"/>
      <c r="B49" s="19"/>
      <c r="C49" s="14" t="s">
        <v>1046</v>
      </c>
      <c r="D49" s="14"/>
      <c r="E49" s="14"/>
      <c r="F49" s="14"/>
      <c r="G49" s="14"/>
      <c r="H49" s="14"/>
      <c r="I49" s="19"/>
      <c r="J49" s="19"/>
      <c r="K49" s="25"/>
      <c r="L49" s="25"/>
      <c r="M49" s="41"/>
      <c r="N49" s="25">
        <v>0.49</v>
      </c>
      <c r="O49" s="14"/>
      <c r="P49" s="14"/>
      <c r="Q49" s="14"/>
      <c r="R49" s="19"/>
      <c r="S49" s="100"/>
      <c r="AC49" s="87"/>
      <c r="AD49" s="41"/>
    </row>
    <row r="50" spans="1:30">
      <c r="A50" s="83"/>
      <c r="B50" s="19"/>
      <c r="C50" s="14" t="s">
        <v>1047</v>
      </c>
      <c r="D50" s="14"/>
      <c r="E50" s="14"/>
      <c r="F50" s="14"/>
      <c r="G50" s="14"/>
      <c r="H50" s="14"/>
      <c r="I50" s="19"/>
      <c r="J50" s="19"/>
      <c r="K50" s="25"/>
      <c r="L50" s="25"/>
      <c r="M50" s="19"/>
      <c r="N50" s="25">
        <v>2.8490000000000002</v>
      </c>
      <c r="O50" s="14"/>
      <c r="P50" s="14"/>
      <c r="Q50" s="14"/>
      <c r="R50" s="19"/>
      <c r="S50" s="100"/>
      <c r="AC50" s="87"/>
      <c r="AD50" s="19"/>
    </row>
    <row r="51" spans="1:30">
      <c r="A51" s="81"/>
      <c r="R51" s="8"/>
      <c r="S51" s="100"/>
      <c r="AC51" s="87"/>
    </row>
    <row r="52" spans="1:30">
      <c r="A52" s="81"/>
      <c r="B52" s="11" t="s">
        <v>152</v>
      </c>
      <c r="C52" s="4" t="s">
        <v>153</v>
      </c>
      <c r="I52" s="11" t="s">
        <v>114</v>
      </c>
      <c r="J52" s="11" t="s">
        <v>134</v>
      </c>
      <c r="P52" s="4">
        <v>0.92100000000000004</v>
      </c>
      <c r="Q52" s="4">
        <v>219.03</v>
      </c>
      <c r="R52" s="4">
        <v>36.67</v>
      </c>
      <c r="S52" s="100"/>
      <c r="AC52" s="87"/>
    </row>
    <row r="53" spans="1:30">
      <c r="A53" s="81"/>
      <c r="B53" s="11" t="s">
        <v>154</v>
      </c>
      <c r="C53" s="4" t="s">
        <v>155</v>
      </c>
      <c r="N53" s="13">
        <f>(0.6403-0.6314)*1000/(2.5*2.51)</f>
        <v>1.4183266932270948</v>
      </c>
      <c r="S53" s="100"/>
      <c r="AC53" s="87"/>
    </row>
    <row r="54" spans="1:30">
      <c r="A54" s="81"/>
      <c r="B54" s="11" t="s">
        <v>156</v>
      </c>
      <c r="C54" s="4" t="s">
        <v>155</v>
      </c>
      <c r="N54" s="13">
        <f>(0.6058-0.5958)*1000/(2.5*2.49)</f>
        <v>1.6064257028112463</v>
      </c>
      <c r="S54" s="100"/>
      <c r="AC54" s="87"/>
    </row>
    <row r="55" spans="1:30">
      <c r="A55" s="81"/>
      <c r="B55" s="11" t="s">
        <v>157</v>
      </c>
      <c r="C55" s="4" t="s">
        <v>155</v>
      </c>
      <c r="N55" s="13">
        <f>(0.6226-0.6153)*1000/(2.5*2.5)</f>
        <v>1.1680000000000135</v>
      </c>
      <c r="S55" s="100"/>
      <c r="AC55" s="87"/>
    </row>
    <row r="56" spans="1:30">
      <c r="A56" s="81"/>
      <c r="B56" s="11" t="s">
        <v>158</v>
      </c>
      <c r="C56" s="4" t="s">
        <v>155</v>
      </c>
      <c r="N56" s="13">
        <f>(0.6256-0.6151)*1000/(2.5*2.5)</f>
        <v>1.6800000000000102</v>
      </c>
      <c r="S56" s="100"/>
      <c r="AC56" s="87"/>
    </row>
    <row r="57" spans="1:30">
      <c r="A57" s="81"/>
      <c r="S57" s="100"/>
      <c r="AC57" s="87"/>
    </row>
    <row r="58" spans="1:30">
      <c r="A58" s="81"/>
      <c r="B58" s="11" t="s">
        <v>159</v>
      </c>
      <c r="C58" s="4" t="s">
        <v>160</v>
      </c>
      <c r="I58" s="11" t="s">
        <v>114</v>
      </c>
      <c r="J58" s="11" t="s">
        <v>134</v>
      </c>
      <c r="K58" s="13">
        <v>0</v>
      </c>
      <c r="L58" s="11">
        <v>3.1709999999999998</v>
      </c>
      <c r="S58" s="100"/>
      <c r="AC58" s="87"/>
    </row>
    <row r="59" spans="1:30">
      <c r="A59" s="81"/>
      <c r="B59" s="11" t="s">
        <v>161</v>
      </c>
      <c r="C59" s="4" t="s">
        <v>160</v>
      </c>
      <c r="I59" s="11" t="s">
        <v>114</v>
      </c>
      <c r="J59" s="11" t="s">
        <v>134</v>
      </c>
      <c r="L59" s="11"/>
      <c r="N59" s="13">
        <f>(4.6193-4.5368)*1000/(5*5.1)</f>
        <v>3.235294117647042</v>
      </c>
      <c r="S59" s="100"/>
      <c r="AC59" s="87"/>
    </row>
    <row r="60" spans="1:30">
      <c r="A60" s="81"/>
      <c r="L60" s="11"/>
      <c r="S60" s="100"/>
      <c r="AC60" s="87"/>
    </row>
    <row r="61" spans="1:30">
      <c r="A61" s="81"/>
      <c r="B61" s="11" t="s">
        <v>162</v>
      </c>
      <c r="C61" s="4" t="s">
        <v>163</v>
      </c>
      <c r="I61" s="11" t="s">
        <v>114</v>
      </c>
      <c r="J61" s="11" t="s">
        <v>134</v>
      </c>
      <c r="L61" s="11"/>
      <c r="S61" s="101"/>
      <c r="AC61" s="87"/>
    </row>
    <row r="62" spans="1:30">
      <c r="A62" s="81"/>
      <c r="B62" s="11" t="s">
        <v>164</v>
      </c>
      <c r="C62" s="4" t="s">
        <v>165</v>
      </c>
      <c r="K62" s="13">
        <f>(-2.2926+2.2812)*1000/(5*5.1)</f>
        <v>-0.44705882352941478</v>
      </c>
      <c r="L62" s="11">
        <v>5.657</v>
      </c>
      <c r="P62" s="4">
        <v>1.1559999999999999</v>
      </c>
      <c r="Q62" s="4">
        <v>227.39</v>
      </c>
      <c r="R62" s="4">
        <v>32.64</v>
      </c>
      <c r="S62" s="100"/>
      <c r="AC62" s="87"/>
    </row>
    <row r="63" spans="1:30">
      <c r="A63" s="81"/>
      <c r="B63" s="11" t="s">
        <v>166</v>
      </c>
      <c r="C63" s="4" t="s">
        <v>167</v>
      </c>
      <c r="K63" s="13">
        <f>(-2.3618+2.3593)*1000/25</f>
        <v>-9.9999999999997868E-2</v>
      </c>
      <c r="L63" s="11"/>
      <c r="N63" s="13">
        <f>(2.3855-2.3577)*1000/25</f>
        <v>1.1120000000000019</v>
      </c>
      <c r="S63" s="100">
        <v>20230504</v>
      </c>
      <c r="T63" s="74">
        <v>1.1599999999999999</v>
      </c>
      <c r="U63" s="74"/>
      <c r="V63" s="74"/>
      <c r="W63" s="74"/>
      <c r="X63" s="72">
        <v>1.53</v>
      </c>
      <c r="AC63" s="87"/>
    </row>
    <row r="64" spans="1:30">
      <c r="A64" s="81"/>
      <c r="B64" s="19" t="s">
        <v>169</v>
      </c>
      <c r="C64" s="4" t="s">
        <v>170</v>
      </c>
      <c r="K64" s="13">
        <f>(-2.3088+2.3032)*1000/(5.05*5)</f>
        <v>-0.22178217821783253</v>
      </c>
      <c r="L64" s="11">
        <v>5.8</v>
      </c>
      <c r="P64" s="4">
        <v>0.99299999999999999</v>
      </c>
      <c r="Q64" s="4">
        <v>214.38</v>
      </c>
      <c r="R64" s="4">
        <v>34.869999999999997</v>
      </c>
      <c r="S64" s="101"/>
      <c r="AC64" s="87"/>
    </row>
    <row r="65" spans="1:30">
      <c r="A65" s="81"/>
      <c r="B65" s="19"/>
      <c r="L65" s="11"/>
      <c r="P65" s="77"/>
      <c r="Q65" s="77"/>
      <c r="R65" s="78"/>
      <c r="S65" s="101"/>
      <c r="AC65" s="87"/>
    </row>
    <row r="66" spans="1:30">
      <c r="A66" s="81"/>
      <c r="B66" s="11" t="s">
        <v>171</v>
      </c>
      <c r="C66" s="4" t="s">
        <v>172</v>
      </c>
      <c r="I66" s="11" t="s">
        <v>114</v>
      </c>
      <c r="J66" s="11" t="s">
        <v>134</v>
      </c>
      <c r="L66" s="11"/>
      <c r="S66" s="100"/>
      <c r="AC66" s="87"/>
    </row>
    <row r="67" spans="1:30">
      <c r="A67" s="81"/>
      <c r="B67" s="11" t="s">
        <v>173</v>
      </c>
      <c r="C67" s="4" t="s">
        <v>174</v>
      </c>
      <c r="K67" s="13">
        <f>(2.2736-2.2857)*1000/(5*5.05)</f>
        <v>-0.47920792079207042</v>
      </c>
      <c r="L67" s="11">
        <v>3.6</v>
      </c>
      <c r="O67" s="11">
        <v>23.46</v>
      </c>
      <c r="P67" s="4">
        <v>1.4510000000000001</v>
      </c>
      <c r="Q67" s="4">
        <v>239.26</v>
      </c>
      <c r="R67" s="4">
        <v>35.75</v>
      </c>
      <c r="S67" s="100"/>
      <c r="AC67" s="87"/>
    </row>
    <row r="68" spans="1:30">
      <c r="A68" s="81"/>
      <c r="B68" s="11" t="s">
        <v>175</v>
      </c>
      <c r="C68" s="4" t="s">
        <v>176</v>
      </c>
      <c r="K68" s="13">
        <f>(2.3023-2.3134)*1000/(5*5)</f>
        <v>-0.44400000000001327</v>
      </c>
      <c r="L68" s="11">
        <v>4.1669999999999998</v>
      </c>
      <c r="P68" s="4">
        <v>1.2290000000000001</v>
      </c>
      <c r="Q68" s="4">
        <v>230.9</v>
      </c>
      <c r="R68" s="4">
        <v>35.24</v>
      </c>
      <c r="S68" s="100"/>
      <c r="AC68" s="87"/>
    </row>
    <row r="69" spans="1:30">
      <c r="A69" s="81"/>
      <c r="L69" s="11"/>
      <c r="S69" s="100"/>
      <c r="AC69" s="87"/>
    </row>
    <row r="70" spans="1:30">
      <c r="A70" s="81"/>
      <c r="B70" s="11" t="s">
        <v>177</v>
      </c>
      <c r="C70" s="4" t="s">
        <v>178</v>
      </c>
      <c r="I70" s="11" t="s">
        <v>114</v>
      </c>
      <c r="J70" s="11" t="s">
        <v>134</v>
      </c>
      <c r="K70" s="15">
        <f>(8.0168-7.9421)*1000/(11*8)</f>
        <v>0.84886363636363626</v>
      </c>
      <c r="L70" s="11"/>
      <c r="N70" s="13">
        <f>(8.1213-8.0169)*1000/(11*8)</f>
        <v>1.186363636363637</v>
      </c>
      <c r="S70" s="100">
        <v>20230525</v>
      </c>
      <c r="T70" s="72">
        <v>1.17</v>
      </c>
      <c r="U70" s="72">
        <v>1.45</v>
      </c>
      <c r="X70" s="72">
        <v>1.51</v>
      </c>
      <c r="Y70" s="72">
        <v>1.5</v>
      </c>
      <c r="Z70" s="72">
        <v>166.3</v>
      </c>
      <c r="AA70" s="72">
        <v>98.1</v>
      </c>
      <c r="AB70" s="72">
        <v>16.600000000000001</v>
      </c>
      <c r="AC70" s="87">
        <v>19</v>
      </c>
    </row>
    <row r="71" spans="1:30">
      <c r="A71" s="81"/>
      <c r="S71" s="100">
        <v>20230601</v>
      </c>
      <c r="T71" s="72">
        <v>1.45</v>
      </c>
      <c r="U71" s="72">
        <v>1.68</v>
      </c>
      <c r="X71" s="72">
        <v>1.51</v>
      </c>
      <c r="Y71" s="72">
        <v>1.51</v>
      </c>
      <c r="Z71" s="72">
        <v>160.4</v>
      </c>
      <c r="AA71" s="72">
        <v>96.8</v>
      </c>
      <c r="AB71" s="72">
        <v>14.7</v>
      </c>
      <c r="AC71" s="87">
        <v>10.5</v>
      </c>
    </row>
    <row r="72" spans="1:30">
      <c r="A72" s="81"/>
      <c r="L72" s="11"/>
      <c r="P72" s="77"/>
      <c r="Q72" s="77"/>
      <c r="R72" s="77"/>
      <c r="S72" s="100">
        <v>20230706</v>
      </c>
      <c r="T72" s="72">
        <v>1.26</v>
      </c>
      <c r="X72" s="72">
        <v>1.51</v>
      </c>
      <c r="AC72" s="87"/>
    </row>
    <row r="73" spans="1:30">
      <c r="A73" s="81"/>
      <c r="B73" s="11" t="s">
        <v>182</v>
      </c>
      <c r="C73" s="4" t="s">
        <v>183</v>
      </c>
      <c r="I73" s="11" t="s">
        <v>114</v>
      </c>
      <c r="J73" s="11" t="s">
        <v>134</v>
      </c>
      <c r="K73" s="13">
        <f>(63.7-63.9)*1000/(21.5*31)</f>
        <v>-0.30007501875468229</v>
      </c>
      <c r="L73" s="11"/>
      <c r="N73" s="13">
        <f>AVERAGE(N74:N77)</f>
        <v>1.0891509034435936</v>
      </c>
      <c r="S73" s="100" t="s">
        <v>184</v>
      </c>
      <c r="T73" s="72">
        <v>0.44</v>
      </c>
      <c r="U73" s="72">
        <v>0.8</v>
      </c>
      <c r="X73" s="72">
        <v>1.62</v>
      </c>
      <c r="Y73" s="72">
        <v>1.56</v>
      </c>
      <c r="Z73" s="72">
        <v>125.5</v>
      </c>
      <c r="AC73" s="87"/>
    </row>
    <row r="74" spans="1:30">
      <c r="A74" s="81">
        <v>16</v>
      </c>
      <c r="B74" s="11" t="s">
        <v>186</v>
      </c>
      <c r="C74" s="4" t="s">
        <v>187</v>
      </c>
      <c r="L74" s="11"/>
      <c r="M74" s="11" t="s">
        <v>188</v>
      </c>
      <c r="N74" s="13">
        <f>(11.5353-11.4062)*1000/(10.8*10.8)</f>
        <v>1.1068244170095964</v>
      </c>
      <c r="S74" s="101"/>
      <c r="AC74" s="87"/>
      <c r="AD74" s="11">
        <v>0.28000000000000003</v>
      </c>
    </row>
    <row r="75" spans="1:30">
      <c r="A75" s="83" t="s">
        <v>189</v>
      </c>
      <c r="B75" s="19" t="s">
        <v>190</v>
      </c>
      <c r="C75" s="14" t="s">
        <v>191</v>
      </c>
      <c r="D75" s="14"/>
      <c r="E75" s="14"/>
      <c r="F75" s="14"/>
      <c r="G75" s="14"/>
      <c r="H75" s="14"/>
      <c r="I75" s="19"/>
      <c r="J75" s="19"/>
      <c r="K75" s="25"/>
      <c r="L75" s="19"/>
      <c r="M75" s="19"/>
      <c r="N75" s="25">
        <f>(10.8664-10.7407)*1000/(10.7*10.8)</f>
        <v>1.087746625129804</v>
      </c>
      <c r="O75" s="14"/>
      <c r="S75" s="100"/>
      <c r="AC75" s="87"/>
      <c r="AD75" s="19"/>
    </row>
    <row r="76" spans="1:30">
      <c r="A76" s="81">
        <v>14</v>
      </c>
      <c r="B76" s="11" t="s">
        <v>192</v>
      </c>
      <c r="C76" s="4" t="s">
        <v>193</v>
      </c>
      <c r="L76" s="11"/>
      <c r="M76" s="11" t="s">
        <v>194</v>
      </c>
      <c r="N76" s="13">
        <f>(10.8521-10.7232)*1000/(10.85*10.8)</f>
        <v>1.1000170677590015</v>
      </c>
      <c r="S76" s="100"/>
      <c r="AC76" s="87"/>
      <c r="AD76" s="11">
        <v>0.28399999999999997</v>
      </c>
    </row>
    <row r="77" spans="1:30">
      <c r="A77" s="81">
        <v>14</v>
      </c>
      <c r="B77" s="11" t="s">
        <v>195</v>
      </c>
      <c r="C77" s="4" t="s">
        <v>196</v>
      </c>
      <c r="L77" s="11"/>
      <c r="M77" s="11" t="s">
        <v>197</v>
      </c>
      <c r="N77" s="13">
        <f>(11.5501-11.4268)*1000/(10.75*10.8)</f>
        <v>1.0620155038759724</v>
      </c>
      <c r="S77" s="100"/>
      <c r="AC77" s="87"/>
      <c r="AD77" s="11">
        <v>0.29499999999999998</v>
      </c>
    </row>
    <row r="78" spans="1:30">
      <c r="A78" s="81"/>
      <c r="L78" s="11"/>
      <c r="P78" s="18"/>
      <c r="S78" s="100"/>
      <c r="AC78" s="87"/>
    </row>
    <row r="79" spans="1:30">
      <c r="A79" s="81"/>
      <c r="L79" s="11"/>
      <c r="P79" s="18"/>
      <c r="S79" s="100"/>
      <c r="AC79" s="87"/>
    </row>
    <row r="80" spans="1:30">
      <c r="A80" s="81"/>
      <c r="B80" s="11" t="s">
        <v>198</v>
      </c>
      <c r="C80" s="4" t="s">
        <v>199</v>
      </c>
      <c r="I80" s="11" t="s">
        <v>114</v>
      </c>
      <c r="J80" s="11" t="s">
        <v>134</v>
      </c>
      <c r="K80" s="13">
        <f>(66.03-65.95)*1000/(21.5*32.6)</f>
        <v>0.11413896418889756</v>
      </c>
      <c r="L80" s="11"/>
      <c r="S80" s="100"/>
      <c r="AC80" s="87"/>
    </row>
    <row r="81" spans="1:30">
      <c r="A81" s="81"/>
      <c r="B81" s="11" t="s">
        <v>200</v>
      </c>
      <c r="C81" s="4" t="s">
        <v>201</v>
      </c>
      <c r="L81" s="11"/>
      <c r="M81" s="11" t="s">
        <v>202</v>
      </c>
      <c r="N81" s="13">
        <f>(11.4889-11.353)*1000/(10.8^2)</f>
        <v>1.1651234567901187</v>
      </c>
      <c r="P81" s="103">
        <v>1.343</v>
      </c>
      <c r="Q81" s="103">
        <v>202</v>
      </c>
      <c r="R81" s="104">
        <v>37.9</v>
      </c>
      <c r="S81" s="100">
        <v>20230831</v>
      </c>
      <c r="T81" s="72">
        <v>1.23</v>
      </c>
      <c r="U81" s="72">
        <v>1.68</v>
      </c>
      <c r="V81" s="72">
        <v>223</v>
      </c>
      <c r="W81" s="72">
        <v>31.78</v>
      </c>
      <c r="X81" s="72">
        <v>1.54</v>
      </c>
      <c r="Y81" s="72">
        <v>1.5</v>
      </c>
      <c r="Z81" s="72">
        <v>122.6</v>
      </c>
      <c r="AA81" s="72">
        <v>85</v>
      </c>
      <c r="AB81" s="72">
        <v>41.7</v>
      </c>
      <c r="AC81" s="87">
        <v>20.3</v>
      </c>
      <c r="AD81" s="11">
        <v>0.28499999999999998</v>
      </c>
    </row>
    <row r="82" spans="1:30">
      <c r="A82" s="81">
        <v>19</v>
      </c>
      <c r="B82" s="11" t="s">
        <v>204</v>
      </c>
      <c r="C82" s="4" t="s">
        <v>205</v>
      </c>
      <c r="E82" s="4" t="s">
        <v>206</v>
      </c>
      <c r="F82" s="4">
        <v>19</v>
      </c>
      <c r="G82" s="4">
        <v>3</v>
      </c>
      <c r="L82" s="11"/>
      <c r="M82" s="11" t="s">
        <v>207</v>
      </c>
      <c r="N82" s="13">
        <v>1.17</v>
      </c>
      <c r="P82" s="105">
        <v>1.35</v>
      </c>
      <c r="Q82" s="105">
        <v>328</v>
      </c>
      <c r="R82" s="105">
        <v>28.9</v>
      </c>
      <c r="S82" s="100"/>
      <c r="AC82" s="87"/>
      <c r="AD82" s="11">
        <v>0.26500000000000001</v>
      </c>
    </row>
    <row r="83" spans="1:30">
      <c r="A83" s="81">
        <v>15</v>
      </c>
      <c r="B83" s="11" t="s">
        <v>208</v>
      </c>
      <c r="C83" s="4" t="s">
        <v>209</v>
      </c>
      <c r="L83" s="11"/>
      <c r="M83" s="11" t="s">
        <v>210</v>
      </c>
      <c r="N83" s="13">
        <f>(11.552-11.3476)*1000/(10.8*10.85)</f>
        <v>1.744324970131419</v>
      </c>
      <c r="P83" s="105">
        <v>0.85</v>
      </c>
      <c r="Q83" s="105">
        <v>209.4</v>
      </c>
      <c r="R83" s="105">
        <v>45.1</v>
      </c>
      <c r="S83" s="101"/>
      <c r="AC83" s="87"/>
      <c r="AD83" s="11">
        <v>0.27200000000000002</v>
      </c>
    </row>
    <row r="84" spans="1:30">
      <c r="A84" s="81">
        <v>15</v>
      </c>
      <c r="B84" s="11" t="s">
        <v>211</v>
      </c>
      <c r="C84" s="4" t="s">
        <v>212</v>
      </c>
      <c r="L84" s="11"/>
      <c r="M84" s="11" t="s">
        <v>213</v>
      </c>
      <c r="N84" s="13">
        <f>(10.9575-10.814)*1000/(10.7*10.75)</f>
        <v>1.247554879374045</v>
      </c>
      <c r="P84" s="4">
        <v>1.08</v>
      </c>
      <c r="Q84" s="5">
        <v>223</v>
      </c>
      <c r="R84" s="5">
        <v>31.78</v>
      </c>
      <c r="S84" s="101"/>
      <c r="AC84" s="87"/>
      <c r="AD84" s="11">
        <v>0.26300000000000001</v>
      </c>
    </row>
    <row r="85" spans="1:30">
      <c r="A85" s="81"/>
      <c r="B85" s="11" t="s">
        <v>214</v>
      </c>
      <c r="L85" s="11">
        <v>4.6749999999999998</v>
      </c>
      <c r="P85" s="77"/>
      <c r="Q85" s="77"/>
      <c r="R85" s="78"/>
      <c r="S85" s="101"/>
      <c r="AC85" s="87"/>
    </row>
    <row r="86" spans="1:30">
      <c r="A86" s="81"/>
      <c r="B86" s="11" t="s">
        <v>215</v>
      </c>
      <c r="C86" s="4" t="s">
        <v>216</v>
      </c>
      <c r="L86" s="11"/>
      <c r="S86" s="101"/>
      <c r="AC86" s="87"/>
    </row>
    <row r="87" spans="1:30">
      <c r="A87" s="81"/>
      <c r="L87" s="11"/>
      <c r="S87" s="101"/>
      <c r="AC87" s="87"/>
    </row>
    <row r="88" spans="1:30">
      <c r="A88" s="81"/>
      <c r="B88" s="11" t="s">
        <v>217</v>
      </c>
      <c r="C88" s="4" t="s">
        <v>218</v>
      </c>
      <c r="I88" s="11" t="s">
        <v>219</v>
      </c>
      <c r="J88" s="11" t="s">
        <v>134</v>
      </c>
      <c r="K88" s="13">
        <f>(2.3082-2.3508)*1000/25</f>
        <v>-1.7040000000000077</v>
      </c>
      <c r="L88" s="11">
        <v>2.1709999999999998</v>
      </c>
      <c r="P88" s="4">
        <v>1.02</v>
      </c>
      <c r="Q88" s="4">
        <v>227.13</v>
      </c>
      <c r="R88" s="4">
        <v>32.29</v>
      </c>
      <c r="S88" s="101"/>
      <c r="AC88" s="87"/>
    </row>
    <row r="89" spans="1:30">
      <c r="A89" s="81"/>
      <c r="B89" s="11" t="s">
        <v>220</v>
      </c>
      <c r="C89" s="4" t="s">
        <v>221</v>
      </c>
      <c r="I89" s="11" t="s">
        <v>219</v>
      </c>
      <c r="K89" s="13">
        <f>(2.3034-2.3889)*1000/25</f>
        <v>-3.4200000000000053</v>
      </c>
      <c r="L89" s="11">
        <v>2.9569999999999999</v>
      </c>
      <c r="P89" s="4">
        <v>1.151</v>
      </c>
      <c r="Q89" s="4">
        <v>233.08</v>
      </c>
      <c r="R89" s="4">
        <v>35.200000000000003</v>
      </c>
      <c r="S89" s="101"/>
      <c r="AC89" s="87"/>
    </row>
    <row r="90" spans="1:30">
      <c r="A90" s="81"/>
      <c r="B90" s="11" t="s">
        <v>222</v>
      </c>
      <c r="C90" s="4" t="s">
        <v>223</v>
      </c>
      <c r="I90" s="11" t="s">
        <v>219</v>
      </c>
      <c r="K90" s="13">
        <f>(2.3223-2.3364)*1000/25</f>
        <v>-0.56400000000000006</v>
      </c>
      <c r="L90" s="11">
        <v>2.2290000000000001</v>
      </c>
      <c r="P90" s="4">
        <v>1.149</v>
      </c>
      <c r="Q90" s="4">
        <v>229.76</v>
      </c>
      <c r="R90" s="4">
        <v>35.78</v>
      </c>
      <c r="S90" s="101"/>
      <c r="AC90" s="87"/>
    </row>
    <row r="91" spans="1:30">
      <c r="A91" s="81"/>
      <c r="B91" s="11" t="s">
        <v>224</v>
      </c>
      <c r="C91" s="4" t="s">
        <v>223</v>
      </c>
      <c r="I91" s="11" t="s">
        <v>219</v>
      </c>
      <c r="K91" s="13">
        <f>(2.2952-2.3305)*1000/25</f>
        <v>-1.4119999999999953</v>
      </c>
      <c r="L91" s="11">
        <v>2.843</v>
      </c>
      <c r="P91" s="4">
        <v>1.19</v>
      </c>
      <c r="Q91" s="4">
        <v>224.13</v>
      </c>
      <c r="R91" s="4">
        <v>35.770000000000003</v>
      </c>
      <c r="S91" s="101"/>
      <c r="AC91" s="87"/>
    </row>
    <row r="92" spans="1:30">
      <c r="A92" s="81"/>
      <c r="B92" s="11" t="s">
        <v>225</v>
      </c>
      <c r="C92" s="4" t="s">
        <v>226</v>
      </c>
      <c r="I92" s="11" t="s">
        <v>219</v>
      </c>
      <c r="K92" s="13">
        <f>(2.2818-2.2924)*1000/25</f>
        <v>-0.42400000000000659</v>
      </c>
      <c r="L92" s="11">
        <v>3.18</v>
      </c>
      <c r="P92" s="4">
        <v>1.0309999999999999</v>
      </c>
      <c r="Q92" s="4">
        <v>218.76</v>
      </c>
      <c r="R92" s="4">
        <v>36.18</v>
      </c>
      <c r="S92" s="101"/>
      <c r="AC92" s="87"/>
    </row>
    <row r="93" spans="1:30">
      <c r="A93" s="81"/>
      <c r="B93" s="11" t="s">
        <v>227</v>
      </c>
      <c r="C93" s="4" t="s">
        <v>228</v>
      </c>
      <c r="I93" s="11" t="s">
        <v>219</v>
      </c>
      <c r="K93" s="13">
        <f>(2.3011-2.3243)*1000/25</f>
        <v>-0.92800000000000438</v>
      </c>
      <c r="L93" s="11">
        <v>4.3710000000000004</v>
      </c>
      <c r="S93" s="101"/>
      <c r="AC93" s="87"/>
    </row>
    <row r="94" spans="1:30">
      <c r="A94" s="81"/>
      <c r="L94" s="11"/>
      <c r="S94" s="101"/>
      <c r="AC94" s="87"/>
    </row>
    <row r="95" spans="1:30">
      <c r="A95" s="81"/>
      <c r="B95" s="11" t="s">
        <v>229</v>
      </c>
      <c r="C95" s="4" t="s">
        <v>230</v>
      </c>
      <c r="I95" s="11" t="s">
        <v>114</v>
      </c>
      <c r="J95" s="11" t="s">
        <v>134</v>
      </c>
      <c r="K95" s="13">
        <f>(63.88-63.16)*1000/(31.6*21.5)</f>
        <v>1.0597586105387193</v>
      </c>
      <c r="L95" s="11"/>
      <c r="S95" s="101"/>
      <c r="AC95" s="87"/>
    </row>
    <row r="96" spans="1:30">
      <c r="A96" s="81">
        <v>15</v>
      </c>
      <c r="B96" s="11" t="s">
        <v>231</v>
      </c>
      <c r="C96" s="4" t="s">
        <v>232</v>
      </c>
      <c r="L96" s="11"/>
      <c r="M96" s="11" t="s">
        <v>233</v>
      </c>
      <c r="N96" s="13">
        <f>(10.825-10.6964)*1000/(10.75*10.8)</f>
        <v>1.1076658053402129</v>
      </c>
      <c r="S96" s="101"/>
      <c r="AC96" s="87"/>
      <c r="AD96" s="11">
        <v>0.26200000000000001</v>
      </c>
    </row>
    <row r="97" spans="1:30">
      <c r="A97" s="81"/>
      <c r="B97" s="11" t="s">
        <v>234</v>
      </c>
      <c r="C97" s="4" t="s">
        <v>235</v>
      </c>
      <c r="L97" s="11">
        <v>3.18</v>
      </c>
      <c r="P97" s="77">
        <v>1.5349999999999999</v>
      </c>
      <c r="Q97" s="77">
        <v>231.02</v>
      </c>
      <c r="R97" s="77">
        <v>36.229999999999997</v>
      </c>
      <c r="S97" s="101"/>
      <c r="AC97" s="87"/>
    </row>
    <row r="98" spans="1:30">
      <c r="A98" s="81">
        <v>16</v>
      </c>
      <c r="B98" s="11" t="s">
        <v>236</v>
      </c>
      <c r="C98" s="4" t="s">
        <v>237</v>
      </c>
      <c r="L98" s="11"/>
      <c r="M98" s="11" t="s">
        <v>238</v>
      </c>
      <c r="N98" s="13">
        <v>1.17</v>
      </c>
      <c r="S98" s="101"/>
      <c r="AC98" s="87"/>
      <c r="AD98" s="11">
        <v>0.253</v>
      </c>
    </row>
    <row r="99" spans="1:30">
      <c r="A99" s="81">
        <v>16</v>
      </c>
      <c r="B99" s="11" t="s">
        <v>239</v>
      </c>
      <c r="C99" s="4" t="s">
        <v>240</v>
      </c>
      <c r="L99" s="11"/>
      <c r="M99" s="11" t="s">
        <v>241</v>
      </c>
      <c r="N99" s="13">
        <v>1.17</v>
      </c>
      <c r="S99" s="101"/>
      <c r="AC99" s="87"/>
      <c r="AD99" s="11">
        <v>0.254</v>
      </c>
    </row>
    <row r="100" spans="1:30">
      <c r="A100" s="81"/>
      <c r="B100" s="11" t="s">
        <v>242</v>
      </c>
      <c r="C100" s="4" t="s">
        <v>235</v>
      </c>
      <c r="L100" s="11">
        <v>3</v>
      </c>
      <c r="P100" s="4">
        <v>1.419</v>
      </c>
      <c r="Q100" s="4">
        <v>230.71</v>
      </c>
      <c r="R100" s="4">
        <v>32.57</v>
      </c>
      <c r="S100" s="101"/>
      <c r="AC100" s="87"/>
    </row>
    <row r="101" spans="1:30">
      <c r="A101" s="81"/>
      <c r="B101" s="11" t="s">
        <v>243</v>
      </c>
      <c r="C101" s="4" t="s">
        <v>235</v>
      </c>
      <c r="L101" s="11">
        <v>2.5299999999999998</v>
      </c>
      <c r="S101" s="101"/>
      <c r="AC101" s="87"/>
    </row>
    <row r="102" spans="1:30">
      <c r="A102" s="81"/>
      <c r="L102" s="11"/>
      <c r="S102" s="101"/>
      <c r="AC102" s="87"/>
    </row>
    <row r="103" spans="1:30">
      <c r="A103" s="81"/>
      <c r="B103" s="11" t="s">
        <v>244</v>
      </c>
      <c r="C103" s="4" t="s">
        <v>245</v>
      </c>
      <c r="I103" s="11" t="s">
        <v>219</v>
      </c>
      <c r="J103" s="11" t="s">
        <v>134</v>
      </c>
      <c r="L103" s="11">
        <v>4.0599999999999996</v>
      </c>
      <c r="S103" s="101"/>
      <c r="AC103" s="87"/>
    </row>
    <row r="104" spans="1:30">
      <c r="A104" s="81"/>
      <c r="B104" s="11" t="s">
        <v>246</v>
      </c>
      <c r="C104" s="4" t="s">
        <v>247</v>
      </c>
      <c r="I104" s="11" t="s">
        <v>219</v>
      </c>
      <c r="L104" s="11">
        <v>2.96</v>
      </c>
      <c r="S104" s="101"/>
      <c r="AC104" s="87"/>
    </row>
    <row r="105" spans="1:30">
      <c r="A105" s="81"/>
      <c r="B105" s="11" t="s">
        <v>248</v>
      </c>
      <c r="C105" s="4" t="s">
        <v>249</v>
      </c>
      <c r="I105" s="11" t="s">
        <v>219</v>
      </c>
      <c r="L105" s="13" t="s">
        <v>1048</v>
      </c>
      <c r="S105" s="101"/>
      <c r="AC105" s="87"/>
    </row>
    <row r="106" spans="1:30">
      <c r="A106" s="81"/>
      <c r="B106" s="11" t="s">
        <v>250</v>
      </c>
      <c r="C106" s="4" t="s">
        <v>228</v>
      </c>
      <c r="I106" s="11" t="s">
        <v>219</v>
      </c>
      <c r="K106" s="13">
        <v>-0.58399999999999996</v>
      </c>
      <c r="L106" s="13">
        <v>4.6669999999999998</v>
      </c>
      <c r="P106" s="4">
        <v>0.94499999999999995</v>
      </c>
      <c r="Q106" s="4">
        <v>220.61</v>
      </c>
      <c r="R106" s="4">
        <v>37.39</v>
      </c>
      <c r="S106" s="101"/>
      <c r="AC106" s="87"/>
    </row>
    <row r="107" spans="1:30">
      <c r="A107" s="81"/>
      <c r="S107" s="101"/>
      <c r="AC107" s="87"/>
    </row>
    <row r="108" spans="1:30">
      <c r="A108" s="81"/>
      <c r="B108" s="11" t="s">
        <v>251</v>
      </c>
      <c r="C108" s="4" t="s">
        <v>252</v>
      </c>
      <c r="I108" s="11" t="s">
        <v>219</v>
      </c>
      <c r="J108" s="11" t="s">
        <v>134</v>
      </c>
      <c r="K108" s="13">
        <v>2.4028</v>
      </c>
      <c r="L108" s="13">
        <v>5.5</v>
      </c>
      <c r="P108" s="4">
        <v>0.92400000000000004</v>
      </c>
      <c r="Q108" s="4">
        <v>211.67</v>
      </c>
      <c r="R108" s="4">
        <v>35.71</v>
      </c>
      <c r="S108" s="101"/>
      <c r="AC108" s="87"/>
    </row>
    <row r="109" spans="1:30">
      <c r="A109" s="81"/>
      <c r="S109" s="101"/>
      <c r="AC109" s="87"/>
    </row>
    <row r="110" spans="1:30">
      <c r="A110" s="81"/>
      <c r="B110" s="11" t="s">
        <v>253</v>
      </c>
      <c r="C110" s="4" t="s">
        <v>254</v>
      </c>
      <c r="I110" s="11" t="s">
        <v>219</v>
      </c>
      <c r="J110" s="11" t="s">
        <v>134</v>
      </c>
      <c r="K110" s="13">
        <v>-0.2</v>
      </c>
      <c r="S110" s="101"/>
      <c r="AC110" s="87"/>
    </row>
    <row r="111" spans="1:30">
      <c r="A111" s="81"/>
      <c r="B111" s="11" t="s">
        <v>255</v>
      </c>
      <c r="C111" s="4" t="s">
        <v>256</v>
      </c>
      <c r="I111" s="11" t="s">
        <v>219</v>
      </c>
      <c r="K111" s="13">
        <v>-0.22</v>
      </c>
      <c r="S111" s="101"/>
      <c r="AC111" s="87"/>
    </row>
    <row r="112" spans="1:30">
      <c r="A112" s="81"/>
      <c r="B112" s="11" t="s">
        <v>257</v>
      </c>
      <c r="C112" s="4" t="s">
        <v>258</v>
      </c>
      <c r="I112" s="11" t="s">
        <v>219</v>
      </c>
      <c r="K112" s="13">
        <v>-0.28399999999999997</v>
      </c>
      <c r="S112" s="101"/>
      <c r="AC112" s="87"/>
    </row>
    <row r="113" spans="1:29">
      <c r="A113" s="81"/>
      <c r="B113" s="11" t="s">
        <v>259</v>
      </c>
      <c r="C113" s="4" t="s">
        <v>260</v>
      </c>
      <c r="I113" s="11" t="s">
        <v>219</v>
      </c>
      <c r="K113" s="13">
        <v>-0.34399999999999997</v>
      </c>
      <c r="S113" s="101"/>
      <c r="AC113" s="87"/>
    </row>
    <row r="114" spans="1:29">
      <c r="A114" s="81"/>
      <c r="S114" s="101"/>
      <c r="AC114" s="87"/>
    </row>
    <row r="115" spans="1:29">
      <c r="A115" s="81"/>
      <c r="B115" s="11" t="s">
        <v>261</v>
      </c>
      <c r="C115" s="4" t="s">
        <v>262</v>
      </c>
      <c r="I115" s="11" t="s">
        <v>219</v>
      </c>
      <c r="J115" s="11" t="s">
        <v>134</v>
      </c>
      <c r="K115" s="13">
        <v>-0.84599999999999997</v>
      </c>
      <c r="P115" s="4">
        <v>1.022</v>
      </c>
      <c r="Q115" s="4">
        <v>223.45</v>
      </c>
      <c r="R115" s="4">
        <v>35.869999999999997</v>
      </c>
      <c r="S115" s="101"/>
      <c r="AC115" s="87"/>
    </row>
    <row r="116" spans="1:29">
      <c r="A116" s="81"/>
      <c r="B116" s="11" t="s">
        <v>263</v>
      </c>
      <c r="C116" s="4" t="s">
        <v>262</v>
      </c>
      <c r="I116" s="11" t="s">
        <v>219</v>
      </c>
      <c r="K116" s="13">
        <v>-1.08</v>
      </c>
      <c r="L116" s="13">
        <v>6.55</v>
      </c>
      <c r="S116" s="101"/>
      <c r="AC116" s="87"/>
    </row>
    <row r="117" spans="1:29">
      <c r="A117" s="81"/>
      <c r="S117" s="101"/>
      <c r="AC117" s="87"/>
    </row>
    <row r="118" spans="1:29">
      <c r="A118" s="81"/>
      <c r="S118" s="101"/>
      <c r="AC118" s="87"/>
    </row>
    <row r="119" spans="1:29">
      <c r="A119" s="81"/>
      <c r="S119" s="101"/>
      <c r="AC119" s="87"/>
    </row>
    <row r="120" spans="1:29">
      <c r="A120" s="81"/>
      <c r="B120" s="11" t="s">
        <v>264</v>
      </c>
      <c r="C120" s="4" t="s">
        <v>265</v>
      </c>
      <c r="I120" s="11" t="s">
        <v>219</v>
      </c>
      <c r="J120" s="11" t="s">
        <v>134</v>
      </c>
      <c r="P120" s="4">
        <v>1.1160000000000001</v>
      </c>
      <c r="Q120" s="4">
        <v>217.87</v>
      </c>
      <c r="R120" s="4">
        <v>33.4</v>
      </c>
      <c r="S120" s="101"/>
      <c r="AC120" s="87"/>
    </row>
    <row r="121" spans="1:29">
      <c r="A121" s="81"/>
      <c r="B121" s="11" t="s">
        <v>266</v>
      </c>
      <c r="C121" s="4" t="s">
        <v>265</v>
      </c>
      <c r="I121" s="11" t="s">
        <v>219</v>
      </c>
      <c r="K121" s="13">
        <v>0.252</v>
      </c>
      <c r="L121" s="13">
        <v>9.3249999999999993</v>
      </c>
      <c r="P121" s="18">
        <v>1.18</v>
      </c>
      <c r="Q121" s="4">
        <v>221.46</v>
      </c>
      <c r="R121" s="4">
        <v>38.229999999999997</v>
      </c>
      <c r="S121" s="101"/>
      <c r="AC121" s="87"/>
    </row>
    <row r="122" spans="1:29">
      <c r="A122" s="81"/>
      <c r="S122" s="101"/>
      <c r="AC122" s="87"/>
    </row>
    <row r="123" spans="1:29">
      <c r="A123" s="81"/>
      <c r="S123" s="101"/>
      <c r="AC123" s="87"/>
    </row>
    <row r="124" spans="1:29">
      <c r="A124" s="81"/>
      <c r="B124" s="11" t="s">
        <v>267</v>
      </c>
      <c r="C124" s="4" t="s">
        <v>268</v>
      </c>
      <c r="I124" s="11" t="s">
        <v>219</v>
      </c>
      <c r="J124" s="11" t="s">
        <v>134</v>
      </c>
      <c r="K124" s="13">
        <v>-3.28</v>
      </c>
      <c r="L124" s="13">
        <v>3.964</v>
      </c>
      <c r="N124" s="13">
        <v>-1.3480000000000001</v>
      </c>
      <c r="P124" s="18">
        <v>1.2450000000000001</v>
      </c>
      <c r="Q124" s="4">
        <v>235.76</v>
      </c>
      <c r="R124" s="4">
        <v>35.71</v>
      </c>
      <c r="S124" s="101"/>
      <c r="AC124" s="87"/>
    </row>
    <row r="125" spans="1:29">
      <c r="A125" s="81"/>
      <c r="B125" s="11" t="s">
        <v>269</v>
      </c>
      <c r="C125" s="4" t="s">
        <v>270</v>
      </c>
      <c r="I125" s="11" t="s">
        <v>219</v>
      </c>
      <c r="J125" s="11" t="s">
        <v>134</v>
      </c>
      <c r="K125" s="13">
        <v>-5.84</v>
      </c>
      <c r="L125" s="13">
        <v>4.3890000000000002</v>
      </c>
      <c r="N125" s="13">
        <v>1.125</v>
      </c>
      <c r="P125" s="18">
        <v>1.2070000000000001</v>
      </c>
      <c r="Q125" s="4">
        <v>231.53</v>
      </c>
      <c r="R125" s="4">
        <v>35.96</v>
      </c>
      <c r="S125" s="101"/>
      <c r="AC125" s="87"/>
    </row>
    <row r="126" spans="1:29">
      <c r="A126" s="81"/>
      <c r="S126" s="101"/>
      <c r="AC126" s="87"/>
    </row>
    <row r="127" spans="1:29">
      <c r="A127" s="81"/>
      <c r="B127" s="11" t="s">
        <v>271</v>
      </c>
      <c r="C127" s="4" t="s">
        <v>272</v>
      </c>
      <c r="I127" s="11" t="s">
        <v>114</v>
      </c>
      <c r="J127" s="11" t="s">
        <v>134</v>
      </c>
      <c r="K127" s="13">
        <v>-1.35</v>
      </c>
      <c r="L127" s="13">
        <v>3.1120000000000001</v>
      </c>
      <c r="P127" s="4">
        <v>1.6870000000000001</v>
      </c>
      <c r="Q127" s="4">
        <v>228.27</v>
      </c>
      <c r="R127" s="4">
        <v>35.08</v>
      </c>
      <c r="S127" s="101"/>
      <c r="AC127" s="87"/>
    </row>
    <row r="128" spans="1:29">
      <c r="A128" s="81"/>
      <c r="B128" s="11" t="s">
        <v>273</v>
      </c>
      <c r="C128" s="4" t="s">
        <v>274</v>
      </c>
      <c r="I128" s="11" t="s">
        <v>114</v>
      </c>
      <c r="J128" s="11" t="s">
        <v>134</v>
      </c>
      <c r="S128" s="101"/>
      <c r="AC128" s="87"/>
    </row>
    <row r="129" spans="1:30">
      <c r="A129" s="81"/>
      <c r="S129" s="101"/>
      <c r="AC129" s="87"/>
    </row>
    <row r="130" spans="1:30">
      <c r="A130" s="81"/>
      <c r="B130" s="11" t="s">
        <v>275</v>
      </c>
      <c r="C130" s="4" t="s">
        <v>276</v>
      </c>
      <c r="I130" s="11" t="s">
        <v>114</v>
      </c>
      <c r="J130" s="11" t="s">
        <v>134</v>
      </c>
      <c r="K130" s="13" t="s">
        <v>277</v>
      </c>
      <c r="L130" s="13">
        <v>3.56</v>
      </c>
      <c r="P130" s="4">
        <v>1.6990000000000001</v>
      </c>
      <c r="Q130" s="4">
        <v>229.77</v>
      </c>
      <c r="R130" s="4">
        <v>34.42</v>
      </c>
      <c r="S130" s="101"/>
      <c r="AC130" s="87"/>
    </row>
    <row r="131" spans="1:30">
      <c r="A131" s="81"/>
      <c r="B131" s="11" t="s">
        <v>278</v>
      </c>
      <c r="C131" s="4" t="s">
        <v>279</v>
      </c>
      <c r="N131" s="13">
        <v>1.353</v>
      </c>
      <c r="S131" s="101"/>
      <c r="AC131" s="87"/>
    </row>
    <row r="132" spans="1:30">
      <c r="A132" s="81"/>
      <c r="B132" s="11" t="s">
        <v>280</v>
      </c>
      <c r="C132" s="4" t="s">
        <v>281</v>
      </c>
      <c r="S132" s="101"/>
      <c r="AC132" s="87"/>
    </row>
    <row r="133" spans="1:30">
      <c r="A133" s="81"/>
      <c r="B133" s="11" t="s">
        <v>282</v>
      </c>
      <c r="C133" s="4" t="s">
        <v>283</v>
      </c>
      <c r="N133" s="13">
        <v>1.08</v>
      </c>
      <c r="S133" s="101"/>
      <c r="AC133" s="87"/>
    </row>
    <row r="134" spans="1:30">
      <c r="A134" s="81"/>
      <c r="S134" s="101"/>
      <c r="AC134" s="87"/>
    </row>
    <row r="135" spans="1:30">
      <c r="A135" s="84"/>
      <c r="B135" s="8" t="s">
        <v>284</v>
      </c>
      <c r="C135" s="29" t="s">
        <v>285</v>
      </c>
      <c r="D135" s="29"/>
      <c r="E135" s="29"/>
      <c r="F135" s="29"/>
      <c r="G135" s="29"/>
      <c r="H135" s="29"/>
      <c r="I135" s="8"/>
      <c r="J135" s="11" t="s">
        <v>134</v>
      </c>
      <c r="K135" s="39"/>
      <c r="L135" s="39">
        <v>3.56</v>
      </c>
      <c r="M135" s="8"/>
      <c r="N135" s="39">
        <v>1.0884</v>
      </c>
      <c r="O135" s="29"/>
      <c r="P135" s="98">
        <v>1.6990000000000001</v>
      </c>
      <c r="Q135" s="106">
        <v>229.77</v>
      </c>
      <c r="R135" s="106">
        <v>34.42</v>
      </c>
      <c r="S135" s="100">
        <v>20230810</v>
      </c>
      <c r="T135" s="72">
        <v>0.99</v>
      </c>
      <c r="V135" s="72">
        <v>229.77</v>
      </c>
      <c r="W135" s="72">
        <v>34.42</v>
      </c>
      <c r="X135" s="72">
        <v>1.54</v>
      </c>
      <c r="AC135" s="87"/>
      <c r="AD135" s="8"/>
    </row>
    <row r="136" spans="1:30">
      <c r="A136" s="84"/>
      <c r="B136" s="8"/>
      <c r="C136" s="29"/>
      <c r="D136" s="29"/>
      <c r="E136" s="29"/>
      <c r="F136" s="29"/>
      <c r="G136" s="29"/>
      <c r="H136" s="29"/>
      <c r="I136" s="8"/>
      <c r="K136" s="39"/>
      <c r="L136" s="39"/>
      <c r="M136" s="8"/>
      <c r="N136" s="39"/>
      <c r="O136" s="29"/>
      <c r="P136" s="29"/>
      <c r="Q136" s="29"/>
      <c r="R136" s="29"/>
      <c r="S136" s="100">
        <v>20230817</v>
      </c>
      <c r="T136" s="72">
        <v>0.97</v>
      </c>
      <c r="V136" s="72">
        <v>229.77</v>
      </c>
      <c r="W136" s="72">
        <v>34.42</v>
      </c>
      <c r="X136" s="72">
        <v>1.54</v>
      </c>
      <c r="AC136" s="87"/>
      <c r="AD136" s="8"/>
    </row>
    <row r="137" spans="1:30">
      <c r="A137" s="84"/>
      <c r="B137" s="8"/>
      <c r="C137" s="29"/>
      <c r="D137" s="29"/>
      <c r="E137" s="29"/>
      <c r="F137" s="29"/>
      <c r="G137" s="29"/>
      <c r="H137" s="29"/>
      <c r="I137" s="8"/>
      <c r="K137" s="39"/>
      <c r="L137" s="39"/>
      <c r="M137" s="8"/>
      <c r="N137" s="39"/>
      <c r="O137" s="29"/>
      <c r="P137" s="29"/>
      <c r="Q137" s="29"/>
      <c r="R137" s="29"/>
      <c r="S137" s="100">
        <v>20230824</v>
      </c>
      <c r="T137" s="72">
        <v>0.98</v>
      </c>
      <c r="V137" s="72">
        <v>229.77</v>
      </c>
      <c r="W137" s="72">
        <v>34.42</v>
      </c>
      <c r="X137" s="72">
        <v>1.54</v>
      </c>
      <c r="Z137" s="72">
        <v>130</v>
      </c>
      <c r="AB137" s="72">
        <v>21</v>
      </c>
      <c r="AC137" s="87"/>
      <c r="AD137" s="8"/>
    </row>
    <row r="138" spans="1:30">
      <c r="A138" s="84"/>
      <c r="B138" s="8"/>
      <c r="C138" s="29"/>
      <c r="D138" s="29"/>
      <c r="E138" s="29"/>
      <c r="F138" s="29"/>
      <c r="G138" s="29"/>
      <c r="H138" s="29"/>
      <c r="I138" s="8"/>
      <c r="K138" s="39"/>
      <c r="L138" s="39"/>
      <c r="M138" s="8"/>
      <c r="N138" s="39"/>
      <c r="O138" s="29"/>
      <c r="P138" s="29"/>
      <c r="Q138" s="29"/>
      <c r="R138" s="29"/>
      <c r="S138" s="100">
        <v>20230829</v>
      </c>
      <c r="T138" s="72">
        <v>0.8</v>
      </c>
      <c r="U138" s="72">
        <v>1.38</v>
      </c>
      <c r="V138" s="72">
        <v>229.77</v>
      </c>
      <c r="W138" s="72">
        <v>34.42</v>
      </c>
      <c r="X138" s="72">
        <v>1.58</v>
      </c>
      <c r="Y138" s="72">
        <v>1.54</v>
      </c>
      <c r="Z138" s="72">
        <v>174.1</v>
      </c>
      <c r="AA138" s="72">
        <v>104.2</v>
      </c>
      <c r="AB138" s="72">
        <v>57.2</v>
      </c>
      <c r="AC138" s="87">
        <v>32.6</v>
      </c>
      <c r="AD138" s="8"/>
    </row>
    <row r="139" spans="1:30">
      <c r="A139" s="84"/>
      <c r="B139" s="8"/>
      <c r="C139" s="29"/>
      <c r="D139" s="29"/>
      <c r="E139" s="29"/>
      <c r="F139" s="29"/>
      <c r="G139" s="29"/>
      <c r="H139" s="29"/>
      <c r="I139" s="8"/>
      <c r="K139" s="39"/>
      <c r="L139" s="39"/>
      <c r="M139" s="8"/>
      <c r="N139" s="39"/>
      <c r="O139" s="29"/>
      <c r="P139" s="29"/>
      <c r="Q139" s="29"/>
      <c r="R139" s="29"/>
      <c r="S139" s="100">
        <v>20230830</v>
      </c>
      <c r="T139" s="72">
        <v>0.75</v>
      </c>
      <c r="U139" s="72">
        <v>1</v>
      </c>
      <c r="V139" s="72">
        <v>229.77</v>
      </c>
      <c r="W139" s="72">
        <v>34.42</v>
      </c>
      <c r="X139" s="72">
        <v>1.56</v>
      </c>
      <c r="Y139" s="72">
        <v>1.53</v>
      </c>
      <c r="Z139" s="72">
        <v>239.2</v>
      </c>
      <c r="AA139" s="72">
        <v>134.4</v>
      </c>
      <c r="AB139" s="72">
        <v>102.2</v>
      </c>
      <c r="AC139" s="87">
        <v>33.4</v>
      </c>
      <c r="AD139" s="8"/>
    </row>
    <row r="140" spans="1:30">
      <c r="A140" s="84"/>
      <c r="B140" s="8" t="s">
        <v>291</v>
      </c>
      <c r="C140" s="29" t="s">
        <v>292</v>
      </c>
      <c r="D140" s="29"/>
      <c r="E140" s="29"/>
      <c r="F140" s="29"/>
      <c r="G140" s="29"/>
      <c r="H140" s="29"/>
      <c r="I140" s="8"/>
      <c r="J140" s="11" t="s">
        <v>134</v>
      </c>
      <c r="K140" s="39"/>
      <c r="L140" s="39">
        <v>3.56</v>
      </c>
      <c r="M140" s="8"/>
      <c r="N140" s="39">
        <v>1.0668</v>
      </c>
      <c r="O140" s="29"/>
      <c r="P140" s="29"/>
      <c r="Q140" s="29"/>
      <c r="R140" s="29"/>
      <c r="S140" s="101"/>
      <c r="AC140" s="87"/>
      <c r="AD140" s="8"/>
    </row>
    <row r="141" spans="1:30">
      <c r="A141" s="81"/>
      <c r="S141" s="101"/>
      <c r="AC141" s="87"/>
    </row>
    <row r="142" spans="1:30">
      <c r="A142" s="81"/>
      <c r="B142" s="11" t="s">
        <v>293</v>
      </c>
      <c r="C142" s="4" t="s">
        <v>294</v>
      </c>
      <c r="I142" s="11" t="s">
        <v>114</v>
      </c>
      <c r="J142" s="11" t="s">
        <v>134</v>
      </c>
      <c r="K142" s="13">
        <f>(44.38-44.15)*1000/(21.5*220)</f>
        <v>4.8625792811840166E-2</v>
      </c>
      <c r="S142" s="101"/>
      <c r="AC142" s="87"/>
    </row>
    <row r="143" spans="1:30">
      <c r="A143" s="81">
        <v>17</v>
      </c>
      <c r="B143" s="11" t="s">
        <v>295</v>
      </c>
      <c r="C143" s="4" t="s">
        <v>296</v>
      </c>
      <c r="S143" s="101"/>
      <c r="AC143" s="87"/>
    </row>
    <row r="144" spans="1:30">
      <c r="A144" s="81">
        <v>17</v>
      </c>
      <c r="B144" s="11" t="s">
        <v>297</v>
      </c>
      <c r="C144" s="4" t="s">
        <v>298</v>
      </c>
      <c r="S144" s="101"/>
      <c r="AC144" s="87"/>
    </row>
    <row r="145" spans="1:29">
      <c r="A145" s="81">
        <v>17</v>
      </c>
      <c r="B145" s="11" t="s">
        <v>299</v>
      </c>
      <c r="C145" s="4" t="s">
        <v>300</v>
      </c>
      <c r="N145" s="13">
        <v>1.0469999999999999</v>
      </c>
      <c r="S145" s="101"/>
      <c r="AC145" s="87"/>
    </row>
    <row r="146" spans="1:29">
      <c r="A146" s="81" t="s">
        <v>301</v>
      </c>
      <c r="B146" s="11" t="s">
        <v>302</v>
      </c>
      <c r="C146" s="4" t="s">
        <v>303</v>
      </c>
      <c r="N146" s="13">
        <v>1.121</v>
      </c>
      <c r="S146" s="101"/>
      <c r="AC146" s="87"/>
    </row>
    <row r="147" spans="1:29">
      <c r="A147" s="81"/>
      <c r="S147" s="101"/>
      <c r="AC147" s="87"/>
    </row>
    <row r="148" spans="1:29">
      <c r="A148" s="81"/>
      <c r="B148" s="11" t="s">
        <v>304</v>
      </c>
      <c r="C148" s="4" t="s">
        <v>305</v>
      </c>
      <c r="I148" s="11" t="s">
        <v>219</v>
      </c>
      <c r="J148" s="11" t="s">
        <v>134</v>
      </c>
      <c r="K148" s="13">
        <f>(13.001-12.987)*1000/(12.75*11.1)</f>
        <v>9.8922451863623709E-2</v>
      </c>
      <c r="L148" s="13">
        <v>4.5380000000000003</v>
      </c>
      <c r="P148" s="4">
        <v>1.1930000000000001</v>
      </c>
      <c r="Q148" s="4">
        <v>228.2</v>
      </c>
      <c r="R148" s="4">
        <v>38.270000000000003</v>
      </c>
      <c r="S148" s="101"/>
      <c r="AC148" s="87"/>
    </row>
    <row r="149" spans="1:29">
      <c r="A149" s="81"/>
      <c r="B149" s="11" t="s">
        <v>306</v>
      </c>
      <c r="C149" s="4" t="s">
        <v>307</v>
      </c>
      <c r="K149" s="13">
        <v>4.54</v>
      </c>
      <c r="N149" s="13">
        <f>(2.3088-2.2661)*1000/(2.4*7.5)</f>
        <v>2.3722222222222444</v>
      </c>
      <c r="S149" s="101"/>
      <c r="AC149" s="87"/>
    </row>
    <row r="150" spans="1:29">
      <c r="A150" s="81"/>
      <c r="B150" s="11" t="s">
        <v>308</v>
      </c>
      <c r="C150" s="4" t="s">
        <v>309</v>
      </c>
      <c r="N150" s="13">
        <f>(2.4141-2.3752)*1000/(2.4*10.7)</f>
        <v>1.5147975077881597</v>
      </c>
      <c r="S150" s="101"/>
      <c r="AC150" s="87"/>
    </row>
    <row r="151" spans="1:29">
      <c r="A151" s="81"/>
      <c r="S151" s="101"/>
      <c r="AC151" s="87"/>
    </row>
    <row r="152" spans="1:29">
      <c r="A152" s="81"/>
      <c r="B152" s="11" t="s">
        <v>310</v>
      </c>
      <c r="C152" s="4" t="s">
        <v>311</v>
      </c>
      <c r="I152" s="11" t="s">
        <v>219</v>
      </c>
      <c r="J152" s="11" t="s">
        <v>134</v>
      </c>
      <c r="P152" s="4">
        <v>1.3759999999999999</v>
      </c>
      <c r="Q152" s="4">
        <v>234.83</v>
      </c>
      <c r="R152" s="4">
        <v>33.15</v>
      </c>
      <c r="S152" s="101"/>
      <c r="AC152" s="87"/>
    </row>
    <row r="153" spans="1:29">
      <c r="A153" s="81"/>
      <c r="B153" s="11" t="s">
        <v>312</v>
      </c>
      <c r="C153" s="4" t="s">
        <v>313</v>
      </c>
      <c r="K153" s="13">
        <f>(2.2544-2.2602)*1000/(4.9*4.9)</f>
        <v>-0.24156601416077669</v>
      </c>
      <c r="L153" s="13">
        <v>3.7709999999999999</v>
      </c>
      <c r="S153" s="101"/>
      <c r="AC153" s="87"/>
    </row>
    <row r="154" spans="1:29">
      <c r="A154" s="81"/>
      <c r="B154" s="11" t="s">
        <v>314</v>
      </c>
      <c r="K154" s="13">
        <f>(AVERAGE(2.3894,2.3898,2.2904)-2.3829)*1000/(5*5.1)</f>
        <v>-1.0339869281045571</v>
      </c>
      <c r="S154" s="101"/>
      <c r="AC154" s="87"/>
    </row>
    <row r="155" spans="1:29">
      <c r="A155" s="81"/>
      <c r="S155" s="101"/>
      <c r="AC155" s="87"/>
    </row>
    <row r="156" spans="1:29">
      <c r="A156" s="81"/>
      <c r="B156" s="11" t="s">
        <v>315</v>
      </c>
      <c r="C156" s="4" t="s">
        <v>316</v>
      </c>
      <c r="I156" s="11" t="s">
        <v>219</v>
      </c>
      <c r="J156" s="11" t="s">
        <v>134</v>
      </c>
      <c r="P156" s="4">
        <v>1.266</v>
      </c>
      <c r="Q156" s="4">
        <v>231.64</v>
      </c>
      <c r="R156" s="4">
        <v>32.33</v>
      </c>
      <c r="S156" s="101"/>
      <c r="AC156" s="87"/>
    </row>
    <row r="157" spans="1:29">
      <c r="A157" s="81"/>
      <c r="B157" s="11" t="s">
        <v>317</v>
      </c>
      <c r="K157" s="13">
        <f>(2.1997-2.2345)*1000/(5*4.9)</f>
        <v>-1.4204081632653129</v>
      </c>
      <c r="L157" s="13">
        <v>4.9279999999999999</v>
      </c>
      <c r="S157" s="101"/>
      <c r="AC157" s="87"/>
    </row>
    <row r="158" spans="1:29">
      <c r="A158" s="81"/>
      <c r="B158" s="11" t="s">
        <v>318</v>
      </c>
      <c r="L158" s="13">
        <v>4.8070000000000004</v>
      </c>
      <c r="S158" s="101"/>
      <c r="AC158" s="87"/>
    </row>
    <row r="159" spans="1:29">
      <c r="A159" s="81"/>
      <c r="S159" s="101"/>
      <c r="AC159" s="87"/>
    </row>
    <row r="160" spans="1:29">
      <c r="A160" s="81"/>
      <c r="B160" s="11" t="s">
        <v>319</v>
      </c>
      <c r="C160" s="4" t="s">
        <v>320</v>
      </c>
      <c r="I160" s="11" t="s">
        <v>219</v>
      </c>
      <c r="J160" s="11" t="s">
        <v>134</v>
      </c>
      <c r="P160" s="4">
        <v>1.3660000000000001</v>
      </c>
      <c r="Q160" s="4">
        <v>226.21</v>
      </c>
      <c r="R160" s="4">
        <v>33.33</v>
      </c>
      <c r="S160" s="101"/>
      <c r="AC160" s="87"/>
    </row>
    <row r="161" spans="1:45">
      <c r="A161" s="81"/>
      <c r="B161" s="11" t="s">
        <v>321</v>
      </c>
      <c r="K161" s="13">
        <v>-2.9119999999999999</v>
      </c>
      <c r="L161" s="13">
        <v>4.5129999999999999</v>
      </c>
      <c r="P161" s="4">
        <v>1.345</v>
      </c>
      <c r="Q161" s="4">
        <v>226.41</v>
      </c>
      <c r="R161" s="4">
        <v>36.35</v>
      </c>
      <c r="S161" s="101"/>
      <c r="AC161" s="87"/>
    </row>
    <row r="162" spans="1:45">
      <c r="A162" s="81"/>
      <c r="B162" s="11" t="s">
        <v>322</v>
      </c>
      <c r="K162" s="13">
        <f>(2.273-2.283)*1000/25</f>
        <v>-0.39999999999999147</v>
      </c>
      <c r="L162" s="13">
        <v>3.8610000000000002</v>
      </c>
      <c r="S162" s="101"/>
      <c r="AC162" s="87"/>
    </row>
    <row r="163" spans="1:45">
      <c r="A163" s="81"/>
      <c r="S163" s="101"/>
      <c r="AC163" s="87"/>
    </row>
    <row r="164" spans="1:45">
      <c r="A164" s="81" t="s">
        <v>323</v>
      </c>
      <c r="B164" s="11" t="s">
        <v>324</v>
      </c>
      <c r="C164" s="4" t="s">
        <v>325</v>
      </c>
      <c r="I164" s="11" t="s">
        <v>219</v>
      </c>
      <c r="J164" s="11" t="s">
        <v>134</v>
      </c>
      <c r="K164" s="13">
        <f>(12.0689-12.1378)*1000/(11*12)</f>
        <v>-0.52196969696970508</v>
      </c>
      <c r="L164" s="13">
        <v>4.0670000000000002</v>
      </c>
      <c r="P164" s="4">
        <v>1.3320000000000001</v>
      </c>
      <c r="Q164" s="4">
        <v>227.34</v>
      </c>
      <c r="R164" s="4">
        <v>38.19</v>
      </c>
      <c r="S164" s="101"/>
      <c r="AC164" s="87"/>
    </row>
    <row r="165" spans="1:45">
      <c r="A165" s="81"/>
      <c r="S165" s="101"/>
      <c r="AC165" s="87"/>
    </row>
    <row r="166" spans="1:45" ht="21">
      <c r="A166" s="81"/>
      <c r="B166" s="11" t="s">
        <v>326</v>
      </c>
      <c r="C166" s="4" t="s">
        <v>327</v>
      </c>
      <c r="I166" s="11" t="s">
        <v>219</v>
      </c>
      <c r="J166" s="11" t="s">
        <v>134</v>
      </c>
      <c r="K166" s="13">
        <f>(12.0374-12.0643)*1000/(11*12)</f>
        <v>-0.20378787878787485</v>
      </c>
      <c r="L166" s="13">
        <v>4.55</v>
      </c>
      <c r="P166" s="4">
        <v>1.1579999999999999</v>
      </c>
      <c r="Q166" s="4">
        <v>230.81</v>
      </c>
      <c r="R166" s="4">
        <v>34.76</v>
      </c>
      <c r="S166" s="101"/>
      <c r="AC166" s="87"/>
    </row>
    <row r="167" spans="1:45" ht="21">
      <c r="A167" s="81"/>
      <c r="B167" s="11" t="s">
        <v>328</v>
      </c>
      <c r="C167" s="4" t="s">
        <v>329</v>
      </c>
      <c r="I167" s="11" t="s">
        <v>219</v>
      </c>
      <c r="J167" s="11" t="s">
        <v>134</v>
      </c>
      <c r="K167" s="13">
        <f>(12.0058-12.0215)*1000/(12*11)</f>
        <v>-0.11893939393938589</v>
      </c>
      <c r="L167" s="13">
        <v>3.4420000000000002</v>
      </c>
      <c r="P167" s="4">
        <v>1.135</v>
      </c>
      <c r="Q167" s="4">
        <v>233.65</v>
      </c>
      <c r="R167" s="4">
        <v>33.92</v>
      </c>
      <c r="S167" s="101"/>
      <c r="AC167" s="87"/>
    </row>
    <row r="168" spans="1:45">
      <c r="A168" s="81"/>
      <c r="S168" s="101"/>
      <c r="AC168" s="87"/>
    </row>
    <row r="169" spans="1:45">
      <c r="A169" s="81"/>
      <c r="B169" s="11" t="s">
        <v>330</v>
      </c>
      <c r="C169" s="4" t="s">
        <v>331</v>
      </c>
      <c r="I169" s="11" t="s">
        <v>219</v>
      </c>
      <c r="J169" s="11" t="s">
        <v>134</v>
      </c>
      <c r="K169" s="13">
        <f>(25.29-25.22)*1000/(12*23)</f>
        <v>0.25362318840579812</v>
      </c>
      <c r="P169" s="4">
        <v>1.1779999999999999</v>
      </c>
      <c r="Q169" s="4">
        <v>228.49</v>
      </c>
      <c r="R169" s="4">
        <v>32.78</v>
      </c>
      <c r="S169" s="101"/>
      <c r="AC169" s="87"/>
    </row>
    <row r="170" spans="1:45" ht="21">
      <c r="A170" s="81" t="s">
        <v>332</v>
      </c>
      <c r="B170" s="48" t="s">
        <v>333</v>
      </c>
      <c r="C170" s="49" t="s">
        <v>334</v>
      </c>
      <c r="D170" s="26"/>
      <c r="E170" s="26"/>
      <c r="F170" s="26"/>
      <c r="G170" s="26"/>
      <c r="H170" s="26"/>
      <c r="I170" s="11" t="s">
        <v>219</v>
      </c>
      <c r="L170" s="13">
        <v>3.9390000000000001</v>
      </c>
      <c r="M170" s="42" t="s">
        <v>335</v>
      </c>
      <c r="N170" s="13">
        <f>(11.0062-10.8317)*1000/(10.8*10.8)</f>
        <v>1.4960562414266125</v>
      </c>
      <c r="S170" s="101"/>
      <c r="AC170" s="87"/>
      <c r="AD170" s="42">
        <v>0.28399999999999997</v>
      </c>
    </row>
    <row r="171" spans="1:45" ht="21">
      <c r="A171" s="81" t="s">
        <v>336</v>
      </c>
      <c r="B171" s="48" t="s">
        <v>337</v>
      </c>
      <c r="C171" s="49" t="s">
        <v>334</v>
      </c>
      <c r="D171" s="26"/>
      <c r="E171" s="26"/>
      <c r="F171" s="26"/>
      <c r="G171" s="26"/>
      <c r="H171" s="26"/>
      <c r="I171" s="11" t="s">
        <v>219</v>
      </c>
      <c r="L171" s="13">
        <v>2.97</v>
      </c>
      <c r="M171" s="42" t="s">
        <v>338</v>
      </c>
      <c r="N171" s="13">
        <f>(10.9308-10.7643)*1000/(10.8*10.8)</f>
        <v>1.427469135802462</v>
      </c>
      <c r="S171" s="101"/>
      <c r="AC171" s="87"/>
      <c r="AD171" s="42">
        <v>0.28100000000000003</v>
      </c>
    </row>
    <row r="172" spans="1:45">
      <c r="A172" s="81"/>
      <c r="S172" s="101"/>
      <c r="AC172" s="87"/>
    </row>
    <row r="173" spans="1:45">
      <c r="A173" s="81" t="s">
        <v>339</v>
      </c>
      <c r="B173" s="11" t="s">
        <v>340</v>
      </c>
      <c r="C173" s="4" t="s">
        <v>341</v>
      </c>
      <c r="I173" s="11" t="s">
        <v>114</v>
      </c>
      <c r="J173" s="11" t="s">
        <v>134</v>
      </c>
      <c r="K173" s="13">
        <f>(59.62-58.88)*1000/(21.5*31.2)</f>
        <v>1.1031604054859794</v>
      </c>
      <c r="L173" s="13">
        <v>4.258</v>
      </c>
      <c r="N173" s="13">
        <v>1.45</v>
      </c>
      <c r="O173" s="23">
        <f>_xlfn.STDEV.P(N173:N181)</f>
        <v>0.12538054372109889</v>
      </c>
      <c r="P173" s="23"/>
      <c r="Q173" s="23"/>
      <c r="S173" s="101"/>
      <c r="AC173" s="87"/>
    </row>
    <row r="174" spans="1:45">
      <c r="A174" s="81"/>
      <c r="B174" s="11" t="s">
        <v>342</v>
      </c>
      <c r="C174" s="4" t="s">
        <v>343</v>
      </c>
      <c r="I174" s="11" t="s">
        <v>114</v>
      </c>
      <c r="J174" s="11" t="s">
        <v>134</v>
      </c>
      <c r="K174" s="13">
        <f>(64.88-64.28)*1000/(21.6*32.2)</f>
        <v>0.86266390614215871</v>
      </c>
      <c r="L174" s="13">
        <v>2.95</v>
      </c>
      <c r="M174" s="11" t="s">
        <v>344</v>
      </c>
      <c r="N174" s="13">
        <f>(63.66-62.91)*1000/(30.8*21.5)</f>
        <v>1.1325883418906675</v>
      </c>
      <c r="P174" s="4">
        <v>1.2669999999999999</v>
      </c>
      <c r="Q174" s="4">
        <v>213.8</v>
      </c>
      <c r="R174" s="4">
        <v>30.7</v>
      </c>
      <c r="S174" s="101"/>
      <c r="AC174" s="87"/>
      <c r="AD174" s="11">
        <v>0.28399999999999997</v>
      </c>
    </row>
    <row r="175" spans="1:45">
      <c r="A175" s="81"/>
      <c r="B175" s="11" t="s">
        <v>345</v>
      </c>
      <c r="C175" s="4" t="s">
        <v>346</v>
      </c>
      <c r="I175" s="11" t="s">
        <v>114</v>
      </c>
      <c r="J175" s="11" t="s">
        <v>134</v>
      </c>
      <c r="K175" s="13">
        <f>(65.39-64.86)*1000/(32.3*21.6)</f>
        <v>0.75966058938195324</v>
      </c>
      <c r="L175" s="13">
        <v>2.569</v>
      </c>
      <c r="M175" s="11" t="s">
        <v>347</v>
      </c>
      <c r="N175" s="13">
        <f>(63.52-62.79)*1000/(30.8*21.5)</f>
        <v>1.1023859861069223</v>
      </c>
      <c r="P175" s="4">
        <v>1.208</v>
      </c>
      <c r="Q175" s="4">
        <v>215.09</v>
      </c>
      <c r="R175" s="4">
        <v>34.67</v>
      </c>
      <c r="S175" s="101"/>
      <c r="AC175" s="87"/>
      <c r="AD175" s="11">
        <v>0.28499999999999998</v>
      </c>
    </row>
    <row r="176" spans="1:45">
      <c r="A176" s="81" t="s">
        <v>348</v>
      </c>
      <c r="B176" s="11" t="s">
        <v>349</v>
      </c>
      <c r="C176" s="4" t="s">
        <v>350</v>
      </c>
      <c r="I176" s="11" t="s">
        <v>114</v>
      </c>
      <c r="J176" s="11" t="s">
        <v>134</v>
      </c>
      <c r="K176" s="13">
        <f>(64.18-63.51)*1000/(32.16*21.4)</f>
        <v>0.97352024922119673</v>
      </c>
      <c r="L176" s="13">
        <v>3.0310000000000001</v>
      </c>
      <c r="M176" s="11" t="s">
        <v>351</v>
      </c>
      <c r="S176" s="101"/>
      <c r="AC176" s="87"/>
      <c r="AD176" s="11">
        <v>0.27600000000000002</v>
      </c>
      <c r="AF176" s="150">
        <f>(62.53-61.26)*1000/(30.8*21.4)</f>
        <v>1.9268115062507634</v>
      </c>
      <c r="AG176" s="108"/>
      <c r="AH176" s="108" t="s">
        <v>1049</v>
      </c>
      <c r="AI176" s="108"/>
      <c r="AJ176" s="108"/>
      <c r="AK176" s="151" t="s">
        <v>352</v>
      </c>
      <c r="AL176" s="72">
        <v>0.2</v>
      </c>
      <c r="AM176" s="72">
        <v>0.57999999999999996</v>
      </c>
      <c r="AN176" s="72"/>
      <c r="AO176" s="72"/>
      <c r="AP176" s="72">
        <v>1.69</v>
      </c>
      <c r="AQ176" s="72">
        <v>1.56</v>
      </c>
      <c r="AR176" s="72">
        <v>354.9</v>
      </c>
      <c r="AS176" s="72">
        <v>119.8</v>
      </c>
    </row>
    <row r="177" spans="1:30">
      <c r="A177" s="81" t="s">
        <v>354</v>
      </c>
      <c r="B177" s="11" t="s">
        <v>355</v>
      </c>
      <c r="C177" s="4" t="s">
        <v>356</v>
      </c>
      <c r="I177" s="11" t="s">
        <v>114</v>
      </c>
      <c r="J177" s="11" t="s">
        <v>134</v>
      </c>
      <c r="K177" s="13">
        <f>(60.52-59.62)*1000/(31*21.5)</f>
        <v>1.3503375843961076</v>
      </c>
      <c r="L177" s="13">
        <v>3.625</v>
      </c>
      <c r="M177" s="11" t="s">
        <v>357</v>
      </c>
      <c r="N177" s="13">
        <f>(60.04-59.13)*1000/(30.8*21.5)</f>
        <v>1.3742071881606712</v>
      </c>
      <c r="P177" s="4" t="s">
        <v>1049</v>
      </c>
      <c r="S177" s="101"/>
      <c r="AC177" s="87"/>
      <c r="AD177" s="11">
        <v>0.27400000000000002</v>
      </c>
    </row>
    <row r="178" spans="1:30">
      <c r="A178" s="81"/>
      <c r="B178" s="11" t="s">
        <v>358</v>
      </c>
      <c r="C178" s="4" t="s">
        <v>359</v>
      </c>
      <c r="I178" s="11" t="s">
        <v>114</v>
      </c>
      <c r="J178" s="11" t="s">
        <v>134</v>
      </c>
      <c r="K178" s="13">
        <f>(64.54-63.75)*1000/(31.1*21.5)</f>
        <v>1.1814850818814122</v>
      </c>
      <c r="L178" s="13">
        <v>2.5249999999999999</v>
      </c>
      <c r="M178" s="11" t="s">
        <v>360</v>
      </c>
      <c r="N178" s="13">
        <f>(63.56-62.82)*1000/(30.8*21.5)</f>
        <v>1.1174871639987949</v>
      </c>
      <c r="P178" s="4" t="s">
        <v>1049</v>
      </c>
      <c r="S178" s="101"/>
      <c r="AC178" s="87"/>
      <c r="AD178" s="11">
        <v>0.29299999999999998</v>
      </c>
    </row>
    <row r="179" spans="1:30">
      <c r="A179" s="81"/>
      <c r="B179" s="11" t="s">
        <v>362</v>
      </c>
      <c r="C179" s="4" t="s">
        <v>363</v>
      </c>
      <c r="I179" s="11" t="s">
        <v>114</v>
      </c>
      <c r="J179" s="11" t="s">
        <v>134</v>
      </c>
      <c r="K179" s="13">
        <f>(62.37-62.06)*1000/(31.1*21.5)</f>
        <v>0.4636207283332015</v>
      </c>
      <c r="L179" s="13">
        <v>3.7290000000000001</v>
      </c>
      <c r="M179" s="11" t="s">
        <v>364</v>
      </c>
      <c r="N179" s="13">
        <f>(62.59-61.79)*1000/(30.8*21.5)</f>
        <v>1.2080942313500518</v>
      </c>
      <c r="P179" s="4" t="s">
        <v>1049</v>
      </c>
      <c r="S179" s="101"/>
      <c r="AC179" s="87"/>
      <c r="AD179" s="11">
        <v>0.26700000000000002</v>
      </c>
    </row>
    <row r="180" spans="1:30">
      <c r="A180" s="81"/>
      <c r="B180" s="11" t="s">
        <v>377</v>
      </c>
      <c r="C180" s="4" t="s">
        <v>363</v>
      </c>
      <c r="I180" s="11" t="s">
        <v>114</v>
      </c>
      <c r="J180" s="11" t="s">
        <v>134</v>
      </c>
      <c r="K180" s="13">
        <f>(61.9-61.42)*1000/(31*21.5)</f>
        <v>0.7201800450112481</v>
      </c>
      <c r="L180" s="13">
        <v>2.7170000000000001</v>
      </c>
      <c r="M180" s="11" t="s">
        <v>378</v>
      </c>
      <c r="N180" s="13">
        <f>(62.35-61.63)*1000/(30.8*21.5)</f>
        <v>1.087284808215039</v>
      </c>
      <c r="P180" s="4" t="s">
        <v>1049</v>
      </c>
      <c r="S180" s="101"/>
      <c r="AC180" s="87"/>
      <c r="AD180" s="11">
        <v>0.26900000000000002</v>
      </c>
    </row>
    <row r="181" spans="1:30">
      <c r="A181" s="81"/>
      <c r="B181" s="11" t="s">
        <v>379</v>
      </c>
      <c r="C181" s="4" t="s">
        <v>363</v>
      </c>
      <c r="I181" s="11" t="s">
        <v>114</v>
      </c>
      <c r="J181" s="11" t="s">
        <v>134</v>
      </c>
      <c r="K181" s="13">
        <f>(62.5-62.15)*1000/(31.1*21.5)</f>
        <v>0.52344275779556038</v>
      </c>
      <c r="L181" s="13">
        <v>2.83</v>
      </c>
      <c r="M181" s="11" t="s">
        <v>380</v>
      </c>
      <c r="N181" s="13">
        <f>(62.82-62.02)*1000/(30.8*21.5)</f>
        <v>1.2080942313500409</v>
      </c>
      <c r="P181" s="4" t="s">
        <v>1049</v>
      </c>
      <c r="S181" s="101"/>
      <c r="AC181" s="87"/>
      <c r="AD181" s="11">
        <v>0.28399999999999997</v>
      </c>
    </row>
    <row r="182" spans="1:30">
      <c r="A182" s="81"/>
      <c r="S182" s="101"/>
      <c r="AC182" s="87"/>
    </row>
    <row r="183" spans="1:30">
      <c r="A183" s="81"/>
      <c r="S183" s="101"/>
      <c r="AC183" s="87"/>
    </row>
    <row r="184" spans="1:30">
      <c r="A184" s="81"/>
      <c r="B184" s="11" t="s">
        <v>381</v>
      </c>
      <c r="C184" s="4" t="s">
        <v>382</v>
      </c>
      <c r="I184" s="11" t="s">
        <v>383</v>
      </c>
      <c r="J184" s="11" t="s">
        <v>134</v>
      </c>
      <c r="K184" s="13">
        <f>(AVERAGE(1.1155,1.1156)-1.1264)*1000/(3.5*3.5)</f>
        <v>-0.88571428571430599</v>
      </c>
      <c r="L184" s="13">
        <v>0.63333333333331909</v>
      </c>
      <c r="S184" s="101"/>
      <c r="AC184" s="87"/>
    </row>
    <row r="185" spans="1:30">
      <c r="A185" s="81"/>
      <c r="B185" s="11" t="s">
        <v>384</v>
      </c>
      <c r="C185" s="4" t="s">
        <v>385</v>
      </c>
      <c r="I185" s="11" t="s">
        <v>383</v>
      </c>
      <c r="J185" s="11" t="s">
        <v>134</v>
      </c>
      <c r="K185" s="13">
        <f>(AVERAGE(1.1453,1.1454,1.1454)-1.1539)*1000/(3.5*3.5)</f>
        <v>-0.69659863945577805</v>
      </c>
      <c r="L185" s="13">
        <v>0.94999999999999596</v>
      </c>
      <c r="S185" s="101"/>
      <c r="AC185" s="87"/>
    </row>
    <row r="186" spans="1:30">
      <c r="A186" s="81"/>
      <c r="B186" s="11" t="s">
        <v>386</v>
      </c>
      <c r="C186" s="4" t="s">
        <v>387</v>
      </c>
      <c r="I186" s="11" t="s">
        <v>383</v>
      </c>
      <c r="J186" s="11" t="s">
        <v>134</v>
      </c>
      <c r="K186" s="13">
        <f>(AVERAGE(1.1449,1.1448)-1.1562)*1000/(3.5*3.5)</f>
        <v>-0.92653061224489563</v>
      </c>
      <c r="L186" s="13">
        <v>0.83333333333333526</v>
      </c>
      <c r="S186" s="101"/>
      <c r="AC186" s="87"/>
    </row>
    <row r="187" spans="1:30">
      <c r="A187" s="81"/>
      <c r="B187" s="11" t="s">
        <v>388</v>
      </c>
      <c r="C187" s="4" t="s">
        <v>389</v>
      </c>
      <c r="I187" s="11" t="s">
        <v>383</v>
      </c>
      <c r="J187" s="11" t="s">
        <v>134</v>
      </c>
      <c r="K187" s="13">
        <f>(AVERAGE(1.1642,1.1644,1.1644)-1.1862)*1000/(3.5*3.5)</f>
        <v>-1.7850340136054452</v>
      </c>
      <c r="L187" s="13">
        <v>1.8000000000000029</v>
      </c>
      <c r="S187" s="101"/>
      <c r="AC187" s="87"/>
    </row>
    <row r="188" spans="1:30">
      <c r="A188" s="81"/>
      <c r="B188" s="11" t="s">
        <v>390</v>
      </c>
      <c r="C188" s="4" t="s">
        <v>391</v>
      </c>
      <c r="I188" s="11" t="s">
        <v>383</v>
      </c>
      <c r="J188" s="11" t="s">
        <v>134</v>
      </c>
      <c r="K188" s="13">
        <f>(AVERAGE(1.1266,1.1268,1.1267)-1.1621)*1000/(3.5*3.5)</f>
        <v>-2.8897959183673372</v>
      </c>
      <c r="L188" s="13">
        <v>1.5250000000000055</v>
      </c>
      <c r="S188" s="101"/>
      <c r="AC188" s="87"/>
    </row>
    <row r="189" spans="1:30">
      <c r="A189" s="81"/>
      <c r="B189" s="11" t="s">
        <v>392</v>
      </c>
      <c r="C189" s="4" t="s">
        <v>393</v>
      </c>
      <c r="I189" s="11" t="s">
        <v>383</v>
      </c>
      <c r="J189" s="11" t="s">
        <v>134</v>
      </c>
      <c r="K189" s="13">
        <f>(AVERAGE(1.1223,1.1224,1.1223)-1.1465)*1000/(3.5*3.5)</f>
        <v>-1.9727891156462589</v>
      </c>
      <c r="L189" s="13">
        <v>1.2333333333333396</v>
      </c>
      <c r="S189" s="101"/>
      <c r="AC189" s="87"/>
    </row>
    <row r="190" spans="1:30">
      <c r="A190" s="81"/>
      <c r="B190" s="11" t="s">
        <v>394</v>
      </c>
      <c r="C190" s="4" t="s">
        <v>395</v>
      </c>
      <c r="I190" s="11" t="s">
        <v>383</v>
      </c>
      <c r="J190" s="11" t="s">
        <v>134</v>
      </c>
      <c r="K190" s="13">
        <f>(1.1467-1.1813)*1000/(3.5*3.5)</f>
        <v>-2.8244897959183644</v>
      </c>
      <c r="L190" s="13">
        <v>1.87777777777777</v>
      </c>
      <c r="S190" s="101"/>
      <c r="AC190" s="87"/>
    </row>
    <row r="191" spans="1:30">
      <c r="A191" s="81"/>
      <c r="B191" s="11" t="s">
        <v>396</v>
      </c>
      <c r="C191" s="4" t="s">
        <v>397</v>
      </c>
      <c r="I191" s="11" t="s">
        <v>383</v>
      </c>
      <c r="J191" s="11" t="s">
        <v>134</v>
      </c>
      <c r="K191" s="13">
        <f>(1.136-1.1907)*1000/(3.5*3.5)</f>
        <v>-4.4653061224489958</v>
      </c>
      <c r="L191" s="13">
        <v>2.3333333333333259</v>
      </c>
      <c r="S191" s="101"/>
      <c r="AC191" s="87"/>
    </row>
    <row r="192" spans="1:30">
      <c r="A192" s="81"/>
      <c r="B192" s="11" t="s">
        <v>398</v>
      </c>
      <c r="C192" s="4" t="s">
        <v>399</v>
      </c>
      <c r="I192" s="11" t="s">
        <v>383</v>
      </c>
      <c r="J192" s="11" t="s">
        <v>134</v>
      </c>
      <c r="K192" s="13">
        <f>(AVERAGE(2.1251,2.1255,2.1254)-2.3307)*1000/(3.5*3.5)</f>
        <v>-16.764625850340156</v>
      </c>
      <c r="L192" s="13">
        <v>4.5916666666666677</v>
      </c>
      <c r="S192" s="101"/>
      <c r="AC192" s="87"/>
    </row>
    <row r="193" spans="1:30">
      <c r="A193" s="81"/>
      <c r="S193" s="101"/>
      <c r="AC193" s="87"/>
    </row>
    <row r="194" spans="1:30">
      <c r="A194" s="81"/>
      <c r="B194" s="11" t="s">
        <v>400</v>
      </c>
      <c r="C194" s="4" t="s">
        <v>401</v>
      </c>
      <c r="I194" s="11" t="s">
        <v>114</v>
      </c>
      <c r="J194" s="11" t="s">
        <v>402</v>
      </c>
      <c r="K194" s="13">
        <v>0.3</v>
      </c>
      <c r="L194" s="13">
        <v>3.6389999999999998</v>
      </c>
      <c r="M194" s="11" t="s">
        <v>403</v>
      </c>
      <c r="N194" s="13">
        <v>1.07</v>
      </c>
      <c r="S194" s="101"/>
      <c r="AC194" s="87"/>
      <c r="AD194" s="11">
        <v>0.26400000000000001</v>
      </c>
    </row>
    <row r="195" spans="1:30">
      <c r="A195" s="81"/>
      <c r="S195" s="101"/>
      <c r="AC195" s="87"/>
    </row>
    <row r="196" spans="1:30">
      <c r="A196" s="81"/>
      <c r="B196" s="11" t="s">
        <v>404</v>
      </c>
      <c r="C196" s="4" t="s">
        <v>405</v>
      </c>
      <c r="I196" s="11" t="s">
        <v>114</v>
      </c>
      <c r="J196" s="11" t="s">
        <v>402</v>
      </c>
      <c r="K196" s="13">
        <f>(61.54-61.39)*1000/(31.1*21.5)</f>
        <v>0.22433261048380854</v>
      </c>
      <c r="S196" s="101"/>
      <c r="AC196" s="87"/>
    </row>
    <row r="197" spans="1:30">
      <c r="A197" s="81"/>
      <c r="B197" s="11" t="s">
        <v>406</v>
      </c>
      <c r="C197" s="4" t="s">
        <v>407</v>
      </c>
      <c r="I197" s="11" t="s">
        <v>114</v>
      </c>
      <c r="J197" s="11" t="s">
        <v>402</v>
      </c>
      <c r="S197" s="101"/>
      <c r="AC197" s="87"/>
    </row>
    <row r="198" spans="1:30">
      <c r="A198" s="81"/>
      <c r="B198" s="11" t="s">
        <v>408</v>
      </c>
      <c r="C198" s="4" t="s">
        <v>409</v>
      </c>
      <c r="I198" s="11" t="s">
        <v>114</v>
      </c>
      <c r="J198" s="11" t="s">
        <v>402</v>
      </c>
      <c r="S198" s="101"/>
      <c r="AC198" s="87"/>
    </row>
    <row r="199" spans="1:30">
      <c r="A199" s="81"/>
      <c r="B199" s="11" t="s">
        <v>410</v>
      </c>
      <c r="C199" s="4" t="s">
        <v>411</v>
      </c>
      <c r="I199" s="11" t="s">
        <v>114</v>
      </c>
      <c r="J199" s="11" t="s">
        <v>402</v>
      </c>
      <c r="S199" s="101"/>
      <c r="AC199" s="87"/>
    </row>
    <row r="200" spans="1:30">
      <c r="A200" s="81"/>
      <c r="B200" s="11" t="s">
        <v>412</v>
      </c>
      <c r="C200" s="4" t="s">
        <v>413</v>
      </c>
      <c r="I200" s="11" t="s">
        <v>114</v>
      </c>
      <c r="J200" s="11" t="s">
        <v>402</v>
      </c>
      <c r="S200" s="101"/>
      <c r="AC200" s="87"/>
    </row>
    <row r="201" spans="1:30">
      <c r="A201" s="81"/>
      <c r="B201" s="11" t="s">
        <v>414</v>
      </c>
      <c r="C201" s="4" t="s">
        <v>415</v>
      </c>
      <c r="I201" s="11" t="s">
        <v>114</v>
      </c>
      <c r="J201" s="11" t="s">
        <v>402</v>
      </c>
      <c r="S201" s="101"/>
      <c r="AC201" s="87"/>
    </row>
    <row r="202" spans="1:30">
      <c r="A202" s="81"/>
      <c r="B202" s="11" t="s">
        <v>416</v>
      </c>
      <c r="C202" s="4" t="s">
        <v>417</v>
      </c>
      <c r="I202" s="11" t="s">
        <v>114</v>
      </c>
      <c r="J202" s="11" t="s">
        <v>402</v>
      </c>
      <c r="S202" s="101"/>
      <c r="AC202" s="87"/>
    </row>
    <row r="203" spans="1:30">
      <c r="A203" s="81"/>
      <c r="B203" s="11" t="s">
        <v>418</v>
      </c>
      <c r="C203" s="4" t="s">
        <v>419</v>
      </c>
      <c r="I203" s="11" t="s">
        <v>114</v>
      </c>
      <c r="J203" s="11" t="s">
        <v>402</v>
      </c>
      <c r="S203" s="101"/>
      <c r="AC203" s="87"/>
    </row>
    <row r="204" spans="1:30">
      <c r="A204" s="81"/>
      <c r="B204" s="11" t="s">
        <v>420</v>
      </c>
      <c r="C204" s="4" t="s">
        <v>421</v>
      </c>
      <c r="I204" s="11" t="s">
        <v>114</v>
      </c>
      <c r="J204" s="11" t="s">
        <v>402</v>
      </c>
      <c r="S204" s="101"/>
      <c r="AC204" s="87"/>
    </row>
    <row r="205" spans="1:30">
      <c r="A205" s="81"/>
      <c r="S205" s="101"/>
      <c r="AC205" s="87"/>
    </row>
    <row r="206" spans="1:30">
      <c r="A206" s="81"/>
      <c r="B206" s="11" t="s">
        <v>422</v>
      </c>
      <c r="C206" s="4" t="s">
        <v>423</v>
      </c>
      <c r="I206" s="11" t="s">
        <v>114</v>
      </c>
      <c r="J206" s="11" t="s">
        <v>402</v>
      </c>
      <c r="K206" s="13">
        <v>0.35</v>
      </c>
      <c r="L206" s="13">
        <v>3.6389999999999998</v>
      </c>
      <c r="M206" s="11" t="s">
        <v>424</v>
      </c>
      <c r="N206" s="13">
        <v>1.1399999999999999</v>
      </c>
      <c r="S206" s="101"/>
      <c r="AC206" s="87"/>
      <c r="AD206" s="11">
        <v>0.25700000000000001</v>
      </c>
    </row>
    <row r="207" spans="1:30">
      <c r="A207" s="81"/>
      <c r="S207" s="101"/>
      <c r="AC207" s="87"/>
    </row>
    <row r="208" spans="1:30">
      <c r="A208" s="81"/>
      <c r="B208" s="11" t="s">
        <v>425</v>
      </c>
      <c r="C208" s="4" t="s">
        <v>426</v>
      </c>
      <c r="I208" s="11" t="s">
        <v>114</v>
      </c>
      <c r="J208" s="11" t="s">
        <v>402</v>
      </c>
      <c r="K208" s="13">
        <v>0.28299999999999997</v>
      </c>
      <c r="L208" s="13" t="s">
        <v>1048</v>
      </c>
      <c r="M208" s="40" t="s">
        <v>427</v>
      </c>
      <c r="N208" s="13">
        <v>1.1759999999999999</v>
      </c>
      <c r="S208" s="101"/>
      <c r="AC208" s="87"/>
      <c r="AD208" s="40">
        <v>0.27700000000000002</v>
      </c>
    </row>
    <row r="209" spans="1:30">
      <c r="A209" s="81"/>
      <c r="B209" s="11" t="s">
        <v>428</v>
      </c>
      <c r="C209" s="4" t="s">
        <v>429</v>
      </c>
      <c r="I209" s="11" t="s">
        <v>114</v>
      </c>
      <c r="J209" s="11" t="s">
        <v>402</v>
      </c>
      <c r="K209" s="13">
        <v>0.15</v>
      </c>
      <c r="M209" s="40" t="s">
        <v>430</v>
      </c>
      <c r="N209" s="13">
        <v>1.0610999999999999</v>
      </c>
      <c r="P209" s="50">
        <v>1.1180000000000001</v>
      </c>
      <c r="Q209" s="50">
        <v>235</v>
      </c>
      <c r="R209" s="50">
        <v>33.85</v>
      </c>
      <c r="S209" s="101"/>
      <c r="AC209" s="87"/>
      <c r="AD209" s="40">
        <v>0.26900000000000002</v>
      </c>
    </row>
    <row r="210" spans="1:30">
      <c r="A210" s="81"/>
      <c r="S210" s="101"/>
      <c r="AC210" s="87"/>
    </row>
    <row r="211" spans="1:30">
      <c r="A211" s="81"/>
      <c r="B211" s="11" t="s">
        <v>432</v>
      </c>
      <c r="C211" s="4" t="s">
        <v>423</v>
      </c>
      <c r="I211" s="11" t="s">
        <v>114</v>
      </c>
      <c r="J211" s="11" t="s">
        <v>402</v>
      </c>
      <c r="K211" s="13">
        <f>(61.57-61.43)*1000/(31.1*21.4)</f>
        <v>0.21035550079634668</v>
      </c>
      <c r="S211" s="101"/>
      <c r="AC211" s="87"/>
    </row>
    <row r="212" spans="1:30">
      <c r="A212" s="81"/>
      <c r="B212" s="11" t="s">
        <v>434</v>
      </c>
      <c r="C212" s="4" t="s">
        <v>435</v>
      </c>
      <c r="I212" s="11" t="s">
        <v>114</v>
      </c>
      <c r="J212" s="11" t="s">
        <v>402</v>
      </c>
      <c r="K212" s="13">
        <f>(62.09-61.89)*1000/(21.7*31.5)</f>
        <v>0.29259015434131058</v>
      </c>
      <c r="L212" s="13">
        <v>3.35</v>
      </c>
      <c r="P212" s="50">
        <v>1.22</v>
      </c>
      <c r="Q212" s="50">
        <v>238.6</v>
      </c>
      <c r="R212" s="50">
        <v>33.159999999999997</v>
      </c>
      <c r="S212" s="101"/>
      <c r="AC212" s="87"/>
    </row>
    <row r="213" spans="1:30">
      <c r="A213" s="81"/>
      <c r="B213" s="11" t="s">
        <v>436</v>
      </c>
      <c r="C213" s="4" t="s">
        <v>437</v>
      </c>
      <c r="I213" s="11" t="s">
        <v>114</v>
      </c>
      <c r="J213" s="11" t="s">
        <v>402</v>
      </c>
      <c r="N213" s="13">
        <f>(0.5503-0.5403)*1000/ (2.5 * 2.5)</f>
        <v>1.6000000000000014</v>
      </c>
      <c r="P213" s="50"/>
      <c r="Q213" s="50"/>
      <c r="R213" s="50"/>
      <c r="S213" s="101"/>
      <c r="AC213" s="87"/>
    </row>
    <row r="214" spans="1:30">
      <c r="A214" s="81" t="s">
        <v>1050</v>
      </c>
      <c r="B214" s="11" t="s">
        <v>439</v>
      </c>
      <c r="C214" s="4" t="s">
        <v>440</v>
      </c>
      <c r="I214" s="11" t="s">
        <v>383</v>
      </c>
      <c r="J214" s="11" t="s">
        <v>402</v>
      </c>
      <c r="K214" s="13">
        <f>(32.185-32.38)*1000/(27.9*12.7)</f>
        <v>-0.55033443400220217</v>
      </c>
      <c r="L214" s="28">
        <v>3.3222222222222264</v>
      </c>
      <c r="M214" s="11" t="s">
        <v>441</v>
      </c>
      <c r="N214" s="13">
        <f>(31.3-30.94)*1000/(12.7*26.9)</f>
        <v>1.0537716242718715</v>
      </c>
      <c r="S214" s="101"/>
      <c r="AC214" s="87"/>
      <c r="AD214" s="11">
        <v>0.27600000000000002</v>
      </c>
    </row>
    <row r="215" spans="1:30">
      <c r="A215" s="81" t="s">
        <v>1051</v>
      </c>
      <c r="B215" s="11" t="s">
        <v>443</v>
      </c>
      <c r="C215" s="4" t="s">
        <v>444</v>
      </c>
      <c r="I215" s="11" t="s">
        <v>383</v>
      </c>
      <c r="J215" s="11" t="s">
        <v>402</v>
      </c>
      <c r="K215" s="13">
        <f>(37.32-37.23)*1000/(14.66*27.49)</f>
        <v>0.22332317791860667</v>
      </c>
      <c r="L215" s="28">
        <v>3.1694444444444394</v>
      </c>
      <c r="M215" s="11" t="s">
        <v>445</v>
      </c>
      <c r="N215" s="13">
        <f>(35.43-34.92)*1000/(14.66*26.49)</f>
        <v>1.3132706774468115</v>
      </c>
      <c r="S215" s="101"/>
      <c r="AC215" s="87"/>
      <c r="AD215" s="11">
        <v>0.29499999999999998</v>
      </c>
    </row>
    <row r="216" spans="1:30">
      <c r="A216" s="81" t="s">
        <v>1052</v>
      </c>
      <c r="B216" s="11" t="s">
        <v>447</v>
      </c>
      <c r="C216" s="4" t="s">
        <v>448</v>
      </c>
      <c r="I216" s="11" t="s">
        <v>383</v>
      </c>
      <c r="J216" s="11" t="s">
        <v>402</v>
      </c>
      <c r="K216" s="13">
        <f>(41.62-41.91)*1000/(15.9*29.1)</f>
        <v>-0.62676954332274115</v>
      </c>
      <c r="L216" s="28">
        <v>4.613333333333328</v>
      </c>
      <c r="M216" s="11" t="s">
        <v>449</v>
      </c>
      <c r="N216" s="13">
        <f>(40.81-40.2)*1000/(28.1*15.9)</f>
        <v>1.3652946574453309</v>
      </c>
      <c r="S216" s="101"/>
      <c r="AC216" s="87"/>
      <c r="AD216" s="11">
        <v>0.29599999999999999</v>
      </c>
    </row>
    <row r="217" spans="1:30">
      <c r="A217" s="81"/>
      <c r="B217" s="11" t="s">
        <v>451</v>
      </c>
      <c r="C217" s="4" t="s">
        <v>452</v>
      </c>
      <c r="I217" s="11" t="s">
        <v>114</v>
      </c>
      <c r="J217" s="11" t="s">
        <v>402</v>
      </c>
      <c r="K217" s="13">
        <f>(62.9-62.56)*1000/(31.7*21.6)</f>
        <v>0.4965533356700495</v>
      </c>
      <c r="L217" s="28">
        <v>3.927</v>
      </c>
      <c r="M217" s="40" t="s">
        <v>453</v>
      </c>
      <c r="N217" s="13">
        <v>1.196</v>
      </c>
      <c r="S217" s="101"/>
      <c r="AC217" s="87"/>
      <c r="AD217" s="40">
        <v>0.28499999999999998</v>
      </c>
    </row>
    <row r="218" spans="1:30">
      <c r="A218" s="81"/>
      <c r="B218" s="11" t="s">
        <v>454</v>
      </c>
      <c r="C218" s="4" t="s">
        <v>455</v>
      </c>
      <c r="L218" s="28"/>
      <c r="S218" s="101"/>
      <c r="AC218" s="87"/>
    </row>
    <row r="219" spans="1:30">
      <c r="A219" s="81"/>
      <c r="B219" s="11" t="s">
        <v>456</v>
      </c>
      <c r="C219" s="4" t="s">
        <v>455</v>
      </c>
      <c r="L219" s="28"/>
      <c r="P219" s="50">
        <v>1.0840000000000001</v>
      </c>
      <c r="Q219" s="50">
        <v>228</v>
      </c>
      <c r="R219" s="50">
        <v>34.549999999999997</v>
      </c>
      <c r="S219" s="101"/>
      <c r="AC219" s="87"/>
    </row>
    <row r="220" spans="1:30">
      <c r="A220" s="81" t="s">
        <v>457</v>
      </c>
      <c r="B220" s="11" t="s">
        <v>458</v>
      </c>
      <c r="C220" s="4" t="s">
        <v>459</v>
      </c>
      <c r="I220" s="11" t="s">
        <v>114</v>
      </c>
      <c r="J220" s="11" t="s">
        <v>402</v>
      </c>
      <c r="K220" s="13">
        <f>(62.42-62.34)*1000/(32.2*21.6)</f>
        <v>0.11502185415228647</v>
      </c>
      <c r="M220" s="11" t="s">
        <v>449</v>
      </c>
      <c r="S220" s="101"/>
      <c r="AC220" s="87"/>
      <c r="AD220" s="11">
        <v>0.29599999999999999</v>
      </c>
    </row>
    <row r="221" spans="1:30">
      <c r="A221" s="81" t="s">
        <v>460</v>
      </c>
      <c r="B221" s="11" t="s">
        <v>461</v>
      </c>
      <c r="C221" s="4" t="s">
        <v>462</v>
      </c>
      <c r="I221" s="11" t="s">
        <v>114</v>
      </c>
      <c r="J221" s="11" t="s">
        <v>402</v>
      </c>
      <c r="K221" s="13">
        <f>(63.31-63.29)*1000/(21.6*32.2)</f>
        <v>2.8755463538076724E-2</v>
      </c>
      <c r="M221" s="11" t="s">
        <v>463</v>
      </c>
      <c r="S221" s="101"/>
      <c r="AC221" s="87"/>
      <c r="AD221" s="11">
        <v>0.29399999999999998</v>
      </c>
    </row>
    <row r="222" spans="1:30">
      <c r="A222" s="81" t="s">
        <v>464</v>
      </c>
      <c r="B222" s="11" t="s">
        <v>465</v>
      </c>
      <c r="C222" s="4" t="s">
        <v>466</v>
      </c>
      <c r="I222" s="11" t="s">
        <v>114</v>
      </c>
      <c r="J222" s="11" t="s">
        <v>402</v>
      </c>
      <c r="K222" s="13">
        <f>(62.95-63.18)*1000/(32.2*21.5)</f>
        <v>-0.33222591362125792</v>
      </c>
      <c r="M222" s="11" t="s">
        <v>467</v>
      </c>
      <c r="S222" s="101"/>
      <c r="AC222" s="87"/>
      <c r="AD222" s="11">
        <v>0.29199999999999998</v>
      </c>
    </row>
    <row r="223" spans="1:30">
      <c r="A223" s="81"/>
      <c r="B223" s="11" t="s">
        <v>469</v>
      </c>
      <c r="C223" s="4" t="s">
        <v>470</v>
      </c>
      <c r="I223" s="11" t="s">
        <v>114</v>
      </c>
      <c r="J223" s="11" t="s">
        <v>402</v>
      </c>
      <c r="K223" s="13">
        <f>(31.37-31.34)*1000/(13*26)</f>
        <v>8.875739644970751E-2</v>
      </c>
      <c r="L223" s="28">
        <v>2.0609999999999999</v>
      </c>
      <c r="M223" s="42" t="s">
        <v>471</v>
      </c>
      <c r="N223" s="13">
        <v>1.169</v>
      </c>
      <c r="S223" s="101"/>
      <c r="AC223" s="87"/>
      <c r="AD223" s="42">
        <v>0.26700000000000002</v>
      </c>
    </row>
    <row r="224" spans="1:30">
      <c r="A224" s="81"/>
      <c r="B224" s="11" t="s">
        <v>472</v>
      </c>
      <c r="C224" s="4" t="s">
        <v>473</v>
      </c>
      <c r="S224" s="101"/>
      <c r="AC224" s="87"/>
    </row>
    <row r="225" spans="1:30">
      <c r="A225" s="81"/>
      <c r="B225" s="11" t="s">
        <v>474</v>
      </c>
      <c r="C225" s="4" t="s">
        <v>473</v>
      </c>
      <c r="S225" s="101"/>
      <c r="AC225" s="87"/>
    </row>
    <row r="226" spans="1:30">
      <c r="A226" s="81"/>
      <c r="B226" s="11" t="s">
        <v>476</v>
      </c>
      <c r="C226" s="4" t="s">
        <v>466</v>
      </c>
      <c r="I226" s="11" t="s">
        <v>114</v>
      </c>
      <c r="J226" s="11" t="s">
        <v>402</v>
      </c>
      <c r="K226" s="13">
        <f>(61.7-61.68)*1000/(32.1*21.7)</f>
        <v>2.8712117949385021E-2</v>
      </c>
      <c r="L226" s="13">
        <v>3.25</v>
      </c>
      <c r="S226" s="101"/>
      <c r="AC226" s="87"/>
    </row>
    <row r="227" spans="1:30">
      <c r="A227" s="81"/>
      <c r="S227" s="101"/>
      <c r="AC227" s="87"/>
    </row>
    <row r="228" spans="1:30">
      <c r="A228" s="81" t="s">
        <v>483</v>
      </c>
      <c r="B228" s="11" t="s">
        <v>484</v>
      </c>
      <c r="C228" s="4" t="s">
        <v>485</v>
      </c>
      <c r="I228" s="11" t="s">
        <v>114</v>
      </c>
      <c r="J228" s="11" t="s">
        <v>402</v>
      </c>
      <c r="K228" s="13">
        <f>(62.93-62.16)*1000/(32.2*22.1)</f>
        <v>1.0820381664371477</v>
      </c>
      <c r="L228" s="13" t="s">
        <v>1048</v>
      </c>
      <c r="M228" s="11" t="s">
        <v>486</v>
      </c>
      <c r="S228" s="101"/>
      <c r="AC228" s="87"/>
      <c r="AD228" s="11">
        <v>0.26500000000000001</v>
      </c>
    </row>
    <row r="229" spans="1:30">
      <c r="A229" s="81" t="s">
        <v>487</v>
      </c>
      <c r="B229" s="11" t="s">
        <v>488</v>
      </c>
      <c r="C229" s="4" t="s">
        <v>489</v>
      </c>
      <c r="I229" s="11" t="s">
        <v>114</v>
      </c>
      <c r="J229" s="11" t="s">
        <v>402</v>
      </c>
      <c r="K229" s="13">
        <f>(63.66-63.37)*1000/(32.1*21.5)</f>
        <v>0.42019850757081673</v>
      </c>
      <c r="M229" s="11" t="s">
        <v>490</v>
      </c>
      <c r="S229" s="101"/>
      <c r="AC229" s="87"/>
      <c r="AD229" s="11">
        <v>0.27200000000000002</v>
      </c>
    </row>
    <row r="230" spans="1:30">
      <c r="A230" s="81"/>
      <c r="B230" s="11" t="s">
        <v>491</v>
      </c>
      <c r="C230" s="4" t="s">
        <v>1053</v>
      </c>
      <c r="I230" s="11" t="s">
        <v>114</v>
      </c>
      <c r="K230" s="13">
        <f>(20.33-20.91)*1000/(10.8*10.8)</f>
        <v>-4.972565157750358</v>
      </c>
      <c r="L230" s="13" t="s">
        <v>1048</v>
      </c>
      <c r="M230" s="11" t="s">
        <v>1048</v>
      </c>
      <c r="S230" s="101"/>
      <c r="AC230" s="87"/>
      <c r="AD230" s="11" t="s">
        <v>1048</v>
      </c>
    </row>
    <row r="231" spans="1:30">
      <c r="A231" s="81" t="s">
        <v>495</v>
      </c>
      <c r="B231" s="11" t="s">
        <v>496</v>
      </c>
      <c r="C231" s="4" t="s">
        <v>501</v>
      </c>
      <c r="I231" s="11" t="s">
        <v>114</v>
      </c>
      <c r="J231" s="11" t="s">
        <v>402</v>
      </c>
      <c r="K231" s="13">
        <f>(65.04-64.59)*1000/(32.1*21.7)</f>
        <v>0.64602265386106605</v>
      </c>
      <c r="L231" s="13">
        <v>2.52</v>
      </c>
      <c r="M231" s="11" t="s">
        <v>498</v>
      </c>
      <c r="N231" s="28">
        <v>1.1080000000000001</v>
      </c>
      <c r="P231" s="50">
        <v>1.02</v>
      </c>
      <c r="Q231" s="50">
        <v>217</v>
      </c>
      <c r="R231" s="50">
        <v>32.700000000000003</v>
      </c>
      <c r="S231" s="101"/>
      <c r="AC231" s="87"/>
      <c r="AD231" s="11">
        <v>0.27</v>
      </c>
    </row>
    <row r="232" spans="1:30">
      <c r="A232" s="81"/>
      <c r="B232" s="4"/>
      <c r="S232" s="101"/>
      <c r="AC232" s="87"/>
    </row>
    <row r="233" spans="1:30">
      <c r="A233" s="81" t="s">
        <v>499</v>
      </c>
      <c r="B233" s="11" t="s">
        <v>500</v>
      </c>
      <c r="C233" s="4" t="s">
        <v>501</v>
      </c>
      <c r="I233" s="11" t="s">
        <v>114</v>
      </c>
      <c r="J233" s="11" t="s">
        <v>402</v>
      </c>
      <c r="K233" s="13">
        <v>0.61799999999999999</v>
      </c>
      <c r="L233" s="13">
        <v>2.25</v>
      </c>
      <c r="M233" s="11" t="s">
        <v>502</v>
      </c>
      <c r="N233" s="28">
        <v>1.05</v>
      </c>
      <c r="S233" s="101"/>
      <c r="AC233" s="87"/>
      <c r="AD233" s="11" t="s">
        <v>502</v>
      </c>
    </row>
    <row r="234" spans="1:30">
      <c r="A234" s="81" t="s">
        <v>503</v>
      </c>
      <c r="B234" s="11" t="s">
        <v>504</v>
      </c>
      <c r="C234" s="4" t="s">
        <v>505</v>
      </c>
      <c r="I234" s="11" t="s">
        <v>114</v>
      </c>
      <c r="J234" s="11" t="s">
        <v>402</v>
      </c>
      <c r="K234" s="13">
        <v>2.8159999999999998</v>
      </c>
      <c r="L234" s="13">
        <v>1.6</v>
      </c>
      <c r="M234" s="11" t="s">
        <v>506</v>
      </c>
      <c r="N234" s="28">
        <v>1.196</v>
      </c>
      <c r="S234" s="101"/>
      <c r="AC234" s="87"/>
      <c r="AD234" s="11" t="s">
        <v>506</v>
      </c>
    </row>
    <row r="235" spans="1:30">
      <c r="A235" s="81" t="s">
        <v>507</v>
      </c>
      <c r="B235" s="11" t="s">
        <v>508</v>
      </c>
      <c r="C235" s="4" t="s">
        <v>509</v>
      </c>
      <c r="I235" s="11" t="s">
        <v>114</v>
      </c>
      <c r="J235" s="11" t="s">
        <v>402</v>
      </c>
      <c r="K235" s="13">
        <v>0.87</v>
      </c>
      <c r="L235" s="13">
        <v>4.22</v>
      </c>
      <c r="M235" s="11" t="s">
        <v>510</v>
      </c>
      <c r="N235" s="28">
        <v>1.6559999999999999</v>
      </c>
      <c r="S235" s="101"/>
      <c r="AC235" s="87"/>
      <c r="AD235" s="11" t="s">
        <v>510</v>
      </c>
    </row>
    <row r="236" spans="1:30">
      <c r="A236" s="81" t="s">
        <v>511</v>
      </c>
      <c r="B236" s="11" t="s">
        <v>512</v>
      </c>
      <c r="C236" s="4" t="s">
        <v>513</v>
      </c>
      <c r="I236" s="11" t="s">
        <v>114</v>
      </c>
      <c r="J236" s="11" t="s">
        <v>402</v>
      </c>
      <c r="K236" s="13">
        <v>2.13</v>
      </c>
      <c r="L236" s="13">
        <v>2.2799999999999998</v>
      </c>
      <c r="M236" s="11" t="s">
        <v>498</v>
      </c>
      <c r="N236" s="28">
        <v>1.0469999999999999</v>
      </c>
      <c r="S236" s="101"/>
      <c r="AC236" s="87"/>
      <c r="AD236" s="11" t="s">
        <v>498</v>
      </c>
    </row>
    <row r="237" spans="1:30">
      <c r="A237" s="81" t="s">
        <v>514</v>
      </c>
      <c r="B237" s="11" t="s">
        <v>515</v>
      </c>
      <c r="C237" s="4" t="s">
        <v>516</v>
      </c>
      <c r="I237" s="11" t="s">
        <v>114</v>
      </c>
      <c r="J237" s="11" t="s">
        <v>402</v>
      </c>
      <c r="K237" s="13">
        <v>0.61299999999999999</v>
      </c>
      <c r="M237" s="11" t="s">
        <v>403</v>
      </c>
      <c r="N237" s="13">
        <v>1.151</v>
      </c>
      <c r="S237" s="101"/>
      <c r="AC237" s="87"/>
      <c r="AD237" s="11" t="s">
        <v>403</v>
      </c>
    </row>
    <row r="238" spans="1:30">
      <c r="A238" s="81"/>
      <c r="B238" s="11" t="s">
        <v>1027</v>
      </c>
      <c r="C238" s="4" t="s">
        <v>517</v>
      </c>
      <c r="S238" s="101"/>
      <c r="AC238" s="87"/>
    </row>
    <row r="239" spans="1:30">
      <c r="A239" s="81"/>
      <c r="B239" s="11" t="s">
        <v>535</v>
      </c>
      <c r="C239" s="4" t="s">
        <v>536</v>
      </c>
      <c r="I239" s="11" t="s">
        <v>114</v>
      </c>
      <c r="J239" s="11" t="s">
        <v>402</v>
      </c>
      <c r="L239" s="13" t="s">
        <v>1048</v>
      </c>
      <c r="M239" s="11" t="s">
        <v>1048</v>
      </c>
      <c r="P239" s="4">
        <v>1.1839999999999999</v>
      </c>
      <c r="Q239" s="4">
        <v>217.94</v>
      </c>
      <c r="R239" s="4">
        <v>34.159999999999997</v>
      </c>
      <c r="S239" s="101" t="s">
        <v>537</v>
      </c>
      <c r="T239" s="72">
        <v>0.96</v>
      </c>
      <c r="U239" s="72">
        <v>1.9</v>
      </c>
      <c r="V239" s="72">
        <v>217.94</v>
      </c>
      <c r="W239" s="72">
        <v>34.159999999999997</v>
      </c>
      <c r="X239" s="72">
        <v>1.5255000000000001</v>
      </c>
      <c r="Y239" s="72">
        <v>1.5126999999999999</v>
      </c>
      <c r="Z239" s="72">
        <v>163.9</v>
      </c>
      <c r="AA239" s="72">
        <v>79.5</v>
      </c>
      <c r="AB239" s="72">
        <v>8.36</v>
      </c>
      <c r="AC239" s="87">
        <v>9.5399999999999991</v>
      </c>
      <c r="AD239" s="11" t="s">
        <v>1048</v>
      </c>
    </row>
    <row r="240" spans="1:30">
      <c r="A240" s="81"/>
      <c r="B240" s="11" t="s">
        <v>539</v>
      </c>
      <c r="C240" s="4" t="s">
        <v>536</v>
      </c>
      <c r="P240" s="4">
        <v>1.0580000000000001</v>
      </c>
      <c r="Q240" s="4">
        <v>229.94</v>
      </c>
      <c r="R240" s="4">
        <v>33.74</v>
      </c>
      <c r="S240" s="101" t="s">
        <v>540</v>
      </c>
      <c r="T240" s="72">
        <v>1.1000000000000001</v>
      </c>
      <c r="U240" s="72">
        <v>1.7</v>
      </c>
      <c r="V240" s="72">
        <v>229.94</v>
      </c>
      <c r="W240" s="72">
        <v>33.74</v>
      </c>
      <c r="X240" s="72">
        <v>1.5167999999999999</v>
      </c>
      <c r="Y240" s="72">
        <v>1.5182</v>
      </c>
      <c r="Z240" s="72">
        <v>120.1</v>
      </c>
      <c r="AA240" s="72">
        <v>88.7</v>
      </c>
      <c r="AB240" s="72">
        <v>9.89</v>
      </c>
      <c r="AC240" s="87">
        <v>9</v>
      </c>
    </row>
    <row r="241" spans="1:30">
      <c r="A241" s="122"/>
      <c r="B241" s="123" t="s">
        <v>542</v>
      </c>
      <c r="C241" s="124" t="s">
        <v>543</v>
      </c>
      <c r="D241" s="124"/>
      <c r="E241" s="124"/>
      <c r="F241" s="124"/>
      <c r="G241" s="124"/>
      <c r="H241" s="124"/>
      <c r="I241" s="123"/>
      <c r="J241" s="123"/>
      <c r="K241" s="125"/>
      <c r="L241" s="125"/>
      <c r="M241" s="123"/>
      <c r="N241" s="125">
        <v>0.55000000000000004</v>
      </c>
      <c r="O241" s="124"/>
      <c r="P241" s="124"/>
      <c r="Q241" s="124"/>
      <c r="R241" s="124"/>
      <c r="S241" s="126"/>
      <c r="T241" s="124"/>
      <c r="U241" s="124"/>
      <c r="V241" s="124"/>
      <c r="W241" s="124"/>
      <c r="X241" s="124"/>
      <c r="Y241" s="124"/>
      <c r="Z241" s="124"/>
      <c r="AA241" s="124"/>
      <c r="AB241" s="124"/>
      <c r="AC241" s="127"/>
      <c r="AD241" s="123"/>
    </row>
    <row r="242" spans="1:30">
      <c r="A242" s="122"/>
      <c r="B242" s="123" t="s">
        <v>546</v>
      </c>
      <c r="C242" s="124" t="s">
        <v>547</v>
      </c>
      <c r="D242" s="124"/>
      <c r="E242" s="124"/>
      <c r="F242" s="124"/>
      <c r="G242" s="124"/>
      <c r="H242" s="124"/>
      <c r="I242" s="123"/>
      <c r="J242" s="123"/>
      <c r="K242" s="125"/>
      <c r="L242" s="125"/>
      <c r="M242" s="123"/>
      <c r="N242" s="125">
        <v>1.36</v>
      </c>
      <c r="O242" s="124"/>
      <c r="P242" s="124"/>
      <c r="Q242" s="124"/>
      <c r="R242" s="124"/>
      <c r="S242" s="126"/>
      <c r="T242" s="124"/>
      <c r="U242" s="124"/>
      <c r="V242" s="124"/>
      <c r="W242" s="124"/>
      <c r="X242" s="124"/>
      <c r="Y242" s="124"/>
      <c r="Z242" s="124"/>
      <c r="AA242" s="124"/>
      <c r="AB242" s="124"/>
      <c r="AC242" s="127"/>
      <c r="AD242" s="123"/>
    </row>
    <row r="243" spans="1:30">
      <c r="A243" s="81" t="s">
        <v>550</v>
      </c>
      <c r="B243" s="11" t="s">
        <v>551</v>
      </c>
      <c r="C243" s="4" t="s">
        <v>552</v>
      </c>
      <c r="I243" s="11" t="s">
        <v>114</v>
      </c>
      <c r="J243" s="11" t="s">
        <v>402</v>
      </c>
      <c r="K243" s="13">
        <v>2.76</v>
      </c>
      <c r="M243" s="11" t="s">
        <v>403</v>
      </c>
      <c r="N243" s="13">
        <v>1.93</v>
      </c>
      <c r="P243" s="4">
        <v>1.0880000000000001</v>
      </c>
      <c r="Q243" s="4">
        <v>229.6</v>
      </c>
      <c r="R243" s="4">
        <v>32.5</v>
      </c>
      <c r="S243" s="101" t="s">
        <v>553</v>
      </c>
      <c r="T243" s="72">
        <v>0.68</v>
      </c>
      <c r="U243" s="72">
        <v>1.1000000000000001</v>
      </c>
      <c r="X243" s="72">
        <v>1.5698000000000001</v>
      </c>
      <c r="Y243" s="72">
        <v>1.5318000000000001</v>
      </c>
      <c r="Z243" s="72">
        <v>169.38</v>
      </c>
      <c r="AA243" s="72">
        <v>107.08</v>
      </c>
      <c r="AC243" s="87"/>
      <c r="AD243" s="11" t="s">
        <v>403</v>
      </c>
    </row>
    <row r="244" spans="1:30">
      <c r="A244" s="81" t="s">
        <v>555</v>
      </c>
      <c r="B244" s="11" t="s">
        <v>556</v>
      </c>
      <c r="C244" s="4" t="s">
        <v>557</v>
      </c>
      <c r="I244" s="11" t="s">
        <v>114</v>
      </c>
      <c r="J244" s="11" t="s">
        <v>402</v>
      </c>
      <c r="K244" s="28">
        <f>(31.73-31.72)*1000/(24.89*13.77)</f>
        <v>2.9177035455646278E-2</v>
      </c>
      <c r="L244" s="13">
        <v>3.72</v>
      </c>
      <c r="M244" s="11" t="s">
        <v>558</v>
      </c>
      <c r="N244" s="13">
        <v>1.07</v>
      </c>
      <c r="S244" s="101"/>
      <c r="AC244" s="87"/>
      <c r="AD244" s="11" t="s">
        <v>558</v>
      </c>
    </row>
    <row r="245" spans="1:30">
      <c r="A245" s="81" t="s">
        <v>559</v>
      </c>
      <c r="B245" s="11" t="s">
        <v>560</v>
      </c>
      <c r="C245" s="4" t="s">
        <v>557</v>
      </c>
      <c r="I245" s="11" t="s">
        <v>114</v>
      </c>
      <c r="J245" s="11" t="s">
        <v>402</v>
      </c>
      <c r="K245" s="28">
        <f>(31.73-31.72)*1000/(24.89*13.77)</f>
        <v>2.9177035455646278E-2</v>
      </c>
      <c r="M245" s="11" t="s">
        <v>558</v>
      </c>
      <c r="N245" s="13">
        <v>1.07</v>
      </c>
      <c r="S245" s="101"/>
      <c r="AC245" s="87"/>
      <c r="AD245" s="11" t="s">
        <v>558</v>
      </c>
    </row>
    <row r="246" spans="1:30">
      <c r="A246" s="81"/>
      <c r="B246" s="11" t="s">
        <v>561</v>
      </c>
      <c r="C246" s="4" t="s">
        <v>562</v>
      </c>
      <c r="I246" s="11" t="s">
        <v>114</v>
      </c>
      <c r="J246" s="11" t="s">
        <v>402</v>
      </c>
      <c r="K246" s="13">
        <f>(37.2-37.06)*1000/(26.02*13.4)</f>
        <v>0.40152810123097205</v>
      </c>
      <c r="S246" s="101"/>
      <c r="AC246" s="87"/>
    </row>
    <row r="247" spans="1:30">
      <c r="A247" s="81" t="s">
        <v>566</v>
      </c>
      <c r="B247" s="11" t="s">
        <v>567</v>
      </c>
      <c r="C247" s="4" t="s">
        <v>568</v>
      </c>
      <c r="I247" s="11" t="s">
        <v>114</v>
      </c>
      <c r="J247" s="11" t="s">
        <v>402</v>
      </c>
      <c r="K247" s="13">
        <f>(36.58-36.35)*1000/(29.1*15.3)</f>
        <v>0.51658693259662836</v>
      </c>
      <c r="L247" s="13" t="s">
        <v>1054</v>
      </c>
      <c r="S247" s="101"/>
      <c r="AC247" s="87"/>
    </row>
    <row r="248" spans="1:30">
      <c r="A248" s="81"/>
      <c r="B248" s="11" t="s">
        <v>572</v>
      </c>
      <c r="C248" s="4" t="s">
        <v>562</v>
      </c>
      <c r="I248" s="11" t="s">
        <v>114</v>
      </c>
      <c r="J248" s="11" t="s">
        <v>402</v>
      </c>
      <c r="K248" s="13">
        <f>(23.71-23.67)*1000/(17.1*13.8)</f>
        <v>0.16950589032968533</v>
      </c>
      <c r="L248" s="13">
        <v>3.55</v>
      </c>
      <c r="M248" s="11" t="s">
        <v>573</v>
      </c>
      <c r="N248" s="13">
        <v>1.26</v>
      </c>
      <c r="S248" s="101"/>
      <c r="AC248" s="87"/>
      <c r="AD248" s="11" t="s">
        <v>573</v>
      </c>
    </row>
    <row r="249" spans="1:30">
      <c r="A249" s="81"/>
      <c r="B249" s="11" t="s">
        <v>576</v>
      </c>
      <c r="C249" s="4" t="s">
        <v>562</v>
      </c>
      <c r="I249" s="11" t="s">
        <v>114</v>
      </c>
      <c r="J249" s="11" t="s">
        <v>402</v>
      </c>
      <c r="K249" s="13">
        <f>(32.43-32.42)*1000/(13.02*26.44)</f>
        <v>2.9048757758917416E-2</v>
      </c>
      <c r="S249" s="101"/>
      <c r="AC249" s="87"/>
    </row>
    <row r="250" spans="1:30">
      <c r="A250" s="88"/>
      <c r="B250" s="89" t="s">
        <v>580</v>
      </c>
      <c r="C250" s="90" t="s">
        <v>562</v>
      </c>
      <c r="D250" s="90"/>
      <c r="E250" s="90"/>
      <c r="F250" s="90"/>
      <c r="G250" s="90"/>
      <c r="H250" s="90"/>
      <c r="I250" s="89" t="s">
        <v>114</v>
      </c>
      <c r="J250" s="89" t="s">
        <v>402</v>
      </c>
      <c r="K250" s="91">
        <f>(32.01-31.88)*1000/(13.02*26.44)</f>
        <v>0.37763385086599865</v>
      </c>
      <c r="L250" s="91"/>
      <c r="M250" s="89"/>
      <c r="N250" s="91"/>
      <c r="O250" s="90"/>
      <c r="P250" s="90"/>
      <c r="Q250" s="90"/>
      <c r="R250" s="90"/>
      <c r="S250" s="102"/>
      <c r="T250" s="92"/>
      <c r="U250" s="92"/>
      <c r="V250" s="92"/>
      <c r="W250" s="92"/>
      <c r="X250" s="92"/>
      <c r="Y250" s="92"/>
      <c r="Z250" s="92"/>
      <c r="AA250" s="92"/>
      <c r="AB250" s="92"/>
      <c r="AC250" s="93"/>
      <c r="AD250" s="89"/>
    </row>
    <row r="251" spans="1:30">
      <c r="A251" s="116"/>
      <c r="B251" s="117" t="s">
        <v>584</v>
      </c>
      <c r="C251" s="118" t="s">
        <v>585</v>
      </c>
      <c r="D251" s="118"/>
      <c r="E251" s="118"/>
      <c r="F251" s="118"/>
      <c r="G251" s="118"/>
      <c r="H251" s="118"/>
      <c r="I251" s="117" t="s">
        <v>114</v>
      </c>
      <c r="J251" s="117" t="s">
        <v>402</v>
      </c>
      <c r="K251" s="119"/>
      <c r="L251" s="119"/>
      <c r="M251" s="117"/>
      <c r="N251" s="119">
        <f>(0.602-0.593)*1000/(2.5*2.5)</f>
        <v>1.4400000000000011</v>
      </c>
      <c r="O251" s="118"/>
      <c r="P251" s="120">
        <v>1.119</v>
      </c>
      <c r="Q251" s="120">
        <v>227.95</v>
      </c>
      <c r="R251" s="120">
        <v>31.57</v>
      </c>
      <c r="S251" s="101" t="s">
        <v>586</v>
      </c>
      <c r="T251" s="92">
        <v>1.19</v>
      </c>
      <c r="U251" s="92">
        <v>1.6</v>
      </c>
      <c r="V251" s="72">
        <v>227.95</v>
      </c>
      <c r="W251" s="72">
        <v>31.57</v>
      </c>
      <c r="X251" s="92">
        <v>1.5388999999999999</v>
      </c>
      <c r="Y251" s="92">
        <v>1.5283</v>
      </c>
      <c r="Z251" s="92">
        <v>128.80000000000001</v>
      </c>
      <c r="AA251" s="92">
        <v>89.9</v>
      </c>
      <c r="AB251" s="92">
        <v>47.283000000000001</v>
      </c>
      <c r="AC251" s="93">
        <v>19.838000000000001</v>
      </c>
      <c r="AD251" s="117"/>
    </row>
    <row r="252" spans="1:30">
      <c r="A252" s="81"/>
      <c r="B252" s="89" t="s">
        <v>588</v>
      </c>
      <c r="C252" s="90" t="s">
        <v>589</v>
      </c>
      <c r="I252" s="89" t="s">
        <v>114</v>
      </c>
      <c r="J252" s="89" t="s">
        <v>402</v>
      </c>
      <c r="K252" s="13">
        <f>(1.3857-1.5335)*1000/(4.04*4.12)</f>
        <v>-8.879650100932432</v>
      </c>
      <c r="S252" s="101"/>
      <c r="AC252" s="87"/>
    </row>
    <row r="253" spans="1:30">
      <c r="A253" s="81"/>
      <c r="B253" s="89" t="s">
        <v>590</v>
      </c>
      <c r="C253" s="90" t="s">
        <v>591</v>
      </c>
      <c r="I253" s="89" t="s">
        <v>114</v>
      </c>
      <c r="J253" s="89" t="s">
        <v>402</v>
      </c>
      <c r="K253" s="13">
        <f>(1.4495-1.4628)*1000/(4.02*3.97)</f>
        <v>-0.83336466283194166</v>
      </c>
      <c r="S253" s="101"/>
      <c r="AC253" s="87"/>
    </row>
    <row r="254" spans="1:30">
      <c r="A254" s="109"/>
      <c r="B254" s="110" t="s">
        <v>592</v>
      </c>
      <c r="C254" s="111" t="s">
        <v>593</v>
      </c>
      <c r="D254" s="112"/>
      <c r="E254" s="112"/>
      <c r="F254" s="112"/>
      <c r="G254" s="112"/>
      <c r="H254" s="112"/>
      <c r="I254" s="110" t="s">
        <v>114</v>
      </c>
      <c r="J254" s="110" t="s">
        <v>402</v>
      </c>
      <c r="K254" s="113">
        <f>(1.4183-1.4226)*1000/(4.02*3.92)</f>
        <v>-0.27287034216672967</v>
      </c>
      <c r="L254" s="113"/>
      <c r="M254" s="114"/>
      <c r="N254" s="113">
        <f>(0.5415-0.5338)*1000/(2.5*2.5)</f>
        <v>1.2319999999999887</v>
      </c>
      <c r="O254" s="112"/>
      <c r="P254" s="112">
        <v>1.1499999999999999</v>
      </c>
      <c r="Q254" s="112">
        <v>232.82</v>
      </c>
      <c r="R254" s="112">
        <v>33.72</v>
      </c>
      <c r="S254" s="101" t="s">
        <v>594</v>
      </c>
      <c r="T254" s="72">
        <v>1.5</v>
      </c>
      <c r="U254" s="72">
        <v>1.85</v>
      </c>
      <c r="V254" s="72">
        <v>232.82</v>
      </c>
      <c r="W254" s="72">
        <v>33.72</v>
      </c>
      <c r="X254" s="72">
        <v>1.5394000000000001</v>
      </c>
      <c r="Y254" s="72">
        <v>1.5276000000000001</v>
      </c>
      <c r="Z254" s="72">
        <v>95.63</v>
      </c>
      <c r="AA254" s="72">
        <v>82.34</v>
      </c>
      <c r="AC254" s="87"/>
      <c r="AD254" s="114"/>
    </row>
    <row r="255" spans="1:30">
      <c r="A255" s="88"/>
      <c r="B255" s="89" t="s">
        <v>596</v>
      </c>
      <c r="C255" s="90" t="s">
        <v>597</v>
      </c>
      <c r="D255" s="90"/>
      <c r="E255" s="90"/>
      <c r="F255" s="90"/>
      <c r="G255" s="90"/>
      <c r="H255" s="90"/>
      <c r="I255" s="89" t="s">
        <v>114</v>
      </c>
      <c r="J255" s="89" t="s">
        <v>402</v>
      </c>
      <c r="K255" s="91">
        <f>(1.3622-1.4338)*1000/(4.01*3.99)</f>
        <v>-4.475027968924798</v>
      </c>
      <c r="L255" s="91"/>
      <c r="M255" s="89"/>
      <c r="N255" s="91"/>
      <c r="O255" s="90"/>
      <c r="P255" s="90">
        <v>1.268</v>
      </c>
      <c r="Q255" s="90">
        <v>231.57</v>
      </c>
      <c r="R255" s="90">
        <v>33.61</v>
      </c>
      <c r="S255" s="102"/>
      <c r="T255" s="92"/>
      <c r="U255" s="92"/>
      <c r="V255" s="92"/>
      <c r="W255" s="92"/>
      <c r="X255" s="92"/>
      <c r="Y255" s="92"/>
      <c r="Z255" s="92"/>
      <c r="AA255" s="92"/>
      <c r="AB255" s="92"/>
      <c r="AC255" s="93"/>
      <c r="AD255" s="89"/>
    </row>
    <row r="256" spans="1:30">
      <c r="B256" s="107" t="s">
        <v>598</v>
      </c>
      <c r="C256" s="108" t="s">
        <v>599</v>
      </c>
      <c r="I256" s="11" t="s">
        <v>114</v>
      </c>
      <c r="J256" s="11" t="s">
        <v>402</v>
      </c>
    </row>
    <row r="257" spans="2:18">
      <c r="B257" s="107" t="s">
        <v>600</v>
      </c>
      <c r="C257" s="4" t="s">
        <v>536</v>
      </c>
      <c r="P257" s="4">
        <v>1.2410000000000001</v>
      </c>
      <c r="Q257" s="4">
        <v>233.21</v>
      </c>
      <c r="R257" s="4">
        <v>36.450000000000003</v>
      </c>
    </row>
    <row r="258" spans="2:18">
      <c r="B258" s="107" t="s">
        <v>601</v>
      </c>
      <c r="C258" s="4" t="s">
        <v>536</v>
      </c>
      <c r="P258" s="4">
        <v>1.1120000000000001</v>
      </c>
      <c r="Q258" s="4">
        <v>226.29</v>
      </c>
      <c r="R258" s="4">
        <v>33.29</v>
      </c>
    </row>
  </sheetData>
  <hyperlinks>
    <hyperlink ref="J2" r:id="rId1" xr:uid="{9521EE8F-48FE-4A91-AC40-135F81D7E977}"/>
    <hyperlink ref="J3" r:id="rId2" xr:uid="{384E483C-74EB-4C25-974A-E0043744EA54}"/>
    <hyperlink ref="J18" r:id="rId3" xr:uid="{6528B49D-F74C-4A2D-AC0C-8214880629CE}"/>
    <hyperlink ref="J22" r:id="rId4" xr:uid="{5B3F6F80-7CDC-4F7B-902F-121CCFCD0211}"/>
  </hyperlinks>
  <pageMargins left="0.7" right="0.7" top="0.75" bottom="0.75" header="0.3" footer="0.3"/>
  <drawing r:id="rId5"/>
  <legacyDrawing r:id="rId6"/>
  <tableParts count="1"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FF3F3-92ED-4DEF-8F34-F67D4093FE22}">
  <dimension ref="A1:BO104"/>
  <sheetViews>
    <sheetView topLeftCell="A30" workbookViewId="0">
      <selection activeCell="K36" sqref="K36"/>
    </sheetView>
  </sheetViews>
  <sheetFormatPr defaultRowHeight="14.45"/>
  <cols>
    <col min="4" max="4" width="18.5703125" bestFit="1" customWidth="1"/>
    <col min="5" max="5" width="25.5703125" bestFit="1" customWidth="1"/>
    <col min="8" max="8" width="18.5703125" bestFit="1" customWidth="1"/>
    <col min="13" max="13" width="23.28515625" bestFit="1" customWidth="1"/>
    <col min="14" max="14" width="18.5703125" bestFit="1" customWidth="1"/>
    <col min="15" max="15" width="18.85546875" bestFit="1" customWidth="1"/>
    <col min="18" max="18" width="12.42578125" bestFit="1" customWidth="1"/>
    <col min="19" max="19" width="18" bestFit="1" customWidth="1"/>
    <col min="25" max="25" width="18.85546875" bestFit="1" customWidth="1"/>
    <col min="28" max="28" width="9.85546875" bestFit="1" customWidth="1"/>
    <col min="46" max="46" width="17.85546875" bestFit="1" customWidth="1"/>
    <col min="58" max="58" width="22.140625" customWidth="1"/>
    <col min="59" max="59" width="14.5703125" bestFit="1" customWidth="1"/>
    <col min="60" max="60" width="18.140625" bestFit="1" customWidth="1"/>
    <col min="63" max="63" width="10.5703125" bestFit="1" customWidth="1"/>
  </cols>
  <sheetData>
    <row r="1" spans="1:67">
      <c r="A1" s="157"/>
      <c r="B1" s="158" t="s">
        <v>1055</v>
      </c>
      <c r="C1" s="228">
        <v>23269</v>
      </c>
      <c r="D1" s="228"/>
      <c r="E1" s="228"/>
      <c r="F1" s="228"/>
      <c r="G1" s="228"/>
      <c r="H1" s="228"/>
      <c r="I1" s="228"/>
      <c r="J1" s="229"/>
      <c r="L1" s="157"/>
      <c r="M1" s="228">
        <v>23270.01</v>
      </c>
      <c r="N1" s="228"/>
      <c r="O1" s="228"/>
      <c r="P1" s="228"/>
      <c r="Q1" s="228"/>
      <c r="R1" s="228"/>
      <c r="S1" s="228"/>
      <c r="T1" s="229"/>
      <c r="V1" s="157"/>
      <c r="W1" s="228">
        <v>23271.01</v>
      </c>
      <c r="X1" s="228"/>
      <c r="Y1" s="228"/>
      <c r="Z1" s="228"/>
      <c r="AA1" s="228"/>
      <c r="AB1" s="228"/>
      <c r="AC1" s="228"/>
      <c r="AD1" s="229"/>
      <c r="AF1" s="157"/>
      <c r="AG1" s="158" t="s">
        <v>1055</v>
      </c>
      <c r="AH1" s="228">
        <v>23271.02</v>
      </c>
      <c r="AI1" s="228"/>
      <c r="AJ1" s="228"/>
      <c r="AK1" s="228"/>
      <c r="AL1" s="228"/>
      <c r="AM1" s="228"/>
      <c r="AN1" s="228"/>
      <c r="AO1" s="229"/>
      <c r="AQ1" s="157"/>
      <c r="AR1" s="158" t="s">
        <v>1055</v>
      </c>
      <c r="AS1" s="228">
        <v>23272.01</v>
      </c>
      <c r="AT1" s="228"/>
      <c r="AU1" s="228"/>
      <c r="AV1" s="228"/>
      <c r="AW1" s="228"/>
      <c r="AX1" s="228"/>
      <c r="AY1" s="228"/>
      <c r="AZ1" s="229"/>
      <c r="BE1" s="4"/>
      <c r="BF1" s="4"/>
      <c r="BG1" s="222" t="s">
        <v>1056</v>
      </c>
      <c r="BH1" s="222"/>
      <c r="BI1" s="222"/>
      <c r="BJ1" s="202"/>
      <c r="BK1" s="4"/>
      <c r="BL1" s="223" t="s">
        <v>1057</v>
      </c>
      <c r="BM1" s="223"/>
      <c r="BN1" s="223"/>
      <c r="BO1" s="4" t="s">
        <v>1058</v>
      </c>
    </row>
    <row r="2" spans="1:67">
      <c r="A2" s="155"/>
      <c r="C2" s="225" t="s">
        <v>1056</v>
      </c>
      <c r="D2" s="225"/>
      <c r="E2" s="225"/>
      <c r="G2" s="230" t="s">
        <v>1057</v>
      </c>
      <c r="H2" s="231"/>
      <c r="I2" s="231"/>
      <c r="J2" s="156"/>
      <c r="L2" s="155"/>
      <c r="M2" s="225" t="s">
        <v>1056</v>
      </c>
      <c r="N2" s="225"/>
      <c r="O2" s="225"/>
      <c r="Q2" s="230" t="s">
        <v>1057</v>
      </c>
      <c r="R2" s="231"/>
      <c r="S2" s="231"/>
      <c r="T2" s="156"/>
      <c r="V2" s="155"/>
      <c r="W2" s="225" t="s">
        <v>1056</v>
      </c>
      <c r="X2" s="225"/>
      <c r="Y2" s="225"/>
      <c r="AA2" s="230" t="s">
        <v>1057</v>
      </c>
      <c r="AB2" s="231"/>
      <c r="AC2" s="231"/>
      <c r="AD2" s="156"/>
      <c r="AF2" s="155"/>
      <c r="AH2" s="225" t="s">
        <v>1056</v>
      </c>
      <c r="AI2" s="225"/>
      <c r="AJ2" s="225"/>
      <c r="AL2" s="230" t="s">
        <v>1057</v>
      </c>
      <c r="AM2" s="231"/>
      <c r="AN2" s="231"/>
      <c r="AO2" s="156"/>
      <c r="AQ2" s="155"/>
      <c r="AS2" s="225" t="s">
        <v>1056</v>
      </c>
      <c r="AT2" s="225"/>
      <c r="AU2" s="225"/>
      <c r="AW2" s="230" t="s">
        <v>1057</v>
      </c>
      <c r="AX2" s="231"/>
      <c r="AY2" s="231"/>
      <c r="AZ2" s="156"/>
      <c r="BE2" s="54" t="s">
        <v>1055</v>
      </c>
      <c r="BF2" s="54" t="s">
        <v>1059</v>
      </c>
      <c r="BG2" s="54" t="s">
        <v>35</v>
      </c>
      <c r="BH2" s="54" t="s">
        <v>1060</v>
      </c>
      <c r="BI2" s="54" t="s">
        <v>37</v>
      </c>
      <c r="BJ2" s="54"/>
      <c r="BK2" s="54" t="s">
        <v>1061</v>
      </c>
      <c r="BL2" s="54" t="s">
        <v>35</v>
      </c>
      <c r="BM2" s="54" t="s">
        <v>1060</v>
      </c>
      <c r="BN2" s="54" t="s">
        <v>37</v>
      </c>
      <c r="BO2" s="54" t="s">
        <v>1062</v>
      </c>
    </row>
    <row r="3" spans="1:67" s="56" customFormat="1">
      <c r="A3" s="159"/>
      <c r="C3" s="56" t="s">
        <v>1063</v>
      </c>
      <c r="D3" s="56" t="s">
        <v>1064</v>
      </c>
      <c r="E3" s="56" t="s">
        <v>37</v>
      </c>
      <c r="G3" s="56" t="s">
        <v>1063</v>
      </c>
      <c r="H3" s="56" t="s">
        <v>1064</v>
      </c>
      <c r="I3" s="56" t="s">
        <v>1065</v>
      </c>
      <c r="J3" s="160"/>
      <c r="L3" s="159"/>
      <c r="M3" s="56" t="s">
        <v>1063</v>
      </c>
      <c r="N3" s="56" t="s">
        <v>1064</v>
      </c>
      <c r="O3" s="56" t="s">
        <v>37</v>
      </c>
      <c r="Q3" s="56" t="s">
        <v>1063</v>
      </c>
      <c r="R3" s="56" t="s">
        <v>1064</v>
      </c>
      <c r="S3" s="56" t="s">
        <v>1065</v>
      </c>
      <c r="T3" s="160"/>
      <c r="V3" s="159"/>
      <c r="W3" s="56" t="s">
        <v>1063</v>
      </c>
      <c r="X3" s="56" t="s">
        <v>1064</v>
      </c>
      <c r="Y3" s="56" t="s">
        <v>37</v>
      </c>
      <c r="AA3" s="56" t="s">
        <v>1063</v>
      </c>
      <c r="AB3" s="56" t="s">
        <v>1064</v>
      </c>
      <c r="AC3" s="56" t="s">
        <v>1065</v>
      </c>
      <c r="AD3" s="160"/>
      <c r="AF3" s="159"/>
      <c r="AH3" s="56" t="s">
        <v>1063</v>
      </c>
      <c r="AI3" s="56" t="s">
        <v>1064</v>
      </c>
      <c r="AJ3" s="56" t="s">
        <v>37</v>
      </c>
      <c r="AL3" s="56" t="s">
        <v>1063</v>
      </c>
      <c r="AM3" s="56" t="s">
        <v>1064</v>
      </c>
      <c r="AN3" s="56" t="s">
        <v>1065</v>
      </c>
      <c r="AO3" s="160"/>
      <c r="AP3"/>
      <c r="AQ3" s="159"/>
      <c r="AS3" s="56" t="s">
        <v>1063</v>
      </c>
      <c r="AT3" s="56" t="s">
        <v>1064</v>
      </c>
      <c r="AU3" s="56" t="s">
        <v>37</v>
      </c>
      <c r="AW3" s="56" t="s">
        <v>1063</v>
      </c>
      <c r="AX3" s="56" t="s">
        <v>1064</v>
      </c>
      <c r="AY3" s="56" t="s">
        <v>1065</v>
      </c>
      <c r="AZ3" s="160"/>
      <c r="BA3"/>
      <c r="BB3"/>
      <c r="BE3" s="224" t="s">
        <v>1066</v>
      </c>
      <c r="BF3" s="4" t="s">
        <v>1067</v>
      </c>
      <c r="BG3" s="183">
        <v>0.94722176601646502</v>
      </c>
      <c r="BH3" s="184">
        <v>228.740146408328</v>
      </c>
      <c r="BI3" s="184">
        <v>38.219759491994701</v>
      </c>
      <c r="BJ3" s="203">
        <v>5.8399400042854079E-2</v>
      </c>
      <c r="BK3" s="135">
        <v>6.0265894714270407E-2</v>
      </c>
      <c r="BL3" s="183">
        <v>1.0387261768963401</v>
      </c>
      <c r="BM3" s="184">
        <v>223.281828183252</v>
      </c>
      <c r="BN3" s="184">
        <v>34.962053361967897</v>
      </c>
      <c r="BO3" s="6">
        <f>BH3-BM3</f>
        <v>5.458318225075999</v>
      </c>
    </row>
    <row r="4" spans="1:67">
      <c r="A4" s="161" t="s">
        <v>1068</v>
      </c>
      <c r="C4" s="162">
        <v>0.94722176601646502</v>
      </c>
      <c r="D4" s="162">
        <v>228.740146408328</v>
      </c>
      <c r="E4" s="162">
        <v>38.219759491994701</v>
      </c>
      <c r="G4" s="162">
        <v>1.0387261768963401</v>
      </c>
      <c r="H4" s="162">
        <v>223.281828183252</v>
      </c>
      <c r="I4" s="162">
        <v>34.962053361967897</v>
      </c>
      <c r="J4" s="156"/>
      <c r="L4" s="163" t="s">
        <v>1069</v>
      </c>
      <c r="M4">
        <v>1.13486697646937</v>
      </c>
      <c r="N4">
        <v>230.47693803330699</v>
      </c>
      <c r="O4" s="164">
        <v>34.259797978829702</v>
      </c>
      <c r="P4" s="132"/>
      <c r="Q4">
        <v>1.1299729168350801</v>
      </c>
      <c r="R4">
        <v>225.72654771133301</v>
      </c>
      <c r="S4">
        <v>33.248936739604801</v>
      </c>
      <c r="T4" s="156"/>
      <c r="V4" s="155" t="s">
        <v>1069</v>
      </c>
      <c r="W4" s="162">
        <v>1.1442146560705799</v>
      </c>
      <c r="X4" s="162">
        <v>225.525134518546</v>
      </c>
      <c r="Y4" s="162">
        <v>33.909235175842198</v>
      </c>
      <c r="Z4" s="132"/>
      <c r="AA4" s="162">
        <v>1.08618003590643</v>
      </c>
      <c r="AB4" s="162">
        <v>220.004029836966</v>
      </c>
      <c r="AC4" s="162">
        <v>34.057354692270003</v>
      </c>
      <c r="AD4" s="156"/>
      <c r="AF4" s="161" t="s">
        <v>1069</v>
      </c>
      <c r="AH4" s="162">
        <v>1.12535635348633</v>
      </c>
      <c r="AI4" s="162">
        <v>227.47990271219001</v>
      </c>
      <c r="AJ4" s="162">
        <v>33.782111161930899</v>
      </c>
      <c r="AL4" s="162">
        <v>1.08238246926413</v>
      </c>
      <c r="AM4" s="162">
        <v>220.38120231555399</v>
      </c>
      <c r="AN4" s="162">
        <v>35.2367346261439</v>
      </c>
      <c r="AO4" s="156"/>
      <c r="AQ4" s="161" t="s">
        <v>1068</v>
      </c>
      <c r="AS4" s="162">
        <v>1.24122632425093</v>
      </c>
      <c r="AT4" s="162">
        <v>226.969720930292</v>
      </c>
      <c r="AU4" s="162">
        <v>32.838750863962503</v>
      </c>
      <c r="AW4" s="162">
        <v>1.0175295173079699</v>
      </c>
      <c r="AX4" s="162">
        <v>224.46314603006201</v>
      </c>
      <c r="AY4" s="162">
        <v>35.128548654257301</v>
      </c>
      <c r="AZ4" s="156"/>
      <c r="BE4" s="224"/>
      <c r="BF4" s="4" t="s">
        <v>1070</v>
      </c>
      <c r="BG4" s="183">
        <v>0.92563733174808105</v>
      </c>
      <c r="BH4" s="184">
        <v>226.084193271717</v>
      </c>
      <c r="BI4" s="184">
        <v>34.486157462808002</v>
      </c>
      <c r="BJ4" s="135">
        <v>6.2559190701678855E-2</v>
      </c>
      <c r="BK4" s="203">
        <v>6.2043795620437964E-2</v>
      </c>
      <c r="BL4" s="183">
        <v>1.19438338472977</v>
      </c>
      <c r="BM4" s="184">
        <v>222.848866887714</v>
      </c>
      <c r="BN4" s="184">
        <v>33.745091929847597</v>
      </c>
      <c r="BO4" s="6">
        <f t="shared" ref="BO4:BO19" si="0">BH4-BM4</f>
        <v>3.2353263840030024</v>
      </c>
    </row>
    <row r="5" spans="1:67">
      <c r="A5" s="155"/>
      <c r="J5" s="156"/>
      <c r="L5" s="155"/>
      <c r="T5" s="156"/>
      <c r="V5" s="155"/>
      <c r="AD5" s="156"/>
      <c r="AF5" s="155"/>
      <c r="AO5" s="156"/>
      <c r="AQ5" s="155"/>
      <c r="AZ5" s="156"/>
      <c r="BE5" s="224"/>
      <c r="BF5" s="4" t="s">
        <v>1071</v>
      </c>
      <c r="BG5" s="183">
        <v>1.1218637580822</v>
      </c>
      <c r="BH5" s="184">
        <v>223.527871859805</v>
      </c>
      <c r="BI5" s="184">
        <v>35.959853419672598</v>
      </c>
      <c r="BJ5" s="203">
        <v>6.5280620489066035E-2</v>
      </c>
      <c r="BK5" s="135">
        <v>7.6716808371484632E-2</v>
      </c>
      <c r="BL5" s="183">
        <v>1.15492626041711</v>
      </c>
      <c r="BM5" s="184">
        <v>217.72157901663601</v>
      </c>
      <c r="BN5" s="184">
        <v>32.344051987966097</v>
      </c>
      <c r="BO5" s="6">
        <f t="shared" si="0"/>
        <v>5.8062928431689897</v>
      </c>
    </row>
    <row r="6" spans="1:67">
      <c r="A6" s="155"/>
      <c r="J6" s="156"/>
      <c r="L6" s="155"/>
      <c r="T6" s="156"/>
      <c r="V6" s="155"/>
      <c r="AD6" s="156"/>
      <c r="AF6" s="155"/>
      <c r="AO6" s="156"/>
      <c r="AQ6" s="155"/>
      <c r="AZ6" s="156"/>
      <c r="BE6" s="224" t="s">
        <v>1072</v>
      </c>
      <c r="BF6" s="4" t="s">
        <v>1069</v>
      </c>
      <c r="BG6" s="185">
        <v>1.13486697646937</v>
      </c>
      <c r="BH6" s="186">
        <v>230.47693803330699</v>
      </c>
      <c r="BI6" s="186">
        <v>34.259797978829702</v>
      </c>
      <c r="BJ6" s="203">
        <v>9.8379578246392915E-2</v>
      </c>
      <c r="BK6" s="135">
        <v>0.1281613123718387</v>
      </c>
      <c r="BL6" s="185">
        <v>1.1299729168350801</v>
      </c>
      <c r="BM6" s="186">
        <v>225.72654771133301</v>
      </c>
      <c r="BN6" s="186">
        <v>33.248936739604801</v>
      </c>
      <c r="BO6" s="6">
        <f t="shared" si="0"/>
        <v>4.7503903219739811</v>
      </c>
    </row>
    <row r="7" spans="1:67">
      <c r="A7" s="155"/>
      <c r="C7" s="16" t="s">
        <v>1073</v>
      </c>
      <c r="D7" s="16" t="s">
        <v>1074</v>
      </c>
      <c r="G7" s="16" t="s">
        <v>1073</v>
      </c>
      <c r="H7" s="16" t="s">
        <v>1074</v>
      </c>
      <c r="J7" s="156"/>
      <c r="L7" s="155"/>
      <c r="M7" s="16" t="s">
        <v>1073</v>
      </c>
      <c r="N7" s="16" t="s">
        <v>1074</v>
      </c>
      <c r="Q7" s="16" t="s">
        <v>1073</v>
      </c>
      <c r="R7" s="16" t="s">
        <v>1074</v>
      </c>
      <c r="T7" s="156"/>
      <c r="V7" s="155"/>
      <c r="W7" s="16" t="s">
        <v>1073</v>
      </c>
      <c r="X7" s="16" t="s">
        <v>1074</v>
      </c>
      <c r="AA7" s="16" t="s">
        <v>1073</v>
      </c>
      <c r="AB7" s="16" t="s">
        <v>1074</v>
      </c>
      <c r="AD7" s="156"/>
      <c r="AF7" s="155"/>
      <c r="AH7" s="16" t="s">
        <v>1073</v>
      </c>
      <c r="AI7" s="16" t="s">
        <v>1074</v>
      </c>
      <c r="AL7" s="16" t="s">
        <v>1073</v>
      </c>
      <c r="AM7" s="16" t="s">
        <v>1074</v>
      </c>
      <c r="AO7" s="156"/>
      <c r="AQ7" s="155"/>
      <c r="AS7" s="16" t="s">
        <v>1073</v>
      </c>
      <c r="AT7" s="16" t="s">
        <v>1074</v>
      </c>
      <c r="AW7" s="16" t="s">
        <v>1073</v>
      </c>
      <c r="AX7" s="16" t="s">
        <v>1074</v>
      </c>
      <c r="AZ7" s="156"/>
      <c r="BE7" s="224"/>
      <c r="BF7" s="4" t="s">
        <v>1075</v>
      </c>
      <c r="BG7" s="185">
        <v>1.19443433805855</v>
      </c>
      <c r="BH7" s="184">
        <v>225.714625746857</v>
      </c>
      <c r="BI7" s="184">
        <v>33.2270688301207</v>
      </c>
      <c r="BJ7" s="135">
        <v>0.11491681654676261</v>
      </c>
      <c r="BK7" s="203">
        <v>8.7312369891530628E-2</v>
      </c>
      <c r="BL7" s="185">
        <v>1.0880979810387801</v>
      </c>
      <c r="BM7" s="186">
        <v>228.62104086397301</v>
      </c>
      <c r="BN7" s="186">
        <v>34.986193688750298</v>
      </c>
      <c r="BO7" s="6">
        <f t="shared" si="0"/>
        <v>-2.906415117116012</v>
      </c>
    </row>
    <row r="8" spans="1:67">
      <c r="A8" s="155"/>
      <c r="C8">
        <v>1</v>
      </c>
      <c r="D8">
        <v>1.41196788045246</v>
      </c>
      <c r="G8">
        <v>1</v>
      </c>
      <c r="H8" s="164">
        <v>1.41463891168166</v>
      </c>
      <c r="J8" s="156"/>
      <c r="L8" s="155"/>
      <c r="M8">
        <v>1</v>
      </c>
      <c r="N8">
        <v>1.42098979935036</v>
      </c>
      <c r="Q8">
        <v>1</v>
      </c>
      <c r="R8" s="165">
        <v>1.4172980815774101</v>
      </c>
      <c r="T8" s="156"/>
      <c r="V8" s="155"/>
      <c r="W8">
        <v>1</v>
      </c>
      <c r="X8">
        <v>1.4178590990244</v>
      </c>
      <c r="AA8">
        <v>1</v>
      </c>
      <c r="AB8">
        <v>1.4117170956257099</v>
      </c>
      <c r="AD8" s="156"/>
      <c r="AF8" s="155"/>
      <c r="AH8">
        <v>1</v>
      </c>
      <c r="AI8" s="162">
        <v>1.4194340737347899</v>
      </c>
      <c r="AL8">
        <v>1</v>
      </c>
      <c r="AM8" s="164">
        <v>1.4119345394603999</v>
      </c>
      <c r="AO8" s="156"/>
      <c r="AQ8" s="155"/>
      <c r="AS8">
        <v>1</v>
      </c>
      <c r="AT8" s="176">
        <v>1.41940005263432</v>
      </c>
      <c r="AW8">
        <v>1</v>
      </c>
      <c r="AX8" s="166">
        <v>1.4138031439197001</v>
      </c>
      <c r="AZ8" s="156"/>
      <c r="BE8" s="224"/>
      <c r="BF8" s="4" t="s">
        <v>1076</v>
      </c>
      <c r="BG8" s="183">
        <v>1.1380284789798101</v>
      </c>
      <c r="BH8" s="184">
        <v>224.30006344227201</v>
      </c>
      <c r="BI8" s="184">
        <v>32.496031307377898</v>
      </c>
      <c r="BJ8" s="203">
        <v>0.12694978936582035</v>
      </c>
      <c r="BK8" s="135">
        <v>0.10776362823949956</v>
      </c>
      <c r="BL8" s="187">
        <v>2.94976030841684</v>
      </c>
      <c r="BM8" s="188">
        <v>255.871808718079</v>
      </c>
      <c r="BN8" s="188">
        <v>18.098495272183602</v>
      </c>
      <c r="BO8" s="64">
        <f t="shared" si="0"/>
        <v>-31.57174527580699</v>
      </c>
    </row>
    <row r="9" spans="1:67">
      <c r="A9" s="155"/>
      <c r="C9">
        <v>2</v>
      </c>
      <c r="D9">
        <v>1.4234523092223901</v>
      </c>
      <c r="G9">
        <v>2</v>
      </c>
      <c r="H9" s="164">
        <v>1.4224199406814799</v>
      </c>
      <c r="J9" s="156"/>
      <c r="L9" s="155"/>
      <c r="M9">
        <v>2</v>
      </c>
      <c r="N9">
        <v>1.4285725527103299</v>
      </c>
      <c r="Q9">
        <v>2</v>
      </c>
      <c r="R9" s="165">
        <v>1.4250602406185999</v>
      </c>
      <c r="T9" s="156"/>
      <c r="V9" s="155"/>
      <c r="W9">
        <v>2</v>
      </c>
      <c r="X9">
        <v>1.4252517730836001</v>
      </c>
      <c r="AA9">
        <v>2</v>
      </c>
      <c r="AB9">
        <v>1.4190797231027099</v>
      </c>
      <c r="AD9" s="156"/>
      <c r="AF9" s="155"/>
      <c r="AH9">
        <v>2</v>
      </c>
      <c r="AI9" s="162">
        <v>1.42667486493812</v>
      </c>
      <c r="AL9">
        <v>2</v>
      </c>
      <c r="AM9" s="164">
        <v>1.41957978535781</v>
      </c>
      <c r="AO9" s="156"/>
      <c r="AQ9" s="155"/>
      <c r="AS9">
        <v>2</v>
      </c>
      <c r="AT9" s="162">
        <v>1.42678454768594</v>
      </c>
      <c r="AW9">
        <v>2</v>
      </c>
      <c r="AX9" s="164">
        <v>1.4216494363523999</v>
      </c>
      <c r="AZ9" s="156"/>
      <c r="BE9" s="224" t="s">
        <v>1077</v>
      </c>
      <c r="BF9" s="4" t="s">
        <v>1069</v>
      </c>
      <c r="BG9" s="183">
        <v>1.1442146560705799</v>
      </c>
      <c r="BH9" s="184">
        <v>225.525134518546</v>
      </c>
      <c r="BI9" s="184">
        <v>33.909235175842198</v>
      </c>
      <c r="BJ9" s="135">
        <v>8.5971459934138308E-2</v>
      </c>
      <c r="BK9" s="203">
        <v>7.0699999999999999E-2</v>
      </c>
      <c r="BL9" s="183">
        <v>1.08618003590643</v>
      </c>
      <c r="BM9" s="184">
        <v>220.004029836966</v>
      </c>
      <c r="BN9" s="184">
        <v>34.057354692270003</v>
      </c>
      <c r="BO9" s="6">
        <f t="shared" si="0"/>
        <v>5.5211046815799989</v>
      </c>
    </row>
    <row r="10" spans="1:67">
      <c r="A10" s="155"/>
      <c r="C10">
        <v>5</v>
      </c>
      <c r="D10">
        <v>1.4376563448333</v>
      </c>
      <c r="G10">
        <v>5</v>
      </c>
      <c r="H10" s="164">
        <v>1.4337629032682899</v>
      </c>
      <c r="J10" s="156"/>
      <c r="L10" s="155"/>
      <c r="M10">
        <v>5</v>
      </c>
      <c r="N10">
        <v>1.4398295555009799</v>
      </c>
      <c r="Q10">
        <v>5</v>
      </c>
      <c r="R10" s="165">
        <v>1.43639957580623</v>
      </c>
      <c r="T10" s="156"/>
      <c r="V10" s="155"/>
      <c r="W10">
        <v>5</v>
      </c>
      <c r="X10">
        <v>1.4362359418269699</v>
      </c>
      <c r="AA10">
        <v>5</v>
      </c>
      <c r="AB10">
        <v>1.42990008200784</v>
      </c>
      <c r="AD10" s="156"/>
      <c r="AF10" s="155"/>
      <c r="AH10">
        <v>5</v>
      </c>
      <c r="AI10" s="162">
        <v>1.43746411159553</v>
      </c>
      <c r="AL10">
        <v>5</v>
      </c>
      <c r="AM10" s="164">
        <v>1.43052409024564</v>
      </c>
      <c r="AO10" s="156"/>
      <c r="AQ10" s="155"/>
      <c r="AS10">
        <v>5</v>
      </c>
      <c r="AT10" s="162">
        <v>1.4376366802231599</v>
      </c>
      <c r="AW10">
        <v>5</v>
      </c>
      <c r="AX10" s="164">
        <v>1.4331762241334201</v>
      </c>
      <c r="AZ10" s="156"/>
      <c r="BE10" s="224"/>
      <c r="BF10" s="4" t="s">
        <v>1078</v>
      </c>
      <c r="BG10" s="183">
        <v>1.10592543493062</v>
      </c>
      <c r="BH10" s="184">
        <v>223.24363813237099</v>
      </c>
      <c r="BI10" s="184">
        <v>35.885009088162001</v>
      </c>
      <c r="BJ10" s="203">
        <v>7.6799999999999993E-2</v>
      </c>
      <c r="BK10" s="135">
        <v>6.6027780768816616E-2</v>
      </c>
      <c r="BL10" s="185">
        <v>1.1361361010119899</v>
      </c>
      <c r="BM10" s="186">
        <v>224.325472327195</v>
      </c>
      <c r="BN10" s="186">
        <v>35.9336198077457</v>
      </c>
      <c r="BO10" s="6">
        <f t="shared" si="0"/>
        <v>-1.0818341948240118</v>
      </c>
    </row>
    <row r="11" spans="1:67">
      <c r="A11" s="155"/>
      <c r="C11">
        <v>10</v>
      </c>
      <c r="D11">
        <v>1.44867629717524</v>
      </c>
      <c r="G11">
        <v>10</v>
      </c>
      <c r="H11" s="164">
        <v>1.44353593560358</v>
      </c>
      <c r="J11" s="156"/>
      <c r="L11" s="155"/>
      <c r="M11">
        <v>10</v>
      </c>
      <c r="N11">
        <v>1.4495612512721601</v>
      </c>
      <c r="Q11">
        <v>10</v>
      </c>
      <c r="R11" s="165">
        <v>1.4460594260347901</v>
      </c>
      <c r="T11" s="156"/>
      <c r="V11" s="155"/>
      <c r="W11">
        <v>10</v>
      </c>
      <c r="X11">
        <v>1.44496958394257</v>
      </c>
      <c r="AA11">
        <v>10</v>
      </c>
      <c r="AB11">
        <v>1.4392971383786499</v>
      </c>
      <c r="AD11" s="156"/>
      <c r="AF11" s="155"/>
      <c r="AH11">
        <v>10</v>
      </c>
      <c r="AI11" s="162">
        <v>1.4468865088052101</v>
      </c>
      <c r="AL11">
        <v>10</v>
      </c>
      <c r="AM11" s="164">
        <v>1.4399891931947899</v>
      </c>
      <c r="AO11" s="156"/>
      <c r="AQ11" s="155"/>
      <c r="AS11">
        <v>10</v>
      </c>
      <c r="AT11" s="162">
        <v>1.4465812231716</v>
      </c>
      <c r="AW11">
        <v>10</v>
      </c>
      <c r="AX11" s="164">
        <v>1.4433423241215599</v>
      </c>
      <c r="AZ11" s="156"/>
      <c r="BE11" s="224"/>
      <c r="BF11" s="4" t="s">
        <v>1079</v>
      </c>
      <c r="BG11" s="183">
        <v>1.1983674768625101</v>
      </c>
      <c r="BH11" s="184">
        <v>227.97268648306101</v>
      </c>
      <c r="BI11" s="184">
        <v>34.947806970910001</v>
      </c>
      <c r="BJ11" s="135">
        <v>7.4300000000000005E-2</v>
      </c>
      <c r="BK11" s="203">
        <v>6.1440000000000002E-2</v>
      </c>
      <c r="BL11" s="183">
        <v>1.0032833940550101</v>
      </c>
      <c r="BM11" s="184">
        <v>225.10749201132001</v>
      </c>
      <c r="BN11" s="184">
        <v>35.306297939960899</v>
      </c>
      <c r="BO11" s="6">
        <f t="shared" si="0"/>
        <v>2.8651944717410061</v>
      </c>
    </row>
    <row r="12" spans="1:67">
      <c r="A12" s="155"/>
      <c r="C12">
        <v>20</v>
      </c>
      <c r="D12">
        <v>1.4587401464083201</v>
      </c>
      <c r="G12">
        <v>20</v>
      </c>
      <c r="H12" s="164">
        <v>1.45328182818325</v>
      </c>
      <c r="J12" s="156"/>
      <c r="L12" s="155"/>
      <c r="M12">
        <v>20</v>
      </c>
      <c r="N12">
        <v>1.4604769380333</v>
      </c>
      <c r="Q12">
        <v>20</v>
      </c>
      <c r="R12" s="165">
        <v>1.4557265477113299</v>
      </c>
      <c r="T12" s="156"/>
      <c r="V12" s="155"/>
      <c r="W12">
        <v>20</v>
      </c>
      <c r="X12">
        <v>1.45552513451854</v>
      </c>
      <c r="AA12">
        <v>20</v>
      </c>
      <c r="AB12">
        <v>1.4500040298369601</v>
      </c>
      <c r="AD12" s="156"/>
      <c r="AF12" s="155"/>
      <c r="AH12">
        <v>20</v>
      </c>
      <c r="AI12" s="162">
        <v>1.4574799027121901</v>
      </c>
      <c r="AL12">
        <v>20</v>
      </c>
      <c r="AM12" s="164">
        <v>1.45038120231555</v>
      </c>
      <c r="AO12" s="156"/>
      <c r="AQ12" s="155"/>
      <c r="AS12">
        <v>20</v>
      </c>
      <c r="AT12" s="162">
        <v>1.4569697209302901</v>
      </c>
      <c r="AW12">
        <v>20</v>
      </c>
      <c r="AX12" s="164">
        <v>1.4544631460300601</v>
      </c>
      <c r="AZ12" s="156"/>
      <c r="BE12" s="221" t="s">
        <v>1080</v>
      </c>
      <c r="BF12" s="29" t="s">
        <v>1068</v>
      </c>
      <c r="BG12" s="189">
        <v>1.0126823625000201</v>
      </c>
      <c r="BH12" s="190">
        <v>222.60037708911801</v>
      </c>
      <c r="BI12" s="190">
        <v>32.509054221422502</v>
      </c>
      <c r="BJ12" s="135">
        <v>6.0265894714270407E-2</v>
      </c>
      <c r="BK12" s="135">
        <v>9.267646084170994E-2</v>
      </c>
      <c r="BL12" s="189">
        <v>0.92047059594831804</v>
      </c>
      <c r="BM12" s="190">
        <v>222.62175011696999</v>
      </c>
      <c r="BN12" s="190">
        <v>33.3091841365856</v>
      </c>
      <c r="BO12" s="78">
        <f t="shared" si="0"/>
        <v>-2.1373027851979032E-2</v>
      </c>
    </row>
    <row r="13" spans="1:67">
      <c r="A13" s="155"/>
      <c r="C13">
        <v>50</v>
      </c>
      <c r="D13">
        <v>1.4758613810655901</v>
      </c>
      <c r="G13">
        <v>50</v>
      </c>
      <c r="H13" s="164">
        <v>1.47118266586451</v>
      </c>
      <c r="J13" s="156"/>
      <c r="L13" s="155"/>
      <c r="M13">
        <v>50</v>
      </c>
      <c r="N13">
        <v>1.4754551750093099</v>
      </c>
      <c r="Q13">
        <v>50</v>
      </c>
      <c r="R13" s="165">
        <v>1.4713463516230401</v>
      </c>
      <c r="T13" s="156"/>
      <c r="V13" s="155"/>
      <c r="W13">
        <v>50</v>
      </c>
      <c r="X13">
        <v>1.4713958452679501</v>
      </c>
      <c r="AA13">
        <v>50</v>
      </c>
      <c r="AB13">
        <v>1.4656765743600699</v>
      </c>
      <c r="AD13" s="156"/>
      <c r="AF13" s="155"/>
      <c r="AH13">
        <v>50</v>
      </c>
      <c r="AI13" s="162">
        <v>1.47377096855445</v>
      </c>
      <c r="AL13">
        <v>50</v>
      </c>
      <c r="AM13" s="164">
        <v>1.4688160086105799</v>
      </c>
      <c r="AO13" s="156"/>
      <c r="AQ13" s="155"/>
      <c r="AS13">
        <v>50</v>
      </c>
      <c r="AT13" s="162">
        <v>1.4726545437743901</v>
      </c>
      <c r="AW13">
        <v>50</v>
      </c>
      <c r="AX13" s="164">
        <v>1.46936121193294</v>
      </c>
      <c r="AZ13" s="156"/>
      <c r="BE13" s="221"/>
      <c r="BF13" s="29" t="s">
        <v>1075</v>
      </c>
      <c r="BG13" s="189">
        <v>0.91123404866894397</v>
      </c>
      <c r="BH13" s="190">
        <v>224.17696148011899</v>
      </c>
      <c r="BI13" s="190">
        <v>31.652047088514799</v>
      </c>
      <c r="BJ13" s="203">
        <v>6.2043795620437964E-2</v>
      </c>
      <c r="BK13" s="203">
        <v>0.10897680152415107</v>
      </c>
      <c r="BL13" s="189">
        <v>1.1281864214794901</v>
      </c>
      <c r="BM13" s="190">
        <v>222.83861620155099</v>
      </c>
      <c r="BN13" s="190">
        <v>33.1094661356316</v>
      </c>
      <c r="BO13" s="78">
        <f t="shared" si="0"/>
        <v>1.3383452785679992</v>
      </c>
    </row>
    <row r="14" spans="1:67">
      <c r="A14" s="155"/>
      <c r="C14">
        <v>100</v>
      </c>
      <c r="D14">
        <v>1.4897002708664899</v>
      </c>
      <c r="G14">
        <v>100</v>
      </c>
      <c r="H14" s="164">
        <v>1.48510206733268</v>
      </c>
      <c r="J14" s="156"/>
      <c r="L14" s="155"/>
      <c r="M14">
        <v>100</v>
      </c>
      <c r="N14">
        <v>1.4902094182519501</v>
      </c>
      <c r="Q14">
        <v>100</v>
      </c>
      <c r="R14" s="165">
        <v>1.48413946727322</v>
      </c>
      <c r="T14" s="156"/>
      <c r="V14" s="155"/>
      <c r="W14">
        <v>100</v>
      </c>
      <c r="X14">
        <v>1.4868965959646701</v>
      </c>
      <c r="AA14">
        <v>100</v>
      </c>
      <c r="AB14">
        <v>1.4806606620403699</v>
      </c>
      <c r="AD14" s="156"/>
      <c r="AF14" s="155"/>
      <c r="AH14">
        <v>100</v>
      </c>
      <c r="AI14" s="162">
        <v>1.48718589841625</v>
      </c>
      <c r="AL14">
        <v>100</v>
      </c>
      <c r="AM14" s="164">
        <v>1.48283247097337</v>
      </c>
      <c r="AO14" s="156"/>
      <c r="AQ14" s="155"/>
      <c r="AS14">
        <v>100</v>
      </c>
      <c r="AT14" s="162">
        <v>1.48523495015911</v>
      </c>
      <c r="AW14">
        <v>100</v>
      </c>
      <c r="AX14" s="164">
        <v>1.4849945131422799</v>
      </c>
      <c r="AZ14" s="156"/>
      <c r="BE14" s="221"/>
      <c r="BF14" s="29" t="s">
        <v>1081</v>
      </c>
      <c r="BG14" s="189">
        <v>1.0028989091143601</v>
      </c>
      <c r="BH14" s="190">
        <v>226.11699509642301</v>
      </c>
      <c r="BI14" s="190">
        <v>31.1607047377707</v>
      </c>
      <c r="BJ14" s="135">
        <v>7.6716808371484632E-2</v>
      </c>
      <c r="BK14" s="135">
        <v>8.5054824561403508E-2</v>
      </c>
      <c r="BL14" s="189">
        <v>1.0109045609926599</v>
      </c>
      <c r="BM14" s="191">
        <v>224.24667010636099</v>
      </c>
      <c r="BN14" s="190">
        <v>34.538219029083301</v>
      </c>
      <c r="BO14" s="78">
        <f t="shared" si="0"/>
        <v>1.8703249900620165</v>
      </c>
    </row>
    <row r="15" spans="1:67">
      <c r="A15" s="155"/>
      <c r="J15" s="156"/>
      <c r="L15" s="155"/>
      <c r="T15" s="156"/>
      <c r="V15" s="155"/>
      <c r="AD15" s="156"/>
      <c r="AF15" s="155"/>
      <c r="AO15" s="156"/>
      <c r="AQ15" s="155"/>
      <c r="AZ15" s="156"/>
      <c r="BE15" s="221" t="s">
        <v>1082</v>
      </c>
      <c r="BF15" s="29" t="s">
        <v>1069</v>
      </c>
      <c r="BG15" s="189">
        <v>1.12535635348633</v>
      </c>
      <c r="BH15" s="190">
        <v>227.47990271219001</v>
      </c>
      <c r="BI15" s="190">
        <v>33.782111161930899</v>
      </c>
      <c r="BJ15" s="135">
        <v>0.1281613123718387</v>
      </c>
      <c r="BK15" s="203">
        <v>9.4635335845710489E-2</v>
      </c>
      <c r="BL15" s="189">
        <v>1.08238246926413</v>
      </c>
      <c r="BM15" s="190">
        <v>220.38120231555399</v>
      </c>
      <c r="BN15" s="190">
        <v>35.2367346261439</v>
      </c>
      <c r="BO15" s="78">
        <f t="shared" si="0"/>
        <v>7.0987003966360191</v>
      </c>
    </row>
    <row r="16" spans="1:67">
      <c r="A16" s="155"/>
      <c r="J16" s="156"/>
      <c r="L16" s="155"/>
      <c r="T16" s="156"/>
      <c r="V16" s="155"/>
      <c r="AD16" s="156"/>
      <c r="AF16" s="155"/>
      <c r="AO16" s="156"/>
      <c r="AQ16" s="155"/>
      <c r="AZ16" s="156"/>
      <c r="BE16" s="221"/>
      <c r="BF16" s="112" t="s">
        <v>1075</v>
      </c>
      <c r="BG16" s="192">
        <v>1.59826622689515</v>
      </c>
      <c r="BH16" s="193">
        <v>218.47100473649701</v>
      </c>
      <c r="BI16" s="190">
        <v>19.666759572619199</v>
      </c>
      <c r="BJ16" s="203">
        <v>8.7312369891530628E-2</v>
      </c>
      <c r="BK16" s="135">
        <v>8.8560722944677095E-2</v>
      </c>
      <c r="BL16" s="189">
        <v>1.02596896603411</v>
      </c>
      <c r="BM16" s="190">
        <v>224.47923394849099</v>
      </c>
      <c r="BN16" s="190">
        <v>34.0567258512582</v>
      </c>
      <c r="BO16" s="78">
        <f t="shared" si="0"/>
        <v>-6.008229211993978</v>
      </c>
    </row>
    <row r="17" spans="1:67">
      <c r="A17" s="155"/>
      <c r="J17" s="156"/>
      <c r="L17" s="155"/>
      <c r="T17" s="156"/>
      <c r="V17" s="155"/>
      <c r="AD17" s="156"/>
      <c r="AF17" s="155"/>
      <c r="AO17" s="156"/>
      <c r="AQ17" s="155"/>
      <c r="AZ17" s="156"/>
      <c r="BE17" s="221"/>
      <c r="BF17" s="29" t="s">
        <v>1076</v>
      </c>
      <c r="BG17" s="189">
        <v>1.19394188959476</v>
      </c>
      <c r="BH17" s="190">
        <v>226.003560521282</v>
      </c>
      <c r="BI17" s="190">
        <v>32.855530200061501</v>
      </c>
      <c r="BJ17" s="135">
        <v>0.10776362823949956</v>
      </c>
      <c r="BK17" s="203">
        <v>0.11123709025594972</v>
      </c>
      <c r="BL17" s="189">
        <v>1.16139009159861</v>
      </c>
      <c r="BM17" s="190">
        <v>224.03343935360201</v>
      </c>
      <c r="BN17" s="190">
        <v>34.099585747985302</v>
      </c>
      <c r="BO17" s="78">
        <f t="shared" si="0"/>
        <v>1.9701211676799915</v>
      </c>
    </row>
    <row r="18" spans="1:67">
      <c r="A18" s="155"/>
      <c r="C18" s="225" t="s">
        <v>1056</v>
      </c>
      <c r="D18" s="225"/>
      <c r="E18" s="225"/>
      <c r="G18" s="226" t="s">
        <v>1057</v>
      </c>
      <c r="H18" s="227"/>
      <c r="I18" s="227"/>
      <c r="J18" s="156"/>
      <c r="L18" s="155"/>
      <c r="M18" s="225" t="s">
        <v>1056</v>
      </c>
      <c r="N18" s="225"/>
      <c r="O18" s="225"/>
      <c r="Q18" s="226" t="s">
        <v>1057</v>
      </c>
      <c r="R18" s="227"/>
      <c r="S18" s="227"/>
      <c r="T18" s="156"/>
      <c r="V18" s="155"/>
      <c r="W18" s="225" t="s">
        <v>1056</v>
      </c>
      <c r="X18" s="225"/>
      <c r="Y18" s="225"/>
      <c r="AA18" s="226" t="s">
        <v>1057</v>
      </c>
      <c r="AB18" s="227"/>
      <c r="AC18" s="227"/>
      <c r="AD18" s="156"/>
      <c r="AF18" s="155"/>
      <c r="AH18" s="225" t="s">
        <v>1056</v>
      </c>
      <c r="AI18" s="225"/>
      <c r="AJ18" s="225"/>
      <c r="AL18" s="226" t="s">
        <v>1057</v>
      </c>
      <c r="AM18" s="227"/>
      <c r="AN18" s="227"/>
      <c r="AO18" s="156"/>
      <c r="AQ18" s="155"/>
      <c r="AS18" s="225" t="s">
        <v>1056</v>
      </c>
      <c r="AT18" s="225"/>
      <c r="AU18" s="225"/>
      <c r="AW18" s="226" t="s">
        <v>1057</v>
      </c>
      <c r="AX18" s="227"/>
      <c r="AY18" s="227"/>
      <c r="AZ18" s="156"/>
      <c r="BE18" s="221" t="s">
        <v>1083</v>
      </c>
      <c r="BF18" s="29" t="s">
        <v>1068</v>
      </c>
      <c r="BG18" s="189">
        <v>1.24122632425093</v>
      </c>
      <c r="BH18" s="190">
        <v>226.969720930292</v>
      </c>
      <c r="BI18" s="190">
        <v>32.838750863962503</v>
      </c>
      <c r="BJ18" s="203">
        <v>7.0699999999999999E-2</v>
      </c>
      <c r="BK18" s="135">
        <v>9.8933333333333331E-2</v>
      </c>
      <c r="BL18" s="189">
        <v>1.0175295173079699</v>
      </c>
      <c r="BM18" s="190">
        <v>224.46314603006201</v>
      </c>
      <c r="BN18" s="190">
        <v>35.128548654257301</v>
      </c>
      <c r="BO18" s="78">
        <f t="shared" si="0"/>
        <v>2.5065749002299924</v>
      </c>
    </row>
    <row r="19" spans="1:67" s="56" customFormat="1">
      <c r="A19" s="159"/>
      <c r="C19" s="56" t="s">
        <v>1063</v>
      </c>
      <c r="D19" s="56" t="s">
        <v>1064</v>
      </c>
      <c r="E19" s="56" t="s">
        <v>37</v>
      </c>
      <c r="G19" s="56" t="s">
        <v>1063</v>
      </c>
      <c r="H19" s="56" t="s">
        <v>1064</v>
      </c>
      <c r="I19" s="56" t="s">
        <v>1065</v>
      </c>
      <c r="J19" s="160"/>
      <c r="L19" s="159"/>
      <c r="M19" s="56" t="s">
        <v>1063</v>
      </c>
      <c r="N19" s="56" t="s">
        <v>1064</v>
      </c>
      <c r="O19" s="56" t="s">
        <v>37</v>
      </c>
      <c r="Q19" s="56" t="s">
        <v>1063</v>
      </c>
      <c r="R19" s="56" t="s">
        <v>1064</v>
      </c>
      <c r="S19" s="56" t="s">
        <v>1065</v>
      </c>
      <c r="T19" s="160"/>
      <c r="V19" s="159"/>
      <c r="W19" s="56" t="s">
        <v>1063</v>
      </c>
      <c r="X19" s="56" t="s">
        <v>1064</v>
      </c>
      <c r="Y19" s="56" t="s">
        <v>37</v>
      </c>
      <c r="AA19" s="56" t="s">
        <v>1063</v>
      </c>
      <c r="AB19" s="56" t="s">
        <v>1064</v>
      </c>
      <c r="AC19" s="56" t="s">
        <v>1065</v>
      </c>
      <c r="AD19" s="160"/>
      <c r="AF19" s="159"/>
      <c r="AH19" s="56" t="s">
        <v>1063</v>
      </c>
      <c r="AI19" s="56" t="s">
        <v>1064</v>
      </c>
      <c r="AJ19" s="56" t="s">
        <v>37</v>
      </c>
      <c r="AL19" s="56" t="s">
        <v>1063</v>
      </c>
      <c r="AM19" s="56" t="s">
        <v>1064</v>
      </c>
      <c r="AN19" s="56" t="s">
        <v>1065</v>
      </c>
      <c r="AO19" s="160"/>
      <c r="AP19"/>
      <c r="AQ19" s="159"/>
      <c r="AS19" s="56" t="s">
        <v>1063</v>
      </c>
      <c r="AT19" s="56" t="s">
        <v>1064</v>
      </c>
      <c r="AU19" s="56" t="s">
        <v>37</v>
      </c>
      <c r="AW19" s="56" t="s">
        <v>1063</v>
      </c>
      <c r="AX19" s="56" t="s">
        <v>1064</v>
      </c>
      <c r="AY19" s="56" t="s">
        <v>1065</v>
      </c>
      <c r="AZ19" s="160"/>
      <c r="BA19"/>
      <c r="BB19"/>
      <c r="BE19" s="221"/>
      <c r="BF19" s="29" t="s">
        <v>1078</v>
      </c>
      <c r="BG19" s="189">
        <v>1.1200022587446501</v>
      </c>
      <c r="BH19" s="190">
        <v>221.001574111011</v>
      </c>
      <c r="BI19" s="190">
        <v>33.947676602397898</v>
      </c>
      <c r="BJ19" s="135">
        <v>6.6027780768816616E-2</v>
      </c>
      <c r="BK19" s="203">
        <v>0.12734935641872649</v>
      </c>
      <c r="BL19" s="189">
        <v>1.1559795209422401</v>
      </c>
      <c r="BM19" s="190">
        <v>221.348081352517</v>
      </c>
      <c r="BN19" s="190">
        <v>34.556639073239602</v>
      </c>
      <c r="BO19" s="78">
        <f t="shared" si="0"/>
        <v>-0.34650724150600354</v>
      </c>
    </row>
    <row r="20" spans="1:67">
      <c r="A20" s="155" t="s">
        <v>1075</v>
      </c>
      <c r="C20" s="162">
        <v>0.92563733174808105</v>
      </c>
      <c r="D20" s="162">
        <v>226.084193271717</v>
      </c>
      <c r="E20" s="162">
        <v>34.486157462808002</v>
      </c>
      <c r="G20" s="162">
        <v>1.19438338472977</v>
      </c>
      <c r="H20" s="162">
        <v>222.848866887714</v>
      </c>
      <c r="I20" s="162">
        <v>33.745091929847597</v>
      </c>
      <c r="J20" s="156"/>
      <c r="L20" s="163" t="s">
        <v>1075</v>
      </c>
      <c r="M20">
        <v>1.19443433805855</v>
      </c>
      <c r="N20" s="162">
        <v>225.714625746857</v>
      </c>
      <c r="O20" s="162">
        <v>33.2270688301207</v>
      </c>
      <c r="P20" s="132"/>
      <c r="Q20">
        <v>1.0880979810387801</v>
      </c>
      <c r="R20">
        <v>228.62104086397301</v>
      </c>
      <c r="S20">
        <v>34.986193688750298</v>
      </c>
      <c r="T20" s="156"/>
      <c r="V20" s="155" t="s">
        <v>1078</v>
      </c>
      <c r="W20" s="162">
        <v>1.10592543493062</v>
      </c>
      <c r="X20" s="162">
        <v>223.24363813237099</v>
      </c>
      <c r="Y20" s="162">
        <v>35.885009088162001</v>
      </c>
      <c r="Z20" s="132"/>
      <c r="AA20">
        <v>1.1361361010119899</v>
      </c>
      <c r="AB20">
        <v>224.325472327195</v>
      </c>
      <c r="AC20">
        <v>35.9336198077457</v>
      </c>
      <c r="AD20" s="156"/>
      <c r="AF20" s="155" t="s">
        <v>1075</v>
      </c>
      <c r="AH20" s="182">
        <v>1.59826622689515</v>
      </c>
      <c r="AI20" s="162">
        <v>218.47100473649701</v>
      </c>
      <c r="AJ20" s="162">
        <v>19.666759572619199</v>
      </c>
      <c r="AL20" s="162">
        <v>1.02596896603411</v>
      </c>
      <c r="AM20" s="162">
        <v>224.47923394849099</v>
      </c>
      <c r="AN20" s="162">
        <v>34.0567258512582</v>
      </c>
      <c r="AO20" s="156"/>
      <c r="AQ20" s="155" t="s">
        <v>1078</v>
      </c>
      <c r="AS20" s="162">
        <v>1.1200022587446501</v>
      </c>
      <c r="AT20" s="162">
        <v>221.001574111011</v>
      </c>
      <c r="AU20" s="162">
        <v>33.947676602397898</v>
      </c>
      <c r="AW20" s="162">
        <v>1.1559795209422401</v>
      </c>
      <c r="AX20" s="162">
        <v>221.348081352517</v>
      </c>
      <c r="AY20" s="162">
        <v>34.556639073239602</v>
      </c>
      <c r="AZ20" s="156"/>
      <c r="BE20" s="221"/>
      <c r="BF20" s="29" t="s">
        <v>1081</v>
      </c>
      <c r="BG20" s="189">
        <v>1.15294700185426</v>
      </c>
      <c r="BH20" s="190">
        <v>221.23491920801399</v>
      </c>
      <c r="BI20" s="190">
        <v>33.300388926346699</v>
      </c>
      <c r="BJ20" s="203">
        <v>6.1440000000000002E-2</v>
      </c>
      <c r="BK20" s="135">
        <v>0.11894343045006237</v>
      </c>
      <c r="BL20" s="29"/>
      <c r="BM20" s="29"/>
      <c r="BN20" s="29"/>
      <c r="BO20" s="77"/>
    </row>
    <row r="21" spans="1:67">
      <c r="A21" s="155"/>
      <c r="J21" s="156"/>
      <c r="L21" s="155"/>
      <c r="T21" s="156"/>
      <c r="V21" s="155"/>
      <c r="AD21" s="156"/>
      <c r="AF21" s="155"/>
      <c r="AO21" s="156"/>
      <c r="AQ21" s="155"/>
      <c r="AZ21" s="156"/>
      <c r="BE21" s="4"/>
      <c r="BF21" s="4"/>
      <c r="BG21" s="4"/>
      <c r="BH21" s="4"/>
      <c r="BI21" s="4"/>
      <c r="BK21" s="4"/>
      <c r="BL21" s="4"/>
      <c r="BM21" s="4"/>
      <c r="BN21" s="4"/>
    </row>
    <row r="22" spans="1:67">
      <c r="A22" s="155"/>
      <c r="J22" s="156"/>
      <c r="L22" s="155"/>
      <c r="T22" s="156"/>
      <c r="V22" s="155"/>
      <c r="AD22" s="156"/>
      <c r="AF22" s="155"/>
      <c r="AO22" s="156"/>
      <c r="AQ22" s="155"/>
      <c r="AZ22" s="156"/>
      <c r="BE22" s="4" t="s">
        <v>1084</v>
      </c>
      <c r="BF22" s="4"/>
      <c r="BG22" s="18">
        <f>AVERAGE(BG3:BG11)</f>
        <v>1.1011733574686873</v>
      </c>
      <c r="BH22" s="6">
        <f>AVERAGE(BH3:BH11)</f>
        <v>226.17614421069598</v>
      </c>
      <c r="BI22" s="6">
        <f>AVERAGE(BI3:BI11)</f>
        <v>34.821191080635316</v>
      </c>
      <c r="BK22" s="6">
        <f>AVERAGE(BL3:BL7,BL9:BL11)</f>
        <v>1.1039632813613138</v>
      </c>
      <c r="BL22" s="6">
        <f>AVERAGE(BM3:BM7,BM9:BM11)</f>
        <v>223.45460710479864</v>
      </c>
      <c r="BM22" s="6">
        <f>AVERAGE(BN3:BN7,BN9:BN11)</f>
        <v>34.322950018514163</v>
      </c>
      <c r="BN22" s="4"/>
    </row>
    <row r="23" spans="1:67">
      <c r="A23" s="155"/>
      <c r="C23" s="16" t="s">
        <v>1073</v>
      </c>
      <c r="D23" s="16" t="s">
        <v>1074</v>
      </c>
      <c r="G23" s="16" t="s">
        <v>1073</v>
      </c>
      <c r="H23" s="16" t="s">
        <v>1074</v>
      </c>
      <c r="J23" s="156"/>
      <c r="L23" s="155"/>
      <c r="M23" s="16" t="s">
        <v>1073</v>
      </c>
      <c r="N23" s="16" t="s">
        <v>1074</v>
      </c>
      <c r="Q23" s="16" t="s">
        <v>1073</v>
      </c>
      <c r="R23" s="16" t="s">
        <v>1074</v>
      </c>
      <c r="T23" s="156"/>
      <c r="V23" s="155"/>
      <c r="W23" s="16" t="s">
        <v>1073</v>
      </c>
      <c r="X23" s="16" t="s">
        <v>1074</v>
      </c>
      <c r="AA23" s="16" t="s">
        <v>1073</v>
      </c>
      <c r="AB23" s="16" t="s">
        <v>1074</v>
      </c>
      <c r="AD23" s="156"/>
      <c r="AF23" s="155"/>
      <c r="AH23" s="16" t="s">
        <v>1073</v>
      </c>
      <c r="AI23" s="16" t="s">
        <v>1074</v>
      </c>
      <c r="AL23" s="16" t="s">
        <v>1073</v>
      </c>
      <c r="AM23" s="16" t="s">
        <v>1074</v>
      </c>
      <c r="AO23" s="156"/>
      <c r="AQ23" s="155"/>
      <c r="AS23" s="16" t="s">
        <v>1073</v>
      </c>
      <c r="AT23" s="16" t="s">
        <v>1074</v>
      </c>
      <c r="AW23" s="16" t="s">
        <v>1073</v>
      </c>
      <c r="AX23" s="16" t="s">
        <v>1074</v>
      </c>
      <c r="AZ23" s="156"/>
      <c r="BE23" s="4" t="s">
        <v>1085</v>
      </c>
      <c r="BF23" s="4"/>
      <c r="BG23" s="18">
        <f>_xlfn.STDEV.S(BG3:BG11)</f>
        <v>9.8396572874664107E-2</v>
      </c>
      <c r="BH23" s="6">
        <f>_xlfn.STDEV.S(BH3:BH11)</f>
        <v>2.4514379502380574</v>
      </c>
      <c r="BI23" s="6">
        <f>_xlfn.STDEV.S(BI3:BI10)</f>
        <v>1.8198583542638573</v>
      </c>
      <c r="BK23" s="6">
        <f>_xlfn.STDEV.S(BL3:BL7,BL9:BL11)</f>
        <v>6.2615473748648356E-2</v>
      </c>
      <c r="BL23" s="6">
        <f>_xlfn.STDEV.S(BM3:BM7,BM9:BM11)</f>
        <v>3.3914820815139533</v>
      </c>
      <c r="BM23" s="6">
        <f>_xlfn.STDEV.S(BN3:BN7,BN9:BN11)</f>
        <v>1.1882507155370148</v>
      </c>
      <c r="BN23" s="4"/>
    </row>
    <row r="24" spans="1:67">
      <c r="A24" s="155"/>
      <c r="C24">
        <v>1</v>
      </c>
      <c r="D24">
        <v>1.41756228111053</v>
      </c>
      <c r="G24">
        <v>1</v>
      </c>
      <c r="H24" s="166">
        <v>1.4155225570365899</v>
      </c>
      <c r="J24" s="156"/>
      <c r="L24" s="155"/>
      <c r="M24">
        <v>1</v>
      </c>
      <c r="N24">
        <v>1.4182144808753701</v>
      </c>
      <c r="Q24">
        <v>1</v>
      </c>
      <c r="R24">
        <v>1.4176587546139801</v>
      </c>
      <c r="T24" s="156"/>
      <c r="V24" s="155"/>
      <c r="W24">
        <v>1</v>
      </c>
      <c r="X24">
        <v>1.41503306167604</v>
      </c>
      <c r="AA24">
        <v>1</v>
      </c>
      <c r="AB24">
        <v>1.4151279375652199</v>
      </c>
      <c r="AD24" s="156"/>
      <c r="AF24" s="155"/>
      <c r="AH24">
        <v>1</v>
      </c>
      <c r="AI24" s="162">
        <v>1.4172007599344201</v>
      </c>
      <c r="AL24">
        <v>1</v>
      </c>
      <c r="AM24" s="166">
        <v>1.41546263249681</v>
      </c>
      <c r="AO24" s="156"/>
      <c r="AQ24" s="155"/>
      <c r="AS24">
        <v>1</v>
      </c>
      <c r="AT24" s="162">
        <v>1.41248797935415</v>
      </c>
      <c r="AW24">
        <v>1</v>
      </c>
      <c r="AX24" s="166">
        <v>1.41234834762918</v>
      </c>
      <c r="AZ24" s="156"/>
      <c r="BE24" s="4" t="s">
        <v>1086</v>
      </c>
      <c r="BF24" s="4"/>
      <c r="BG24" s="18">
        <f>AVERAGE(BG12:BG15,BG17:BG20)</f>
        <v>1.0950361435267819</v>
      </c>
      <c r="BH24" s="6">
        <f>AVERAGE(BH12:BH20)</f>
        <v>223.78389065388288</v>
      </c>
      <c r="BI24" s="6">
        <f>AVERAGE(BI12:BI15,BI17:BI20)</f>
        <v>32.755782975300939</v>
      </c>
      <c r="BJ24" s="6"/>
      <c r="BK24" s="6">
        <f>AVERAGE(BL12:BL19)</f>
        <v>1.0628515179459412</v>
      </c>
      <c r="BL24" s="6">
        <f>AVERAGE(BM12:BM19)</f>
        <v>223.05151742813851</v>
      </c>
      <c r="BM24" s="6">
        <f>AVERAGE(BN12:BN19)</f>
        <v>34.254387906773104</v>
      </c>
      <c r="BN24" s="4"/>
    </row>
    <row r="25" spans="1:67">
      <c r="A25" s="155"/>
      <c r="C25">
        <v>2</v>
      </c>
      <c r="D25">
        <v>1.42497802878916</v>
      </c>
      <c r="G25">
        <v>2</v>
      </c>
      <c r="H25" s="166">
        <v>1.4228431260885599</v>
      </c>
      <c r="J25" s="156"/>
      <c r="L25" s="155"/>
      <c r="M25">
        <v>2</v>
      </c>
      <c r="N25">
        <v>1.4256031890388401</v>
      </c>
      <c r="Q25">
        <v>2</v>
      </c>
      <c r="R25">
        <v>1.4255191913379199</v>
      </c>
      <c r="T25" s="156"/>
      <c r="V25" s="155"/>
      <c r="W25">
        <v>2</v>
      </c>
      <c r="X25">
        <v>1.4227172213842001</v>
      </c>
      <c r="AA25">
        <v>2</v>
      </c>
      <c r="AB25">
        <v>1.4226951474449501</v>
      </c>
      <c r="AD25" s="156"/>
      <c r="AF25" s="155"/>
      <c r="AH25">
        <v>2</v>
      </c>
      <c r="AI25" s="162">
        <v>1.42395946751029</v>
      </c>
      <c r="AL25">
        <v>2</v>
      </c>
      <c r="AM25" s="166">
        <v>1.42320246444819</v>
      </c>
      <c r="AO25" s="156"/>
      <c r="AQ25" s="155"/>
      <c r="AS25">
        <v>2</v>
      </c>
      <c r="AT25" s="162">
        <v>1.4200556887307201</v>
      </c>
      <c r="AW25">
        <v>2</v>
      </c>
      <c r="AX25" s="166">
        <v>1.4201100758274501</v>
      </c>
      <c r="AZ25" s="156"/>
      <c r="BE25" s="4" t="s">
        <v>1085</v>
      </c>
      <c r="BF25" s="4"/>
      <c r="BG25" s="18">
        <f>_xlfn.STDEV.S(BG12:BG15,BG17:BG20)</f>
        <v>0.11026256351313293</v>
      </c>
      <c r="BH25" s="6">
        <f>_xlfn.STDEV.S(BH12:BH20)</f>
        <v>3.1265163706081851</v>
      </c>
      <c r="BI25" s="6">
        <f>_xlfn.STDEV.S(BI12:BI15,BI17:BI20)</f>
        <v>0.97180034368536117</v>
      </c>
      <c r="BJ25" s="6"/>
      <c r="BK25" s="6">
        <f>_xlfn.STDEV.S(BL12:BL19)</f>
        <v>8.4022108299516007E-2</v>
      </c>
      <c r="BL25" s="6">
        <f>_xlfn.STDEV.S(BM12:BM19)</f>
        <v>1.5439251694709704</v>
      </c>
      <c r="BM25" s="6">
        <f>_xlfn.STDEV.S(BN12:BN19)</f>
        <v>0.77167424556601349</v>
      </c>
      <c r="BN25" s="4"/>
    </row>
    <row r="26" spans="1:67">
      <c r="A26" s="155"/>
      <c r="C26">
        <v>5</v>
      </c>
      <c r="D26">
        <v>1.43592996118531</v>
      </c>
      <c r="G26">
        <v>5</v>
      </c>
      <c r="H26" s="166">
        <v>1.43345112054118</v>
      </c>
      <c r="J26" s="156"/>
      <c r="L26" s="155"/>
      <c r="M26">
        <v>5</v>
      </c>
      <c r="N26">
        <v>1.4363813003546999</v>
      </c>
      <c r="Q26">
        <v>5</v>
      </c>
      <c r="R26">
        <v>1.43704793957862</v>
      </c>
      <c r="T26" s="156"/>
      <c r="V26" s="155"/>
      <c r="W26">
        <v>5</v>
      </c>
      <c r="X26">
        <v>1.43376661089949</v>
      </c>
      <c r="AA26">
        <v>5</v>
      </c>
      <c r="AB26">
        <v>1.43390232794121</v>
      </c>
      <c r="AD26" s="156"/>
      <c r="AF26" s="155"/>
      <c r="AH26">
        <v>5</v>
      </c>
      <c r="AI26" s="162">
        <v>1.4333441541655101</v>
      </c>
      <c r="AL26">
        <v>5</v>
      </c>
      <c r="AM26" s="166">
        <v>1.4343540093571401</v>
      </c>
      <c r="AO26" s="156"/>
      <c r="AQ26" s="155"/>
      <c r="AS26">
        <v>5</v>
      </c>
      <c r="AT26" s="162">
        <v>1.4309504852498001</v>
      </c>
      <c r="AW26">
        <v>5</v>
      </c>
      <c r="AX26" s="166">
        <v>1.43109059403455</v>
      </c>
      <c r="AZ26" s="156"/>
    </row>
    <row r="27" spans="1:67">
      <c r="A27" s="155"/>
      <c r="C27">
        <v>10</v>
      </c>
      <c r="D27">
        <v>1.44549701076478</v>
      </c>
      <c r="G27">
        <v>10</v>
      </c>
      <c r="H27" s="166">
        <v>1.44257330030622</v>
      </c>
      <c r="J27" s="156"/>
      <c r="L27" s="155"/>
      <c r="M27">
        <v>10</v>
      </c>
      <c r="N27">
        <v>1.44557850311576</v>
      </c>
      <c r="Q27">
        <v>10</v>
      </c>
      <c r="R27">
        <v>1.44720741718253</v>
      </c>
      <c r="T27" s="156"/>
      <c r="V27" s="155"/>
      <c r="W27">
        <v>10</v>
      </c>
      <c r="X27">
        <v>1.4427096955076499</v>
      </c>
      <c r="AA27">
        <v>10</v>
      </c>
      <c r="AB27">
        <v>1.44366220191751</v>
      </c>
      <c r="AD27" s="156"/>
      <c r="AF27" s="155"/>
      <c r="AH27">
        <v>10</v>
      </c>
      <c r="AI27" s="162">
        <v>1.44111040008328</v>
      </c>
      <c r="AL27">
        <v>10</v>
      </c>
      <c r="AM27" s="166">
        <v>1.44365828078057</v>
      </c>
      <c r="AO27" s="156"/>
      <c r="AQ27" s="155"/>
      <c r="AS27">
        <v>10</v>
      </c>
      <c r="AT27" s="162">
        <v>1.4402656220349801</v>
      </c>
      <c r="AW27">
        <v>10</v>
      </c>
      <c r="AX27" s="166">
        <v>1.44062822538863</v>
      </c>
      <c r="AZ27" s="156"/>
    </row>
    <row r="28" spans="1:67">
      <c r="A28" s="155"/>
      <c r="C28">
        <v>20</v>
      </c>
      <c r="D28">
        <v>1.4560841932717099</v>
      </c>
      <c r="G28">
        <v>20</v>
      </c>
      <c r="H28" s="166">
        <v>1.45284886688771</v>
      </c>
      <c r="J28" s="156"/>
      <c r="L28" s="155"/>
      <c r="M28">
        <v>20</v>
      </c>
      <c r="N28">
        <v>1.4557146257468501</v>
      </c>
      <c r="Q28">
        <v>20</v>
      </c>
      <c r="R28">
        <v>1.4586210408639699</v>
      </c>
      <c r="T28" s="156"/>
      <c r="V28" s="155"/>
      <c r="W28">
        <v>20</v>
      </c>
      <c r="X28">
        <v>1.4532436381323699</v>
      </c>
      <c r="AA28">
        <v>20</v>
      </c>
      <c r="AB28">
        <v>1.4543254723271899</v>
      </c>
      <c r="AD28" s="156"/>
      <c r="AF28" s="155"/>
      <c r="AH28">
        <v>20</v>
      </c>
      <c r="AI28" s="162">
        <v>1.4484710047364899</v>
      </c>
      <c r="AL28">
        <v>20</v>
      </c>
      <c r="AM28" s="166">
        <v>1.45447923394849</v>
      </c>
      <c r="AO28" s="156"/>
      <c r="AQ28" s="155"/>
      <c r="AS28">
        <v>20</v>
      </c>
      <c r="AT28" s="162">
        <v>1.4510015741110101</v>
      </c>
      <c r="AW28">
        <v>20</v>
      </c>
      <c r="AX28" s="166">
        <v>1.4513480813525099</v>
      </c>
      <c r="AZ28" s="156"/>
      <c r="BE28" s="16" t="s">
        <v>1087</v>
      </c>
      <c r="BF28" t="s">
        <v>1088</v>
      </c>
    </row>
    <row r="29" spans="1:67">
      <c r="A29" s="155"/>
      <c r="C29">
        <v>50</v>
      </c>
      <c r="D29">
        <v>1.47210748624209</v>
      </c>
      <c r="G29">
        <v>50</v>
      </c>
      <c r="H29" s="166">
        <v>1.4688433120292099</v>
      </c>
      <c r="J29" s="156"/>
      <c r="L29" s="155"/>
      <c r="M29">
        <v>50</v>
      </c>
      <c r="N29">
        <v>1.4699317210637199</v>
      </c>
      <c r="Q29">
        <v>50</v>
      </c>
      <c r="R29">
        <v>1.4737619125508701</v>
      </c>
      <c r="T29" s="156"/>
      <c r="V29" s="155"/>
      <c r="W29">
        <v>50</v>
      </c>
      <c r="X29">
        <v>1.4719372857458299</v>
      </c>
      <c r="AA29">
        <v>50</v>
      </c>
      <c r="AB29">
        <v>1.4712842067913099</v>
      </c>
      <c r="AD29" s="156"/>
      <c r="AF29" s="155"/>
      <c r="AH29">
        <v>50</v>
      </c>
      <c r="AI29" s="162">
        <v>1.4543843989772101</v>
      </c>
      <c r="AL29">
        <v>50</v>
      </c>
      <c r="AM29" s="166">
        <v>1.4703326670127099</v>
      </c>
      <c r="AO29" s="156"/>
      <c r="AQ29" s="155"/>
      <c r="AS29">
        <v>50</v>
      </c>
      <c r="AT29" s="162">
        <v>1.46517082449715</v>
      </c>
      <c r="AW29">
        <v>50</v>
      </c>
      <c r="AX29" s="166">
        <v>1.4668514835281901</v>
      </c>
      <c r="AZ29" s="156"/>
      <c r="BF29" t="s">
        <v>1089</v>
      </c>
    </row>
    <row r="30" spans="1:67">
      <c r="A30" s="155"/>
      <c r="C30">
        <v>100</v>
      </c>
      <c r="D30">
        <v>1.4874727466111699</v>
      </c>
      <c r="G30">
        <v>100</v>
      </c>
      <c r="H30" s="166">
        <v>1.484109525392</v>
      </c>
      <c r="J30" s="156"/>
      <c r="L30" s="155"/>
      <c r="M30">
        <v>100</v>
      </c>
      <c r="N30">
        <v>1.48635317632023</v>
      </c>
      <c r="Q30">
        <v>100</v>
      </c>
      <c r="R30">
        <v>1.48794325249033</v>
      </c>
      <c r="T30" s="156"/>
      <c r="V30" s="155"/>
      <c r="W30">
        <v>100</v>
      </c>
      <c r="X30">
        <v>1.48810418640523</v>
      </c>
      <c r="AA30">
        <v>100</v>
      </c>
      <c r="AB30">
        <v>1.4885088362002099</v>
      </c>
      <c r="AD30" s="156"/>
      <c r="AF30" s="155"/>
      <c r="AH30">
        <v>100</v>
      </c>
      <c r="AI30" s="162">
        <v>1.4534956427165699</v>
      </c>
      <c r="AL30">
        <v>100</v>
      </c>
      <c r="AM30" s="166">
        <v>1.4840250112984199</v>
      </c>
      <c r="AO30" s="156"/>
      <c r="AQ30" s="155"/>
      <c r="AS30">
        <v>100</v>
      </c>
      <c r="AT30" s="162">
        <v>1.4821367301061199</v>
      </c>
      <c r="AW30">
        <v>100</v>
      </c>
      <c r="AX30" s="166">
        <v>1.4827215713797399</v>
      </c>
      <c r="AZ30" s="156"/>
    </row>
    <row r="31" spans="1:67">
      <c r="A31" s="155"/>
      <c r="J31" s="156"/>
      <c r="L31" s="155"/>
      <c r="T31" s="156"/>
      <c r="V31" s="155"/>
      <c r="AD31" s="156"/>
      <c r="AF31" s="155"/>
      <c r="AO31" s="156"/>
      <c r="AQ31" s="155"/>
      <c r="AZ31" s="156"/>
    </row>
    <row r="32" spans="1:67">
      <c r="A32" s="155"/>
      <c r="J32" s="156"/>
      <c r="L32" s="155"/>
      <c r="T32" s="156"/>
      <c r="V32" s="155"/>
      <c r="AD32" s="156"/>
      <c r="AF32" s="155"/>
      <c r="AO32" s="156"/>
      <c r="AQ32" s="155"/>
      <c r="AZ32" s="156"/>
    </row>
    <row r="33" spans="1:54">
      <c r="A33" s="155"/>
      <c r="C33" s="225" t="s">
        <v>1056</v>
      </c>
      <c r="D33" s="225"/>
      <c r="E33" s="225"/>
      <c r="G33" s="226" t="s">
        <v>1057</v>
      </c>
      <c r="H33" s="227"/>
      <c r="I33" s="227"/>
      <c r="J33" s="156"/>
      <c r="L33" s="155"/>
      <c r="M33" s="225" t="s">
        <v>1056</v>
      </c>
      <c r="N33" s="225"/>
      <c r="O33" s="225"/>
      <c r="Q33" s="226" t="s">
        <v>1057</v>
      </c>
      <c r="R33" s="227"/>
      <c r="S33" s="227"/>
      <c r="T33" s="156"/>
      <c r="V33" s="155"/>
      <c r="W33" s="225" t="s">
        <v>1056</v>
      </c>
      <c r="X33" s="225"/>
      <c r="Y33" s="225"/>
      <c r="AA33" s="226" t="s">
        <v>1057</v>
      </c>
      <c r="AB33" s="227"/>
      <c r="AC33" s="227"/>
      <c r="AD33" s="156"/>
      <c r="AF33" s="155"/>
      <c r="AH33" s="225" t="s">
        <v>1056</v>
      </c>
      <c r="AI33" s="225"/>
      <c r="AJ33" s="225"/>
      <c r="AL33" s="226" t="s">
        <v>1057</v>
      </c>
      <c r="AM33" s="227"/>
      <c r="AN33" s="227"/>
      <c r="AO33" s="156"/>
      <c r="AQ33" s="155"/>
      <c r="AS33" s="225" t="s">
        <v>1056</v>
      </c>
      <c r="AT33" s="225"/>
      <c r="AU33" s="225"/>
      <c r="AW33" s="226" t="s">
        <v>1057</v>
      </c>
      <c r="AX33" s="227"/>
      <c r="AY33" s="227"/>
      <c r="AZ33" s="156"/>
    </row>
    <row r="34" spans="1:54" s="56" customFormat="1">
      <c r="A34" s="159"/>
      <c r="C34" s="56" t="s">
        <v>1063</v>
      </c>
      <c r="D34" s="56" t="s">
        <v>1064</v>
      </c>
      <c r="E34" s="56" t="s">
        <v>37</v>
      </c>
      <c r="G34" s="56" t="s">
        <v>1063</v>
      </c>
      <c r="H34" s="56" t="s">
        <v>1064</v>
      </c>
      <c r="I34" s="56" t="s">
        <v>1065</v>
      </c>
      <c r="J34" s="160"/>
      <c r="L34" s="159"/>
      <c r="M34" s="56" t="s">
        <v>1063</v>
      </c>
      <c r="N34" s="56" t="s">
        <v>1064</v>
      </c>
      <c r="O34" s="56" t="s">
        <v>37</v>
      </c>
      <c r="Q34" s="56" t="s">
        <v>1063</v>
      </c>
      <c r="R34" s="56" t="s">
        <v>1064</v>
      </c>
      <c r="S34" s="56" t="s">
        <v>1065</v>
      </c>
      <c r="T34" s="160"/>
      <c r="V34" s="159"/>
      <c r="W34" s="56" t="s">
        <v>1063</v>
      </c>
      <c r="X34" s="56" t="s">
        <v>1064</v>
      </c>
      <c r="Y34" s="56" t="s">
        <v>37</v>
      </c>
      <c r="AA34" s="56" t="s">
        <v>1063</v>
      </c>
      <c r="AB34" s="56" t="s">
        <v>1064</v>
      </c>
      <c r="AC34" s="56" t="s">
        <v>1065</v>
      </c>
      <c r="AD34" s="160"/>
      <c r="AF34" s="159"/>
      <c r="AH34" s="56" t="s">
        <v>1063</v>
      </c>
      <c r="AI34" s="56" t="s">
        <v>1064</v>
      </c>
      <c r="AJ34" s="56" t="s">
        <v>37</v>
      </c>
      <c r="AL34" s="56" t="s">
        <v>1063</v>
      </c>
      <c r="AM34" s="56" t="s">
        <v>1064</v>
      </c>
      <c r="AN34" s="56" t="s">
        <v>1065</v>
      </c>
      <c r="AO34" s="160"/>
      <c r="AP34"/>
      <c r="AQ34" s="159"/>
      <c r="AS34" s="56" t="s">
        <v>1063</v>
      </c>
      <c r="AT34" s="56" t="s">
        <v>1064</v>
      </c>
      <c r="AU34" s="56" t="s">
        <v>37</v>
      </c>
      <c r="AW34" s="56" t="s">
        <v>1063</v>
      </c>
      <c r="AX34" s="56" t="s">
        <v>1064</v>
      </c>
      <c r="AY34" s="56" t="s">
        <v>1065</v>
      </c>
      <c r="AZ34" s="160"/>
      <c r="BA34"/>
      <c r="BB34"/>
    </row>
    <row r="35" spans="1:54">
      <c r="A35" s="155" t="s">
        <v>1081</v>
      </c>
      <c r="C35" s="162">
        <v>1.1218637580822</v>
      </c>
      <c r="D35" s="162">
        <v>223.527871859805</v>
      </c>
      <c r="E35" s="162">
        <v>35.959853419672598</v>
      </c>
      <c r="G35" s="162">
        <v>1.15492626041711</v>
      </c>
      <c r="H35" s="162">
        <v>217.72157901663601</v>
      </c>
      <c r="I35" s="162">
        <v>32.344051987966097</v>
      </c>
      <c r="J35" s="156"/>
      <c r="L35" s="163" t="s">
        <v>1076</v>
      </c>
      <c r="M35" s="162">
        <v>1.1380284789798101</v>
      </c>
      <c r="N35" s="162">
        <v>224.30006344227201</v>
      </c>
      <c r="O35" s="162">
        <v>32.496031307377898</v>
      </c>
      <c r="P35" s="132"/>
      <c r="Q35" s="167">
        <v>2.94976030841684</v>
      </c>
      <c r="R35">
        <v>255.871808718079</v>
      </c>
      <c r="S35">
        <v>18.098495272183602</v>
      </c>
      <c r="T35" s="156"/>
      <c r="V35" s="155" t="s">
        <v>1079</v>
      </c>
      <c r="W35" s="162">
        <v>1.1983674768625101</v>
      </c>
      <c r="X35" s="162">
        <v>227.97268648306101</v>
      </c>
      <c r="Y35" s="162">
        <v>34.947806970910001</v>
      </c>
      <c r="Z35" s="132"/>
      <c r="AA35" s="162">
        <v>1.0032833940550101</v>
      </c>
      <c r="AB35" s="162">
        <v>225.10749201132001</v>
      </c>
      <c r="AC35" s="162">
        <v>35.306297939960899</v>
      </c>
      <c r="AD35" s="156"/>
      <c r="AF35" s="155" t="s">
        <v>1076</v>
      </c>
      <c r="AH35" s="162">
        <v>1.19394188959476</v>
      </c>
      <c r="AI35" s="162">
        <v>226.003560521282</v>
      </c>
      <c r="AJ35" s="162">
        <v>32.855530200061501</v>
      </c>
      <c r="AL35" s="162">
        <v>1.16139009159861</v>
      </c>
      <c r="AM35" s="162">
        <v>224.03343935360201</v>
      </c>
      <c r="AN35" s="162">
        <v>34.099585747985302</v>
      </c>
      <c r="AO35" s="156"/>
      <c r="AQ35" s="155" t="s">
        <v>1081</v>
      </c>
      <c r="AS35" s="162">
        <v>1.15294700185426</v>
      </c>
      <c r="AT35" s="162">
        <v>221.23491920801399</v>
      </c>
      <c r="AU35" s="162">
        <v>33.300388926346699</v>
      </c>
      <c r="AW35" s="162"/>
      <c r="AX35" s="162"/>
      <c r="AY35" s="162"/>
      <c r="AZ35" s="156"/>
    </row>
    <row r="36" spans="1:54">
      <c r="A36" s="155"/>
      <c r="J36" s="156"/>
      <c r="L36" s="155"/>
      <c r="T36" s="156"/>
      <c r="V36" s="155"/>
      <c r="AD36" s="156"/>
      <c r="AF36" s="155"/>
      <c r="AO36" s="156"/>
      <c r="AQ36" s="155"/>
      <c r="AZ36" s="156"/>
    </row>
    <row r="37" spans="1:54">
      <c r="A37" s="155"/>
      <c r="J37" s="156"/>
      <c r="L37" s="155"/>
      <c r="T37" s="156"/>
      <c r="V37" s="155"/>
      <c r="AD37" s="156"/>
      <c r="AF37" s="155"/>
      <c r="AO37" s="156"/>
      <c r="AQ37" s="155"/>
      <c r="AZ37" s="156"/>
    </row>
    <row r="38" spans="1:54">
      <c r="A38" s="155"/>
      <c r="C38" s="16" t="s">
        <v>1073</v>
      </c>
      <c r="D38" s="16" t="s">
        <v>1074</v>
      </c>
      <c r="G38" s="16" t="s">
        <v>1073</v>
      </c>
      <c r="H38" s="16" t="s">
        <v>1074</v>
      </c>
      <c r="J38" s="156"/>
      <c r="L38" s="155"/>
      <c r="M38" s="16" t="s">
        <v>1073</v>
      </c>
      <c r="N38" s="16" t="s">
        <v>1074</v>
      </c>
      <c r="Q38" s="16" t="s">
        <v>1073</v>
      </c>
      <c r="R38" s="16" t="s">
        <v>1074</v>
      </c>
      <c r="T38" s="156"/>
      <c r="V38" s="155"/>
      <c r="W38" s="16" t="s">
        <v>1073</v>
      </c>
      <c r="X38" s="16" t="s">
        <v>1074</v>
      </c>
      <c r="AA38" s="16" t="s">
        <v>1073</v>
      </c>
      <c r="AB38" s="16" t="s">
        <v>1074</v>
      </c>
      <c r="AD38" s="156"/>
      <c r="AF38" s="155"/>
      <c r="AH38" s="16" t="s">
        <v>1073</v>
      </c>
      <c r="AI38" s="16" t="s">
        <v>1074</v>
      </c>
      <c r="AL38" s="16" t="s">
        <v>1073</v>
      </c>
      <c r="AM38" s="16" t="s">
        <v>1074</v>
      </c>
      <c r="AO38" s="156"/>
      <c r="AQ38" s="155"/>
      <c r="AS38" s="16" t="s">
        <v>1073</v>
      </c>
      <c r="AT38" s="16" t="s">
        <v>1074</v>
      </c>
      <c r="AW38" s="16" t="s">
        <v>1073</v>
      </c>
      <c r="AX38" s="16" t="s">
        <v>1074</v>
      </c>
      <c r="AZ38" s="156"/>
    </row>
    <row r="39" spans="1:54">
      <c r="A39" s="155"/>
      <c r="C39">
        <v>1</v>
      </c>
      <c r="D39">
        <v>1.4088316155154501</v>
      </c>
      <c r="G39">
        <v>1</v>
      </c>
      <c r="H39" s="168">
        <v>1.4110816152847501</v>
      </c>
      <c r="J39" s="156"/>
      <c r="L39" s="155"/>
      <c r="M39">
        <v>1</v>
      </c>
      <c r="N39">
        <v>1.4167918069991601</v>
      </c>
      <c r="Q39" s="169">
        <v>1</v>
      </c>
      <c r="R39" s="170">
        <v>1.4172372861923299</v>
      </c>
      <c r="T39" s="156"/>
      <c r="V39" s="155"/>
      <c r="W39">
        <v>1</v>
      </c>
      <c r="X39">
        <v>1.4185535703287699</v>
      </c>
      <c r="AA39">
        <v>1</v>
      </c>
      <c r="AB39" s="162">
        <v>1.4158362874591499</v>
      </c>
      <c r="AD39" s="156"/>
      <c r="AF39" s="155"/>
      <c r="AH39">
        <v>1</v>
      </c>
      <c r="AI39" s="162">
        <v>1.41931848894935</v>
      </c>
      <c r="AL39">
        <v>1</v>
      </c>
      <c r="AM39" s="168">
        <v>1.4146562709758399</v>
      </c>
      <c r="AO39" s="156"/>
      <c r="AQ39" s="155"/>
      <c r="AS39">
        <v>1</v>
      </c>
      <c r="AT39" s="162">
        <v>1.41364608246093</v>
      </c>
      <c r="AW39">
        <v>1</v>
      </c>
      <c r="AX39" s="168"/>
      <c r="AZ39" s="156"/>
    </row>
    <row r="40" spans="1:54">
      <c r="A40" s="155"/>
      <c r="C40">
        <v>2</v>
      </c>
      <c r="D40">
        <v>1.4200630906284999</v>
      </c>
      <c r="G40">
        <v>2</v>
      </c>
      <c r="H40" s="168">
        <v>1.418290471063</v>
      </c>
      <c r="J40" s="156"/>
      <c r="L40" s="155"/>
      <c r="M40">
        <v>2</v>
      </c>
      <c r="N40">
        <v>1.4239759678444699</v>
      </c>
      <c r="Q40" s="169">
        <v>2</v>
      </c>
      <c r="R40" s="170">
        <v>1.42444822194876</v>
      </c>
      <c r="T40" s="156"/>
      <c r="V40" s="155"/>
      <c r="W40">
        <v>2</v>
      </c>
      <c r="X40">
        <v>1.4262578426444601</v>
      </c>
      <c r="AA40">
        <v>2</v>
      </c>
      <c r="AB40" s="162">
        <v>1.4236114574352501</v>
      </c>
      <c r="AD40" s="156"/>
      <c r="AF40" s="155"/>
      <c r="AH40">
        <v>2</v>
      </c>
      <c r="AI40" s="162">
        <v>1.4265716203813901</v>
      </c>
      <c r="AL40">
        <v>2</v>
      </c>
      <c r="AM40" s="168">
        <v>1.4222904409729</v>
      </c>
      <c r="AO40" s="156"/>
      <c r="AQ40" s="155"/>
      <c r="AS40">
        <v>2</v>
      </c>
      <c r="AT40" s="162">
        <v>1.42112220902001</v>
      </c>
      <c r="AW40">
        <v>2</v>
      </c>
      <c r="AX40" s="168"/>
      <c r="AZ40" s="156"/>
    </row>
    <row r="41" spans="1:54">
      <c r="A41" s="155"/>
      <c r="C41">
        <v>5</v>
      </c>
      <c r="D41">
        <v>1.43381016087166</v>
      </c>
      <c r="G41">
        <v>5</v>
      </c>
      <c r="H41" s="168">
        <v>1.42886464392956</v>
      </c>
      <c r="J41" s="156"/>
      <c r="L41" s="155"/>
      <c r="M41">
        <v>5</v>
      </c>
      <c r="N41">
        <v>1.43469862610788</v>
      </c>
      <c r="Q41" s="169">
        <v>5</v>
      </c>
      <c r="R41" s="171">
        <v>1.43836642954978</v>
      </c>
      <c r="T41" s="156"/>
      <c r="V41" s="155"/>
      <c r="W41">
        <v>5</v>
      </c>
      <c r="X41">
        <v>1.43753276767561</v>
      </c>
      <c r="AA41">
        <v>5</v>
      </c>
      <c r="AB41" s="162">
        <v>1.43503709243021</v>
      </c>
      <c r="AD41" s="156"/>
      <c r="AF41" s="155"/>
      <c r="AH41">
        <v>5</v>
      </c>
      <c r="AI41" s="162">
        <v>1.4374387955122701</v>
      </c>
      <c r="AL41">
        <v>5</v>
      </c>
      <c r="AM41" s="168">
        <v>1.4336604579874299</v>
      </c>
      <c r="AO41" s="156"/>
      <c r="AQ41" s="155"/>
      <c r="AS41">
        <v>5</v>
      </c>
      <c r="AT41" s="162">
        <v>1.4317680873943499</v>
      </c>
      <c r="AW41">
        <v>5</v>
      </c>
      <c r="AX41" s="168"/>
      <c r="AZ41" s="156"/>
    </row>
    <row r="42" spans="1:54">
      <c r="A42" s="155"/>
      <c r="C42">
        <v>10</v>
      </c>
      <c r="D42">
        <v>1.44411335132185</v>
      </c>
      <c r="G42">
        <v>10</v>
      </c>
      <c r="H42" s="168">
        <v>1.4380277006917901</v>
      </c>
      <c r="J42" s="156"/>
      <c r="L42" s="155"/>
      <c r="M42">
        <v>10</v>
      </c>
      <c r="N42">
        <v>1.44393491462163</v>
      </c>
      <c r="Q42" s="169">
        <v>10</v>
      </c>
      <c r="R42" s="170">
        <v>1.4673441689719</v>
      </c>
      <c r="T42" s="156"/>
      <c r="V42" s="155"/>
      <c r="W42">
        <v>10</v>
      </c>
      <c r="X42">
        <v>1.4470221420428999</v>
      </c>
      <c r="AA42">
        <v>10</v>
      </c>
      <c r="AB42" s="162">
        <v>1.4447369468681599</v>
      </c>
      <c r="AD42" s="156"/>
      <c r="AF42" s="155"/>
      <c r="AH42">
        <v>10</v>
      </c>
      <c r="AI42" s="162">
        <v>1.4468022617192999</v>
      </c>
      <c r="AL42">
        <v>10</v>
      </c>
      <c r="AM42" s="168">
        <v>1.44325064113516</v>
      </c>
      <c r="AO42" s="156"/>
      <c r="AQ42" s="155"/>
      <c r="AS42">
        <v>10</v>
      </c>
      <c r="AT42" s="162">
        <v>1.4409968436280201</v>
      </c>
      <c r="AW42">
        <v>10</v>
      </c>
      <c r="AX42" s="168"/>
      <c r="AZ42" s="156"/>
    </row>
    <row r="43" spans="1:54">
      <c r="A43" s="155"/>
      <c r="C43">
        <v>20</v>
      </c>
      <c r="D43">
        <v>1.4535278718597999</v>
      </c>
      <c r="G43">
        <v>20</v>
      </c>
      <c r="H43" s="168">
        <v>1.44772157901663</v>
      </c>
      <c r="J43" s="156"/>
      <c r="L43" s="155"/>
      <c r="M43">
        <v>20</v>
      </c>
      <c r="N43">
        <v>1.45430006344227</v>
      </c>
      <c r="Q43" s="169">
        <v>20</v>
      </c>
      <c r="R43" s="170">
        <v>1.48587180871807</v>
      </c>
      <c r="T43" s="156"/>
      <c r="V43" s="155"/>
      <c r="W43">
        <v>20</v>
      </c>
      <c r="X43">
        <v>1.45797268648306</v>
      </c>
      <c r="AA43">
        <v>20</v>
      </c>
      <c r="AB43" s="162">
        <v>1.4551074920113201</v>
      </c>
      <c r="AD43" s="156"/>
      <c r="AF43" s="155"/>
      <c r="AH43">
        <v>20</v>
      </c>
      <c r="AI43" s="162">
        <v>1.45600356052128</v>
      </c>
      <c r="AL43">
        <v>20</v>
      </c>
      <c r="AM43" s="168">
        <v>1.4540334393536001</v>
      </c>
      <c r="AO43" s="156"/>
      <c r="AQ43" s="155"/>
      <c r="AS43">
        <v>20</v>
      </c>
      <c r="AT43" s="162">
        <v>1.4512349192080101</v>
      </c>
      <c r="AW43">
        <v>20</v>
      </c>
      <c r="AX43" s="168"/>
      <c r="AZ43" s="156"/>
    </row>
    <row r="44" spans="1:54">
      <c r="A44" s="155"/>
      <c r="C44">
        <v>50</v>
      </c>
      <c r="D44">
        <v>1.46926165656508</v>
      </c>
      <c r="G44">
        <v>50</v>
      </c>
      <c r="H44" s="168">
        <v>1.4631038088547299</v>
      </c>
      <c r="J44" s="156"/>
      <c r="L44" s="155"/>
      <c r="M44">
        <v>50</v>
      </c>
      <c r="N44">
        <v>1.46914775556399</v>
      </c>
      <c r="Q44" s="169">
        <v>50</v>
      </c>
      <c r="R44" s="170">
        <v>1.4605746248725</v>
      </c>
      <c r="T44" s="156"/>
      <c r="V44" s="155"/>
      <c r="W44">
        <v>50</v>
      </c>
      <c r="X44">
        <v>1.4735770997652999</v>
      </c>
      <c r="AA44">
        <v>50</v>
      </c>
      <c r="AB44" s="162">
        <v>1.4722699211591499</v>
      </c>
      <c r="AD44" s="156"/>
      <c r="AF44" s="155"/>
      <c r="AH44">
        <v>50</v>
      </c>
      <c r="AI44" s="162">
        <v>1.47241364589512</v>
      </c>
      <c r="AL44">
        <v>50</v>
      </c>
      <c r="AM44" s="168">
        <v>1.4689177870766801</v>
      </c>
      <c r="AO44" s="156"/>
      <c r="AQ44" s="155"/>
      <c r="AS44">
        <v>50</v>
      </c>
      <c r="AT44" s="162">
        <v>1.4650822928038401</v>
      </c>
      <c r="AW44">
        <v>50</v>
      </c>
      <c r="AX44" s="168"/>
      <c r="AZ44" s="156"/>
    </row>
    <row r="45" spans="1:54">
      <c r="A45" s="155"/>
      <c r="C45">
        <v>100</v>
      </c>
      <c r="D45" s="172">
        <v>1.4820816990313199</v>
      </c>
      <c r="G45">
        <v>100</v>
      </c>
      <c r="H45" s="168">
        <v>1.47623597204941</v>
      </c>
      <c r="J45" s="156"/>
      <c r="L45" s="155"/>
      <c r="M45">
        <v>100</v>
      </c>
      <c r="N45">
        <v>1.4819515053413601</v>
      </c>
      <c r="Q45" s="169">
        <v>100</v>
      </c>
      <c r="R45" s="170">
        <v>1.4348469657666101</v>
      </c>
      <c r="T45" s="156"/>
      <c r="V45" s="155"/>
      <c r="W45">
        <v>100</v>
      </c>
      <c r="X45">
        <v>1.48970342489177</v>
      </c>
      <c r="AA45">
        <v>100</v>
      </c>
      <c r="AB45" s="162">
        <v>1.4872935553409601</v>
      </c>
      <c r="AD45" s="156"/>
      <c r="AF45" s="155"/>
      <c r="AH45">
        <v>100</v>
      </c>
      <c r="AI45" s="162">
        <v>1.48545720621799</v>
      </c>
      <c r="AL45">
        <v>100</v>
      </c>
      <c r="AM45" s="168">
        <v>1.4836309159618599</v>
      </c>
      <c r="AO45" s="156"/>
      <c r="AQ45" s="155"/>
      <c r="AS45">
        <v>100</v>
      </c>
      <c r="AT45" s="162">
        <v>1.48223369372115</v>
      </c>
      <c r="AW45">
        <v>100</v>
      </c>
      <c r="AX45" s="168"/>
      <c r="AZ45" s="156"/>
    </row>
    <row r="46" spans="1:54">
      <c r="A46" s="157"/>
      <c r="B46" s="158"/>
      <c r="C46" s="158"/>
      <c r="D46" s="173"/>
      <c r="E46" s="158"/>
      <c r="F46" s="158"/>
      <c r="G46" s="158"/>
      <c r="H46" s="174"/>
      <c r="I46" s="158"/>
      <c r="J46" s="88"/>
      <c r="L46" s="157"/>
      <c r="M46" s="158"/>
      <c r="N46" s="158"/>
      <c r="O46" s="173"/>
      <c r="P46" s="158"/>
      <c r="Q46" s="158"/>
      <c r="R46" s="158"/>
      <c r="S46" s="174"/>
      <c r="T46" s="88"/>
      <c r="V46" s="157"/>
      <c r="W46" s="158"/>
      <c r="X46" s="158"/>
      <c r="Y46" s="158"/>
      <c r="Z46" s="158"/>
      <c r="AA46" s="158"/>
      <c r="AB46" s="173"/>
      <c r="AC46" s="158"/>
      <c r="AD46" s="88"/>
      <c r="AF46" s="178"/>
      <c r="AG46" s="179"/>
      <c r="AH46" s="179"/>
      <c r="AI46" s="179"/>
      <c r="AJ46" s="179"/>
      <c r="AK46" s="179"/>
      <c r="AL46" s="179"/>
      <c r="AM46" s="179"/>
      <c r="AN46" s="179"/>
      <c r="AO46" s="180"/>
      <c r="AQ46" s="178"/>
      <c r="AR46" s="179"/>
      <c r="AS46" s="179"/>
      <c r="AT46" s="179"/>
      <c r="AU46" s="179"/>
      <c r="AV46" s="179"/>
      <c r="AW46" s="179"/>
      <c r="AX46" s="179"/>
      <c r="AY46" s="179"/>
      <c r="AZ46" s="180"/>
    </row>
    <row r="47" spans="1:54">
      <c r="A47" s="155"/>
      <c r="C47" s="56"/>
      <c r="D47" s="175" t="s">
        <v>1090</v>
      </c>
      <c r="E47" s="56" t="s">
        <v>1091</v>
      </c>
      <c r="H47" s="175" t="s">
        <v>1090</v>
      </c>
      <c r="I47" s="56" t="s">
        <v>1091</v>
      </c>
      <c r="J47" s="160"/>
      <c r="L47" s="155"/>
      <c r="M47" s="56"/>
      <c r="N47" s="175" t="s">
        <v>1090</v>
      </c>
      <c r="O47" s="56" t="s">
        <v>1091</v>
      </c>
      <c r="R47" s="175" t="s">
        <v>1090</v>
      </c>
      <c r="S47" s="56" t="s">
        <v>1091</v>
      </c>
      <c r="T47" s="156"/>
      <c r="V47" s="155"/>
      <c r="W47" s="56"/>
      <c r="X47" s="175" t="s">
        <v>1090</v>
      </c>
      <c r="Y47" s="56" t="s">
        <v>1091</v>
      </c>
      <c r="AB47" s="175" t="s">
        <v>1090</v>
      </c>
      <c r="AC47" s="56" t="s">
        <v>1091</v>
      </c>
      <c r="AD47" s="156"/>
      <c r="AF47" s="157"/>
      <c r="AG47" s="158"/>
      <c r="AH47" s="158"/>
      <c r="AI47" s="173"/>
      <c r="AJ47" s="158"/>
      <c r="AK47" s="158"/>
      <c r="AL47" s="158"/>
      <c r="AM47" s="174"/>
      <c r="AN47" s="158"/>
      <c r="AO47" s="88"/>
      <c r="AQ47" s="157"/>
      <c r="AR47" s="158"/>
      <c r="AS47" s="158"/>
      <c r="AT47" s="173"/>
      <c r="AU47" s="158"/>
      <c r="AV47" s="158"/>
      <c r="AW47" s="158"/>
      <c r="AX47" s="174"/>
      <c r="AY47" s="158"/>
      <c r="AZ47" s="88"/>
    </row>
    <row r="48" spans="1:54">
      <c r="A48" s="155"/>
      <c r="C48">
        <v>1</v>
      </c>
      <c r="D48" s="162">
        <f t="shared" ref="D48:D54" si="1">AVERAGE(D8,D24,D39)</f>
        <v>1.4127872590261468</v>
      </c>
      <c r="E48">
        <f t="shared" ref="E48:E54" si="2">_xlfn.STDEV.S(D8,D24,D39)</f>
        <v>4.4226311589980385E-3</v>
      </c>
      <c r="G48">
        <v>1</v>
      </c>
      <c r="H48" s="176">
        <f t="shared" ref="H48:H54" si="3">AVERAGE(H8,H24,H39)</f>
        <v>1.4137476946676666</v>
      </c>
      <c r="I48">
        <f t="shared" ref="I48:I54" si="4">_xlfn.STDEV.S(H8,H24,H39)</f>
        <v>2.3507853443757885E-3</v>
      </c>
      <c r="J48" s="156"/>
      <c r="L48" s="155"/>
      <c r="M48">
        <v>1</v>
      </c>
      <c r="N48" s="162">
        <f t="shared" ref="N48:N54" si="5">AVERAGE(N8,N24,N39)</f>
        <v>1.4186653624082968</v>
      </c>
      <c r="O48">
        <f>_xlfn.STDEV.S(N8,N24,N39)</f>
        <v>2.1350071575369244E-3</v>
      </c>
      <c r="Q48">
        <v>1</v>
      </c>
      <c r="R48" s="177">
        <f>AVERAGE(R8,R24)</f>
        <v>1.417478418095695</v>
      </c>
      <c r="S48">
        <f t="shared" ref="S48:S54" si="6">_xlfn.STDEV.S(R8,R24)</f>
        <v>2.5503434994975338E-4</v>
      </c>
      <c r="T48" s="156"/>
      <c r="U48" s="156"/>
      <c r="V48" s="155"/>
      <c r="W48">
        <v>1</v>
      </c>
      <c r="X48" s="162">
        <f>AVERAGE(X8,X24,X39)</f>
        <v>1.4171485770097367</v>
      </c>
      <c r="Y48">
        <f>_xlfn.STDEV.S(X8,X24,X39)</f>
        <v>1.8647054575662786E-3</v>
      </c>
      <c r="AA48">
        <v>1</v>
      </c>
      <c r="AB48" s="176">
        <f t="shared" ref="AB48:AB54" si="7">AVERAGE(AB8,AB24,AB39)</f>
        <v>1.4142271068833601</v>
      </c>
      <c r="AC48">
        <f>_xlfn.STDEV.S(AB8,AB24,AB39)</f>
        <v>2.2023980744191071E-3</v>
      </c>
      <c r="AD48" s="156"/>
      <c r="AF48" s="155"/>
      <c r="AH48" s="56"/>
      <c r="AI48" s="175" t="s">
        <v>1090</v>
      </c>
      <c r="AJ48" s="56" t="s">
        <v>1091</v>
      </c>
      <c r="AM48" s="175" t="s">
        <v>1090</v>
      </c>
      <c r="AN48" s="56" t="s">
        <v>1091</v>
      </c>
      <c r="AO48" s="160"/>
      <c r="AQ48" s="155"/>
      <c r="AS48" s="56"/>
      <c r="AT48" s="175" t="s">
        <v>1090</v>
      </c>
      <c r="AU48" s="56" t="s">
        <v>1091</v>
      </c>
      <c r="AX48" s="175" t="s">
        <v>1090</v>
      </c>
      <c r="AY48" s="56" t="s">
        <v>1091</v>
      </c>
      <c r="AZ48" s="160"/>
    </row>
    <row r="49" spans="1:52">
      <c r="A49" s="155"/>
      <c r="C49">
        <v>2</v>
      </c>
      <c r="D49" s="162">
        <f t="shared" si="1"/>
        <v>1.4228311428800167</v>
      </c>
      <c r="E49">
        <f t="shared" si="2"/>
        <v>2.5156589592890913E-3</v>
      </c>
      <c r="G49">
        <v>2</v>
      </c>
      <c r="H49" s="176">
        <f t="shared" si="3"/>
        <v>1.4211845126110134</v>
      </c>
      <c r="I49">
        <f t="shared" si="4"/>
        <v>2.5152293798800301E-3</v>
      </c>
      <c r="J49" s="156"/>
      <c r="L49" s="155"/>
      <c r="M49">
        <v>2</v>
      </c>
      <c r="N49" s="162">
        <f t="shared" si="5"/>
        <v>1.4260505698645467</v>
      </c>
      <c r="O49">
        <f t="shared" ref="O49:O54" si="8">_xlfn.STDEV.S(N9,N25,N40)</f>
        <v>2.3307209849466578E-3</v>
      </c>
      <c r="Q49">
        <v>2</v>
      </c>
      <c r="R49" s="177">
        <f t="shared" ref="R49:R50" si="9">AVERAGE(R9,R25)</f>
        <v>1.42528971597826</v>
      </c>
      <c r="S49">
        <f t="shared" si="6"/>
        <v>3.2452716586162003E-4</v>
      </c>
      <c r="T49" s="156"/>
      <c r="U49" s="156"/>
      <c r="V49" s="155"/>
      <c r="W49">
        <v>2</v>
      </c>
      <c r="X49" s="162">
        <f>AVERAGE(X9,X25,X40)</f>
        <v>1.4247422790374202</v>
      </c>
      <c r="Y49">
        <f t="shared" ref="Y49:Y54" si="10">_xlfn.STDEV.S(X9,X25,X40)</f>
        <v>1.8244692007460474E-3</v>
      </c>
      <c r="AA49">
        <v>2</v>
      </c>
      <c r="AB49" s="176">
        <f t="shared" si="7"/>
        <v>1.4217954426609698</v>
      </c>
      <c r="AC49">
        <f t="shared" ref="AC49:AC52" si="11">_xlfn.STDEV.S(AB9,AB25,AB40)</f>
        <v>2.3960917217248317E-3</v>
      </c>
      <c r="AD49" s="156"/>
      <c r="AF49" s="155"/>
      <c r="AH49">
        <v>1</v>
      </c>
      <c r="AI49" s="162">
        <f>AVERAGE(AI8,AI24,AI39)</f>
        <v>1.4186511075395201</v>
      </c>
      <c r="AJ49">
        <f t="shared" ref="AJ49:AJ55" si="12">_xlfn.STDEV.S(AI8,AI24,AI39)</f>
        <v>1.2573667294670209E-3</v>
      </c>
      <c r="AL49">
        <v>1</v>
      </c>
      <c r="AM49" s="176">
        <f>AVERAGE(AM8,AM24,AM39)</f>
        <v>1.4140178143110165</v>
      </c>
      <c r="AN49">
        <f>_xlfn.STDEV.S(AM8,AM24,AM39)</f>
        <v>1.8486698739997691E-3</v>
      </c>
      <c r="AO49" s="156"/>
      <c r="AQ49" s="155"/>
      <c r="AS49">
        <v>1</v>
      </c>
      <c r="AT49" s="176">
        <f>AVERAGE(AT8,AT24,AT39)</f>
        <v>1.4151780381498</v>
      </c>
      <c r="AU49">
        <f>_xlfn.STDEV.S(AT8,AT24,AT39)</f>
        <v>3.7019394149696355E-3</v>
      </c>
      <c r="AW49">
        <v>1</v>
      </c>
      <c r="AX49" s="176">
        <f>AVERAGE(AX8,AX24,AX39)</f>
        <v>1.4130757457744401</v>
      </c>
      <c r="AY49">
        <f>_xlfn.STDEV.S(AX8,AX24,AX39)</f>
        <v>1.02869632227175E-3</v>
      </c>
      <c r="AZ49" s="156"/>
    </row>
    <row r="50" spans="1:52">
      <c r="A50" s="155"/>
      <c r="C50">
        <v>5</v>
      </c>
      <c r="D50" s="162">
        <f t="shared" si="1"/>
        <v>1.4357988222967568</v>
      </c>
      <c r="E50">
        <f t="shared" si="2"/>
        <v>1.9264425303554549E-3</v>
      </c>
      <c r="G50">
        <v>5</v>
      </c>
      <c r="H50" s="176">
        <f t="shared" si="3"/>
        <v>1.4320262225796767</v>
      </c>
      <c r="I50">
        <f t="shared" si="4"/>
        <v>2.7424417565166067E-3</v>
      </c>
      <c r="J50" s="156"/>
      <c r="L50" s="155"/>
      <c r="M50">
        <v>5</v>
      </c>
      <c r="N50" s="162">
        <f t="shared" si="5"/>
        <v>1.4369698273211868</v>
      </c>
      <c r="O50">
        <f t="shared" si="8"/>
        <v>2.6156035827234287E-3</v>
      </c>
      <c r="Q50">
        <v>5</v>
      </c>
      <c r="R50" s="177">
        <f t="shared" si="9"/>
        <v>1.436723757692425</v>
      </c>
      <c r="S50">
        <f t="shared" si="6"/>
        <v>4.5846242013263932E-4</v>
      </c>
      <c r="T50" s="156"/>
      <c r="U50" s="156"/>
      <c r="V50" s="155"/>
      <c r="W50">
        <v>5</v>
      </c>
      <c r="X50" s="162">
        <f t="shared" ref="X50:X54" si="13">AVERAGE(X10,X26,X41)</f>
        <v>1.4358451068006899</v>
      </c>
      <c r="Y50">
        <f t="shared" si="10"/>
        <v>1.9132559235251617E-3</v>
      </c>
      <c r="AA50">
        <v>5</v>
      </c>
      <c r="AB50" s="176">
        <f t="shared" si="7"/>
        <v>1.4329465007930866</v>
      </c>
      <c r="AC50">
        <f t="shared" si="11"/>
        <v>2.6985965190635106E-3</v>
      </c>
      <c r="AD50" s="156"/>
      <c r="AF50" s="155"/>
      <c r="AH50">
        <v>2</v>
      </c>
      <c r="AI50" s="162">
        <f>AVERAGE(AI9,AI25,AI40)</f>
        <v>1.4257353176099334</v>
      </c>
      <c r="AJ50">
        <f t="shared" si="12"/>
        <v>1.5387974336884219E-3</v>
      </c>
      <c r="AL50">
        <v>2</v>
      </c>
      <c r="AM50" s="176">
        <f t="shared" ref="AM50:AM55" si="14">AVERAGE(AM9,AM25,AM40)</f>
        <v>1.4216908969263</v>
      </c>
      <c r="AN50">
        <f t="shared" ref="AN50:AN55" si="15">_xlfn.STDEV.S(AM9,AM25,AM40)</f>
        <v>1.8842878617210132E-3</v>
      </c>
      <c r="AO50" s="156"/>
      <c r="AQ50" s="155"/>
      <c r="AS50">
        <v>2</v>
      </c>
      <c r="AT50" s="162">
        <f>AVERAGE(AT9,AT25,AT40)</f>
        <v>1.4226541484788899</v>
      </c>
      <c r="AU50">
        <f t="shared" ref="AU50:AU55" si="16">_xlfn.STDEV.S(AT9,AT25,AT40)</f>
        <v>3.6165611551674404E-3</v>
      </c>
      <c r="AW50">
        <v>2</v>
      </c>
      <c r="AX50" s="176">
        <f t="shared" ref="AX50:AX55" si="17">AVERAGE(AX9,AX25,AX40)</f>
        <v>1.4208797560899251</v>
      </c>
      <c r="AY50">
        <f t="shared" ref="AY50:AY55" si="18">_xlfn.STDEV.S(AX9,AX25,AX40)</f>
        <v>1.0884922658829232E-3</v>
      </c>
      <c r="AZ50" s="156"/>
    </row>
    <row r="51" spans="1:52">
      <c r="A51" s="155"/>
      <c r="C51">
        <v>10</v>
      </c>
      <c r="D51" s="162">
        <f t="shared" si="1"/>
        <v>1.4460955530872901</v>
      </c>
      <c r="E51">
        <f t="shared" si="2"/>
        <v>2.3396171479793553E-3</v>
      </c>
      <c r="G51">
        <v>10</v>
      </c>
      <c r="H51" s="176">
        <f t="shared" si="3"/>
        <v>1.4413789788671967</v>
      </c>
      <c r="I51">
        <f t="shared" si="4"/>
        <v>2.9419323132336378E-3</v>
      </c>
      <c r="J51" s="156"/>
      <c r="L51" s="155"/>
      <c r="M51">
        <v>10</v>
      </c>
      <c r="N51" s="162">
        <f t="shared" si="5"/>
        <v>1.4463582230031833</v>
      </c>
      <c r="O51">
        <f t="shared" si="8"/>
        <v>2.8930759328795745E-3</v>
      </c>
      <c r="Q51">
        <v>10</v>
      </c>
      <c r="R51" s="177">
        <f>AVERAGE(R11,R27)</f>
        <v>1.44663342160866</v>
      </c>
      <c r="S51">
        <f t="shared" si="6"/>
        <v>8.1175232530900446E-4</v>
      </c>
      <c r="T51" s="156"/>
      <c r="U51" s="156"/>
      <c r="V51" s="155"/>
      <c r="W51">
        <v>10</v>
      </c>
      <c r="X51" s="162">
        <f t="shared" si="13"/>
        <v>1.4449004738310398</v>
      </c>
      <c r="Y51">
        <f t="shared" si="10"/>
        <v>2.1570537627709154E-3</v>
      </c>
      <c r="AA51">
        <v>10</v>
      </c>
      <c r="AB51" s="176">
        <f t="shared" si="7"/>
        <v>1.4425654290547731</v>
      </c>
      <c r="AC51">
        <f t="shared" si="11"/>
        <v>2.880982841837668E-3</v>
      </c>
      <c r="AD51" s="156"/>
      <c r="AF51" s="155"/>
      <c r="AH51">
        <v>5</v>
      </c>
      <c r="AI51" s="162">
        <f>AVERAGE(AI10,AI26,AI41)</f>
        <v>1.4360823537577698</v>
      </c>
      <c r="AJ51">
        <f t="shared" si="12"/>
        <v>2.3713841909963397E-3</v>
      </c>
      <c r="AL51">
        <v>5</v>
      </c>
      <c r="AM51" s="176">
        <f t="shared" si="14"/>
        <v>1.4328461858634034</v>
      </c>
      <c r="AN51">
        <f t="shared" si="15"/>
        <v>2.040673765973756E-3</v>
      </c>
      <c r="AO51" s="156"/>
      <c r="AQ51" s="155"/>
      <c r="AS51">
        <v>5</v>
      </c>
      <c r="AT51" s="162">
        <f>AVERAGE(AT10,AT26,AT41)</f>
        <v>1.43345175095577</v>
      </c>
      <c r="AU51">
        <f t="shared" si="16"/>
        <v>3.6472377282658671E-3</v>
      </c>
      <c r="AW51">
        <v>5</v>
      </c>
      <c r="AX51" s="176">
        <f t="shared" si="17"/>
        <v>1.432133409083985</v>
      </c>
      <c r="AY51">
        <f t="shared" si="18"/>
        <v>1.4747631859578058E-3</v>
      </c>
      <c r="AZ51" s="156"/>
    </row>
    <row r="52" spans="1:52">
      <c r="A52" s="155"/>
      <c r="C52">
        <v>20</v>
      </c>
      <c r="D52" s="162">
        <f t="shared" si="1"/>
        <v>1.45611740384661</v>
      </c>
      <c r="E52">
        <f t="shared" si="2"/>
        <v>2.6062959730240899E-3</v>
      </c>
      <c r="G52">
        <v>20</v>
      </c>
      <c r="H52" s="176">
        <f t="shared" si="3"/>
        <v>1.45128409136253</v>
      </c>
      <c r="I52">
        <f t="shared" si="4"/>
        <v>3.0928117517683377E-3</v>
      </c>
      <c r="J52" s="156"/>
      <c r="L52" s="155"/>
      <c r="M52">
        <v>20</v>
      </c>
      <c r="N52" s="162">
        <f t="shared" si="5"/>
        <v>1.4568305424074734</v>
      </c>
      <c r="O52">
        <f t="shared" si="8"/>
        <v>3.2361083763404034E-3</v>
      </c>
      <c r="Q52">
        <v>20</v>
      </c>
      <c r="R52" s="177">
        <f>AVERAGE(R12,R28)</f>
        <v>1.4571737942876499</v>
      </c>
      <c r="S52">
        <f t="shared" si="6"/>
        <v>2.0467157363297794E-3</v>
      </c>
      <c r="T52" s="156"/>
      <c r="U52" s="156"/>
      <c r="V52" s="155"/>
      <c r="W52">
        <v>20</v>
      </c>
      <c r="X52" s="162">
        <f t="shared" si="13"/>
        <v>1.4555804863779898</v>
      </c>
      <c r="Y52">
        <f t="shared" si="10"/>
        <v>2.3650100310674406E-3</v>
      </c>
      <c r="AA52">
        <v>20</v>
      </c>
      <c r="AB52" s="176">
        <f t="shared" si="7"/>
        <v>1.4531456647251566</v>
      </c>
      <c r="AC52">
        <f t="shared" si="11"/>
        <v>2.7486889646961298E-3</v>
      </c>
      <c r="AD52" s="156"/>
      <c r="AF52" s="155"/>
      <c r="AH52">
        <v>10</v>
      </c>
      <c r="AI52" s="162">
        <f t="shared" ref="AI52:AI55" si="19">AVERAGE(AI11,AI27,AI42)</f>
        <v>1.4449330568692631</v>
      </c>
      <c r="AJ52">
        <f t="shared" si="12"/>
        <v>3.3107858690105004E-3</v>
      </c>
      <c r="AL52">
        <v>10</v>
      </c>
      <c r="AM52" s="176">
        <f t="shared" si="14"/>
        <v>1.4422993717035066</v>
      </c>
      <c r="AN52">
        <f t="shared" si="15"/>
        <v>2.0110286116139667E-3</v>
      </c>
      <c r="AO52" s="156"/>
      <c r="AQ52" s="155"/>
      <c r="AS52">
        <v>10</v>
      </c>
      <c r="AT52" s="162">
        <f t="shared" ref="AT52:AT55" si="20">AVERAGE(AT11,AT27,AT42)</f>
        <v>1.4426145629448666</v>
      </c>
      <c r="AU52">
        <f t="shared" si="16"/>
        <v>3.4546296864197638E-3</v>
      </c>
      <c r="AW52">
        <v>10</v>
      </c>
      <c r="AX52" s="176">
        <f t="shared" si="17"/>
        <v>1.441985274755095</v>
      </c>
      <c r="AY52">
        <f t="shared" si="18"/>
        <v>1.9191576188645749E-3</v>
      </c>
      <c r="AZ52" s="156"/>
    </row>
    <row r="53" spans="1:52">
      <c r="A53" s="155"/>
      <c r="C53">
        <v>50</v>
      </c>
      <c r="D53" s="162">
        <f t="shared" si="1"/>
        <v>1.4724101746242535</v>
      </c>
      <c r="E53">
        <f t="shared" si="2"/>
        <v>3.3102577034395176E-3</v>
      </c>
      <c r="G53">
        <v>50</v>
      </c>
      <c r="H53" s="176">
        <f t="shared" si="3"/>
        <v>1.4677099289161502</v>
      </c>
      <c r="I53">
        <f t="shared" si="4"/>
        <v>4.1569701234006095E-3</v>
      </c>
      <c r="J53" s="156"/>
      <c r="L53" s="155"/>
      <c r="M53">
        <v>50</v>
      </c>
      <c r="N53" s="162">
        <f t="shared" si="5"/>
        <v>1.4715115505456733</v>
      </c>
      <c r="O53">
        <f t="shared" si="8"/>
        <v>3.4376999445612671E-3</v>
      </c>
      <c r="Q53">
        <v>50</v>
      </c>
      <c r="R53" s="177">
        <f>AVERAGE(R13,R29)</f>
        <v>1.4725541320869551</v>
      </c>
      <c r="S53">
        <f t="shared" si="6"/>
        <v>1.7080595124378745E-3</v>
      </c>
      <c r="T53" s="156"/>
      <c r="U53" s="156"/>
      <c r="V53" s="155"/>
      <c r="W53">
        <v>50</v>
      </c>
      <c r="X53" s="162">
        <f t="shared" si="13"/>
        <v>1.4723034102596932</v>
      </c>
      <c r="Y53">
        <f t="shared" si="10"/>
        <v>1.135783062600869E-3</v>
      </c>
      <c r="AA53">
        <v>50</v>
      </c>
      <c r="AB53" s="176">
        <f t="shared" si="7"/>
        <v>1.4697435674368433</v>
      </c>
      <c r="AC53">
        <f>_xlfn.STDEV.S(AB13,AB29,AB44)</f>
        <v>3.5564353949752952E-3</v>
      </c>
      <c r="AD53" s="156"/>
      <c r="AF53" s="155"/>
      <c r="AH53">
        <v>20</v>
      </c>
      <c r="AI53" s="162">
        <f t="shared" si="19"/>
        <v>1.4539848226566534</v>
      </c>
      <c r="AJ53">
        <f t="shared" si="12"/>
        <v>4.8318254944380605E-3</v>
      </c>
      <c r="AL53">
        <v>20</v>
      </c>
      <c r="AM53" s="176">
        <f t="shared" si="14"/>
        <v>1.4529646252058803</v>
      </c>
      <c r="AN53">
        <f t="shared" si="15"/>
        <v>2.2483857715968323E-3</v>
      </c>
      <c r="AO53" s="156"/>
      <c r="AQ53" s="155"/>
      <c r="AS53">
        <v>20</v>
      </c>
      <c r="AT53" s="162">
        <f t="shared" si="20"/>
        <v>1.4530687380831033</v>
      </c>
      <c r="AU53">
        <f t="shared" si="16"/>
        <v>3.380364309376588E-3</v>
      </c>
      <c r="AW53">
        <v>20</v>
      </c>
      <c r="AX53" s="176">
        <f t="shared" si="17"/>
        <v>1.452905613691285</v>
      </c>
      <c r="AY53">
        <f t="shared" si="18"/>
        <v>2.2026833573304209E-3</v>
      </c>
      <c r="AZ53" s="156"/>
    </row>
    <row r="54" spans="1:52">
      <c r="A54" s="155"/>
      <c r="C54">
        <v>100</v>
      </c>
      <c r="D54" s="162">
        <f t="shared" si="1"/>
        <v>1.4864182388363265</v>
      </c>
      <c r="E54">
        <f t="shared" si="2"/>
        <v>3.917224679197656E-3</v>
      </c>
      <c r="G54">
        <v>100</v>
      </c>
      <c r="H54" s="176">
        <f t="shared" si="3"/>
        <v>1.4818158549246967</v>
      </c>
      <c r="I54">
        <f t="shared" si="4"/>
        <v>4.8577365668014735E-3</v>
      </c>
      <c r="J54" s="156"/>
      <c r="L54" s="155"/>
      <c r="M54">
        <v>100</v>
      </c>
      <c r="N54" s="162">
        <f t="shared" si="5"/>
        <v>1.4861713666378469</v>
      </c>
      <c r="O54">
        <f t="shared" si="8"/>
        <v>4.1319574635006063E-3</v>
      </c>
      <c r="Q54">
        <v>100</v>
      </c>
      <c r="R54" s="177">
        <f>AVERAGE(R14,R30)</f>
        <v>1.486041359881775</v>
      </c>
      <c r="S54">
        <f t="shared" si="6"/>
        <v>2.6896823211956253E-3</v>
      </c>
      <c r="T54" s="156"/>
      <c r="U54" s="156"/>
      <c r="V54" s="155"/>
      <c r="W54">
        <v>100</v>
      </c>
      <c r="X54" s="162">
        <f t="shared" si="13"/>
        <v>1.4882347357538901</v>
      </c>
      <c r="Y54">
        <f t="shared" si="10"/>
        <v>1.4079611165894845E-3</v>
      </c>
      <c r="AA54">
        <v>100</v>
      </c>
      <c r="AB54" s="176">
        <f t="shared" si="7"/>
        <v>1.4854876845271801</v>
      </c>
      <c r="AC54">
        <f>_xlfn.STDEV.S(AB14,AB30,AB45)</f>
        <v>4.2242557282723813E-3</v>
      </c>
      <c r="AD54" s="156"/>
      <c r="AF54" s="155"/>
      <c r="AH54">
        <v>50</v>
      </c>
      <c r="AI54" s="162">
        <f t="shared" si="19"/>
        <v>1.4668563378089268</v>
      </c>
      <c r="AJ54">
        <f t="shared" si="12"/>
        <v>1.0822316058355701E-2</v>
      </c>
      <c r="AL54">
        <v>50</v>
      </c>
      <c r="AM54" s="176">
        <f t="shared" si="14"/>
        <v>1.4693554875666568</v>
      </c>
      <c r="AN54">
        <f t="shared" si="15"/>
        <v>8.4779093317997563E-4</v>
      </c>
      <c r="AO54" s="156"/>
      <c r="AQ54" s="155"/>
      <c r="AS54">
        <v>50</v>
      </c>
      <c r="AT54" s="162">
        <f t="shared" si="20"/>
        <v>1.4676358870251267</v>
      </c>
      <c r="AU54">
        <f t="shared" si="16"/>
        <v>4.3465096503257951E-3</v>
      </c>
      <c r="AW54">
        <v>50</v>
      </c>
      <c r="AX54" s="176">
        <f t="shared" si="17"/>
        <v>1.4681063477305649</v>
      </c>
      <c r="AY54">
        <f t="shared" si="18"/>
        <v>1.7746459739351821E-3</v>
      </c>
      <c r="AZ54" s="156"/>
    </row>
    <row r="55" spans="1:52">
      <c r="A55" s="178"/>
      <c r="B55" s="179"/>
      <c r="C55" s="179"/>
      <c r="D55" s="179"/>
      <c r="E55" s="179"/>
      <c r="F55" s="179"/>
      <c r="G55" s="179"/>
      <c r="H55" s="179"/>
      <c r="I55" s="179"/>
      <c r="J55" s="180"/>
      <c r="L55" s="178"/>
      <c r="M55" s="179"/>
      <c r="N55" s="179"/>
      <c r="O55" s="179"/>
      <c r="P55" s="179"/>
      <c r="Q55" s="179"/>
      <c r="R55" s="179"/>
      <c r="S55" s="179"/>
      <c r="T55" s="180"/>
      <c r="U55" s="156"/>
      <c r="V55" s="178"/>
      <c r="W55" s="179"/>
      <c r="X55" s="179"/>
      <c r="Y55" s="179"/>
      <c r="Z55" s="179"/>
      <c r="AA55" s="179"/>
      <c r="AB55" s="179"/>
      <c r="AC55" s="179"/>
      <c r="AD55" s="180"/>
      <c r="AF55" s="155"/>
      <c r="AH55">
        <v>100</v>
      </c>
      <c r="AI55" s="162">
        <f t="shared" si="19"/>
        <v>1.4753795824502702</v>
      </c>
      <c r="AJ55">
        <f t="shared" si="12"/>
        <v>1.8971747623248724E-2</v>
      </c>
      <c r="AL55">
        <v>100</v>
      </c>
      <c r="AM55" s="176">
        <f t="shared" si="14"/>
        <v>1.4834961327445499</v>
      </c>
      <c r="AN55">
        <f t="shared" si="15"/>
        <v>6.0758784835515645E-4</v>
      </c>
      <c r="AO55" s="156"/>
      <c r="AQ55" s="155"/>
      <c r="AS55">
        <v>100</v>
      </c>
      <c r="AT55" s="162">
        <f t="shared" si="20"/>
        <v>1.4832017913287932</v>
      </c>
      <c r="AU55">
        <f t="shared" si="16"/>
        <v>1.7614345311793484E-3</v>
      </c>
      <c r="AW55">
        <v>100</v>
      </c>
      <c r="AX55" s="176">
        <f t="shared" si="17"/>
        <v>1.4838580422610099</v>
      </c>
      <c r="AY55">
        <f t="shared" si="18"/>
        <v>1.6072125335341403E-3</v>
      </c>
      <c r="AZ55" s="156"/>
    </row>
    <row r="56" spans="1:52">
      <c r="AF56" s="178"/>
      <c r="AG56" s="179"/>
      <c r="AH56" s="179"/>
      <c r="AI56" s="179"/>
      <c r="AJ56" s="179"/>
      <c r="AK56" s="179"/>
      <c r="AL56" s="179"/>
      <c r="AM56" s="179"/>
      <c r="AN56" s="179"/>
      <c r="AO56" s="180"/>
      <c r="AQ56" s="178"/>
      <c r="AR56" s="179"/>
      <c r="AS56" s="179"/>
      <c r="AT56" s="179"/>
      <c r="AU56" s="179"/>
      <c r="AV56" s="179"/>
      <c r="AW56" s="179"/>
      <c r="AX56" s="179"/>
      <c r="AY56" s="179"/>
      <c r="AZ56" s="180"/>
    </row>
    <row r="57" spans="1:52">
      <c r="C57" s="162"/>
    </row>
    <row r="58" spans="1:52">
      <c r="C58" s="162"/>
      <c r="E58" s="162"/>
      <c r="M58" s="162"/>
    </row>
    <row r="59" spans="1:52">
      <c r="C59" s="162"/>
      <c r="E59" s="162"/>
      <c r="M59" s="162"/>
      <c r="N59" s="162"/>
    </row>
    <row r="60" spans="1:52">
      <c r="C60" s="162"/>
      <c r="E60" s="162"/>
      <c r="M60" s="162"/>
      <c r="N60" s="162"/>
    </row>
    <row r="61" spans="1:52">
      <c r="C61" s="162"/>
      <c r="E61" s="162"/>
      <c r="M61" s="162"/>
      <c r="N61" s="162"/>
    </row>
    <row r="62" spans="1:52">
      <c r="C62" s="162"/>
      <c r="E62" s="162"/>
      <c r="M62" s="162"/>
      <c r="N62" s="162"/>
    </row>
    <row r="63" spans="1:52">
      <c r="C63" s="162"/>
      <c r="E63" s="162"/>
      <c r="M63" s="162"/>
      <c r="N63" s="162"/>
    </row>
    <row r="64" spans="1:52">
      <c r="C64" s="162"/>
      <c r="E64" s="162"/>
      <c r="M64" s="162"/>
      <c r="N64" s="162"/>
    </row>
    <row r="65" spans="3:14">
      <c r="C65" s="162"/>
      <c r="N65" s="162"/>
    </row>
    <row r="66" spans="3:14">
      <c r="C66" s="162"/>
    </row>
    <row r="67" spans="3:14">
      <c r="C67" s="162"/>
    </row>
    <row r="88" spans="13:13">
      <c r="M88" s="16" t="s">
        <v>1092</v>
      </c>
    </row>
    <row r="89" spans="13:13">
      <c r="M89" s="181" t="s">
        <v>1093</v>
      </c>
    </row>
    <row r="90" spans="13:13">
      <c r="M90" s="181" t="s">
        <v>1094</v>
      </c>
    </row>
    <row r="91" spans="13:13">
      <c r="M91" t="s">
        <v>1095</v>
      </c>
    </row>
    <row r="92" spans="13:13">
      <c r="M92" t="s">
        <v>1096</v>
      </c>
    </row>
    <row r="97" spans="12:18">
      <c r="L97" s="16" t="s">
        <v>1097</v>
      </c>
    </row>
    <row r="99" spans="12:18">
      <c r="L99">
        <v>1</v>
      </c>
      <c r="M99" t="s">
        <v>1098</v>
      </c>
    </row>
    <row r="100" spans="12:18">
      <c r="M100" t="s">
        <v>1099</v>
      </c>
    </row>
    <row r="102" spans="12:18">
      <c r="L102">
        <v>2</v>
      </c>
      <c r="M102" t="s">
        <v>1100</v>
      </c>
      <c r="R102" t="s">
        <v>1101</v>
      </c>
    </row>
    <row r="104" spans="12:18">
      <c r="L104">
        <v>3</v>
      </c>
      <c r="M104" t="s">
        <v>1102</v>
      </c>
    </row>
  </sheetData>
  <mergeCells count="43">
    <mergeCell ref="C1:J1"/>
    <mergeCell ref="M1:T1"/>
    <mergeCell ref="W1:AD1"/>
    <mergeCell ref="C2:E2"/>
    <mergeCell ref="G2:I2"/>
    <mergeCell ref="M2:O2"/>
    <mergeCell ref="Q2:S2"/>
    <mergeCell ref="W2:Y2"/>
    <mergeCell ref="AA2:AC2"/>
    <mergeCell ref="AA33:AC33"/>
    <mergeCell ref="C18:E18"/>
    <mergeCell ref="G18:I18"/>
    <mergeCell ref="M18:O18"/>
    <mergeCell ref="Q18:S18"/>
    <mergeCell ref="W18:Y18"/>
    <mergeCell ref="AA18:AC18"/>
    <mergeCell ref="C33:E33"/>
    <mergeCell ref="G33:I33"/>
    <mergeCell ref="M33:O33"/>
    <mergeCell ref="Q33:S33"/>
    <mergeCell ref="W33:Y33"/>
    <mergeCell ref="AH1:AO1"/>
    <mergeCell ref="AS1:AZ1"/>
    <mergeCell ref="AH2:AJ2"/>
    <mergeCell ref="AL2:AN2"/>
    <mergeCell ref="AS2:AU2"/>
    <mergeCell ref="AW2:AY2"/>
    <mergeCell ref="AH18:AJ18"/>
    <mergeCell ref="AL18:AN18"/>
    <mergeCell ref="AS18:AU18"/>
    <mergeCell ref="AW18:AY18"/>
    <mergeCell ref="AH33:AJ33"/>
    <mergeCell ref="AL33:AN33"/>
    <mergeCell ref="AS33:AU33"/>
    <mergeCell ref="AW33:AY33"/>
    <mergeCell ref="BE15:BE17"/>
    <mergeCell ref="BE18:BE20"/>
    <mergeCell ref="BG1:BI1"/>
    <mergeCell ref="BL1:BN1"/>
    <mergeCell ref="BE3:BE5"/>
    <mergeCell ref="BE6:BE8"/>
    <mergeCell ref="BE9:BE11"/>
    <mergeCell ref="BE12:BE1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CA60-0111-4914-8B80-375F7E494A4B}">
  <dimension ref="A1:X144"/>
  <sheetViews>
    <sheetView topLeftCell="A129" workbookViewId="0">
      <pane xSplit="1" topLeftCell="B1" activePane="topRight" state="frozen"/>
      <selection pane="topRight" activeCell="A143" sqref="A143"/>
    </sheetView>
  </sheetViews>
  <sheetFormatPr defaultRowHeight="14.45"/>
  <cols>
    <col min="1" max="1" width="21.5703125" style="4" bestFit="1" customWidth="1"/>
    <col min="2" max="2" width="17.5703125" style="4" customWidth="1"/>
    <col min="3" max="3" width="23.42578125" style="4" bestFit="1" customWidth="1"/>
    <col min="4" max="5" width="10.42578125" style="11" bestFit="1" customWidth="1"/>
    <col min="6" max="6" width="9.42578125" style="11" bestFit="1" customWidth="1"/>
    <col min="7" max="7" width="10.42578125" style="11" bestFit="1" customWidth="1"/>
    <col min="8" max="8" width="13.5703125" style="11" customWidth="1"/>
    <col min="9" max="9" width="13.42578125" style="11" bestFit="1" customWidth="1"/>
    <col min="10" max="12" width="8.5703125" style="11"/>
    <col min="13" max="13" width="9.5703125" style="11" bestFit="1" customWidth="1"/>
    <col min="14" max="14" width="15" style="11" bestFit="1" customWidth="1"/>
    <col min="15" max="15" width="12.42578125" style="11" bestFit="1" customWidth="1"/>
    <col min="16" max="16" width="26.42578125" style="11" bestFit="1" customWidth="1"/>
    <col min="17" max="17" width="26.5703125" style="4" bestFit="1" customWidth="1"/>
    <col min="18" max="18" width="19.42578125" style="4" bestFit="1" customWidth="1"/>
    <col min="19" max="19" width="15" style="4" bestFit="1" customWidth="1"/>
    <col min="20" max="20" width="8.5703125" style="4"/>
  </cols>
  <sheetData>
    <row r="1" spans="1:24" s="16" customFormat="1">
      <c r="A1" s="5" t="s">
        <v>1103</v>
      </c>
      <c r="B1" s="5" t="s">
        <v>1104</v>
      </c>
      <c r="C1" s="5" t="s">
        <v>1105</v>
      </c>
      <c r="D1" s="12" t="s">
        <v>1106</v>
      </c>
      <c r="E1" s="12" t="s">
        <v>1107</v>
      </c>
      <c r="F1" s="12" t="s">
        <v>1108</v>
      </c>
      <c r="G1" s="12" t="s">
        <v>1109</v>
      </c>
      <c r="H1" s="12" t="s">
        <v>1110</v>
      </c>
      <c r="I1" s="12" t="s">
        <v>1111</v>
      </c>
      <c r="J1" s="12" t="s">
        <v>1112</v>
      </c>
      <c r="K1" s="12" t="s">
        <v>1113</v>
      </c>
      <c r="L1" s="12" t="s">
        <v>1114</v>
      </c>
      <c r="M1" s="12" t="s">
        <v>1115</v>
      </c>
      <c r="N1" s="12" t="s">
        <v>1116</v>
      </c>
      <c r="O1" s="12" t="s">
        <v>1117</v>
      </c>
      <c r="P1" s="5" t="s">
        <v>1118</v>
      </c>
      <c r="Q1" s="5" t="s">
        <v>1119</v>
      </c>
      <c r="R1" s="5" t="s">
        <v>1120</v>
      </c>
      <c r="S1" s="5"/>
      <c r="T1" s="5"/>
    </row>
    <row r="2" spans="1:24" s="16" customFormat="1">
      <c r="A2" s="5"/>
      <c r="B2" s="5"/>
      <c r="C2" s="5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5"/>
      <c r="R2" s="5"/>
      <c r="S2" s="5"/>
      <c r="T2" s="5"/>
    </row>
    <row r="3" spans="1:24" s="16" customFormat="1">
      <c r="A3" s="14" t="s">
        <v>132</v>
      </c>
      <c r="B3" s="5"/>
      <c r="C3" s="5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5"/>
      <c r="R3" s="5"/>
      <c r="S3" s="5"/>
      <c r="T3" s="5"/>
    </row>
    <row r="4" spans="1:24" s="16" customFormat="1">
      <c r="A4" s="14" t="s">
        <v>152</v>
      </c>
      <c r="B4" s="5"/>
      <c r="C4" s="5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5"/>
      <c r="R4" s="5"/>
      <c r="S4" s="5"/>
      <c r="T4" s="5"/>
    </row>
    <row r="5" spans="1:24" s="16" customFormat="1">
      <c r="A5" s="5"/>
      <c r="B5" s="5"/>
      <c r="C5" s="5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5"/>
      <c r="R5" s="5"/>
      <c r="S5" s="5"/>
      <c r="T5" s="5"/>
    </row>
    <row r="6" spans="1:24" s="17" customFormat="1">
      <c r="A6" s="14" t="s">
        <v>159</v>
      </c>
      <c r="B6" s="14" t="s">
        <v>1121</v>
      </c>
      <c r="C6" s="19" t="s">
        <v>1122</v>
      </c>
      <c r="D6" s="25">
        <f>(0.0981-0.0953)*1000</f>
        <v>2.8000000000000109</v>
      </c>
      <c r="E6" s="37">
        <f>(0.087-0.082)*1000</f>
        <v>4.9999999999999902</v>
      </c>
      <c r="F6" s="25">
        <f>(0.0871-0.0838)*1000</f>
        <v>3.2999999999999972</v>
      </c>
      <c r="G6" s="25">
        <f>(0.0928-0.0893)*1000</f>
        <v>3.4999999999999893</v>
      </c>
      <c r="H6" s="25">
        <f>(0.0903-0.0881)*1000</f>
        <v>2.2000000000000073</v>
      </c>
      <c r="I6" s="25">
        <f>(0.0926-0.0898)*1000</f>
        <v>2.7999999999999972</v>
      </c>
      <c r="J6" s="25">
        <f>(0.0817-0.0791)*1000</f>
        <v>2.5999999999999912</v>
      </c>
      <c r="K6" s="25"/>
      <c r="L6" s="25"/>
      <c r="M6" s="25"/>
      <c r="N6" s="25">
        <f t="shared" ref="N6:N17" si="0">AVERAGE(D6:J6)</f>
        <v>3.1714285714285686</v>
      </c>
      <c r="O6" s="25">
        <f t="shared" ref="O6:O14" si="1">_xlfn.STDEV.S(D6:J6)</f>
        <v>0.9141741003300613</v>
      </c>
      <c r="P6" s="27"/>
      <c r="Q6" s="14"/>
      <c r="R6" s="14"/>
      <c r="S6" s="14"/>
      <c r="T6" s="14"/>
    </row>
    <row r="7" spans="1:24">
      <c r="A7" s="4" t="s">
        <v>164</v>
      </c>
      <c r="B7" s="4" t="s">
        <v>1121</v>
      </c>
      <c r="C7" s="11" t="s">
        <v>1123</v>
      </c>
      <c r="D7" s="13">
        <f>(0.103-0.0948)*1000</f>
        <v>8.1999999999999993</v>
      </c>
      <c r="E7" s="13">
        <f>(0.0958-0.0891)*1000</f>
        <v>6.6999999999999975</v>
      </c>
      <c r="F7" s="13">
        <f>(0.0985-0.0929)*1000</f>
        <v>5.6000000000000076</v>
      </c>
      <c r="G7" s="13">
        <f>(0.1021-0.0979)*1000</f>
        <v>4.1999999999999957</v>
      </c>
      <c r="H7" s="13">
        <f>(0.0915-0.0863)*1000</f>
        <v>5.1999999999999966</v>
      </c>
      <c r="I7" s="13">
        <f>(0.0915-0.0875)*1000</f>
        <v>4.0000000000000036</v>
      </c>
      <c r="J7" s="13">
        <f>(0.0772-0.0715)*1000</f>
        <v>5.7000000000000108</v>
      </c>
      <c r="K7" s="13"/>
      <c r="L7" s="13"/>
      <c r="M7" s="13"/>
      <c r="N7" s="13">
        <f t="shared" si="0"/>
        <v>5.6571428571428584</v>
      </c>
      <c r="O7" s="13">
        <f t="shared" si="1"/>
        <v>1.4512720200536087</v>
      </c>
      <c r="P7" s="28"/>
    </row>
    <row r="8" spans="1:24">
      <c r="A8" s="4" t="s">
        <v>169</v>
      </c>
      <c r="B8" s="4" t="s">
        <v>1121</v>
      </c>
      <c r="C8" s="11" t="s">
        <v>1124</v>
      </c>
      <c r="D8" s="13" t="s">
        <v>1048</v>
      </c>
      <c r="E8" s="13" t="s">
        <v>1048</v>
      </c>
      <c r="F8" s="13" t="s">
        <v>1048</v>
      </c>
      <c r="G8" s="13">
        <f>(0.0814-0.0765)*1000</f>
        <v>4.9000000000000012</v>
      </c>
      <c r="H8" s="13" t="s">
        <v>1048</v>
      </c>
      <c r="I8" s="13" t="s">
        <v>1048</v>
      </c>
      <c r="J8" s="13">
        <f>(0.1012-0.0945)*1000</f>
        <v>6.6999999999999975</v>
      </c>
      <c r="K8" s="13"/>
      <c r="L8" s="13"/>
      <c r="M8" s="13"/>
      <c r="N8" s="13">
        <f t="shared" si="0"/>
        <v>5.7999999999999989</v>
      </c>
      <c r="O8" s="13">
        <f t="shared" si="1"/>
        <v>1.2727922061357873</v>
      </c>
      <c r="P8" s="28"/>
      <c r="W8" s="28"/>
      <c r="X8" s="33" t="e">
        <f>AVERAGE(W8:W11)</f>
        <v>#DIV/0!</v>
      </c>
    </row>
    <row r="9" spans="1:24">
      <c r="A9" s="4" t="s">
        <v>173</v>
      </c>
      <c r="B9" s="4" t="s">
        <v>1121</v>
      </c>
      <c r="C9" s="11" t="s">
        <v>1125</v>
      </c>
      <c r="D9" s="13">
        <f>(0.0899-0.0868)*1000</f>
        <v>3.0999999999999917</v>
      </c>
      <c r="E9" s="13">
        <f>(0.0854-0.0817)*1000</f>
        <v>3.7000000000000091</v>
      </c>
      <c r="F9" s="38" t="s">
        <v>1048</v>
      </c>
      <c r="G9" s="13">
        <f>(0.0923-0.0887)*1000</f>
        <v>3.5999999999999921</v>
      </c>
      <c r="H9" s="13">
        <f>(0.0936-0.0896)*1000</f>
        <v>4.0000000000000036</v>
      </c>
      <c r="I9" s="13" t="s">
        <v>1048</v>
      </c>
      <c r="J9" s="13">
        <f>(0.0884-0.0848)*1000</f>
        <v>3.6000000000000059</v>
      </c>
      <c r="K9" s="13"/>
      <c r="L9" s="13"/>
      <c r="M9" s="13"/>
      <c r="N9" s="13">
        <f>AVERAGE(D9,E9,G9,H9,J9)</f>
        <v>3.6000000000000005</v>
      </c>
      <c r="O9" s="13">
        <f t="shared" si="1"/>
        <v>0.32403703492039804</v>
      </c>
      <c r="P9" s="28"/>
      <c r="Q9" s="4">
        <v>236</v>
      </c>
      <c r="R9" s="4">
        <v>45.64</v>
      </c>
      <c r="W9" s="28"/>
    </row>
    <row r="10" spans="1:24" ht="16.5">
      <c r="A10" s="4" t="s">
        <v>175</v>
      </c>
      <c r="B10" s="4" t="s">
        <v>1121</v>
      </c>
      <c r="C10" s="11" t="s">
        <v>1126</v>
      </c>
      <c r="D10" s="13">
        <f>(0.0899-0.0854)*1000</f>
        <v>4.4999999999999902</v>
      </c>
      <c r="E10" s="38" t="s">
        <v>1048</v>
      </c>
      <c r="F10" s="13" t="s">
        <v>1048</v>
      </c>
      <c r="G10" s="13" t="s">
        <v>1048</v>
      </c>
      <c r="H10" s="13">
        <f>(0.0893-0.0843)*1000</f>
        <v>5.0000000000000044</v>
      </c>
      <c r="I10" s="13" t="s">
        <v>1048</v>
      </c>
      <c r="J10" s="13">
        <f>(0.0866-0.0836)*1000</f>
        <v>3.0000000000000027</v>
      </c>
      <c r="K10" s="13">
        <f>(0.0881-0.0857)*1000</f>
        <v>2.3999999999999995</v>
      </c>
      <c r="L10" s="13"/>
      <c r="M10" s="13"/>
      <c r="N10" s="13">
        <f t="shared" si="0"/>
        <v>4.1666666666666652</v>
      </c>
      <c r="O10" s="13">
        <f t="shared" si="1"/>
        <v>1.0408329997330659</v>
      </c>
      <c r="P10" s="28"/>
      <c r="W10" s="28"/>
    </row>
    <row r="11" spans="1:24">
      <c r="C11" s="11"/>
      <c r="D11" s="13"/>
      <c r="E11" s="38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28"/>
      <c r="W11" s="28"/>
    </row>
    <row r="12" spans="1:24" s="17" customFormat="1">
      <c r="A12" s="14" t="s">
        <v>214</v>
      </c>
      <c r="B12" s="14" t="s">
        <v>1127</v>
      </c>
      <c r="C12" s="19" t="s">
        <v>228</v>
      </c>
      <c r="D12" s="34">
        <f>(0.0956-0.0902)*1000</f>
        <v>5.4000000000000021</v>
      </c>
      <c r="E12" s="37">
        <f>(0.0976-0.0964)*1000</f>
        <v>1.2000000000000066</v>
      </c>
      <c r="F12" s="25">
        <f>(0.0948-0.0911)*1000</f>
        <v>3.6999999999999948</v>
      </c>
      <c r="G12" s="25">
        <f>(0.0927-0.0866)*1000</f>
        <v>6.1000000000000085</v>
      </c>
      <c r="H12" s="25">
        <f>(0.0941-0.0882)*1000</f>
        <v>5.9000000000000021</v>
      </c>
      <c r="I12" s="25">
        <f>(0.102-0.099)*1000</f>
        <v>2.9999999999999889</v>
      </c>
      <c r="J12" s="25"/>
      <c r="K12" s="25"/>
      <c r="L12" s="25"/>
      <c r="M12" s="25"/>
      <c r="N12" s="25">
        <f>AVERAGE(F12:I12)</f>
        <v>4.6749999999999989</v>
      </c>
      <c r="O12" s="25">
        <f>_xlfn.STDEV.S(D12:J12)</f>
        <v>1.9301986080884712</v>
      </c>
      <c r="P12" s="27"/>
      <c r="Q12" s="14"/>
      <c r="R12" s="14"/>
      <c r="S12" s="14"/>
      <c r="T12" s="14"/>
    </row>
    <row r="13" spans="1:24">
      <c r="C13" s="11"/>
      <c r="D13" s="13"/>
      <c r="E13" s="38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28"/>
    </row>
    <row r="14" spans="1:24">
      <c r="A14" s="4" t="s">
        <v>217</v>
      </c>
      <c r="B14" s="4" t="s">
        <v>1121</v>
      </c>
      <c r="C14" s="11">
        <v>4</v>
      </c>
      <c r="D14" s="13">
        <v>2.7</v>
      </c>
      <c r="E14" s="13">
        <v>2.4</v>
      </c>
      <c r="F14" s="13">
        <v>2.7</v>
      </c>
      <c r="G14" s="13">
        <v>2.9</v>
      </c>
      <c r="H14" s="13">
        <v>2</v>
      </c>
      <c r="I14" s="13">
        <v>1.4</v>
      </c>
      <c r="J14" s="13">
        <v>1.1000000000000001</v>
      </c>
      <c r="K14" s="13" t="s">
        <v>1048</v>
      </c>
      <c r="L14" s="13" t="s">
        <v>1048</v>
      </c>
      <c r="M14" s="13" t="s">
        <v>1048</v>
      </c>
      <c r="N14" s="13">
        <f t="shared" si="0"/>
        <v>2.1714285714285713</v>
      </c>
      <c r="O14" s="13">
        <f t="shared" si="1"/>
        <v>0.69693205243717005</v>
      </c>
      <c r="P14" s="28"/>
      <c r="Q14" s="4">
        <v>224</v>
      </c>
      <c r="R14" s="4">
        <v>37.729999999999997</v>
      </c>
    </row>
    <row r="15" spans="1:24">
      <c r="A15" s="4" t="s">
        <v>220</v>
      </c>
      <c r="B15" s="4" t="s">
        <v>1121</v>
      </c>
      <c r="C15" s="11">
        <v>4</v>
      </c>
      <c r="D15" s="13">
        <v>4.3</v>
      </c>
      <c r="E15" s="13">
        <f>(0.0994-0.0942)*1000</f>
        <v>5.1999999999999966</v>
      </c>
      <c r="F15" s="13">
        <f>(0.0961-0.0938)*1000</f>
        <v>2.3000000000000105</v>
      </c>
      <c r="G15" s="13">
        <f>(0.0819-0.0806)*1000</f>
        <v>1.2999999999999956</v>
      </c>
      <c r="H15" s="13">
        <f>(0.0961-0.0946)*1000</f>
        <v>1.5000000000000013</v>
      </c>
      <c r="I15" s="13">
        <f>(0.0891-0.0855)*1000</f>
        <v>3.5999999999999921</v>
      </c>
      <c r="J15" s="13">
        <f>(0.0891-0.0866)*1000</f>
        <v>2.5000000000000022</v>
      </c>
      <c r="K15" s="13" t="s">
        <v>1048</v>
      </c>
      <c r="L15" s="13" t="s">
        <v>1048</v>
      </c>
      <c r="M15" s="13" t="s">
        <v>1048</v>
      </c>
      <c r="N15" s="13">
        <f t="shared" si="0"/>
        <v>2.9571428571428569</v>
      </c>
      <c r="O15" s="13">
        <f t="shared" ref="O15:O19" si="2">_xlfn.STDEV.S(D15:J15)</f>
        <v>1.4581462465028909</v>
      </c>
      <c r="P15" s="28"/>
    </row>
    <row r="16" spans="1:24">
      <c r="A16" s="4" t="s">
        <v>222</v>
      </c>
      <c r="B16" s="4" t="s">
        <v>1121</v>
      </c>
      <c r="C16" s="11">
        <v>8</v>
      </c>
      <c r="D16" s="13">
        <f>(0.0919-0.0888)*1000</f>
        <v>3.0999999999999917</v>
      </c>
      <c r="E16" s="13">
        <f>(0.0959-0.0922)*1000</f>
        <v>3.6999999999999948</v>
      </c>
      <c r="F16" s="13">
        <f>(0.0951-0.0929)*1000</f>
        <v>2.2000000000000073</v>
      </c>
      <c r="G16" s="13">
        <f>(0.0974-0.095)*1000</f>
        <v>2.3999999999999995</v>
      </c>
      <c r="H16" s="13">
        <f>(0.0887-0.0875)*1000</f>
        <v>1.2000000000000066</v>
      </c>
      <c r="I16" s="13">
        <f>(0.0853-0.084)*1000</f>
        <v>1.2999999999999956</v>
      </c>
      <c r="J16" s="13">
        <f>(0.0947-0.093)*1000</f>
        <v>1.7000000000000071</v>
      </c>
      <c r="K16" s="13" t="s">
        <v>1048</v>
      </c>
      <c r="L16" s="13" t="s">
        <v>1048</v>
      </c>
      <c r="M16" s="13" t="s">
        <v>1048</v>
      </c>
      <c r="N16" s="13">
        <f t="shared" si="0"/>
        <v>2.2285714285714286</v>
      </c>
      <c r="O16" s="13">
        <f t="shared" si="2"/>
        <v>0.92684821791252059</v>
      </c>
      <c r="P16" s="28"/>
      <c r="Q16" s="4">
        <v>226</v>
      </c>
      <c r="R16" s="4">
        <v>40.74</v>
      </c>
    </row>
    <row r="17" spans="1:18">
      <c r="A17" s="4" t="s">
        <v>224</v>
      </c>
      <c r="B17" s="4" t="s">
        <v>1121</v>
      </c>
      <c r="C17" s="11">
        <v>8</v>
      </c>
      <c r="D17" s="13">
        <f>(0.0888-0.0871)*1000</f>
        <v>1.7000000000000071</v>
      </c>
      <c r="E17" s="13">
        <f>(0.0898-0.0874)*1000</f>
        <v>2.3999999999999995</v>
      </c>
      <c r="F17" s="13">
        <f>(0.1086-0.1056)*1000</f>
        <v>3.0000000000000027</v>
      </c>
      <c r="G17" s="13">
        <f>(0.0885-0.085)*1000</f>
        <v>3.4999999999999893</v>
      </c>
      <c r="H17" s="13">
        <f>(0.078-0.0761)*1000</f>
        <v>1.899999999999999</v>
      </c>
      <c r="I17" s="13">
        <f>(0.0846-0.0809)*1000</f>
        <v>3.6999999999999948</v>
      </c>
      <c r="J17" s="13">
        <f>(0.0891-0.0854)*1000</f>
        <v>3.6999999999999948</v>
      </c>
      <c r="K17" s="13" t="s">
        <v>1048</v>
      </c>
      <c r="L17" s="13" t="s">
        <v>1048</v>
      </c>
      <c r="M17" s="13" t="s">
        <v>1048</v>
      </c>
      <c r="N17" s="13">
        <f t="shared" si="0"/>
        <v>2.8428571428571412</v>
      </c>
      <c r="O17" s="13">
        <f t="shared" si="2"/>
        <v>0.84824749308430147</v>
      </c>
      <c r="P17" s="28"/>
    </row>
    <row r="18" spans="1:18">
      <c r="A18" s="5" t="s">
        <v>225</v>
      </c>
      <c r="B18" s="5" t="s">
        <v>1121</v>
      </c>
      <c r="C18" s="11" t="s">
        <v>1122</v>
      </c>
      <c r="D18" s="13">
        <v>3.5</v>
      </c>
      <c r="E18" s="13">
        <v>3.2</v>
      </c>
      <c r="F18" s="13">
        <v>3</v>
      </c>
      <c r="G18" s="13">
        <v>3.2</v>
      </c>
      <c r="H18" s="13">
        <v>3</v>
      </c>
      <c r="I18" s="13" t="s">
        <v>1048</v>
      </c>
      <c r="J18" s="13" t="s">
        <v>1048</v>
      </c>
      <c r="K18" s="13" t="s">
        <v>1048</v>
      </c>
      <c r="L18" s="13" t="s">
        <v>1048</v>
      </c>
      <c r="M18" s="13" t="s">
        <v>1048</v>
      </c>
      <c r="N18" s="13">
        <f>AVERAGE($D$18:$H$18)</f>
        <v>3.1799999999999997</v>
      </c>
      <c r="O18" s="13">
        <f>_xlfn.STDEV.S(D18:H18)</f>
        <v>0.20493901531919198</v>
      </c>
      <c r="P18" s="28"/>
      <c r="Q18" s="4">
        <v>222</v>
      </c>
      <c r="R18" s="4">
        <v>40.04</v>
      </c>
    </row>
    <row r="19" spans="1:18">
      <c r="A19" s="5" t="s">
        <v>227</v>
      </c>
      <c r="B19" s="5" t="s">
        <v>1121</v>
      </c>
      <c r="C19" s="11" t="s">
        <v>1122</v>
      </c>
      <c r="D19" s="13">
        <f>(0.098-0.0954)*1000</f>
        <v>2.600000000000005</v>
      </c>
      <c r="E19" s="13">
        <f>(0.0825-0.0774)*1000</f>
        <v>5.1000000000000076</v>
      </c>
      <c r="F19" s="13">
        <f>(0.0969-0.0916)*1000</f>
        <v>5.2999999999999989</v>
      </c>
      <c r="G19" s="13">
        <f>(0.0929-0.0897)*1000</f>
        <v>3.1999999999999944</v>
      </c>
      <c r="H19" s="13">
        <f>(0.0934-0.0864)*1000</f>
        <v>6.999999999999992</v>
      </c>
      <c r="I19" s="13">
        <f>(0.0956-0.0907)*1000</f>
        <v>4.9000000000000012</v>
      </c>
      <c r="J19" s="13">
        <f>(0.0972-0.0947)*1000</f>
        <v>2.4999999999999885</v>
      </c>
      <c r="K19" s="13" t="s">
        <v>1048</v>
      </c>
      <c r="L19" s="13" t="s">
        <v>1048</v>
      </c>
      <c r="M19" s="13" t="s">
        <v>1048</v>
      </c>
      <c r="N19" s="13">
        <f>AVERAGE(D19:J19)</f>
        <v>4.3714285714285701</v>
      </c>
      <c r="O19" s="13">
        <f t="shared" si="2"/>
        <v>1.6630436812405986</v>
      </c>
      <c r="P19" s="28"/>
    </row>
    <row r="20" spans="1:18">
      <c r="A20" s="5"/>
      <c r="B20" s="5"/>
      <c r="C20" s="11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28"/>
    </row>
    <row r="21" spans="1:18">
      <c r="A21" s="5" t="s">
        <v>234</v>
      </c>
      <c r="B21" s="5" t="s">
        <v>1127</v>
      </c>
      <c r="C21" s="11">
        <v>4</v>
      </c>
      <c r="D21" s="13">
        <f>(0.1128-0.107)*1000</f>
        <v>5.8</v>
      </c>
      <c r="E21" s="13">
        <f>(0.1029-0.0995)*1000</f>
        <v>3.4000000000000004</v>
      </c>
      <c r="F21" s="13">
        <f>(0.1009-0.0985)*1000</f>
        <v>2.3999999999999995</v>
      </c>
      <c r="G21" s="13">
        <f>(0.0961-0.0937)*1000</f>
        <v>2.3999999999999995</v>
      </c>
      <c r="H21" s="13">
        <f>(0.097-0.0947)*1000</f>
        <v>2.2999999999999963</v>
      </c>
      <c r="I21" s="13">
        <f>(0.0883-0.0854)*1000</f>
        <v>2.9</v>
      </c>
      <c r="J21" s="13">
        <f>(0.0904-0.088)*1000</f>
        <v>2.3999999999999995</v>
      </c>
      <c r="K21" s="13">
        <f>(0.0931-0.0907)*1000</f>
        <v>2.3999999999999995</v>
      </c>
      <c r="L21" s="13">
        <f>(0.094-0.0913)*1000</f>
        <v>2.699999999999994</v>
      </c>
      <c r="M21" s="13">
        <f>(0.0904-0.0853)*1000</f>
        <v>5.0999999999999934</v>
      </c>
      <c r="N21" s="13">
        <f>AVERAGE($D$21:$M$21)</f>
        <v>3.1799999999999975</v>
      </c>
      <c r="O21" s="13">
        <f>_xlfn.STDEV.S(D21:M21)</f>
        <v>1.2523755205386473</v>
      </c>
      <c r="P21" s="28"/>
      <c r="Q21" s="4">
        <v>241</v>
      </c>
      <c r="R21" s="4">
        <v>42.99</v>
      </c>
    </row>
    <row r="22" spans="1:18">
      <c r="A22" s="5" t="s">
        <v>242</v>
      </c>
      <c r="B22" s="5" t="s">
        <v>1127</v>
      </c>
      <c r="C22" s="11" t="s">
        <v>1122</v>
      </c>
      <c r="D22" s="13">
        <f>(0.0978-0.0961)*1000</f>
        <v>1.6999999999999931</v>
      </c>
      <c r="E22" s="13">
        <f>(0.0948-0.0925)*1000</f>
        <v>2.2999999999999963</v>
      </c>
      <c r="F22" s="13">
        <f>(0.0934-0.0898)*1000</f>
        <v>3.5999999999999921</v>
      </c>
      <c r="G22" s="13">
        <f>(0.0942-0.0904)*1000</f>
        <v>3.8000000000000118</v>
      </c>
      <c r="H22" s="13">
        <f>(0.0956-0.0927)*1000</f>
        <v>2.9</v>
      </c>
      <c r="I22" s="13">
        <f>(0.0984-0.0953)*1000</f>
        <v>3.1000000000000054</v>
      </c>
      <c r="J22" s="13">
        <f>(0.1001-0.0973)*1000</f>
        <v>2.7999999999999972</v>
      </c>
      <c r="K22" s="13">
        <f>(0.1-0.0966)*1000</f>
        <v>3.4000000000000004</v>
      </c>
      <c r="L22" s="13">
        <f>(0.0914-0.088)*1000</f>
        <v>3.4000000000000004</v>
      </c>
      <c r="M22" s="13" t="s">
        <v>1048</v>
      </c>
      <c r="N22" s="13">
        <f>AVERAGE(D22:L22)</f>
        <v>2.9999999999999991</v>
      </c>
      <c r="O22" s="13">
        <f>_xlfn.STDEV.S(D22:L22)</f>
        <v>0.6670832032063222</v>
      </c>
      <c r="P22" s="28"/>
    </row>
    <row r="23" spans="1:18">
      <c r="A23" s="5" t="s">
        <v>243</v>
      </c>
      <c r="B23" s="5" t="s">
        <v>1127</v>
      </c>
      <c r="C23" s="11" t="s">
        <v>1122</v>
      </c>
      <c r="D23" s="13">
        <f>(0.0939-0.0932)*1000</f>
        <v>0.6999999999999923</v>
      </c>
      <c r="E23" s="13">
        <f>(0.0925-0.0901)*1000</f>
        <v>2.3999999999999995</v>
      </c>
      <c r="F23" s="13">
        <f>(0.0935-0.091)*1000</f>
        <v>2.5000000000000022</v>
      </c>
      <c r="G23" s="13">
        <f>(0.0961-0.0918)*1000</f>
        <v>4.299999999999998</v>
      </c>
      <c r="H23" s="13">
        <f>(0.097-0.0954)*1000</f>
        <v>1.6000000000000041</v>
      </c>
      <c r="I23" s="13">
        <f>(0.0931-0.0862)*1000</f>
        <v>6.900000000000003</v>
      </c>
      <c r="J23" s="13">
        <f>(0.0866-0.0853)*1000</f>
        <v>1.2999999999999956</v>
      </c>
      <c r="K23" s="13">
        <f>(0.0881-0.0862)*1000</f>
        <v>1.899999999999999</v>
      </c>
      <c r="L23" s="13">
        <f>(0.0887-0.0863)*1000</f>
        <v>2.3999999999999995</v>
      </c>
      <c r="M23" s="13">
        <f>(0.0866-0.0853)*1000</f>
        <v>1.2999999999999956</v>
      </c>
      <c r="N23" s="13">
        <f>AVERAGE($D$23:$M$23)</f>
        <v>2.5299999999999989</v>
      </c>
      <c r="O23" s="13">
        <f>_xlfn.STDEV.S(D23:M23)</f>
        <v>1.8227268948839646</v>
      </c>
      <c r="P23" s="28"/>
      <c r="Q23" s="4">
        <v>232</v>
      </c>
      <c r="R23" s="4">
        <v>41.39</v>
      </c>
    </row>
    <row r="24" spans="1:18">
      <c r="C24" s="11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28"/>
    </row>
    <row r="25" spans="1:18">
      <c r="A25" s="4" t="s">
        <v>244</v>
      </c>
      <c r="B25" s="5" t="s">
        <v>1121</v>
      </c>
      <c r="C25" s="11">
        <v>4</v>
      </c>
      <c r="D25" s="13">
        <f>(0.0885-0.0844)*1000</f>
        <v>4.0999999999999925</v>
      </c>
      <c r="E25" s="13" t="s">
        <v>1048</v>
      </c>
      <c r="F25" s="13">
        <f>(0.0952-0.091)*1000</f>
        <v>4.2000000000000091</v>
      </c>
      <c r="G25" s="13">
        <f>(0.0872-0.0816)*1000</f>
        <v>5.5999999999999943</v>
      </c>
      <c r="H25" s="13">
        <f>(0.0942-0.0905)*1000</f>
        <v>3.7000000000000091</v>
      </c>
      <c r="I25" s="13">
        <f>(0.0774-0.0747)*1000</f>
        <v>2.699999999999994</v>
      </c>
      <c r="J25" s="13" t="s">
        <v>1048</v>
      </c>
      <c r="K25" s="13"/>
      <c r="L25" s="13"/>
      <c r="M25" s="13"/>
      <c r="N25" s="13">
        <f>AVERAGE(D25:J25)</f>
        <v>4.0599999999999996</v>
      </c>
      <c r="O25" s="13">
        <f>_xlfn.STDEV.S(D25:J25)</f>
        <v>1.0454664030948102</v>
      </c>
      <c r="P25" s="28"/>
    </row>
    <row r="26" spans="1:18">
      <c r="A26" s="4" t="s">
        <v>246</v>
      </c>
      <c r="B26" s="5" t="s">
        <v>1121</v>
      </c>
      <c r="C26" s="11">
        <v>6</v>
      </c>
      <c r="D26" s="13" t="s">
        <v>1048</v>
      </c>
      <c r="E26" s="13" t="s">
        <v>1048</v>
      </c>
      <c r="F26" s="13">
        <f>(0.0946-0.0933)*1000</f>
        <v>1.3000000000000096</v>
      </c>
      <c r="G26" s="13">
        <f>(0.0868-0.084)*1000</f>
        <v>2.7999999999999972</v>
      </c>
      <c r="H26" s="13">
        <f>(0.0946-0.0922)*1000</f>
        <v>2.3999999999999995</v>
      </c>
      <c r="I26" s="13">
        <f>(0.0952-0.0928)*1000</f>
        <v>2.4000000000000132</v>
      </c>
      <c r="J26" s="13">
        <f>(0.083-0.0771)*1000</f>
        <v>5.9000000000000021</v>
      </c>
      <c r="K26" s="13"/>
      <c r="L26" s="13"/>
      <c r="M26" s="13"/>
      <c r="N26" s="13">
        <f>AVERAGE(D26:J26)</f>
        <v>2.9600000000000044</v>
      </c>
      <c r="O26" s="13">
        <f t="shared" ref="O26:O28" si="3">_xlfn.STDEV.S(D26:J26)</f>
        <v>1.7357995275952782</v>
      </c>
      <c r="P26" s="28"/>
    </row>
    <row r="27" spans="1:18">
      <c r="A27" s="4" t="s">
        <v>248</v>
      </c>
      <c r="B27" s="5" t="s">
        <v>1121</v>
      </c>
      <c r="C27" s="11">
        <v>8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28"/>
    </row>
    <row r="28" spans="1:18">
      <c r="A28" s="5" t="s">
        <v>250</v>
      </c>
      <c r="B28" s="5" t="s">
        <v>1121</v>
      </c>
      <c r="C28" s="11" t="s">
        <v>1122</v>
      </c>
      <c r="D28" s="13" t="s">
        <v>1048</v>
      </c>
      <c r="E28" s="13">
        <f>(0.0913-0.087)*1000</f>
        <v>4.3000000000000123</v>
      </c>
      <c r="F28" s="13">
        <f>(0.0906-0.0857)*1000</f>
        <v>4.9000000000000012</v>
      </c>
      <c r="G28" s="13">
        <f>(0.1004-0.096)*1000</f>
        <v>4.4000000000000012</v>
      </c>
      <c r="H28" s="13">
        <f>(0.0929-0.0867)*1000</f>
        <v>6.1999999999999975</v>
      </c>
      <c r="I28" s="13">
        <f>(0.0876-0.0853)*1000</f>
        <v>2.2999999999999963</v>
      </c>
      <c r="J28" s="13">
        <f>(0.0902-0.0843)*1000</f>
        <v>5.9000000000000021</v>
      </c>
      <c r="K28" s="13"/>
      <c r="L28" s="13"/>
      <c r="M28" s="13"/>
      <c r="N28" s="13">
        <f>AVERAGE(D28:J28)</f>
        <v>4.6666666666666687</v>
      </c>
      <c r="O28" s="13">
        <f t="shared" si="3"/>
        <v>1.3952299690970891</v>
      </c>
      <c r="P28" s="28"/>
    </row>
    <row r="29" spans="1:18">
      <c r="C29" s="11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28"/>
    </row>
    <row r="30" spans="1:18">
      <c r="A30" s="4" t="s">
        <v>251</v>
      </c>
      <c r="B30" s="5" t="s">
        <v>1121</v>
      </c>
      <c r="C30" s="11" t="s">
        <v>228</v>
      </c>
      <c r="D30" s="13" t="s">
        <v>1048</v>
      </c>
      <c r="E30" s="13" t="s">
        <v>1048</v>
      </c>
      <c r="F30" s="13">
        <f>(0.0833-0.0788)*1000</f>
        <v>4.5000000000000036</v>
      </c>
      <c r="G30" s="13">
        <f>(0.0915-0.086)*1000</f>
        <v>5.5000000000000053</v>
      </c>
      <c r="H30" s="13">
        <f>(0.0945-0.0882)*1000</f>
        <v>6.3</v>
      </c>
      <c r="I30" s="13">
        <f>(0.1007-0.0949)*1000</f>
        <v>5.8</v>
      </c>
      <c r="J30" s="13">
        <f>(0.0852-0.0798)*1000</f>
        <v>5.4000000000000021</v>
      </c>
      <c r="K30" s="13"/>
      <c r="L30" s="13"/>
      <c r="M30" s="13"/>
      <c r="N30" s="13">
        <f>AVERAGE(D30:J30)</f>
        <v>5.5000000000000018</v>
      </c>
      <c r="O30" s="13">
        <f>_xlfn.STDEV.S(D30:J30)</f>
        <v>0.65954529791364225</v>
      </c>
      <c r="P30" s="28"/>
    </row>
    <row r="31" spans="1:18"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</row>
    <row r="32" spans="1:18">
      <c r="A32" s="4" t="s">
        <v>263</v>
      </c>
      <c r="B32" s="5" t="s">
        <v>1121</v>
      </c>
      <c r="C32" s="11" t="s">
        <v>228</v>
      </c>
      <c r="D32" s="13">
        <f>(0.0869-0.0823)*1000</f>
        <v>4.6000000000000068</v>
      </c>
      <c r="E32" s="13" t="s">
        <v>1048</v>
      </c>
      <c r="F32" s="13">
        <f>(0.0734-0.0642)*1000</f>
        <v>9.2000000000000135</v>
      </c>
      <c r="G32" s="13" t="s">
        <v>1048</v>
      </c>
      <c r="H32" s="13">
        <f>(0.0866-0.0811)*1000</f>
        <v>5.4999999999999911</v>
      </c>
      <c r="I32" s="13" t="s">
        <v>1048</v>
      </c>
      <c r="J32" s="13">
        <f>(0.0907-0.0838)*1000</f>
        <v>6.900000000000003</v>
      </c>
      <c r="K32" s="13"/>
      <c r="L32" s="13"/>
      <c r="M32" s="13"/>
      <c r="N32" s="13">
        <f>AVERAGE(D32:J32)</f>
        <v>6.5500000000000034</v>
      </c>
      <c r="O32" s="13">
        <f>_xlfn.STDEV.S(D32:J32)</f>
        <v>2.0041623354076585</v>
      </c>
      <c r="P32" s="28"/>
    </row>
    <row r="33" spans="1:16">
      <c r="A33" s="4" t="s">
        <v>266</v>
      </c>
      <c r="B33" s="5" t="s">
        <v>1121</v>
      </c>
      <c r="C33" s="11" t="s">
        <v>228</v>
      </c>
      <c r="D33" s="13" t="s">
        <v>1048</v>
      </c>
      <c r="E33" s="13">
        <f>(0.0923-0.087)*1000</f>
        <v>5.2999999999999989</v>
      </c>
      <c r="F33" s="13">
        <f>(0.0961-0.0847)*1000</f>
        <v>11.400000000000007</v>
      </c>
      <c r="G33" s="13">
        <f>(0.0866-0.0788)*1000</f>
        <v>7.8000000000000016</v>
      </c>
      <c r="H33" s="13" t="s">
        <v>1048</v>
      </c>
      <c r="I33" s="13">
        <f>(0.0877-0.0749)*1000</f>
        <v>12.800000000000006</v>
      </c>
      <c r="J33" s="13" t="s">
        <v>1048</v>
      </c>
      <c r="K33" s="13"/>
      <c r="L33" s="13"/>
      <c r="M33" s="13"/>
      <c r="N33" s="13">
        <f>AVERAGE(D33:J33)</f>
        <v>9.3250000000000028</v>
      </c>
      <c r="O33" s="13">
        <f>_xlfn.STDEV.S(D33:J33)</f>
        <v>3.4111337313763266</v>
      </c>
      <c r="P33" s="28"/>
    </row>
    <row r="34" spans="1:16"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28"/>
    </row>
    <row r="35" spans="1:16">
      <c r="A35" s="4" t="s">
        <v>267</v>
      </c>
      <c r="B35" s="4" t="s">
        <v>1121</v>
      </c>
      <c r="C35" s="11" t="s">
        <v>228</v>
      </c>
      <c r="D35" s="13">
        <f>(((0.0891+0.0888+0.08864)/3)-((0.0845+0.0848+0.0851)/3))*1000</f>
        <v>4.0466666666666704</v>
      </c>
      <c r="E35" s="13">
        <f>(((0.0946+0.0937+0.0941)/3)-((0.0919+0.0922+0.092)/3))*1000</f>
        <v>2.1000000000000045</v>
      </c>
      <c r="F35" s="13">
        <f>(((0.0946+0.0942+0.0945)/3)-((0.0925+0.0926)/2))*1000</f>
        <v>1.8833333333333342</v>
      </c>
      <c r="G35" s="13">
        <f>(((0.0907+0.0906)/2)-((0.0892+0.089)/2))*1000</f>
        <v>1.5500000000000096</v>
      </c>
      <c r="H35" s="38">
        <f>(((0.0813-0.0711)*1000))</f>
        <v>10.200000000000001</v>
      </c>
      <c r="I35" s="13">
        <f>(((0.0946+0.0949+0.0942)/3)-((0.091+0.0911+0.0912)/3))*1000</f>
        <v>3.4666666666666734</v>
      </c>
      <c r="J35" s="13">
        <f>(0.0958-0.0913)*1000</f>
        <v>4.4999999999999902</v>
      </c>
      <c r="K35" s="13"/>
      <c r="L35" s="13"/>
      <c r="M35" s="13"/>
      <c r="N35" s="13">
        <f>AVERAGE(D35:J35)</f>
        <v>3.9638095238095263</v>
      </c>
      <c r="O35" s="13">
        <f>_xlfn.STDEV.S(D35:J35)</f>
        <v>2.9737807514462036</v>
      </c>
      <c r="P35" s="28"/>
    </row>
    <row r="36" spans="1:16">
      <c r="A36" s="4" t="s">
        <v>269</v>
      </c>
      <c r="B36" s="4" t="s">
        <v>1121</v>
      </c>
      <c r="C36" s="11" t="s">
        <v>228</v>
      </c>
      <c r="D36" s="13">
        <f>(((0.0912+0.0913)/2)-((0.0866+0.0863)/2))*1000</f>
        <v>4.7999999999999989</v>
      </c>
      <c r="E36" s="13">
        <f>(((0.083+0.0829+0.08285)/3)-((0.0784)))*1000</f>
        <v>4.5166666666666551</v>
      </c>
      <c r="F36" s="13">
        <f>(((0.0845+0.0841+0.0844)/3)-((0.0788+0.0786+0.0786)/3))*1000</f>
        <v>5.666666666666667</v>
      </c>
      <c r="G36" s="13" t="s">
        <v>1048</v>
      </c>
      <c r="H36" s="13">
        <f>(((0.0844+0.0842)/2)-((0.0787+0.0786)/2))*1000</f>
        <v>5.6500000000000021</v>
      </c>
      <c r="I36" s="13">
        <f>(((0.0856+0.0861+0.086)/3)-((0.082+0.0822)/2))*1000</f>
        <v>3.7999999999999838</v>
      </c>
      <c r="J36" s="13">
        <f>(0.0872-((0.0852+0.0854)/2))*1000</f>
        <v>1.899999999999999</v>
      </c>
      <c r="K36" s="13"/>
      <c r="L36" s="13"/>
      <c r="M36" s="13"/>
      <c r="N36" s="13">
        <f>AVERAGE(D36:J36)</f>
        <v>4.388888888888884</v>
      </c>
      <c r="O36" s="13">
        <f>_xlfn.STDEV.S(D36:J36)</f>
        <v>1.4106604704757899</v>
      </c>
      <c r="P36" s="28"/>
    </row>
    <row r="37" spans="1:16">
      <c r="C37" s="11"/>
      <c r="D37" s="13"/>
      <c r="E37" s="13"/>
      <c r="F37" s="13"/>
      <c r="G37" s="13"/>
      <c r="H37" s="38"/>
      <c r="I37" s="13"/>
      <c r="J37" s="13"/>
      <c r="K37" s="13"/>
      <c r="L37" s="13"/>
      <c r="M37" s="13"/>
      <c r="N37" s="13"/>
      <c r="O37" s="13"/>
      <c r="P37" s="28"/>
    </row>
    <row r="38" spans="1:16">
      <c r="A38" s="20" t="s">
        <v>271</v>
      </c>
      <c r="B38" s="4" t="s">
        <v>1121</v>
      </c>
      <c r="C38" s="11" t="s">
        <v>228</v>
      </c>
      <c r="D38" s="13">
        <f>(((0.0929+0.0931)/2)-(0.091+0.0911)/2)*1000</f>
        <v>1.9500000000000073</v>
      </c>
      <c r="E38" s="13">
        <f>(((0.0862+0.0863)/2)-(0.0829+0.083)/2)*1000</f>
        <v>3.2999999999999972</v>
      </c>
      <c r="F38" s="13">
        <f>(((0.0767+0.0768)/2)-(0.0741+0.0741)/2)*1000</f>
        <v>2.6499999999999995</v>
      </c>
      <c r="G38" s="13">
        <f>(((0.0791+0.0784)/2)-(0.0743))*1000</f>
        <v>4.4499999999999957</v>
      </c>
      <c r="H38" s="13">
        <f>(((0.09+0.0905)/2)-(0.0865+0.0866+0.0866)/3)*1000</f>
        <v>3.68333333333333</v>
      </c>
      <c r="I38" s="13">
        <f>(((0.09+0.0896+0.0896)/3)-(0.0862+0.0861+0.0861)/3)*1000</f>
        <v>3.5999999999999921</v>
      </c>
      <c r="J38" s="13">
        <f>(((0.0832+0.083)/2)-(0.081+0.0809)/2)*1000</f>
        <v>2.1500000000000128</v>
      </c>
      <c r="K38" s="13"/>
      <c r="L38" s="13"/>
      <c r="M38" s="13"/>
      <c r="N38" s="13">
        <f>AVERAGE(D38:J38)</f>
        <v>3.111904761904762</v>
      </c>
      <c r="O38" s="13">
        <f>_xlfn.STDEV.S(D38:J38)</f>
        <v>0.90178394625002833</v>
      </c>
      <c r="P38" s="28"/>
    </row>
    <row r="39" spans="1:16">
      <c r="A39" s="4" t="s">
        <v>280</v>
      </c>
      <c r="B39" s="4" t="s">
        <v>1121</v>
      </c>
      <c r="C39" s="11" t="s">
        <v>228</v>
      </c>
      <c r="D39" s="13">
        <f>((0.0922)-((0.0894)))*1000</f>
        <v>2.8000000000000109</v>
      </c>
      <c r="E39" s="13" t="s">
        <v>1048</v>
      </c>
      <c r="F39" s="13">
        <f>(((0.0939+0.0945)/2)-((0.0907+0.0908+0.0908)/3))*1000</f>
        <v>3.4333333333333438</v>
      </c>
      <c r="G39" s="13">
        <f>(((0.0857+0.0849)/2)-((0.0803+0.0805)/2))*1000</f>
        <v>4.9000000000000012</v>
      </c>
      <c r="H39" s="13">
        <f>(((0.0865+0.0866+0.0864)/3)-((0.0855+0.0843+0.0848)/3))*1000</f>
        <v>1.63333333333332</v>
      </c>
      <c r="I39" s="13">
        <f>(((0.0912+0.0913+0.0911)/3)-((0.0861+0.0862)/2))*1000</f>
        <v>5.0499999999999989</v>
      </c>
      <c r="J39" s="13"/>
      <c r="K39" s="13"/>
      <c r="L39" s="13"/>
      <c r="M39" s="13"/>
      <c r="N39" s="13">
        <f>AVERAGE(D39:J39)</f>
        <v>3.5633333333333352</v>
      </c>
      <c r="O39" s="13">
        <f>_xlfn.STDEV.S(D39:J39)</f>
        <v>1.4423360680969395</v>
      </c>
      <c r="P39" s="28"/>
    </row>
    <row r="40" spans="1:16"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</row>
    <row r="41" spans="1:16">
      <c r="A41" s="20" t="s">
        <v>304</v>
      </c>
      <c r="B41" s="5" t="s">
        <v>1121</v>
      </c>
      <c r="C41" s="11" t="s">
        <v>228</v>
      </c>
      <c r="D41" s="13">
        <f>(0.0976-AVERAGE(0.093,0.0928,0.0929))*1000</f>
        <v>4.7000000000000099</v>
      </c>
      <c r="E41" s="13">
        <f>(AVERAGE(0.1054,0.1056,0.1055)-AVERAGE(0.1022,0.1025,0.1023))*1000</f>
        <v>3.1666666666666647</v>
      </c>
      <c r="F41" s="13">
        <f>(0.1084-AVERAGE(0.1047,0.1046,0.1045))*1000</f>
        <v>3.8000000000000118</v>
      </c>
      <c r="G41" s="13">
        <f>(AVERAGE(0.1015,0.1017,0.1016)-AVERAGE(0.0962,0.0963,0.0965))*1000</f>
        <v>5.2666666666666417</v>
      </c>
      <c r="H41" s="13">
        <f>(AVERAGE(0.0985,0.0984,0.0983)-AVERAGE(0.0944,0.0945,0.0945))*1000</f>
        <v>3.9333333333333442</v>
      </c>
      <c r="I41" s="13">
        <f>(AVERAGE(0.121,0.1209,0.1209)-0.1147)*1000</f>
        <v>6.2333333333333405</v>
      </c>
      <c r="J41" s="13">
        <f>(AVERAGE(0.0996,0.0998,0.0996)-AVERAGE(0.0948,0.0952,0.095))*1000</f>
        <v>4.6666666666666519</v>
      </c>
      <c r="K41" s="13"/>
      <c r="L41" s="13"/>
      <c r="M41" s="13"/>
      <c r="N41" s="13">
        <f>AVERAGE(D41:J41)</f>
        <v>4.538095238095238</v>
      </c>
      <c r="O41" s="13">
        <f>_xlfn.STDEV.S(D41:J41)</f>
        <v>1.0197001322880914</v>
      </c>
      <c r="P41" s="28"/>
    </row>
    <row r="42" spans="1:16"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28"/>
    </row>
    <row r="43" spans="1:16">
      <c r="A43" s="20" t="s">
        <v>1128</v>
      </c>
      <c r="B43" s="4" t="s">
        <v>1121</v>
      </c>
      <c r="C43" s="11" t="s">
        <v>1122</v>
      </c>
      <c r="D43" s="13">
        <f>(0.1045-0.0995)*1000</f>
        <v>4.9999999999999902</v>
      </c>
      <c r="E43" s="13">
        <f>(AVERAGE(0.08,0.0801)-AVERAGE(0.0765,0.0763))*1000</f>
        <v>3.6500000000000146</v>
      </c>
      <c r="F43" s="13">
        <f>(AVERAGE(0.1085,0.1084,0.1083)-AVERAGE(0.1034,0.1037,0.1034))*1000</f>
        <v>4.9000000000000012</v>
      </c>
      <c r="G43" s="13">
        <f>(0.0916-0.0872)*1000</f>
        <v>4.4000000000000012</v>
      </c>
      <c r="H43" s="13">
        <f>(0.0959-AVERAGE(0.0927,0.0926,0.0929))*1000</f>
        <v>3.1666666666666647</v>
      </c>
      <c r="I43" s="13">
        <f>(0.0959-AVERAGE(0.0922,0.0923,0.0923))*1000</f>
        <v>3.6333333333333355</v>
      </c>
      <c r="J43" s="13">
        <f>(0.0928-AVERAGE(0.0911,0.0912))*1000</f>
        <v>1.6499999999999848</v>
      </c>
      <c r="K43" s="13"/>
      <c r="L43" s="13"/>
      <c r="M43" s="13"/>
      <c r="N43" s="13">
        <f>AVERAGE(D43:J43)</f>
        <v>3.7714285714285709</v>
      </c>
      <c r="O43" s="13">
        <f>_xlfn.STDEV.S(D43:J43)</f>
        <v>1.1603285887464985</v>
      </c>
      <c r="P43" s="28"/>
    </row>
    <row r="44" spans="1:16"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28"/>
    </row>
    <row r="45" spans="1:16">
      <c r="A45" s="4" t="s">
        <v>1129</v>
      </c>
      <c r="B45" s="4" t="s">
        <v>1121</v>
      </c>
      <c r="C45" s="11" t="s">
        <v>228</v>
      </c>
      <c r="D45" s="13" t="s">
        <v>1048</v>
      </c>
      <c r="E45" s="13">
        <f>(AVERAGE(0.1008,0.1007,0.1006)-AVERAGE(0.0969,0.0968))*1000</f>
        <v>3.8500000000000201</v>
      </c>
      <c r="F45" s="13">
        <f>(AVERAGE(0.0969,0.097)-0.0919)*1000</f>
        <v>5.0500000000000131</v>
      </c>
      <c r="G45" s="13">
        <f>(AVERAGE(0.0954,0.0953)-AVERAGE(0.0894,0.0897,0.0893))*1000</f>
        <v>5.8833333333333373</v>
      </c>
      <c r="H45" s="13" t="s">
        <v>1048</v>
      </c>
      <c r="I45" s="13"/>
      <c r="J45" s="13"/>
      <c r="K45" s="13"/>
      <c r="L45" s="13"/>
      <c r="M45" s="13"/>
      <c r="N45" s="13">
        <f>AVERAGE(D45:J45)</f>
        <v>4.9277777777777905</v>
      </c>
      <c r="O45" s="13">
        <f>_xlfn.STDEV.S(D45:J45)</f>
        <v>1.0221618339650489</v>
      </c>
      <c r="P45" s="28"/>
    </row>
    <row r="46" spans="1:16">
      <c r="A46" s="4" t="s">
        <v>1130</v>
      </c>
      <c r="B46" s="4" t="s">
        <v>1121</v>
      </c>
      <c r="C46" s="11" t="s">
        <v>228</v>
      </c>
      <c r="D46" s="13">
        <f>(AVERAGE(0.0983,0.0981,0.0986)-AVERAGE(0.0937,0.0935))*1000</f>
        <v>4.7333333333333396</v>
      </c>
      <c r="E46" s="13">
        <f>(AVERAGE(0.0994,0.0993)-AVERAGE(0.0943,0.0942))*1000</f>
        <v>5.0999999999999934</v>
      </c>
      <c r="F46" s="13">
        <f>(AVERAGE(0.0885,0.0884,0.0885)-0.0851)*1000</f>
        <v>3.3666666666666565</v>
      </c>
      <c r="G46" s="13">
        <f>(AVERAGE(0.0935,0.0932,0.0931)-AVERAGE(0.0845,0.0842,0.0843))*1000</f>
        <v>8.9333333333333353</v>
      </c>
      <c r="H46" s="13">
        <f>(0.0901-AVERAGE(0.0887,0.088,0.0879))*1000</f>
        <v>1.899999999999999</v>
      </c>
      <c r="I46" s="13"/>
      <c r="J46" s="13"/>
      <c r="K46" s="13"/>
      <c r="L46" s="13"/>
      <c r="M46" s="13"/>
      <c r="N46" s="13">
        <f>AVERAGE(D46:J46)</f>
        <v>4.8066666666666649</v>
      </c>
      <c r="O46" s="13">
        <f>_xlfn.STDEV.S(D46:J46)</f>
        <v>2.6288358217617516</v>
      </c>
      <c r="P46" s="28"/>
    </row>
    <row r="47" spans="1:16"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28"/>
    </row>
    <row r="48" spans="1:16">
      <c r="A48" s="4" t="s">
        <v>1131</v>
      </c>
      <c r="B48" s="4" t="s">
        <v>1121</v>
      </c>
      <c r="C48" s="11" t="s">
        <v>228</v>
      </c>
      <c r="D48" s="13" t="s">
        <v>1048</v>
      </c>
      <c r="E48" s="13">
        <f>(0.0855-AVERAGE(0.0811,0.081))*1000</f>
        <v>4.4499999999999957</v>
      </c>
      <c r="F48" s="13">
        <f>(0.0833-0.0785)*1000</f>
        <v>4.7999999999999989</v>
      </c>
      <c r="G48" s="13" t="s">
        <v>1048</v>
      </c>
      <c r="H48" s="13" t="s">
        <v>1048</v>
      </c>
      <c r="I48" s="13">
        <f>(AVERAGE(0.0992,0.0991)-AVERAGE(0.0949,0.0948))*1000</f>
        <v>4.299999999999998</v>
      </c>
      <c r="J48" s="13">
        <f>(AVERAGE(0.0964,0.0963,0.0965)-AVERAGE(0.0918,0.0918,0.0921))*1000</f>
        <v>4.5000000000000036</v>
      </c>
      <c r="K48" s="13"/>
      <c r="L48" s="13"/>
      <c r="M48" s="13"/>
      <c r="N48" s="13">
        <f t="shared" ref="N48:N51" si="4">AVERAGE(D48:J48)</f>
        <v>4.5124999999999993</v>
      </c>
      <c r="O48" s="13">
        <f t="shared" ref="O48:O51" si="5">_xlfn.STDEV.S(D48:J48)</f>
        <v>0.20966242709015259</v>
      </c>
      <c r="P48" s="28"/>
    </row>
    <row r="49" spans="1:16">
      <c r="A49" s="4" t="s">
        <v>1132</v>
      </c>
      <c r="B49" s="4" t="s">
        <v>1121</v>
      </c>
      <c r="C49" s="11" t="s">
        <v>228</v>
      </c>
      <c r="D49" s="13" t="s">
        <v>1048</v>
      </c>
      <c r="E49" s="13">
        <f>(0.0885-0.0845)*1000</f>
        <v>3.9999999999999898</v>
      </c>
      <c r="F49" s="13">
        <f>(AVERAGE(0.0852,0.0854,0.0852)-AVERAGE(0.0809,0.0808,0.081))*1000</f>
        <v>4.3666666666666574</v>
      </c>
      <c r="G49" s="13">
        <f>(AVERAGE(0.0854,0.0853,0.0852)-0.0835)*1000</f>
        <v>1.799999999999996</v>
      </c>
      <c r="H49" s="13">
        <f>(0.0986-0.0939)*1000</f>
        <v>4.6999999999999957</v>
      </c>
      <c r="I49" s="13">
        <f>(0.0942-0.0901)*1000</f>
        <v>4.1000000000000068</v>
      </c>
      <c r="J49" s="13">
        <f>(AVERAGE(0.0864,0.0862,0.086)-0.082)*1000</f>
        <v>4.1999999999999957</v>
      </c>
      <c r="K49" s="13"/>
      <c r="L49" s="13"/>
      <c r="M49" s="13"/>
      <c r="N49" s="13">
        <f t="shared" si="4"/>
        <v>3.8611111111111072</v>
      </c>
      <c r="O49" s="13">
        <f t="shared" si="5"/>
        <v>1.0391057408852771</v>
      </c>
      <c r="P49" s="28"/>
    </row>
    <row r="50" spans="1:16"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28"/>
    </row>
    <row r="51" spans="1:16">
      <c r="A51" s="21" t="s">
        <v>324</v>
      </c>
      <c r="B51" s="22" t="s">
        <v>1121</v>
      </c>
      <c r="C51" s="30" t="s">
        <v>228</v>
      </c>
      <c r="D51" s="35">
        <f>(AVERAGE(0.1095,0.1094,0.1097)-0.1064)*1000</f>
        <v>3.1333333333333351</v>
      </c>
      <c r="E51" s="36">
        <f>(AVERAGE(0.1107,0.1108,0.1108)-AVERAGE(0.106,0.1061))*1000</f>
        <v>4.7166666666666606</v>
      </c>
      <c r="F51" s="35">
        <f>(AVERAGE(0.1022,0.1021,0.1018)-0.1002)*1000</f>
        <v>1.8333333333333257</v>
      </c>
      <c r="G51" s="13">
        <f>(AVERAGE(0.1117,0.1114,0.1118)-0.1061)*1000</f>
        <v>5.5333333333333208</v>
      </c>
      <c r="H51" s="13">
        <f>(AVERAGE(0.1153,0.1152,0.1153)-AVERAGE(0.1101,0.1102))*1000</f>
        <v>5.1166666666666725</v>
      </c>
      <c r="I51" s="13"/>
      <c r="J51" s="13"/>
      <c r="K51" s="13"/>
      <c r="L51" s="13"/>
      <c r="M51" s="13"/>
      <c r="N51" s="13">
        <f t="shared" si="4"/>
        <v>4.0666666666666629</v>
      </c>
      <c r="O51" s="13">
        <f t="shared" si="5"/>
        <v>1.5439397656644507</v>
      </c>
      <c r="P51" s="28"/>
    </row>
    <row r="52" spans="1:16">
      <c r="C52" s="11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</row>
    <row r="53" spans="1:16">
      <c r="A53" s="21" t="s">
        <v>326</v>
      </c>
      <c r="B53" s="22" t="s">
        <v>1121</v>
      </c>
      <c r="C53" s="30" t="s">
        <v>228</v>
      </c>
      <c r="D53" s="13" t="s">
        <v>1048</v>
      </c>
      <c r="E53" s="13" t="s">
        <v>1048</v>
      </c>
      <c r="F53" s="13" t="s">
        <v>1048</v>
      </c>
      <c r="G53" s="13">
        <f>(0.0864-0.0821)*1000</f>
        <v>4.299999999999998</v>
      </c>
      <c r="H53" s="13">
        <f>(0.0863-AVERAGE(0.0829,0.0828,0.0828))*1000</f>
        <v>3.4666666666666734</v>
      </c>
      <c r="I53" s="13">
        <f>(AVERAGE(0.0865,0.0869,0.0866)-AVERAGE(0.0807,0.0806,0.0806))*1000</f>
        <v>6.033333333333335</v>
      </c>
      <c r="J53" s="13">
        <f>(AVERAGE(0.0829,0.0831,0.083)-0.0786)*1000</f>
        <v>4.4000000000000012</v>
      </c>
      <c r="K53" s="13"/>
      <c r="L53" s="13"/>
      <c r="M53" s="13"/>
      <c r="N53" s="13">
        <f>AVERAGE(D53:J53)</f>
        <v>4.5500000000000016</v>
      </c>
      <c r="O53" s="13">
        <f>_xlfn.STDEV.S(D53:J53)</f>
        <v>1.0737611293779283</v>
      </c>
      <c r="P53" s="28"/>
    </row>
    <row r="54" spans="1:16">
      <c r="A54" s="21" t="s">
        <v>328</v>
      </c>
      <c r="B54" s="22" t="s">
        <v>1121</v>
      </c>
      <c r="C54" s="30" t="s">
        <v>228</v>
      </c>
      <c r="D54" s="36">
        <v>2.2999999999999998</v>
      </c>
      <c r="E54" s="35">
        <v>2.6</v>
      </c>
      <c r="F54" s="35" t="s">
        <v>1048</v>
      </c>
      <c r="G54" s="35">
        <v>3.75</v>
      </c>
      <c r="H54" s="35">
        <v>3.95</v>
      </c>
      <c r="I54" s="35">
        <v>3.5</v>
      </c>
      <c r="J54" s="35">
        <v>4.55</v>
      </c>
      <c r="K54" s="13"/>
      <c r="L54" s="13"/>
      <c r="M54" s="13"/>
      <c r="N54" s="13">
        <f>AVERAGE(D54:J54)</f>
        <v>3.4416666666666669</v>
      </c>
      <c r="O54" s="13">
        <f>_xlfn.STDEV.S(D54:J54)</f>
        <v>0.84818433531082504</v>
      </c>
      <c r="P54" s="28"/>
    </row>
    <row r="55" spans="1:16">
      <c r="C55" s="11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</row>
    <row r="56" spans="1:16">
      <c r="A56" s="21" t="s">
        <v>333</v>
      </c>
      <c r="B56" s="22" t="s">
        <v>1121</v>
      </c>
      <c r="C56" s="30" t="s">
        <v>228</v>
      </c>
      <c r="D56" s="13">
        <f>(AVERAGE(0.1191,0.1187,0.1193)-0.1159)*1000</f>
        <v>3.1333333333333351</v>
      </c>
      <c r="E56" s="13">
        <f>(0.1267-0.1232)*1000</f>
        <v>3.5000000000000031</v>
      </c>
      <c r="F56" s="13" t="s">
        <v>1048</v>
      </c>
      <c r="G56" s="13">
        <f>(0.1096-0.1055)*1000</f>
        <v>4.1000000000000068</v>
      </c>
      <c r="H56" s="13">
        <f>(0.1005-0.0966)*1000</f>
        <v>3.9000000000000008</v>
      </c>
      <c r="I56" s="13">
        <f>(0.1207-0.118)*1000</f>
        <v>2.7000000000000082</v>
      </c>
      <c r="J56" s="13">
        <f>(AVERAGE(0.117,0.1167,0.1167)-0.1105)*1000</f>
        <v>6.300000000000014</v>
      </c>
      <c r="K56" s="13"/>
      <c r="L56" s="13"/>
      <c r="M56" s="13"/>
      <c r="N56" s="13">
        <f>AVERAGE(D56:J56)</f>
        <v>3.9388888888888949</v>
      </c>
      <c r="O56" s="13">
        <f>_xlfn.STDEV.S(D56:J56)</f>
        <v>1.2632263220582243</v>
      </c>
      <c r="P56" s="28"/>
    </row>
    <row r="57" spans="1:16">
      <c r="A57" s="21" t="s">
        <v>337</v>
      </c>
      <c r="B57" s="22" t="s">
        <v>1121</v>
      </c>
      <c r="C57" s="30" t="s">
        <v>228</v>
      </c>
      <c r="D57" s="13" t="s">
        <v>1048</v>
      </c>
      <c r="E57" s="13">
        <f>(AVERAGE(0.109,0.1086)-AVERAGE(0.1064,0.1061))*1000</f>
        <v>2.5500000000000105</v>
      </c>
      <c r="F57" s="13">
        <f>(0.1118-0.1088)*1000</f>
        <v>3.0000000000000027</v>
      </c>
      <c r="G57" s="13">
        <f>(0.1034-0.1015)*1000</f>
        <v>1.899999999999999</v>
      </c>
      <c r="H57" s="13">
        <f>(0.0963-0.0921)*1000</f>
        <v>4.1999999999999957</v>
      </c>
      <c r="I57" s="13">
        <f>(AVERAGE(0.0883,0.0881)-0.085)*1000</f>
        <v>3.1999999999999944</v>
      </c>
      <c r="J57" s="13" t="s">
        <v>1048</v>
      </c>
      <c r="K57" s="13">
        <f>(0.0948-0.0887)*1000</f>
        <v>6.0999999999999943</v>
      </c>
      <c r="L57" s="13"/>
      <c r="M57" s="13"/>
      <c r="N57" s="13">
        <f>AVERAGE(D57:J57)</f>
        <v>2.97</v>
      </c>
      <c r="O57" s="13">
        <f>_xlfn.STDEV.S(D57:J57)</f>
        <v>0.84970583144991774</v>
      </c>
      <c r="P57" s="28"/>
    </row>
    <row r="58" spans="1:16">
      <c r="C58" s="30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28"/>
    </row>
    <row r="59" spans="1:16">
      <c r="A59" s="21" t="s">
        <v>340</v>
      </c>
      <c r="B59" s="4" t="s">
        <v>1127</v>
      </c>
      <c r="C59" s="11" t="s">
        <v>1122</v>
      </c>
      <c r="D59" s="13">
        <f>(0.0261-0.0231)*1000</f>
        <v>3.0000000000000027</v>
      </c>
      <c r="E59" s="13">
        <f>(0.0264-0.0219)*1000</f>
        <v>4.5000000000000009</v>
      </c>
      <c r="F59" s="13" t="s">
        <v>1048</v>
      </c>
      <c r="G59" s="13">
        <f>(0.0267-0.0221)*1000</f>
        <v>4.5999999999999996</v>
      </c>
      <c r="H59" s="13">
        <f>(AVERAGE(0.0302,0.0305,0.03)-0.0253)*1000</f>
        <v>4.9333333333333345</v>
      </c>
      <c r="I59" s="13"/>
      <c r="J59" s="13"/>
      <c r="K59" s="13"/>
      <c r="L59" s="13"/>
      <c r="M59" s="13"/>
      <c r="N59" s="13">
        <f t="shared" ref="N59:N64" si="6">AVERAGE(D59:J59)</f>
        <v>4.2583333333333346</v>
      </c>
      <c r="O59" s="13">
        <f t="shared" ref="O59:O64" si="7">_xlfn.STDEV.S(D59:J59)</f>
        <v>0.85910159792398677</v>
      </c>
      <c r="P59" s="28"/>
    </row>
    <row r="60" spans="1:16">
      <c r="A60" s="21" t="s">
        <v>342</v>
      </c>
      <c r="B60" s="4" t="s">
        <v>1127</v>
      </c>
      <c r="C60" s="11" t="s">
        <v>1122</v>
      </c>
      <c r="D60" s="13">
        <f>(AVERAGE(0.1026,0.1024,0.1024)-AVERAGE(0.0987,0.0989,0.0987))*1000</f>
        <v>3.6999999999999948</v>
      </c>
      <c r="E60" s="13">
        <f>(AVERAGE(0.1005,0.1004,0.1002)-AVERAGE(0.0974,0.0975,0.0979))*1000</f>
        <v>2.7666666666666675</v>
      </c>
      <c r="F60" s="13">
        <f>(AVERAGE(0.0986,0.0988,0.0986)-AVERAGE(0.0959,0.0954,0.0959))*1000</f>
        <v>2.9333333333333296</v>
      </c>
      <c r="G60" s="13">
        <f>(0.0985-AVERAGE(0.0955,0.0956,0.0955))*1000</f>
        <v>2.9666666666666868</v>
      </c>
      <c r="H60" s="13">
        <f>(AVERAGE(0.0862,0.0861)-AVERAGE(0.0839,0.084,0.0837))*1000</f>
        <v>2.2833333333333456</v>
      </c>
      <c r="I60" s="13">
        <f>(0.0979-AVERAGE(0.0948,0.0949))*1000</f>
        <v>3.0500000000000109</v>
      </c>
      <c r="J60" s="13"/>
      <c r="K60" s="13"/>
      <c r="L60" s="13"/>
      <c r="M60" s="13"/>
      <c r="N60" s="13">
        <f t="shared" si="6"/>
        <v>2.950000000000006</v>
      </c>
      <c r="O60" s="13">
        <f t="shared" si="7"/>
        <v>0.45849996970798107</v>
      </c>
      <c r="P60" s="28"/>
    </row>
    <row r="61" spans="1:16">
      <c r="A61" s="21" t="s">
        <v>345</v>
      </c>
      <c r="B61" s="4" t="s">
        <v>1127</v>
      </c>
      <c r="C61" s="11" t="s">
        <v>1122</v>
      </c>
      <c r="D61" s="13">
        <f>(0.0991-0.0968)*1000</f>
        <v>2.2999999999999963</v>
      </c>
      <c r="E61" s="13">
        <f>(AVERAGE(0.0975,0.0974)-0.0945)*1000</f>
        <v>2.9500000000000082</v>
      </c>
      <c r="F61" s="13">
        <f>(AVERAGE(0.0959,0.0957,0.0956)-AVERAGE(0.0928,0.0927,0.0928))*1000</f>
        <v>2.966666666666673</v>
      </c>
      <c r="G61" s="13">
        <f>(AVERAGE(0.1038,0.1036,0.1037)-0.1014)*1000</f>
        <v>2.2999999999999963</v>
      </c>
      <c r="H61" s="13">
        <f>(AVERAGE(0.1005,0.1006,0.1004)-AVERAGE(0.0979,0.0981,0.098))*1000</f>
        <v>2.4999999999999742</v>
      </c>
      <c r="I61" s="13">
        <f>(0.092-0.0896)*1000</f>
        <v>2.3999999999999995</v>
      </c>
      <c r="J61" s="13"/>
      <c r="K61" s="13"/>
      <c r="L61" s="13"/>
      <c r="M61" s="13"/>
      <c r="N61" s="13">
        <f t="shared" si="6"/>
        <v>2.5694444444444411</v>
      </c>
      <c r="O61" s="13">
        <f t="shared" si="7"/>
        <v>0.31027168500932384</v>
      </c>
      <c r="P61" s="28"/>
    </row>
    <row r="62" spans="1:16">
      <c r="A62" s="21" t="s">
        <v>349</v>
      </c>
      <c r="B62" s="4" t="s">
        <v>1127</v>
      </c>
      <c r="C62" s="11" t="s">
        <v>1122</v>
      </c>
      <c r="D62" s="13">
        <f>(0.0934-AVERAGE(0.089,0.0888))*1000</f>
        <v>4.4999999999999902</v>
      </c>
      <c r="E62" s="13">
        <f>(AVERAGE(0.0949,0.095)-AVERAGE(0.0913,0.0912))*1000</f>
        <v>3.7000000000000091</v>
      </c>
      <c r="F62" s="13">
        <f>(0.0862-AVERAGE(0.0837,0.0839))*1000</f>
        <v>2.3999999999999995</v>
      </c>
      <c r="G62" s="13">
        <f>(0.1009-AVERAGE(0.098,0.0981))*1000</f>
        <v>2.8500000000000054</v>
      </c>
      <c r="H62" s="13">
        <f>(0.1009-AVERAGE(0.0986,0.0984,0.0983))*1000</f>
        <v>2.4666666666666726</v>
      </c>
      <c r="I62" s="13">
        <f>(0.099-AVERAGE(0.0968,0.0966,0.0968))*1000</f>
        <v>2.2666666666666666</v>
      </c>
      <c r="J62" s="13"/>
      <c r="K62" s="13"/>
      <c r="L62" s="13"/>
      <c r="M62" s="13"/>
      <c r="N62" s="13">
        <f t="shared" si="6"/>
        <v>3.0305555555555568</v>
      </c>
      <c r="O62" s="13">
        <f t="shared" si="7"/>
        <v>0.88759454373833935</v>
      </c>
      <c r="P62" s="28"/>
    </row>
    <row r="63" spans="1:16">
      <c r="A63" s="21" t="s">
        <v>355</v>
      </c>
      <c r="B63" s="4" t="s">
        <v>1127</v>
      </c>
      <c r="C63" s="11" t="s">
        <v>1122</v>
      </c>
      <c r="D63" s="13">
        <f>(0.024-0.0229)*1000/(0.4)</f>
        <v>2.7500000000000004</v>
      </c>
      <c r="E63" s="13">
        <f>(AVERAGE(0.0262,0.026)-0.0245)*1000/0.4</f>
        <v>3.9999999999999929</v>
      </c>
      <c r="F63" s="13" t="s">
        <v>1048</v>
      </c>
      <c r="G63" s="13">
        <f>(AVERAGE(0.0248,0.0247)-AVERAGE(0.0232,0.023))*1000/0.4</f>
        <v>4.1250000000000053</v>
      </c>
      <c r="H63" s="13">
        <f>(0.0275-0.0263)*1000/0.4</f>
        <v>2.9999999999999991</v>
      </c>
      <c r="I63" s="13">
        <f>(AVERAGE(0.027,0.0266)-0.0251)*1000/0.4</f>
        <v>4.2499999999999911</v>
      </c>
      <c r="J63" s="13"/>
      <c r="K63" s="13"/>
      <c r="L63" s="13"/>
      <c r="M63" s="13"/>
      <c r="N63" s="13">
        <f t="shared" si="6"/>
        <v>3.6249999999999973</v>
      </c>
      <c r="O63" s="13">
        <f t="shared" si="7"/>
        <v>0.69597054535375269</v>
      </c>
      <c r="P63" s="28"/>
    </row>
    <row r="64" spans="1:16">
      <c r="A64" s="21" t="s">
        <v>358</v>
      </c>
      <c r="B64" s="4" t="s">
        <v>1127</v>
      </c>
      <c r="C64" s="11" t="s">
        <v>1122</v>
      </c>
      <c r="D64" s="13">
        <f>(AVERAGE(0.0398,0.04,0.0399)-0.0385)*1000/0.4</f>
        <v>3.4999999999999964</v>
      </c>
      <c r="E64" s="13">
        <f>(0.0432-AVERAGE(0.0424,0.0422))*1000/0.4</f>
        <v>2.2499999999999951</v>
      </c>
      <c r="F64" s="13">
        <f>(0.0413-0.0406)*1000/0.4</f>
        <v>1.7500000000000153</v>
      </c>
      <c r="G64" s="13" t="s">
        <v>1048</v>
      </c>
      <c r="H64" s="13">
        <f>(0.0407-AVERAGE(0.0398,0.0401))*1000/0.4</f>
        <v>1.8750000000000016</v>
      </c>
      <c r="I64" s="13">
        <f>(0.0415-0.0402)*1000/0.4</f>
        <v>3.2500000000000062</v>
      </c>
      <c r="J64" s="13"/>
      <c r="K64" s="13"/>
      <c r="L64" s="13"/>
      <c r="M64" s="13"/>
      <c r="N64" s="13">
        <f t="shared" si="6"/>
        <v>2.525000000000003</v>
      </c>
      <c r="O64" s="13">
        <f t="shared" si="7"/>
        <v>0.80234032679405776</v>
      </c>
      <c r="P64" s="28"/>
    </row>
    <row r="65" spans="1:16">
      <c r="A65" s="21" t="s">
        <v>362</v>
      </c>
      <c r="B65" s="4" t="s">
        <v>1127</v>
      </c>
      <c r="C65" s="11" t="s">
        <v>1122</v>
      </c>
      <c r="D65" s="13">
        <f>(AVERAGE(0.0303,0.0304,0.0303)-AVERAGE(0.0274,0.0275,0.0275))*1000/0.5</f>
        <v>5.7333333333333334</v>
      </c>
      <c r="E65" s="13">
        <f>(AVERAGE(0.0324,0.0321)-AVERAGE(0.0302,0.0303))*1000/0.5</f>
        <v>4.0000000000000036</v>
      </c>
      <c r="F65" s="13">
        <f>(AVERAGE(0.0299,0.0298)-0.0276)*1000/0.5</f>
        <v>4.5000000000000036</v>
      </c>
      <c r="G65" s="13">
        <f>(0.0292-0.0276)*1000/0.5</f>
        <v>3.2000000000000015</v>
      </c>
      <c r="H65" s="13">
        <f>(AVERAGE(0.0293,0.0294,0.0292)-0.0279)*1000/0.5</f>
        <v>2.8000000000000038</v>
      </c>
      <c r="I65" s="13">
        <f>(0.0329-0.0314)*1000/0.5</f>
        <v>3.0000000000000027</v>
      </c>
      <c r="J65" s="13">
        <f>(AVERAGE(0.0324,0.0325,0.0324)-0.031)*1000/0.5</f>
        <v>2.8666666666666702</v>
      </c>
      <c r="K65" s="13"/>
      <c r="L65" s="13"/>
      <c r="M65" s="13"/>
      <c r="N65" s="13">
        <f>AVERAGE(D65:J65)</f>
        <v>3.7285714285714318</v>
      </c>
      <c r="O65" s="13">
        <f>_xlfn.STDEV.S(D65:J65)</f>
        <v>1.0880544259651848</v>
      </c>
      <c r="P65" s="28"/>
    </row>
    <row r="66" spans="1:16">
      <c r="A66" s="21" t="s">
        <v>377</v>
      </c>
      <c r="B66" s="4" t="s">
        <v>1127</v>
      </c>
      <c r="C66" s="11" t="s">
        <v>1122</v>
      </c>
      <c r="D66" s="13">
        <f>((0.0213-0.0201)*1000)/0.4</f>
        <v>2.9999999999999991</v>
      </c>
      <c r="E66" s="13">
        <f>(0.0229-AVERAGE(0.0217,0.0214,0.0216))*1000/0.4</f>
        <v>3.3333333333333304</v>
      </c>
      <c r="F66" s="13">
        <f>(0.0254-0.0243)*1000/0.4</f>
        <v>2.7500000000000004</v>
      </c>
      <c r="G66" s="13">
        <f>(0.0199-0.0192)*1000/0.4</f>
        <v>1.7500000000000067</v>
      </c>
      <c r="H66" s="13">
        <f>(0.0217-0.0206)*1000/0.4</f>
        <v>2.7500000000000004</v>
      </c>
      <c r="I66" s="13" t="s">
        <v>1048</v>
      </c>
      <c r="J66" s="13" t="s">
        <v>1048</v>
      </c>
      <c r="K66" s="13"/>
      <c r="L66" s="13"/>
      <c r="M66" s="13"/>
      <c r="N66" s="13">
        <f>AVERAGE(D66:J66)</f>
        <v>2.7166666666666677</v>
      </c>
      <c r="O66" s="13">
        <f>_xlfn.STDEV.S(D66:J66)</f>
        <v>0.59102077421656618</v>
      </c>
      <c r="P66" s="28"/>
    </row>
    <row r="67" spans="1:16">
      <c r="A67" s="21" t="s">
        <v>379</v>
      </c>
      <c r="B67" s="4" t="s">
        <v>1127</v>
      </c>
      <c r="C67" s="11" t="s">
        <v>1122</v>
      </c>
      <c r="D67" s="13" t="s">
        <v>1048</v>
      </c>
      <c r="E67" s="13">
        <f>(AVERAGE(0.0293,0.029,0.0292)-AVERAGE(0.0282,0.028))*1000/0.3</f>
        <v>3.5555555555555691</v>
      </c>
      <c r="F67" s="13">
        <f>(AVERAGE(0.0292,0.0292,0.029)-0.0285)*1000/0.3</f>
        <v>2.1111111111111098</v>
      </c>
      <c r="G67" s="13">
        <f>(0.0304-0.0298)*1000/0.3</f>
        <v>1.9999999999999996</v>
      </c>
      <c r="H67" s="13">
        <f>(0.0319-0.0311)*1000/0.3</f>
        <v>2.6666666666666621</v>
      </c>
      <c r="I67" s="13">
        <f>(0.0286-0.0278)*1000/0.3</f>
        <v>2.6666666666666736</v>
      </c>
      <c r="J67" s="13">
        <f>(AVERAGE(0.0272,0.0273,0.0276)-AVERAGE(0.0264,0.026,0.0261))*1000/0.3</f>
        <v>3.9999999999999991</v>
      </c>
      <c r="K67" s="13"/>
      <c r="L67" s="13"/>
      <c r="M67" s="13"/>
      <c r="N67" s="13">
        <f>AVERAGE(D67:J67)</f>
        <v>2.8333333333333357</v>
      </c>
      <c r="O67" s="13">
        <f>_xlfn.STDEV.S(D67:J67)</f>
        <v>0.79426960002940361</v>
      </c>
      <c r="P67" s="28"/>
    </row>
    <row r="68" spans="1:16"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28"/>
    </row>
    <row r="69" spans="1:16"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28"/>
    </row>
    <row r="70" spans="1:16">
      <c r="A70" s="21" t="s">
        <v>1133</v>
      </c>
      <c r="B70" s="22" t="s">
        <v>1121</v>
      </c>
      <c r="C70" s="11" t="s">
        <v>1134</v>
      </c>
      <c r="D70" s="13">
        <f>(0.0525-AVERAGE(0.0524,0.0524,0.0522))*1000/0.5</f>
        <v>0.33333333333332438</v>
      </c>
      <c r="E70" s="13" t="s">
        <v>1048</v>
      </c>
      <c r="F70" s="13">
        <f>(AVERAGE(0.0467,0.0466)-0.0463)*1000/0.5</f>
        <v>0.6999999999999923</v>
      </c>
      <c r="G70" s="13">
        <f>(AVERAGE(0.043,0.0428,0.0428)-AVERAGE(0.0426,0.0425,0.0422))*1000/0.5</f>
        <v>0.86666666666664061</v>
      </c>
      <c r="H70" s="13"/>
      <c r="I70" s="13"/>
      <c r="J70" s="13"/>
      <c r="K70" s="13"/>
      <c r="L70" s="13"/>
      <c r="M70" s="13"/>
      <c r="N70" s="13">
        <f t="shared" ref="N70:N78" si="8">AVERAGE(D70:J70)</f>
        <v>0.63333333333331909</v>
      </c>
      <c r="O70" s="13">
        <f t="shared" ref="O70:O78" si="9">_xlfn.STDEV.S(D70:J70)</f>
        <v>0.2728450923957414</v>
      </c>
      <c r="P70" s="13">
        <v>242.94</v>
      </c>
    </row>
    <row r="71" spans="1:16">
      <c r="A71" s="21" t="s">
        <v>1135</v>
      </c>
      <c r="B71" s="22" t="s">
        <v>1121</v>
      </c>
      <c r="C71" s="11" t="s">
        <v>1136</v>
      </c>
      <c r="D71" s="13">
        <f>(AVERAGE(0.0468,0.0467,0.0468)-0.0463)*1000/0.5</f>
        <v>0.93333333333334156</v>
      </c>
      <c r="E71" s="13">
        <f>(AVERAGE(0.0462,0.046,0.046)-AVERAGE(0.0453,0.0456,0.0455))*1000/0.5</f>
        <v>1.1999999999999789</v>
      </c>
      <c r="F71" s="13">
        <f>(AVERAGE(0.0497,0.0496,0.0497)-AVERAGE(0.0494,0.0493,0.0493))*1000/0.5</f>
        <v>0.66666666666666263</v>
      </c>
      <c r="G71" s="13">
        <f>(AVERAGE(0.0477,0.0476,0.0478)-AVERAGE(0.0474,0.0471,0.0471))*1000/0.5</f>
        <v>1.0000000000000009</v>
      </c>
      <c r="H71" s="13"/>
      <c r="I71" s="13"/>
      <c r="J71" s="13"/>
      <c r="K71" s="13"/>
      <c r="L71" s="13"/>
      <c r="M71" s="13"/>
      <c r="N71" s="13">
        <f t="shared" si="8"/>
        <v>0.94999999999999596</v>
      </c>
      <c r="O71" s="13">
        <f t="shared" si="9"/>
        <v>0.22026919557331601</v>
      </c>
      <c r="P71" s="13">
        <v>243</v>
      </c>
    </row>
    <row r="72" spans="1:16">
      <c r="A72" s="21" t="s">
        <v>1137</v>
      </c>
      <c r="B72" s="22" t="s">
        <v>1121</v>
      </c>
      <c r="C72" s="11" t="s">
        <v>1138</v>
      </c>
      <c r="D72" s="13">
        <f>(AVERAGE(0.0494,0.0493,0.0466)-0.0479)*1000/0.5</f>
        <v>1.0666666666666602</v>
      </c>
      <c r="E72" s="13">
        <f>(AVERAGE(0.0465,0.0467,0.0466)-0.0464)*1000/0.5</f>
        <v>0.40000000000001146</v>
      </c>
      <c r="F72" s="13">
        <f>(AVERAGE(0.054,0.0535,0.0536)-0.0531)*1000/0.5</f>
        <v>1.1999999999999926</v>
      </c>
      <c r="G72" s="13">
        <f>(AVERAGE(0.0523,0.0524,0.0523)-AVERAGE(0.0527,0.0516,0.0517))*1000/0.5</f>
        <v>0.66666666666667651</v>
      </c>
      <c r="H72" s="13"/>
      <c r="I72" s="13"/>
      <c r="J72" s="13"/>
      <c r="K72" s="13"/>
      <c r="L72" s="13"/>
      <c r="M72" s="13"/>
      <c r="N72" s="13">
        <f t="shared" si="8"/>
        <v>0.83333333333333526</v>
      </c>
      <c r="O72" s="13">
        <f t="shared" si="9"/>
        <v>0.36717136981906345</v>
      </c>
      <c r="P72" s="13">
        <v>244.72</v>
      </c>
    </row>
    <row r="73" spans="1:16">
      <c r="A73" s="21" t="s">
        <v>1139</v>
      </c>
      <c r="B73" s="22" t="s">
        <v>1121</v>
      </c>
      <c r="C73" s="11" t="s">
        <v>1140</v>
      </c>
      <c r="D73" s="13">
        <f>(AVERAGE(0.0468,0.0464,0.0464)-0.0457)*1000/0.5</f>
        <v>1.6666666666666774</v>
      </c>
      <c r="E73" s="13">
        <f>(0.0488-0.0479)*1000/0.5</f>
        <v>1.80000000000001</v>
      </c>
      <c r="F73" s="13">
        <f>(AVERAGE(0.0571,0.057,0.057)-0.056)*1000/0.5</f>
        <v>2.0666666666666611</v>
      </c>
      <c r="G73" s="13">
        <f>(AVERAGE(0.0589,0.0584,0.0583)-0.0577)*1000/0.5</f>
        <v>1.6666666666666634</v>
      </c>
      <c r="H73" s="13"/>
      <c r="I73" s="13"/>
      <c r="J73" s="13"/>
      <c r="K73" s="13"/>
      <c r="L73" s="13"/>
      <c r="M73" s="13"/>
      <c r="N73" s="13">
        <f t="shared" si="8"/>
        <v>1.8000000000000029</v>
      </c>
      <c r="O73" s="13">
        <f t="shared" si="9"/>
        <v>0.18856180831640829</v>
      </c>
      <c r="P73" s="13">
        <v>246.58</v>
      </c>
    </row>
    <row r="74" spans="1:16">
      <c r="A74" s="21" t="s">
        <v>1141</v>
      </c>
      <c r="B74" s="22" t="s">
        <v>1121</v>
      </c>
      <c r="C74" s="11" t="s">
        <v>1142</v>
      </c>
      <c r="D74" s="13">
        <f>(0.0522-0.0514)*1000/0.5</f>
        <v>1.6000000000000041</v>
      </c>
      <c r="E74" s="13">
        <f>(0.0531-AVERAGE(0.0522,0.0523,0.0522))*1000/0.5</f>
        <v>1.7333333333333367</v>
      </c>
      <c r="F74" s="13">
        <f>(AVERAGE(0.0589,0.0588)-AVERAGE(0.0582,0.058,0.0579))*1000/0.5</f>
        <v>1.6333333333333337</v>
      </c>
      <c r="G74" s="13">
        <f>(0.0554-AVERAGE(0.0548,0.0549,0.0548))*1000/0.5</f>
        <v>1.1333333333333473</v>
      </c>
      <c r="H74" s="13"/>
      <c r="I74" s="13"/>
      <c r="J74" s="13"/>
      <c r="K74" s="13"/>
      <c r="L74" s="13"/>
      <c r="M74" s="13"/>
      <c r="N74" s="13">
        <f t="shared" si="8"/>
        <v>1.5250000000000055</v>
      </c>
      <c r="O74" s="13">
        <f t="shared" si="9"/>
        <v>0.26718699236468479</v>
      </c>
      <c r="P74" s="13">
        <v>251.4</v>
      </c>
    </row>
    <row r="75" spans="1:16">
      <c r="A75" s="21" t="s">
        <v>1143</v>
      </c>
      <c r="B75" s="22" t="s">
        <v>1121</v>
      </c>
      <c r="C75" s="11" t="s">
        <v>1144</v>
      </c>
      <c r="D75" s="13">
        <f>(0.0593-AVERAGE(0.0583,0.0586,0.0586))*1000/0.5</f>
        <v>1.6000000000000041</v>
      </c>
      <c r="E75" s="13">
        <f>(AVERAGE(0.0598,0.0597,0.0596)-0.0591)*1000/0.5</f>
        <v>1.1999999999999926</v>
      </c>
      <c r="F75" s="13">
        <f>(AVERAGE(0.04,0.04,0.0399)-0.0394)*1000/0.5</f>
        <v>1.1333333333333473</v>
      </c>
      <c r="G75" s="13">
        <f>(AVERAGE(0.0393,0.0395,0.0392)-AVERAGE(0.0388,0.0389,0.0388))*1000/0.5</f>
        <v>1.0000000000000147</v>
      </c>
      <c r="H75" s="13"/>
      <c r="I75" s="13"/>
      <c r="J75" s="13"/>
      <c r="K75" s="13"/>
      <c r="L75" s="13"/>
      <c r="M75" s="13"/>
      <c r="N75" s="13">
        <f t="shared" si="8"/>
        <v>1.2333333333333396</v>
      </c>
      <c r="O75" s="13">
        <f t="shared" si="9"/>
        <v>0.25819888974715721</v>
      </c>
      <c r="P75" s="13"/>
    </row>
    <row r="76" spans="1:16">
      <c r="A76" s="21" t="s">
        <v>1145</v>
      </c>
      <c r="B76" s="22" t="s">
        <v>1121</v>
      </c>
      <c r="C76" s="11" t="s">
        <v>1146</v>
      </c>
      <c r="D76" s="13">
        <f>(AVERAGE(0.0445,0.0442,0.0446)-0.0432)*1000/0.5</f>
        <v>2.4666666666666588</v>
      </c>
      <c r="E76" s="13">
        <f>(AVERAGE(0.044,0.0438,0.0438)-AVERAGE(0.043,0.0429))*1000/0.5</f>
        <v>1.8333333333333257</v>
      </c>
      <c r="F76" s="13" t="s">
        <v>1048</v>
      </c>
      <c r="G76" s="13">
        <f>(AVERAGE(0.0533,0.0532,0.0533)-0.0526)*1000/0.5</f>
        <v>1.3333333333333253</v>
      </c>
      <c r="H76" s="13"/>
      <c r="I76" s="13"/>
      <c r="J76" s="13"/>
      <c r="K76" s="13"/>
      <c r="L76" s="13"/>
      <c r="M76" s="13"/>
      <c r="N76" s="13">
        <f t="shared" si="8"/>
        <v>1.87777777777777</v>
      </c>
      <c r="O76" s="13">
        <f t="shared" si="9"/>
        <v>0.56797235196142437</v>
      </c>
      <c r="P76" s="13">
        <v>239.95</v>
      </c>
    </row>
    <row r="77" spans="1:16">
      <c r="A77" s="21" t="s">
        <v>1147</v>
      </c>
      <c r="B77" s="22" t="s">
        <v>1121</v>
      </c>
      <c r="C77" s="11" t="s">
        <v>1148</v>
      </c>
      <c r="D77" s="13" t="s">
        <v>1048</v>
      </c>
      <c r="E77" s="13">
        <f>(AVERAGE(0.0584,0.0586,0.0584)-0.0575)*1000/0.5</f>
        <v>1.9333333333333287</v>
      </c>
      <c r="F77" s="13" t="s">
        <v>1048</v>
      </c>
      <c r="G77" s="13">
        <f>(AVERAGE(0.0446,0.0434,0.0436)-0.0425)*1000/0.5</f>
        <v>2.7333333333333236</v>
      </c>
      <c r="H77" s="13"/>
      <c r="I77" s="13"/>
      <c r="J77" s="13"/>
      <c r="K77" s="13"/>
      <c r="L77" s="13"/>
      <c r="M77" s="13"/>
      <c r="N77" s="13">
        <f t="shared" si="8"/>
        <v>2.3333333333333259</v>
      </c>
      <c r="O77" s="13">
        <f t="shared" si="9"/>
        <v>0.56568542494923668</v>
      </c>
      <c r="P77" s="13"/>
    </row>
    <row r="78" spans="1:16">
      <c r="A78" s="21" t="s">
        <v>1149</v>
      </c>
      <c r="B78" s="22" t="s">
        <v>1121</v>
      </c>
      <c r="C78" s="11">
        <v>21</v>
      </c>
      <c r="D78" s="13">
        <f>(0.0844-AVERAGE(0.08,0.0801,0.0799))*1000</f>
        <v>4.4000000000000012</v>
      </c>
      <c r="E78" s="13">
        <f>(AVERAGE(0.0872,0.0873,0.0874)-AVERAGE(0.0816,0.0814,0.0814))*1000</f>
        <v>5.8333333333333295</v>
      </c>
      <c r="F78" s="13">
        <f>(AVERAGE(0.0799,0.0798,0.08)-AVERAGE(0.0742,0.0749,0.0744))*1000</f>
        <v>5.4000000000000163</v>
      </c>
      <c r="G78" s="13">
        <f>(AVERAGE(0.0716,0.0715,0.0716)-AVERAGE(0.0691,0.0685,0.0689))*1000</f>
        <v>2.7333333333333236</v>
      </c>
      <c r="H78" s="13"/>
      <c r="I78" s="13"/>
      <c r="J78" s="13"/>
      <c r="K78" s="13"/>
      <c r="L78" s="13"/>
      <c r="M78" s="13"/>
      <c r="N78" s="13">
        <f t="shared" si="8"/>
        <v>4.5916666666666677</v>
      </c>
      <c r="O78" s="13">
        <f t="shared" si="9"/>
        <v>1.3766236205269067</v>
      </c>
      <c r="P78" s="13">
        <v>238.24</v>
      </c>
    </row>
    <row r="79" spans="1:16">
      <c r="A79" s="21"/>
      <c r="B79" s="22"/>
      <c r="C79" s="11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1:16">
      <c r="A80" s="21" t="s">
        <v>1150</v>
      </c>
      <c r="B80" s="4" t="s">
        <v>1127</v>
      </c>
      <c r="C80" s="11" t="s">
        <v>1122</v>
      </c>
      <c r="D80" s="13">
        <f>(AVERAGE(0.0222,0.0221,0.0223)-AVERAGE(0.0213,0.0214,0.0212))*1000/0.3</f>
        <v>3.0000000000000049</v>
      </c>
      <c r="E80" s="13">
        <f>(AVERAGE(0.0202,0.0198,0.02)-AVERAGE(0.0188,0.0189,0.019))*1000/0.3</f>
        <v>3.6666666666666679</v>
      </c>
      <c r="F80" s="13">
        <f>(AVERAGE(0.0241,0.024,0.0237)-AVERAGE(0.0227,0.0228,0.0225))*1000/0.3</f>
        <v>4.2222222222222197</v>
      </c>
      <c r="G80" s="13" t="s">
        <v>1151</v>
      </c>
      <c r="H80" s="13">
        <f>(AVERAGE(0.0215,0.0217,0.0217)-AVERAGE(0.0205,0.0206,0.0205))*1000/0.3</f>
        <v>3.6666666666666679</v>
      </c>
      <c r="I80" s="13" t="s">
        <v>1048</v>
      </c>
      <c r="J80" s="13"/>
      <c r="K80" s="13"/>
      <c r="L80" s="13"/>
      <c r="M80" s="13"/>
      <c r="N80" s="13">
        <f>AVERAGE(D80:J80)</f>
        <v>3.6388888888888902</v>
      </c>
      <c r="O80" s="13">
        <f>_xlfn.STDEV.S(D80:J80)</f>
        <v>0.49999999999999767</v>
      </c>
      <c r="P80" s="13"/>
    </row>
    <row r="81" spans="1:18">
      <c r="A81" s="21"/>
      <c r="C81" s="11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</row>
    <row r="82" spans="1:18">
      <c r="A82" s="21" t="s">
        <v>1152</v>
      </c>
      <c r="B82" s="4" t="s">
        <v>1127</v>
      </c>
      <c r="C82" s="11" t="s">
        <v>1134</v>
      </c>
      <c r="D82" s="13">
        <f>(0.0541-AVERAGE(0.0537,0.0538,0.0539))*1000/0.5</f>
        <v>0.60000000000001719</v>
      </c>
      <c r="E82" s="13">
        <f>(AVERAGE(0.0549,0.0553,0.0547)-0.0542)*1000/0.5</f>
        <v>1.533333333333331</v>
      </c>
      <c r="F82" s="13">
        <f>(0.0492-0.0491)*1000/0.5</f>
        <v>0.20000000000000573</v>
      </c>
      <c r="G82" s="13">
        <f>(0.0452-AVERAGE(0.0448,0.045,0.0447))*1000/0.5</f>
        <v>0.73333333333333584</v>
      </c>
      <c r="H82" s="13"/>
      <c r="I82" s="13"/>
      <c r="J82" s="13"/>
      <c r="K82" s="13"/>
      <c r="L82" s="13"/>
      <c r="M82" s="13"/>
      <c r="N82" s="13">
        <f t="shared" ref="N82:N90" si="10">AVERAGE(D82:J82)</f>
        <v>0.76666666666667238</v>
      </c>
      <c r="O82" s="13">
        <f t="shared" ref="O82:O90" si="11">_xlfn.STDEV.S(D82:J82)</f>
        <v>0.55909980557373429</v>
      </c>
      <c r="P82" s="13">
        <v>248.13</v>
      </c>
    </row>
    <row r="83" spans="1:18">
      <c r="A83" s="21" t="s">
        <v>1153</v>
      </c>
      <c r="B83" s="4" t="s">
        <v>1127</v>
      </c>
      <c r="C83" s="11" t="s">
        <v>1136</v>
      </c>
      <c r="D83" s="13">
        <f>(AVERAGE(0.049,0.0488,0.0489)-AVERAGE(0.0484,0.0486,0.0484))*1000/0.5</f>
        <v>0.86666666666666836</v>
      </c>
      <c r="E83" s="13">
        <f>(0.0497-0.0494)*1000/0.5</f>
        <v>0.60000000000000331</v>
      </c>
      <c r="F83" s="13">
        <f>(AVERAGE(0.0636,0.0634,0.0633)-AVERAGE(0.063,0.0628))*1000/0.5</f>
        <v>1.0666666666666602</v>
      </c>
      <c r="G83" s="13">
        <f>(AVERAGE(0.0662,0.0661,0.066)-AVERAGE(0.0655,0.0653,0.0655))*1000/0.5</f>
        <v>1.333333333333353</v>
      </c>
      <c r="H83" s="13"/>
      <c r="I83" s="13"/>
      <c r="J83" s="13"/>
      <c r="K83" s="13"/>
      <c r="L83" s="13"/>
      <c r="M83" s="13"/>
      <c r="N83" s="13">
        <f t="shared" si="10"/>
        <v>0.96666666666667123</v>
      </c>
      <c r="O83" s="13">
        <f t="shared" si="11"/>
        <v>0.31031644541709325</v>
      </c>
      <c r="P83" s="13"/>
    </row>
    <row r="84" spans="1:18">
      <c r="A84" s="21" t="s">
        <v>1154</v>
      </c>
      <c r="B84" s="4" t="s">
        <v>1127</v>
      </c>
      <c r="C84" s="11" t="s">
        <v>1138</v>
      </c>
      <c r="D84" s="13">
        <f>(0.063-0.0628)*1000/0.5</f>
        <v>0.40000000000001146</v>
      </c>
      <c r="E84" s="13">
        <f>(AVERAGE(0.0482,0.0483,0.0484)-AVERAGE(0.0476,0.0477,0.0475))*1000/0.5</f>
        <v>1.4000000000000123</v>
      </c>
      <c r="F84" s="13">
        <f>(AVERAGE(0.0498,0.0499,0.0498)-AVERAGE(0.0493,0.0492,0.049))*1000</f>
        <v>0.66666666666666263</v>
      </c>
      <c r="G84" s="13">
        <f>(0.0522-0.0515)*1000/0.5</f>
        <v>1.4000000000000123</v>
      </c>
      <c r="H84" s="13"/>
      <c r="I84" s="13"/>
      <c r="J84" s="13"/>
      <c r="K84" s="13"/>
      <c r="L84" s="13"/>
      <c r="M84" s="13"/>
      <c r="N84" s="13">
        <f>AVERAGE(D84:J84)</f>
        <v>0.96666666666667467</v>
      </c>
      <c r="O84" s="13">
        <f t="shared" si="11"/>
        <v>0.51207638319124416</v>
      </c>
      <c r="P84" s="13">
        <v>250.31</v>
      </c>
    </row>
    <row r="85" spans="1:18">
      <c r="A85" s="21" t="s">
        <v>1155</v>
      </c>
      <c r="B85" s="4" t="s">
        <v>1127</v>
      </c>
      <c r="C85" s="11" t="s">
        <v>1140</v>
      </c>
      <c r="D85" s="13">
        <f>(0.0477-AVERAGE(0.0468,0.0469,0.0469))*1000/0.5</f>
        <v>1.6666666666666634</v>
      </c>
      <c r="E85" s="13">
        <f>(0.0448-0.0444)*1000/0.5</f>
        <v>0.79999999999999516</v>
      </c>
      <c r="F85" s="13" t="s">
        <v>1151</v>
      </c>
      <c r="G85" s="13">
        <f>(AVERAGE(0.0437,0.0434,0.0435)-AVERAGE(0.0431,0.0431,0.043))*1000/0.5</f>
        <v>0.93333333333334156</v>
      </c>
      <c r="H85" s="13"/>
      <c r="I85" s="13"/>
      <c r="J85" s="13"/>
      <c r="K85" s="13"/>
      <c r="L85" s="13"/>
      <c r="M85" s="13"/>
      <c r="N85" s="13">
        <f t="shared" si="10"/>
        <v>1.1333333333333335</v>
      </c>
      <c r="O85" s="13">
        <f t="shared" si="11"/>
        <v>0.46666666666666484</v>
      </c>
      <c r="P85" s="13"/>
    </row>
    <row r="86" spans="1:18">
      <c r="A86" s="21" t="s">
        <v>1156</v>
      </c>
      <c r="B86" s="4" t="s">
        <v>1127</v>
      </c>
      <c r="C86" s="11" t="s">
        <v>1142</v>
      </c>
      <c r="D86" s="13">
        <f>(AVERAGE(0.0437,0.044,0.0435)-AVERAGE(0.0432,0.0431,0.043))*1000/0.5</f>
        <v>1.266666666666652</v>
      </c>
      <c r="E86" s="13">
        <f>(0.0434-AVERAGE(0.0439,0.043,0.043))*1000/0.5</f>
        <v>0.19999999999999185</v>
      </c>
      <c r="F86" s="13">
        <f>(AVERAGE(0.047,0.047)-AVERAGE(0.0464,0.0465,0.0466))*1000/0.5</f>
        <v>0.99999999999998701</v>
      </c>
      <c r="G86" s="13">
        <f>(AVERAGE(0.0442,0.0445,0.0444)-AVERAGE(0.0436,0.0439,0.0439))*1000/0.5</f>
        <v>1.1333333333333333</v>
      </c>
      <c r="H86" s="13"/>
      <c r="I86" s="13"/>
      <c r="J86" s="13"/>
      <c r="K86" s="13"/>
      <c r="L86" s="13"/>
      <c r="M86" s="13"/>
      <c r="N86" s="13">
        <f t="shared" si="10"/>
        <v>0.89999999999999103</v>
      </c>
      <c r="O86" s="13">
        <f t="shared" si="11"/>
        <v>0.47919685895217334</v>
      </c>
      <c r="P86" s="13">
        <v>248.86</v>
      </c>
      <c r="R86" s="4">
        <v>38.36</v>
      </c>
    </row>
    <row r="87" spans="1:18">
      <c r="A87" s="21" t="s">
        <v>1157</v>
      </c>
      <c r="B87" s="4" t="s">
        <v>1127</v>
      </c>
      <c r="C87" s="11" t="s">
        <v>1144</v>
      </c>
      <c r="D87" s="13">
        <f>(AVERAGE(0.0475,0.0473,0.0474)-AVERAGE(0.0461,0.0463,0.0463))*1000/0.6</f>
        <v>1.9444444444444269</v>
      </c>
      <c r="E87" s="13">
        <f>(AVERAGE(0.0498,0.0496,0.0495)-AVERAGE(0.0484,0.0486,0.0484))*1000/0.6</f>
        <v>1.9444444444444384</v>
      </c>
      <c r="F87" s="13">
        <f>(AVERAGE(0.0443,0.0442,0.0443)-0.0432)*1000/0.6</f>
        <v>1.7777777777777786</v>
      </c>
      <c r="G87" s="13">
        <f>(0.0373-0.0367)*1000/0.6</f>
        <v>0.99999999999999389</v>
      </c>
      <c r="H87" s="13"/>
      <c r="I87" s="13"/>
      <c r="J87" s="13"/>
      <c r="K87" s="13"/>
      <c r="L87" s="13"/>
      <c r="M87" s="13"/>
      <c r="N87" s="13">
        <f t="shared" si="10"/>
        <v>1.6666666666666594</v>
      </c>
      <c r="O87" s="13">
        <f t="shared" si="11"/>
        <v>0.45133546692421855</v>
      </c>
      <c r="P87" s="13"/>
    </row>
    <row r="88" spans="1:18">
      <c r="A88" s="21" t="s">
        <v>1158</v>
      </c>
      <c r="B88" s="4" t="s">
        <v>1127</v>
      </c>
      <c r="C88" s="11" t="s">
        <v>1146</v>
      </c>
      <c r="D88" s="13">
        <f>(AVERAGE(0.0489,0.0488,0.0488)-AVERAGE(0.0483,0.0481,0.0482))*1000/0.5</f>
        <v>1.2666666666666799</v>
      </c>
      <c r="E88" s="13">
        <f>(AVERAGE(0.045,0.0452,0.0452)-0.0439)*1000/0.5</f>
        <v>2.4666666666666588</v>
      </c>
      <c r="F88" s="13">
        <f>(AVERAGE(0.0465,0.0466,0.0464)-0.0459)*1000/0.5</f>
        <v>1.2000000000000066</v>
      </c>
      <c r="G88" s="13">
        <f>(AVERAGE(0.0449,0.045,0.0448)-AVERAGE(0.0444,0.0442,0.0442))*1000/0.5</f>
        <v>1.266666666666652</v>
      </c>
      <c r="H88" s="13"/>
      <c r="I88" s="13"/>
      <c r="J88" s="13"/>
      <c r="K88" s="13"/>
      <c r="L88" s="13"/>
      <c r="M88" s="13"/>
      <c r="N88" s="13">
        <f t="shared" si="10"/>
        <v>1.5499999999999994</v>
      </c>
      <c r="O88" s="13">
        <f t="shared" si="11"/>
        <v>0.61191865835618864</v>
      </c>
      <c r="P88" s="13">
        <v>237.85</v>
      </c>
    </row>
    <row r="89" spans="1:18">
      <c r="A89" s="21" t="s">
        <v>1159</v>
      </c>
      <c r="B89" s="4" t="s">
        <v>1127</v>
      </c>
      <c r="C89" s="11" t="s">
        <v>1148</v>
      </c>
      <c r="D89" s="13">
        <f>(0.0508-AVERAGE(0.0496,0.0495,0.0497))*1000/0.5</f>
        <v>2.3999999999999995</v>
      </c>
      <c r="E89" s="13">
        <f>(0.0535-AVERAGE(0.0523,0.0524,0.0524))*1000/0.5</f>
        <v>2.2666666666666528</v>
      </c>
      <c r="F89" s="13" t="s">
        <v>1048</v>
      </c>
      <c r="G89" s="13">
        <f>(0.0541-AVERAGE(0.0529,0.053,0.053))*1000/0.5</f>
        <v>2.2666666666666808</v>
      </c>
      <c r="H89" s="13"/>
      <c r="I89" s="13"/>
      <c r="J89" s="13"/>
      <c r="K89" s="13"/>
      <c r="L89" s="13"/>
      <c r="M89" s="13"/>
      <c r="N89" s="13">
        <f t="shared" si="10"/>
        <v>2.3111111111111109</v>
      </c>
      <c r="O89" s="13">
        <f t="shared" si="11"/>
        <v>7.6980035891949697E-2</v>
      </c>
      <c r="P89" s="13"/>
    </row>
    <row r="90" spans="1:18">
      <c r="A90" s="21" t="s">
        <v>1160</v>
      </c>
      <c r="B90" s="4" t="s">
        <v>1127</v>
      </c>
      <c r="C90" s="11">
        <v>21</v>
      </c>
      <c r="D90" s="13">
        <f>(AVERAGE(0.0896,0.0896,0.0895)-AVERAGE(0.087,0.0869,0.0869))*1000</f>
        <v>2.6333333333333209</v>
      </c>
      <c r="E90" s="13">
        <f>(AVERAGE(0.095,0.0949,0.0947)-0.0926)*1000</f>
        <v>2.2666666666666666</v>
      </c>
      <c r="F90" s="13">
        <f>(AVERAGE(0.0732,0.0734,0.0732)-AVERAGE(0.0695,0.0696,0.0693))*1000</f>
        <v>3.799999999999998</v>
      </c>
      <c r="G90" s="13">
        <f>(AVERAGE(0.078,0.0781,0.078)-AVERAGE(0.073,0.0726,0.0726))*1000</f>
        <v>5.3000000000000131</v>
      </c>
      <c r="H90" s="13"/>
      <c r="I90" s="13"/>
      <c r="J90" s="13"/>
      <c r="K90" s="13"/>
      <c r="L90" s="13"/>
      <c r="M90" s="13"/>
      <c r="N90" s="13">
        <f t="shared" si="10"/>
        <v>3.4999999999999996</v>
      </c>
      <c r="O90" s="13">
        <f t="shared" si="11"/>
        <v>1.366531158593697</v>
      </c>
      <c r="P90" s="13">
        <v>229.33</v>
      </c>
    </row>
    <row r="91" spans="1:18">
      <c r="A91" s="21"/>
      <c r="C91" s="11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</row>
    <row r="92" spans="1:18">
      <c r="A92" s="21"/>
      <c r="C92" s="11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 spans="1:18">
      <c r="A93" s="21" t="s">
        <v>1161</v>
      </c>
      <c r="B93" s="4" t="s">
        <v>1127</v>
      </c>
      <c r="C93" s="11" t="s">
        <v>228</v>
      </c>
      <c r="D93" s="13">
        <f>(AVERAGE(0.0448,0.0446,0.0446)-AVERAGE(0.0432,0.0433,0.0433))*1000</f>
        <v>1.3999999999999986</v>
      </c>
      <c r="E93" s="13">
        <f>(AVERAGE(0.0287,0.0289,0.0289)-AVERAGE(0.0279,0.028,0.0279))*1000</f>
        <v>0.89999999999999458</v>
      </c>
      <c r="F93" s="13">
        <f>(0.0408-0.0401)*1000</f>
        <v>0.70000000000000617</v>
      </c>
      <c r="G93" s="13"/>
      <c r="H93" s="13"/>
      <c r="I93" s="13"/>
      <c r="J93" s="13"/>
      <c r="K93" s="13"/>
      <c r="L93" s="13"/>
      <c r="M93" s="13"/>
      <c r="N93" s="13"/>
      <c r="O93" s="13"/>
    </row>
    <row r="94" spans="1:18">
      <c r="A94" s="21" t="s">
        <v>746</v>
      </c>
      <c r="B94" s="4" t="s">
        <v>1121</v>
      </c>
      <c r="C94" s="11" t="s">
        <v>228</v>
      </c>
      <c r="D94" s="36">
        <v>2.2999999999999998</v>
      </c>
      <c r="E94" s="35">
        <v>2.6</v>
      </c>
      <c r="F94" s="35" t="s">
        <v>1048</v>
      </c>
      <c r="G94" s="35">
        <v>3.15</v>
      </c>
      <c r="H94" s="35">
        <v>3.95</v>
      </c>
      <c r="I94" s="35">
        <v>3.5</v>
      </c>
      <c r="J94" s="35">
        <v>4.58</v>
      </c>
      <c r="K94" s="13"/>
      <c r="L94" s="13"/>
      <c r="M94" s="13"/>
      <c r="N94" s="13">
        <f t="shared" ref="N94" si="12">AVERAGE(D94:J94)</f>
        <v>3.3466666666666662</v>
      </c>
      <c r="O94" s="13">
        <f t="shared" ref="O94" si="13">_xlfn.STDEV.S(D94:J94)</f>
        <v>0.84856742022462228</v>
      </c>
    </row>
    <row r="95" spans="1:18">
      <c r="A95" s="21" t="s">
        <v>1162</v>
      </c>
      <c r="B95" s="4" t="s">
        <v>1121</v>
      </c>
      <c r="C95" s="11" t="s">
        <v>228</v>
      </c>
      <c r="D95" s="13">
        <f>(AVERAGE(0.109,0.1091,0.1089)-0.1045)*1000</f>
        <v>4.5000000000000036</v>
      </c>
      <c r="E95" s="13">
        <f>(AVERAGE(0.1027,0.1028)-0.0997)*1000</f>
        <v>3.0500000000000109</v>
      </c>
      <c r="F95" s="13">
        <f>(AVERAGE(0.111,0.1109,0.1107)-0.1075)*1000</f>
        <v>3.3666666666666707</v>
      </c>
      <c r="G95" s="13">
        <f>(0.1098-AVERAGE(0.1066,0.1063,0.1063))*1000</f>
        <v>3.3999999999999861</v>
      </c>
      <c r="H95" s="13" t="s">
        <v>1151</v>
      </c>
      <c r="I95" s="13">
        <f>(AVERAGE(0.0989,0.099)-AVERAGE(0.0954,0.0953,0.0952))*1000</f>
        <v>3.6500000000000146</v>
      </c>
      <c r="J95" s="13"/>
      <c r="K95" s="13"/>
      <c r="L95" s="13"/>
      <c r="M95" s="13"/>
      <c r="N95" s="13">
        <f t="shared" ref="N95" si="14">AVERAGE(D95:J95)</f>
        <v>3.5933333333333373</v>
      </c>
      <c r="O95" s="13">
        <f t="shared" ref="O95" si="15">_xlfn.STDEV.S(D95:J95)</f>
        <v>0.54982320390790373</v>
      </c>
    </row>
    <row r="96" spans="1:18">
      <c r="A96" s="21" t="s">
        <v>1163</v>
      </c>
      <c r="B96" s="4" t="s">
        <v>1121</v>
      </c>
      <c r="C96" s="11" t="s">
        <v>228</v>
      </c>
      <c r="D96" s="13">
        <f>(0.0939-0.0916)*1000</f>
        <v>2.2999999999999963</v>
      </c>
      <c r="E96" s="13">
        <f>(AVERAGE(0.0929,0.093)-AVERAGE(0.0889,0.0889,0.089))*1000</f>
        <v>4.0166666666666542</v>
      </c>
      <c r="F96" s="13">
        <f>(AVERAGE(0.082,0.0823,0.0822)-0.0787)*1000</f>
        <v>3.4666666666666597</v>
      </c>
      <c r="G96" s="13">
        <f>(0.0951-0.0912)*1000</f>
        <v>3.9000000000000008</v>
      </c>
      <c r="H96" s="13">
        <f>(AVERAGE(0.0885,0.0887,0.0886)-AVERAGE(0.0863,0.0862,0.0862))*1000</f>
        <v>2.3666666666666698</v>
      </c>
      <c r="I96" s="13">
        <f>(AVERAGE(0.0991,0.0989,0.0989)-0.096)*1000</f>
        <v>2.9666666666666592</v>
      </c>
      <c r="J96" s="13"/>
      <c r="K96" s="13"/>
      <c r="L96" s="13"/>
      <c r="M96" s="13"/>
      <c r="N96" s="13">
        <f t="shared" ref="N96" si="16">AVERAGE(D96:J96)</f>
        <v>3.1694444444444394</v>
      </c>
      <c r="O96" s="13">
        <f t="shared" ref="O96" si="17">_xlfn.STDEV.S(D96:J96)</f>
        <v>0.74583410924851024</v>
      </c>
    </row>
    <row r="97" spans="1:16">
      <c r="A97" s="21" t="s">
        <v>447</v>
      </c>
      <c r="B97" s="4" t="s">
        <v>1121</v>
      </c>
      <c r="C97" s="11" t="s">
        <v>228</v>
      </c>
      <c r="D97" s="13">
        <f>(0.0896-AVERAGE(0.0859,0.085,0.0858))*1000</f>
        <v>4.0333333333333332</v>
      </c>
      <c r="E97" s="13">
        <f>(AVERAGE(0.0903,0.0902,0.0901)-AVERAGE(0.0855,0.0856,0.0855))*1000</f>
        <v>4.6666666666666661</v>
      </c>
      <c r="F97" s="13">
        <f>(0.0866-0.0826)*1000</f>
        <v>3.9999999999999898</v>
      </c>
      <c r="G97" s="13" t="s">
        <v>1151</v>
      </c>
      <c r="H97" s="13">
        <f>(AVERAGE(0.0953,0.0952,0.0953)-AVERAGE(0.0899,0.09,0.09))*1000</f>
        <v>5.2999999999999856</v>
      </c>
      <c r="I97" s="13">
        <f>(AVERAGE(0.091,0.0911,0.091)-AVERAGE(0.0859,0.086,0.086))*1000</f>
        <v>5.0666666666666638</v>
      </c>
      <c r="J97" s="13"/>
      <c r="K97" s="13"/>
      <c r="L97" s="13"/>
      <c r="M97" s="13"/>
      <c r="N97" s="13">
        <f t="shared" ref="N97" si="18">AVERAGE(D97:J97)</f>
        <v>4.613333333333328</v>
      </c>
      <c r="O97" s="13">
        <f t="shared" ref="O97" si="19">_xlfn.STDEV.S(D97:J97)</f>
        <v>0.59000941612071667</v>
      </c>
    </row>
    <row r="98" spans="1:16">
      <c r="A98" s="21" t="s">
        <v>1164</v>
      </c>
      <c r="B98" s="4" t="s">
        <v>1127</v>
      </c>
      <c r="C98" s="11" t="s">
        <v>228</v>
      </c>
      <c r="D98" s="13">
        <f>(AVERAGE(0.0993,0.0991,0.0993)-AVERAGE(0.0944,0.0943,0.0946))*1000</f>
        <v>4.7999999999999989</v>
      </c>
      <c r="E98" s="13">
        <f>(AVERAGE(0.1037,0.1034,0.1033)-0.1006)*1000</f>
        <v>2.8666666666666702</v>
      </c>
      <c r="F98" s="13">
        <f>(0.0906-AVERAGE(0.0869,0.0869,0.0867))*1000</f>
        <v>3.7666666666666684</v>
      </c>
      <c r="G98" s="13">
        <f>(AVERAGE(0.0927,0.0923,0.0924)-AVERAGE(0.0876,0.0875,0.0875))*1000</f>
        <v>4.9333333333333451</v>
      </c>
      <c r="H98" s="13">
        <f>(AVERAGE(0.093,0.093,0.0929)-0.0897)*1000</f>
        <v>3.2666666666666537</v>
      </c>
      <c r="I98" s="13"/>
      <c r="J98" s="13"/>
      <c r="K98" s="13"/>
      <c r="L98" s="13"/>
      <c r="M98" s="13"/>
      <c r="N98" s="13">
        <f t="shared" ref="N98" si="20">AVERAGE(D98:J98)</f>
        <v>3.9266666666666672</v>
      </c>
      <c r="O98" s="13">
        <f t="shared" ref="O98" si="21">_xlfn.STDEV.S(D98:J98)</f>
        <v>0.91663636313547514</v>
      </c>
    </row>
    <row r="99" spans="1:16">
      <c r="A99" s="21" t="s">
        <v>469</v>
      </c>
      <c r="B99" s="4" t="s">
        <v>1127</v>
      </c>
      <c r="C99" s="11" t="s">
        <v>228</v>
      </c>
      <c r="D99" s="13">
        <f>(AVERAGE(0.1064,0.1066,0.1063)-AVERAGE(0.1042,0.1038,0.1039))*1000</f>
        <v>2.4666666666666726</v>
      </c>
      <c r="E99" s="13">
        <f>(AVERAGE(0.1049,0.1051,0.1055)-AVERAGE(0.1031,0.1029,0.1032))*1000</f>
        <v>2.0999999999999908</v>
      </c>
      <c r="F99" s="13">
        <f>(AVERAGE(0.0985,0.0986,0.0987)-0.0964)*1000</f>
        <v>2.2000000000000073</v>
      </c>
      <c r="G99" s="13">
        <f>(0.0964-0.0944)*1000</f>
        <v>2.0000000000000018</v>
      </c>
      <c r="H99" s="13">
        <f>(AVERAGE(0.1019,0.1018,0.1018)-AVERAGE(0.1,0.1001,0.1))*1000</f>
        <v>1.7999999999999821</v>
      </c>
      <c r="I99" s="13">
        <f>(0.1096-0.1078)*1000</f>
        <v>1.799999999999996</v>
      </c>
      <c r="J99" s="13"/>
      <c r="K99" s="13"/>
      <c r="L99" s="13"/>
      <c r="M99" s="13"/>
      <c r="N99" s="13">
        <f t="shared" ref="N99" si="22">AVERAGE(D99:J99)</f>
        <v>2.0611111111111087</v>
      </c>
      <c r="O99" s="13">
        <f t="shared" ref="O99" si="23">_xlfn.STDEV.S(D99:J99)</f>
        <v>0.25509620552661272</v>
      </c>
    </row>
    <row r="100" spans="1:16">
      <c r="A100" s="21" t="s">
        <v>476</v>
      </c>
      <c r="B100" s="4" t="s">
        <v>1127</v>
      </c>
      <c r="C100" s="11" t="s">
        <v>228</v>
      </c>
      <c r="D100" s="13">
        <f>(0.1763-0.1724)*1000</f>
        <v>3.9000000000000146</v>
      </c>
      <c r="E100" s="13">
        <f>(0.1841-0.18)*1000</f>
        <v>4.1000000000000201</v>
      </c>
      <c r="F100" s="13">
        <f>(0.1905-0.1875)*1000</f>
        <v>3.0000000000000027</v>
      </c>
      <c r="G100" s="13">
        <f>(0.1912-0.1881)*1000</f>
        <v>3.1000000000000192</v>
      </c>
      <c r="H100" s="13"/>
      <c r="I100" s="13"/>
      <c r="J100" s="13"/>
      <c r="K100" s="13"/>
      <c r="L100" s="13"/>
      <c r="M100" s="13"/>
      <c r="N100" s="13">
        <f t="shared" ref="N100" si="24">AVERAGE(D100:J100)</f>
        <v>3.5250000000000146</v>
      </c>
      <c r="O100" s="13">
        <f t="shared" ref="O100" si="25">_xlfn.STDEV.S(D100:J100)</f>
        <v>0.55602757725374319</v>
      </c>
    </row>
    <row r="101" spans="1:16">
      <c r="A101" s="21"/>
      <c r="C101" s="11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</row>
    <row r="102" spans="1:16">
      <c r="A102" s="21" t="s">
        <v>1165</v>
      </c>
      <c r="B102" s="4" t="s">
        <v>1127</v>
      </c>
      <c r="C102" s="11" t="s">
        <v>228</v>
      </c>
      <c r="D102" s="13">
        <f>(0.0906-0.0876)*1000</f>
        <v>3.0000000000000027</v>
      </c>
      <c r="E102" s="13">
        <f>(0.0988-0.0967)*1000</f>
        <v>2.1000000000000045</v>
      </c>
      <c r="F102" s="13">
        <f>(0.0955-0.0927)*1000</f>
        <v>2.7999999999999972</v>
      </c>
      <c r="G102" s="13">
        <f>(AVERAGE(0.0874,0.0876)-0.0843)*1000</f>
        <v>3.1999999999999944</v>
      </c>
      <c r="H102" s="13">
        <f>(AVERAGE(0.0973,0.0975)-0.0958)*1000</f>
        <v>1.6000000000000041</v>
      </c>
      <c r="I102" s="13">
        <f>(AVERAGE(0.0979,0.0976)-AVERAGE(0.0958,0.0966,0.0963))*1000</f>
        <v>1.5166666666666662</v>
      </c>
      <c r="J102" s="13"/>
      <c r="K102" s="13"/>
      <c r="L102" s="13"/>
      <c r="M102" s="13">
        <f>AVERAGE(N102:N103)</f>
        <v>2.5180555555555584</v>
      </c>
      <c r="N102" s="13">
        <f t="shared" ref="N102" si="26">AVERAGE(D102:J102)</f>
        <v>2.3694444444444449</v>
      </c>
      <c r="O102" s="13">
        <f t="shared" ref="O102:O107" si="27">_xlfn.STDEV.S(D102:J102)</f>
        <v>0.73002409904412235</v>
      </c>
    </row>
    <row r="103" spans="1:16">
      <c r="A103" s="21" t="s">
        <v>1166</v>
      </c>
      <c r="B103" s="4" t="s">
        <v>1127</v>
      </c>
      <c r="C103" s="11" t="s">
        <v>228</v>
      </c>
      <c r="D103" s="13">
        <f>(0.0965-0.0945)*1000</f>
        <v>2.0000000000000018</v>
      </c>
      <c r="E103" s="13">
        <f>(0.0969-0.0947)*1000</f>
        <v>2.1999999999999935</v>
      </c>
      <c r="F103" s="13">
        <f>(0.0913-0.0879)*1000</f>
        <v>3.4000000000000004</v>
      </c>
      <c r="G103" s="13">
        <f>(AVERAGE(0.1001,0.1003)-AVERAGE(0.0962,0.0964))*1000</f>
        <v>3.9000000000000008</v>
      </c>
      <c r="H103" s="13">
        <f>(AVERAGE(0.0888,0.0884)-0.0861)*1000</f>
        <v>2.500000000000016</v>
      </c>
      <c r="I103" s="13">
        <f>(AVERAGE(0.0918,0.092)-0.0899)*1000</f>
        <v>2.0000000000000155</v>
      </c>
      <c r="J103" s="13"/>
      <c r="K103" s="13"/>
      <c r="L103" s="13"/>
      <c r="M103" s="13"/>
      <c r="N103" s="13">
        <f t="shared" ref="N103" si="28">AVERAGE(D103:J103)</f>
        <v>2.6666666666666714</v>
      </c>
      <c r="O103" s="13">
        <f t="shared" si="27"/>
        <v>0.79916623218618377</v>
      </c>
    </row>
    <row r="104" spans="1:16">
      <c r="A104" s="21" t="s">
        <v>1167</v>
      </c>
      <c r="B104" s="4" t="s">
        <v>1127</v>
      </c>
      <c r="C104" s="11" t="s">
        <v>228</v>
      </c>
      <c r="D104" s="13">
        <f>(0.1079-0.1043)*1000/(1.03*1.15)</f>
        <v>3.0392570704938731</v>
      </c>
      <c r="E104" s="13">
        <f>(0.1049-0.1025)*1000/(1*1.12)</f>
        <v>2.1428571428571423</v>
      </c>
      <c r="F104" s="13">
        <f>(0.1041-0.1017)*1000/(0.99*1.18)</f>
        <v>2.0544427324088339</v>
      </c>
      <c r="G104" s="13">
        <f>(0.1051-0.1015)*1000/(1.07*1.03)</f>
        <v>3.2664912439887415</v>
      </c>
      <c r="H104" s="13">
        <f>(0.0997-0.0979)*1000/(1*1.05)</f>
        <v>1.7142857142857104</v>
      </c>
      <c r="I104" s="13">
        <f>(0.1074-0.1051)*1000/(1.04*1.1)</f>
        <v>2.0104895104895069</v>
      </c>
      <c r="J104" s="13"/>
      <c r="K104" s="13"/>
      <c r="L104" s="13"/>
      <c r="M104" s="13">
        <f>AVERAGE(N104:N105)</f>
        <v>2.2535292353156446</v>
      </c>
      <c r="N104" s="13">
        <f t="shared" ref="N104:N109" si="29">AVERAGE(D104:J104)</f>
        <v>2.3713039024206344</v>
      </c>
      <c r="O104" s="13">
        <f t="shared" si="27"/>
        <v>0.62641370662269102</v>
      </c>
      <c r="P104" s="13"/>
    </row>
    <row r="105" spans="1:16">
      <c r="A105" s="21" t="s">
        <v>1168</v>
      </c>
      <c r="B105" s="4" t="s">
        <v>1127</v>
      </c>
      <c r="C105" s="11" t="s">
        <v>228</v>
      </c>
      <c r="D105" s="13">
        <f>(0.0991-0.097)*1000/(1.03*1.02)</f>
        <v>1.9988577955453939</v>
      </c>
      <c r="E105" s="13">
        <f>(0.0967-0.0947)*1000/(1.02*1.04)</f>
        <v>1.8853695324283448</v>
      </c>
      <c r="F105" s="13">
        <f>(0.0959-0.0927)*1000/(1.04*1.01)</f>
        <v>3.0464584920030413</v>
      </c>
      <c r="G105" s="13">
        <f>(0.0937-0.0916)*1000/(0.99*1.04)</f>
        <v>2.0396270396270437</v>
      </c>
      <c r="H105" s="13">
        <f>(0.0974-0.0957)*1000/(1.01*1.04)</f>
        <v>1.6184310738766252</v>
      </c>
      <c r="I105" s="13">
        <f>(0.0966-0.0941)*1000/(1.04*1.08)</f>
        <v>2.2257834757834773</v>
      </c>
      <c r="J105" s="13"/>
      <c r="K105" s="13"/>
      <c r="L105" s="13"/>
      <c r="M105" s="13"/>
      <c r="N105" s="13">
        <f t="shared" si="29"/>
        <v>2.1357545682106545</v>
      </c>
      <c r="O105" s="13">
        <f t="shared" si="27"/>
        <v>0.48903667205252371</v>
      </c>
    </row>
    <row r="106" spans="1:16">
      <c r="A106" s="21" t="s">
        <v>1169</v>
      </c>
      <c r="B106" s="4" t="s">
        <v>1127</v>
      </c>
      <c r="C106" s="11" t="s">
        <v>228</v>
      </c>
      <c r="D106" s="13" t="s">
        <v>1048</v>
      </c>
      <c r="E106" s="13">
        <f>(0.1004-0.0994)*1000/(1.03*1.02)</f>
        <v>0.95183704549781167</v>
      </c>
      <c r="F106" s="13">
        <f>(0.0846-0.0835)*1000/(1.03*0.92)</f>
        <v>1.1608273533136235</v>
      </c>
      <c r="G106" s="13">
        <f>(0.0907-AVERAGE(0.0884,0.0888,0.0885))*1000/(0.97*1.03)</f>
        <v>2.1352550628899212</v>
      </c>
      <c r="H106" s="13">
        <f>(0.0914-0.0896)*1000/(1*1.04)</f>
        <v>1.7307692307692268</v>
      </c>
      <c r="I106" s="13">
        <f>(0.0874-0.0851)*1000/(1.03*0.93)</f>
        <v>2.4010857083202946</v>
      </c>
      <c r="J106" s="13"/>
      <c r="K106" s="13"/>
      <c r="L106" s="13"/>
      <c r="M106" s="13">
        <f>AVERAGE(N106:N107)</f>
        <v>1.6012462840160087</v>
      </c>
      <c r="N106" s="13">
        <f t="shared" si="29"/>
        <v>1.6759548801581754</v>
      </c>
      <c r="O106" s="13">
        <f t="shared" si="27"/>
        <v>0.6183605332303328</v>
      </c>
    </row>
    <row r="107" spans="1:16">
      <c r="A107" s="21" t="s">
        <v>1170</v>
      </c>
      <c r="B107" s="4" t="s">
        <v>1127</v>
      </c>
      <c r="C107" s="11" t="s">
        <v>228</v>
      </c>
      <c r="D107" s="13">
        <f>(0.0988-0.0966)*1000/(1.08*1)</f>
        <v>2.037037037037031</v>
      </c>
      <c r="E107" s="13">
        <f>(0.0927-0.0906)*1000/(1*1.03)</f>
        <v>2.0388349514563151</v>
      </c>
      <c r="F107" s="13">
        <f>(0.0968-0.0959)*1000/(1.04*1.01)</f>
        <v>0.8568164508758549</v>
      </c>
      <c r="G107" s="13">
        <f>(0.0891-0.0882)*1000/1</f>
        <v>0.89999999999999802</v>
      </c>
      <c r="H107" s="13" t="s">
        <v>1048</v>
      </c>
      <c r="I107" s="13">
        <f>(0.0912-0.0894)*1000</f>
        <v>1.80000000000001</v>
      </c>
      <c r="J107" s="13"/>
      <c r="K107" s="13"/>
      <c r="L107" s="13"/>
      <c r="M107" s="13"/>
      <c r="N107" s="13">
        <f t="shared" si="29"/>
        <v>1.5265376878738419</v>
      </c>
      <c r="O107" s="13">
        <f t="shared" si="27"/>
        <v>0.59977406528123911</v>
      </c>
    </row>
    <row r="108" spans="1:16">
      <c r="A108" s="21" t="s">
        <v>1171</v>
      </c>
      <c r="B108" s="4" t="s">
        <v>1127</v>
      </c>
      <c r="C108" s="11" t="s">
        <v>228</v>
      </c>
      <c r="D108" s="13">
        <f>(0.0969-0.0913)*1000</f>
        <v>5.5999999999999943</v>
      </c>
      <c r="E108" s="13">
        <f>(0.0977-0.091)*1000/1.23</f>
        <v>5.4471544715447138</v>
      </c>
      <c r="F108" s="13" t="s">
        <v>1048</v>
      </c>
      <c r="G108" s="13" t="s">
        <v>1048</v>
      </c>
      <c r="H108" s="13">
        <f>(0.0927-0.0887)*1000</f>
        <v>4.0000000000000036</v>
      </c>
      <c r="I108" s="13" t="s">
        <v>1048</v>
      </c>
      <c r="J108" s="13"/>
      <c r="K108" s="13"/>
      <c r="L108" s="13"/>
      <c r="M108" s="13">
        <f>AVERAGE(N108:N109)</f>
        <v>4.2245257452574538</v>
      </c>
      <c r="N108" s="13">
        <f t="shared" si="29"/>
        <v>5.0157181571815705</v>
      </c>
      <c r="O108" s="13">
        <f t="shared" ref="O108:O118" si="30">_xlfn.STDEV.S(D108:I108)</f>
        <v>0.88295128405446488</v>
      </c>
    </row>
    <row r="109" spans="1:16">
      <c r="A109" s="21" t="s">
        <v>1172</v>
      </c>
      <c r="B109" s="4" t="s">
        <v>1127</v>
      </c>
      <c r="C109" s="11" t="s">
        <v>228</v>
      </c>
      <c r="D109" s="13">
        <f>(AVERAGE(0.0925)-0.09)*1000</f>
        <v>2.5000000000000022</v>
      </c>
      <c r="E109" s="13">
        <f>(AVERAGE(0.0936)-0.0907)*1000</f>
        <v>2.9</v>
      </c>
      <c r="F109" s="13">
        <f>(0.0949-0.0906)*1000</f>
        <v>4.299999999999998</v>
      </c>
      <c r="G109" s="13">
        <f>(0.0976-0.0945)*1000</f>
        <v>3.1000000000000054</v>
      </c>
      <c r="H109" s="13">
        <f>(0.0906-0.086)*1000</f>
        <v>4.6000000000000068</v>
      </c>
      <c r="I109" s="13">
        <f>(0.0927-0.0895)*1000</f>
        <v>3.2000000000000082</v>
      </c>
      <c r="J109" s="13"/>
      <c r="K109" s="13"/>
      <c r="L109" s="13"/>
      <c r="M109" s="13"/>
      <c r="N109" s="13">
        <f t="shared" si="29"/>
        <v>3.4333333333333371</v>
      </c>
      <c r="O109" s="13">
        <f t="shared" si="30"/>
        <v>0.82865352631040223</v>
      </c>
    </row>
    <row r="110" spans="1:16">
      <c r="A110" s="21" t="s">
        <v>1173</v>
      </c>
      <c r="B110" s="4" t="s">
        <v>1127</v>
      </c>
      <c r="C110" s="11" t="s">
        <v>228</v>
      </c>
      <c r="D110" s="13">
        <f>(0.0983-0.0956)*1000</f>
        <v>2.699999999999994</v>
      </c>
      <c r="E110" s="13">
        <f>(0.0911-0.089)*1000</f>
        <v>2.1000000000000045</v>
      </c>
      <c r="F110" s="13">
        <f>(0.0941-0.0913)*1000</f>
        <v>2.7999999999999972</v>
      </c>
      <c r="G110" s="13">
        <f>(0.0957-0.0938)*1000</f>
        <v>1.899999999999999</v>
      </c>
      <c r="H110" s="13">
        <f>(0.1012-0.098)*1000</f>
        <v>3.1999999999999944</v>
      </c>
      <c r="I110" s="13">
        <f>(0.0972-0.0951)*1000</f>
        <v>2.0999999999999908</v>
      </c>
      <c r="J110" s="13"/>
      <c r="K110" s="13"/>
      <c r="L110" s="13"/>
      <c r="M110" s="13">
        <f>AVERAGE(N110:N111)</f>
        <v>2.2749999999999995</v>
      </c>
      <c r="N110" s="13">
        <f t="shared" ref="N110" si="31">AVERAGE(D110:J110)</f>
        <v>2.4666666666666632</v>
      </c>
      <c r="O110" s="13">
        <f t="shared" si="30"/>
        <v>0.50859282994028188</v>
      </c>
    </row>
    <row r="111" spans="1:16">
      <c r="A111" s="21" t="s">
        <v>1174</v>
      </c>
      <c r="B111" s="4" t="s">
        <v>1127</v>
      </c>
      <c r="C111" s="11" t="s">
        <v>228</v>
      </c>
      <c r="D111" s="13">
        <f>(0.0925-0.0904)*1000</f>
        <v>2.1000000000000045</v>
      </c>
      <c r="E111" s="13">
        <f>(0.0966-0.0944)*1000</f>
        <v>2.2000000000000073</v>
      </c>
      <c r="F111" s="13">
        <f>(0.0881-0.0865)*1000</f>
        <v>1.6000000000000041</v>
      </c>
      <c r="G111" s="13">
        <f>(0.0916-0.09)*1000</f>
        <v>1.6000000000000041</v>
      </c>
      <c r="H111" s="13">
        <f>(0.0996-0.0966)*1000</f>
        <v>2.9999999999999889</v>
      </c>
      <c r="I111" s="13">
        <f>(0.1028-0.1008)*1000</f>
        <v>2.0000000000000018</v>
      </c>
      <c r="J111" s="13"/>
      <c r="K111" s="13"/>
      <c r="L111" s="13"/>
      <c r="M111" s="13"/>
      <c r="N111" s="13">
        <f t="shared" ref="N111" si="32">AVERAGE(D111:J111)</f>
        <v>2.0833333333333353</v>
      </c>
      <c r="O111" s="13">
        <f t="shared" si="30"/>
        <v>0.51542862422129887</v>
      </c>
    </row>
    <row r="112" spans="1:16">
      <c r="A112" s="21" t="s">
        <v>1175</v>
      </c>
      <c r="B112" s="4" t="s">
        <v>1127</v>
      </c>
      <c r="C112" s="11" t="s">
        <v>228</v>
      </c>
      <c r="D112" s="13">
        <f>(0.0905-0.0877)*1000</f>
        <v>2.7999999999999972</v>
      </c>
      <c r="E112" s="13">
        <f>(0.0843-0.0821)*1000</f>
        <v>2.1999999999999935</v>
      </c>
      <c r="F112" s="13">
        <f>(0.0885-0.087)*1000</f>
        <v>1.5000000000000013</v>
      </c>
      <c r="G112" s="13">
        <f>(0.0857-0.0835)*1000</f>
        <v>2.1999999999999935</v>
      </c>
      <c r="H112" s="13">
        <f>(0.088-0.0859)*1000</f>
        <v>2.0999999999999908</v>
      </c>
      <c r="I112" s="13">
        <f>(0.0853-0.0824)*1000</f>
        <v>2.9</v>
      </c>
      <c r="J112" s="13"/>
      <c r="K112" s="13"/>
      <c r="L112" s="13"/>
      <c r="M112" s="13"/>
      <c r="N112" s="13">
        <f t="shared" ref="N112" si="33">AVERAGE(D112:J112)</f>
        <v>2.2833333333333297</v>
      </c>
      <c r="O112" s="13">
        <f t="shared" ref="O112" si="34">_xlfn.STDEV.S(D112:I112)</f>
        <v>0.51153364177409155</v>
      </c>
    </row>
    <row r="113" spans="1:15">
      <c r="A113" s="21" t="s">
        <v>1176</v>
      </c>
      <c r="B113" s="4" t="s">
        <v>1127</v>
      </c>
      <c r="C113" s="11" t="s">
        <v>228</v>
      </c>
      <c r="D113" s="13" t="s">
        <v>1048</v>
      </c>
      <c r="E113" s="13">
        <f>(0.0906-0.087)*1000</f>
        <v>3.6000000000000059</v>
      </c>
      <c r="F113" s="13">
        <f>(0.0977-0.0944)*1000</f>
        <v>3.2999999999999972</v>
      </c>
      <c r="G113" s="13">
        <f>(AVERAGE(0.1042,0.1036,0.1036)-0.0993)*1000</f>
        <v>4.5000000000000036</v>
      </c>
      <c r="H113" s="13">
        <f>(AVERAGE(0.1047,0.1041,0.1042)-0.1012)*1000</f>
        <v>3.1333333333333351</v>
      </c>
      <c r="I113" s="13">
        <f>(0.1014-0.0986)*1000</f>
        <v>2.8000000000000109</v>
      </c>
      <c r="J113" s="13"/>
      <c r="K113" s="13"/>
      <c r="L113" s="13"/>
      <c r="M113" s="13"/>
      <c r="N113" s="13">
        <f t="shared" ref="N113:N127" si="35">AVERAGE(D113:J113)</f>
        <v>3.4666666666666699</v>
      </c>
      <c r="O113" s="13">
        <f t="shared" si="30"/>
        <v>0.64592741250253904</v>
      </c>
    </row>
    <row r="114" spans="1:15">
      <c r="A114" s="21" t="s">
        <v>1177</v>
      </c>
      <c r="B114" s="4" t="s">
        <v>1127</v>
      </c>
      <c r="C114" s="11" t="s">
        <v>228</v>
      </c>
      <c r="D114" s="13">
        <f>(0.099-0.0935)*1000</f>
        <v>5.5000000000000053</v>
      </c>
      <c r="E114" s="13">
        <f>(0.1016-0.0964)*1000</f>
        <v>5.1999999999999966</v>
      </c>
      <c r="F114" s="13" t="s">
        <v>1048</v>
      </c>
      <c r="G114" s="13">
        <f>(0.1041-0.1009)*1000</f>
        <v>3.1999999999999944</v>
      </c>
      <c r="H114" s="13">
        <f>(0.1016-0.0986)*1000</f>
        <v>3.0000000000000027</v>
      </c>
      <c r="I114" s="13">
        <f>(0.0966-0.0936)*1000</f>
        <v>3.0000000000000027</v>
      </c>
      <c r="J114" s="13"/>
      <c r="K114" s="13"/>
      <c r="L114" s="13"/>
      <c r="M114" s="13"/>
      <c r="N114" s="13">
        <f t="shared" si="35"/>
        <v>3.9800000000000004</v>
      </c>
      <c r="O114" s="13">
        <f t="shared" si="30"/>
        <v>1.2577758146824087</v>
      </c>
    </row>
    <row r="115" spans="1:15">
      <c r="A115" s="21" t="s">
        <v>1178</v>
      </c>
      <c r="B115" s="4" t="s">
        <v>1127</v>
      </c>
      <c r="C115" s="11" t="s">
        <v>228</v>
      </c>
      <c r="D115" s="13">
        <f>(AVERAGE(0.1096,0.1098,0.1095)-AVERAGE(0.1069,0.1068,0.1064))*1000</f>
        <v>2.9333333333333158</v>
      </c>
      <c r="E115" s="13">
        <f>(AVERAGE(0.0975,0.0975,0.0976)-AVERAGE(0.0947,0.0946,0.0945))*1000/1.2</f>
        <v>2.4444444444444415</v>
      </c>
      <c r="F115" s="13">
        <f>(AVERAGE(0.0935,0.0936,0.0933)-AVERAGE(0.0883,0.0877,0.088))*1000/1.2</f>
        <v>4.5555555555555394</v>
      </c>
      <c r="G115" s="13" t="s">
        <v>1048</v>
      </c>
      <c r="H115" s="13">
        <f>(0.0993-0.0969)*1000/1.2</f>
        <v>1.9999999999999996</v>
      </c>
      <c r="I115" s="13">
        <f>(AVERAGE(0.0958,0.0955,0.0956)-0.0903)*1000/1.2</f>
        <v>4.4444444444444411</v>
      </c>
      <c r="J115" s="13"/>
      <c r="K115" s="13"/>
      <c r="L115" s="13"/>
      <c r="M115" s="13">
        <f>AVERAGE(N115:N116)</f>
        <v>3.0667248572683308</v>
      </c>
      <c r="N115" s="13">
        <f t="shared" si="35"/>
        <v>3.2755555555555476</v>
      </c>
      <c r="O115" s="13">
        <f>_xlfn.STDEV.S(D115:I115)</f>
        <v>1.1661480328705685</v>
      </c>
    </row>
    <row r="116" spans="1:15">
      <c r="A116" s="21" t="s">
        <v>1179</v>
      </c>
      <c r="B116" s="4" t="s">
        <v>1127</v>
      </c>
      <c r="C116" s="11" t="s">
        <v>228</v>
      </c>
      <c r="D116" s="13">
        <f>(0.0993-0.0931)*1000/1.15</f>
        <v>5.3913043478260851</v>
      </c>
      <c r="E116" s="13">
        <f>(0.0992-0.0967)*1000/1.1</f>
        <v>2.2727272727272747</v>
      </c>
      <c r="F116" s="13">
        <f>(0.0996-0.0966)*1000</f>
        <v>2.9999999999999889</v>
      </c>
      <c r="G116" s="13">
        <f>(0.1115-0.109)*1000/1.2</f>
        <v>2.0833333333333353</v>
      </c>
      <c r="H116" s="13">
        <f>(0.1042-0.1023)*1000</f>
        <v>1.899999999999999</v>
      </c>
      <c r="I116" s="13">
        <f>(0.0979-0.0954)*1000</f>
        <v>2.5000000000000022</v>
      </c>
      <c r="J116" s="13"/>
      <c r="K116" s="13"/>
      <c r="L116" s="13"/>
      <c r="M116" s="13"/>
      <c r="N116" s="13">
        <f t="shared" si="35"/>
        <v>2.8578941589811144</v>
      </c>
      <c r="O116" s="13">
        <f>_xlfn.STDEV.S(D116:I116)</f>
        <v>1.2981814558245932</v>
      </c>
    </row>
    <row r="117" spans="1:15">
      <c r="A117" s="21" t="s">
        <v>1180</v>
      </c>
      <c r="B117" s="4" t="s">
        <v>1127</v>
      </c>
      <c r="C117" s="11" t="s">
        <v>228</v>
      </c>
      <c r="D117" s="13">
        <f>(0.0949-0.0916)*1000</f>
        <v>3.2999999999999972</v>
      </c>
      <c r="E117" s="13">
        <f>(0.094-0.0902)*1000</f>
        <v>3.799999999999998</v>
      </c>
      <c r="F117" s="13">
        <f>(0.1009-0.0979)*1000</f>
        <v>3.0000000000000027</v>
      </c>
      <c r="G117" s="13">
        <f>(AVERAGE(0.0974,0.0978,0.0975)-0.0946)*1000</f>
        <v>2.9666666666666455</v>
      </c>
      <c r="H117" s="13">
        <f>(0.0967-0.0933)*1000</f>
        <v>3.4000000000000004</v>
      </c>
      <c r="I117" s="13">
        <f>(AVERAGE(0.0875,0.0879,0.0878)-0.0843)*1000</f>
        <v>3.43333333333333</v>
      </c>
      <c r="J117" s="13"/>
      <c r="K117" s="13"/>
      <c r="L117" s="13"/>
      <c r="M117" s="13">
        <f>AVERAGE(N117:N118)</f>
        <v>3.554166666666664</v>
      </c>
      <c r="N117" s="13">
        <f t="shared" si="35"/>
        <v>3.3166666666666624</v>
      </c>
      <c r="O117" s="13">
        <f t="shared" si="30"/>
        <v>0.30894084295289703</v>
      </c>
    </row>
    <row r="118" spans="1:15">
      <c r="A118" s="21" t="s">
        <v>1181</v>
      </c>
      <c r="B118" s="4" t="s">
        <v>1127</v>
      </c>
      <c r="C118" s="11" t="s">
        <v>228</v>
      </c>
      <c r="D118" s="13">
        <f>(0.1083-0.1041)*1000</f>
        <v>4.1999999999999957</v>
      </c>
      <c r="E118" s="13">
        <f>(0.1151-0.1107)*1000</f>
        <v>4.399999999999987</v>
      </c>
      <c r="F118" s="13">
        <f>(0.1154-0.11)*1000</f>
        <v>5.4000000000000021</v>
      </c>
      <c r="G118" s="13">
        <f>(AVERAGE(0.112,0.1117)-0.1084)*1000</f>
        <v>3.4500000000000086</v>
      </c>
      <c r="H118" s="13">
        <f>(0.1119-0.1086)*1000</f>
        <v>3.2999999999999972</v>
      </c>
      <c r="I118" s="13">
        <f>(0.1002-0.0982)*1000</f>
        <v>2.0000000000000018</v>
      </c>
      <c r="J118" s="13"/>
      <c r="K118" s="13"/>
      <c r="L118" s="13"/>
      <c r="M118" s="13"/>
      <c r="N118" s="13">
        <f t="shared" si="35"/>
        <v>3.7916666666666656</v>
      </c>
      <c r="O118" s="13">
        <f t="shared" si="30"/>
        <v>1.1568995923011915</v>
      </c>
    </row>
    <row r="119" spans="1:15">
      <c r="A119" s="21" t="s">
        <v>1182</v>
      </c>
      <c r="B119" s="4" t="s">
        <v>1127</v>
      </c>
      <c r="C119" s="11" t="s">
        <v>228</v>
      </c>
      <c r="D119" s="13">
        <f>(0.0838-0.0807)*1000/1.1</f>
        <v>2.8181818181818228</v>
      </c>
      <c r="E119" s="13">
        <f>(0.0954-0.0924)*1000</f>
        <v>3.0000000000000027</v>
      </c>
      <c r="F119" s="13">
        <f>(0.0939-0.0912)*1000</f>
        <v>2.699999999999994</v>
      </c>
      <c r="G119" s="13"/>
      <c r="H119" s="13"/>
      <c r="I119" s="13"/>
      <c r="J119" s="13"/>
      <c r="K119" s="13"/>
      <c r="L119" s="13"/>
      <c r="M119" s="13"/>
      <c r="N119" s="13">
        <f t="shared" ref="N119:N120" si="36">AVERAGE(D119:J119)</f>
        <v>2.8393939393939398</v>
      </c>
      <c r="O119" s="13">
        <f t="shared" ref="O119:O120" si="37">_xlfn.STDEV.S(D119:I119)</f>
        <v>0.15112069866414549</v>
      </c>
    </row>
    <row r="120" spans="1:15">
      <c r="A120" s="21" t="s">
        <v>621</v>
      </c>
      <c r="B120" s="4" t="s">
        <v>1127</v>
      </c>
      <c r="C120" s="11" t="s">
        <v>228</v>
      </c>
      <c r="D120" s="13">
        <f>(0.0832-0.0776)*1000/1.2</f>
        <v>4.6666666666666625</v>
      </c>
      <c r="E120" s="13">
        <f>(0.0807-0.0777)*1000/1.1</f>
        <v>2.7272727272727169</v>
      </c>
      <c r="F120" s="13">
        <f>(0.0939-0.0912)*1000</f>
        <v>2.699999999999994</v>
      </c>
      <c r="G120" s="13"/>
      <c r="H120" s="13"/>
      <c r="I120" s="13"/>
      <c r="J120" s="13"/>
      <c r="K120" s="13"/>
      <c r="L120" s="13"/>
      <c r="M120" s="13"/>
      <c r="N120" s="13">
        <f t="shared" si="36"/>
        <v>3.3646464646464573</v>
      </c>
      <c r="O120" s="13">
        <f t="shared" si="37"/>
        <v>1.1276650235175225</v>
      </c>
    </row>
    <row r="121" spans="1:15">
      <c r="A121" s="21" t="s">
        <v>651</v>
      </c>
      <c r="B121" s="4" t="s">
        <v>1121</v>
      </c>
      <c r="C121" s="11" t="s">
        <v>228</v>
      </c>
      <c r="D121" s="11">
        <f>(0.0982-0.095)*1000</f>
        <v>3.1999999999999944</v>
      </c>
      <c r="E121" s="11" t="s">
        <v>1151</v>
      </c>
      <c r="F121" s="11">
        <f>(0.0893-0.0855)*1000</f>
        <v>3.799999999999998</v>
      </c>
      <c r="G121" s="13"/>
      <c r="H121" s="13"/>
      <c r="I121" s="13"/>
      <c r="J121" s="13"/>
      <c r="K121" s="13"/>
      <c r="L121" s="13"/>
      <c r="M121" s="13"/>
      <c r="N121" s="13">
        <f t="shared" ref="N121" si="38">AVERAGE(D121:J121)</f>
        <v>3.4999999999999964</v>
      </c>
      <c r="O121" s="13">
        <f t="shared" ref="O121" si="39">_xlfn.STDEV.S(D121:I121)</f>
        <v>0.42426406871193106</v>
      </c>
    </row>
    <row r="122" spans="1:15">
      <c r="A122" s="21" t="s">
        <v>636</v>
      </c>
      <c r="B122" s="4" t="s">
        <v>1127</v>
      </c>
      <c r="C122" s="11" t="s">
        <v>228</v>
      </c>
      <c r="D122" s="13">
        <f>(0.0881-0.0857)*1000</f>
        <v>2.3999999999999995</v>
      </c>
      <c r="E122" s="13">
        <f>(0.0924-0.0882)*1000</f>
        <v>4.1999999999999957</v>
      </c>
      <c r="F122" s="13" t="s">
        <v>1048</v>
      </c>
      <c r="G122" s="13"/>
      <c r="H122" s="13"/>
      <c r="I122" s="13"/>
      <c r="J122" s="13"/>
      <c r="K122" s="13"/>
      <c r="L122" s="13"/>
      <c r="M122" s="13"/>
      <c r="N122" s="13">
        <f t="shared" ref="N122:N123" si="40">AVERAGE(D122:J122)</f>
        <v>3.2999999999999976</v>
      </c>
      <c r="O122" s="13">
        <f t="shared" ref="O122:O123" si="41">_xlfn.STDEV.S(D122:I122)</f>
        <v>1.272792206135783</v>
      </c>
    </row>
    <row r="123" spans="1:15">
      <c r="A123" s="21" t="s">
        <v>663</v>
      </c>
      <c r="B123" s="4" t="s">
        <v>1121</v>
      </c>
      <c r="C123" s="11" t="s">
        <v>228</v>
      </c>
      <c r="D123" s="13">
        <f>(0.0846-0.0811)*1000/1.1</f>
        <v>3.1818181818181719</v>
      </c>
      <c r="E123" s="13">
        <f>(0.0964-0.0926)*1000</f>
        <v>3.799999999999998</v>
      </c>
      <c r="F123" s="13">
        <f>(0.0864-0.0821)*1000/1.1</f>
        <v>3.909090909090907</v>
      </c>
      <c r="G123" s="13"/>
      <c r="H123" s="13"/>
      <c r="I123" s="13"/>
      <c r="J123" s="13"/>
      <c r="K123" s="13"/>
      <c r="L123" s="13"/>
      <c r="M123" s="13"/>
      <c r="N123" s="13">
        <f t="shared" si="40"/>
        <v>3.6303030303030255</v>
      </c>
      <c r="O123" s="13">
        <f t="shared" si="41"/>
        <v>0.39221065908760294</v>
      </c>
    </row>
    <row r="124" spans="1:15">
      <c r="A124" s="21" t="s">
        <v>676</v>
      </c>
      <c r="B124" s="4" t="s">
        <v>1121</v>
      </c>
      <c r="C124" s="11" t="s">
        <v>228</v>
      </c>
      <c r="D124" s="13">
        <f>(0.0904-0.0881)*1000/1.05</f>
        <v>2.1904761904761867</v>
      </c>
      <c r="E124" s="13">
        <f>(0.0954-0.0904)*1000/1.2</f>
        <v>4.1666666666666705</v>
      </c>
      <c r="F124" s="13">
        <f>(0.0932-0.0903)*1000</f>
        <v>2.9</v>
      </c>
      <c r="G124" s="13"/>
      <c r="H124" s="13"/>
      <c r="I124" s="13"/>
      <c r="J124" s="13"/>
      <c r="K124" s="13"/>
      <c r="L124" s="13"/>
      <c r="M124" s="13"/>
      <c r="N124" s="13">
        <f t="shared" ref="N124" si="42">AVERAGE(D124:J124)</f>
        <v>3.0857142857142859</v>
      </c>
      <c r="O124" s="13">
        <f t="shared" ref="O124" si="43">_xlfn.STDEV.S(D124:I124)</f>
        <v>1.0010991691562157</v>
      </c>
    </row>
    <row r="125" spans="1:15">
      <c r="A125" s="21" t="s">
        <v>580</v>
      </c>
      <c r="B125" s="4" t="s">
        <v>1127</v>
      </c>
      <c r="C125" s="11" t="s">
        <v>228</v>
      </c>
      <c r="D125" s="13">
        <f>(AVERAGE(0.1169,0.1169,0.1167)-AVERAGE(0.1108,0.1107,0.1107))*1000/1.2</f>
        <v>5.083333333333341</v>
      </c>
      <c r="E125" s="13" t="s">
        <v>1151</v>
      </c>
      <c r="F125" s="13">
        <f>(0.1046-AVERAGE(0.1028,0.1028,0.1027))*1000/1.1</f>
        <v>1.6666666666666596</v>
      </c>
      <c r="G125" s="13">
        <f>(0.1083-AVERAGE(0.1058,0.1056,0.1052))*1000/1.2</f>
        <v>2.3055555555555562</v>
      </c>
      <c r="H125" s="13">
        <f>(AVERAGE(0.1076,0.1077,0.1072)-AVERAGE(0.1033,0.103,0.1031))*1000/1.2</f>
        <v>3.6388888888888813</v>
      </c>
      <c r="I125" s="13">
        <f>(AVERAGE(0.1113,0.1112,0.1109)-AVERAGE(0.1078,0.1075,0.1076))*1000/1.12</f>
        <v>3.1250000000000027</v>
      </c>
      <c r="J125" s="13"/>
      <c r="K125" s="13"/>
      <c r="L125" s="13"/>
      <c r="M125" s="13"/>
      <c r="N125" s="13">
        <f t="shared" si="35"/>
        <v>3.1638888888888888</v>
      </c>
      <c r="O125" s="13">
        <f t="shared" ref="O125:O133" si="44">_xlfn.STDEV.S(D125:I125)</f>
        <v>1.3124228372379498</v>
      </c>
    </row>
    <row r="126" spans="1:15">
      <c r="A126" s="21" t="s">
        <v>1183</v>
      </c>
      <c r="B126" s="4" t="s">
        <v>1127</v>
      </c>
      <c r="C126" s="11" t="s">
        <v>228</v>
      </c>
      <c r="D126" s="13">
        <f>(AVERAGE(0.0948,0.0948,0.095)-0.0924)*1000</f>
        <v>2.4666666666666588</v>
      </c>
      <c r="E126" s="13">
        <f>(AVERAGE(0.096,0.0964,0.0962)-0.0937)*1000</f>
        <v>2.5000000000000022</v>
      </c>
      <c r="F126" s="13" t="s">
        <v>1048</v>
      </c>
      <c r="G126" s="13">
        <f>(AVERAGE(0.0904,0.0903,0.0901)-0.0884)*1000</f>
        <v>1.8666666666666554</v>
      </c>
      <c r="H126" s="13" t="s">
        <v>1048</v>
      </c>
      <c r="I126" s="13">
        <f>(AVERAGE(0.0938,0.0941,0.0938)-0.0909)*1000</f>
        <v>3.0000000000000027</v>
      </c>
      <c r="J126" s="13"/>
      <c r="K126" s="13"/>
      <c r="L126" s="13"/>
      <c r="M126" s="13">
        <f>AVERAGE(N126:N127)</f>
        <v>3.0119769119769106</v>
      </c>
      <c r="N126" s="13">
        <f t="shared" si="35"/>
        <v>2.4583333333333299</v>
      </c>
      <c r="O126" s="13">
        <f t="shared" si="44"/>
        <v>0.46378075918756861</v>
      </c>
    </row>
    <row r="127" spans="1:15">
      <c r="A127" s="21" t="s">
        <v>1184</v>
      </c>
      <c r="B127" s="4" t="s">
        <v>1127</v>
      </c>
      <c r="C127" s="11" t="s">
        <v>228</v>
      </c>
      <c r="D127" s="13">
        <f>(AVERAGE(0.0962,0.096,0.0961)-0.0901)*1000/1.25</f>
        <v>4.8000000000000043</v>
      </c>
      <c r="E127" s="13">
        <f>(AVERAGE(0.0934,0.0932,0.0932)-0.0901)*1000</f>
        <v>3.1666666666666647</v>
      </c>
      <c r="F127" s="13">
        <f>(AVERAGE(0.0951,0.0949,0.0949)-0.0883)*1000/1.25</f>
        <v>5.3333333333333233</v>
      </c>
      <c r="G127" s="13">
        <f>(AVERAGE(0.0963,0.0964,0.0966)-AVERAGE(0.0944,0.0943,0.0944))*1000/1.12</f>
        <v>1.8452380952381024</v>
      </c>
      <c r="H127" s="13">
        <f>(AVERAGE(0.0993,0.0995,0.0994)-AVERAGE(0.0964,0.0965))*1000/1.1</f>
        <v>2.6818181818181763</v>
      </c>
      <c r="I127" s="13">
        <f>(AVERAGE(0.0935,0.0938,0.0937)-0.0901)*1000</f>
        <v>3.5666666666666762</v>
      </c>
      <c r="J127" s="13"/>
      <c r="K127" s="13"/>
      <c r="L127" s="13"/>
      <c r="M127" s="13"/>
      <c r="N127" s="13">
        <f t="shared" si="35"/>
        <v>3.5656204906204914</v>
      </c>
      <c r="O127" s="13">
        <f t="shared" si="44"/>
        <v>1.3075541153608543</v>
      </c>
    </row>
    <row r="128" spans="1:15">
      <c r="A128" s="21" t="s">
        <v>1185</v>
      </c>
      <c r="B128" s="4" t="s">
        <v>1127</v>
      </c>
      <c r="C128" s="11" t="s">
        <v>228</v>
      </c>
      <c r="D128" s="13">
        <f>(0.1011-0.0956)*1000/1.1</f>
        <v>4.9999999999999911</v>
      </c>
      <c r="E128" s="13">
        <f>(0.1-0.0966)*1000</f>
        <v>3.4000000000000004</v>
      </c>
      <c r="F128" s="13">
        <f>(0.1001-0.0979)*1000</f>
        <v>2.1999999999999935</v>
      </c>
      <c r="G128" s="13">
        <f>(0.108-0.1054)*1000</f>
        <v>2.600000000000005</v>
      </c>
      <c r="H128" s="13">
        <f>(0.0984-0.09702)*1000</f>
        <v>1.3800000000000061</v>
      </c>
      <c r="I128" s="13">
        <f>(0.1043-0.1011)*1000</f>
        <v>3.2000000000000082</v>
      </c>
      <c r="J128" s="13"/>
      <c r="K128" s="13"/>
      <c r="L128" s="13"/>
      <c r="M128" s="13"/>
      <c r="N128" s="13">
        <f t="shared" ref="N128:N133" si="45">AVERAGE(D128:J128)</f>
        <v>2.9633333333333343</v>
      </c>
      <c r="O128" s="13">
        <f t="shared" si="44"/>
        <v>1.2342068978362821</v>
      </c>
    </row>
    <row r="129" spans="1:15">
      <c r="A129" s="21" t="s">
        <v>704</v>
      </c>
      <c r="B129" s="4" t="s">
        <v>1127</v>
      </c>
      <c r="C129" s="11" t="s">
        <v>228</v>
      </c>
      <c r="D129" s="13">
        <f>(0.1148-0.1124)*1000</f>
        <v>2.3999999999999995</v>
      </c>
      <c r="E129" s="13">
        <f>(0.1098-0.1077)*1000</f>
        <v>2.0999999999999908</v>
      </c>
      <c r="F129" s="13">
        <f>(0.11-0.1083)*1000</f>
        <v>1.7000000000000071</v>
      </c>
      <c r="G129" s="13">
        <f>(0.094-0.0916)*1000</f>
        <v>2.3999999999999995</v>
      </c>
      <c r="H129" s="13">
        <f>(0.0996-0.0972)*1000</f>
        <v>2.3999999999999995</v>
      </c>
      <c r="I129" s="13">
        <f>(0.0998-0.0983)*1000</f>
        <v>1.5000000000000013</v>
      </c>
      <c r="J129" s="13"/>
      <c r="K129" s="13"/>
      <c r="L129" s="13"/>
      <c r="M129" s="13"/>
      <c r="N129" s="13">
        <f t="shared" si="45"/>
        <v>2.083333333333333</v>
      </c>
      <c r="O129" s="13">
        <f t="shared" si="44"/>
        <v>0.39707262140150723</v>
      </c>
    </row>
    <row r="130" spans="1:15">
      <c r="A130" s="21" t="s">
        <v>707</v>
      </c>
      <c r="B130" s="4" t="s">
        <v>1127</v>
      </c>
      <c r="C130" s="11" t="s">
        <v>228</v>
      </c>
      <c r="D130" s="13">
        <f>(0.106-0.1036)*1000</f>
        <v>2.3999999999999995</v>
      </c>
      <c r="E130" s="13">
        <f>(0.1036-0.1011)*1000</f>
        <v>2.5000000000000022</v>
      </c>
      <c r="F130" s="13">
        <f>(0.1022-0.098)*1000/1.2</f>
        <v>3.4999999999999964</v>
      </c>
      <c r="G130" s="13">
        <f>(0.1112-0.1071)*1000/1.17</f>
        <v>3.504273504273498</v>
      </c>
      <c r="H130" s="13">
        <f>(0.1135-0.112)*1000</f>
        <v>1.5000000000000013</v>
      </c>
      <c r="I130" s="13">
        <f>(0.115-0.1117)*1000/1.2</f>
        <v>2.7500000000000098</v>
      </c>
      <c r="J130" s="13"/>
      <c r="K130" s="13"/>
      <c r="L130" s="13"/>
      <c r="M130" s="13"/>
      <c r="N130" s="13">
        <f t="shared" si="45"/>
        <v>2.6923789173789179</v>
      </c>
      <c r="O130" s="13">
        <f t="shared" si="44"/>
        <v>0.75617555954612226</v>
      </c>
    </row>
    <row r="131" spans="1:15">
      <c r="A131" s="21" t="s">
        <v>710</v>
      </c>
      <c r="B131" s="4" t="s">
        <v>1127</v>
      </c>
      <c r="C131" s="11" t="s">
        <v>228</v>
      </c>
      <c r="D131" s="13">
        <f>(0.0967-0.0944)*1000</f>
        <v>2.2999999999999963</v>
      </c>
      <c r="E131" s="13">
        <f>(0.0985-0.0938)*1000/1.3</f>
        <v>3.615384615384623</v>
      </c>
      <c r="F131" s="13">
        <f>(0.1021-0.0986)*1000/1.2</f>
        <v>2.9166666666666692</v>
      </c>
      <c r="G131" s="13">
        <f>(0.1011-0.0997)*1000</f>
        <v>1.3999999999999986</v>
      </c>
      <c r="H131" s="13">
        <f>(0.1038-0.1026)*1000</f>
        <v>1.2000000000000066</v>
      </c>
      <c r="I131" s="13"/>
      <c r="J131" s="13"/>
      <c r="K131" s="13"/>
      <c r="L131" s="13"/>
      <c r="M131" s="13"/>
      <c r="N131" s="13">
        <f t="shared" si="45"/>
        <v>2.2864102564102589</v>
      </c>
      <c r="O131" s="13">
        <f t="shared" si="44"/>
        <v>1.0160697636621892</v>
      </c>
    </row>
    <row r="132" spans="1:15">
      <c r="A132" s="21" t="s">
        <v>713</v>
      </c>
      <c r="B132" s="4" t="s">
        <v>1127</v>
      </c>
      <c r="C132" s="11" t="s">
        <v>228</v>
      </c>
      <c r="D132" s="13">
        <f>(0.1027-0.0998)*1000</f>
        <v>2.9</v>
      </c>
      <c r="E132" s="13">
        <f>(0.0964-0.0943)*1000</f>
        <v>2.1000000000000045</v>
      </c>
      <c r="F132" s="13">
        <f>(0.0946-0.0925)*1000</f>
        <v>2.1000000000000045</v>
      </c>
      <c r="G132" s="13">
        <f>(0.0884-0.0852)*1000</f>
        <v>3.2000000000000082</v>
      </c>
      <c r="H132" s="13">
        <f>(0.1008-0.0974)*1000</f>
        <v>3.4000000000000004</v>
      </c>
      <c r="I132" s="13">
        <f>(0.1044-0.1017)*1000</f>
        <v>2.7000000000000082</v>
      </c>
      <c r="J132" s="13"/>
      <c r="K132" s="13"/>
      <c r="L132" s="13"/>
      <c r="M132" s="13"/>
      <c r="N132" s="13">
        <f t="shared" si="45"/>
        <v>2.7333333333333378</v>
      </c>
      <c r="O132" s="13">
        <f t="shared" si="44"/>
        <v>0.54650404085117454</v>
      </c>
    </row>
    <row r="133" spans="1:15">
      <c r="A133" s="21" t="s">
        <v>1186</v>
      </c>
      <c r="B133" s="4" t="s">
        <v>1127</v>
      </c>
      <c r="C133" s="11" t="s">
        <v>228</v>
      </c>
      <c r="D133" s="13">
        <f>(0.0973-0.0935)*1000</f>
        <v>3.799999999999998</v>
      </c>
      <c r="E133" s="13">
        <f>(0.1027-0.0981)*1000/1.1</f>
        <v>4.1818181818181746</v>
      </c>
      <c r="F133" s="13">
        <f>(0.0935-0.0897)*1000/1.1</f>
        <v>3.4545454545454524</v>
      </c>
      <c r="G133" s="13">
        <f>(0.0981-0.0955)*1000</f>
        <v>2.600000000000005</v>
      </c>
      <c r="H133" s="13">
        <f>(0.1003-0.0948)*1000/1.3</f>
        <v>4.2307692307692344</v>
      </c>
      <c r="I133" s="13">
        <f>(0.1022-0.0973)*1000/1.1</f>
        <v>4.454545454545455</v>
      </c>
      <c r="J133" s="13"/>
      <c r="K133" s="13"/>
      <c r="L133" s="13"/>
      <c r="M133" s="13"/>
      <c r="N133" s="13">
        <f t="shared" si="45"/>
        <v>3.7869463869463864</v>
      </c>
      <c r="O133" s="13">
        <f t="shared" si="44"/>
        <v>0.680895508621293</v>
      </c>
    </row>
    <row r="134" spans="1:15">
      <c r="A134" s="21" t="s">
        <v>1187</v>
      </c>
      <c r="B134" s="4" t="s">
        <v>1127</v>
      </c>
      <c r="C134" s="11" t="s">
        <v>228</v>
      </c>
      <c r="D134" s="13">
        <f>(AVERAGE(0.1031,0.1034,0.1033)-AVERAGE(0.0993,0.0997,0.0987))*1000</f>
        <v>4.0333333333333332</v>
      </c>
      <c r="E134" s="13">
        <f>(0.0916-0.0864)*1000</f>
        <v>5.1999999999999966</v>
      </c>
      <c r="F134" s="13">
        <f>(0.0888-AVERAGE(0.0867,0.0866,0.0865))*1000</f>
        <v>2.1999999999999935</v>
      </c>
      <c r="G134" s="13">
        <f>(0.0977-AVERAGE(0.0932,0.093,0.0934))*1000</f>
        <v>4.4999999999999902</v>
      </c>
      <c r="H134" s="13">
        <f>(0.0912-0.088)*1000</f>
        <v>3.2000000000000082</v>
      </c>
      <c r="I134" s="13">
        <f>(0.0983-AVERAGE(0.095,0.0949))*1000</f>
        <v>3.3499999999999917</v>
      </c>
      <c r="J134" s="13"/>
      <c r="K134" s="13"/>
      <c r="L134" s="13"/>
      <c r="M134" s="13"/>
      <c r="N134" s="13">
        <f t="shared" ref="N134" si="46">AVERAGE(D134:J134)</f>
        <v>3.7472222222222196</v>
      </c>
      <c r="O134" s="13">
        <f t="shared" ref="O134" si="47">_xlfn.STDEV.S(D134:I134)</f>
        <v>1.0592668673645431</v>
      </c>
    </row>
    <row r="135" spans="1:15">
      <c r="A135" s="21" t="s">
        <v>1188</v>
      </c>
      <c r="B135" s="4" t="s">
        <v>1127</v>
      </c>
      <c r="C135" s="11" t="s">
        <v>228</v>
      </c>
      <c r="D135" s="13" t="s">
        <v>1048</v>
      </c>
      <c r="E135" s="13">
        <f>(0.0892-0.0863)*1000</f>
        <v>2.9</v>
      </c>
      <c r="F135" s="13" t="s">
        <v>1048</v>
      </c>
      <c r="G135" s="13">
        <f>(0.0965-0.0891)*1000</f>
        <v>7.4000000000000039</v>
      </c>
      <c r="H135" s="13">
        <f>(0.1049-0.0996)*1000</f>
        <v>5.2999999999999989</v>
      </c>
      <c r="I135" s="13"/>
      <c r="J135" s="13"/>
      <c r="K135" s="13"/>
      <c r="L135" s="13"/>
      <c r="M135" s="13"/>
      <c r="N135" s="13">
        <f t="shared" ref="N135" si="48">AVERAGE(D135:J135)</f>
        <v>5.2000000000000011</v>
      </c>
      <c r="O135" s="13">
        <f t="shared" ref="O135" si="49">_xlfn.STDEV.S(D135:I135)</f>
        <v>2.251666049839542</v>
      </c>
    </row>
    <row r="136" spans="1:15">
      <c r="A136" s="21" t="s">
        <v>1189</v>
      </c>
      <c r="B136" s="4" t="s">
        <v>1127</v>
      </c>
      <c r="C136" s="11" t="s">
        <v>228</v>
      </c>
      <c r="D136" s="13">
        <f>(0.094-0.09)*1000</f>
        <v>4.0000000000000036</v>
      </c>
      <c r="E136" s="13">
        <f>(0.1045-0.1013)*1000</f>
        <v>3.1999999999999944</v>
      </c>
      <c r="F136" s="13">
        <f>(0.0973-0.0937)*1000</f>
        <v>3.5999999999999921</v>
      </c>
      <c r="G136" s="13">
        <f>(0.1024-0.0988)*1000</f>
        <v>3.6000000000000059</v>
      </c>
      <c r="H136" s="13">
        <f>(0.0973-0.0929)*1000</f>
        <v>4.4000000000000012</v>
      </c>
      <c r="I136" s="13">
        <f>(0.0953-0.0927)*1000</f>
        <v>2.5999999999999912</v>
      </c>
      <c r="J136" s="13"/>
      <c r="K136" s="13"/>
      <c r="L136" s="13"/>
      <c r="M136" s="13"/>
      <c r="N136" s="13">
        <f t="shared" ref="N136" si="50">AVERAGE(D136:J136)</f>
        <v>3.5666666666666647</v>
      </c>
      <c r="O136" s="13">
        <f t="shared" ref="O136" si="51">_xlfn.STDEV.S(D136:I136)</f>
        <v>0.62503333244449633</v>
      </c>
    </row>
    <row r="137" spans="1:15">
      <c r="A137" s="21" t="s">
        <v>1190</v>
      </c>
      <c r="B137" s="4" t="s">
        <v>1127</v>
      </c>
      <c r="C137" s="11" t="s">
        <v>228</v>
      </c>
      <c r="D137" s="13">
        <f>(AVERAGE(0.0948,0.095)-AVERAGE(0.0936,0.0938,0.0938))*1000</f>
        <v>1.166666666666663</v>
      </c>
      <c r="E137" s="13">
        <f>(0.0954-0.0938)*1000</f>
        <v>1.6000000000000041</v>
      </c>
      <c r="F137" s="13">
        <f>(0.1046-0.1006)*1000</f>
        <v>4.0000000000000036</v>
      </c>
      <c r="G137" s="13">
        <f>(0.0911-0.0878)*1000</f>
        <v>3.2999999999999972</v>
      </c>
      <c r="H137" s="13">
        <f>(AVERAGE(0.1102,0.1104)-0.1065)*1000</f>
        <v>3.8000000000000118</v>
      </c>
      <c r="I137" s="13" t="s">
        <v>1048</v>
      </c>
      <c r="J137" s="13"/>
      <c r="K137" s="13"/>
      <c r="L137" s="13"/>
      <c r="M137" s="13"/>
      <c r="N137" s="13">
        <f t="shared" ref="N137" si="52">AVERAGE(D137:J137)</f>
        <v>2.7733333333333361</v>
      </c>
      <c r="O137" s="13">
        <f t="shared" ref="O137" si="53">_xlfn.STDEV.S(D137:I137)</f>
        <v>1.3032864441693404</v>
      </c>
    </row>
    <row r="138" spans="1:15">
      <c r="A138" s="21" t="s">
        <v>721</v>
      </c>
      <c r="B138" s="4" t="s">
        <v>1127</v>
      </c>
      <c r="C138" s="11" t="s">
        <v>228</v>
      </c>
      <c r="D138" s="13">
        <f>(AVERAGE(0.0955,0.0955,0.0954)-0.0926)*1000</f>
        <v>2.8666666666666565</v>
      </c>
      <c r="E138" s="13">
        <f>(0.1002-0.0972)*1000</f>
        <v>3.0000000000000027</v>
      </c>
      <c r="F138" s="13">
        <f>(0.0996-0.0963)*1000</f>
        <v>3.2999999999999972</v>
      </c>
      <c r="G138" s="13">
        <f>(0.1098-0.1077)*1000</f>
        <v>2.0999999999999908</v>
      </c>
      <c r="H138" s="13">
        <f>(0.1029-0.1008)*1000</f>
        <v>2.1000000000000045</v>
      </c>
      <c r="I138" s="13">
        <f>(AVERAGE(0.0964,0.0964,0.0965)-0.0924)*1000</f>
        <v>4.0333333333333332</v>
      </c>
      <c r="J138" s="13"/>
      <c r="K138" s="13"/>
      <c r="L138" s="13"/>
      <c r="M138" s="13"/>
      <c r="N138" s="13">
        <f>AVERAGE(D138:J138)</f>
        <v>2.8999999999999972</v>
      </c>
      <c r="O138" s="13">
        <f>_xlfn.STDEV.S(D138:I138)</f>
        <v>0.7396695959082753</v>
      </c>
    </row>
    <row r="139" spans="1:15">
      <c r="A139" s="21" t="s">
        <v>735</v>
      </c>
      <c r="B139" s="4" t="s">
        <v>1121</v>
      </c>
      <c r="C139" s="11" t="s">
        <v>228</v>
      </c>
      <c r="D139" s="13">
        <f>(AVERAGE(0.0987,0.0988,0.0988)-AVERAGE(0.0935,0.0936,0.0936))*1000/1.1</f>
        <v>4.727272727272724</v>
      </c>
      <c r="E139" s="13">
        <f>(AVERAGE(0.1047,0.1048,0.1049)-AVERAGE(0.1003,0.1004,0.1005))*1000/1.1</f>
        <v>4.0000000000000009</v>
      </c>
      <c r="F139" s="13">
        <f>(AVERAGE(0.0943,0.0942)-0.092)*1000</f>
        <v>2.2500000000000018</v>
      </c>
      <c r="G139" s="13">
        <f>(AVERAGE(0.1052,0.1053)-0.0993)*1000/1.15</f>
        <v>5.1739130434782705</v>
      </c>
      <c r="H139" s="13" t="s">
        <v>1048</v>
      </c>
      <c r="I139" s="13">
        <f>(AVERAGE(0.1008,0.1008,0.1009)-0.0965)*1000</f>
        <v>4.3333333333333277</v>
      </c>
      <c r="J139" s="13"/>
      <c r="K139" s="13"/>
      <c r="L139" s="13"/>
      <c r="M139" s="13"/>
      <c r="N139" s="13">
        <f t="shared" ref="N139" si="54">AVERAGE(D139:J139)</f>
        <v>4.0969038208168653</v>
      </c>
      <c r="O139" s="13">
        <f t="shared" ref="O139" si="55">_xlfn.STDEV.S(D139:I139)</f>
        <v>1.1217906235289268</v>
      </c>
    </row>
    <row r="140" spans="1:15">
      <c r="A140" s="21" t="s">
        <v>1191</v>
      </c>
      <c r="B140" s="4" t="s">
        <v>1121</v>
      </c>
      <c r="C140" s="11" t="s">
        <v>228</v>
      </c>
      <c r="D140" s="13">
        <f>(0.0917-0.0869)*1000/1.1</f>
        <v>4.3636363636363624</v>
      </c>
      <c r="E140" s="13" t="s">
        <v>1151</v>
      </c>
      <c r="F140" s="13" t="s">
        <v>1048</v>
      </c>
      <c r="G140" s="13">
        <f>(0.0891-0.0821)*1000/1.2</f>
        <v>5.8333333333333268</v>
      </c>
      <c r="H140" s="13">
        <f>(AVERAGE(0.0965,0.0966,0.0964)-AVERAGE(0.0898,0.0899,0.0899))*1000/1.1</f>
        <v>6.0303030303030214</v>
      </c>
      <c r="I140" s="13">
        <f>(AVERAGE(0.0875,0.0878,0.0877)-0.0795)*1000</f>
        <v>8.1666666666666696</v>
      </c>
      <c r="J140" s="13"/>
      <c r="K140" s="13"/>
      <c r="L140" s="13"/>
      <c r="M140" s="13">
        <f>AVERAGE(N140:N141)</f>
        <v>5.2458694083694102</v>
      </c>
      <c r="N140" s="13">
        <f t="shared" ref="N140" si="56">AVERAGE(D140:J140)</f>
        <v>6.0984848484848442</v>
      </c>
      <c r="O140" s="13">
        <f t="shared" ref="O140" si="57">_xlfn.STDEV.S(D140:I140)</f>
        <v>1.5665279425911696</v>
      </c>
    </row>
    <row r="141" spans="1:15">
      <c r="A141" s="21" t="s">
        <v>1192</v>
      </c>
      <c r="B141" s="4" t="s">
        <v>1121</v>
      </c>
      <c r="C141" s="11" t="s">
        <v>228</v>
      </c>
      <c r="D141" s="13" t="s">
        <v>1048</v>
      </c>
      <c r="E141" s="13">
        <f>(AVERAGE(0.0939,0.0936,0.0935)-0.088)*1000/1.2</f>
        <v>4.7222222222222348</v>
      </c>
      <c r="F141" s="13" t="s">
        <v>1048</v>
      </c>
      <c r="G141" s="13">
        <f>(AVERAGE(0.0849,0.085,0.0853)-AVERAGE(0.0801,0.08,0.0801))*1000</f>
        <v>4.9999999999999902</v>
      </c>
      <c r="H141" s="13">
        <f>(0.0903-AVERAGE(0.0866,0.0864,0.0864))*1000/1.05</f>
        <v>3.6507936507936716</v>
      </c>
      <c r="I141" s="13">
        <f>(0.0821-0.0779)*1000</f>
        <v>4.2000000000000091</v>
      </c>
      <c r="J141" s="13"/>
      <c r="K141" s="13"/>
      <c r="L141" s="13"/>
      <c r="M141" s="13"/>
      <c r="N141" s="13">
        <f t="shared" ref="N141" si="58">AVERAGE(D141:J141)</f>
        <v>4.3932539682539762</v>
      </c>
      <c r="O141" s="13">
        <f t="shared" ref="O141" si="59">_xlfn.STDEV.S(D141:I141)</f>
        <v>0.59580625441710588</v>
      </c>
    </row>
    <row r="142" spans="1:15">
      <c r="A142" s="21" t="s">
        <v>761</v>
      </c>
      <c r="B142" s="4" t="s">
        <v>1121</v>
      </c>
      <c r="C142" s="11" t="s">
        <v>228</v>
      </c>
      <c r="D142" s="13">
        <f>(0.1032-AVERAGE(0.0962,0.0961))*1000/1.2</f>
        <v>5.8750000000000009</v>
      </c>
      <c r="E142" s="13">
        <f>(AVERAGE(0.0982,0.0983)-0.0915)*1000/1.2</f>
        <v>5.6250000000000053</v>
      </c>
      <c r="F142" s="13">
        <f>(AVERAGE(0.0935,0.093,0.0932)-0.0852)*1000/1.2</f>
        <v>6.6944444444444473</v>
      </c>
      <c r="G142" s="13" t="s">
        <v>1048</v>
      </c>
      <c r="H142" s="13">
        <f>(0.0969-0.0928)*1000/1.2</f>
        <v>3.4166666666666723</v>
      </c>
      <c r="I142" s="13">
        <f>(0.0919-0.0856)*1000/1.2</f>
        <v>5.25</v>
      </c>
      <c r="J142" s="13"/>
      <c r="K142" s="13"/>
      <c r="L142" s="13"/>
      <c r="M142" s="13"/>
      <c r="N142" s="13">
        <f>AVERAGE(D142:J142)</f>
        <v>5.3722222222222253</v>
      </c>
      <c r="O142" s="13">
        <f>_xlfn.STDEV.S(D142:I142)</f>
        <v>1.2149166129999265</v>
      </c>
    </row>
    <row r="143" spans="1:15">
      <c r="A143" s="21" t="s">
        <v>764</v>
      </c>
      <c r="B143" s="4" t="s">
        <v>1121</v>
      </c>
      <c r="C143" s="11" t="s">
        <v>228</v>
      </c>
      <c r="D143" s="11" t="s">
        <v>1048</v>
      </c>
      <c r="E143" s="13">
        <f>(0.0967-0.0899)*1000/1.2</f>
        <v>5.6666666666666679</v>
      </c>
      <c r="F143" s="13">
        <f>(0.0902-0.0839)*1000/1.2</f>
        <v>5.25</v>
      </c>
      <c r="G143" s="13">
        <f>(0.1014-0.0948)*1000/1.2</f>
        <v>5.5000000000000071</v>
      </c>
      <c r="H143" s="13">
        <f>(0.098-0.0909)*1000/1.2</f>
        <v>5.916666666666675</v>
      </c>
      <c r="I143" s="13">
        <f>(0.0899-0.0839)*1000/1.2</f>
        <v>4.9999999999999929</v>
      </c>
      <c r="J143" s="13"/>
      <c r="K143" s="13"/>
      <c r="L143" s="13"/>
      <c r="M143" s="13"/>
      <c r="N143" s="13">
        <f>AVERAGE(D143:J143)</f>
        <v>5.4666666666666686</v>
      </c>
      <c r="O143" s="13">
        <f>_xlfn.STDEV.S(D143:I143)</f>
        <v>0.35648749393679591</v>
      </c>
    </row>
    <row r="144" spans="1:15">
      <c r="A144" s="53" t="s">
        <v>1193</v>
      </c>
      <c r="D144" s="13">
        <f>(0.1224-0.1219)*1000</f>
        <v>0.50000000000000044</v>
      </c>
      <c r="E144" s="13">
        <f>(0.1119-AVERAGE(0.1116,0.1117,0.1117))*1000</f>
        <v>0.23333333333334927</v>
      </c>
      <c r="F144" s="13">
        <f>(AVERAGE(0.1162,0.1166,0.1164)-AVERAGE(0.1161,0.1162,0.1161))*1000</f>
        <v>0.26666666666667893</v>
      </c>
      <c r="G144" s="13">
        <f>(0.1098-AVERAGE(0.1091,0.1089))*1000</f>
        <v>0.79999999999999516</v>
      </c>
      <c r="H144" s="13">
        <f>(0.1094-0.1092)*1000</f>
        <v>0.19999999999999185</v>
      </c>
      <c r="I144" s="13">
        <f>(0.1126-0.1125)*1000</f>
        <v>0.10000000000000286</v>
      </c>
      <c r="J144" s="13"/>
      <c r="K144" s="13"/>
      <c r="L144" s="13"/>
      <c r="M144" s="13"/>
      <c r="N144" s="13">
        <f t="shared" ref="N144" si="60">AVERAGE(D144:J144)</f>
        <v>0.35000000000000303</v>
      </c>
      <c r="O144" s="13">
        <f t="shared" ref="O144" si="61">_xlfn.STDEV.S(D144:J144)</f>
        <v>0.25712081034235518</v>
      </c>
    </row>
  </sheetData>
  <phoneticPr fontId="2" type="noConversion"/>
  <pageMargins left="0.7" right="0.7" top="0.75" bottom="0.75" header="0.3" footer="0.3"/>
  <pageSetup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DF15-03BC-4AAD-8C76-1A41586011C7}">
  <dimension ref="A1:X130"/>
  <sheetViews>
    <sheetView workbookViewId="0">
      <selection activeCell="R27" sqref="R27"/>
    </sheetView>
  </sheetViews>
  <sheetFormatPr defaultRowHeight="14.45"/>
  <cols>
    <col min="1" max="1" width="26" bestFit="1" customWidth="1"/>
    <col min="2" max="2" width="35.5703125" bestFit="1" customWidth="1"/>
    <col min="3" max="3" width="35.5703125" style="3" bestFit="1" customWidth="1"/>
    <col min="4" max="4" width="18.5703125" bestFit="1" customWidth="1"/>
    <col min="5" max="5" width="24" bestFit="1" customWidth="1"/>
    <col min="6" max="6" width="8.5703125" customWidth="1"/>
    <col min="8" max="8" width="10.42578125" bestFit="1" customWidth="1"/>
    <col min="12" max="12" width="10.42578125" bestFit="1" customWidth="1"/>
    <col min="13" max="13" width="5.5703125" customWidth="1"/>
    <col min="16" max="16" width="10.42578125" bestFit="1" customWidth="1"/>
    <col min="18" max="18" width="13.42578125" customWidth="1"/>
    <col min="20" max="20" width="11.5703125" customWidth="1"/>
  </cols>
  <sheetData>
    <row r="1" spans="1:23" ht="15.6">
      <c r="A1" s="4"/>
      <c r="B1" s="4"/>
      <c r="C1" s="11"/>
      <c r="D1" s="4"/>
      <c r="E1" s="4"/>
      <c r="F1" s="4"/>
      <c r="G1" s="4"/>
      <c r="H1" s="4"/>
      <c r="I1" s="54"/>
      <c r="J1" s="54" t="s">
        <v>1194</v>
      </c>
      <c r="K1" s="4"/>
      <c r="L1" s="4"/>
      <c r="M1" s="4"/>
      <c r="N1" s="4"/>
      <c r="O1" s="4"/>
      <c r="P1" s="4"/>
      <c r="T1" s="46" t="s">
        <v>1195</v>
      </c>
    </row>
    <row r="2" spans="1:23" s="56" customFormat="1">
      <c r="A2" s="54"/>
      <c r="B2" s="54"/>
      <c r="C2" s="55"/>
      <c r="D2" s="54"/>
      <c r="E2" s="54"/>
      <c r="G2" s="56" t="s">
        <v>1196</v>
      </c>
      <c r="I2" s="54"/>
      <c r="J2" s="54"/>
      <c r="K2" s="54" t="s">
        <v>1197</v>
      </c>
      <c r="L2" s="54"/>
      <c r="M2" s="54"/>
      <c r="N2" s="54" t="s">
        <v>1198</v>
      </c>
      <c r="O2" s="54"/>
      <c r="P2" s="54"/>
      <c r="T2" s="16" t="s">
        <v>1199</v>
      </c>
      <c r="U2" s="16"/>
      <c r="V2"/>
    </row>
    <row r="3" spans="1:23" s="56" customFormat="1">
      <c r="A3" s="54" t="s">
        <v>1200</v>
      </c>
      <c r="B3" s="54" t="s">
        <v>1201</v>
      </c>
      <c r="C3" s="55" t="s">
        <v>1202</v>
      </c>
      <c r="D3" s="54" t="s">
        <v>1203</v>
      </c>
      <c r="E3" s="54" t="s">
        <v>1204</v>
      </c>
      <c r="F3" s="54" t="s">
        <v>1063</v>
      </c>
      <c r="G3" s="54" t="s">
        <v>1205</v>
      </c>
      <c r="H3" s="54" t="s">
        <v>1206</v>
      </c>
      <c r="I3" s="54"/>
      <c r="J3" s="54" t="s">
        <v>1063</v>
      </c>
      <c r="K3" s="54" t="s">
        <v>1205</v>
      </c>
      <c r="L3" s="54" t="s">
        <v>1206</v>
      </c>
      <c r="M3" s="54"/>
      <c r="N3" s="54" t="s">
        <v>1063</v>
      </c>
      <c r="O3" s="54" t="s">
        <v>1205</v>
      </c>
      <c r="P3" s="54" t="s">
        <v>1206</v>
      </c>
      <c r="T3" s="16" t="s">
        <v>1207</v>
      </c>
      <c r="U3" s="16" t="s">
        <v>1208</v>
      </c>
      <c r="W3" s="16" t="s">
        <v>1207</v>
      </c>
    </row>
    <row r="4" spans="1:23">
      <c r="A4" s="4" t="s">
        <v>1209</v>
      </c>
      <c r="B4" s="4" t="s">
        <v>1210</v>
      </c>
      <c r="C4" s="11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T4">
        <v>6.4740000000000002</v>
      </c>
      <c r="U4">
        <v>16.13</v>
      </c>
      <c r="V4" s="56"/>
      <c r="W4">
        <v>0.66500000000000004</v>
      </c>
    </row>
    <row r="5" spans="1:23">
      <c r="A5" s="4"/>
      <c r="B5" s="4"/>
      <c r="C5" s="11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T5">
        <v>5.5220000000000002</v>
      </c>
      <c r="U5">
        <v>16.2</v>
      </c>
      <c r="W5">
        <v>0.57199999999999995</v>
      </c>
    </row>
    <row r="6" spans="1:23">
      <c r="A6" s="4" t="s">
        <v>1211</v>
      </c>
      <c r="B6" s="4"/>
      <c r="C6" s="11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T6" s="57">
        <v>5.6790000000000003</v>
      </c>
      <c r="U6" s="58">
        <v>16.66</v>
      </c>
      <c r="W6">
        <v>0.58599999999999997</v>
      </c>
    </row>
    <row r="7" spans="1:23">
      <c r="A7" s="4"/>
      <c r="B7" s="4"/>
      <c r="C7" s="11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T7">
        <v>5.4820000000000002</v>
      </c>
      <c r="U7">
        <v>15.01</v>
      </c>
      <c r="W7">
        <v>0.69</v>
      </c>
    </row>
    <row r="8" spans="1:23">
      <c r="A8" s="4" t="s">
        <v>83</v>
      </c>
      <c r="B8" s="4"/>
      <c r="C8" s="11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T8">
        <v>5.6429999999999998</v>
      </c>
      <c r="U8">
        <v>15.994999999999999</v>
      </c>
      <c r="W8">
        <v>0.59</v>
      </c>
    </row>
    <row r="9" spans="1:23">
      <c r="B9" s="4"/>
      <c r="C9" s="11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T9">
        <v>4.5469999999999997</v>
      </c>
      <c r="U9">
        <v>13.792999999999999</v>
      </c>
      <c r="W9">
        <v>0.59699999999999998</v>
      </c>
    </row>
    <row r="10" spans="1:23">
      <c r="A10" s="4" t="s">
        <v>1212</v>
      </c>
      <c r="B10" s="4"/>
      <c r="C10" s="11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T10">
        <v>5.2270000000000003</v>
      </c>
      <c r="U10">
        <v>15.465</v>
      </c>
      <c r="W10">
        <v>0.67700000000000005</v>
      </c>
    </row>
    <row r="11" spans="1:23">
      <c r="A11" s="4"/>
      <c r="B11" s="4"/>
      <c r="C11" s="1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R11" s="132">
        <f>T11/U11</f>
        <v>0.35307039623625902</v>
      </c>
      <c r="T11" s="59">
        <f>AVERAGE(T4:T10)</f>
        <v>5.5105714285714287</v>
      </c>
      <c r="U11" s="59">
        <f>AVERAGE(U4:U10)</f>
        <v>15.607571428571427</v>
      </c>
      <c r="W11" s="59">
        <f>AVERAGE(W4:W10)</f>
        <v>0.62528571428571422</v>
      </c>
    </row>
    <row r="12" spans="1:23">
      <c r="A12" s="50" t="s">
        <v>112</v>
      </c>
      <c r="B12" s="50"/>
      <c r="C12" s="51">
        <v>1.07</v>
      </c>
      <c r="D12" s="50"/>
      <c r="E12" s="50"/>
      <c r="F12" s="50">
        <v>1.1499999999999999</v>
      </c>
      <c r="G12" s="50">
        <v>233.1</v>
      </c>
      <c r="H12" s="50">
        <v>40.07</v>
      </c>
      <c r="I12" s="50"/>
      <c r="J12" s="50">
        <v>0.69899999999999995</v>
      </c>
      <c r="K12" s="50">
        <v>240</v>
      </c>
      <c r="L12" s="50">
        <v>37.99</v>
      </c>
      <c r="M12" s="50"/>
      <c r="N12" s="50">
        <v>1.1499999999999999</v>
      </c>
      <c r="O12" s="50">
        <v>231</v>
      </c>
      <c r="P12" s="50">
        <v>42.1</v>
      </c>
    </row>
    <row r="13" spans="1:23">
      <c r="B13" s="4"/>
      <c r="C13" s="11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T13" s="16" t="s">
        <v>1213</v>
      </c>
      <c r="U13" s="16"/>
    </row>
    <row r="14" spans="1:23">
      <c r="A14" s="4" t="s">
        <v>121</v>
      </c>
      <c r="B14" s="4"/>
      <c r="C14" s="11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T14">
        <v>7.21</v>
      </c>
      <c r="U14">
        <v>15.7</v>
      </c>
      <c r="W14">
        <v>0.76200000000000001</v>
      </c>
    </row>
    <row r="15" spans="1:23">
      <c r="A15" s="4"/>
      <c r="B15" s="4"/>
      <c r="C15" s="11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T15">
        <v>5.5129999999999999</v>
      </c>
      <c r="U15">
        <v>16.02</v>
      </c>
      <c r="W15">
        <v>0.59499999999999997</v>
      </c>
    </row>
    <row r="16" spans="1:23">
      <c r="A16" s="4" t="s">
        <v>124</v>
      </c>
      <c r="B16" s="4"/>
      <c r="C16" s="1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T16">
        <v>5.3559999999999999</v>
      </c>
      <c r="U16">
        <v>16.260000000000002</v>
      </c>
      <c r="W16">
        <v>0.56899999999999995</v>
      </c>
    </row>
    <row r="17" spans="1:24">
      <c r="A17" s="4"/>
      <c r="B17" s="4"/>
      <c r="C17" s="11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T17">
        <v>7.851</v>
      </c>
      <c r="U17">
        <v>15.15</v>
      </c>
      <c r="W17">
        <v>0.88</v>
      </c>
    </row>
    <row r="18" spans="1:24">
      <c r="A18" s="4" t="s">
        <v>128</v>
      </c>
      <c r="B18" s="4"/>
      <c r="C18" s="11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T18">
        <v>6.7569999999999997</v>
      </c>
      <c r="U18">
        <v>16.239999999999998</v>
      </c>
      <c r="W18">
        <v>0.66600000000000004</v>
      </c>
    </row>
    <row r="19" spans="1:24">
      <c r="A19" s="14" t="s">
        <v>130</v>
      </c>
      <c r="B19" s="4"/>
      <c r="C19" s="11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T19">
        <v>6.5229999999999997</v>
      </c>
      <c r="U19">
        <v>15.37</v>
      </c>
      <c r="W19">
        <v>0.73099999999999998</v>
      </c>
    </row>
    <row r="20" spans="1:24">
      <c r="B20" s="4"/>
      <c r="C20" s="11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T20">
        <v>7.1680000000000001</v>
      </c>
      <c r="U20">
        <v>15.86</v>
      </c>
      <c r="W20">
        <v>0.74099999999999999</v>
      </c>
    </row>
    <row r="21" spans="1:24" ht="15" thickBot="1">
      <c r="A21" s="4" t="s">
        <v>132</v>
      </c>
      <c r="B21" s="4"/>
      <c r="C21" s="11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R21" s="132">
        <f>T21/U21</f>
        <v>0.41933092224231455</v>
      </c>
      <c r="T21" s="133">
        <f>AVERAGE(T14:T20)</f>
        <v>6.6254285714285706</v>
      </c>
      <c r="U21" s="133">
        <f>AVERAGE(U14:U20)</f>
        <v>15.8</v>
      </c>
    </row>
    <row r="22" spans="1:24">
      <c r="A22" s="4"/>
      <c r="B22" s="4"/>
      <c r="C22" s="11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R22" s="134"/>
    </row>
    <row r="23" spans="1:24">
      <c r="A23" s="14" t="s">
        <v>147</v>
      </c>
      <c r="B23" s="4"/>
      <c r="C23" s="11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T23" s="16" t="s">
        <v>1214</v>
      </c>
      <c r="U23" s="16"/>
    </row>
    <row r="24" spans="1:24">
      <c r="A24" s="4"/>
      <c r="B24" s="4"/>
      <c r="C24" s="11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T24">
        <v>6.7169999999999996</v>
      </c>
      <c r="U24">
        <v>17</v>
      </c>
      <c r="W24">
        <v>0.627</v>
      </c>
    </row>
    <row r="25" spans="1:24">
      <c r="A25" s="4" t="s">
        <v>152</v>
      </c>
      <c r="B25" s="4"/>
      <c r="C25" s="11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T25">
        <v>7.0119999999999996</v>
      </c>
      <c r="U25">
        <v>15.23</v>
      </c>
      <c r="W25">
        <v>0.82099999999999995</v>
      </c>
    </row>
    <row r="26" spans="1:24">
      <c r="A26" s="4"/>
      <c r="B26" s="4"/>
      <c r="C26" s="11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R26">
        <f>T26/U26</f>
        <v>0.42596959354638531</v>
      </c>
      <c r="T26" s="59">
        <f>AVERAGE(T24:T25)</f>
        <v>6.8644999999999996</v>
      </c>
      <c r="U26" s="59">
        <f>AVERAGE(U24:U25)</f>
        <v>16.115000000000002</v>
      </c>
      <c r="W26" s="60">
        <f>AVERAGE(W24:W25)</f>
        <v>0.72399999999999998</v>
      </c>
    </row>
    <row r="27" spans="1:24">
      <c r="A27" s="4" t="s">
        <v>159</v>
      </c>
      <c r="B27" s="4"/>
      <c r="C27" s="11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24">
      <c r="A28" s="4" t="s">
        <v>161</v>
      </c>
      <c r="B28" s="4"/>
      <c r="C28" s="11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24">
      <c r="B29" s="4"/>
      <c r="C29" s="1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T29" s="16" t="s">
        <v>1215</v>
      </c>
      <c r="U29" s="16"/>
      <c r="W29" s="56"/>
      <c r="X29" s="56"/>
    </row>
    <row r="30" spans="1:24">
      <c r="A30" s="4" t="s">
        <v>162</v>
      </c>
      <c r="B30" s="4"/>
      <c r="C30" s="11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T30" s="16" t="s">
        <v>1207</v>
      </c>
      <c r="U30" s="16" t="s">
        <v>1208</v>
      </c>
      <c r="V30" s="56"/>
      <c r="W30" s="16" t="s">
        <v>1207</v>
      </c>
      <c r="X30" s="56"/>
    </row>
    <row r="31" spans="1:24">
      <c r="A31" s="4"/>
      <c r="B31" s="4"/>
      <c r="C31" s="1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T31">
        <v>5.5119999999999996</v>
      </c>
      <c r="U31">
        <v>13.95</v>
      </c>
      <c r="V31" s="56"/>
      <c r="W31">
        <v>0.76500000000000001</v>
      </c>
    </row>
    <row r="32" spans="1:24">
      <c r="A32" s="4" t="s">
        <v>171</v>
      </c>
      <c r="B32" s="4"/>
      <c r="C32" s="1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T32">
        <v>5.5960000000000001</v>
      </c>
      <c r="U32">
        <v>13.59</v>
      </c>
      <c r="W32">
        <v>0.82499999999999996</v>
      </c>
    </row>
    <row r="33" spans="1:23">
      <c r="B33" s="4"/>
      <c r="C33" s="1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T33" s="57">
        <v>6.28</v>
      </c>
      <c r="U33" s="58">
        <v>12.04</v>
      </c>
      <c r="W33">
        <v>1.079</v>
      </c>
    </row>
    <row r="34" spans="1:23">
      <c r="A34" s="4" t="s">
        <v>177</v>
      </c>
      <c r="B34" s="4"/>
      <c r="C34" s="1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T34">
        <v>5.4279999999999999</v>
      </c>
      <c r="U34">
        <v>11.42</v>
      </c>
      <c r="W34">
        <v>0.72199999999999998</v>
      </c>
    </row>
    <row r="35" spans="1:23">
      <c r="B35" s="4"/>
      <c r="C35" s="1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T35">
        <v>5.77</v>
      </c>
      <c r="U35">
        <v>12.2</v>
      </c>
      <c r="W35">
        <v>1.052</v>
      </c>
    </row>
    <row r="36" spans="1:23">
      <c r="A36" s="4" t="s">
        <v>182</v>
      </c>
      <c r="B36" s="4"/>
      <c r="C36" s="1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T36">
        <v>6.7770000000000001</v>
      </c>
      <c r="U36">
        <v>11.59</v>
      </c>
      <c r="W36">
        <v>1.2569999999999999</v>
      </c>
    </row>
    <row r="37" spans="1:23">
      <c r="B37" s="4"/>
      <c r="C37" s="1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23">
      <c r="A38" s="50" t="s">
        <v>198</v>
      </c>
      <c r="B38" s="51" t="s">
        <v>1216</v>
      </c>
      <c r="C38" s="51">
        <v>0.11</v>
      </c>
      <c r="D38" s="50" t="s">
        <v>1217</v>
      </c>
      <c r="E38" s="61">
        <f>AVERAGE(0.665,0.572,0.586,0.69,0.59,0.597,0.677)</f>
        <v>0.62528571428571422</v>
      </c>
      <c r="F38" s="50">
        <v>1.2</v>
      </c>
      <c r="G38" s="50">
        <v>202.5</v>
      </c>
      <c r="H38" s="50">
        <v>40.799999999999997</v>
      </c>
      <c r="I38" s="50"/>
      <c r="J38" s="50">
        <v>0.85</v>
      </c>
      <c r="K38" s="50">
        <v>209.4</v>
      </c>
      <c r="L38" s="50">
        <v>45.1</v>
      </c>
      <c r="M38" s="50"/>
      <c r="N38" s="50">
        <v>1.35</v>
      </c>
      <c r="O38" s="50">
        <v>328</v>
      </c>
      <c r="P38" s="50">
        <v>28.9</v>
      </c>
      <c r="T38" s="59">
        <f>AVERAGE(T31:T37)</f>
        <v>5.8938333333333333</v>
      </c>
      <c r="U38" s="59">
        <f>AVERAGE(U31:U37)</f>
        <v>12.465000000000002</v>
      </c>
      <c r="W38" s="59">
        <f>AVERAGE(W31:W37)</f>
        <v>0.94999999999999984</v>
      </c>
    </row>
    <row r="39" spans="1:23">
      <c r="A39" s="62"/>
      <c r="B39" s="4"/>
      <c r="C39" s="11"/>
      <c r="D39" s="4"/>
      <c r="E39" s="4"/>
    </row>
    <row r="40" spans="1:23">
      <c r="A40" s="4" t="s">
        <v>217</v>
      </c>
      <c r="B40" s="4"/>
      <c r="C40" s="1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23">
      <c r="B41" s="4"/>
      <c r="C41" s="1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23">
      <c r="A42" s="50" t="s">
        <v>229</v>
      </c>
      <c r="B42" s="50"/>
      <c r="C42" s="51"/>
      <c r="D42" s="50"/>
      <c r="E42" s="50"/>
      <c r="F42" s="50">
        <v>1.42</v>
      </c>
      <c r="G42" s="50">
        <v>231.3</v>
      </c>
      <c r="H42" s="50">
        <v>33.9</v>
      </c>
      <c r="I42" s="50"/>
      <c r="J42" s="50"/>
      <c r="K42" s="50"/>
      <c r="L42" s="50"/>
      <c r="M42" s="50"/>
      <c r="N42" s="50"/>
      <c r="O42" s="50"/>
      <c r="P42" s="50"/>
    </row>
    <row r="43" spans="1:23">
      <c r="B43" s="4"/>
      <c r="C43" s="1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23">
      <c r="A44" s="4" t="s">
        <v>244</v>
      </c>
      <c r="B44" s="4"/>
      <c r="C44" s="1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23">
      <c r="A45" s="4"/>
      <c r="B45" s="4"/>
      <c r="C45" s="1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23">
      <c r="A46" s="4" t="s">
        <v>251</v>
      </c>
      <c r="B46" s="4"/>
      <c r="C46" s="1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23">
      <c r="A47" s="4"/>
      <c r="B47" s="4"/>
      <c r="C47" s="1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23">
      <c r="A48" s="4" t="s">
        <v>1218</v>
      </c>
      <c r="B48" s="4"/>
      <c r="C48" s="1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>
      <c r="A49" s="4"/>
      <c r="B49" s="4"/>
      <c r="C49" s="1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>
      <c r="A50" s="4" t="s">
        <v>1219</v>
      </c>
      <c r="B50" s="4"/>
      <c r="C50" s="1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>
      <c r="A51" s="4"/>
      <c r="B51" s="4"/>
      <c r="C51" s="1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>
      <c r="A52" s="4" t="s">
        <v>1220</v>
      </c>
      <c r="B52" s="4"/>
      <c r="C52" s="1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>
      <c r="A53" s="4"/>
      <c r="B53" s="4"/>
      <c r="C53" s="1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>
      <c r="A54" s="4" t="s">
        <v>1221</v>
      </c>
      <c r="B54" s="4"/>
      <c r="C54" s="1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>
      <c r="A55" s="4"/>
      <c r="B55" s="4"/>
      <c r="C55" s="1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>
      <c r="A56" s="4" t="s">
        <v>1222</v>
      </c>
      <c r="B56" s="4"/>
      <c r="C56" s="1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>
      <c r="A57" s="4"/>
      <c r="B57" s="4"/>
      <c r="C57" s="1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>
      <c r="A58" s="50" t="s">
        <v>275</v>
      </c>
      <c r="B58" s="51">
        <v>3.56</v>
      </c>
      <c r="C58" s="51"/>
      <c r="D58" s="50" t="s">
        <v>1223</v>
      </c>
      <c r="E58" s="50">
        <v>0.72399999999999998</v>
      </c>
      <c r="F58" s="50">
        <v>1.6990000000000001</v>
      </c>
      <c r="G58" s="50">
        <v>230</v>
      </c>
      <c r="H58" s="50">
        <v>34.299999999999997</v>
      </c>
      <c r="I58" s="50"/>
      <c r="J58" s="50"/>
      <c r="K58" s="50"/>
      <c r="L58" s="50"/>
      <c r="M58" s="50"/>
      <c r="N58" s="50"/>
      <c r="O58" s="50"/>
      <c r="P58" s="50"/>
    </row>
    <row r="59" spans="1:16">
      <c r="A59" s="4"/>
      <c r="B59" s="4"/>
      <c r="C59" s="1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>
      <c r="A60" s="4" t="s">
        <v>293</v>
      </c>
      <c r="B60" s="4"/>
      <c r="C60" s="1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>
      <c r="A61" s="4"/>
      <c r="B61" s="4"/>
      <c r="C61" s="1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>
      <c r="A62" s="4" t="s">
        <v>304</v>
      </c>
      <c r="B62" s="4"/>
      <c r="C62" s="1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>
      <c r="A63" s="4"/>
      <c r="B63" s="4"/>
      <c r="C63" s="1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>
      <c r="A64" s="4" t="s">
        <v>310</v>
      </c>
      <c r="B64" s="4"/>
      <c r="C64" s="1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>
      <c r="A65" s="4"/>
      <c r="B65" s="4"/>
      <c r="C65" s="1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>
      <c r="A66" s="4" t="s">
        <v>315</v>
      </c>
      <c r="B66" s="4"/>
      <c r="C66" s="1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1:16">
      <c r="A67" s="4"/>
      <c r="B67" s="4"/>
      <c r="C67" s="1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6">
      <c r="A68" s="4" t="s">
        <v>319</v>
      </c>
      <c r="B68" s="4"/>
      <c r="C68" s="1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>
      <c r="A69" s="4" t="s">
        <v>321</v>
      </c>
      <c r="B69" s="4"/>
      <c r="C69" s="1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>
      <c r="A70" s="4" t="s">
        <v>322</v>
      </c>
      <c r="B70" s="4"/>
      <c r="C70" s="1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>
      <c r="A71" s="4"/>
      <c r="B71" s="4"/>
      <c r="C71" s="1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>
      <c r="A72" s="4" t="s">
        <v>324</v>
      </c>
      <c r="B72" s="4"/>
      <c r="C72" s="1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>
      <c r="A73" s="4"/>
      <c r="B73" s="4"/>
      <c r="C73" s="1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>
      <c r="A74" s="4" t="s">
        <v>326</v>
      </c>
      <c r="B74" s="4"/>
      <c r="C74" s="1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>
      <c r="A75" s="4" t="s">
        <v>328</v>
      </c>
      <c r="B75" s="4"/>
      <c r="C75" s="1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>
      <c r="A76" s="4"/>
      <c r="B76" s="4"/>
      <c r="C76" s="1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>
      <c r="A77" s="4" t="s">
        <v>330</v>
      </c>
      <c r="B77" s="4"/>
      <c r="C77" s="1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>
      <c r="A78" s="63" t="s">
        <v>333</v>
      </c>
      <c r="B78" s="4"/>
      <c r="C78" s="1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>
      <c r="A79" s="63" t="s">
        <v>337</v>
      </c>
      <c r="B79" s="4"/>
      <c r="C79" s="1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>
      <c r="A80" s="4"/>
      <c r="B80" s="4"/>
      <c r="C80" s="1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>
      <c r="A81" s="4" t="s">
        <v>340</v>
      </c>
      <c r="B81" s="4"/>
      <c r="C81" s="1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>
      <c r="A82" s="4" t="s">
        <v>342</v>
      </c>
      <c r="B82" s="4"/>
      <c r="C82" s="1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>
      <c r="A83" s="4" t="s">
        <v>345</v>
      </c>
      <c r="B83" s="4"/>
      <c r="C83" s="1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1:16">
      <c r="A84" s="4" t="s">
        <v>349</v>
      </c>
      <c r="B84" s="4"/>
      <c r="C84" s="1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>
      <c r="A85" s="4" t="s">
        <v>355</v>
      </c>
      <c r="B85" s="4"/>
      <c r="C85" s="1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6">
      <c r="A86" s="4" t="s">
        <v>358</v>
      </c>
      <c r="B86" s="4"/>
      <c r="C86" s="1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1:16">
      <c r="A87" s="4" t="s">
        <v>362</v>
      </c>
      <c r="B87" s="4"/>
      <c r="C87" s="1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1:16">
      <c r="A88" s="4" t="s">
        <v>377</v>
      </c>
      <c r="B88" s="4"/>
      <c r="C88" s="1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spans="1:16">
      <c r="A89" s="4" t="s">
        <v>379</v>
      </c>
      <c r="B89" s="4"/>
      <c r="C89" s="1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spans="1:16">
      <c r="A90" s="4"/>
      <c r="B90" s="4"/>
      <c r="C90" s="1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spans="1:16">
      <c r="A91" s="4"/>
      <c r="B91" s="4"/>
      <c r="C91" s="1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1:16">
      <c r="A92" s="4" t="s">
        <v>381</v>
      </c>
      <c r="B92" s="4"/>
      <c r="C92" s="1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1:16">
      <c r="A93" s="4"/>
      <c r="B93" s="4"/>
      <c r="C93" s="1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1:16">
      <c r="A94" s="4" t="s">
        <v>400</v>
      </c>
      <c r="B94" s="4"/>
      <c r="C94" s="1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1:16">
      <c r="A95" s="4"/>
      <c r="B95" s="4"/>
      <c r="C95" s="1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spans="1:16">
      <c r="A96" s="4" t="s">
        <v>404</v>
      </c>
      <c r="B96" s="4"/>
      <c r="C96" s="1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1:16">
      <c r="A97" s="4"/>
      <c r="B97" s="4"/>
      <c r="C97" s="1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spans="1:16">
      <c r="A98" s="4" t="s">
        <v>422</v>
      </c>
      <c r="B98" s="4"/>
      <c r="C98" s="1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6">
      <c r="A99" s="4"/>
      <c r="B99" s="4"/>
      <c r="C99" s="1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spans="1:16">
      <c r="A100" s="4" t="s">
        <v>425</v>
      </c>
      <c r="B100" s="4"/>
      <c r="C100" s="1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spans="1:16">
      <c r="A101" s="4" t="s">
        <v>428</v>
      </c>
      <c r="B101" s="4"/>
      <c r="C101" s="11">
        <v>0.15</v>
      </c>
      <c r="D101" s="4"/>
      <c r="E101" s="4"/>
      <c r="F101" s="50">
        <v>1.1180000000000001</v>
      </c>
      <c r="G101" s="50">
        <v>235</v>
      </c>
      <c r="H101" s="50">
        <v>33.85</v>
      </c>
      <c r="I101" s="4"/>
      <c r="J101" s="4"/>
      <c r="K101" s="4"/>
      <c r="L101" s="4"/>
      <c r="M101" s="4"/>
      <c r="N101" s="4"/>
      <c r="O101" s="4"/>
      <c r="P101" s="4"/>
    </row>
    <row r="102" spans="1:16">
      <c r="A102" s="4"/>
      <c r="B102" s="4"/>
      <c r="C102" s="1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16">
      <c r="A103" s="4" t="s">
        <v>432</v>
      </c>
      <c r="B103" s="4"/>
      <c r="C103" s="1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spans="1:16">
      <c r="A104" s="50" t="s">
        <v>434</v>
      </c>
      <c r="B104" s="51" t="s">
        <v>1224</v>
      </c>
      <c r="C104" s="51">
        <v>0.28999999999999998</v>
      </c>
      <c r="D104" s="50" t="s">
        <v>1225</v>
      </c>
      <c r="E104" s="50">
        <v>0.95</v>
      </c>
      <c r="F104" s="50">
        <v>1.22</v>
      </c>
      <c r="G104" s="50">
        <v>238.6</v>
      </c>
      <c r="H104" s="50">
        <v>33.159999999999997</v>
      </c>
      <c r="I104" s="50"/>
      <c r="J104" s="50"/>
      <c r="K104" s="50"/>
      <c r="L104" s="50"/>
      <c r="M104" s="50"/>
      <c r="N104" s="50"/>
      <c r="O104" s="50"/>
      <c r="P104" s="50"/>
    </row>
    <row r="105" spans="1:16">
      <c r="A105" s="4" t="s">
        <v>439</v>
      </c>
      <c r="B105" s="4"/>
      <c r="C105" s="1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spans="1:16">
      <c r="A106" s="4" t="s">
        <v>443</v>
      </c>
      <c r="B106" s="4"/>
      <c r="C106" s="1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spans="1:16">
      <c r="A107" s="4" t="s">
        <v>447</v>
      </c>
      <c r="B107" s="4"/>
      <c r="C107" s="1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spans="1:16" ht="15.6">
      <c r="A108" s="50" t="s">
        <v>451</v>
      </c>
      <c r="B108" s="52" t="s">
        <v>1226</v>
      </c>
      <c r="C108" s="51"/>
      <c r="D108" s="50"/>
      <c r="E108" s="50"/>
      <c r="F108" s="50">
        <v>1.0840000000000001</v>
      </c>
      <c r="G108" s="50">
        <v>228</v>
      </c>
      <c r="H108" s="50">
        <v>34.549999999999997</v>
      </c>
      <c r="I108" s="50"/>
      <c r="J108" s="50"/>
      <c r="K108" s="50"/>
      <c r="L108" s="50"/>
      <c r="M108" s="50"/>
      <c r="N108" s="50"/>
      <c r="O108" s="50"/>
      <c r="P108" s="50"/>
    </row>
    <row r="109" spans="1:16">
      <c r="A109" s="4" t="s">
        <v>458</v>
      </c>
      <c r="B109" s="4"/>
      <c r="C109" s="1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spans="1:16">
      <c r="A110" s="4" t="s">
        <v>461</v>
      </c>
      <c r="B110" s="4"/>
      <c r="C110" s="1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>
      <c r="A111" s="4" t="s">
        <v>465</v>
      </c>
      <c r="B111" s="4"/>
      <c r="C111" s="1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spans="1:16">
      <c r="A112" s="4" t="s">
        <v>469</v>
      </c>
      <c r="B112" s="4"/>
      <c r="C112" s="1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spans="1:16">
      <c r="A113" s="4" t="s">
        <v>472</v>
      </c>
      <c r="B113" s="4"/>
      <c r="C113" s="1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spans="1:16">
      <c r="A114" s="4" t="s">
        <v>474</v>
      </c>
      <c r="B114" s="4"/>
      <c r="C114" s="1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spans="1:16">
      <c r="A115" s="4" t="s">
        <v>476</v>
      </c>
      <c r="B115" s="4"/>
      <c r="C115" s="1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spans="1:16">
      <c r="A116" s="4"/>
      <c r="B116" s="4"/>
      <c r="C116" s="1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spans="1:16">
      <c r="A117" s="4" t="s">
        <v>484</v>
      </c>
      <c r="B117" s="4"/>
      <c r="C117" s="1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spans="1:16">
      <c r="A118" s="4" t="s">
        <v>488</v>
      </c>
      <c r="B118" s="4"/>
      <c r="C118" s="1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16">
      <c r="A119" s="4"/>
      <c r="B119" s="4"/>
      <c r="C119" s="1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1:16">
      <c r="A120" s="50" t="s">
        <v>496</v>
      </c>
      <c r="B120" s="50"/>
      <c r="C120" s="51"/>
      <c r="D120" s="50"/>
      <c r="E120" s="50"/>
      <c r="F120" s="50">
        <v>1.02</v>
      </c>
      <c r="G120" s="50">
        <v>217</v>
      </c>
      <c r="H120" s="50">
        <v>32.700000000000003</v>
      </c>
      <c r="I120" s="50"/>
      <c r="J120" s="50"/>
      <c r="K120" s="50"/>
      <c r="L120" s="50"/>
      <c r="M120" s="50"/>
      <c r="N120" s="50"/>
      <c r="O120" s="50"/>
      <c r="P120" s="50"/>
    </row>
    <row r="121" spans="1:16">
      <c r="A121" s="4"/>
      <c r="B121" s="4"/>
      <c r="C121" s="1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>
      <c r="A122" s="4"/>
      <c r="B122" s="4"/>
      <c r="C122" s="1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>
      <c r="A123" s="4"/>
      <c r="B123" s="4"/>
      <c r="C123" s="1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1:16">
      <c r="A124" s="4"/>
      <c r="B124" s="4"/>
      <c r="C124" s="1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>
      <c r="A125" s="4"/>
      <c r="B125" s="4"/>
      <c r="C125" s="11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>
      <c r="A126" s="4"/>
      <c r="B126" s="4"/>
      <c r="C126" s="11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16">
      <c r="A127" s="4"/>
      <c r="B127" s="4"/>
      <c r="C127" s="11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6">
      <c r="A128" s="4"/>
      <c r="B128" s="4"/>
      <c r="C128" s="11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spans="1:16">
      <c r="A129" s="4"/>
      <c r="B129" s="4"/>
      <c r="C129" s="11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spans="1:16">
      <c r="A130" s="4"/>
      <c r="B130" s="4"/>
      <c r="C130" s="11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99072-5875-40B4-B811-F440FDB3028D}">
  <dimension ref="A1:K243"/>
  <sheetViews>
    <sheetView zoomScale="110" zoomScaleNormal="110" workbookViewId="0">
      <selection activeCell="L37" sqref="L37"/>
    </sheetView>
  </sheetViews>
  <sheetFormatPr defaultRowHeight="14.45"/>
  <cols>
    <col min="1" max="1" width="19.42578125" style="4" bestFit="1" customWidth="1"/>
    <col min="2" max="2" width="19.42578125" style="4" customWidth="1"/>
    <col min="3" max="3" width="43.5703125" style="4" bestFit="1" customWidth="1"/>
    <col min="4" max="4" width="34.42578125" style="4" bestFit="1" customWidth="1"/>
    <col min="5" max="5" width="19" style="4" bestFit="1" customWidth="1"/>
    <col min="6" max="6" width="22.42578125" style="4" bestFit="1" customWidth="1"/>
    <col min="7" max="7" width="18.42578125" style="4" bestFit="1" customWidth="1"/>
    <col min="8" max="9" width="8.5703125" style="4"/>
    <col min="11" max="11" width="22.42578125" style="4" bestFit="1" customWidth="1"/>
  </cols>
  <sheetData>
    <row r="1" spans="1:11" s="32" customFormat="1" ht="18.600000000000001">
      <c r="A1" s="31" t="s">
        <v>1227</v>
      </c>
      <c r="B1" s="31" t="s">
        <v>1228</v>
      </c>
      <c r="C1" s="31" t="s">
        <v>1229</v>
      </c>
      <c r="D1" s="31" t="s">
        <v>1230</v>
      </c>
      <c r="E1" s="31" t="s">
        <v>1231</v>
      </c>
      <c r="F1" s="31" t="s">
        <v>1232</v>
      </c>
      <c r="G1" s="31" t="s">
        <v>37</v>
      </c>
      <c r="H1" s="31"/>
      <c r="J1" s="31" t="s">
        <v>1233</v>
      </c>
      <c r="K1" s="31" t="s">
        <v>1232</v>
      </c>
    </row>
    <row r="2" spans="1:11">
      <c r="A2" s="4" t="s">
        <v>152</v>
      </c>
      <c r="B2" s="4">
        <v>23114</v>
      </c>
      <c r="C2" s="4" t="s">
        <v>1234</v>
      </c>
      <c r="E2" s="4">
        <v>0.92100000000000004</v>
      </c>
      <c r="F2" s="4">
        <v>219.03</v>
      </c>
      <c r="G2" s="4">
        <v>36.67</v>
      </c>
      <c r="J2" s="4">
        <v>0</v>
      </c>
      <c r="K2" s="4">
        <v>219.03</v>
      </c>
    </row>
    <row r="3" spans="1:11" ht="16.5">
      <c r="A3" s="4" t="s">
        <v>164</v>
      </c>
      <c r="B3" s="4">
        <v>23122</v>
      </c>
      <c r="C3" s="4" t="s">
        <v>1235</v>
      </c>
      <c r="D3" s="4">
        <v>5.66</v>
      </c>
      <c r="E3" s="4">
        <v>1.1559999999999999</v>
      </c>
      <c r="F3" s="4">
        <v>227.39</v>
      </c>
      <c r="G3" s="4">
        <v>32.64</v>
      </c>
      <c r="J3" s="4">
        <v>0</v>
      </c>
      <c r="K3" s="4">
        <v>227.39</v>
      </c>
    </row>
    <row r="4" spans="1:11" ht="16.5">
      <c r="A4" s="4" t="s">
        <v>169</v>
      </c>
      <c r="B4" s="4">
        <v>23122</v>
      </c>
      <c r="C4" s="4" t="s">
        <v>1236</v>
      </c>
      <c r="D4" s="4">
        <v>5.8</v>
      </c>
      <c r="E4" s="4">
        <v>0.99299999999999999</v>
      </c>
      <c r="F4" s="4">
        <v>214.38</v>
      </c>
      <c r="G4" s="4">
        <v>34.869999999999997</v>
      </c>
      <c r="J4" s="4">
        <v>0</v>
      </c>
      <c r="K4" s="4">
        <v>214.38</v>
      </c>
    </row>
    <row r="5" spans="1:11" ht="16.5">
      <c r="A5" s="4" t="s">
        <v>173</v>
      </c>
      <c r="B5" s="4">
        <v>23123</v>
      </c>
      <c r="C5" s="4" t="s">
        <v>1237</v>
      </c>
      <c r="D5" s="4">
        <v>3.6</v>
      </c>
      <c r="E5" s="4">
        <v>1.4510000000000001</v>
      </c>
      <c r="F5" s="4">
        <v>239.26</v>
      </c>
      <c r="G5" s="4">
        <v>35.75</v>
      </c>
      <c r="J5" s="4">
        <v>0</v>
      </c>
      <c r="K5" s="4">
        <v>239.26</v>
      </c>
    </row>
    <row r="6" spans="1:11" ht="16.5">
      <c r="A6" s="4" t="s">
        <v>175</v>
      </c>
      <c r="B6" s="4">
        <v>23123</v>
      </c>
      <c r="C6" s="4" t="s">
        <v>1238</v>
      </c>
      <c r="D6" s="4">
        <v>4.1669999999999998</v>
      </c>
      <c r="E6" s="4">
        <v>1.2290000000000001</v>
      </c>
      <c r="F6" s="4">
        <v>230.9</v>
      </c>
      <c r="G6" s="4">
        <v>35.24</v>
      </c>
      <c r="J6" s="4">
        <v>0</v>
      </c>
      <c r="K6" s="4">
        <v>230.9</v>
      </c>
    </row>
    <row r="7" spans="1:11">
      <c r="A7" s="4" t="s">
        <v>214</v>
      </c>
      <c r="B7" s="4">
        <v>23129</v>
      </c>
      <c r="C7" s="4" t="s">
        <v>1234</v>
      </c>
      <c r="D7" s="4">
        <v>4.68</v>
      </c>
      <c r="E7" s="4">
        <v>1.343</v>
      </c>
      <c r="F7" s="4">
        <v>202</v>
      </c>
      <c r="G7" s="6">
        <v>37.9</v>
      </c>
      <c r="J7" s="4">
        <v>0</v>
      </c>
      <c r="K7" s="4">
        <v>202</v>
      </c>
    </row>
    <row r="8" spans="1:11">
      <c r="A8" s="4" t="s">
        <v>217</v>
      </c>
      <c r="B8" s="4">
        <v>23130</v>
      </c>
      <c r="C8" s="4" t="s">
        <v>1239</v>
      </c>
      <c r="D8" s="18">
        <v>2.17</v>
      </c>
      <c r="E8" s="4">
        <v>1.02</v>
      </c>
      <c r="F8" s="4">
        <v>227.13</v>
      </c>
      <c r="G8" s="4">
        <v>32.29</v>
      </c>
      <c r="J8" s="4">
        <v>1</v>
      </c>
      <c r="K8" s="4">
        <v>227.13</v>
      </c>
    </row>
    <row r="9" spans="1:11">
      <c r="A9" s="4" t="s">
        <v>220</v>
      </c>
      <c r="B9" s="4">
        <v>23130</v>
      </c>
      <c r="C9" s="4" t="s">
        <v>1240</v>
      </c>
      <c r="D9" s="18">
        <v>2.96</v>
      </c>
      <c r="E9" s="4">
        <v>1.151</v>
      </c>
      <c r="F9" s="4">
        <v>233.08</v>
      </c>
      <c r="G9" s="4">
        <v>35.200000000000003</v>
      </c>
      <c r="J9" s="4">
        <v>1</v>
      </c>
      <c r="K9" s="4">
        <v>233.08</v>
      </c>
    </row>
    <row r="10" spans="1:11">
      <c r="A10" s="4" t="s">
        <v>222</v>
      </c>
      <c r="B10" s="4">
        <v>23130</v>
      </c>
      <c r="C10" s="4" t="s">
        <v>1241</v>
      </c>
      <c r="D10" s="4">
        <v>2.29</v>
      </c>
      <c r="E10" s="4">
        <v>1.149</v>
      </c>
      <c r="F10" s="4">
        <v>229.76</v>
      </c>
      <c r="G10" s="4">
        <v>35.78</v>
      </c>
      <c r="J10" s="4">
        <v>1</v>
      </c>
      <c r="K10" s="4">
        <v>229.76</v>
      </c>
    </row>
    <row r="11" spans="1:11">
      <c r="A11" s="4" t="s">
        <v>225</v>
      </c>
      <c r="B11" s="4">
        <v>23130</v>
      </c>
      <c r="C11" s="4" t="s">
        <v>1242</v>
      </c>
      <c r="D11" s="4">
        <v>4.37</v>
      </c>
      <c r="E11" s="4">
        <v>1.19</v>
      </c>
      <c r="F11" s="4">
        <v>224.13</v>
      </c>
      <c r="G11" s="4">
        <v>35.770000000000003</v>
      </c>
      <c r="J11" s="4">
        <v>1</v>
      </c>
      <c r="K11" s="4">
        <v>224.13</v>
      </c>
    </row>
    <row r="12" spans="1:11">
      <c r="A12" s="4" t="s">
        <v>227</v>
      </c>
      <c r="B12" s="4">
        <v>23130</v>
      </c>
      <c r="C12" s="4" t="s">
        <v>1242</v>
      </c>
      <c r="D12" s="4">
        <v>3.18</v>
      </c>
      <c r="E12" s="4">
        <v>1.0309999999999999</v>
      </c>
      <c r="F12" s="4">
        <v>218.76</v>
      </c>
      <c r="G12" s="4">
        <v>36.18</v>
      </c>
      <c r="J12" s="4">
        <v>1</v>
      </c>
      <c r="K12" s="4">
        <v>218.76</v>
      </c>
    </row>
    <row r="13" spans="1:11">
      <c r="A13" s="4" t="s">
        <v>234</v>
      </c>
      <c r="B13" s="4">
        <v>23136</v>
      </c>
      <c r="C13" s="4" t="s">
        <v>1234</v>
      </c>
      <c r="D13" s="4">
        <v>3.18</v>
      </c>
      <c r="E13" s="4">
        <v>1.5349999999999999</v>
      </c>
      <c r="F13" s="4">
        <v>231.02</v>
      </c>
      <c r="G13" s="4">
        <v>36.229999999999997</v>
      </c>
      <c r="J13" s="4">
        <v>0</v>
      </c>
      <c r="K13" s="4">
        <v>231.02</v>
      </c>
    </row>
    <row r="14" spans="1:11">
      <c r="A14" s="4" t="s">
        <v>243</v>
      </c>
      <c r="B14" s="4">
        <v>23136</v>
      </c>
      <c r="C14" s="4" t="s">
        <v>1234</v>
      </c>
      <c r="D14" s="4">
        <v>2.5299999999999998</v>
      </c>
      <c r="E14" s="4">
        <v>1.419</v>
      </c>
      <c r="F14" s="4">
        <v>230.71</v>
      </c>
      <c r="G14" s="4">
        <v>32.57</v>
      </c>
      <c r="J14" s="4">
        <v>0</v>
      </c>
      <c r="K14" s="4">
        <v>230.71</v>
      </c>
    </row>
    <row r="15" spans="1:11">
      <c r="A15" s="4" t="s">
        <v>250</v>
      </c>
      <c r="B15" s="4">
        <v>23142</v>
      </c>
      <c r="C15" s="4" t="s">
        <v>1242</v>
      </c>
      <c r="D15" s="4">
        <v>4.67</v>
      </c>
      <c r="E15" s="4">
        <v>0.94499999999999995</v>
      </c>
      <c r="F15" s="4">
        <v>220.61</v>
      </c>
      <c r="G15" s="4">
        <v>37.39</v>
      </c>
      <c r="J15" s="4">
        <v>1</v>
      </c>
      <c r="K15" s="4">
        <v>220.61</v>
      </c>
    </row>
    <row r="16" spans="1:11">
      <c r="A16" s="4" t="s">
        <v>251</v>
      </c>
      <c r="B16" s="4">
        <v>23143</v>
      </c>
      <c r="C16" s="4" t="s">
        <v>1242</v>
      </c>
      <c r="D16" s="4">
        <v>5.5</v>
      </c>
      <c r="E16" s="4">
        <v>0.92400000000000004</v>
      </c>
      <c r="F16" s="4">
        <v>211.67</v>
      </c>
      <c r="G16" s="4">
        <v>35.71</v>
      </c>
      <c r="J16" s="4">
        <v>1</v>
      </c>
      <c r="K16" s="4">
        <v>211.67</v>
      </c>
    </row>
    <row r="17" spans="1:11">
      <c r="A17" s="4" t="s">
        <v>263</v>
      </c>
      <c r="B17" s="4">
        <v>23152</v>
      </c>
      <c r="C17" s="4" t="s">
        <v>1243</v>
      </c>
      <c r="D17" s="4">
        <v>6.6</v>
      </c>
      <c r="E17" s="4">
        <v>1.022</v>
      </c>
      <c r="F17" s="4">
        <v>223.45</v>
      </c>
      <c r="G17" s="4">
        <v>35.869999999999997</v>
      </c>
      <c r="J17" s="4">
        <v>1</v>
      </c>
      <c r="K17" s="4">
        <v>223.45</v>
      </c>
    </row>
    <row r="18" spans="1:11" ht="16.5">
      <c r="A18" s="4" t="s">
        <v>264</v>
      </c>
      <c r="B18" s="4">
        <v>23153</v>
      </c>
      <c r="C18" s="4" t="s">
        <v>1244</v>
      </c>
      <c r="D18" s="4">
        <v>6.55</v>
      </c>
      <c r="E18" s="4">
        <v>1.1160000000000001</v>
      </c>
      <c r="F18" s="4">
        <v>217.87</v>
      </c>
      <c r="G18" s="4">
        <v>33.4</v>
      </c>
      <c r="J18" s="4">
        <v>1</v>
      </c>
      <c r="K18" s="4">
        <v>217.87</v>
      </c>
    </row>
    <row r="19" spans="1:11" ht="16.5">
      <c r="A19" s="4" t="s">
        <v>266</v>
      </c>
      <c r="B19" s="4">
        <v>23153</v>
      </c>
      <c r="C19" s="4" t="s">
        <v>1244</v>
      </c>
      <c r="D19" s="4">
        <v>9.33</v>
      </c>
      <c r="E19" s="18">
        <v>1.18</v>
      </c>
      <c r="F19" s="4">
        <v>221.46</v>
      </c>
      <c r="G19" s="4">
        <v>38.229999999999997</v>
      </c>
      <c r="J19" s="4">
        <v>1</v>
      </c>
      <c r="K19" s="4">
        <v>221.46</v>
      </c>
    </row>
    <row r="20" spans="1:11">
      <c r="A20" s="4" t="s">
        <v>267</v>
      </c>
      <c r="B20" s="4">
        <v>23156</v>
      </c>
      <c r="C20" s="4" t="s">
        <v>1242</v>
      </c>
      <c r="D20" s="4">
        <v>3.96</v>
      </c>
      <c r="E20" s="18">
        <v>1.2450000000000001</v>
      </c>
      <c r="F20" s="4">
        <v>235.76</v>
      </c>
      <c r="G20" s="4">
        <v>35.71</v>
      </c>
      <c r="J20" s="4">
        <v>1</v>
      </c>
      <c r="K20" s="4">
        <v>235.76</v>
      </c>
    </row>
    <row r="21" spans="1:11">
      <c r="A21" s="4" t="s">
        <v>269</v>
      </c>
      <c r="B21" s="4">
        <v>23156</v>
      </c>
      <c r="C21" s="4" t="s">
        <v>1242</v>
      </c>
      <c r="D21" s="4">
        <v>4.3899999999999997</v>
      </c>
      <c r="E21" s="18">
        <v>1.2070000000000001</v>
      </c>
      <c r="F21" s="4">
        <v>231.53</v>
      </c>
      <c r="G21" s="4">
        <v>35.96</v>
      </c>
      <c r="J21" s="4">
        <v>1</v>
      </c>
      <c r="K21" s="4">
        <v>231.53</v>
      </c>
    </row>
    <row r="22" spans="1:11">
      <c r="A22" s="4" t="s">
        <v>271</v>
      </c>
      <c r="B22" s="4">
        <v>23157</v>
      </c>
      <c r="C22" s="4" t="s">
        <v>1242</v>
      </c>
      <c r="D22" s="4">
        <v>3.11</v>
      </c>
      <c r="E22" s="4">
        <v>1.6870000000000001</v>
      </c>
      <c r="F22" s="4">
        <v>228.27</v>
      </c>
      <c r="G22" s="4">
        <v>35.08</v>
      </c>
      <c r="J22" s="4">
        <v>1</v>
      </c>
      <c r="K22" s="4">
        <v>228.27</v>
      </c>
    </row>
    <row r="23" spans="1:11">
      <c r="A23" s="4" t="s">
        <v>280</v>
      </c>
      <c r="B23" s="4">
        <v>23158</v>
      </c>
      <c r="C23" s="4" t="s">
        <v>1242</v>
      </c>
      <c r="D23" s="4">
        <v>3.56</v>
      </c>
      <c r="E23" s="4">
        <v>1.6990000000000001</v>
      </c>
      <c r="F23" s="4">
        <v>229.77</v>
      </c>
      <c r="G23" s="4">
        <v>34.42</v>
      </c>
      <c r="J23" s="4">
        <v>1</v>
      </c>
      <c r="K23" s="4">
        <v>229.77</v>
      </c>
    </row>
    <row r="24" spans="1:11">
      <c r="A24" s="4" t="s">
        <v>304</v>
      </c>
      <c r="B24" s="4">
        <v>23163</v>
      </c>
      <c r="C24" s="4" t="s">
        <v>1242</v>
      </c>
      <c r="D24" s="4">
        <v>4.54</v>
      </c>
      <c r="E24" s="4">
        <v>1.1930000000000001</v>
      </c>
      <c r="F24" s="4">
        <v>228.2</v>
      </c>
      <c r="G24" s="4">
        <v>38.270000000000003</v>
      </c>
      <c r="J24" s="4">
        <v>1</v>
      </c>
      <c r="K24" s="4">
        <v>228.2</v>
      </c>
    </row>
    <row r="25" spans="1:11">
      <c r="A25" s="4" t="s">
        <v>312</v>
      </c>
      <c r="B25" s="4">
        <v>23164</v>
      </c>
      <c r="C25" s="4" t="s">
        <v>1242</v>
      </c>
      <c r="D25" s="4">
        <v>3.77</v>
      </c>
      <c r="E25" s="4">
        <v>1.3759999999999999</v>
      </c>
      <c r="F25" s="4">
        <v>234.83</v>
      </c>
      <c r="G25" s="4">
        <v>33.15</v>
      </c>
      <c r="J25" s="4">
        <v>1</v>
      </c>
      <c r="K25" s="4">
        <v>234.83</v>
      </c>
    </row>
    <row r="26" spans="1:11">
      <c r="A26" s="4" t="s">
        <v>317</v>
      </c>
      <c r="B26" s="4">
        <v>23165</v>
      </c>
      <c r="C26" s="4" t="s">
        <v>1242</v>
      </c>
      <c r="D26" s="4">
        <v>4.93</v>
      </c>
      <c r="E26" s="4">
        <v>1.266</v>
      </c>
      <c r="F26" s="4">
        <v>231.64</v>
      </c>
      <c r="G26" s="4">
        <v>32.33</v>
      </c>
      <c r="J26" s="4">
        <v>1</v>
      </c>
      <c r="K26" s="4">
        <v>231.64</v>
      </c>
    </row>
    <row r="27" spans="1:11">
      <c r="J27" s="4"/>
    </row>
    <row r="28" spans="1:11">
      <c r="A28" s="4" t="s">
        <v>321</v>
      </c>
      <c r="B28" s="4">
        <v>23166</v>
      </c>
      <c r="C28" s="4" t="s">
        <v>1242</v>
      </c>
      <c r="D28" s="4">
        <v>4.5</v>
      </c>
      <c r="E28" s="4">
        <v>1.3660000000000001</v>
      </c>
      <c r="F28" s="4">
        <v>226.21</v>
      </c>
      <c r="G28" s="4">
        <v>33.33</v>
      </c>
      <c r="J28" s="4">
        <v>1</v>
      </c>
      <c r="K28" s="4">
        <v>226.21</v>
      </c>
    </row>
    <row r="29" spans="1:11">
      <c r="A29" s="4" t="s">
        <v>322</v>
      </c>
      <c r="B29" s="4">
        <v>23166</v>
      </c>
      <c r="C29" s="4" t="s">
        <v>1242</v>
      </c>
      <c r="D29" s="4">
        <v>4.2</v>
      </c>
      <c r="E29" s="4">
        <v>1.345</v>
      </c>
      <c r="F29" s="4">
        <v>226.41</v>
      </c>
      <c r="G29" s="4">
        <v>36.35</v>
      </c>
      <c r="J29" s="4">
        <v>1</v>
      </c>
      <c r="K29" s="4">
        <v>226.41</v>
      </c>
    </row>
    <row r="30" spans="1:11">
      <c r="J30" s="4"/>
    </row>
    <row r="31" spans="1:11">
      <c r="A31" s="4" t="s">
        <v>324</v>
      </c>
      <c r="B31" s="4">
        <v>23171</v>
      </c>
      <c r="C31" s="4" t="s">
        <v>1242</v>
      </c>
      <c r="D31" s="4">
        <v>4.07</v>
      </c>
      <c r="E31" s="4">
        <v>1.3320000000000001</v>
      </c>
      <c r="F31" s="4">
        <v>227.34</v>
      </c>
      <c r="G31" s="4">
        <v>38.19</v>
      </c>
      <c r="J31" s="4">
        <v>1</v>
      </c>
      <c r="K31" s="4">
        <v>227.34</v>
      </c>
    </row>
    <row r="32" spans="1:11">
      <c r="A32" s="4" t="s">
        <v>326</v>
      </c>
      <c r="B32" s="4">
        <v>23173</v>
      </c>
      <c r="C32" s="4" t="s">
        <v>1242</v>
      </c>
      <c r="D32" s="4">
        <v>4.55</v>
      </c>
      <c r="E32" s="4">
        <v>1.1579999999999999</v>
      </c>
      <c r="F32" s="4">
        <v>230.81</v>
      </c>
      <c r="G32" s="4">
        <v>34.76</v>
      </c>
      <c r="J32" s="4">
        <v>1</v>
      </c>
      <c r="K32" s="4">
        <v>230.81</v>
      </c>
    </row>
    <row r="33" spans="1:11">
      <c r="A33" s="4" t="s">
        <v>328</v>
      </c>
      <c r="B33" s="4">
        <v>23174</v>
      </c>
      <c r="C33" s="4" t="s">
        <v>1242</v>
      </c>
      <c r="D33" s="4">
        <v>3.44</v>
      </c>
      <c r="E33" s="4">
        <v>1.135</v>
      </c>
      <c r="F33" s="4">
        <v>233.65</v>
      </c>
      <c r="G33" s="4">
        <v>33.92</v>
      </c>
      <c r="J33" s="4">
        <v>1</v>
      </c>
      <c r="K33" s="4">
        <v>233.65</v>
      </c>
    </row>
    <row r="34" spans="1:11">
      <c r="A34" s="4" t="s">
        <v>330</v>
      </c>
      <c r="B34" s="4">
        <v>23177</v>
      </c>
      <c r="C34" s="4" t="s">
        <v>1242</v>
      </c>
      <c r="D34" s="4">
        <v>3.94</v>
      </c>
      <c r="E34" s="4">
        <v>1.1779999999999999</v>
      </c>
      <c r="F34" s="4">
        <v>228.49</v>
      </c>
      <c r="G34" s="4">
        <v>32.78</v>
      </c>
      <c r="J34" s="4">
        <v>1</v>
      </c>
      <c r="K34" s="4">
        <v>228.49</v>
      </c>
    </row>
    <row r="35" spans="1:11">
      <c r="A35" s="4" t="s">
        <v>342</v>
      </c>
      <c r="B35" s="4">
        <v>23179</v>
      </c>
      <c r="C35" s="4" t="s">
        <v>1234</v>
      </c>
      <c r="D35" s="6">
        <v>2.569</v>
      </c>
      <c r="E35" s="4">
        <v>1.2669999999999999</v>
      </c>
      <c r="F35" s="4">
        <v>213.8</v>
      </c>
      <c r="G35" s="4">
        <v>30.7</v>
      </c>
      <c r="J35" s="4">
        <v>0</v>
      </c>
      <c r="K35" s="4">
        <v>213.8</v>
      </c>
    </row>
    <row r="36" spans="1:11">
      <c r="A36" s="4" t="s">
        <v>345</v>
      </c>
      <c r="B36" s="4">
        <v>23180</v>
      </c>
      <c r="C36" s="4" t="s">
        <v>1234</v>
      </c>
      <c r="D36" s="4">
        <v>3.03</v>
      </c>
      <c r="E36" s="4">
        <v>1.208</v>
      </c>
      <c r="F36" s="4">
        <v>215.09</v>
      </c>
      <c r="G36" s="4">
        <v>34.67</v>
      </c>
      <c r="J36" s="4">
        <v>0</v>
      </c>
      <c r="K36" s="4">
        <v>215.09</v>
      </c>
    </row>
    <row r="37" spans="1:11">
      <c r="G37" s="6"/>
      <c r="H37" s="6"/>
      <c r="I37" s="6"/>
      <c r="J37" s="4"/>
    </row>
    <row r="38" spans="1:11">
      <c r="A38" s="4" t="s">
        <v>349</v>
      </c>
      <c r="B38" s="4">
        <v>23181</v>
      </c>
      <c r="C38" s="4" t="s">
        <v>1245</v>
      </c>
      <c r="J38" s="4"/>
    </row>
    <row r="39" spans="1:11">
      <c r="A39" s="4" t="s">
        <v>355</v>
      </c>
      <c r="B39" s="4">
        <v>23182</v>
      </c>
      <c r="C39" s="4" t="s">
        <v>1245</v>
      </c>
      <c r="J39" s="4"/>
    </row>
    <row r="40" spans="1:11">
      <c r="A40" s="4" t="s">
        <v>358</v>
      </c>
      <c r="B40" s="4">
        <v>23183</v>
      </c>
      <c r="C40" s="4" t="s">
        <v>1245</v>
      </c>
      <c r="J40" s="4"/>
    </row>
    <row r="41" spans="1:11">
      <c r="A41" s="4" t="s">
        <v>362</v>
      </c>
      <c r="B41" s="4">
        <v>23188</v>
      </c>
      <c r="C41" s="4" t="s">
        <v>1245</v>
      </c>
      <c r="J41" s="4"/>
    </row>
    <row r="42" spans="1:11">
      <c r="A42" s="4" t="s">
        <v>377</v>
      </c>
      <c r="B42" s="4">
        <v>23192</v>
      </c>
      <c r="C42" s="4" t="s">
        <v>1245</v>
      </c>
      <c r="J42" s="4"/>
    </row>
    <row r="43" spans="1:11">
      <c r="A43" s="4" t="s">
        <v>379</v>
      </c>
      <c r="B43" s="4">
        <v>23193</v>
      </c>
      <c r="C43" s="4" t="s">
        <v>1245</v>
      </c>
      <c r="J43" s="4"/>
    </row>
    <row r="44" spans="1:11">
      <c r="J44" s="4"/>
    </row>
    <row r="45" spans="1:11">
      <c r="J45" s="4"/>
    </row>
    <row r="46" spans="1:11">
      <c r="A46" s="4" t="s">
        <v>381</v>
      </c>
      <c r="B46" s="4">
        <v>23202</v>
      </c>
      <c r="C46" s="4" t="s">
        <v>1246</v>
      </c>
      <c r="J46" s="4"/>
    </row>
    <row r="47" spans="1:11">
      <c r="J47" s="4"/>
    </row>
    <row r="48" spans="1:11">
      <c r="A48" s="4" t="s">
        <v>400</v>
      </c>
      <c r="B48" s="4">
        <v>23206</v>
      </c>
      <c r="C48" s="4" t="s">
        <v>1247</v>
      </c>
      <c r="J48" s="4"/>
    </row>
    <row r="49" spans="1:10">
      <c r="J49" s="4"/>
    </row>
    <row r="50" spans="1:10">
      <c r="A50" s="4" t="s">
        <v>404</v>
      </c>
      <c r="B50" s="4">
        <v>23207</v>
      </c>
      <c r="C50" s="4" t="s">
        <v>1248</v>
      </c>
      <c r="J50" s="4"/>
    </row>
    <row r="51" spans="1:10">
      <c r="J51" s="4"/>
    </row>
    <row r="52" spans="1:10">
      <c r="A52" s="4" t="s">
        <v>422</v>
      </c>
      <c r="B52" s="4">
        <v>23208</v>
      </c>
      <c r="C52" s="4" t="s">
        <v>1247</v>
      </c>
      <c r="J52" s="4"/>
    </row>
    <row r="53" spans="1:10">
      <c r="J53" s="4"/>
    </row>
    <row r="54" spans="1:10">
      <c r="A54" s="4" t="s">
        <v>425</v>
      </c>
      <c r="B54" s="4">
        <v>23215</v>
      </c>
      <c r="J54" s="4"/>
    </row>
    <row r="55" spans="1:10">
      <c r="A55" s="50" t="s">
        <v>428</v>
      </c>
      <c r="B55" s="50">
        <v>23216</v>
      </c>
      <c r="C55" s="50" t="s">
        <v>1249</v>
      </c>
      <c r="D55" s="50"/>
      <c r="E55" s="64">
        <v>1.1180000000000001</v>
      </c>
      <c r="F55" s="65">
        <v>235</v>
      </c>
      <c r="G55" s="50">
        <v>33.85</v>
      </c>
      <c r="J55" s="4"/>
    </row>
    <row r="56" spans="1:10">
      <c r="J56" s="4"/>
    </row>
    <row r="57" spans="1:10">
      <c r="A57" s="4" t="s">
        <v>432</v>
      </c>
      <c r="B57" s="4">
        <v>23219</v>
      </c>
      <c r="J57" s="4"/>
    </row>
    <row r="58" spans="1:10">
      <c r="A58" s="50" t="s">
        <v>434</v>
      </c>
      <c r="B58" s="50">
        <v>23220</v>
      </c>
      <c r="C58" s="50" t="s">
        <v>1234</v>
      </c>
      <c r="D58" s="51" t="s">
        <v>1224</v>
      </c>
      <c r="E58" s="50">
        <v>1.22</v>
      </c>
      <c r="F58" s="50">
        <v>238.6</v>
      </c>
      <c r="G58" s="50">
        <v>33.159999999999997</v>
      </c>
      <c r="J58" s="4"/>
    </row>
    <row r="59" spans="1:10">
      <c r="A59" s="4" t="s">
        <v>439</v>
      </c>
      <c r="B59" s="4">
        <v>23221</v>
      </c>
      <c r="C59" s="4" t="s">
        <v>1250</v>
      </c>
      <c r="D59" s="13">
        <v>3.3222222222222264</v>
      </c>
      <c r="E59" s="4">
        <v>1.1399999999999999</v>
      </c>
      <c r="F59" s="4">
        <v>237.3</v>
      </c>
      <c r="G59" s="4">
        <v>39.159999999999997</v>
      </c>
      <c r="J59" s="4"/>
    </row>
    <row r="60" spans="1:10">
      <c r="A60" s="4" t="s">
        <v>443</v>
      </c>
      <c r="B60" s="4">
        <v>23222</v>
      </c>
      <c r="C60" s="4" t="s">
        <v>1250</v>
      </c>
      <c r="D60" s="13">
        <v>3.1694444444444394</v>
      </c>
      <c r="E60" s="4">
        <v>1.44</v>
      </c>
      <c r="F60" s="4">
        <v>224.8</v>
      </c>
      <c r="G60" s="4">
        <v>34.5</v>
      </c>
      <c r="J60" s="4"/>
    </row>
    <row r="61" spans="1:10">
      <c r="A61" s="4" t="s">
        <v>447</v>
      </c>
      <c r="B61" s="4">
        <v>23226</v>
      </c>
      <c r="C61" s="4" t="s">
        <v>1250</v>
      </c>
      <c r="D61" s="13">
        <v>4.613333333333328</v>
      </c>
      <c r="J61" s="4"/>
    </row>
    <row r="62" spans="1:10">
      <c r="A62" s="50" t="s">
        <v>451</v>
      </c>
      <c r="B62" s="50">
        <v>23227</v>
      </c>
      <c r="C62" s="50" t="s">
        <v>1234</v>
      </c>
      <c r="D62" s="66">
        <v>3.927</v>
      </c>
      <c r="E62" s="64">
        <v>1.0840000000000001</v>
      </c>
      <c r="F62" s="65">
        <v>228</v>
      </c>
      <c r="G62" s="50">
        <v>34.549999999999997</v>
      </c>
      <c r="J62" s="4"/>
    </row>
    <row r="63" spans="1:10">
      <c r="A63" s="4" t="s">
        <v>458</v>
      </c>
      <c r="B63" s="4">
        <v>23228</v>
      </c>
      <c r="C63" s="4" t="s">
        <v>1247</v>
      </c>
      <c r="J63" s="4"/>
    </row>
    <row r="64" spans="1:10">
      <c r="A64" s="4" t="s">
        <v>461</v>
      </c>
      <c r="B64" s="4">
        <v>23229</v>
      </c>
      <c r="C64" s="4" t="s">
        <v>1247</v>
      </c>
      <c r="J64" s="4"/>
    </row>
    <row r="65" spans="1:10">
      <c r="A65" s="4" t="s">
        <v>465</v>
      </c>
      <c r="B65" s="4">
        <v>23233</v>
      </c>
      <c r="C65" s="4" t="s">
        <v>1247</v>
      </c>
      <c r="J65" s="4"/>
    </row>
    <row r="66" spans="1:10">
      <c r="A66" s="4" t="s">
        <v>469</v>
      </c>
      <c r="B66" s="4">
        <v>23234</v>
      </c>
      <c r="C66" s="4" t="s">
        <v>1247</v>
      </c>
      <c r="J66" s="4"/>
    </row>
    <row r="67" spans="1:10">
      <c r="A67" s="4" t="s">
        <v>472</v>
      </c>
      <c r="B67" s="4">
        <v>23234</v>
      </c>
      <c r="J67" s="4"/>
    </row>
    <row r="68" spans="1:10">
      <c r="A68" s="4" t="s">
        <v>474</v>
      </c>
      <c r="B68" s="4">
        <v>23234</v>
      </c>
      <c r="J68" s="4"/>
    </row>
    <row r="69" spans="1:10">
      <c r="A69" s="4" t="s">
        <v>476</v>
      </c>
      <c r="B69" s="4">
        <v>23235</v>
      </c>
      <c r="J69" s="4"/>
    </row>
    <row r="70" spans="1:10">
      <c r="J70" s="4"/>
    </row>
    <row r="71" spans="1:10">
      <c r="A71" s="4" t="s">
        <v>484</v>
      </c>
      <c r="B71" s="4">
        <v>23240</v>
      </c>
      <c r="J71" s="4"/>
    </row>
    <row r="72" spans="1:10">
      <c r="A72" s="4" t="s">
        <v>488</v>
      </c>
      <c r="B72" s="4">
        <v>23241</v>
      </c>
      <c r="J72" s="4"/>
    </row>
    <row r="73" spans="1:10">
      <c r="J73" s="4"/>
    </row>
    <row r="74" spans="1:10">
      <c r="A74" s="51" t="s">
        <v>496</v>
      </c>
      <c r="B74" s="51">
        <v>23243</v>
      </c>
      <c r="C74" s="50" t="s">
        <v>1234</v>
      </c>
      <c r="D74" s="50" t="s">
        <v>1054</v>
      </c>
      <c r="E74" s="50">
        <v>1.02</v>
      </c>
      <c r="F74" s="65">
        <v>217</v>
      </c>
      <c r="G74" s="50">
        <v>32.700000000000003</v>
      </c>
      <c r="J74" s="4"/>
    </row>
    <row r="75" spans="1:10">
      <c r="A75" s="51" t="s">
        <v>500</v>
      </c>
      <c r="B75" s="51">
        <v>23247</v>
      </c>
      <c r="C75" s="50" t="s">
        <v>1251</v>
      </c>
      <c r="D75" s="50" t="s">
        <v>1054</v>
      </c>
      <c r="E75" s="64">
        <v>0.98399999999999999</v>
      </c>
      <c r="F75" s="50">
        <v>217.7</v>
      </c>
      <c r="G75" s="50">
        <v>32.9</v>
      </c>
      <c r="J75" s="4"/>
    </row>
    <row r="76" spans="1:10">
      <c r="A76" s="11" t="s">
        <v>504</v>
      </c>
      <c r="B76" s="11">
        <v>23247</v>
      </c>
      <c r="C76" s="50" t="s">
        <v>1251</v>
      </c>
      <c r="D76" s="4" t="s">
        <v>1054</v>
      </c>
      <c r="J76" s="4"/>
    </row>
    <row r="77" spans="1:10">
      <c r="A77" s="11" t="s">
        <v>508</v>
      </c>
      <c r="B77" s="11">
        <v>23247</v>
      </c>
      <c r="C77" s="50" t="s">
        <v>1234</v>
      </c>
      <c r="D77" s="4" t="s">
        <v>1054</v>
      </c>
      <c r="J77" s="4"/>
    </row>
    <row r="78" spans="1:10">
      <c r="A78" s="51" t="s">
        <v>512</v>
      </c>
      <c r="B78" s="51">
        <v>23248</v>
      </c>
      <c r="C78" s="50" t="s">
        <v>1234</v>
      </c>
      <c r="D78" s="50" t="s">
        <v>1054</v>
      </c>
      <c r="E78" s="50">
        <v>1.34</v>
      </c>
      <c r="F78" s="50">
        <v>229.5</v>
      </c>
      <c r="G78" s="50">
        <v>32.9</v>
      </c>
      <c r="J78" s="4"/>
    </row>
    <row r="79" spans="1:10">
      <c r="A79" s="11" t="s">
        <v>515</v>
      </c>
      <c r="B79" s="11">
        <v>23248</v>
      </c>
      <c r="C79" s="50" t="s">
        <v>1234</v>
      </c>
      <c r="D79" s="4" t="s">
        <v>1054</v>
      </c>
      <c r="J79" s="4"/>
    </row>
    <row r="80" spans="1:10">
      <c r="A80" s="11" t="s">
        <v>1027</v>
      </c>
      <c r="B80" s="11">
        <v>23249</v>
      </c>
      <c r="C80" s="50" t="s">
        <v>1234</v>
      </c>
      <c r="D80" s="4" t="s">
        <v>1054</v>
      </c>
      <c r="J80" s="4"/>
    </row>
    <row r="81" spans="1:10">
      <c r="A81" s="51" t="s">
        <v>551</v>
      </c>
      <c r="B81" s="51">
        <v>23249</v>
      </c>
      <c r="C81" s="50" t="s">
        <v>1234</v>
      </c>
      <c r="D81" s="50" t="s">
        <v>1054</v>
      </c>
      <c r="E81" s="50">
        <v>1.0900000000000001</v>
      </c>
      <c r="F81" s="50">
        <v>225.1</v>
      </c>
      <c r="G81" s="50">
        <v>35.9</v>
      </c>
      <c r="J81" s="4"/>
    </row>
    <row r="82" spans="1:10">
      <c r="A82" s="11" t="s">
        <v>561</v>
      </c>
      <c r="B82" s="11">
        <v>23253</v>
      </c>
      <c r="C82" s="50" t="s">
        <v>1234</v>
      </c>
      <c r="D82" s="4" t="s">
        <v>1054</v>
      </c>
      <c r="J82" s="4"/>
    </row>
    <row r="83" spans="1:10">
      <c r="A83" s="11" t="s">
        <v>567</v>
      </c>
      <c r="B83" s="11">
        <v>23254</v>
      </c>
      <c r="C83" s="50" t="s">
        <v>1234</v>
      </c>
      <c r="D83" s="4" t="s">
        <v>1054</v>
      </c>
      <c r="J83" s="4"/>
    </row>
    <row r="84" spans="1:10">
      <c r="A84" s="11" t="s">
        <v>572</v>
      </c>
      <c r="B84" s="11">
        <v>23254</v>
      </c>
      <c r="C84" s="50" t="s">
        <v>1234</v>
      </c>
      <c r="D84" s="4" t="s">
        <v>1054</v>
      </c>
      <c r="J84" s="4"/>
    </row>
    <row r="85" spans="1:10">
      <c r="A85" s="11" t="s">
        <v>576</v>
      </c>
      <c r="B85" s="11">
        <v>23255</v>
      </c>
      <c r="C85" s="50" t="s">
        <v>1234</v>
      </c>
      <c r="D85" s="4" t="s">
        <v>1054</v>
      </c>
      <c r="J85" s="4"/>
    </row>
    <row r="86" spans="1:10">
      <c r="A86" s="11" t="s">
        <v>580</v>
      </c>
      <c r="B86" s="11">
        <v>23255</v>
      </c>
      <c r="C86" s="50" t="s">
        <v>1234</v>
      </c>
      <c r="D86" s="4" t="s">
        <v>1054</v>
      </c>
      <c r="J86" s="4"/>
    </row>
    <row r="87" spans="1:10">
      <c r="J87" s="4"/>
    </row>
    <row r="88" spans="1:10">
      <c r="J88" s="4"/>
    </row>
    <row r="89" spans="1:10">
      <c r="J89" s="4"/>
    </row>
    <row r="90" spans="1:10">
      <c r="J90" s="4"/>
    </row>
    <row r="91" spans="1:10">
      <c r="J91" s="4"/>
    </row>
    <row r="92" spans="1:10">
      <c r="J92" s="4"/>
    </row>
    <row r="93" spans="1:10">
      <c r="J93" s="4"/>
    </row>
    <row r="94" spans="1:10">
      <c r="J94" s="4"/>
    </row>
    <row r="95" spans="1:10">
      <c r="J95" s="4"/>
    </row>
    <row r="96" spans="1:10">
      <c r="J96" s="4"/>
    </row>
    <row r="97" spans="10:10">
      <c r="J97" s="4"/>
    </row>
    <row r="98" spans="10:10">
      <c r="J98" s="4"/>
    </row>
    <row r="99" spans="10:10">
      <c r="J99" s="4"/>
    </row>
    <row r="100" spans="10:10">
      <c r="J100" s="4"/>
    </row>
    <row r="101" spans="10:10">
      <c r="J101" s="4"/>
    </row>
    <row r="102" spans="10:10">
      <c r="J102" s="4"/>
    </row>
    <row r="103" spans="10:10">
      <c r="J103" s="4"/>
    </row>
    <row r="104" spans="10:10">
      <c r="J104" s="4"/>
    </row>
    <row r="105" spans="10:10">
      <c r="J105" s="4"/>
    </row>
    <row r="106" spans="10:10">
      <c r="J106" s="4"/>
    </row>
    <row r="107" spans="10:10">
      <c r="J107" s="4"/>
    </row>
    <row r="108" spans="10:10">
      <c r="J108" s="4"/>
    </row>
    <row r="109" spans="10:10">
      <c r="J109" s="4"/>
    </row>
    <row r="110" spans="10:10">
      <c r="J110" s="4"/>
    </row>
    <row r="111" spans="10:10">
      <c r="J111" s="4"/>
    </row>
    <row r="112" spans="10:10">
      <c r="J112" s="4"/>
    </row>
    <row r="113" spans="10:10">
      <c r="J113" s="4"/>
    </row>
    <row r="114" spans="10:10">
      <c r="J114" s="4"/>
    </row>
    <row r="115" spans="10:10">
      <c r="J115" s="4"/>
    </row>
    <row r="116" spans="10:10">
      <c r="J116" s="4"/>
    </row>
    <row r="117" spans="10:10">
      <c r="J117" s="4"/>
    </row>
    <row r="118" spans="10:10">
      <c r="J118" s="4"/>
    </row>
    <row r="119" spans="10:10">
      <c r="J119" s="4"/>
    </row>
    <row r="120" spans="10:10">
      <c r="J120" s="4"/>
    </row>
    <row r="121" spans="10:10">
      <c r="J121" s="4"/>
    </row>
    <row r="122" spans="10:10">
      <c r="J122" s="4"/>
    </row>
    <row r="123" spans="10:10">
      <c r="J123" s="4"/>
    </row>
    <row r="124" spans="10:10">
      <c r="J124" s="4"/>
    </row>
    <row r="125" spans="10:10">
      <c r="J125" s="4"/>
    </row>
    <row r="126" spans="10:10">
      <c r="J126" s="4"/>
    </row>
    <row r="127" spans="10:10">
      <c r="J127" s="4"/>
    </row>
    <row r="128" spans="10:10">
      <c r="J128" s="4"/>
    </row>
    <row r="129" spans="10:10">
      <c r="J129" s="4"/>
    </row>
    <row r="130" spans="10:10">
      <c r="J130" s="4"/>
    </row>
    <row r="131" spans="10:10">
      <c r="J131" s="4"/>
    </row>
    <row r="132" spans="10:10">
      <c r="J132" s="4"/>
    </row>
    <row r="133" spans="10:10">
      <c r="J133" s="4"/>
    </row>
    <row r="134" spans="10:10">
      <c r="J134" s="4"/>
    </row>
    <row r="135" spans="10:10">
      <c r="J135" s="4"/>
    </row>
    <row r="136" spans="10:10">
      <c r="J136" s="4"/>
    </row>
    <row r="137" spans="10:10">
      <c r="J137" s="4"/>
    </row>
    <row r="138" spans="10:10">
      <c r="J138" s="4"/>
    </row>
    <row r="139" spans="10:10">
      <c r="J139" s="4"/>
    </row>
    <row r="140" spans="10:10">
      <c r="J140" s="4"/>
    </row>
    <row r="141" spans="10:10">
      <c r="J141" s="4"/>
    </row>
    <row r="142" spans="10:10">
      <c r="J142" s="4"/>
    </row>
    <row r="143" spans="10:10">
      <c r="J143" s="4"/>
    </row>
    <row r="144" spans="10:10">
      <c r="J144" s="4"/>
    </row>
    <row r="145" spans="10:10">
      <c r="J145" s="4"/>
    </row>
    <row r="146" spans="10:10">
      <c r="J146" s="4"/>
    </row>
    <row r="147" spans="10:10">
      <c r="J147" s="4"/>
    </row>
    <row r="148" spans="10:10">
      <c r="J148" s="4"/>
    </row>
    <row r="149" spans="10:10">
      <c r="J149" s="4"/>
    </row>
    <row r="150" spans="10:10">
      <c r="J150" s="4"/>
    </row>
    <row r="151" spans="10:10">
      <c r="J151" s="4"/>
    </row>
    <row r="152" spans="10:10">
      <c r="J152" s="4"/>
    </row>
    <row r="153" spans="10:10">
      <c r="J153" s="4"/>
    </row>
    <row r="154" spans="10:10">
      <c r="J154" s="4"/>
    </row>
    <row r="155" spans="10:10">
      <c r="J155" s="4"/>
    </row>
    <row r="156" spans="10:10">
      <c r="J156" s="4"/>
    </row>
    <row r="157" spans="10:10">
      <c r="J157" s="4"/>
    </row>
    <row r="158" spans="10:10">
      <c r="J158" s="4"/>
    </row>
    <row r="159" spans="10:10">
      <c r="J159" s="4"/>
    </row>
    <row r="160" spans="10:10">
      <c r="J160" s="4"/>
    </row>
    <row r="161" spans="10:10">
      <c r="J161" s="4"/>
    </row>
    <row r="162" spans="10:10">
      <c r="J162" s="4"/>
    </row>
    <row r="163" spans="10:10">
      <c r="J163" s="4"/>
    </row>
    <row r="164" spans="10:10">
      <c r="J164" s="4"/>
    </row>
    <row r="165" spans="10:10">
      <c r="J165" s="4"/>
    </row>
    <row r="166" spans="10:10">
      <c r="J166" s="4"/>
    </row>
    <row r="167" spans="10:10">
      <c r="J167" s="4"/>
    </row>
    <row r="168" spans="10:10">
      <c r="J168" s="4"/>
    </row>
    <row r="169" spans="10:10">
      <c r="J169" s="4"/>
    </row>
    <row r="170" spans="10:10">
      <c r="J170" s="4"/>
    </row>
    <row r="171" spans="10:10">
      <c r="J171" s="4"/>
    </row>
    <row r="172" spans="10:10">
      <c r="J172" s="4"/>
    </row>
    <row r="173" spans="10:10">
      <c r="J173" s="4"/>
    </row>
    <row r="174" spans="10:10">
      <c r="J174" s="4"/>
    </row>
    <row r="175" spans="10:10">
      <c r="J175" s="4"/>
    </row>
    <row r="176" spans="10:10">
      <c r="J176" s="4"/>
    </row>
    <row r="177" spans="10:10">
      <c r="J177" s="4"/>
    </row>
    <row r="178" spans="10:10">
      <c r="J178" s="4"/>
    </row>
    <row r="179" spans="10:10">
      <c r="J179" s="4"/>
    </row>
    <row r="180" spans="10:10">
      <c r="J180" s="4"/>
    </row>
    <row r="181" spans="10:10">
      <c r="J181" s="4"/>
    </row>
    <row r="182" spans="10:10">
      <c r="J182" s="4"/>
    </row>
    <row r="183" spans="10:10">
      <c r="J183" s="4"/>
    </row>
    <row r="184" spans="10:10">
      <c r="J184" s="4"/>
    </row>
    <row r="185" spans="10:10">
      <c r="J185" s="4"/>
    </row>
    <row r="186" spans="10:10">
      <c r="J186" s="4"/>
    </row>
    <row r="187" spans="10:10">
      <c r="J187" s="4"/>
    </row>
    <row r="188" spans="10:10">
      <c r="J188" s="4"/>
    </row>
    <row r="189" spans="10:10">
      <c r="J189" s="4"/>
    </row>
    <row r="190" spans="10:10">
      <c r="J190" s="4"/>
    </row>
    <row r="191" spans="10:10">
      <c r="J191" s="4"/>
    </row>
    <row r="192" spans="10:10">
      <c r="J192" s="4"/>
    </row>
    <row r="193" spans="10:10">
      <c r="J193" s="4"/>
    </row>
    <row r="194" spans="10:10">
      <c r="J194" s="4"/>
    </row>
    <row r="195" spans="10:10">
      <c r="J195" s="4"/>
    </row>
    <row r="196" spans="10:10">
      <c r="J196" s="4"/>
    </row>
    <row r="197" spans="10:10">
      <c r="J197" s="4"/>
    </row>
    <row r="198" spans="10:10">
      <c r="J198" s="4"/>
    </row>
    <row r="199" spans="10:10">
      <c r="J199" s="4"/>
    </row>
    <row r="200" spans="10:10">
      <c r="J200" s="4"/>
    </row>
    <row r="201" spans="10:10">
      <c r="J201" s="4"/>
    </row>
    <row r="202" spans="10:10">
      <c r="J202" s="4"/>
    </row>
    <row r="203" spans="10:10">
      <c r="J203" s="4"/>
    </row>
    <row r="204" spans="10:10">
      <c r="J204" s="4"/>
    </row>
    <row r="205" spans="10:10">
      <c r="J205" s="4"/>
    </row>
    <row r="206" spans="10:10">
      <c r="J206" s="4"/>
    </row>
    <row r="207" spans="10:10">
      <c r="J207" s="4"/>
    </row>
    <row r="208" spans="10:10">
      <c r="J208" s="4"/>
    </row>
    <row r="209" spans="10:10">
      <c r="J209" s="4"/>
    </row>
    <row r="210" spans="10:10">
      <c r="J210" s="4"/>
    </row>
    <row r="211" spans="10:10">
      <c r="J211" s="4"/>
    </row>
    <row r="212" spans="10:10">
      <c r="J212" s="4"/>
    </row>
    <row r="213" spans="10:10">
      <c r="J213" s="4"/>
    </row>
    <row r="214" spans="10:10">
      <c r="J214" s="4"/>
    </row>
    <row r="215" spans="10:10">
      <c r="J215" s="4"/>
    </row>
    <row r="216" spans="10:10">
      <c r="J216" s="4"/>
    </row>
    <row r="217" spans="10:10">
      <c r="J217" s="4"/>
    </row>
    <row r="218" spans="10:10">
      <c r="J218" s="4"/>
    </row>
    <row r="219" spans="10:10">
      <c r="J219" s="4"/>
    </row>
    <row r="220" spans="10:10">
      <c r="J220" s="4"/>
    </row>
    <row r="221" spans="10:10">
      <c r="J221" s="4"/>
    </row>
    <row r="222" spans="10:10">
      <c r="J222" s="4"/>
    </row>
    <row r="223" spans="10:10">
      <c r="J223" s="4"/>
    </row>
    <row r="224" spans="10:10">
      <c r="J224" s="4"/>
    </row>
    <row r="225" spans="10:10">
      <c r="J225" s="4"/>
    </row>
    <row r="226" spans="10:10">
      <c r="J226" s="4"/>
    </row>
    <row r="227" spans="10:10">
      <c r="J227" s="4"/>
    </row>
    <row r="228" spans="10:10">
      <c r="J228" s="4"/>
    </row>
    <row r="229" spans="10:10">
      <c r="J229" s="4"/>
    </row>
    <row r="230" spans="10:10">
      <c r="J230" s="4"/>
    </row>
    <row r="231" spans="10:10">
      <c r="J231" s="4"/>
    </row>
    <row r="232" spans="10:10">
      <c r="J232" s="4"/>
    </row>
    <row r="233" spans="10:10">
      <c r="J233" s="4"/>
    </row>
    <row r="234" spans="10:10">
      <c r="J234" s="4"/>
    </row>
    <row r="235" spans="10:10">
      <c r="J235" s="4"/>
    </row>
    <row r="236" spans="10:10">
      <c r="J236" s="4"/>
    </row>
    <row r="237" spans="10:10">
      <c r="J237" s="4"/>
    </row>
    <row r="238" spans="10:10">
      <c r="J238" s="4"/>
    </row>
    <row r="239" spans="10:10">
      <c r="J239" s="4"/>
    </row>
    <row r="240" spans="10:10">
      <c r="J240" s="4"/>
    </row>
    <row r="241" spans="10:10">
      <c r="J241" s="4"/>
    </row>
    <row r="242" spans="10:10">
      <c r="J242" s="4"/>
    </row>
    <row r="243" spans="10:10">
      <c r="J243" s="4"/>
    </row>
  </sheetData>
  <phoneticPr fontId="2" type="noConversion"/>
  <pageMargins left="0.7" right="0.7" top="0.75" bottom="0.75" header="0.3" footer="0.3"/>
  <pageSetup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A366-0B42-4644-A819-6F8F5D6E094D}">
  <dimension ref="A1:D30"/>
  <sheetViews>
    <sheetView zoomScale="90" zoomScaleNormal="90" workbookViewId="0">
      <selection activeCell="C35" sqref="C35"/>
    </sheetView>
  </sheetViews>
  <sheetFormatPr defaultRowHeight="14.45"/>
  <cols>
    <col min="1" max="1" width="25.5703125" bestFit="1" customWidth="1"/>
    <col min="2" max="2" width="12.42578125" bestFit="1" customWidth="1"/>
    <col min="3" max="3" width="22.5703125" style="3" bestFit="1" customWidth="1"/>
    <col min="4" max="4" width="18.42578125" bestFit="1" customWidth="1"/>
  </cols>
  <sheetData>
    <row r="1" spans="1:4">
      <c r="A1" s="4" t="s">
        <v>1200</v>
      </c>
      <c r="B1" s="4" t="s">
        <v>1252</v>
      </c>
      <c r="C1" s="11" t="s">
        <v>1253</v>
      </c>
      <c r="D1" s="4" t="s">
        <v>1254</v>
      </c>
    </row>
    <row r="2" spans="1:4">
      <c r="A2" s="5" t="s">
        <v>1255</v>
      </c>
      <c r="B2" s="4" t="s">
        <v>1256</v>
      </c>
      <c r="C2" s="11"/>
      <c r="D2" s="4">
        <v>219.03</v>
      </c>
    </row>
    <row r="3" spans="1:4">
      <c r="A3" s="5" t="s">
        <v>169</v>
      </c>
      <c r="B3" s="4" t="s">
        <v>1256</v>
      </c>
      <c r="C3" s="11">
        <v>5.8</v>
      </c>
      <c r="D3" s="4">
        <v>227.39</v>
      </c>
    </row>
    <row r="4" spans="1:4">
      <c r="A4" s="5" t="s">
        <v>242</v>
      </c>
      <c r="B4" s="4" t="s">
        <v>1256</v>
      </c>
      <c r="C4" s="13">
        <v>2.9999999999999991</v>
      </c>
      <c r="D4" s="6">
        <v>225</v>
      </c>
    </row>
    <row r="5" spans="1:4">
      <c r="A5" s="5" t="s">
        <v>243</v>
      </c>
      <c r="B5" s="4" t="s">
        <v>1256</v>
      </c>
      <c r="C5" s="13">
        <v>2.5299999999999989</v>
      </c>
      <c r="D5" s="4">
        <v>230.71</v>
      </c>
    </row>
    <row r="6" spans="1:4">
      <c r="A6" s="21" t="s">
        <v>340</v>
      </c>
      <c r="B6" s="4" t="s">
        <v>1256</v>
      </c>
      <c r="C6" s="13">
        <v>4.2583333333333346</v>
      </c>
      <c r="D6" s="4"/>
    </row>
    <row r="7" spans="1:4">
      <c r="A7" s="21" t="s">
        <v>342</v>
      </c>
      <c r="B7" s="4" t="s">
        <v>1256</v>
      </c>
      <c r="C7" s="13">
        <v>2.950000000000006</v>
      </c>
      <c r="D7" s="4">
        <v>212.71</v>
      </c>
    </row>
    <row r="8" spans="1:4">
      <c r="A8" s="21" t="s">
        <v>345</v>
      </c>
      <c r="B8" s="4" t="s">
        <v>1256</v>
      </c>
      <c r="C8" s="13">
        <v>2.5694444444444411</v>
      </c>
      <c r="D8" s="4">
        <v>213.8</v>
      </c>
    </row>
    <row r="9" spans="1:4">
      <c r="A9" s="21" t="s">
        <v>349</v>
      </c>
      <c r="B9" s="4" t="s">
        <v>1256</v>
      </c>
      <c r="C9" s="13">
        <v>3.0305555555555568</v>
      </c>
      <c r="D9" s="4">
        <v>215.09</v>
      </c>
    </row>
    <row r="10" spans="1:4">
      <c r="A10" s="21" t="s">
        <v>355</v>
      </c>
      <c r="B10" s="4" t="s">
        <v>1256</v>
      </c>
      <c r="C10" s="13">
        <v>3.6249999999999973</v>
      </c>
      <c r="D10" s="4"/>
    </row>
    <row r="11" spans="1:4">
      <c r="A11" s="21" t="s">
        <v>358</v>
      </c>
      <c r="B11" s="4" t="s">
        <v>1256</v>
      </c>
      <c r="C11" s="13">
        <v>2.525000000000003</v>
      </c>
      <c r="D11" s="4"/>
    </row>
    <row r="12" spans="1:4">
      <c r="A12" s="21" t="s">
        <v>362</v>
      </c>
      <c r="B12" s="4" t="s">
        <v>1256</v>
      </c>
      <c r="C12" s="13">
        <v>3.7285714285714318</v>
      </c>
      <c r="D12" s="4"/>
    </row>
    <row r="13" spans="1:4">
      <c r="A13" s="21" t="s">
        <v>377</v>
      </c>
      <c r="B13" s="4" t="s">
        <v>1256</v>
      </c>
      <c r="C13" s="13">
        <v>2.7166666666666677</v>
      </c>
      <c r="D13" s="4"/>
    </row>
    <row r="14" spans="1:4">
      <c r="A14" s="21" t="s">
        <v>379</v>
      </c>
      <c r="B14" s="4" t="s">
        <v>1256</v>
      </c>
      <c r="C14" s="13">
        <v>2.8333333333333357</v>
      </c>
      <c r="D14" s="4"/>
    </row>
    <row r="15" spans="1:4">
      <c r="A15" s="21" t="s">
        <v>420</v>
      </c>
      <c r="B15" s="4" t="s">
        <v>1256</v>
      </c>
      <c r="C15" s="13">
        <v>4.0999999999999996</v>
      </c>
      <c r="D15" s="4">
        <v>226</v>
      </c>
    </row>
    <row r="16" spans="1:4">
      <c r="A16" s="21" t="s">
        <v>451</v>
      </c>
      <c r="B16" s="4" t="s">
        <v>1256</v>
      </c>
      <c r="C16" s="13">
        <v>2.04</v>
      </c>
      <c r="D16" s="4">
        <v>227.7</v>
      </c>
    </row>
    <row r="17" spans="1:4">
      <c r="A17" s="21" t="s">
        <v>1257</v>
      </c>
      <c r="B17" s="4" t="s">
        <v>1256</v>
      </c>
      <c r="C17" s="13">
        <v>2.06</v>
      </c>
      <c r="D17" s="4">
        <v>221.4</v>
      </c>
    </row>
    <row r="18" spans="1:4">
      <c r="A18" s="21" t="s">
        <v>1258</v>
      </c>
      <c r="B18" s="4" t="s">
        <v>1256</v>
      </c>
      <c r="C18" s="13">
        <v>3.53</v>
      </c>
      <c r="D18" s="6">
        <v>235.76</v>
      </c>
    </row>
    <row r="19" spans="1:4">
      <c r="A19" s="5" t="s">
        <v>250</v>
      </c>
      <c r="B19" s="5" t="s">
        <v>1259</v>
      </c>
      <c r="C19" s="13">
        <v>4.6666666666666687</v>
      </c>
      <c r="D19" s="4">
        <v>231.53</v>
      </c>
    </row>
    <row r="20" spans="1:4">
      <c r="A20" s="4" t="s">
        <v>267</v>
      </c>
      <c r="B20" s="5" t="s">
        <v>1259</v>
      </c>
      <c r="C20" s="13">
        <v>3.9638095238095263</v>
      </c>
      <c r="D20" s="4">
        <v>228.27</v>
      </c>
    </row>
    <row r="21" spans="1:4">
      <c r="A21" s="4" t="s">
        <v>269</v>
      </c>
      <c r="B21" s="5" t="s">
        <v>1259</v>
      </c>
      <c r="C21" s="13">
        <v>4.388888888888884</v>
      </c>
      <c r="D21" s="4">
        <v>229.77</v>
      </c>
    </row>
    <row r="22" spans="1:4">
      <c r="A22" s="4" t="s">
        <v>271</v>
      </c>
      <c r="B22" s="5" t="s">
        <v>1259</v>
      </c>
      <c r="C22" s="13">
        <v>3.111904761904762</v>
      </c>
      <c r="D22" s="4">
        <v>228.2</v>
      </c>
    </row>
    <row r="23" spans="1:4">
      <c r="A23" s="4" t="s">
        <v>280</v>
      </c>
      <c r="B23" s="5" t="s">
        <v>1259</v>
      </c>
      <c r="C23" s="13">
        <v>3.5633333333333352</v>
      </c>
      <c r="D23" s="4">
        <v>234.83</v>
      </c>
    </row>
    <row r="24" spans="1:4">
      <c r="A24" s="4" t="s">
        <v>304</v>
      </c>
      <c r="B24" s="5" t="s">
        <v>1259</v>
      </c>
      <c r="C24" s="13">
        <v>4.538095238095238</v>
      </c>
      <c r="D24" s="4">
        <v>231.64</v>
      </c>
    </row>
    <row r="25" spans="1:4">
      <c r="A25" s="4" t="s">
        <v>1128</v>
      </c>
      <c r="B25" s="5" t="s">
        <v>1259</v>
      </c>
      <c r="C25" s="13">
        <v>3.7714285714285709</v>
      </c>
      <c r="D25" s="4"/>
    </row>
    <row r="26" spans="1:4">
      <c r="A26" s="4" t="s">
        <v>1129</v>
      </c>
      <c r="B26" s="5" t="s">
        <v>1259</v>
      </c>
      <c r="C26" s="13">
        <v>4.9277777777777905</v>
      </c>
      <c r="D26" s="4">
        <v>226.21</v>
      </c>
    </row>
    <row r="27" spans="1:4">
      <c r="A27" s="4" t="s">
        <v>1130</v>
      </c>
      <c r="B27" s="5" t="s">
        <v>1259</v>
      </c>
      <c r="C27" s="13">
        <v>4.8066666666666649</v>
      </c>
      <c r="D27" s="4">
        <v>226.41</v>
      </c>
    </row>
    <row r="28" spans="1:4">
      <c r="A28" s="4" t="s">
        <v>1131</v>
      </c>
      <c r="B28" s="5" t="s">
        <v>1259</v>
      </c>
      <c r="C28" s="13">
        <v>4.5124999999999993</v>
      </c>
      <c r="D28" s="4"/>
    </row>
    <row r="29" spans="1:4">
      <c r="A29" s="4" t="s">
        <v>1132</v>
      </c>
      <c r="B29" s="5" t="s">
        <v>1259</v>
      </c>
      <c r="C29" s="13">
        <v>3.8611111111111072</v>
      </c>
      <c r="D29" s="4"/>
    </row>
    <row r="30" spans="1:4">
      <c r="A30" s="4" t="s">
        <v>1260</v>
      </c>
      <c r="B30" s="4"/>
      <c r="C30" s="11"/>
      <c r="D30" s="4"/>
    </row>
  </sheetData>
  <pageMargins left="0.7" right="0.7" top="0.75" bottom="0.75" header="0.3" footer="0.3"/>
  <pageSetup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D4E596EE72C743A6DBD721D9092909" ma:contentTypeVersion="17" ma:contentTypeDescription="Create a new document." ma:contentTypeScope="" ma:versionID="e0b943ae84e9a719220a0ca5619baf56">
  <xsd:schema xmlns:xsd="http://www.w3.org/2001/XMLSchema" xmlns:xs="http://www.w3.org/2001/XMLSchema" xmlns:p="http://schemas.microsoft.com/office/2006/metadata/properties" xmlns:ns2="7993a1a9-e939-4f27-b4ec-81508310e3f3" xmlns:ns3="b0d669d4-f02d-4a52-8a54-bc870a139dc2" targetNamespace="http://schemas.microsoft.com/office/2006/metadata/properties" ma:root="true" ma:fieldsID="dc36951e22397c171dd311c3d143c6bd" ns2:_="" ns3:_="">
    <xsd:import namespace="7993a1a9-e939-4f27-b4ec-81508310e3f3"/>
    <xsd:import namespace="b0d669d4-f02d-4a52-8a54-bc870a139d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93a1a9-e939-4f27-b4ec-81508310e3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7b6df9e-4af9-4f5d-938b-65371e8ff2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d669d4-f02d-4a52-8a54-bc870a139dc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ab53bf-84f2-491d-813f-480d1a9cae72}" ma:internalName="TaxCatchAll" ma:showField="CatchAllData" ma:web="b0d669d4-f02d-4a52-8a54-bc870a139d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993a1a9-e939-4f27-b4ec-81508310e3f3">
      <Terms xmlns="http://schemas.microsoft.com/office/infopath/2007/PartnerControls"/>
    </lcf76f155ced4ddcb4097134ff3c332f>
    <TaxCatchAll xmlns="b0d669d4-f02d-4a52-8a54-bc870a139dc2" xsi:nil="true"/>
    <SharedWithUsers xmlns="b0d669d4-f02d-4a52-8a54-bc870a139dc2">
      <UserInfo>
        <DisplayName>Lin Shi</DisplayName>
        <AccountId>15</AccountId>
        <AccountType/>
      </UserInfo>
      <UserInfo>
        <DisplayName>Maheesha Prasadi Paniyanduwage</DisplayName>
        <AccountId>406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D5B5B62-F94B-4F66-881B-A97893CFBB8D}"/>
</file>

<file path=customXml/itemProps2.xml><?xml version="1.0" encoding="utf-8"?>
<ds:datastoreItem xmlns:ds="http://schemas.openxmlformats.org/officeDocument/2006/customXml" ds:itemID="{84C91199-6EAF-4342-977C-CF53FD454C9D}"/>
</file>

<file path=customXml/itemProps3.xml><?xml version="1.0" encoding="utf-8"?>
<ds:datastoreItem xmlns:ds="http://schemas.openxmlformats.org/officeDocument/2006/customXml" ds:itemID="{6C14CBC7-A4D1-4CF2-B630-0CE1E9D716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Dunsmore</dc:creator>
  <cp:keywords/>
  <dc:description/>
  <cp:lastModifiedBy/>
  <cp:revision/>
  <dcterms:created xsi:type="dcterms:W3CDTF">2023-02-13T21:26:43Z</dcterms:created>
  <dcterms:modified xsi:type="dcterms:W3CDTF">2024-07-15T15:03:13Z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0x01010050D4E596EE72C743A6DBD721D9092909</vt:lpwstr>
  </property>
</Properties>
</file>